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rices" sheetId="2" state="visible" r:id="rId2"/>
    <sheet name="Backtest" sheetId="3" state="visible" r:id="rId3"/>
    <sheet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7A3B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vertical="center" wrapText="1"/>
    </xf>
    <xf numFmtId="11" fontId="0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84" customWidth="1" min="1" max="1"/>
  </cols>
  <sheetData>
    <row r="1">
      <c r="A1" s="1" t="inlineStr">
        <is>
          <t>What this workbook is</t>
        </is>
      </c>
    </row>
    <row r="2">
      <c r="A2" t="inlineStr"/>
    </row>
    <row r="3">
      <c r="A3" t="inlineStr">
        <is>
          <t>A live re-computation of the equal-weight, fully-invested backtest from</t>
        </is>
      </c>
    </row>
    <row r="4">
      <c r="A4" t="inlineStr">
        <is>
          <t>the Research OS engine. Every NAV, cost and metric is an Excel FORMULA,</t>
        </is>
      </c>
    </row>
    <row r="5">
      <c r="A5" t="inlineStr">
        <is>
          <t>not a pasted number. Click any cell and read the formula bar.</t>
        </is>
      </c>
    </row>
    <row r="6">
      <c r="A6" t="inlineStr"/>
    </row>
    <row r="7">
      <c r="A7" s="1" t="inlineStr">
        <is>
          <t>How to check the engine with it</t>
        </is>
      </c>
    </row>
    <row r="8">
      <c r="A8" t="inlineStr"/>
    </row>
    <row r="9">
      <c r="A9" t="inlineStr">
        <is>
          <t>1. On the 'Backtest' sheet, look at column W (NAV difference).</t>
        </is>
      </c>
    </row>
    <row r="10">
      <c r="A10" t="inlineStr">
        <is>
          <t xml:space="preserve">   That is Excel's NAV minus the engine's NAV, on every trading day.</t>
        </is>
      </c>
    </row>
    <row r="11">
      <c r="A11" t="inlineStr">
        <is>
          <t xml:space="preserve">   Every row should read 0.00E+00 or something around 1e-15.</t>
        </is>
      </c>
    </row>
    <row r="12">
      <c r="A12" t="inlineStr">
        <is>
          <t>2. The 'Metrics' sheet reports the largest difference across all rows.</t>
        </is>
      </c>
    </row>
    <row r="13">
      <c r="A13" t="inlineStr">
        <is>
          <t>3. Pick any rebalance row (column G = 1) and check by hand:</t>
        </is>
      </c>
    </row>
    <row r="14">
      <c r="A14" t="inlineStr">
        <is>
          <t xml:space="preserve">      traded (P) = sum over the five sleeves of</t>
        </is>
      </c>
    </row>
    <row r="15">
      <c r="A15" t="inlineStr">
        <is>
          <t xml:space="preserve">                   |target weight - drifted weight|</t>
        </is>
      </c>
    </row>
    <row r="16">
      <c r="A16" t="inlineStr">
        <is>
          <t xml:space="preserve">      cost   (Q) = traded x half-spread (30bp / 2 = 0.00150)</t>
        </is>
      </c>
    </row>
    <row r="17">
      <c r="A17" t="inlineStr">
        <is>
          <t xml:space="preserve">      NAV    (R) = NAV before cost (I) x (1 - cost)</t>
        </is>
      </c>
    </row>
    <row r="18">
      <c r="A18" t="inlineStr">
        <is>
          <t>4. Change a price on the 'Prices' sheet. Everything downstream moves.</t>
        </is>
      </c>
    </row>
    <row r="19">
      <c r="A19" t="inlineStr">
        <is>
          <t xml:space="preserve">   Undo it afterwards, or the workbook no longer matches the engine.</t>
        </is>
      </c>
    </row>
    <row r="20">
      <c r="A20" t="inlineStr"/>
    </row>
    <row r="21">
      <c r="A21" s="1" t="inlineStr">
        <is>
          <t>Why equal weight</t>
        </is>
      </c>
    </row>
    <row r="22">
      <c r="A22" t="inlineStr"/>
    </row>
    <row r="23">
      <c r="A23" t="inlineStr">
        <is>
          <t>It is the simplest strategy that still exercises every piece of the</t>
        </is>
      </c>
    </row>
    <row r="24">
      <c r="A24" t="inlineStr">
        <is>
          <t>accounting: drift, month-end rebalancing, spread cost, turnover and</t>
        </is>
      </c>
    </row>
    <row r="25">
      <c r="A25" t="inlineStr">
        <is>
          <t>compounding. The formulas stay readable and it is still a real result</t>
        </is>
      </c>
    </row>
    <row r="26">
      <c r="A26" t="inlineStr">
        <is>
          <t>from the pipeline -- the benchmark the dynamic strategy failed to beat.</t>
        </is>
      </c>
    </row>
    <row r="27">
      <c r="A27" t="inlineStr"/>
    </row>
    <row r="28">
      <c r="A28" s="1" t="inlineStr">
        <is>
          <t>What agreement proves</t>
        </is>
      </c>
    </row>
    <row r="29">
      <c r="A29" t="inlineStr"/>
    </row>
    <row r="30">
      <c r="A30" t="inlineStr">
        <is>
          <t>That the ARITHMETIC is right: compounding, cost timing, turnover, the</t>
        </is>
      </c>
    </row>
    <row r="31">
      <c r="A31" t="inlineStr">
        <is>
          <t>causal lag, month-end rebalancing, and the headline metrics.</t>
        </is>
      </c>
    </row>
    <row r="32">
      <c r="A32" t="inlineStr"/>
    </row>
    <row r="33">
      <c r="A33" s="1" t="inlineStr">
        <is>
          <t>What it does NOT prove</t>
        </is>
      </c>
    </row>
    <row r="34">
      <c r="A34" t="inlineStr"/>
    </row>
    <row r="35">
      <c r="A35" t="inlineStr">
        <is>
          <t>That the ASSUMPTIONS are right. This workbook charges 30bp because the</t>
        </is>
      </c>
    </row>
    <row r="36">
      <c r="A36" t="inlineStr">
        <is>
          <t>Strategy Card says 30bp. It uses a flat 6% cash proxy because no Indian</t>
        </is>
      </c>
    </row>
    <row r="37">
      <c r="A37" t="inlineStr">
        <is>
          <t>risk-free series exists in the snapshot. It inherits the backfill bias in</t>
        </is>
      </c>
    </row>
    <row r="38">
      <c r="A38" t="inlineStr">
        <is>
          <t>the NSE factor indices -- every series starts at exactly 1000.00, which</t>
        </is>
      </c>
    </row>
    <row r="39">
      <c r="A39" t="inlineStr">
        <is>
          <t>means the history was reconstructed after the rules were written.</t>
        </is>
      </c>
    </row>
    <row r="40">
      <c r="A40" t="inlineStr"/>
    </row>
    <row r="41">
      <c r="A41" t="inlineStr">
        <is>
          <t>Excel agreeing with Python about a wrong assumption is two tools being</t>
        </is>
      </c>
    </row>
    <row r="42">
      <c r="A42" t="inlineStr">
        <is>
          <t>precisely wrong together. Those questions belong to Gate A and Gate B,</t>
        </is>
      </c>
    </row>
    <row r="43">
      <c r="A43" t="inlineStr">
        <is>
          <t>and no amount of cross-checking retires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Date</t>
        </is>
      </c>
      <c r="B1" s="2" t="inlineStr">
        <is>
          <t>NIFTY500 MOMENTUM 50</t>
        </is>
      </c>
      <c r="C1" s="2" t="inlineStr">
        <is>
          <t>NIFTY500 QUALITY 50</t>
        </is>
      </c>
      <c r="D1" s="2" t="inlineStr">
        <is>
          <t>NIFTY500 VALUE 50</t>
        </is>
      </c>
      <c r="E1" s="2" t="inlineStr">
        <is>
          <t>NIFTY500 LOW VOLATILITY 50</t>
        </is>
      </c>
      <c r="F1" s="2" t="inlineStr">
        <is>
          <t>NIFTY ALPHA 50</t>
        </is>
      </c>
    </row>
    <row r="2">
      <c r="A2" s="3" t="n">
        <v>38443</v>
      </c>
      <c r="B2" t="n">
        <v>1000</v>
      </c>
      <c r="C2" t="n">
        <v>1000</v>
      </c>
      <c r="D2" t="n">
        <v>1000</v>
      </c>
      <c r="E2" t="n">
        <v>1000</v>
      </c>
      <c r="F2" t="n">
        <v>1589.39</v>
      </c>
    </row>
    <row r="3">
      <c r="A3" s="3" t="n">
        <v>38446</v>
      </c>
      <c r="B3" t="n">
        <v>1015.42</v>
      </c>
      <c r="C3" t="n">
        <v>996.8099999999999</v>
      </c>
      <c r="D3" t="n">
        <v>994.1799999999999</v>
      </c>
      <c r="E3" t="n">
        <v>1002.46</v>
      </c>
      <c r="F3" t="n">
        <v>1607.36</v>
      </c>
    </row>
    <row r="4">
      <c r="A4" s="3" t="n">
        <v>38447</v>
      </c>
      <c r="B4" t="n">
        <v>1008.76</v>
      </c>
      <c r="C4" t="n">
        <v>985.34</v>
      </c>
      <c r="D4" t="n">
        <v>980.92</v>
      </c>
      <c r="E4" t="n">
        <v>998.47</v>
      </c>
      <c r="F4" t="n">
        <v>1598.08</v>
      </c>
    </row>
    <row r="5">
      <c r="A5" s="3" t="n">
        <v>38448</v>
      </c>
      <c r="B5" t="n">
        <v>1025.13</v>
      </c>
      <c r="C5" t="n">
        <v>994.42</v>
      </c>
      <c r="D5" t="n">
        <v>1001.34</v>
      </c>
      <c r="E5" t="n">
        <v>1003.99</v>
      </c>
      <c r="F5" t="n">
        <v>1619.39</v>
      </c>
    </row>
    <row r="6">
      <c r="A6" s="3" t="n">
        <v>38449</v>
      </c>
      <c r="B6" t="n">
        <v>1019.09</v>
      </c>
      <c r="C6" t="n">
        <v>992.09</v>
      </c>
      <c r="D6" t="n">
        <v>1001.88</v>
      </c>
      <c r="E6" t="n">
        <v>999.23</v>
      </c>
      <c r="F6" t="n">
        <v>1622.37</v>
      </c>
    </row>
    <row r="7">
      <c r="A7" s="3" t="n">
        <v>38450</v>
      </c>
      <c r="B7" t="n">
        <v>1009.69</v>
      </c>
      <c r="C7" t="n">
        <v>982.17</v>
      </c>
      <c r="D7" t="n">
        <v>996.5700000000001</v>
      </c>
      <c r="E7" t="n">
        <v>989.9299999999999</v>
      </c>
      <c r="F7" t="n">
        <v>1605.66</v>
      </c>
    </row>
    <row r="8">
      <c r="A8" s="3" t="n">
        <v>38453</v>
      </c>
      <c r="B8" t="n">
        <v>999.58</v>
      </c>
      <c r="C8" t="n">
        <v>973.97</v>
      </c>
      <c r="D8" t="n">
        <v>990.16</v>
      </c>
      <c r="E8" t="n">
        <v>982.73</v>
      </c>
      <c r="F8" t="n">
        <v>1582.9</v>
      </c>
    </row>
    <row r="9">
      <c r="A9" s="3" t="n">
        <v>38454</v>
      </c>
      <c r="B9" t="n">
        <v>1005.32</v>
      </c>
      <c r="C9" t="n">
        <v>982.55</v>
      </c>
      <c r="D9" t="n">
        <v>996.6</v>
      </c>
      <c r="E9" t="n">
        <v>990.83</v>
      </c>
      <c r="F9" t="n">
        <v>1597.09</v>
      </c>
    </row>
    <row r="10">
      <c r="A10" s="3" t="n">
        <v>38455</v>
      </c>
      <c r="B10" t="n">
        <v>1005.21</v>
      </c>
      <c r="C10" t="n">
        <v>982.54</v>
      </c>
      <c r="D10" t="n">
        <v>997.5</v>
      </c>
      <c r="E10" t="n">
        <v>994.08</v>
      </c>
      <c r="F10" t="n">
        <v>1598.94</v>
      </c>
    </row>
    <row r="11">
      <c r="A11" s="3" t="n">
        <v>38457</v>
      </c>
      <c r="B11" t="n">
        <v>970.6900000000001</v>
      </c>
      <c r="C11" t="n">
        <v>948.26</v>
      </c>
      <c r="D11" t="n">
        <v>971.11</v>
      </c>
      <c r="E11" t="n">
        <v>970.63</v>
      </c>
      <c r="F11" t="n">
        <v>1552.51</v>
      </c>
    </row>
    <row r="12">
      <c r="A12" s="3" t="n">
        <v>38460</v>
      </c>
      <c r="B12" t="n">
        <v>958.05</v>
      </c>
      <c r="C12" t="n">
        <v>934.03</v>
      </c>
      <c r="D12" t="n">
        <v>965.13</v>
      </c>
      <c r="E12" t="n">
        <v>960.09</v>
      </c>
      <c r="F12" t="n">
        <v>1530.89</v>
      </c>
    </row>
    <row r="13">
      <c r="A13" s="3" t="n">
        <v>38461</v>
      </c>
      <c r="B13" t="n">
        <v>957.1</v>
      </c>
      <c r="C13" t="n">
        <v>922.97</v>
      </c>
      <c r="D13" t="n">
        <v>955.63</v>
      </c>
      <c r="E13" t="n">
        <v>956.23</v>
      </c>
      <c r="F13" t="n">
        <v>1526.52</v>
      </c>
    </row>
    <row r="14">
      <c r="A14" s="3" t="n">
        <v>38462</v>
      </c>
      <c r="B14" t="n">
        <v>970.42</v>
      </c>
      <c r="C14" t="n">
        <v>941.84</v>
      </c>
      <c r="D14" t="n">
        <v>960.54</v>
      </c>
      <c r="E14" t="n">
        <v>966.59</v>
      </c>
      <c r="F14" t="n">
        <v>1542.32</v>
      </c>
    </row>
    <row r="15">
      <c r="A15" s="3" t="n">
        <v>38463</v>
      </c>
      <c r="B15" t="n">
        <v>988.0700000000001</v>
      </c>
      <c r="C15" t="n">
        <v>953.51</v>
      </c>
      <c r="D15" t="n">
        <v>973.16</v>
      </c>
      <c r="E15" t="n">
        <v>974.66</v>
      </c>
      <c r="F15" t="n">
        <v>1576.45</v>
      </c>
    </row>
    <row r="16">
      <c r="A16" s="3" t="n">
        <v>38464</v>
      </c>
      <c r="B16" t="n">
        <v>1011.97</v>
      </c>
      <c r="C16" t="n">
        <v>964.9299999999999</v>
      </c>
      <c r="D16" t="n">
        <v>975.25</v>
      </c>
      <c r="E16" t="n">
        <v>986.01</v>
      </c>
      <c r="F16" t="n">
        <v>1601.09</v>
      </c>
    </row>
    <row r="17">
      <c r="A17" s="3" t="n">
        <v>38467</v>
      </c>
      <c r="B17" t="n">
        <v>1012.76</v>
      </c>
      <c r="C17" t="n">
        <v>967.0700000000001</v>
      </c>
      <c r="D17" t="n">
        <v>984.12</v>
      </c>
      <c r="E17" t="n">
        <v>990.1799999999999</v>
      </c>
      <c r="F17" t="n">
        <v>1610.17</v>
      </c>
    </row>
    <row r="18">
      <c r="A18" s="3" t="n">
        <v>38468</v>
      </c>
      <c r="B18" t="n">
        <v>1008.01</v>
      </c>
      <c r="C18" t="n">
        <v>962.65</v>
      </c>
      <c r="D18" t="n">
        <v>988.22</v>
      </c>
      <c r="E18" t="n">
        <v>986.37</v>
      </c>
      <c r="F18" t="n">
        <v>1612.1</v>
      </c>
    </row>
    <row r="19">
      <c r="A19" s="3" t="n">
        <v>38469</v>
      </c>
      <c r="B19" t="n">
        <v>1003.14</v>
      </c>
      <c r="C19" t="n">
        <v>956.4</v>
      </c>
      <c r="D19" t="n">
        <v>974.97</v>
      </c>
      <c r="E19" t="n">
        <v>981.64</v>
      </c>
      <c r="F19" t="n">
        <v>1589.28</v>
      </c>
    </row>
    <row r="20">
      <c r="A20" s="3" t="n">
        <v>38470</v>
      </c>
      <c r="B20" t="n">
        <v>996.41</v>
      </c>
      <c r="C20" t="n">
        <v>957.66</v>
      </c>
      <c r="D20" t="n">
        <v>962.25</v>
      </c>
      <c r="E20" t="n">
        <v>987.08</v>
      </c>
      <c r="F20" t="n">
        <v>1582.21</v>
      </c>
    </row>
    <row r="21">
      <c r="A21" s="3" t="n">
        <v>38471</v>
      </c>
      <c r="B21" t="n">
        <v>974.03</v>
      </c>
      <c r="C21" t="n">
        <v>939.42</v>
      </c>
      <c r="D21" t="n">
        <v>944.49</v>
      </c>
      <c r="E21" t="n">
        <v>966.3</v>
      </c>
      <c r="F21" t="n">
        <v>1548.58</v>
      </c>
    </row>
    <row r="22">
      <c r="A22" s="3" t="n">
        <v>38474</v>
      </c>
      <c r="B22" t="n">
        <v>958.87</v>
      </c>
      <c r="C22" t="n">
        <v>943.21</v>
      </c>
      <c r="D22" t="n">
        <v>947.29</v>
      </c>
      <c r="E22" t="n">
        <v>969.2</v>
      </c>
      <c r="F22" t="n">
        <v>1545.44</v>
      </c>
    </row>
    <row r="23">
      <c r="A23" s="3" t="n">
        <v>38475</v>
      </c>
      <c r="B23" t="n">
        <v>960.4299999999999</v>
      </c>
      <c r="C23" t="n">
        <v>942.66</v>
      </c>
      <c r="D23" t="n">
        <v>948.6900000000001</v>
      </c>
      <c r="E23" t="n">
        <v>973.67</v>
      </c>
      <c r="F23" t="n">
        <v>1549.88</v>
      </c>
    </row>
    <row r="24">
      <c r="A24" s="3" t="n">
        <v>38476</v>
      </c>
      <c r="B24" t="n">
        <v>979.52</v>
      </c>
      <c r="C24" t="n">
        <v>955.2</v>
      </c>
      <c r="D24" t="n">
        <v>961.48</v>
      </c>
      <c r="E24" t="n">
        <v>986.48</v>
      </c>
      <c r="F24" t="n">
        <v>1572.5</v>
      </c>
    </row>
    <row r="25">
      <c r="A25" s="3" t="n">
        <v>38477</v>
      </c>
      <c r="B25" t="n">
        <v>985.47</v>
      </c>
      <c r="C25" t="n">
        <v>966.77</v>
      </c>
      <c r="D25" t="n">
        <v>982.1</v>
      </c>
      <c r="E25" t="n">
        <v>995.01</v>
      </c>
      <c r="F25" t="n">
        <v>1578.85</v>
      </c>
    </row>
    <row r="26">
      <c r="A26" s="3" t="n">
        <v>38478</v>
      </c>
      <c r="B26" t="n">
        <v>992.14</v>
      </c>
      <c r="C26" t="n">
        <v>971.52</v>
      </c>
      <c r="D26" t="n">
        <v>986.65</v>
      </c>
      <c r="E26" t="n">
        <v>999.4400000000001</v>
      </c>
      <c r="F26" t="n">
        <v>1585.59</v>
      </c>
    </row>
    <row r="27">
      <c r="A27" s="3" t="n">
        <v>38481</v>
      </c>
      <c r="B27" t="n">
        <v>1010.83</v>
      </c>
      <c r="C27" t="n">
        <v>985.23</v>
      </c>
      <c r="D27" t="n">
        <v>997.71</v>
      </c>
      <c r="E27" t="n">
        <v>1011.43</v>
      </c>
      <c r="F27" t="n">
        <v>1597.33</v>
      </c>
    </row>
    <row r="28">
      <c r="A28" s="3" t="n">
        <v>38482</v>
      </c>
      <c r="B28" t="n">
        <v>1009.94</v>
      </c>
      <c r="C28" t="n">
        <v>984.09</v>
      </c>
      <c r="D28" t="n">
        <v>991.97</v>
      </c>
      <c r="E28" t="n">
        <v>1011.91</v>
      </c>
      <c r="F28" t="n">
        <v>1594.14</v>
      </c>
    </row>
    <row r="29">
      <c r="A29" s="3" t="n">
        <v>38483</v>
      </c>
      <c r="B29" t="n">
        <v>1013.55</v>
      </c>
      <c r="C29" t="n">
        <v>979.59</v>
      </c>
      <c r="D29" t="n">
        <v>990.92</v>
      </c>
      <c r="E29" t="n">
        <v>1010.54</v>
      </c>
      <c r="F29" t="n">
        <v>1591.67</v>
      </c>
    </row>
    <row r="30">
      <c r="A30" s="3" t="n">
        <v>38484</v>
      </c>
      <c r="B30" t="n">
        <v>1027.13</v>
      </c>
      <c r="C30" t="n">
        <v>984.54</v>
      </c>
      <c r="D30" t="n">
        <v>1004.58</v>
      </c>
      <c r="E30" t="n">
        <v>1015.14</v>
      </c>
      <c r="F30" t="n">
        <v>1608.57</v>
      </c>
    </row>
    <row r="31">
      <c r="A31" s="3" t="n">
        <v>38485</v>
      </c>
      <c r="B31" t="n">
        <v>1036.11</v>
      </c>
      <c r="C31" t="n">
        <v>983.76</v>
      </c>
      <c r="D31" t="n">
        <v>1008.99</v>
      </c>
      <c r="E31" t="n">
        <v>1016.8</v>
      </c>
      <c r="F31" t="n">
        <v>1620.48</v>
      </c>
    </row>
    <row r="32">
      <c r="A32" s="3" t="n">
        <v>38488</v>
      </c>
      <c r="B32" t="n">
        <v>1049.95</v>
      </c>
      <c r="C32" t="n">
        <v>992.46</v>
      </c>
      <c r="D32" t="n">
        <v>1026.43</v>
      </c>
      <c r="E32" t="n">
        <v>1022.73</v>
      </c>
      <c r="F32" t="n">
        <v>1643.95</v>
      </c>
    </row>
    <row r="33">
      <c r="A33" s="3" t="n">
        <v>38489</v>
      </c>
      <c r="B33" t="n">
        <v>1037.93</v>
      </c>
      <c r="C33" t="n">
        <v>983.13</v>
      </c>
      <c r="D33" t="n">
        <v>1015.06</v>
      </c>
      <c r="E33" t="n">
        <v>1015</v>
      </c>
      <c r="F33" t="n">
        <v>1624.91</v>
      </c>
    </row>
    <row r="34">
      <c r="A34" s="3" t="n">
        <v>38490</v>
      </c>
      <c r="B34" t="n">
        <v>1041.34</v>
      </c>
      <c r="C34" t="n">
        <v>979.53</v>
      </c>
      <c r="D34" t="n">
        <v>1017.42</v>
      </c>
      <c r="E34" t="n">
        <v>1011.63</v>
      </c>
      <c r="F34" t="n">
        <v>1631.03</v>
      </c>
    </row>
    <row r="35">
      <c r="A35" s="3" t="n">
        <v>38491</v>
      </c>
      <c r="B35" t="n">
        <v>1052.37</v>
      </c>
      <c r="C35" t="n">
        <v>985.9</v>
      </c>
      <c r="D35" t="n">
        <v>1027.63</v>
      </c>
      <c r="E35" t="n">
        <v>1016.11</v>
      </c>
      <c r="F35" t="n">
        <v>1642.15</v>
      </c>
    </row>
    <row r="36">
      <c r="A36" s="3" t="n">
        <v>38492</v>
      </c>
      <c r="B36" t="n">
        <v>1050.89</v>
      </c>
      <c r="C36" t="n">
        <v>985.3200000000001</v>
      </c>
      <c r="D36" t="n">
        <v>1030.85</v>
      </c>
      <c r="E36" t="n">
        <v>1017.46</v>
      </c>
      <c r="F36" t="n">
        <v>1631.56</v>
      </c>
    </row>
    <row r="37">
      <c r="A37" s="3" t="n">
        <v>38495</v>
      </c>
      <c r="B37" t="n">
        <v>1058.17</v>
      </c>
      <c r="C37" t="n">
        <v>988.28</v>
      </c>
      <c r="D37" t="n">
        <v>1040.52</v>
      </c>
      <c r="E37" t="n">
        <v>1023.53</v>
      </c>
      <c r="F37" t="n">
        <v>1640.53</v>
      </c>
    </row>
    <row r="38">
      <c r="A38" s="3" t="n">
        <v>38496</v>
      </c>
      <c r="B38" t="n">
        <v>1061.05</v>
      </c>
      <c r="C38" t="n">
        <v>997.13</v>
      </c>
      <c r="D38" t="n">
        <v>1044.73</v>
      </c>
      <c r="E38" t="n">
        <v>1025.98</v>
      </c>
      <c r="F38" t="n">
        <v>1645.19</v>
      </c>
    </row>
    <row r="39">
      <c r="A39" s="3" t="n">
        <v>38497</v>
      </c>
      <c r="B39" t="n">
        <v>1061.22</v>
      </c>
      <c r="C39" t="n">
        <v>1004.62</v>
      </c>
      <c r="D39" t="n">
        <v>1048.47</v>
      </c>
      <c r="E39" t="n">
        <v>1034.1</v>
      </c>
      <c r="F39" t="n">
        <v>1653.51</v>
      </c>
    </row>
    <row r="40">
      <c r="A40" s="3" t="n">
        <v>38498</v>
      </c>
      <c r="B40" t="n">
        <v>1057.1</v>
      </c>
      <c r="C40" t="n">
        <v>1012.98</v>
      </c>
      <c r="D40" t="n">
        <v>1037.72</v>
      </c>
      <c r="E40" t="n">
        <v>1044.15</v>
      </c>
      <c r="F40" t="n">
        <v>1646.04</v>
      </c>
    </row>
    <row r="41">
      <c r="A41" s="3" t="n">
        <v>38499</v>
      </c>
      <c r="B41" t="n">
        <v>1048.25</v>
      </c>
      <c r="C41" t="n">
        <v>1016.84</v>
      </c>
      <c r="D41" t="n">
        <v>1040.23</v>
      </c>
      <c r="E41" t="n">
        <v>1047.6</v>
      </c>
      <c r="F41" t="n">
        <v>1640.45</v>
      </c>
    </row>
    <row r="42">
      <c r="A42" s="3" t="n">
        <v>38502</v>
      </c>
      <c r="B42" t="n">
        <v>1040.17</v>
      </c>
      <c r="C42" t="n">
        <v>1012.86</v>
      </c>
      <c r="D42" t="n">
        <v>1034.72</v>
      </c>
      <c r="E42" t="n">
        <v>1043.37</v>
      </c>
      <c r="F42" t="n">
        <v>1626.47</v>
      </c>
    </row>
    <row r="43">
      <c r="A43" s="3" t="n">
        <v>38503</v>
      </c>
      <c r="B43" t="n">
        <v>1047.16</v>
      </c>
      <c r="C43" t="n">
        <v>1020.12</v>
      </c>
      <c r="D43" t="n">
        <v>1040.17</v>
      </c>
      <c r="E43" t="n">
        <v>1050.62</v>
      </c>
      <c r="F43" t="n">
        <v>1635.78</v>
      </c>
    </row>
    <row r="44">
      <c r="A44" s="3" t="n">
        <v>38504</v>
      </c>
      <c r="B44" t="n">
        <v>1055.72</v>
      </c>
      <c r="C44" t="n">
        <v>1022.33</v>
      </c>
      <c r="D44" t="n">
        <v>1042.61</v>
      </c>
      <c r="E44" t="n">
        <v>1057.93</v>
      </c>
      <c r="F44" t="n">
        <v>1644.99</v>
      </c>
    </row>
    <row r="45">
      <c r="A45" s="3" t="n">
        <v>38505</v>
      </c>
      <c r="B45" t="n">
        <v>1049.68</v>
      </c>
      <c r="C45" t="n">
        <v>1013.47</v>
      </c>
      <c r="D45" t="n">
        <v>1037.66</v>
      </c>
      <c r="E45" t="n">
        <v>1049.93</v>
      </c>
      <c r="F45" t="n">
        <v>1633.57</v>
      </c>
    </row>
    <row r="46">
      <c r="A46" s="3" t="n">
        <v>38506</v>
      </c>
      <c r="B46" t="n">
        <v>1059.23</v>
      </c>
      <c r="C46" t="n">
        <v>1021.74</v>
      </c>
      <c r="D46" t="n">
        <v>1046.84</v>
      </c>
      <c r="E46" t="n">
        <v>1057.37</v>
      </c>
      <c r="F46" t="n">
        <v>1642.9</v>
      </c>
    </row>
    <row r="47">
      <c r="A47" s="3" t="n">
        <v>38507</v>
      </c>
      <c r="B47" t="n">
        <v>1067.25</v>
      </c>
      <c r="C47" t="n">
        <v>1025.32</v>
      </c>
      <c r="D47" t="n">
        <v>1055.15</v>
      </c>
      <c r="E47" t="n">
        <v>1059.71</v>
      </c>
      <c r="F47" t="n">
        <v>1649.17</v>
      </c>
    </row>
    <row r="48">
      <c r="A48" s="3" t="n">
        <v>38509</v>
      </c>
      <c r="B48" t="n">
        <v>1069.2</v>
      </c>
      <c r="C48" t="n">
        <v>1023.66</v>
      </c>
      <c r="D48" t="n">
        <v>1054.08</v>
      </c>
      <c r="E48" t="n">
        <v>1059.78</v>
      </c>
      <c r="F48" t="n">
        <v>1658.88</v>
      </c>
    </row>
    <row r="49">
      <c r="A49" s="3" t="n">
        <v>38510</v>
      </c>
      <c r="B49" t="n">
        <v>1068.22</v>
      </c>
      <c r="C49" t="n">
        <v>1023.2</v>
      </c>
      <c r="D49" t="n">
        <v>1070.22</v>
      </c>
      <c r="E49" t="n">
        <v>1061.14</v>
      </c>
      <c r="F49" t="n">
        <v>1669.78</v>
      </c>
    </row>
    <row r="50">
      <c r="A50" s="3" t="n">
        <v>38511</v>
      </c>
      <c r="B50" t="n">
        <v>1062.47</v>
      </c>
      <c r="C50" t="n">
        <v>1029.16</v>
      </c>
      <c r="D50" t="n">
        <v>1080.94</v>
      </c>
      <c r="E50" t="n">
        <v>1068.95</v>
      </c>
      <c r="F50" t="n">
        <v>1675.48</v>
      </c>
    </row>
    <row r="51">
      <c r="A51" s="3" t="n">
        <v>38512</v>
      </c>
      <c r="B51" t="n">
        <v>1067.09</v>
      </c>
      <c r="C51" t="n">
        <v>1025.19</v>
      </c>
      <c r="D51" t="n">
        <v>1084.27</v>
      </c>
      <c r="E51" t="n">
        <v>1067.78</v>
      </c>
      <c r="F51" t="n">
        <v>1681.48</v>
      </c>
    </row>
    <row r="52">
      <c r="A52" s="3" t="n">
        <v>38513</v>
      </c>
      <c r="B52" t="n">
        <v>1062.97</v>
      </c>
      <c r="C52" t="n">
        <v>1016.08</v>
      </c>
      <c r="D52" t="n">
        <v>1072.36</v>
      </c>
      <c r="E52" t="n">
        <v>1062.38</v>
      </c>
      <c r="F52" t="n">
        <v>1670.97</v>
      </c>
    </row>
    <row r="53">
      <c r="A53" s="3" t="n">
        <v>38516</v>
      </c>
      <c r="B53" t="n">
        <v>1060.26</v>
      </c>
      <c r="C53" t="n">
        <v>1015.35</v>
      </c>
      <c r="D53" t="n">
        <v>1069.96</v>
      </c>
      <c r="E53" t="n">
        <v>1066.94</v>
      </c>
      <c r="F53" t="n">
        <v>1667.71</v>
      </c>
    </row>
    <row r="54">
      <c r="A54" s="3" t="n">
        <v>38517</v>
      </c>
      <c r="B54" t="n">
        <v>1065.6</v>
      </c>
      <c r="C54" t="n">
        <v>1016.6</v>
      </c>
      <c r="D54" t="n">
        <v>1070.85</v>
      </c>
      <c r="E54" t="n">
        <v>1069.74</v>
      </c>
      <c r="F54" t="n">
        <v>1678.61</v>
      </c>
    </row>
    <row r="55">
      <c r="A55" s="3" t="n">
        <v>38518</v>
      </c>
      <c r="B55" t="n">
        <v>1073.81</v>
      </c>
      <c r="C55" t="n">
        <v>1021.54</v>
      </c>
      <c r="D55" t="n">
        <v>1070.2</v>
      </c>
      <c r="E55" t="n">
        <v>1072.02</v>
      </c>
      <c r="F55" t="n">
        <v>1692.97</v>
      </c>
    </row>
    <row r="56">
      <c r="A56" s="3" t="n">
        <v>38519</v>
      </c>
      <c r="B56" t="n">
        <v>1054.91</v>
      </c>
      <c r="C56" t="n">
        <v>1016.65</v>
      </c>
      <c r="D56" t="n">
        <v>1049.58</v>
      </c>
      <c r="E56" t="n">
        <v>1066.95</v>
      </c>
      <c r="F56" t="n">
        <v>1668.12</v>
      </c>
    </row>
    <row r="57">
      <c r="A57" s="3" t="n">
        <v>38520</v>
      </c>
      <c r="B57" t="n">
        <v>1035.65</v>
      </c>
      <c r="C57" t="n">
        <v>1012.92</v>
      </c>
      <c r="D57" t="n">
        <v>1036.07</v>
      </c>
      <c r="E57" t="n">
        <v>1064.53</v>
      </c>
      <c r="F57" t="n">
        <v>1647.49</v>
      </c>
    </row>
    <row r="58">
      <c r="A58" s="3" t="n">
        <v>38523</v>
      </c>
      <c r="B58" t="n">
        <v>1023.13</v>
      </c>
      <c r="C58" t="n">
        <v>1015.41</v>
      </c>
      <c r="D58" t="n">
        <v>1027.78</v>
      </c>
      <c r="E58" t="n">
        <v>1069.4</v>
      </c>
      <c r="F58" t="n">
        <v>1635.71</v>
      </c>
    </row>
    <row r="59">
      <c r="A59" s="3" t="n">
        <v>38524</v>
      </c>
      <c r="B59" t="n">
        <v>1029.26</v>
      </c>
      <c r="C59" t="n">
        <v>1026.25</v>
      </c>
      <c r="D59" t="n">
        <v>1026.43</v>
      </c>
      <c r="E59" t="n">
        <v>1082.04</v>
      </c>
      <c r="F59" t="n">
        <v>1645.79</v>
      </c>
    </row>
    <row r="60">
      <c r="A60" s="3" t="n">
        <v>38525</v>
      </c>
      <c r="B60" t="n">
        <v>1037.05</v>
      </c>
      <c r="C60" t="n">
        <v>1029.69</v>
      </c>
      <c r="D60" t="n">
        <v>1021.21</v>
      </c>
      <c r="E60" t="n">
        <v>1089.1</v>
      </c>
      <c r="F60" t="n">
        <v>1648.62</v>
      </c>
    </row>
    <row r="61">
      <c r="A61" s="3" t="n">
        <v>38526</v>
      </c>
      <c r="B61" t="n">
        <v>1040.58</v>
      </c>
      <c r="C61" t="n">
        <v>1032.95</v>
      </c>
      <c r="D61" t="n">
        <v>1029.06</v>
      </c>
      <c r="E61" t="n">
        <v>1089.1</v>
      </c>
      <c r="F61" t="n">
        <v>1655.6</v>
      </c>
    </row>
    <row r="62">
      <c r="A62" s="3" t="n">
        <v>38527</v>
      </c>
      <c r="B62" t="n">
        <v>1053.91</v>
      </c>
      <c r="C62" t="n">
        <v>1038.62</v>
      </c>
      <c r="D62" t="n">
        <v>1030.8</v>
      </c>
      <c r="E62" t="n">
        <v>1096.72</v>
      </c>
      <c r="F62" t="n">
        <v>1670.49</v>
      </c>
    </row>
    <row r="63">
      <c r="A63" s="3" t="n">
        <v>38530</v>
      </c>
      <c r="B63" t="n">
        <v>1060.23</v>
      </c>
      <c r="C63" t="n">
        <v>1037.41</v>
      </c>
      <c r="D63" t="n">
        <v>1031.95</v>
      </c>
      <c r="E63" t="n">
        <v>1095</v>
      </c>
      <c r="F63" t="n">
        <v>1657.1</v>
      </c>
    </row>
    <row r="64">
      <c r="A64" s="3" t="n">
        <v>38531</v>
      </c>
      <c r="B64" t="n">
        <v>1042</v>
      </c>
      <c r="C64" t="n">
        <v>1020.09</v>
      </c>
      <c r="D64" t="n">
        <v>1014.29</v>
      </c>
      <c r="E64" t="n">
        <v>1082.23</v>
      </c>
      <c r="F64" t="n">
        <v>1619.66</v>
      </c>
    </row>
    <row r="65">
      <c r="A65" s="3" t="n">
        <v>38532</v>
      </c>
      <c r="B65" t="n">
        <v>1057.44</v>
      </c>
      <c r="C65" t="n">
        <v>1028.31</v>
      </c>
      <c r="D65" t="n">
        <v>1019.19</v>
      </c>
      <c r="E65" t="n">
        <v>1087.62</v>
      </c>
      <c r="F65" t="n">
        <v>1643.51</v>
      </c>
    </row>
    <row r="66">
      <c r="A66" s="3" t="n">
        <v>38533</v>
      </c>
      <c r="B66" t="n">
        <v>1064.25</v>
      </c>
      <c r="C66" t="n">
        <v>1031.1</v>
      </c>
      <c r="D66" t="n">
        <v>1010.75</v>
      </c>
      <c r="E66" t="n">
        <v>1098.8</v>
      </c>
      <c r="F66" t="n">
        <v>1643.81</v>
      </c>
    </row>
    <row r="67">
      <c r="A67" s="3" t="n">
        <v>38534</v>
      </c>
      <c r="B67" t="n">
        <v>1076.51</v>
      </c>
      <c r="C67" t="n">
        <v>1037.79</v>
      </c>
      <c r="D67" t="n">
        <v>1026.77</v>
      </c>
      <c r="E67" t="n">
        <v>1105.84</v>
      </c>
      <c r="F67" t="n">
        <v>1674.42</v>
      </c>
    </row>
    <row r="68">
      <c r="A68" s="3" t="n">
        <v>38537</v>
      </c>
      <c r="B68" t="n">
        <v>1089.86</v>
      </c>
      <c r="C68" t="n">
        <v>1046.9</v>
      </c>
      <c r="D68" t="n">
        <v>1041.14</v>
      </c>
      <c r="E68" t="n">
        <v>1117.84</v>
      </c>
      <c r="F68" t="n">
        <v>1709.74</v>
      </c>
    </row>
    <row r="69">
      <c r="A69" s="3" t="n">
        <v>38538</v>
      </c>
      <c r="B69" t="n">
        <v>1078.23</v>
      </c>
      <c r="C69" t="n">
        <v>1040.1</v>
      </c>
      <c r="D69" t="n">
        <v>1035.17</v>
      </c>
      <c r="E69" t="n">
        <v>1110.55</v>
      </c>
      <c r="F69" t="n">
        <v>1706.22</v>
      </c>
    </row>
    <row r="70">
      <c r="A70" s="3" t="n">
        <v>38539</v>
      </c>
      <c r="B70" t="n">
        <v>1094.38</v>
      </c>
      <c r="C70" t="n">
        <v>1050.52</v>
      </c>
      <c r="D70" t="n">
        <v>1054.79</v>
      </c>
      <c r="E70" t="n">
        <v>1120.63</v>
      </c>
      <c r="F70" t="n">
        <v>1745.84</v>
      </c>
    </row>
    <row r="71">
      <c r="A71" s="3" t="n">
        <v>38540</v>
      </c>
      <c r="B71" t="n">
        <v>1086.64</v>
      </c>
      <c r="C71" t="n">
        <v>1035.57</v>
      </c>
      <c r="D71" t="n">
        <v>1036.61</v>
      </c>
      <c r="E71" t="n">
        <v>1101.42</v>
      </c>
      <c r="F71" t="n">
        <v>1715.84</v>
      </c>
    </row>
    <row r="72">
      <c r="A72" s="3" t="n">
        <v>38541</v>
      </c>
      <c r="B72" t="n">
        <v>1108.98</v>
      </c>
      <c r="C72" t="n">
        <v>1048.88</v>
      </c>
      <c r="D72" t="n">
        <v>1051.43</v>
      </c>
      <c r="E72" t="n">
        <v>1109.09</v>
      </c>
      <c r="F72" t="n">
        <v>1759.03</v>
      </c>
    </row>
    <row r="73">
      <c r="A73" s="3" t="n">
        <v>38544</v>
      </c>
      <c r="B73" t="n">
        <v>1133.02</v>
      </c>
      <c r="C73" t="n">
        <v>1056.88</v>
      </c>
      <c r="D73" t="n">
        <v>1065.32</v>
      </c>
      <c r="E73" t="n">
        <v>1124.71</v>
      </c>
      <c r="F73" t="n">
        <v>1796.24</v>
      </c>
    </row>
    <row r="74">
      <c r="A74" s="3" t="n">
        <v>38545</v>
      </c>
      <c r="B74" t="n">
        <v>1133.68</v>
      </c>
      <c r="C74" t="n">
        <v>1056.51</v>
      </c>
      <c r="D74" t="n">
        <v>1071.71</v>
      </c>
      <c r="E74" t="n">
        <v>1127.82</v>
      </c>
      <c r="F74" t="n">
        <v>1805.03</v>
      </c>
    </row>
    <row r="75">
      <c r="A75" s="3" t="n">
        <v>38546</v>
      </c>
      <c r="B75" t="n">
        <v>1143.11</v>
      </c>
      <c r="C75" t="n">
        <v>1054.43</v>
      </c>
      <c r="D75" t="n">
        <v>1081.35</v>
      </c>
      <c r="E75" t="n">
        <v>1121.23</v>
      </c>
      <c r="F75" t="n">
        <v>1811.34</v>
      </c>
    </row>
    <row r="76">
      <c r="A76" s="3" t="n">
        <v>38547</v>
      </c>
      <c r="B76" t="n">
        <v>1152.97</v>
      </c>
      <c r="C76" t="n">
        <v>1047.96</v>
      </c>
      <c r="D76" t="n">
        <v>1077.32</v>
      </c>
      <c r="E76" t="n">
        <v>1116.29</v>
      </c>
      <c r="F76" t="n">
        <v>1804.7</v>
      </c>
    </row>
    <row r="77">
      <c r="A77" s="3" t="n">
        <v>38548</v>
      </c>
      <c r="B77" t="n">
        <v>1166.81</v>
      </c>
      <c r="C77" t="n">
        <v>1057.72</v>
      </c>
      <c r="D77" t="n">
        <v>1090.47</v>
      </c>
      <c r="E77" t="n">
        <v>1125.98</v>
      </c>
      <c r="F77" t="n">
        <v>1823.76</v>
      </c>
    </row>
    <row r="78">
      <c r="A78" s="3" t="n">
        <v>38551</v>
      </c>
      <c r="B78" t="n">
        <v>1193.09</v>
      </c>
      <c r="C78" t="n">
        <v>1072.97</v>
      </c>
      <c r="D78" t="n">
        <v>1116.5</v>
      </c>
      <c r="E78" t="n">
        <v>1137.59</v>
      </c>
      <c r="F78" t="n">
        <v>1844.99</v>
      </c>
    </row>
    <row r="79">
      <c r="A79" s="3" t="n">
        <v>38552</v>
      </c>
      <c r="B79" t="n">
        <v>1197.89</v>
      </c>
      <c r="C79" t="n">
        <v>1077.41</v>
      </c>
      <c r="D79" t="n">
        <v>1126.24</v>
      </c>
      <c r="E79" t="n">
        <v>1138.26</v>
      </c>
      <c r="F79" t="n">
        <v>1847.02</v>
      </c>
    </row>
    <row r="80">
      <c r="A80" s="3" t="n">
        <v>38553</v>
      </c>
      <c r="B80" t="n">
        <v>1198.48</v>
      </c>
      <c r="C80" t="n">
        <v>1079.48</v>
      </c>
      <c r="D80" t="n">
        <v>1134.72</v>
      </c>
      <c r="E80" t="n">
        <v>1139.56</v>
      </c>
      <c r="F80" t="n">
        <v>1845.99</v>
      </c>
    </row>
    <row r="81">
      <c r="A81" s="3" t="n">
        <v>38554</v>
      </c>
      <c r="B81" t="n">
        <v>1205.73</v>
      </c>
      <c r="C81" t="n">
        <v>1075.88</v>
      </c>
      <c r="D81" t="n">
        <v>1126.64</v>
      </c>
      <c r="E81" t="n">
        <v>1134.18</v>
      </c>
      <c r="F81" t="n">
        <v>1838.86</v>
      </c>
    </row>
    <row r="82">
      <c r="A82" s="3" t="n">
        <v>38555</v>
      </c>
      <c r="B82" t="n">
        <v>1224.62</v>
      </c>
      <c r="C82" t="n">
        <v>1087.02</v>
      </c>
      <c r="D82" t="n">
        <v>1143.38</v>
      </c>
      <c r="E82" t="n">
        <v>1146.87</v>
      </c>
      <c r="F82" t="n">
        <v>1864.3</v>
      </c>
    </row>
    <row r="83">
      <c r="A83" s="3" t="n">
        <v>38558</v>
      </c>
      <c r="B83" t="n">
        <v>1232.09</v>
      </c>
      <c r="C83" t="n">
        <v>1092.65</v>
      </c>
      <c r="D83" t="n">
        <v>1140.53</v>
      </c>
      <c r="E83" t="n">
        <v>1154.94</v>
      </c>
      <c r="F83" t="n">
        <v>1874.6</v>
      </c>
    </row>
    <row r="84">
      <c r="A84" s="3" t="n">
        <v>38559</v>
      </c>
      <c r="B84" t="n">
        <v>1226.93</v>
      </c>
      <c r="C84" t="n">
        <v>1091.32</v>
      </c>
      <c r="D84" t="n">
        <v>1136.39</v>
      </c>
      <c r="E84" t="n">
        <v>1156.36</v>
      </c>
      <c r="F84" t="n">
        <v>1883.93</v>
      </c>
    </row>
    <row r="85">
      <c r="A85" s="3" t="n">
        <v>38560</v>
      </c>
      <c r="B85" t="n">
        <v>1229.15</v>
      </c>
      <c r="C85" t="n">
        <v>1092.31</v>
      </c>
      <c r="D85" t="n">
        <v>1135.39</v>
      </c>
      <c r="E85" t="n">
        <v>1161.15</v>
      </c>
      <c r="F85" t="n">
        <v>1889.34</v>
      </c>
    </row>
    <row r="86">
      <c r="A86" s="3" t="n">
        <v>38562</v>
      </c>
      <c r="B86" t="n">
        <v>1224.23</v>
      </c>
      <c r="C86" t="n">
        <v>1078.8</v>
      </c>
      <c r="D86" t="n">
        <v>1123.39</v>
      </c>
      <c r="E86" t="n">
        <v>1153.52</v>
      </c>
      <c r="F86" t="n">
        <v>1877.89</v>
      </c>
    </row>
    <row r="87">
      <c r="A87" s="3" t="n">
        <v>38565</v>
      </c>
      <c r="B87" t="n">
        <v>1228.76</v>
      </c>
      <c r="C87" t="n">
        <v>1089.48</v>
      </c>
      <c r="D87" t="n">
        <v>1129.33</v>
      </c>
      <c r="E87" t="n">
        <v>1165.42</v>
      </c>
      <c r="F87" t="n">
        <v>1891.7</v>
      </c>
    </row>
    <row r="88">
      <c r="A88" s="3" t="n">
        <v>38566</v>
      </c>
      <c r="B88" t="n">
        <v>1265.07</v>
      </c>
      <c r="C88" t="n">
        <v>1107.47</v>
      </c>
      <c r="D88" t="n">
        <v>1157.25</v>
      </c>
      <c r="E88" t="n">
        <v>1178.73</v>
      </c>
      <c r="F88" t="n">
        <v>1949.73</v>
      </c>
    </row>
    <row r="89">
      <c r="A89" s="3" t="n">
        <v>38567</v>
      </c>
      <c r="B89" t="n">
        <v>1267.22</v>
      </c>
      <c r="C89" t="n">
        <v>1112.18</v>
      </c>
      <c r="D89" t="n">
        <v>1154.77</v>
      </c>
      <c r="E89" t="n">
        <v>1183.74</v>
      </c>
      <c r="F89" t="n">
        <v>1948.83</v>
      </c>
    </row>
    <row r="90">
      <c r="A90" s="3" t="n">
        <v>38568</v>
      </c>
      <c r="B90" t="n">
        <v>1286.51</v>
      </c>
      <c r="C90" t="n">
        <v>1120.44</v>
      </c>
      <c r="D90" t="n">
        <v>1156.66</v>
      </c>
      <c r="E90" t="n">
        <v>1190.43</v>
      </c>
      <c r="F90" t="n">
        <v>1963.68</v>
      </c>
    </row>
    <row r="91">
      <c r="A91" s="3" t="n">
        <v>38569</v>
      </c>
      <c r="B91" t="n">
        <v>1309.35</v>
      </c>
      <c r="C91" t="n">
        <v>1117.22</v>
      </c>
      <c r="D91" t="n">
        <v>1164.41</v>
      </c>
      <c r="E91" t="n">
        <v>1182.71</v>
      </c>
      <c r="F91" t="n">
        <v>1986.74</v>
      </c>
    </row>
    <row r="92">
      <c r="A92" s="3" t="n">
        <v>38572</v>
      </c>
      <c r="B92" t="n">
        <v>1292.94</v>
      </c>
      <c r="C92" t="n">
        <v>1100.13</v>
      </c>
      <c r="D92" t="n">
        <v>1144.14</v>
      </c>
      <c r="E92" t="n">
        <v>1164.69</v>
      </c>
      <c r="F92" t="n">
        <v>1951.93</v>
      </c>
    </row>
    <row r="93">
      <c r="A93" s="3" t="n">
        <v>38573</v>
      </c>
      <c r="B93" t="n">
        <v>1296.41</v>
      </c>
      <c r="C93" t="n">
        <v>1096.27</v>
      </c>
      <c r="D93" t="n">
        <v>1133.49</v>
      </c>
      <c r="E93" t="n">
        <v>1161.08</v>
      </c>
      <c r="F93" t="n">
        <v>1946.04</v>
      </c>
    </row>
    <row r="94">
      <c r="A94" s="3" t="n">
        <v>38574</v>
      </c>
      <c r="B94" t="n">
        <v>1328.07</v>
      </c>
      <c r="C94" t="n">
        <v>1118.41</v>
      </c>
      <c r="D94" t="n">
        <v>1157.29</v>
      </c>
      <c r="E94" t="n">
        <v>1181</v>
      </c>
      <c r="F94" t="n">
        <v>1996.61</v>
      </c>
    </row>
    <row r="95">
      <c r="A95" s="3" t="n">
        <v>38575</v>
      </c>
      <c r="B95" t="n">
        <v>1342.26</v>
      </c>
      <c r="C95" t="n">
        <v>1132.4</v>
      </c>
      <c r="D95" t="n">
        <v>1164.31</v>
      </c>
      <c r="E95" t="n">
        <v>1199.72</v>
      </c>
      <c r="F95" t="n">
        <v>2008.55</v>
      </c>
    </row>
    <row r="96">
      <c r="A96" s="3" t="n">
        <v>38576</v>
      </c>
      <c r="B96" t="n">
        <v>1360.36</v>
      </c>
      <c r="C96" t="n">
        <v>1133.42</v>
      </c>
      <c r="D96" t="n">
        <v>1158.35</v>
      </c>
      <c r="E96" t="n">
        <v>1202.42</v>
      </c>
      <c r="F96" t="n">
        <v>2019.78</v>
      </c>
    </row>
    <row r="97">
      <c r="A97" s="3" t="n">
        <v>38580</v>
      </c>
      <c r="B97" t="n">
        <v>1382.57</v>
      </c>
      <c r="C97" t="n">
        <v>1139.7</v>
      </c>
      <c r="D97" t="n">
        <v>1166.58</v>
      </c>
      <c r="E97" t="n">
        <v>1205.72</v>
      </c>
      <c r="F97" t="n">
        <v>2034.09</v>
      </c>
    </row>
    <row r="98">
      <c r="A98" s="3" t="n">
        <v>38581</v>
      </c>
      <c r="B98" t="n">
        <v>1404.32</v>
      </c>
      <c r="C98" t="n">
        <v>1149.68</v>
      </c>
      <c r="D98" t="n">
        <v>1179.37</v>
      </c>
      <c r="E98" t="n">
        <v>1214.79</v>
      </c>
      <c r="F98" t="n">
        <v>2058.43</v>
      </c>
    </row>
    <row r="99">
      <c r="A99" s="3" t="n">
        <v>38582</v>
      </c>
      <c r="B99" t="n">
        <v>1395.06</v>
      </c>
      <c r="C99" t="n">
        <v>1137.03</v>
      </c>
      <c r="D99" t="n">
        <v>1171.63</v>
      </c>
      <c r="E99" t="n">
        <v>1205.67</v>
      </c>
      <c r="F99" t="n">
        <v>2053.99</v>
      </c>
    </row>
    <row r="100">
      <c r="A100" s="3" t="n">
        <v>38583</v>
      </c>
      <c r="B100" t="n">
        <v>1407.29</v>
      </c>
      <c r="C100" t="n">
        <v>1136.18</v>
      </c>
      <c r="D100" t="n">
        <v>1168.88</v>
      </c>
      <c r="E100" t="n">
        <v>1205.46</v>
      </c>
      <c r="F100" t="n">
        <v>2055.26</v>
      </c>
    </row>
    <row r="101">
      <c r="A101" s="3" t="n">
        <v>38586</v>
      </c>
      <c r="B101" t="n">
        <v>1410.14</v>
      </c>
      <c r="C101" t="n">
        <v>1134.51</v>
      </c>
      <c r="D101" t="n">
        <v>1175.38</v>
      </c>
      <c r="E101" t="n">
        <v>1204.38</v>
      </c>
      <c r="F101" t="n">
        <v>2061.97</v>
      </c>
    </row>
    <row r="102">
      <c r="A102" s="3" t="n">
        <v>38587</v>
      </c>
      <c r="B102" t="n">
        <v>1369.59</v>
      </c>
      <c r="C102" t="n">
        <v>1111.6</v>
      </c>
      <c r="D102" t="n">
        <v>1145.79</v>
      </c>
      <c r="E102" t="n">
        <v>1184.3</v>
      </c>
      <c r="F102" t="n">
        <v>2007.18</v>
      </c>
    </row>
    <row r="103">
      <c r="A103" s="3" t="n">
        <v>38588</v>
      </c>
      <c r="B103" t="n">
        <v>1344.26</v>
      </c>
      <c r="C103" t="n">
        <v>1097.26</v>
      </c>
      <c r="D103" t="n">
        <v>1129.83</v>
      </c>
      <c r="E103" t="n">
        <v>1176.24</v>
      </c>
      <c r="F103" t="n">
        <v>1986.77</v>
      </c>
    </row>
    <row r="104">
      <c r="A104" s="3" t="n">
        <v>38589</v>
      </c>
      <c r="B104" t="n">
        <v>1371.72</v>
      </c>
      <c r="C104" t="n">
        <v>1111.37</v>
      </c>
      <c r="D104" t="n">
        <v>1139.27</v>
      </c>
      <c r="E104" t="n">
        <v>1183.98</v>
      </c>
      <c r="F104" t="n">
        <v>2010.3</v>
      </c>
    </row>
    <row r="105">
      <c r="A105" s="3" t="n">
        <v>38590</v>
      </c>
      <c r="B105" t="n">
        <v>1394.7</v>
      </c>
      <c r="C105" t="n">
        <v>1117.34</v>
      </c>
      <c r="D105" t="n">
        <v>1157.3</v>
      </c>
      <c r="E105" t="n">
        <v>1190.41</v>
      </c>
      <c r="F105" t="n">
        <v>2061.38</v>
      </c>
    </row>
    <row r="106">
      <c r="A106" s="3" t="n">
        <v>38593</v>
      </c>
      <c r="B106" t="n">
        <v>1400.06</v>
      </c>
      <c r="C106" t="n">
        <v>1107.46</v>
      </c>
      <c r="D106" t="n">
        <v>1152.63</v>
      </c>
      <c r="E106" t="n">
        <v>1180.75</v>
      </c>
      <c r="F106" t="n">
        <v>2055.35</v>
      </c>
    </row>
    <row r="107">
      <c r="A107" s="3" t="n">
        <v>38594</v>
      </c>
      <c r="B107" t="n">
        <v>1416.86</v>
      </c>
      <c r="C107" t="n">
        <v>1127.01</v>
      </c>
      <c r="D107" t="n">
        <v>1166.37</v>
      </c>
      <c r="E107" t="n">
        <v>1198.36</v>
      </c>
      <c r="F107" t="n">
        <v>2094.07</v>
      </c>
    </row>
    <row r="108">
      <c r="A108" s="3" t="n">
        <v>38595</v>
      </c>
      <c r="B108" t="n">
        <v>1430.37</v>
      </c>
      <c r="C108" t="n">
        <v>1134.2</v>
      </c>
      <c r="D108" t="n">
        <v>1182.54</v>
      </c>
      <c r="E108" t="n">
        <v>1206.59</v>
      </c>
      <c r="F108" t="n">
        <v>2105.66</v>
      </c>
    </row>
    <row r="109">
      <c r="A109" s="3" t="n">
        <v>38596</v>
      </c>
      <c r="B109" t="n">
        <v>1440.64</v>
      </c>
      <c r="C109" t="n">
        <v>1148.13</v>
      </c>
      <c r="D109" t="n">
        <v>1190.06</v>
      </c>
      <c r="E109" t="n">
        <v>1216.23</v>
      </c>
      <c r="F109" t="n">
        <v>2131.43</v>
      </c>
    </row>
    <row r="110">
      <c r="A110" s="3" t="n">
        <v>38597</v>
      </c>
      <c r="B110" t="n">
        <v>1444.64</v>
      </c>
      <c r="C110" t="n">
        <v>1152.93</v>
      </c>
      <c r="D110" t="n">
        <v>1198.36</v>
      </c>
      <c r="E110" t="n">
        <v>1217.81</v>
      </c>
      <c r="F110" t="n">
        <v>2131.37</v>
      </c>
    </row>
    <row r="111">
      <c r="A111" s="3" t="n">
        <v>38600</v>
      </c>
      <c r="B111" t="n">
        <v>1461.96</v>
      </c>
      <c r="C111" t="n">
        <v>1156.18</v>
      </c>
      <c r="D111" t="n">
        <v>1198.93</v>
      </c>
      <c r="E111" t="n">
        <v>1226.04</v>
      </c>
      <c r="F111" t="n">
        <v>2132.81</v>
      </c>
    </row>
    <row r="112">
      <c r="A112" s="3" t="n">
        <v>38601</v>
      </c>
      <c r="B112" t="n">
        <v>1464.76</v>
      </c>
      <c r="C112" t="n">
        <v>1160.42</v>
      </c>
      <c r="D112" t="n">
        <v>1207.84</v>
      </c>
      <c r="E112" t="n">
        <v>1230.22</v>
      </c>
      <c r="F112" t="n">
        <v>2128.16</v>
      </c>
    </row>
    <row r="113">
      <c r="A113" s="3" t="n">
        <v>38603</v>
      </c>
      <c r="B113" t="n">
        <v>1480.08</v>
      </c>
      <c r="C113" t="n">
        <v>1169.22</v>
      </c>
      <c r="D113" t="n">
        <v>1221.77</v>
      </c>
      <c r="E113" t="n">
        <v>1241.75</v>
      </c>
      <c r="F113" t="n">
        <v>2146.22</v>
      </c>
    </row>
    <row r="114">
      <c r="A114" s="3" t="n">
        <v>38604</v>
      </c>
      <c r="B114" t="n">
        <v>1474.37</v>
      </c>
      <c r="C114" t="n">
        <v>1165.67</v>
      </c>
      <c r="D114" t="n">
        <v>1220.63</v>
      </c>
      <c r="E114" t="n">
        <v>1237.1</v>
      </c>
      <c r="F114" t="n">
        <v>2142.06</v>
      </c>
    </row>
    <row r="115">
      <c r="A115" s="3" t="n">
        <v>38607</v>
      </c>
      <c r="B115" t="n">
        <v>1487.56</v>
      </c>
      <c r="C115" t="n">
        <v>1174.3</v>
      </c>
      <c r="D115" t="n">
        <v>1241.16</v>
      </c>
      <c r="E115" t="n">
        <v>1248.97</v>
      </c>
      <c r="F115" t="n">
        <v>2157.83</v>
      </c>
    </row>
    <row r="116">
      <c r="A116" s="3" t="n">
        <v>38608</v>
      </c>
      <c r="B116" t="n">
        <v>1499.52</v>
      </c>
      <c r="C116" t="n">
        <v>1181.94</v>
      </c>
      <c r="D116" t="n">
        <v>1253</v>
      </c>
      <c r="E116" t="n">
        <v>1254.65</v>
      </c>
      <c r="F116" t="n">
        <v>2169.08</v>
      </c>
    </row>
    <row r="117">
      <c r="A117" s="3" t="n">
        <v>38609</v>
      </c>
      <c r="B117" t="n">
        <v>1488.66</v>
      </c>
      <c r="C117" t="n">
        <v>1180.46</v>
      </c>
      <c r="D117" t="n">
        <v>1238.75</v>
      </c>
      <c r="E117" t="n">
        <v>1252.98</v>
      </c>
      <c r="F117" t="n">
        <v>2155.86</v>
      </c>
    </row>
    <row r="118">
      <c r="A118" s="3" t="n">
        <v>38610</v>
      </c>
      <c r="B118" t="n">
        <v>1520.34</v>
      </c>
      <c r="C118" t="n">
        <v>1193.1</v>
      </c>
      <c r="D118" t="n">
        <v>1258.2</v>
      </c>
      <c r="E118" t="n">
        <v>1267.55</v>
      </c>
      <c r="F118" t="n">
        <v>2193.3</v>
      </c>
    </row>
    <row r="119">
      <c r="A119" s="3" t="n">
        <v>38611</v>
      </c>
      <c r="B119" t="n">
        <v>1535.38</v>
      </c>
      <c r="C119" t="n">
        <v>1198.22</v>
      </c>
      <c r="D119" t="n">
        <v>1274.02</v>
      </c>
      <c r="E119" t="n">
        <v>1274.52</v>
      </c>
      <c r="F119" t="n">
        <v>2220.33</v>
      </c>
    </row>
    <row r="120">
      <c r="A120" s="3" t="n">
        <v>38614</v>
      </c>
      <c r="B120" t="n">
        <v>1562.37</v>
      </c>
      <c r="C120" t="n">
        <v>1211.69</v>
      </c>
      <c r="D120" t="n">
        <v>1288.3</v>
      </c>
      <c r="E120" t="n">
        <v>1280.86</v>
      </c>
      <c r="F120" t="n">
        <v>2258.43</v>
      </c>
    </row>
    <row r="121">
      <c r="A121" s="3" t="n">
        <v>38615</v>
      </c>
      <c r="B121" t="n">
        <v>1541.04</v>
      </c>
      <c r="C121" t="n">
        <v>1210.23</v>
      </c>
      <c r="D121" t="n">
        <v>1271.63</v>
      </c>
      <c r="E121" t="n">
        <v>1284.61</v>
      </c>
      <c r="F121" t="n">
        <v>2245.17</v>
      </c>
    </row>
    <row r="122">
      <c r="A122" s="3" t="n">
        <v>38616</v>
      </c>
      <c r="B122" t="n">
        <v>1498.26</v>
      </c>
      <c r="C122" t="n">
        <v>1193.71</v>
      </c>
      <c r="D122" t="n">
        <v>1240.35</v>
      </c>
      <c r="E122" t="n">
        <v>1277.2</v>
      </c>
      <c r="F122" t="n">
        <v>2177.8</v>
      </c>
    </row>
    <row r="123">
      <c r="A123" s="3" t="n">
        <v>38617</v>
      </c>
      <c r="B123" t="n">
        <v>1418.44</v>
      </c>
      <c r="C123" t="n">
        <v>1149.04</v>
      </c>
      <c r="D123" t="n">
        <v>1168.59</v>
      </c>
      <c r="E123" t="n">
        <v>1236.87</v>
      </c>
      <c r="F123" t="n">
        <v>2053.22</v>
      </c>
    </row>
    <row r="124">
      <c r="A124" s="3" t="n">
        <v>38618</v>
      </c>
      <c r="B124" t="n">
        <v>1434.26</v>
      </c>
      <c r="C124" t="n">
        <v>1148.47</v>
      </c>
      <c r="D124" t="n">
        <v>1184.39</v>
      </c>
      <c r="E124" t="n">
        <v>1237.86</v>
      </c>
      <c r="F124" t="n">
        <v>2084.8</v>
      </c>
    </row>
    <row r="125">
      <c r="A125" s="3" t="n">
        <v>38621</v>
      </c>
      <c r="B125" t="n">
        <v>1497.29</v>
      </c>
      <c r="C125" t="n">
        <v>1187.93</v>
      </c>
      <c r="D125" t="n">
        <v>1222.44</v>
      </c>
      <c r="E125" t="n">
        <v>1274.87</v>
      </c>
      <c r="F125" t="n">
        <v>2162.21</v>
      </c>
    </row>
    <row r="126">
      <c r="A126" s="3" t="n">
        <v>38622</v>
      </c>
      <c r="B126" t="n">
        <v>1530.3</v>
      </c>
      <c r="C126" t="n">
        <v>1196.53</v>
      </c>
      <c r="D126" t="n">
        <v>1232.47</v>
      </c>
      <c r="E126" t="n">
        <v>1282.5</v>
      </c>
      <c r="F126" t="n">
        <v>2189.88</v>
      </c>
    </row>
    <row r="127">
      <c r="A127" s="3" t="n">
        <v>38623</v>
      </c>
      <c r="B127" t="n">
        <v>1551.04</v>
      </c>
      <c r="C127" t="n">
        <v>1204.24</v>
      </c>
      <c r="D127" t="n">
        <v>1243.09</v>
      </c>
      <c r="E127" t="n">
        <v>1291.23</v>
      </c>
      <c r="F127" t="n">
        <v>2226.88</v>
      </c>
    </row>
    <row r="128">
      <c r="A128" s="3" t="n">
        <v>38624</v>
      </c>
      <c r="B128" t="n">
        <v>1554.21</v>
      </c>
      <c r="C128" t="n">
        <v>1205.3</v>
      </c>
      <c r="D128" t="n">
        <v>1230.08</v>
      </c>
      <c r="E128" t="n">
        <v>1296.28</v>
      </c>
      <c r="F128" t="n">
        <v>2241.45</v>
      </c>
    </row>
    <row r="129">
      <c r="A129" s="3" t="n">
        <v>38625</v>
      </c>
      <c r="B129" t="n">
        <v>1534.38</v>
      </c>
      <c r="C129" t="n">
        <v>1208.1</v>
      </c>
      <c r="D129" t="n">
        <v>1226.94</v>
      </c>
      <c r="E129" t="n">
        <v>1297.95</v>
      </c>
      <c r="F129" t="n">
        <v>2221.46</v>
      </c>
    </row>
    <row r="130">
      <c r="A130" s="3" t="n">
        <v>38628</v>
      </c>
      <c r="B130" t="n">
        <v>1545.04</v>
      </c>
      <c r="C130" t="n">
        <v>1226.87</v>
      </c>
      <c r="D130" t="n">
        <v>1242.57</v>
      </c>
      <c r="E130" t="n">
        <v>1313.86</v>
      </c>
      <c r="F130" t="n">
        <v>2228.28</v>
      </c>
    </row>
    <row r="131">
      <c r="A131" s="3" t="n">
        <v>38629</v>
      </c>
      <c r="B131" t="n">
        <v>1558.36</v>
      </c>
      <c r="C131" t="n">
        <v>1248.51</v>
      </c>
      <c r="D131" t="n">
        <v>1266.94</v>
      </c>
      <c r="E131" t="n">
        <v>1328.57</v>
      </c>
      <c r="F131" t="n">
        <v>2238.85</v>
      </c>
    </row>
    <row r="132">
      <c r="A132" s="3" t="n">
        <v>38630</v>
      </c>
      <c r="B132" t="n">
        <v>1545.52</v>
      </c>
      <c r="C132" t="n">
        <v>1241.08</v>
      </c>
      <c r="D132" t="n">
        <v>1261.19</v>
      </c>
      <c r="E132" t="n">
        <v>1321.25</v>
      </c>
      <c r="F132" t="n">
        <v>2238.98</v>
      </c>
    </row>
    <row r="133">
      <c r="A133" s="3" t="n">
        <v>38631</v>
      </c>
      <c r="B133" t="n">
        <v>1521.12</v>
      </c>
      <c r="C133" t="n">
        <v>1211.85</v>
      </c>
      <c r="D133" t="n">
        <v>1246.77</v>
      </c>
      <c r="E133" t="n">
        <v>1293.62</v>
      </c>
      <c r="F133" t="n">
        <v>2197.47</v>
      </c>
    </row>
    <row r="134">
      <c r="A134" s="3" t="n">
        <v>38632</v>
      </c>
      <c r="B134" t="n">
        <v>1511.73</v>
      </c>
      <c r="C134" t="n">
        <v>1203.79</v>
      </c>
      <c r="D134" t="n">
        <v>1235.84</v>
      </c>
      <c r="E134" t="n">
        <v>1287.78</v>
      </c>
      <c r="F134" t="n">
        <v>2189.93</v>
      </c>
    </row>
    <row r="135">
      <c r="A135" s="3" t="n">
        <v>38635</v>
      </c>
      <c r="B135" t="n">
        <v>1509.54</v>
      </c>
      <c r="C135" t="n">
        <v>1197.99</v>
      </c>
      <c r="D135" t="n">
        <v>1218.81</v>
      </c>
      <c r="E135" t="n">
        <v>1283.43</v>
      </c>
      <c r="F135" t="n">
        <v>2182.45</v>
      </c>
    </row>
    <row r="136">
      <c r="A136" s="3" t="n">
        <v>38636</v>
      </c>
      <c r="B136" t="n">
        <v>1489.73</v>
      </c>
      <c r="C136" t="n">
        <v>1202.96</v>
      </c>
      <c r="D136" t="n">
        <v>1223.53</v>
      </c>
      <c r="E136" t="n">
        <v>1285.66</v>
      </c>
      <c r="F136" t="n">
        <v>2171.22</v>
      </c>
    </row>
    <row r="137">
      <c r="A137" s="3" t="n">
        <v>38638</v>
      </c>
      <c r="B137" t="n">
        <v>1479.99</v>
      </c>
      <c r="C137" t="n">
        <v>1174.44</v>
      </c>
      <c r="D137" t="n">
        <v>1202.41</v>
      </c>
      <c r="E137" t="n">
        <v>1264.93</v>
      </c>
      <c r="F137" t="n">
        <v>2150.73</v>
      </c>
    </row>
    <row r="138">
      <c r="A138" s="3" t="n">
        <v>38639</v>
      </c>
      <c r="B138" t="n">
        <v>1434.16</v>
      </c>
      <c r="C138" t="n">
        <v>1159.38</v>
      </c>
      <c r="D138" t="n">
        <v>1177.41</v>
      </c>
      <c r="E138" t="n">
        <v>1240.57</v>
      </c>
      <c r="F138" t="n">
        <v>2099.23</v>
      </c>
    </row>
    <row r="139">
      <c r="A139" s="3" t="n">
        <v>38642</v>
      </c>
      <c r="B139" t="n">
        <v>1420.81</v>
      </c>
      <c r="C139" t="n">
        <v>1160.63</v>
      </c>
      <c r="D139" t="n">
        <v>1169.27</v>
      </c>
      <c r="E139" t="n">
        <v>1238.87</v>
      </c>
      <c r="F139" t="n">
        <v>2076.86</v>
      </c>
    </row>
    <row r="140">
      <c r="A140" s="3" t="n">
        <v>38643</v>
      </c>
      <c r="B140" t="n">
        <v>1414.02</v>
      </c>
      <c r="C140" t="n">
        <v>1155.51</v>
      </c>
      <c r="D140" t="n">
        <v>1164.4</v>
      </c>
      <c r="E140" t="n">
        <v>1232.27</v>
      </c>
      <c r="F140" t="n">
        <v>2063.24</v>
      </c>
    </row>
    <row r="141">
      <c r="A141" s="3" t="n">
        <v>38644</v>
      </c>
      <c r="B141" t="n">
        <v>1357.46</v>
      </c>
      <c r="C141" t="n">
        <v>1128.52</v>
      </c>
      <c r="D141" t="n">
        <v>1128.48</v>
      </c>
      <c r="E141" t="n">
        <v>1208.66</v>
      </c>
      <c r="F141" t="n">
        <v>1988.27</v>
      </c>
    </row>
    <row r="142">
      <c r="A142" s="3" t="n">
        <v>38645</v>
      </c>
      <c r="B142" t="n">
        <v>1326.3</v>
      </c>
      <c r="C142" t="n">
        <v>1120.58</v>
      </c>
      <c r="D142" t="n">
        <v>1109.6</v>
      </c>
      <c r="E142" t="n">
        <v>1200.93</v>
      </c>
      <c r="F142" t="n">
        <v>1942.28</v>
      </c>
    </row>
    <row r="143">
      <c r="A143" s="3" t="n">
        <v>38646</v>
      </c>
      <c r="B143" t="n">
        <v>1354.95</v>
      </c>
      <c r="C143" t="n">
        <v>1137.63</v>
      </c>
      <c r="D143" t="n">
        <v>1122.53</v>
      </c>
      <c r="E143" t="n">
        <v>1221.26</v>
      </c>
      <c r="F143" t="n">
        <v>1983.31</v>
      </c>
    </row>
    <row r="144">
      <c r="A144" s="3" t="n">
        <v>38649</v>
      </c>
      <c r="B144" t="n">
        <v>1357.66</v>
      </c>
      <c r="C144" t="n">
        <v>1122.93</v>
      </c>
      <c r="D144" t="n">
        <v>1125.53</v>
      </c>
      <c r="E144" t="n">
        <v>1201.43</v>
      </c>
      <c r="F144" t="n">
        <v>1980.31</v>
      </c>
    </row>
    <row r="145">
      <c r="A145" s="3" t="n">
        <v>38650</v>
      </c>
      <c r="B145" t="n">
        <v>1352.07</v>
      </c>
      <c r="C145" t="n">
        <v>1129.55</v>
      </c>
      <c r="D145" t="n">
        <v>1134.46</v>
      </c>
      <c r="E145" t="n">
        <v>1208.83</v>
      </c>
      <c r="F145" t="n">
        <v>1976.83</v>
      </c>
    </row>
    <row r="146">
      <c r="A146" s="3" t="n">
        <v>38651</v>
      </c>
      <c r="B146" t="n">
        <v>1349.24</v>
      </c>
      <c r="C146" t="n">
        <v>1123.21</v>
      </c>
      <c r="D146" t="n">
        <v>1129.25</v>
      </c>
      <c r="E146" t="n">
        <v>1205.52</v>
      </c>
      <c r="F146" t="n">
        <v>1962.5</v>
      </c>
    </row>
    <row r="147">
      <c r="A147" s="3" t="n">
        <v>38652</v>
      </c>
      <c r="B147" t="n">
        <v>1319.62</v>
      </c>
      <c r="C147" t="n">
        <v>1103.41</v>
      </c>
      <c r="D147" t="n">
        <v>1102.17</v>
      </c>
      <c r="E147" t="n">
        <v>1183.6</v>
      </c>
      <c r="F147" t="n">
        <v>1907.75</v>
      </c>
    </row>
    <row r="148">
      <c r="A148" s="3" t="n">
        <v>38653</v>
      </c>
      <c r="B148" t="n">
        <v>1298.13</v>
      </c>
      <c r="C148" t="n">
        <v>1070.33</v>
      </c>
      <c r="D148" t="n">
        <v>1083.1</v>
      </c>
      <c r="E148" t="n">
        <v>1166.49</v>
      </c>
      <c r="F148" t="n">
        <v>1882.52</v>
      </c>
    </row>
    <row r="149">
      <c r="A149" s="3" t="n">
        <v>38656</v>
      </c>
      <c r="B149" t="n">
        <v>1341.92</v>
      </c>
      <c r="C149" t="n">
        <v>1098.87</v>
      </c>
      <c r="D149" t="n">
        <v>1094.7</v>
      </c>
      <c r="E149" t="n">
        <v>1189.41</v>
      </c>
      <c r="F149" t="n">
        <v>1952.19</v>
      </c>
    </row>
    <row r="150">
      <c r="A150" s="3" t="n">
        <v>38657</v>
      </c>
      <c r="B150" t="n">
        <v>1365.91</v>
      </c>
      <c r="C150" t="n">
        <v>1110.17</v>
      </c>
      <c r="D150" t="n">
        <v>1110.29</v>
      </c>
      <c r="E150" t="n">
        <v>1197.42</v>
      </c>
      <c r="F150" t="n">
        <v>1979.65</v>
      </c>
    </row>
    <row r="151">
      <c r="A151" s="3" t="n">
        <v>38658</v>
      </c>
      <c r="B151" t="n">
        <v>1379.68</v>
      </c>
      <c r="C151" t="n">
        <v>1122.15</v>
      </c>
      <c r="D151" t="n">
        <v>1121.72</v>
      </c>
      <c r="E151" t="n">
        <v>1212.31</v>
      </c>
      <c r="F151" t="n">
        <v>1996.9</v>
      </c>
    </row>
    <row r="152">
      <c r="A152" s="3" t="n">
        <v>38663</v>
      </c>
      <c r="B152" t="n">
        <v>1410.18</v>
      </c>
      <c r="C152" t="n">
        <v>1143.08</v>
      </c>
      <c r="D152" t="n">
        <v>1136.4</v>
      </c>
      <c r="E152" t="n">
        <v>1234.35</v>
      </c>
      <c r="F152" t="n">
        <v>2035.84</v>
      </c>
    </row>
    <row r="153">
      <c r="A153" s="3" t="n">
        <v>38664</v>
      </c>
      <c r="B153" t="n">
        <v>1437.92</v>
      </c>
      <c r="C153" t="n">
        <v>1158.96</v>
      </c>
      <c r="D153" t="n">
        <v>1153.29</v>
      </c>
      <c r="E153" t="n">
        <v>1252.01</v>
      </c>
      <c r="F153" t="n">
        <v>2073.33</v>
      </c>
    </row>
    <row r="154">
      <c r="A154" s="3" t="n">
        <v>38665</v>
      </c>
      <c r="B154" t="n">
        <v>1445.34</v>
      </c>
      <c r="C154" t="n">
        <v>1152.95</v>
      </c>
      <c r="D154" t="n">
        <v>1148.98</v>
      </c>
      <c r="E154" t="n">
        <v>1249.62</v>
      </c>
      <c r="F154" t="n">
        <v>2074.68</v>
      </c>
    </row>
    <row r="155">
      <c r="A155" s="3" t="n">
        <v>38666</v>
      </c>
      <c r="B155" t="n">
        <v>1444.43</v>
      </c>
      <c r="C155" t="n">
        <v>1156.69</v>
      </c>
      <c r="D155" t="n">
        <v>1156.99</v>
      </c>
      <c r="E155" t="n">
        <v>1257.8</v>
      </c>
      <c r="F155" t="n">
        <v>2079.24</v>
      </c>
    </row>
    <row r="156">
      <c r="A156" s="3" t="n">
        <v>38667</v>
      </c>
      <c r="B156" t="n">
        <v>1477.63</v>
      </c>
      <c r="C156" t="n">
        <v>1180.91</v>
      </c>
      <c r="D156" t="n">
        <v>1181.82</v>
      </c>
      <c r="E156" t="n">
        <v>1280.96</v>
      </c>
      <c r="F156" t="n">
        <v>2109.99</v>
      </c>
    </row>
    <row r="157">
      <c r="A157" s="3" t="n">
        <v>38670</v>
      </c>
      <c r="B157" t="n">
        <v>1481.3</v>
      </c>
      <c r="C157" t="n">
        <v>1180.71</v>
      </c>
      <c r="D157" t="n">
        <v>1190.19</v>
      </c>
      <c r="E157" t="n">
        <v>1282.51</v>
      </c>
      <c r="F157" t="n">
        <v>2118.09</v>
      </c>
    </row>
    <row r="158">
      <c r="A158" s="3" t="n">
        <v>38672</v>
      </c>
      <c r="B158" t="n">
        <v>1494.59</v>
      </c>
      <c r="C158" t="n">
        <v>1191.68</v>
      </c>
      <c r="D158" t="n">
        <v>1198.06</v>
      </c>
      <c r="E158" t="n">
        <v>1294.81</v>
      </c>
      <c r="F158" t="n">
        <v>2125.52</v>
      </c>
    </row>
    <row r="159">
      <c r="A159" s="3" t="n">
        <v>38673</v>
      </c>
      <c r="B159" t="n">
        <v>1497.22</v>
      </c>
      <c r="C159" t="n">
        <v>1199.98</v>
      </c>
      <c r="D159" t="n">
        <v>1202.07</v>
      </c>
      <c r="E159" t="n">
        <v>1302.16</v>
      </c>
      <c r="F159" t="n">
        <v>2128.85</v>
      </c>
    </row>
    <row r="160">
      <c r="A160" s="3" t="n">
        <v>38674</v>
      </c>
      <c r="B160" t="n">
        <v>1494.6</v>
      </c>
      <c r="C160" t="n">
        <v>1205.91</v>
      </c>
      <c r="D160" t="n">
        <v>1198.38</v>
      </c>
      <c r="E160" t="n">
        <v>1312.59</v>
      </c>
      <c r="F160" t="n">
        <v>2143.43</v>
      </c>
    </row>
    <row r="161">
      <c r="A161" s="3" t="n">
        <v>38677</v>
      </c>
      <c r="B161" t="n">
        <v>1477.35</v>
      </c>
      <c r="C161" t="n">
        <v>1200.55</v>
      </c>
      <c r="D161" t="n">
        <v>1183.76</v>
      </c>
      <c r="E161" t="n">
        <v>1307.61</v>
      </c>
      <c r="F161" t="n">
        <v>2124.47</v>
      </c>
    </row>
    <row r="162">
      <c r="A162" s="3" t="n">
        <v>38678</v>
      </c>
      <c r="B162" t="n">
        <v>1471.16</v>
      </c>
      <c r="C162" t="n">
        <v>1190.46</v>
      </c>
      <c r="D162" t="n">
        <v>1171.65</v>
      </c>
      <c r="E162" t="n">
        <v>1298.42</v>
      </c>
      <c r="F162" t="n">
        <v>2108.07</v>
      </c>
    </row>
    <row r="163">
      <c r="A163" s="3" t="n">
        <v>38679</v>
      </c>
      <c r="B163" t="n">
        <v>1486.5</v>
      </c>
      <c r="C163" t="n">
        <v>1202.39</v>
      </c>
      <c r="D163" t="n">
        <v>1170.16</v>
      </c>
      <c r="E163" t="n">
        <v>1313.75</v>
      </c>
      <c r="F163" t="n">
        <v>2125.4</v>
      </c>
    </row>
    <row r="164">
      <c r="A164" s="3" t="n">
        <v>38680</v>
      </c>
      <c r="B164" t="n">
        <v>1500.69</v>
      </c>
      <c r="C164" t="n">
        <v>1211.07</v>
      </c>
      <c r="D164" t="n">
        <v>1175.37</v>
      </c>
      <c r="E164" t="n">
        <v>1326.48</v>
      </c>
      <c r="F164" t="n">
        <v>2136.83</v>
      </c>
    </row>
    <row r="165">
      <c r="A165" s="3" t="n">
        <v>38681</v>
      </c>
      <c r="B165" t="n">
        <v>1515.19</v>
      </c>
      <c r="C165" t="n">
        <v>1234.04</v>
      </c>
      <c r="D165" t="n">
        <v>1188.03</v>
      </c>
      <c r="E165" t="n">
        <v>1347.24</v>
      </c>
      <c r="F165" t="n">
        <v>2157.5</v>
      </c>
    </row>
    <row r="166">
      <c r="A166" s="3" t="n">
        <v>38682</v>
      </c>
      <c r="B166" t="n">
        <v>1534.68</v>
      </c>
      <c r="C166" t="n">
        <v>1244.81</v>
      </c>
      <c r="D166" t="n">
        <v>1195.11</v>
      </c>
      <c r="E166" t="n">
        <v>1360.43</v>
      </c>
      <c r="F166" t="n">
        <v>2193.8</v>
      </c>
    </row>
    <row r="167">
      <c r="A167" s="3" t="n">
        <v>38684</v>
      </c>
      <c r="B167" t="n">
        <v>1549.57</v>
      </c>
      <c r="C167" t="n">
        <v>1260.9</v>
      </c>
      <c r="D167" t="n">
        <v>1202.26</v>
      </c>
      <c r="E167" t="n">
        <v>1377.22</v>
      </c>
      <c r="F167" t="n">
        <v>2222.43</v>
      </c>
    </row>
    <row r="168">
      <c r="A168" s="3" t="n">
        <v>38685</v>
      </c>
      <c r="B168" t="n">
        <v>1545.07</v>
      </c>
      <c r="C168" t="n">
        <v>1255.7</v>
      </c>
      <c r="D168" t="n">
        <v>1195.37</v>
      </c>
      <c r="E168" t="n">
        <v>1371.15</v>
      </c>
      <c r="F168" t="n">
        <v>2206.2</v>
      </c>
    </row>
    <row r="169">
      <c r="A169" s="3" t="n">
        <v>38686</v>
      </c>
      <c r="B169" t="n">
        <v>1541.25</v>
      </c>
      <c r="C169" t="n">
        <v>1237.26</v>
      </c>
      <c r="D169" t="n">
        <v>1187.43</v>
      </c>
      <c r="E169" t="n">
        <v>1350.31</v>
      </c>
      <c r="F169" t="n">
        <v>2191.93</v>
      </c>
    </row>
    <row r="170">
      <c r="A170" s="3" t="n">
        <v>38687</v>
      </c>
      <c r="B170" t="n">
        <v>1562</v>
      </c>
      <c r="C170" t="n">
        <v>1259.62</v>
      </c>
      <c r="D170" t="n">
        <v>1201.42</v>
      </c>
      <c r="E170" t="n">
        <v>1376.2</v>
      </c>
      <c r="F170" t="n">
        <v>2228.47</v>
      </c>
    </row>
    <row r="171">
      <c r="A171" s="3" t="n">
        <v>38688</v>
      </c>
      <c r="B171" t="n">
        <v>1583.85</v>
      </c>
      <c r="C171" t="n">
        <v>1265.43</v>
      </c>
      <c r="D171" t="n">
        <v>1201.32</v>
      </c>
      <c r="E171" t="n">
        <v>1379.93</v>
      </c>
      <c r="F171" t="n">
        <v>2248.27</v>
      </c>
    </row>
    <row r="172">
      <c r="A172" s="3" t="n">
        <v>38691</v>
      </c>
      <c r="B172" t="n">
        <v>1581.95</v>
      </c>
      <c r="C172" t="n">
        <v>1255.28</v>
      </c>
      <c r="D172" t="n">
        <v>1192.61</v>
      </c>
      <c r="E172" t="n">
        <v>1364.77</v>
      </c>
      <c r="F172" t="n">
        <v>2239</v>
      </c>
    </row>
    <row r="173">
      <c r="A173" s="3" t="n">
        <v>38692</v>
      </c>
      <c r="B173" t="n">
        <v>1584.85</v>
      </c>
      <c r="C173" t="n">
        <v>1253.88</v>
      </c>
      <c r="D173" t="n">
        <v>1183.5</v>
      </c>
      <c r="E173" t="n">
        <v>1362.75</v>
      </c>
      <c r="F173" t="n">
        <v>2235.85</v>
      </c>
    </row>
    <row r="174">
      <c r="A174" s="3" t="n">
        <v>38693</v>
      </c>
      <c r="B174" t="n">
        <v>1598.36</v>
      </c>
      <c r="C174" t="n">
        <v>1265.33</v>
      </c>
      <c r="D174" t="n">
        <v>1186.46</v>
      </c>
      <c r="E174" t="n">
        <v>1374.31</v>
      </c>
      <c r="F174" t="n">
        <v>2244.11</v>
      </c>
    </row>
    <row r="175">
      <c r="A175" s="3" t="n">
        <v>38694</v>
      </c>
      <c r="B175" t="n">
        <v>1619.34</v>
      </c>
      <c r="C175" t="n">
        <v>1270.08</v>
      </c>
      <c r="D175" t="n">
        <v>1190.43</v>
      </c>
      <c r="E175" t="n">
        <v>1379.54</v>
      </c>
      <c r="F175" t="n">
        <v>2275.11</v>
      </c>
    </row>
    <row r="176">
      <c r="A176" s="3" t="n">
        <v>38695</v>
      </c>
      <c r="B176" t="n">
        <v>1643.08</v>
      </c>
      <c r="C176" t="n">
        <v>1288.46</v>
      </c>
      <c r="D176" t="n">
        <v>1198.33</v>
      </c>
      <c r="E176" t="n">
        <v>1401.64</v>
      </c>
      <c r="F176" t="n">
        <v>2305.85</v>
      </c>
    </row>
    <row r="177">
      <c r="A177" s="3" t="n">
        <v>38698</v>
      </c>
      <c r="B177" t="n">
        <v>1648.93</v>
      </c>
      <c r="C177" t="n">
        <v>1300.64</v>
      </c>
      <c r="D177" t="n">
        <v>1206.92</v>
      </c>
      <c r="E177" t="n">
        <v>1406.94</v>
      </c>
      <c r="F177" t="n">
        <v>2312.86</v>
      </c>
    </row>
    <row r="178">
      <c r="A178" s="3" t="n">
        <v>38699</v>
      </c>
      <c r="B178" t="n">
        <v>1649.83</v>
      </c>
      <c r="C178" t="n">
        <v>1315.96</v>
      </c>
      <c r="D178" t="n">
        <v>1213.38</v>
      </c>
      <c r="E178" t="n">
        <v>1423.84</v>
      </c>
      <c r="F178" t="n">
        <v>2337.01</v>
      </c>
    </row>
    <row r="179">
      <c r="A179" s="3" t="n">
        <v>38700</v>
      </c>
      <c r="B179" t="n">
        <v>1646.78</v>
      </c>
      <c r="C179" t="n">
        <v>1312.21</v>
      </c>
      <c r="D179" t="n">
        <v>1222.81</v>
      </c>
      <c r="E179" t="n">
        <v>1421.42</v>
      </c>
      <c r="F179" t="n">
        <v>2323.62</v>
      </c>
    </row>
    <row r="180">
      <c r="A180" s="3" t="n">
        <v>38701</v>
      </c>
      <c r="B180" t="n">
        <v>1623.57</v>
      </c>
      <c r="C180" t="n">
        <v>1298.98</v>
      </c>
      <c r="D180" t="n">
        <v>1203.35</v>
      </c>
      <c r="E180" t="n">
        <v>1408.13</v>
      </c>
      <c r="F180" t="n">
        <v>2297.09</v>
      </c>
    </row>
    <row r="181">
      <c r="A181" s="3" t="n">
        <v>38702</v>
      </c>
      <c r="B181" t="n">
        <v>1631.86</v>
      </c>
      <c r="C181" t="n">
        <v>1311.65</v>
      </c>
      <c r="D181" t="n">
        <v>1218.04</v>
      </c>
      <c r="E181" t="n">
        <v>1421.89</v>
      </c>
      <c r="F181" t="n">
        <v>2315.68</v>
      </c>
    </row>
    <row r="182">
      <c r="A182" s="3" t="n">
        <v>38705</v>
      </c>
      <c r="B182" t="n">
        <v>1649.6</v>
      </c>
      <c r="C182" t="n">
        <v>1329.47</v>
      </c>
      <c r="D182" t="n">
        <v>1230.48</v>
      </c>
      <c r="E182" t="n">
        <v>1440.39</v>
      </c>
      <c r="F182" t="n">
        <v>2345.13</v>
      </c>
    </row>
    <row r="183">
      <c r="A183" s="3" t="n">
        <v>38706</v>
      </c>
      <c r="B183" t="n">
        <v>1637.78</v>
      </c>
      <c r="C183" t="n">
        <v>1322.66</v>
      </c>
      <c r="D183" t="n">
        <v>1226.9</v>
      </c>
      <c r="E183" t="n">
        <v>1434.91</v>
      </c>
      <c r="F183" t="n">
        <v>2326.19</v>
      </c>
    </row>
    <row r="184">
      <c r="A184" s="3" t="n">
        <v>38707</v>
      </c>
      <c r="B184" t="n">
        <v>1641.84</v>
      </c>
      <c r="C184" t="n">
        <v>1324.94</v>
      </c>
      <c r="D184" t="n">
        <v>1222.89</v>
      </c>
      <c r="E184" t="n">
        <v>1433.88</v>
      </c>
      <c r="F184" t="n">
        <v>2328.79</v>
      </c>
    </row>
    <row r="185">
      <c r="A185" s="3" t="n">
        <v>38708</v>
      </c>
      <c r="B185" t="n">
        <v>1645.84</v>
      </c>
      <c r="C185" t="n">
        <v>1329.19</v>
      </c>
      <c r="D185" t="n">
        <v>1220.05</v>
      </c>
      <c r="E185" t="n">
        <v>1438.27</v>
      </c>
      <c r="F185" t="n">
        <v>2332.34</v>
      </c>
    </row>
    <row r="186">
      <c r="A186" s="3" t="n">
        <v>38709</v>
      </c>
      <c r="B186" t="n">
        <v>1637.7</v>
      </c>
      <c r="C186" t="n">
        <v>1319.84</v>
      </c>
      <c r="D186" t="n">
        <v>1213.63</v>
      </c>
      <c r="E186" t="n">
        <v>1421.83</v>
      </c>
      <c r="F186" t="n">
        <v>2310.92</v>
      </c>
    </row>
    <row r="187">
      <c r="A187" s="3" t="n">
        <v>38712</v>
      </c>
      <c r="B187" t="n">
        <v>1604.47</v>
      </c>
      <c r="C187" t="n">
        <v>1293.56</v>
      </c>
      <c r="D187" t="n">
        <v>1183.74</v>
      </c>
      <c r="E187" t="n">
        <v>1397.08</v>
      </c>
      <c r="F187" t="n">
        <v>2257.64</v>
      </c>
    </row>
    <row r="188">
      <c r="A188" s="3" t="n">
        <v>38713</v>
      </c>
      <c r="B188" t="n">
        <v>1634.67</v>
      </c>
      <c r="C188" t="n">
        <v>1317.12</v>
      </c>
      <c r="D188" t="n">
        <v>1203.63</v>
      </c>
      <c r="E188" t="n">
        <v>1425.05</v>
      </c>
      <c r="F188" t="n">
        <v>2305.39</v>
      </c>
    </row>
    <row r="189">
      <c r="A189" s="3" t="n">
        <v>38714</v>
      </c>
      <c r="B189" t="n">
        <v>1642.52</v>
      </c>
      <c r="C189" t="n">
        <v>1313.2</v>
      </c>
      <c r="D189" t="n">
        <v>1206.2</v>
      </c>
      <c r="E189" t="n">
        <v>1419.95</v>
      </c>
      <c r="F189" t="n">
        <v>2307.91</v>
      </c>
    </row>
    <row r="190">
      <c r="A190" s="3" t="n">
        <v>38715</v>
      </c>
      <c r="B190" t="n">
        <v>1661.93</v>
      </c>
      <c r="C190" t="n">
        <v>1326.57</v>
      </c>
      <c r="D190" t="n">
        <v>1213.6</v>
      </c>
      <c r="E190" t="n">
        <v>1430.37</v>
      </c>
      <c r="F190" t="n">
        <v>2325.7</v>
      </c>
    </row>
    <row r="191">
      <c r="A191" s="3" t="n">
        <v>38716</v>
      </c>
      <c r="B191" t="n">
        <v>1694.88</v>
      </c>
      <c r="C191" t="n">
        <v>1339.14</v>
      </c>
      <c r="D191" t="n">
        <v>1231.23</v>
      </c>
      <c r="E191" t="n">
        <v>1443.41</v>
      </c>
      <c r="F191" t="n">
        <v>2367</v>
      </c>
    </row>
    <row r="192">
      <c r="A192" s="3" t="n">
        <v>38719</v>
      </c>
      <c r="B192" t="n">
        <v>1721.33</v>
      </c>
      <c r="C192" t="n">
        <v>1339.97</v>
      </c>
      <c r="D192" t="n">
        <v>1248.51</v>
      </c>
      <c r="E192" t="n">
        <v>1442.19</v>
      </c>
      <c r="F192" t="n">
        <v>2402.3</v>
      </c>
    </row>
    <row r="193">
      <c r="A193" s="3" t="n">
        <v>38720</v>
      </c>
      <c r="B193" t="n">
        <v>1743.55</v>
      </c>
      <c r="C193" t="n">
        <v>1361.15</v>
      </c>
      <c r="D193" t="n">
        <v>1268</v>
      </c>
      <c r="E193" t="n">
        <v>1470.29</v>
      </c>
      <c r="F193" t="n">
        <v>2427.25</v>
      </c>
    </row>
    <row r="194">
      <c r="A194" s="3" t="n">
        <v>38721</v>
      </c>
      <c r="B194" t="n">
        <v>1751.33</v>
      </c>
      <c r="C194" t="n">
        <v>1369.65</v>
      </c>
      <c r="D194" t="n">
        <v>1283.78</v>
      </c>
      <c r="E194" t="n">
        <v>1484.05</v>
      </c>
      <c r="F194" t="n">
        <v>2438.77</v>
      </c>
    </row>
    <row r="195">
      <c r="A195" s="3" t="n">
        <v>38722</v>
      </c>
      <c r="B195" t="n">
        <v>1743.47</v>
      </c>
      <c r="C195" t="n">
        <v>1372.92</v>
      </c>
      <c r="D195" t="n">
        <v>1295.09</v>
      </c>
      <c r="E195" t="n">
        <v>1484.69</v>
      </c>
      <c r="F195" t="n">
        <v>2423.89</v>
      </c>
    </row>
    <row r="196">
      <c r="A196" s="3" t="n">
        <v>38723</v>
      </c>
      <c r="B196" t="n">
        <v>1760.79</v>
      </c>
      <c r="C196" t="n">
        <v>1386.33</v>
      </c>
      <c r="D196" t="n">
        <v>1300.75</v>
      </c>
      <c r="E196" t="n">
        <v>1491.53</v>
      </c>
      <c r="F196" t="n">
        <v>2445.24</v>
      </c>
    </row>
    <row r="197">
      <c r="A197" s="3" t="n">
        <v>38726</v>
      </c>
      <c r="B197" t="n">
        <v>1780.01</v>
      </c>
      <c r="C197" t="n">
        <v>1389.74</v>
      </c>
      <c r="D197" t="n">
        <v>1305.74</v>
      </c>
      <c r="E197" t="n">
        <v>1491.73</v>
      </c>
      <c r="F197" t="n">
        <v>2467.1</v>
      </c>
    </row>
    <row r="198">
      <c r="A198" s="3" t="n">
        <v>38727</v>
      </c>
      <c r="B198" t="n">
        <v>1769.32</v>
      </c>
      <c r="C198" t="n">
        <v>1375.49</v>
      </c>
      <c r="D198" t="n">
        <v>1292.74</v>
      </c>
      <c r="E198" t="n">
        <v>1473.18</v>
      </c>
      <c r="F198" t="n">
        <v>2445.87</v>
      </c>
    </row>
    <row r="199">
      <c r="A199" s="3" t="n">
        <v>38729</v>
      </c>
      <c r="B199" t="n">
        <v>1775.72</v>
      </c>
      <c r="C199" t="n">
        <v>1368.59</v>
      </c>
      <c r="D199" t="n">
        <v>1284.78</v>
      </c>
      <c r="E199" t="n">
        <v>1463.96</v>
      </c>
      <c r="F199" t="n">
        <v>2437.63</v>
      </c>
    </row>
    <row r="200">
      <c r="A200" s="3" t="n">
        <v>38730</v>
      </c>
      <c r="B200" t="n">
        <v>1794.37</v>
      </c>
      <c r="C200" t="n">
        <v>1368.52</v>
      </c>
      <c r="D200" t="n">
        <v>1274.39</v>
      </c>
      <c r="E200" t="n">
        <v>1465.98</v>
      </c>
      <c r="F200" t="n">
        <v>2448.6</v>
      </c>
    </row>
    <row r="201">
      <c r="A201" s="3" t="n">
        <v>38733</v>
      </c>
      <c r="B201" t="n">
        <v>1781.71</v>
      </c>
      <c r="C201" t="n">
        <v>1361.33</v>
      </c>
      <c r="D201" t="n">
        <v>1260.14</v>
      </c>
      <c r="E201" t="n">
        <v>1459.24</v>
      </c>
      <c r="F201" t="n">
        <v>2453.11</v>
      </c>
    </row>
    <row r="202">
      <c r="A202" s="3" t="n">
        <v>38734</v>
      </c>
      <c r="B202" t="n">
        <v>1773.09</v>
      </c>
      <c r="C202" t="n">
        <v>1347.98</v>
      </c>
      <c r="D202" t="n">
        <v>1234.55</v>
      </c>
      <c r="E202" t="n">
        <v>1452.16</v>
      </c>
      <c r="F202" t="n">
        <v>2436.67</v>
      </c>
    </row>
    <row r="203">
      <c r="A203" s="3" t="n">
        <v>38735</v>
      </c>
      <c r="B203" t="n">
        <v>1754.93</v>
      </c>
      <c r="C203" t="n">
        <v>1340.67</v>
      </c>
      <c r="D203" t="n">
        <v>1228.84</v>
      </c>
      <c r="E203" t="n">
        <v>1446.98</v>
      </c>
      <c r="F203" t="n">
        <v>2413.83</v>
      </c>
    </row>
    <row r="204">
      <c r="A204" s="3" t="n">
        <v>38736</v>
      </c>
      <c r="B204" t="n">
        <v>1798.88</v>
      </c>
      <c r="C204" t="n">
        <v>1372.82</v>
      </c>
      <c r="D204" t="n">
        <v>1250.19</v>
      </c>
      <c r="E204" t="n">
        <v>1475.9</v>
      </c>
      <c r="F204" t="n">
        <v>2474.18</v>
      </c>
    </row>
    <row r="205">
      <c r="A205" s="3" t="n">
        <v>38737</v>
      </c>
      <c r="B205" t="n">
        <v>1820.72</v>
      </c>
      <c r="C205" t="n">
        <v>1385.89</v>
      </c>
      <c r="D205" t="n">
        <v>1255.42</v>
      </c>
      <c r="E205" t="n">
        <v>1492.65</v>
      </c>
      <c r="F205" t="n">
        <v>2505.21</v>
      </c>
    </row>
    <row r="206">
      <c r="A206" s="3" t="n">
        <v>38740</v>
      </c>
      <c r="B206" t="n">
        <v>1832.73</v>
      </c>
      <c r="C206" t="n">
        <v>1378.17</v>
      </c>
      <c r="D206" t="n">
        <v>1246.1</v>
      </c>
      <c r="E206" t="n">
        <v>1486.99</v>
      </c>
      <c r="F206" t="n">
        <v>2524.87</v>
      </c>
    </row>
    <row r="207">
      <c r="A207" s="3" t="n">
        <v>38741</v>
      </c>
      <c r="B207" t="n">
        <v>1849</v>
      </c>
      <c r="C207" t="n">
        <v>1390.82</v>
      </c>
      <c r="D207" t="n">
        <v>1251.81</v>
      </c>
      <c r="E207" t="n">
        <v>1500.7</v>
      </c>
      <c r="F207" t="n">
        <v>2536.45</v>
      </c>
    </row>
    <row r="208">
      <c r="A208" s="3" t="n">
        <v>38742</v>
      </c>
      <c r="B208" t="n">
        <v>1841.92</v>
      </c>
      <c r="C208" t="n">
        <v>1400.42</v>
      </c>
      <c r="D208" t="n">
        <v>1234.13</v>
      </c>
      <c r="E208" t="n">
        <v>1516.22</v>
      </c>
      <c r="F208" t="n">
        <v>2519.65</v>
      </c>
    </row>
    <row r="209">
      <c r="A209" s="3" t="n">
        <v>38744</v>
      </c>
      <c r="B209" t="n">
        <v>1871.19</v>
      </c>
      <c r="C209" t="n">
        <v>1428.3</v>
      </c>
      <c r="D209" t="n">
        <v>1263.64</v>
      </c>
      <c r="E209" t="n">
        <v>1538.77</v>
      </c>
      <c r="F209" t="n">
        <v>2569.82</v>
      </c>
    </row>
    <row r="210">
      <c r="A210" s="3" t="n">
        <v>38747</v>
      </c>
      <c r="B210" t="n">
        <v>1850.32</v>
      </c>
      <c r="C210" t="n">
        <v>1419.24</v>
      </c>
      <c r="D210" t="n">
        <v>1244.23</v>
      </c>
      <c r="E210" t="n">
        <v>1537.39</v>
      </c>
      <c r="F210" t="n">
        <v>2540.17</v>
      </c>
    </row>
    <row r="211">
      <c r="A211" s="3" t="n">
        <v>38748</v>
      </c>
      <c r="B211" t="n">
        <v>1853.6</v>
      </c>
      <c r="C211" t="n">
        <v>1428.89</v>
      </c>
      <c r="D211" t="n">
        <v>1238.23</v>
      </c>
      <c r="E211" t="n">
        <v>1549.69</v>
      </c>
      <c r="F211" t="n">
        <v>2551.63</v>
      </c>
    </row>
    <row r="212">
      <c r="A212" s="3" t="n">
        <v>38749</v>
      </c>
      <c r="B212" t="n">
        <v>1831.14</v>
      </c>
      <c r="C212" t="n">
        <v>1410</v>
      </c>
      <c r="D212" t="n">
        <v>1210.29</v>
      </c>
      <c r="E212" t="n">
        <v>1537.9</v>
      </c>
      <c r="F212" t="n">
        <v>2522.96</v>
      </c>
    </row>
    <row r="213">
      <c r="A213" s="3" t="n">
        <v>38750</v>
      </c>
      <c r="B213" t="n">
        <v>1818.64</v>
      </c>
      <c r="C213" t="n">
        <v>1416.9</v>
      </c>
      <c r="D213" t="n">
        <v>1208.26</v>
      </c>
      <c r="E213" t="n">
        <v>1539.89</v>
      </c>
      <c r="F213" t="n">
        <v>2520.76</v>
      </c>
    </row>
    <row r="214">
      <c r="A214" s="3" t="n">
        <v>38751</v>
      </c>
      <c r="B214" t="n">
        <v>1814.04</v>
      </c>
      <c r="C214" t="n">
        <v>1407.12</v>
      </c>
      <c r="D214" t="n">
        <v>1207.58</v>
      </c>
      <c r="E214" t="n">
        <v>1530.76</v>
      </c>
      <c r="F214" t="n">
        <v>2528.81</v>
      </c>
    </row>
    <row r="215">
      <c r="A215" s="3" t="n">
        <v>38754</v>
      </c>
      <c r="B215" t="n">
        <v>1827.4</v>
      </c>
      <c r="C215" t="n">
        <v>1429.49</v>
      </c>
      <c r="D215" t="n">
        <v>1217.69</v>
      </c>
      <c r="E215" t="n">
        <v>1555.73</v>
      </c>
      <c r="F215" t="n">
        <v>2559.07</v>
      </c>
    </row>
    <row r="216">
      <c r="A216" s="3" t="n">
        <v>38755</v>
      </c>
      <c r="B216" t="n">
        <v>1838.6</v>
      </c>
      <c r="C216" t="n">
        <v>1446</v>
      </c>
      <c r="D216" t="n">
        <v>1230.34</v>
      </c>
      <c r="E216" t="n">
        <v>1570.27</v>
      </c>
      <c r="F216" t="n">
        <v>2598.15</v>
      </c>
    </row>
    <row r="217">
      <c r="A217" s="3" t="n">
        <v>38756</v>
      </c>
      <c r="B217" t="n">
        <v>1834.52</v>
      </c>
      <c r="C217" t="n">
        <v>1444.13</v>
      </c>
      <c r="D217" t="n">
        <v>1227.68</v>
      </c>
      <c r="E217" t="n">
        <v>1566.18</v>
      </c>
      <c r="F217" t="n">
        <v>2587.14</v>
      </c>
    </row>
    <row r="218">
      <c r="A218" s="3" t="n">
        <v>38758</v>
      </c>
      <c r="B218" t="n">
        <v>1866.29</v>
      </c>
      <c r="C218" t="n">
        <v>1461.84</v>
      </c>
      <c r="D218" t="n">
        <v>1244.02</v>
      </c>
      <c r="E218" t="n">
        <v>1577.55</v>
      </c>
      <c r="F218" t="n">
        <v>2618.53</v>
      </c>
    </row>
    <row r="219">
      <c r="A219" s="3" t="n">
        <v>38761</v>
      </c>
      <c r="B219" t="n">
        <v>1896.42</v>
      </c>
      <c r="C219" t="n">
        <v>1466.07</v>
      </c>
      <c r="D219" t="n">
        <v>1258.72</v>
      </c>
      <c r="E219" t="n">
        <v>1587.35</v>
      </c>
      <c r="F219" t="n">
        <v>2654.7</v>
      </c>
    </row>
    <row r="220">
      <c r="A220" s="3" t="n">
        <v>38762</v>
      </c>
      <c r="B220" t="n">
        <v>1890.63</v>
      </c>
      <c r="C220" t="n">
        <v>1447.67</v>
      </c>
      <c r="D220" t="n">
        <v>1254.18</v>
      </c>
      <c r="E220" t="n">
        <v>1575.91</v>
      </c>
      <c r="F220" t="n">
        <v>2635.68</v>
      </c>
    </row>
    <row r="221">
      <c r="A221" s="3" t="n">
        <v>38763</v>
      </c>
      <c r="B221" t="n">
        <v>1892.24</v>
      </c>
      <c r="C221" t="n">
        <v>1451.78</v>
      </c>
      <c r="D221" t="n">
        <v>1252.94</v>
      </c>
      <c r="E221" t="n">
        <v>1579.29</v>
      </c>
      <c r="F221" t="n">
        <v>2638.63</v>
      </c>
    </row>
    <row r="222">
      <c r="A222" s="3" t="n">
        <v>38764</v>
      </c>
      <c r="B222" t="n">
        <v>1905.11</v>
      </c>
      <c r="C222" t="n">
        <v>1454.24</v>
      </c>
      <c r="D222" t="n">
        <v>1274.57</v>
      </c>
      <c r="E222" t="n">
        <v>1581.1</v>
      </c>
      <c r="F222" t="n">
        <v>2658.29</v>
      </c>
    </row>
    <row r="223">
      <c r="A223" s="3" t="n">
        <v>38765</v>
      </c>
      <c r="B223" t="n">
        <v>1884.83</v>
      </c>
      <c r="C223" t="n">
        <v>1433.64</v>
      </c>
      <c r="D223" t="n">
        <v>1255.51</v>
      </c>
      <c r="E223" t="n">
        <v>1558.08</v>
      </c>
      <c r="F223" t="n">
        <v>2620.26</v>
      </c>
    </row>
    <row r="224">
      <c r="A224" s="3" t="n">
        <v>38768</v>
      </c>
      <c r="B224" t="n">
        <v>1865.51</v>
      </c>
      <c r="C224" t="n">
        <v>1435.46</v>
      </c>
      <c r="D224" t="n">
        <v>1246.33</v>
      </c>
      <c r="E224" t="n">
        <v>1565.7</v>
      </c>
      <c r="F224" t="n">
        <v>2609.9</v>
      </c>
    </row>
    <row r="225">
      <c r="A225" s="3" t="n">
        <v>38769</v>
      </c>
      <c r="B225" t="n">
        <v>1895.32</v>
      </c>
      <c r="C225" t="n">
        <v>1451.54</v>
      </c>
      <c r="D225" t="n">
        <v>1253.17</v>
      </c>
      <c r="E225" t="n">
        <v>1576.63</v>
      </c>
      <c r="F225" t="n">
        <v>2631.72</v>
      </c>
    </row>
    <row r="226">
      <c r="A226" s="3" t="n">
        <v>38770</v>
      </c>
      <c r="B226" t="n">
        <v>1883.06</v>
      </c>
      <c r="C226" t="n">
        <v>1463.93</v>
      </c>
      <c r="D226" t="n">
        <v>1259.14</v>
      </c>
      <c r="E226" t="n">
        <v>1584.45</v>
      </c>
      <c r="F226" t="n">
        <v>2620.74</v>
      </c>
    </row>
    <row r="227">
      <c r="A227" s="3" t="n">
        <v>38771</v>
      </c>
      <c r="B227" t="n">
        <v>1872.74</v>
      </c>
      <c r="C227" t="n">
        <v>1468</v>
      </c>
      <c r="D227" t="n">
        <v>1256.08</v>
      </c>
      <c r="E227" t="n">
        <v>1582.73</v>
      </c>
      <c r="F227" t="n">
        <v>2601.69</v>
      </c>
    </row>
    <row r="228">
      <c r="A228" s="3" t="n">
        <v>38772</v>
      </c>
      <c r="B228" t="n">
        <v>1868.94</v>
      </c>
      <c r="C228" t="n">
        <v>1464.83</v>
      </c>
      <c r="D228" t="n">
        <v>1273.11</v>
      </c>
      <c r="E228" t="n">
        <v>1579.15</v>
      </c>
      <c r="F228" t="n">
        <v>2604.14</v>
      </c>
    </row>
    <row r="229">
      <c r="A229" s="3" t="n">
        <v>38775</v>
      </c>
      <c r="B229" t="n">
        <v>1889.05</v>
      </c>
      <c r="C229" t="n">
        <v>1468.29</v>
      </c>
      <c r="D229" t="n">
        <v>1275.59</v>
      </c>
      <c r="E229" t="n">
        <v>1590.52</v>
      </c>
      <c r="F229" t="n">
        <v>2633.12</v>
      </c>
    </row>
    <row r="230">
      <c r="A230" s="3" t="n">
        <v>38776</v>
      </c>
      <c r="B230" t="n">
        <v>1893.52</v>
      </c>
      <c r="C230" t="n">
        <v>1471.91</v>
      </c>
      <c r="D230" t="n">
        <v>1251.39</v>
      </c>
      <c r="E230" t="n">
        <v>1603.8</v>
      </c>
      <c r="F230" t="n">
        <v>2635.75</v>
      </c>
    </row>
    <row r="231">
      <c r="A231" s="3" t="n">
        <v>38777</v>
      </c>
      <c r="B231" t="n">
        <v>1930.74</v>
      </c>
      <c r="C231" t="n">
        <v>1496.59</v>
      </c>
      <c r="D231" t="n">
        <v>1255.82</v>
      </c>
      <c r="E231" t="n">
        <v>1630.81</v>
      </c>
      <c r="F231" t="n">
        <v>2688.14</v>
      </c>
    </row>
    <row r="232">
      <c r="A232" s="3" t="n">
        <v>38778</v>
      </c>
      <c r="B232" t="n">
        <v>1965.52</v>
      </c>
      <c r="C232" t="n">
        <v>1507.28</v>
      </c>
      <c r="D232" t="n">
        <v>1265.68</v>
      </c>
      <c r="E232" t="n">
        <v>1636</v>
      </c>
      <c r="F232" t="n">
        <v>2739.71</v>
      </c>
    </row>
    <row r="233">
      <c r="A233" s="3" t="n">
        <v>38779</v>
      </c>
      <c r="B233" t="n">
        <v>1995.48</v>
      </c>
      <c r="C233" t="n">
        <v>1509.26</v>
      </c>
      <c r="D233" t="n">
        <v>1264.49</v>
      </c>
      <c r="E233" t="n">
        <v>1633.19</v>
      </c>
      <c r="F233" t="n">
        <v>2777.17</v>
      </c>
    </row>
    <row r="234">
      <c r="A234" s="3" t="n">
        <v>38782</v>
      </c>
      <c r="B234" t="n">
        <v>2021.59</v>
      </c>
      <c r="C234" t="n">
        <v>1532.71</v>
      </c>
      <c r="D234" t="n">
        <v>1282.19</v>
      </c>
      <c r="E234" t="n">
        <v>1653.16</v>
      </c>
      <c r="F234" t="n">
        <v>2806.35</v>
      </c>
    </row>
    <row r="235">
      <c r="A235" s="3" t="n">
        <v>38783</v>
      </c>
      <c r="B235" t="n">
        <v>2041.14</v>
      </c>
      <c r="C235" t="n">
        <v>1537.13</v>
      </c>
      <c r="D235" t="n">
        <v>1287.26</v>
      </c>
      <c r="E235" t="n">
        <v>1654.4</v>
      </c>
      <c r="F235" t="n">
        <v>2862.96</v>
      </c>
    </row>
    <row r="236">
      <c r="A236" s="3" t="n">
        <v>38784</v>
      </c>
      <c r="B236" t="n">
        <v>2011.34</v>
      </c>
      <c r="C236" t="n">
        <v>1507.96</v>
      </c>
      <c r="D236" t="n">
        <v>1259.22</v>
      </c>
      <c r="E236" t="n">
        <v>1628.88</v>
      </c>
      <c r="F236" t="n">
        <v>2807.32</v>
      </c>
    </row>
    <row r="237">
      <c r="A237" s="3" t="n">
        <v>38785</v>
      </c>
      <c r="B237" t="n">
        <v>2017.57</v>
      </c>
      <c r="C237" t="n">
        <v>1511.61</v>
      </c>
      <c r="D237" t="n">
        <v>1262.86</v>
      </c>
      <c r="E237" t="n">
        <v>1639.5</v>
      </c>
      <c r="F237" t="n">
        <v>2837.27</v>
      </c>
    </row>
    <row r="238">
      <c r="A238" s="3" t="n">
        <v>38786</v>
      </c>
      <c r="B238" t="n">
        <v>2053.38</v>
      </c>
      <c r="C238" t="n">
        <v>1538.19</v>
      </c>
      <c r="D238" t="n">
        <v>1276.51</v>
      </c>
      <c r="E238" t="n">
        <v>1662.49</v>
      </c>
      <c r="F238" t="n">
        <v>2878.38</v>
      </c>
    </row>
    <row r="239">
      <c r="A239" s="3" t="n">
        <v>38789</v>
      </c>
      <c r="B239" t="n">
        <v>2057.96</v>
      </c>
      <c r="C239" t="n">
        <v>1542.43</v>
      </c>
      <c r="D239" t="n">
        <v>1279.16</v>
      </c>
      <c r="E239" t="n">
        <v>1667.63</v>
      </c>
      <c r="F239" t="n">
        <v>2902.94</v>
      </c>
    </row>
    <row r="240">
      <c r="A240" s="3" t="n">
        <v>38790</v>
      </c>
      <c r="B240" t="n">
        <v>2051.5</v>
      </c>
      <c r="C240" t="n">
        <v>1533.52</v>
      </c>
      <c r="D240" t="n">
        <v>1270.6</v>
      </c>
      <c r="E240" t="n">
        <v>1662.69</v>
      </c>
      <c r="F240" t="n">
        <v>2897.51</v>
      </c>
    </row>
    <row r="241">
      <c r="A241" s="3" t="n">
        <v>38792</v>
      </c>
      <c r="B241" t="n">
        <v>2063.37</v>
      </c>
      <c r="C241" t="n">
        <v>1543.25</v>
      </c>
      <c r="D241" t="n">
        <v>1272.69</v>
      </c>
      <c r="E241" t="n">
        <v>1673.97</v>
      </c>
      <c r="F241" t="n">
        <v>2924.62</v>
      </c>
    </row>
    <row r="242">
      <c r="A242" s="3" t="n">
        <v>38793</v>
      </c>
      <c r="B242" t="n">
        <v>2061.01</v>
      </c>
      <c r="C242" t="n">
        <v>1540.9</v>
      </c>
      <c r="D242" t="n">
        <v>1264.03</v>
      </c>
      <c r="E242" t="n">
        <v>1677.03</v>
      </c>
      <c r="F242" t="n">
        <v>2900.74</v>
      </c>
    </row>
    <row r="243">
      <c r="A243" s="3" t="n">
        <v>38796</v>
      </c>
      <c r="B243" t="n">
        <v>2074.61</v>
      </c>
      <c r="C243" t="n">
        <v>1562.05</v>
      </c>
      <c r="D243" t="n">
        <v>1275.33</v>
      </c>
      <c r="E243" t="n">
        <v>1692.59</v>
      </c>
      <c r="F243" t="n">
        <v>2926.06</v>
      </c>
    </row>
    <row r="244">
      <c r="A244" s="3" t="n">
        <v>38797</v>
      </c>
      <c r="B244" t="n">
        <v>2083.07</v>
      </c>
      <c r="C244" t="n">
        <v>1560.57</v>
      </c>
      <c r="D244" t="n">
        <v>1275.42</v>
      </c>
      <c r="E244" t="n">
        <v>1695.62</v>
      </c>
      <c r="F244" t="n">
        <v>2940.05</v>
      </c>
    </row>
    <row r="245">
      <c r="A245" s="3" t="n">
        <v>38798</v>
      </c>
      <c r="B245" t="n">
        <v>2076.82</v>
      </c>
      <c r="C245" t="n">
        <v>1547.35</v>
      </c>
      <c r="D245" t="n">
        <v>1273.14</v>
      </c>
      <c r="E245" t="n">
        <v>1690.34</v>
      </c>
      <c r="F245" t="n">
        <v>2895.87</v>
      </c>
    </row>
    <row r="246">
      <c r="A246" s="3" t="n">
        <v>38799</v>
      </c>
      <c r="B246" t="n">
        <v>2073.45</v>
      </c>
      <c r="C246" t="n">
        <v>1555.08</v>
      </c>
      <c r="D246" t="n">
        <v>1284.47</v>
      </c>
      <c r="E246" t="n">
        <v>1693.97</v>
      </c>
      <c r="F246" t="n">
        <v>2897.43</v>
      </c>
    </row>
    <row r="247">
      <c r="A247" s="3" t="n">
        <v>38800</v>
      </c>
      <c r="B247" t="n">
        <v>2097.56</v>
      </c>
      <c r="C247" t="n">
        <v>1578.56</v>
      </c>
      <c r="D247" t="n">
        <v>1302.42</v>
      </c>
      <c r="E247" t="n">
        <v>1705.28</v>
      </c>
      <c r="F247" t="n">
        <v>2943.63</v>
      </c>
    </row>
    <row r="248">
      <c r="A248" s="3" t="n">
        <v>38803</v>
      </c>
      <c r="B248" t="n">
        <v>2113.78</v>
      </c>
      <c r="C248" t="n">
        <v>1594.06</v>
      </c>
      <c r="D248" t="n">
        <v>1324</v>
      </c>
      <c r="E248" t="n">
        <v>1726.03</v>
      </c>
      <c r="F248" t="n">
        <v>2989.24</v>
      </c>
    </row>
    <row r="249">
      <c r="A249" s="3" t="n">
        <v>38804</v>
      </c>
      <c r="B249" t="n">
        <v>2105.56</v>
      </c>
      <c r="C249" t="n">
        <v>1592.69</v>
      </c>
      <c r="D249" t="n">
        <v>1313.18</v>
      </c>
      <c r="E249" t="n">
        <v>1724.59</v>
      </c>
      <c r="F249" t="n">
        <v>3000.85</v>
      </c>
    </row>
    <row r="250">
      <c r="A250" s="3" t="n">
        <v>38805</v>
      </c>
      <c r="B250" t="n">
        <v>2126.16</v>
      </c>
      <c r="C250" t="n">
        <v>1604.19</v>
      </c>
      <c r="D250" t="n">
        <v>1306.24</v>
      </c>
      <c r="E250" t="n">
        <v>1740.19</v>
      </c>
      <c r="F250" t="n">
        <v>3018.94</v>
      </c>
    </row>
    <row r="251">
      <c r="A251" s="3" t="n">
        <v>38806</v>
      </c>
      <c r="B251" t="n">
        <v>2139.16</v>
      </c>
      <c r="C251" t="n">
        <v>1637.36</v>
      </c>
      <c r="D251" t="n">
        <v>1318.54</v>
      </c>
      <c r="E251" t="n">
        <v>1762.1</v>
      </c>
      <c r="F251" t="n">
        <v>3062.61</v>
      </c>
    </row>
    <row r="252">
      <c r="A252" s="3" t="n">
        <v>38807</v>
      </c>
      <c r="B252" t="n">
        <v>2162.02</v>
      </c>
      <c r="C252" t="n">
        <v>1644.08</v>
      </c>
      <c r="D252" t="n">
        <v>1330.86</v>
      </c>
      <c r="E252" t="n">
        <v>1760.29</v>
      </c>
      <c r="F252" t="n">
        <v>3096.14</v>
      </c>
    </row>
    <row r="253">
      <c r="A253" s="3" t="n">
        <v>38810</v>
      </c>
      <c r="B253" t="n">
        <v>2227.95</v>
      </c>
      <c r="C253" t="n">
        <v>1683.43</v>
      </c>
      <c r="D253" t="n">
        <v>1371.69</v>
      </c>
      <c r="E253" t="n">
        <v>1792.57</v>
      </c>
      <c r="F253" t="n">
        <v>3174.85</v>
      </c>
    </row>
    <row r="254">
      <c r="A254" s="3" t="n">
        <v>38811</v>
      </c>
      <c r="B254" t="n">
        <v>2255.64</v>
      </c>
      <c r="C254" t="n">
        <v>1686.67</v>
      </c>
      <c r="D254" t="n">
        <v>1391.09</v>
      </c>
      <c r="E254" t="n">
        <v>1804.8</v>
      </c>
      <c r="F254" t="n">
        <v>3217.51</v>
      </c>
    </row>
    <row r="255">
      <c r="A255" s="3" t="n">
        <v>38812</v>
      </c>
      <c r="B255" t="n">
        <v>2290.03</v>
      </c>
      <c r="C255" t="n">
        <v>1707.63</v>
      </c>
      <c r="D255" t="n">
        <v>1405.2</v>
      </c>
      <c r="E255" t="n">
        <v>1826.31</v>
      </c>
      <c r="F255" t="n">
        <v>3257.34</v>
      </c>
    </row>
    <row r="256">
      <c r="A256" s="3" t="n">
        <v>38814</v>
      </c>
      <c r="B256" t="n">
        <v>2261.1</v>
      </c>
      <c r="C256" t="n">
        <v>1674.75</v>
      </c>
      <c r="D256" t="n">
        <v>1376.44</v>
      </c>
      <c r="E256" t="n">
        <v>1803.69</v>
      </c>
      <c r="F256" t="n">
        <v>3193.53</v>
      </c>
    </row>
    <row r="257">
      <c r="A257" s="3" t="n">
        <v>38817</v>
      </c>
      <c r="B257" t="n">
        <v>2282.67</v>
      </c>
      <c r="C257" t="n">
        <v>1691.17</v>
      </c>
      <c r="D257" t="n">
        <v>1404.86</v>
      </c>
      <c r="E257" t="n">
        <v>1816.41</v>
      </c>
      <c r="F257" t="n">
        <v>3202.85</v>
      </c>
    </row>
    <row r="258">
      <c r="A258" s="3" t="n">
        <v>38819</v>
      </c>
      <c r="B258" t="n">
        <v>2243.28</v>
      </c>
      <c r="C258" t="n">
        <v>1640.61</v>
      </c>
      <c r="D258" t="n">
        <v>1381.97</v>
      </c>
      <c r="E258" t="n">
        <v>1769.96</v>
      </c>
      <c r="F258" t="n">
        <v>3135.95</v>
      </c>
    </row>
    <row r="259">
      <c r="A259" s="3" t="n">
        <v>38820</v>
      </c>
      <c r="B259" t="n">
        <v>2202.87</v>
      </c>
      <c r="C259" t="n">
        <v>1607.29</v>
      </c>
      <c r="D259" t="n">
        <v>1357.91</v>
      </c>
      <c r="E259" t="n">
        <v>1746.53</v>
      </c>
      <c r="F259" t="n">
        <v>3049.79</v>
      </c>
    </row>
    <row r="260">
      <c r="A260" s="3" t="n">
        <v>38824</v>
      </c>
      <c r="B260" t="n">
        <v>2236.18</v>
      </c>
      <c r="C260" t="n">
        <v>1652.77</v>
      </c>
      <c r="D260" t="n">
        <v>1385.24</v>
      </c>
      <c r="E260" t="n">
        <v>1789.43</v>
      </c>
      <c r="F260" t="n">
        <v>3105.26</v>
      </c>
    </row>
    <row r="261">
      <c r="A261" s="3" t="n">
        <v>38825</v>
      </c>
      <c r="B261" t="n">
        <v>2269.88</v>
      </c>
      <c r="C261" t="n">
        <v>1688.23</v>
      </c>
      <c r="D261" t="n">
        <v>1394.13</v>
      </c>
      <c r="E261" t="n">
        <v>1819.43</v>
      </c>
      <c r="F261" t="n">
        <v>3153.32</v>
      </c>
    </row>
    <row r="262">
      <c r="A262" s="3" t="n">
        <v>38826</v>
      </c>
      <c r="B262" t="n">
        <v>2279.77</v>
      </c>
      <c r="C262" t="n">
        <v>1696.15</v>
      </c>
      <c r="D262" t="n">
        <v>1389.6</v>
      </c>
      <c r="E262" t="n">
        <v>1827.08</v>
      </c>
      <c r="F262" t="n">
        <v>3148.79</v>
      </c>
    </row>
    <row r="263">
      <c r="A263" s="3" t="n">
        <v>38827</v>
      </c>
      <c r="B263" t="n">
        <v>2299.18</v>
      </c>
      <c r="C263" t="n">
        <v>1711.01</v>
      </c>
      <c r="D263" t="n">
        <v>1398.3</v>
      </c>
      <c r="E263" t="n">
        <v>1832.25</v>
      </c>
      <c r="F263" t="n">
        <v>3176.5</v>
      </c>
    </row>
    <row r="264">
      <c r="A264" s="3" t="n">
        <v>38828</v>
      </c>
      <c r="B264" t="n">
        <v>2308.39</v>
      </c>
      <c r="C264" t="n">
        <v>1711.23</v>
      </c>
      <c r="D264" t="n">
        <v>1391.63</v>
      </c>
      <c r="E264" t="n">
        <v>1832.66</v>
      </c>
      <c r="F264" t="n">
        <v>3181.29</v>
      </c>
    </row>
    <row r="265">
      <c r="A265" s="3" t="n">
        <v>38831</v>
      </c>
      <c r="B265" t="n">
        <v>2315.01</v>
      </c>
      <c r="C265" t="n">
        <v>1699.86</v>
      </c>
      <c r="D265" t="n">
        <v>1390.14</v>
      </c>
      <c r="E265" t="n">
        <v>1822.51</v>
      </c>
      <c r="F265" t="n">
        <v>3196.12</v>
      </c>
    </row>
    <row r="266">
      <c r="A266" s="3" t="n">
        <v>38832</v>
      </c>
      <c r="B266" t="n">
        <v>2277.38</v>
      </c>
      <c r="C266" t="n">
        <v>1656</v>
      </c>
      <c r="D266" t="n">
        <v>1365.19</v>
      </c>
      <c r="E266" t="n">
        <v>1786.91</v>
      </c>
      <c r="F266" t="n">
        <v>3151.69</v>
      </c>
    </row>
    <row r="267">
      <c r="A267" s="3" t="n">
        <v>38833</v>
      </c>
      <c r="B267" t="n">
        <v>2340.78</v>
      </c>
      <c r="C267" t="n">
        <v>1695.94</v>
      </c>
      <c r="D267" t="n">
        <v>1396.94</v>
      </c>
      <c r="E267" t="n">
        <v>1826.84</v>
      </c>
      <c r="F267" t="n">
        <v>3217.85</v>
      </c>
    </row>
    <row r="268">
      <c r="A268" s="3" t="n">
        <v>38834</v>
      </c>
      <c r="B268" t="n">
        <v>2345.26</v>
      </c>
      <c r="C268" t="n">
        <v>1679.88</v>
      </c>
      <c r="D268" t="n">
        <v>1388.51</v>
      </c>
      <c r="E268" t="n">
        <v>1802.66</v>
      </c>
      <c r="F268" t="n">
        <v>3238.95</v>
      </c>
    </row>
    <row r="269">
      <c r="A269" s="3" t="n">
        <v>38835</v>
      </c>
      <c r="B269" t="n">
        <v>2367.5</v>
      </c>
      <c r="C269" t="n">
        <v>1678.55</v>
      </c>
      <c r="D269" t="n">
        <v>1383.74</v>
      </c>
      <c r="E269" t="n">
        <v>1805.99</v>
      </c>
      <c r="F269" t="n">
        <v>3261.42</v>
      </c>
    </row>
    <row r="270">
      <c r="A270" s="3" t="n">
        <v>38836</v>
      </c>
      <c r="B270" t="n">
        <v>2414.42</v>
      </c>
      <c r="C270" t="n">
        <v>1705.32</v>
      </c>
      <c r="D270" t="n">
        <v>1411.24</v>
      </c>
      <c r="E270" t="n">
        <v>1838.21</v>
      </c>
      <c r="F270" t="n">
        <v>3324.7</v>
      </c>
    </row>
    <row r="271">
      <c r="A271" s="3" t="n">
        <v>38839</v>
      </c>
      <c r="B271" t="n">
        <v>2443.11</v>
      </c>
      <c r="C271" t="n">
        <v>1726.57</v>
      </c>
      <c r="D271" t="n">
        <v>1444.03</v>
      </c>
      <c r="E271" t="n">
        <v>1856.18</v>
      </c>
      <c r="F271" t="n">
        <v>3340.2</v>
      </c>
    </row>
    <row r="272">
      <c r="A272" s="3" t="n">
        <v>38840</v>
      </c>
      <c r="B272" t="n">
        <v>2452.87</v>
      </c>
      <c r="C272" t="n">
        <v>1739.36</v>
      </c>
      <c r="D272" t="n">
        <v>1467.87</v>
      </c>
      <c r="E272" t="n">
        <v>1864.17</v>
      </c>
      <c r="F272" t="n">
        <v>3330.86</v>
      </c>
    </row>
    <row r="273">
      <c r="A273" s="3" t="n">
        <v>38841</v>
      </c>
      <c r="B273" t="n">
        <v>2459.66</v>
      </c>
      <c r="C273" t="n">
        <v>1736.19</v>
      </c>
      <c r="D273" t="n">
        <v>1484.49</v>
      </c>
      <c r="E273" t="n">
        <v>1869.56</v>
      </c>
      <c r="F273" t="n">
        <v>3321.67</v>
      </c>
    </row>
    <row r="274">
      <c r="A274" s="3" t="n">
        <v>38842</v>
      </c>
      <c r="B274" t="n">
        <v>2484.72</v>
      </c>
      <c r="C274" t="n">
        <v>1743.8</v>
      </c>
      <c r="D274" t="n">
        <v>1500.13</v>
      </c>
      <c r="E274" t="n">
        <v>1874.77</v>
      </c>
      <c r="F274" t="n">
        <v>3324</v>
      </c>
    </row>
    <row r="275">
      <c r="A275" s="3" t="n">
        <v>38845</v>
      </c>
      <c r="B275" t="n">
        <v>2493.26</v>
      </c>
      <c r="C275" t="n">
        <v>1752.52</v>
      </c>
      <c r="D275" t="n">
        <v>1515.95</v>
      </c>
      <c r="E275" t="n">
        <v>1881.7</v>
      </c>
      <c r="F275" t="n">
        <v>3326.82</v>
      </c>
    </row>
    <row r="276">
      <c r="A276" s="3" t="n">
        <v>38846</v>
      </c>
      <c r="B276" t="n">
        <v>2510.14</v>
      </c>
      <c r="C276" t="n">
        <v>1762.69</v>
      </c>
      <c r="D276" t="n">
        <v>1520.42</v>
      </c>
      <c r="E276" t="n">
        <v>1890.21</v>
      </c>
      <c r="F276" t="n">
        <v>3342.77</v>
      </c>
    </row>
    <row r="277">
      <c r="A277" s="3" t="n">
        <v>38847</v>
      </c>
      <c r="B277" t="n">
        <v>2525.71</v>
      </c>
      <c r="C277" t="n">
        <v>1783.5</v>
      </c>
      <c r="D277" t="n">
        <v>1542.68</v>
      </c>
      <c r="E277" t="n">
        <v>1896.96</v>
      </c>
      <c r="F277" t="n">
        <v>3354.42</v>
      </c>
    </row>
    <row r="278">
      <c r="A278" s="3" t="n">
        <v>38848</v>
      </c>
      <c r="B278" t="n">
        <v>2523.67</v>
      </c>
      <c r="C278" t="n">
        <v>1762.39</v>
      </c>
      <c r="D278" t="n">
        <v>1518.39</v>
      </c>
      <c r="E278" t="n">
        <v>1873.55</v>
      </c>
      <c r="F278" t="n">
        <v>3333.29</v>
      </c>
    </row>
    <row r="279">
      <c r="A279" s="3" t="n">
        <v>38849</v>
      </c>
      <c r="B279" t="n">
        <v>2532.16</v>
      </c>
      <c r="C279" t="n">
        <v>1755.27</v>
      </c>
      <c r="D279" t="n">
        <v>1495.01</v>
      </c>
      <c r="E279" t="n">
        <v>1847.67</v>
      </c>
      <c r="F279" t="n">
        <v>3312.41</v>
      </c>
    </row>
    <row r="280">
      <c r="A280" s="3" t="n">
        <v>38852</v>
      </c>
      <c r="B280" t="n">
        <v>2428.08</v>
      </c>
      <c r="C280" t="n">
        <v>1669.07</v>
      </c>
      <c r="D280" t="n">
        <v>1429.53</v>
      </c>
      <c r="E280" t="n">
        <v>1772.62</v>
      </c>
      <c r="F280" t="n">
        <v>3196.66</v>
      </c>
    </row>
    <row r="281">
      <c r="A281" s="3" t="n">
        <v>38853</v>
      </c>
      <c r="B281" t="n">
        <v>2408.95</v>
      </c>
      <c r="C281" t="n">
        <v>1669.81</v>
      </c>
      <c r="D281" t="n">
        <v>1427.73</v>
      </c>
      <c r="E281" t="n">
        <v>1781.31</v>
      </c>
      <c r="F281" t="n">
        <v>3177.56</v>
      </c>
    </row>
    <row r="282">
      <c r="A282" s="3" t="n">
        <v>38854</v>
      </c>
      <c r="B282" t="n">
        <v>2482.31</v>
      </c>
      <c r="C282" t="n">
        <v>1717.86</v>
      </c>
      <c r="D282" t="n">
        <v>1484.38</v>
      </c>
      <c r="E282" t="n">
        <v>1823.02</v>
      </c>
      <c r="F282" t="n">
        <v>3294.66</v>
      </c>
    </row>
    <row r="283">
      <c r="A283" s="3" t="n">
        <v>38855</v>
      </c>
      <c r="B283" t="n">
        <v>2296.43</v>
      </c>
      <c r="C283" t="n">
        <v>1593.23</v>
      </c>
      <c r="D283" t="n">
        <v>1373.88</v>
      </c>
      <c r="E283" t="n">
        <v>1706.04</v>
      </c>
      <c r="F283" t="n">
        <v>3071.87</v>
      </c>
    </row>
    <row r="284">
      <c r="A284" s="3" t="n">
        <v>38856</v>
      </c>
      <c r="B284" t="n">
        <v>2185.17</v>
      </c>
      <c r="C284" t="n">
        <v>1507.15</v>
      </c>
      <c r="D284" t="n">
        <v>1312.83</v>
      </c>
      <c r="E284" t="n">
        <v>1636.73</v>
      </c>
      <c r="F284" t="n">
        <v>2908.17</v>
      </c>
    </row>
    <row r="285">
      <c r="A285" s="3" t="n">
        <v>38859</v>
      </c>
      <c r="B285" t="n">
        <v>2063.77</v>
      </c>
      <c r="C285" t="n">
        <v>1422.25</v>
      </c>
      <c r="D285" t="n">
        <v>1220.74</v>
      </c>
      <c r="E285" t="n">
        <v>1557.53</v>
      </c>
      <c r="F285" t="n">
        <v>2704.92</v>
      </c>
    </row>
    <row r="286">
      <c r="A286" s="3" t="n">
        <v>38860</v>
      </c>
      <c r="B286" t="n">
        <v>2145.14</v>
      </c>
      <c r="C286" t="n">
        <v>1483</v>
      </c>
      <c r="D286" t="n">
        <v>1286.72</v>
      </c>
      <c r="E286" t="n">
        <v>1611.27</v>
      </c>
      <c r="F286" t="n">
        <v>2819.76</v>
      </c>
    </row>
    <row r="287">
      <c r="A287" s="3" t="n">
        <v>38861</v>
      </c>
      <c r="B287" t="n">
        <v>2128.92</v>
      </c>
      <c r="C287" t="n">
        <v>1455.21</v>
      </c>
      <c r="D287" t="n">
        <v>1277.53</v>
      </c>
      <c r="E287" t="n">
        <v>1581.23</v>
      </c>
      <c r="F287" t="n">
        <v>2782.09</v>
      </c>
    </row>
    <row r="288">
      <c r="A288" s="3" t="n">
        <v>38862</v>
      </c>
      <c r="B288" t="n">
        <v>2129.37</v>
      </c>
      <c r="C288" t="n">
        <v>1476.08</v>
      </c>
      <c r="D288" t="n">
        <v>1275.89</v>
      </c>
      <c r="E288" t="n">
        <v>1600.99</v>
      </c>
      <c r="F288" t="n">
        <v>2753.92</v>
      </c>
    </row>
    <row r="289">
      <c r="A289" s="3" t="n">
        <v>38863</v>
      </c>
      <c r="B289" t="n">
        <v>2173.29</v>
      </c>
      <c r="C289" t="n">
        <v>1513.9</v>
      </c>
      <c r="D289" t="n">
        <v>1328.55</v>
      </c>
      <c r="E289" t="n">
        <v>1624.35</v>
      </c>
      <c r="F289" t="n">
        <v>2822.12</v>
      </c>
    </row>
    <row r="290">
      <c r="A290" s="3" t="n">
        <v>38866</v>
      </c>
      <c r="B290" t="n">
        <v>2213.96</v>
      </c>
      <c r="C290" t="n">
        <v>1532.6</v>
      </c>
      <c r="D290" t="n">
        <v>1341.48</v>
      </c>
      <c r="E290" t="n">
        <v>1625.94</v>
      </c>
      <c r="F290" t="n">
        <v>2848.64</v>
      </c>
    </row>
    <row r="291">
      <c r="A291" s="3" t="n">
        <v>38867</v>
      </c>
      <c r="B291" t="n">
        <v>2217.3</v>
      </c>
      <c r="C291" t="n">
        <v>1520.39</v>
      </c>
      <c r="D291" t="n">
        <v>1336.23</v>
      </c>
      <c r="E291" t="n">
        <v>1614.18</v>
      </c>
      <c r="F291" t="n">
        <v>2843.8</v>
      </c>
    </row>
    <row r="292">
      <c r="A292" s="3" t="n">
        <v>38868</v>
      </c>
      <c r="B292" t="n">
        <v>2176.96</v>
      </c>
      <c r="C292" t="n">
        <v>1462.32</v>
      </c>
      <c r="D292" t="n">
        <v>1293.34</v>
      </c>
      <c r="E292" t="n">
        <v>1559.52</v>
      </c>
      <c r="F292" t="n">
        <v>2751.17</v>
      </c>
    </row>
    <row r="293">
      <c r="A293" s="3" t="n">
        <v>38869</v>
      </c>
      <c r="B293" t="n">
        <v>2112.69</v>
      </c>
      <c r="C293" t="n">
        <v>1404.46</v>
      </c>
      <c r="D293" t="n">
        <v>1262.56</v>
      </c>
      <c r="E293" t="n">
        <v>1506.65</v>
      </c>
      <c r="F293" t="n">
        <v>2651.02</v>
      </c>
    </row>
    <row r="294">
      <c r="A294" s="3" t="n">
        <v>38870</v>
      </c>
      <c r="B294" t="n">
        <v>2138.95</v>
      </c>
      <c r="C294" t="n">
        <v>1443.46</v>
      </c>
      <c r="D294" t="n">
        <v>1269.71</v>
      </c>
      <c r="E294" t="n">
        <v>1560.68</v>
      </c>
      <c r="F294" t="n">
        <v>2651.81</v>
      </c>
    </row>
    <row r="295">
      <c r="A295" s="3" t="n">
        <v>38873</v>
      </c>
      <c r="B295" t="n">
        <v>2081.09</v>
      </c>
      <c r="C295" t="n">
        <v>1419.99</v>
      </c>
      <c r="D295" t="n">
        <v>1241.95</v>
      </c>
      <c r="E295" t="n">
        <v>1523.08</v>
      </c>
      <c r="F295" t="n">
        <v>2602.11</v>
      </c>
    </row>
    <row r="296">
      <c r="A296" s="3" t="n">
        <v>38874</v>
      </c>
      <c r="B296" t="n">
        <v>2000.42</v>
      </c>
      <c r="C296" t="n">
        <v>1376.69</v>
      </c>
      <c r="D296" t="n">
        <v>1205.8</v>
      </c>
      <c r="E296" t="n">
        <v>1480.61</v>
      </c>
      <c r="F296" t="n">
        <v>2508.2</v>
      </c>
    </row>
    <row r="297">
      <c r="A297" s="3" t="n">
        <v>38875</v>
      </c>
      <c r="B297" t="n">
        <v>1903.3</v>
      </c>
      <c r="C297" t="n">
        <v>1306.34</v>
      </c>
      <c r="D297" t="n">
        <v>1129.82</v>
      </c>
      <c r="E297" t="n">
        <v>1440.8</v>
      </c>
      <c r="F297" t="n">
        <v>2327.8</v>
      </c>
    </row>
    <row r="298">
      <c r="A298" s="3" t="n">
        <v>38876</v>
      </c>
      <c r="B298" t="n">
        <v>1803.7</v>
      </c>
      <c r="C298" t="n">
        <v>1236.65</v>
      </c>
      <c r="D298" t="n">
        <v>1040.69</v>
      </c>
      <c r="E298" t="n">
        <v>1372.7</v>
      </c>
      <c r="F298" t="n">
        <v>2113.07</v>
      </c>
    </row>
    <row r="299">
      <c r="A299" s="3" t="n">
        <v>38877</v>
      </c>
      <c r="B299" t="n">
        <v>1882.39</v>
      </c>
      <c r="C299" t="n">
        <v>1305.5</v>
      </c>
      <c r="D299" t="n">
        <v>1105.75</v>
      </c>
      <c r="E299" t="n">
        <v>1441.7</v>
      </c>
      <c r="F299" t="n">
        <v>2236.71</v>
      </c>
    </row>
    <row r="300">
      <c r="A300" s="3" t="n">
        <v>38880</v>
      </c>
      <c r="B300" t="n">
        <v>1822.91</v>
      </c>
      <c r="C300" t="n">
        <v>1265.01</v>
      </c>
      <c r="D300" t="n">
        <v>1070.22</v>
      </c>
      <c r="E300" t="n">
        <v>1399.9</v>
      </c>
      <c r="F300" t="n">
        <v>2203.23</v>
      </c>
    </row>
    <row r="301">
      <c r="A301" s="3" t="n">
        <v>38881</v>
      </c>
      <c r="B301" t="n">
        <v>1707.36</v>
      </c>
      <c r="C301" t="n">
        <v>1198.09</v>
      </c>
      <c r="D301" t="n">
        <v>1008.3</v>
      </c>
      <c r="E301" t="n">
        <v>1337.8</v>
      </c>
      <c r="F301" t="n">
        <v>2051.87</v>
      </c>
    </row>
    <row r="302">
      <c r="A302" s="3" t="n">
        <v>38882</v>
      </c>
      <c r="B302" t="n">
        <v>1652.54</v>
      </c>
      <c r="C302" t="n">
        <v>1172.22</v>
      </c>
      <c r="D302" t="n">
        <v>996.37</v>
      </c>
      <c r="E302" t="n">
        <v>1319.46</v>
      </c>
      <c r="F302" t="n">
        <v>1975.19</v>
      </c>
    </row>
    <row r="303">
      <c r="A303" s="3" t="n">
        <v>38883</v>
      </c>
      <c r="B303" t="n">
        <v>1748.41</v>
      </c>
      <c r="C303" t="n">
        <v>1258</v>
      </c>
      <c r="D303" t="n">
        <v>1053.9</v>
      </c>
      <c r="E303" t="n">
        <v>1402.36</v>
      </c>
      <c r="F303" t="n">
        <v>2117.89</v>
      </c>
    </row>
    <row r="304">
      <c r="A304" s="3" t="n">
        <v>38884</v>
      </c>
      <c r="B304" t="n">
        <v>1824.39</v>
      </c>
      <c r="C304" t="n">
        <v>1313.59</v>
      </c>
      <c r="D304" t="n">
        <v>1079.65</v>
      </c>
      <c r="E304" t="n">
        <v>1442.29</v>
      </c>
      <c r="F304" t="n">
        <v>2224.7</v>
      </c>
    </row>
    <row r="305">
      <c r="A305" s="3" t="n">
        <v>38887</v>
      </c>
      <c r="B305" t="n">
        <v>1878.15</v>
      </c>
      <c r="C305" t="n">
        <v>1333.5</v>
      </c>
      <c r="D305" t="n">
        <v>1100.44</v>
      </c>
      <c r="E305" t="n">
        <v>1459.62</v>
      </c>
      <c r="F305" t="n">
        <v>2280.54</v>
      </c>
    </row>
    <row r="306">
      <c r="A306" s="3" t="n">
        <v>38888</v>
      </c>
      <c r="B306" t="n">
        <v>1872.76</v>
      </c>
      <c r="C306" t="n">
        <v>1318.3</v>
      </c>
      <c r="D306" t="n">
        <v>1099.67</v>
      </c>
      <c r="E306" t="n">
        <v>1437.23</v>
      </c>
      <c r="F306" t="n">
        <v>2288.45</v>
      </c>
    </row>
    <row r="307">
      <c r="A307" s="3" t="n">
        <v>38889</v>
      </c>
      <c r="B307" t="n">
        <v>1921.69</v>
      </c>
      <c r="C307" t="n">
        <v>1350.07</v>
      </c>
      <c r="D307" t="n">
        <v>1123.48</v>
      </c>
      <c r="E307" t="n">
        <v>1461.53</v>
      </c>
      <c r="F307" t="n">
        <v>2366.4</v>
      </c>
    </row>
    <row r="308">
      <c r="A308" s="3" t="n">
        <v>38890</v>
      </c>
      <c r="B308" t="n">
        <v>1975.6</v>
      </c>
      <c r="C308" t="n">
        <v>1386.23</v>
      </c>
      <c r="D308" t="n">
        <v>1148.9</v>
      </c>
      <c r="E308" t="n">
        <v>1496.54</v>
      </c>
      <c r="F308" t="n">
        <v>2422.51</v>
      </c>
    </row>
    <row r="309">
      <c r="A309" s="3" t="n">
        <v>38891</v>
      </c>
      <c r="B309" t="n">
        <v>1983.89</v>
      </c>
      <c r="C309" t="n">
        <v>1409.02</v>
      </c>
      <c r="D309" t="n">
        <v>1160.45</v>
      </c>
      <c r="E309" t="n">
        <v>1512.45</v>
      </c>
      <c r="F309" t="n">
        <v>2416.41</v>
      </c>
    </row>
    <row r="310">
      <c r="A310" s="3" t="n">
        <v>38893</v>
      </c>
      <c r="B310" t="n">
        <v>2009.42</v>
      </c>
      <c r="C310" t="n">
        <v>1417.09</v>
      </c>
      <c r="D310" t="n">
        <v>1170.85</v>
      </c>
      <c r="E310" t="n">
        <v>1518.9</v>
      </c>
      <c r="F310" t="n">
        <v>2434.29</v>
      </c>
    </row>
    <row r="311">
      <c r="A311" s="3" t="n">
        <v>38894</v>
      </c>
      <c r="B311" t="n">
        <v>1938.06</v>
      </c>
      <c r="C311" t="n">
        <v>1353.67</v>
      </c>
      <c r="D311" t="n">
        <v>1120.86</v>
      </c>
      <c r="E311" t="n">
        <v>1471.94</v>
      </c>
      <c r="F311" t="n">
        <v>2315.82</v>
      </c>
    </row>
    <row r="312">
      <c r="A312" s="3" t="n">
        <v>38895</v>
      </c>
      <c r="B312" t="n">
        <v>1954.56</v>
      </c>
      <c r="C312" t="n">
        <v>1367.94</v>
      </c>
      <c r="D312" t="n">
        <v>1119.79</v>
      </c>
      <c r="E312" t="n">
        <v>1487.76</v>
      </c>
      <c r="F312" t="n">
        <v>2292.37</v>
      </c>
    </row>
    <row r="313">
      <c r="A313" s="3" t="n">
        <v>38896</v>
      </c>
      <c r="B313" t="n">
        <v>1968.56</v>
      </c>
      <c r="C313" t="n">
        <v>1359.39</v>
      </c>
      <c r="D313" t="n">
        <v>1111.55</v>
      </c>
      <c r="E313" t="n">
        <v>1486.88</v>
      </c>
      <c r="F313" t="n">
        <v>2298.5</v>
      </c>
    </row>
    <row r="314">
      <c r="A314" s="3" t="n">
        <v>38897</v>
      </c>
      <c r="B314" t="n">
        <v>1996.42</v>
      </c>
      <c r="C314" t="n">
        <v>1369.71</v>
      </c>
      <c r="D314" t="n">
        <v>1103.84</v>
      </c>
      <c r="E314" t="n">
        <v>1488.75</v>
      </c>
      <c r="F314" t="n">
        <v>2305.52</v>
      </c>
    </row>
    <row r="315">
      <c r="A315" s="3" t="n">
        <v>38898</v>
      </c>
      <c r="B315" t="n">
        <v>2090.03</v>
      </c>
      <c r="C315" t="n">
        <v>1423.36</v>
      </c>
      <c r="D315" t="n">
        <v>1137.2</v>
      </c>
      <c r="E315" t="n">
        <v>1546.3</v>
      </c>
      <c r="F315" t="n">
        <v>2404.94</v>
      </c>
    </row>
    <row r="316">
      <c r="A316" s="3" t="n">
        <v>38901</v>
      </c>
      <c r="B316" t="n">
        <v>2111.51</v>
      </c>
      <c r="C316" t="n">
        <v>1431.06</v>
      </c>
      <c r="D316" t="n">
        <v>1135.51</v>
      </c>
      <c r="E316" t="n">
        <v>1550.63</v>
      </c>
      <c r="F316" t="n">
        <v>2424.42</v>
      </c>
    </row>
    <row r="317">
      <c r="A317" s="3" t="n">
        <v>38902</v>
      </c>
      <c r="B317" t="n">
        <v>2111.6</v>
      </c>
      <c r="C317" t="n">
        <v>1418.72</v>
      </c>
      <c r="D317" t="n">
        <v>1137.1</v>
      </c>
      <c r="E317" t="n">
        <v>1546.36</v>
      </c>
      <c r="F317" t="n">
        <v>2424.31</v>
      </c>
    </row>
    <row r="318">
      <c r="A318" s="3" t="n">
        <v>38903</v>
      </c>
      <c r="B318" t="n">
        <v>2161.6</v>
      </c>
      <c r="C318" t="n">
        <v>1440.68</v>
      </c>
      <c r="D318" t="n">
        <v>1154.29</v>
      </c>
      <c r="E318" t="n">
        <v>1572.07</v>
      </c>
      <c r="F318" t="n">
        <v>2468.37</v>
      </c>
    </row>
    <row r="319">
      <c r="A319" s="3" t="n">
        <v>38904</v>
      </c>
      <c r="B319" t="n">
        <v>2158.99</v>
      </c>
      <c r="C319" t="n">
        <v>1426.55</v>
      </c>
      <c r="D319" t="n">
        <v>1149.31</v>
      </c>
      <c r="E319" t="n">
        <v>1556.68</v>
      </c>
      <c r="F319" t="n">
        <v>2478.28</v>
      </c>
    </row>
    <row r="320">
      <c r="A320" s="3" t="n">
        <v>38905</v>
      </c>
      <c r="B320" t="n">
        <v>2144.31</v>
      </c>
      <c r="C320" t="n">
        <v>1387.2</v>
      </c>
      <c r="D320" t="n">
        <v>1115.24</v>
      </c>
      <c r="E320" t="n">
        <v>1517.9</v>
      </c>
      <c r="F320" t="n">
        <v>2466.6</v>
      </c>
    </row>
    <row r="321">
      <c r="A321" s="3" t="n">
        <v>38908</v>
      </c>
      <c r="B321" t="n">
        <v>2144.4</v>
      </c>
      <c r="C321" t="n">
        <v>1410.53</v>
      </c>
      <c r="D321" t="n">
        <v>1118.12</v>
      </c>
      <c r="E321" t="n">
        <v>1544.13</v>
      </c>
      <c r="F321" t="n">
        <v>2463.12</v>
      </c>
    </row>
    <row r="322">
      <c r="A322" s="3" t="n">
        <v>38909</v>
      </c>
      <c r="B322" t="n">
        <v>2123.81</v>
      </c>
      <c r="C322" t="n">
        <v>1399.56</v>
      </c>
      <c r="D322" t="n">
        <v>1118.71</v>
      </c>
      <c r="E322" t="n">
        <v>1538.67</v>
      </c>
      <c r="F322" t="n">
        <v>2452.26</v>
      </c>
    </row>
    <row r="323">
      <c r="A323" s="3" t="n">
        <v>38910</v>
      </c>
      <c r="B323" t="n">
        <v>2135.69</v>
      </c>
      <c r="C323" t="n">
        <v>1424.89</v>
      </c>
      <c r="D323" t="n">
        <v>1118.49</v>
      </c>
      <c r="E323" t="n">
        <v>1566.49</v>
      </c>
      <c r="F323" t="n">
        <v>2462.39</v>
      </c>
    </row>
    <row r="324">
      <c r="A324" s="3" t="n">
        <v>38911</v>
      </c>
      <c r="B324" t="n">
        <v>2115.07</v>
      </c>
      <c r="C324" t="n">
        <v>1420.07</v>
      </c>
      <c r="D324" t="n">
        <v>1112.57</v>
      </c>
      <c r="E324" t="n">
        <v>1559.92</v>
      </c>
      <c r="F324" t="n">
        <v>2447.38</v>
      </c>
    </row>
    <row r="325">
      <c r="A325" s="3" t="n">
        <v>38912</v>
      </c>
      <c r="B325" t="n">
        <v>2067.63</v>
      </c>
      <c r="C325" t="n">
        <v>1401.03</v>
      </c>
      <c r="D325" t="n">
        <v>1096.19</v>
      </c>
      <c r="E325" t="n">
        <v>1537.89</v>
      </c>
      <c r="F325" t="n">
        <v>2413.75</v>
      </c>
    </row>
    <row r="326">
      <c r="A326" s="3" t="n">
        <v>38915</v>
      </c>
      <c r="B326" t="n">
        <v>1989.88</v>
      </c>
      <c r="C326" t="n">
        <v>1356</v>
      </c>
      <c r="D326" t="n">
        <v>1065.72</v>
      </c>
      <c r="E326" t="n">
        <v>1492.02</v>
      </c>
      <c r="F326" t="n">
        <v>2338.34</v>
      </c>
    </row>
    <row r="327">
      <c r="A327" s="3" t="n">
        <v>38916</v>
      </c>
      <c r="B327" t="n">
        <v>1949.19</v>
      </c>
      <c r="C327" t="n">
        <v>1345.56</v>
      </c>
      <c r="D327" t="n">
        <v>1044.46</v>
      </c>
      <c r="E327" t="n">
        <v>1484.25</v>
      </c>
      <c r="F327" t="n">
        <v>2283.36</v>
      </c>
    </row>
    <row r="328">
      <c r="A328" s="3" t="n">
        <v>38917</v>
      </c>
      <c r="B328" t="n">
        <v>1869</v>
      </c>
      <c r="C328" t="n">
        <v>1311.49</v>
      </c>
      <c r="D328" t="n">
        <v>1021.42</v>
      </c>
      <c r="E328" t="n">
        <v>1452.67</v>
      </c>
      <c r="F328" t="n">
        <v>2179.24</v>
      </c>
    </row>
    <row r="329">
      <c r="A329" s="3" t="n">
        <v>38918</v>
      </c>
      <c r="B329" t="n">
        <v>1907.39</v>
      </c>
      <c r="C329" t="n">
        <v>1349.42</v>
      </c>
      <c r="D329" t="n">
        <v>1046.88</v>
      </c>
      <c r="E329" t="n">
        <v>1495.34</v>
      </c>
      <c r="F329" t="n">
        <v>2216.76</v>
      </c>
    </row>
    <row r="330">
      <c r="A330" s="3" t="n">
        <v>38919</v>
      </c>
      <c r="B330" t="n">
        <v>1848.14</v>
      </c>
      <c r="C330" t="n">
        <v>1318.37</v>
      </c>
      <c r="D330" t="n">
        <v>1025.47</v>
      </c>
      <c r="E330" t="n">
        <v>1462.28</v>
      </c>
      <c r="F330" t="n">
        <v>2144.82</v>
      </c>
    </row>
    <row r="331">
      <c r="A331" s="3" t="n">
        <v>38922</v>
      </c>
      <c r="B331" t="n">
        <v>1832.93</v>
      </c>
      <c r="C331" t="n">
        <v>1322.79</v>
      </c>
      <c r="D331" t="n">
        <v>1034.37</v>
      </c>
      <c r="E331" t="n">
        <v>1471.59</v>
      </c>
      <c r="F331" t="n">
        <v>2112.17</v>
      </c>
    </row>
    <row r="332">
      <c r="A332" s="3" t="n">
        <v>38923</v>
      </c>
      <c r="B332" t="n">
        <v>1880.48</v>
      </c>
      <c r="C332" t="n">
        <v>1347.68</v>
      </c>
      <c r="D332" t="n">
        <v>1057.95</v>
      </c>
      <c r="E332" t="n">
        <v>1500.36</v>
      </c>
      <c r="F332" t="n">
        <v>2171.83</v>
      </c>
    </row>
    <row r="333">
      <c r="A333" s="3" t="n">
        <v>38924</v>
      </c>
      <c r="B333" t="n">
        <v>1929.07</v>
      </c>
      <c r="C333" t="n">
        <v>1373.36</v>
      </c>
      <c r="D333" t="n">
        <v>1073.77</v>
      </c>
      <c r="E333" t="n">
        <v>1532.85</v>
      </c>
      <c r="F333" t="n">
        <v>2229.33</v>
      </c>
    </row>
    <row r="334">
      <c r="A334" s="3" t="n">
        <v>38925</v>
      </c>
      <c r="B334" t="n">
        <v>1971.9</v>
      </c>
      <c r="C334" t="n">
        <v>1384.93</v>
      </c>
      <c r="D334" t="n">
        <v>1076.84</v>
      </c>
      <c r="E334" t="n">
        <v>1552.83</v>
      </c>
      <c r="F334" t="n">
        <v>2272.44</v>
      </c>
    </row>
    <row r="335">
      <c r="A335" s="3" t="n">
        <v>38926</v>
      </c>
      <c r="B335" t="n">
        <v>1993.22</v>
      </c>
      <c r="C335" t="n">
        <v>1389.24</v>
      </c>
      <c r="D335" t="n">
        <v>1089.28</v>
      </c>
      <c r="E335" t="n">
        <v>1549.67</v>
      </c>
      <c r="F335" t="n">
        <v>2306.73</v>
      </c>
    </row>
    <row r="336">
      <c r="A336" s="3" t="n">
        <v>38929</v>
      </c>
      <c r="B336" t="n">
        <v>2024.6</v>
      </c>
      <c r="C336" t="n">
        <v>1395.09</v>
      </c>
      <c r="D336" t="n">
        <v>1100.1</v>
      </c>
      <c r="E336" t="n">
        <v>1556.35</v>
      </c>
      <c r="F336" t="n">
        <v>2340.99</v>
      </c>
    </row>
    <row r="337">
      <c r="A337" s="3" t="n">
        <v>38930</v>
      </c>
      <c r="B337" t="n">
        <v>2001.86</v>
      </c>
      <c r="C337" t="n">
        <v>1386.96</v>
      </c>
      <c r="D337" t="n">
        <v>1096.72</v>
      </c>
      <c r="E337" t="n">
        <v>1553.76</v>
      </c>
      <c r="F337" t="n">
        <v>2310.08</v>
      </c>
    </row>
    <row r="338">
      <c r="A338" s="3" t="n">
        <v>38931</v>
      </c>
      <c r="B338" t="n">
        <v>2030.78</v>
      </c>
      <c r="C338" t="n">
        <v>1404.6</v>
      </c>
      <c r="D338" t="n">
        <v>1113.13</v>
      </c>
      <c r="E338" t="n">
        <v>1569.81</v>
      </c>
      <c r="F338" t="n">
        <v>2340.01</v>
      </c>
    </row>
    <row r="339">
      <c r="A339" s="3" t="n">
        <v>38932</v>
      </c>
      <c r="B339" t="n">
        <v>2039.24</v>
      </c>
      <c r="C339" t="n">
        <v>1409.47</v>
      </c>
      <c r="D339" t="n">
        <v>1122.56</v>
      </c>
      <c r="E339" t="n">
        <v>1570.97</v>
      </c>
      <c r="F339" t="n">
        <v>2354.52</v>
      </c>
    </row>
    <row r="340">
      <c r="A340" s="3" t="n">
        <v>38933</v>
      </c>
      <c r="B340" t="n">
        <v>2030.78</v>
      </c>
      <c r="C340" t="n">
        <v>1405.09</v>
      </c>
      <c r="D340" t="n">
        <v>1113.72</v>
      </c>
      <c r="E340" t="n">
        <v>1567.97</v>
      </c>
      <c r="F340" t="n">
        <v>2340.25</v>
      </c>
    </row>
    <row r="341">
      <c r="A341" s="3" t="n">
        <v>38936</v>
      </c>
      <c r="B341" t="n">
        <v>2026.52</v>
      </c>
      <c r="C341" t="n">
        <v>1395.43</v>
      </c>
      <c r="D341" t="n">
        <v>1114.5</v>
      </c>
      <c r="E341" t="n">
        <v>1561.23</v>
      </c>
      <c r="F341" t="n">
        <v>2334.88</v>
      </c>
    </row>
    <row r="342">
      <c r="A342" s="3" t="n">
        <v>38937</v>
      </c>
      <c r="B342" t="n">
        <v>2066.94</v>
      </c>
      <c r="C342" t="n">
        <v>1420.03</v>
      </c>
      <c r="D342" t="n">
        <v>1132.04</v>
      </c>
      <c r="E342" t="n">
        <v>1582.76</v>
      </c>
      <c r="F342" t="n">
        <v>2371.54</v>
      </c>
    </row>
    <row r="343">
      <c r="A343" s="3" t="n">
        <v>38938</v>
      </c>
      <c r="B343" t="n">
        <v>2103.4</v>
      </c>
      <c r="C343" t="n">
        <v>1444.42</v>
      </c>
      <c r="D343" t="n">
        <v>1149.96</v>
      </c>
      <c r="E343" t="n">
        <v>1604.35</v>
      </c>
      <c r="F343" t="n">
        <v>2412.54</v>
      </c>
    </row>
    <row r="344">
      <c r="A344" s="3" t="n">
        <v>38939</v>
      </c>
      <c r="B344" t="n">
        <v>2144.49</v>
      </c>
      <c r="C344" t="n">
        <v>1450.38</v>
      </c>
      <c r="D344" t="n">
        <v>1166.49</v>
      </c>
      <c r="E344" t="n">
        <v>1609.95</v>
      </c>
      <c r="F344" t="n">
        <v>2480.56</v>
      </c>
    </row>
    <row r="345">
      <c r="A345" s="3" t="n">
        <v>38940</v>
      </c>
      <c r="B345" t="n">
        <v>2163.68</v>
      </c>
      <c r="C345" t="n">
        <v>1463.32</v>
      </c>
      <c r="D345" t="n">
        <v>1180.44</v>
      </c>
      <c r="E345" t="n">
        <v>1618.01</v>
      </c>
      <c r="F345" t="n">
        <v>2536.83</v>
      </c>
    </row>
    <row r="346">
      <c r="A346" s="3" t="n">
        <v>38943</v>
      </c>
      <c r="B346" t="n">
        <v>2200.51</v>
      </c>
      <c r="C346" t="n">
        <v>1477.89</v>
      </c>
      <c r="D346" t="n">
        <v>1202.69</v>
      </c>
      <c r="E346" t="n">
        <v>1639.16</v>
      </c>
      <c r="F346" t="n">
        <v>2604.97</v>
      </c>
    </row>
    <row r="347">
      <c r="A347" s="3" t="n">
        <v>38945</v>
      </c>
      <c r="B347" t="n">
        <v>2233.9</v>
      </c>
      <c r="C347" t="n">
        <v>1494.78</v>
      </c>
      <c r="D347" t="n">
        <v>1238.61</v>
      </c>
      <c r="E347" t="n">
        <v>1665.3</v>
      </c>
      <c r="F347" t="n">
        <v>2636.65</v>
      </c>
    </row>
    <row r="348">
      <c r="A348" s="3" t="n">
        <v>38946</v>
      </c>
      <c r="B348" t="n">
        <v>2224.38</v>
      </c>
      <c r="C348" t="n">
        <v>1490.76</v>
      </c>
      <c r="D348" t="n">
        <v>1221.53</v>
      </c>
      <c r="E348" t="n">
        <v>1658.79</v>
      </c>
      <c r="F348" t="n">
        <v>2609.08</v>
      </c>
    </row>
    <row r="349">
      <c r="A349" s="3" t="n">
        <v>38947</v>
      </c>
      <c r="B349" t="n">
        <v>2240.05</v>
      </c>
      <c r="C349" t="n">
        <v>1497.82</v>
      </c>
      <c r="D349" t="n">
        <v>1229.59</v>
      </c>
      <c r="E349" t="n">
        <v>1672.94</v>
      </c>
      <c r="F349" t="n">
        <v>2629.05</v>
      </c>
    </row>
    <row r="350">
      <c r="A350" s="3" t="n">
        <v>38950</v>
      </c>
      <c r="B350" t="n">
        <v>2248.81</v>
      </c>
      <c r="C350" t="n">
        <v>1499.43</v>
      </c>
      <c r="D350" t="n">
        <v>1247.03</v>
      </c>
      <c r="E350" t="n">
        <v>1681.21</v>
      </c>
      <c r="F350" t="n">
        <v>2634.34</v>
      </c>
    </row>
    <row r="351">
      <c r="A351" s="3" t="n">
        <v>38951</v>
      </c>
      <c r="B351" t="n">
        <v>2233.4</v>
      </c>
      <c r="C351" t="n">
        <v>1499.07</v>
      </c>
      <c r="D351" t="n">
        <v>1239</v>
      </c>
      <c r="E351" t="n">
        <v>1677.3</v>
      </c>
      <c r="F351" t="n">
        <v>2618.38</v>
      </c>
    </row>
    <row r="352">
      <c r="A352" s="3" t="n">
        <v>38952</v>
      </c>
      <c r="B352" t="n">
        <v>2194.48</v>
      </c>
      <c r="C352" t="n">
        <v>1482.63</v>
      </c>
      <c r="D352" t="n">
        <v>1226.93</v>
      </c>
      <c r="E352" t="n">
        <v>1656.83</v>
      </c>
      <c r="F352" t="n">
        <v>2551.91</v>
      </c>
    </row>
    <row r="353">
      <c r="A353" s="3" t="n">
        <v>38953</v>
      </c>
      <c r="B353" t="n">
        <v>2209.08</v>
      </c>
      <c r="C353" t="n">
        <v>1492.12</v>
      </c>
      <c r="D353" t="n">
        <v>1233.29</v>
      </c>
      <c r="E353" t="n">
        <v>1669.31</v>
      </c>
      <c r="F353" t="n">
        <v>2554.91</v>
      </c>
    </row>
    <row r="354">
      <c r="A354" s="3" t="n">
        <v>38954</v>
      </c>
      <c r="B354" t="n">
        <v>2226.24</v>
      </c>
      <c r="C354" t="n">
        <v>1499.16</v>
      </c>
      <c r="D354" t="n">
        <v>1243.77</v>
      </c>
      <c r="E354" t="n">
        <v>1680.54</v>
      </c>
      <c r="F354" t="n">
        <v>2589.81</v>
      </c>
    </row>
    <row r="355">
      <c r="A355" s="3" t="n">
        <v>38957</v>
      </c>
      <c r="B355" t="n">
        <v>2229.23</v>
      </c>
      <c r="C355" t="n">
        <v>1508.78</v>
      </c>
      <c r="D355" t="n">
        <v>1258.61</v>
      </c>
      <c r="E355" t="n">
        <v>1687.95</v>
      </c>
      <c r="F355" t="n">
        <v>2602.1</v>
      </c>
    </row>
    <row r="356">
      <c r="A356" s="3" t="n">
        <v>38958</v>
      </c>
      <c r="B356" t="n">
        <v>2235.21</v>
      </c>
      <c r="C356" t="n">
        <v>1514.25</v>
      </c>
      <c r="D356" t="n">
        <v>1258.6</v>
      </c>
      <c r="E356" t="n">
        <v>1697.84</v>
      </c>
      <c r="F356" t="n">
        <v>2604.39</v>
      </c>
    </row>
    <row r="357">
      <c r="A357" s="3" t="n">
        <v>38959</v>
      </c>
      <c r="B357" t="n">
        <v>2221.74</v>
      </c>
      <c r="C357" t="n">
        <v>1511.65</v>
      </c>
      <c r="D357" t="n">
        <v>1263.33</v>
      </c>
      <c r="E357" t="n">
        <v>1703.52</v>
      </c>
      <c r="F357" t="n">
        <v>2582.58</v>
      </c>
    </row>
    <row r="358">
      <c r="A358" s="3" t="n">
        <v>38960</v>
      </c>
      <c r="B358" t="n">
        <v>2211.44</v>
      </c>
      <c r="C358" t="n">
        <v>1495.08</v>
      </c>
      <c r="D358" t="n">
        <v>1247.43</v>
      </c>
      <c r="E358" t="n">
        <v>1697.9</v>
      </c>
      <c r="F358" t="n">
        <v>2570.87</v>
      </c>
    </row>
    <row r="359">
      <c r="A359" s="3" t="n">
        <v>38961</v>
      </c>
      <c r="B359" t="n">
        <v>2236.12</v>
      </c>
      <c r="C359" t="n">
        <v>1504.74</v>
      </c>
      <c r="D359" t="n">
        <v>1261.31</v>
      </c>
      <c r="E359" t="n">
        <v>1714.73</v>
      </c>
      <c r="F359" t="n">
        <v>2598.27</v>
      </c>
    </row>
    <row r="360">
      <c r="A360" s="3" t="n">
        <v>38964</v>
      </c>
      <c r="B360" t="n">
        <v>2267.99</v>
      </c>
      <c r="C360" t="n">
        <v>1525.63</v>
      </c>
      <c r="D360" t="n">
        <v>1287.42</v>
      </c>
      <c r="E360" t="n">
        <v>1731.29</v>
      </c>
      <c r="F360" t="n">
        <v>2662.52</v>
      </c>
    </row>
    <row r="361">
      <c r="A361" s="3" t="n">
        <v>38965</v>
      </c>
      <c r="B361" t="n">
        <v>2273.12</v>
      </c>
      <c r="C361" t="n">
        <v>1524.75</v>
      </c>
      <c r="D361" t="n">
        <v>1294.09</v>
      </c>
      <c r="E361" t="n">
        <v>1729.68</v>
      </c>
      <c r="F361" t="n">
        <v>2693.32</v>
      </c>
    </row>
    <row r="362">
      <c r="A362" s="3" t="n">
        <v>38966</v>
      </c>
      <c r="B362" t="n">
        <v>2285.75</v>
      </c>
      <c r="C362" t="n">
        <v>1533.47</v>
      </c>
      <c r="D362" t="n">
        <v>1306.82</v>
      </c>
      <c r="E362" t="n">
        <v>1731.07</v>
      </c>
      <c r="F362" t="n">
        <v>2722.88</v>
      </c>
    </row>
    <row r="363">
      <c r="A363" s="3" t="n">
        <v>38967</v>
      </c>
      <c r="B363" t="n">
        <v>2278.84</v>
      </c>
      <c r="C363" t="n">
        <v>1524.79</v>
      </c>
      <c r="D363" t="n">
        <v>1295.2</v>
      </c>
      <c r="E363" t="n">
        <v>1718.98</v>
      </c>
      <c r="F363" t="n">
        <v>2707.2</v>
      </c>
    </row>
    <row r="364">
      <c r="A364" s="3" t="n">
        <v>38968</v>
      </c>
      <c r="B364" t="n">
        <v>2297.34</v>
      </c>
      <c r="C364" t="n">
        <v>1527.61</v>
      </c>
      <c r="D364" t="n">
        <v>1310.24</v>
      </c>
      <c r="E364" t="n">
        <v>1731.09</v>
      </c>
      <c r="F364" t="n">
        <v>2736.67</v>
      </c>
    </row>
    <row r="365">
      <c r="A365" s="3" t="n">
        <v>38971</v>
      </c>
      <c r="B365" t="n">
        <v>2217.35</v>
      </c>
      <c r="C365" t="n">
        <v>1479.62</v>
      </c>
      <c r="D365" t="n">
        <v>1267.56</v>
      </c>
      <c r="E365" t="n">
        <v>1683.98</v>
      </c>
      <c r="F365" t="n">
        <v>2641.65</v>
      </c>
    </row>
    <row r="366">
      <c r="A366" s="3" t="n">
        <v>38972</v>
      </c>
      <c r="B366" t="n">
        <v>2237.46</v>
      </c>
      <c r="C366" t="n">
        <v>1489.62</v>
      </c>
      <c r="D366" t="n">
        <v>1281.96</v>
      </c>
      <c r="E366" t="n">
        <v>1697.13</v>
      </c>
      <c r="F366" t="n">
        <v>2676.85</v>
      </c>
    </row>
    <row r="367">
      <c r="A367" s="3" t="n">
        <v>38973</v>
      </c>
      <c r="B367" t="n">
        <v>2270.62</v>
      </c>
      <c r="C367" t="n">
        <v>1510.35</v>
      </c>
      <c r="D367" t="n">
        <v>1313.03</v>
      </c>
      <c r="E367" t="n">
        <v>1730.68</v>
      </c>
      <c r="F367" t="n">
        <v>2741.72</v>
      </c>
    </row>
    <row r="368">
      <c r="A368" s="3" t="n">
        <v>38974</v>
      </c>
      <c r="B368" t="n">
        <v>2282.13</v>
      </c>
      <c r="C368" t="n">
        <v>1515.85</v>
      </c>
      <c r="D368" t="n">
        <v>1324.82</v>
      </c>
      <c r="E368" t="n">
        <v>1735.73</v>
      </c>
      <c r="F368" t="n">
        <v>2769.83</v>
      </c>
    </row>
    <row r="369">
      <c r="A369" s="3" t="n">
        <v>38975</v>
      </c>
      <c r="B369" t="n">
        <v>2292.64</v>
      </c>
      <c r="C369" t="n">
        <v>1518.97</v>
      </c>
      <c r="D369" t="n">
        <v>1322.16</v>
      </c>
      <c r="E369" t="n">
        <v>1735.98</v>
      </c>
      <c r="F369" t="n">
        <v>2777.34</v>
      </c>
    </row>
    <row r="370">
      <c r="A370" s="3" t="n">
        <v>38978</v>
      </c>
      <c r="B370" t="n">
        <v>2307.8</v>
      </c>
      <c r="C370" t="n">
        <v>1525.71</v>
      </c>
      <c r="D370" t="n">
        <v>1330.13</v>
      </c>
      <c r="E370" t="n">
        <v>1748.97</v>
      </c>
      <c r="F370" t="n">
        <v>2790.98</v>
      </c>
    </row>
    <row r="371">
      <c r="A371" s="3" t="n">
        <v>38979</v>
      </c>
      <c r="B371" t="n">
        <v>2273.08</v>
      </c>
      <c r="C371" t="n">
        <v>1509.63</v>
      </c>
      <c r="D371" t="n">
        <v>1310.92</v>
      </c>
      <c r="E371" t="n">
        <v>1735.97</v>
      </c>
      <c r="F371" t="n">
        <v>2770.03</v>
      </c>
    </row>
    <row r="372">
      <c r="A372" s="3" t="n">
        <v>38980</v>
      </c>
      <c r="B372" t="n">
        <v>2287.56</v>
      </c>
      <c r="C372" t="n">
        <v>1522.69</v>
      </c>
      <c r="D372" t="n">
        <v>1317.95</v>
      </c>
      <c r="E372" t="n">
        <v>1749.56</v>
      </c>
      <c r="F372" t="n">
        <v>2804.86</v>
      </c>
    </row>
    <row r="373">
      <c r="A373" s="3" t="n">
        <v>38981</v>
      </c>
      <c r="B373" t="n">
        <v>2319.14</v>
      </c>
      <c r="C373" t="n">
        <v>1539.99</v>
      </c>
      <c r="D373" t="n">
        <v>1329.75</v>
      </c>
      <c r="E373" t="n">
        <v>1772.79</v>
      </c>
      <c r="F373" t="n">
        <v>2839.65</v>
      </c>
    </row>
    <row r="374">
      <c r="A374" s="3" t="n">
        <v>38982</v>
      </c>
      <c r="B374" t="n">
        <v>2318.13</v>
      </c>
      <c r="C374" t="n">
        <v>1528.64</v>
      </c>
      <c r="D374" t="n">
        <v>1321.32</v>
      </c>
      <c r="E374" t="n">
        <v>1764.72</v>
      </c>
      <c r="F374" t="n">
        <v>2823.33</v>
      </c>
    </row>
    <row r="375">
      <c r="A375" s="3" t="n">
        <v>38985</v>
      </c>
      <c r="B375" t="n">
        <v>2301.47</v>
      </c>
      <c r="C375" t="n">
        <v>1520.11</v>
      </c>
      <c r="D375" t="n">
        <v>1324.12</v>
      </c>
      <c r="E375" t="n">
        <v>1757.44</v>
      </c>
      <c r="F375" t="n">
        <v>2829.54</v>
      </c>
    </row>
    <row r="376">
      <c r="A376" s="3" t="n">
        <v>38986</v>
      </c>
      <c r="B376" t="n">
        <v>2320.04</v>
      </c>
      <c r="C376" t="n">
        <v>1534.28</v>
      </c>
      <c r="D376" t="n">
        <v>1332.22</v>
      </c>
      <c r="E376" t="n">
        <v>1776.84</v>
      </c>
      <c r="F376" t="n">
        <v>2857.36</v>
      </c>
    </row>
    <row r="377">
      <c r="A377" s="3" t="n">
        <v>38987</v>
      </c>
      <c r="B377" t="n">
        <v>2331.88</v>
      </c>
      <c r="C377" t="n">
        <v>1536.88</v>
      </c>
      <c r="D377" t="n">
        <v>1344.89</v>
      </c>
      <c r="E377" t="n">
        <v>1782.97</v>
      </c>
      <c r="F377" t="n">
        <v>2901.63</v>
      </c>
    </row>
    <row r="378">
      <c r="A378" s="3" t="n">
        <v>38988</v>
      </c>
      <c r="B378" t="n">
        <v>2326.37</v>
      </c>
      <c r="C378" t="n">
        <v>1535.15</v>
      </c>
      <c r="D378" t="n">
        <v>1358.46</v>
      </c>
      <c r="E378" t="n">
        <v>1789.95</v>
      </c>
      <c r="F378" t="n">
        <v>2903.61</v>
      </c>
    </row>
    <row r="379">
      <c r="A379" s="3" t="n">
        <v>38989</v>
      </c>
      <c r="B379" t="n">
        <v>2356.52</v>
      </c>
      <c r="C379" t="n">
        <v>1545.18</v>
      </c>
      <c r="D379" t="n">
        <v>1363.36</v>
      </c>
      <c r="E379" t="n">
        <v>1795.08</v>
      </c>
      <c r="F379" t="n">
        <v>2963.78</v>
      </c>
    </row>
    <row r="380">
      <c r="A380" s="3" t="n">
        <v>38993</v>
      </c>
      <c r="B380" t="n">
        <v>2348.47</v>
      </c>
      <c r="C380" t="n">
        <v>1541.81</v>
      </c>
      <c r="D380" t="n">
        <v>1367.81</v>
      </c>
      <c r="E380" t="n">
        <v>1784.41</v>
      </c>
      <c r="F380" t="n">
        <v>2990.85</v>
      </c>
    </row>
    <row r="381">
      <c r="A381" s="3" t="n">
        <v>38994</v>
      </c>
      <c r="B381" t="n">
        <v>2326.71</v>
      </c>
      <c r="C381" t="n">
        <v>1525.33</v>
      </c>
      <c r="D381" t="n">
        <v>1361.71</v>
      </c>
      <c r="E381" t="n">
        <v>1761.27</v>
      </c>
      <c r="F381" t="n">
        <v>2966.36</v>
      </c>
    </row>
    <row r="382">
      <c r="A382" s="3" t="n">
        <v>38995</v>
      </c>
      <c r="B382" t="n">
        <v>2366.78</v>
      </c>
      <c r="C382" t="n">
        <v>1550.39</v>
      </c>
      <c r="D382" t="n">
        <v>1391.04</v>
      </c>
      <c r="E382" t="n">
        <v>1788.96</v>
      </c>
      <c r="F382" t="n">
        <v>3036.75</v>
      </c>
    </row>
    <row r="383">
      <c r="A383" s="3" t="n">
        <v>38996</v>
      </c>
      <c r="B383" t="n">
        <v>2377.4</v>
      </c>
      <c r="C383" t="n">
        <v>1554.13</v>
      </c>
      <c r="D383" t="n">
        <v>1413.96</v>
      </c>
      <c r="E383" t="n">
        <v>1786.77</v>
      </c>
      <c r="F383" t="n">
        <v>3033.78</v>
      </c>
    </row>
    <row r="384">
      <c r="A384" s="3" t="n">
        <v>38999</v>
      </c>
      <c r="B384" t="n">
        <v>2390.56</v>
      </c>
      <c r="C384" t="n">
        <v>1557.52</v>
      </c>
      <c r="D384" t="n">
        <v>1409.62</v>
      </c>
      <c r="E384" t="n">
        <v>1787.55</v>
      </c>
      <c r="F384" t="n">
        <v>3019.36</v>
      </c>
    </row>
    <row r="385">
      <c r="A385" s="3" t="n">
        <v>39000</v>
      </c>
      <c r="B385" t="n">
        <v>2389.81</v>
      </c>
      <c r="C385" t="n">
        <v>1558.26</v>
      </c>
      <c r="D385" t="n">
        <v>1407.39</v>
      </c>
      <c r="E385" t="n">
        <v>1787.33</v>
      </c>
      <c r="F385" t="n">
        <v>3006.82</v>
      </c>
    </row>
    <row r="386">
      <c r="A386" s="3" t="n">
        <v>39001</v>
      </c>
      <c r="B386" t="n">
        <v>2364.29</v>
      </c>
      <c r="C386" t="n">
        <v>1547.01</v>
      </c>
      <c r="D386" t="n">
        <v>1384.54</v>
      </c>
      <c r="E386" t="n">
        <v>1784.29</v>
      </c>
      <c r="F386" t="n">
        <v>2962.16</v>
      </c>
    </row>
    <row r="387">
      <c r="A387" s="3" t="n">
        <v>39002</v>
      </c>
      <c r="B387" t="n">
        <v>2401.45</v>
      </c>
      <c r="C387" t="n">
        <v>1567.47</v>
      </c>
      <c r="D387" t="n">
        <v>1412.8</v>
      </c>
      <c r="E387" t="n">
        <v>1803.57</v>
      </c>
      <c r="F387" t="n">
        <v>3009.54</v>
      </c>
    </row>
    <row r="388">
      <c r="A388" s="3" t="n">
        <v>39003</v>
      </c>
      <c r="B388" t="n">
        <v>2435.48</v>
      </c>
      <c r="C388" t="n">
        <v>1581.62</v>
      </c>
      <c r="D388" t="n">
        <v>1409.25</v>
      </c>
      <c r="E388" t="n">
        <v>1819.9</v>
      </c>
      <c r="F388" t="n">
        <v>3037.67</v>
      </c>
    </row>
    <row r="389">
      <c r="A389" s="3" t="n">
        <v>39006</v>
      </c>
      <c r="B389" t="n">
        <v>2451.65</v>
      </c>
      <c r="C389" t="n">
        <v>1591.98</v>
      </c>
      <c r="D389" t="n">
        <v>1405.59</v>
      </c>
      <c r="E389" t="n">
        <v>1842.93</v>
      </c>
      <c r="F389" t="n">
        <v>3037.41</v>
      </c>
    </row>
    <row r="390">
      <c r="A390" s="3" t="n">
        <v>39007</v>
      </c>
      <c r="B390" t="n">
        <v>2438.62</v>
      </c>
      <c r="C390" t="n">
        <v>1591.33</v>
      </c>
      <c r="D390" t="n">
        <v>1396.13</v>
      </c>
      <c r="E390" t="n">
        <v>1832</v>
      </c>
      <c r="F390" t="n">
        <v>3040.63</v>
      </c>
    </row>
    <row r="391">
      <c r="A391" s="3" t="n">
        <v>39008</v>
      </c>
      <c r="B391" t="n">
        <v>2435.8</v>
      </c>
      <c r="C391" t="n">
        <v>1591.82</v>
      </c>
      <c r="D391" t="n">
        <v>1399.25</v>
      </c>
      <c r="E391" t="n">
        <v>1833.32</v>
      </c>
      <c r="F391" t="n">
        <v>3033.45</v>
      </c>
    </row>
    <row r="392">
      <c r="A392" s="3" t="n">
        <v>39009</v>
      </c>
      <c r="B392" t="n">
        <v>2426.67</v>
      </c>
      <c r="C392" t="n">
        <v>1582.8</v>
      </c>
      <c r="D392" t="n">
        <v>1392.26</v>
      </c>
      <c r="E392" t="n">
        <v>1824.38</v>
      </c>
      <c r="F392" t="n">
        <v>3045.43</v>
      </c>
    </row>
    <row r="393">
      <c r="A393" s="3" t="n">
        <v>39010</v>
      </c>
      <c r="B393" t="n">
        <v>2438.13</v>
      </c>
      <c r="C393" t="n">
        <v>1584.28</v>
      </c>
      <c r="D393" t="n">
        <v>1391.88</v>
      </c>
      <c r="E393" t="n">
        <v>1826.18</v>
      </c>
      <c r="F393" t="n">
        <v>3089.98</v>
      </c>
    </row>
    <row r="394">
      <c r="A394" s="3" t="n">
        <v>39011</v>
      </c>
      <c r="B394" t="n">
        <v>2459.29</v>
      </c>
      <c r="C394" t="n">
        <v>1593.5</v>
      </c>
      <c r="D394" t="n">
        <v>1400.72</v>
      </c>
      <c r="E394" t="n">
        <v>1833.98</v>
      </c>
      <c r="F394" t="n">
        <v>3139.39</v>
      </c>
    </row>
    <row r="395">
      <c r="A395" s="3" t="n">
        <v>39013</v>
      </c>
      <c r="B395" t="n">
        <v>2443.63</v>
      </c>
      <c r="C395" t="n">
        <v>1578.1</v>
      </c>
      <c r="D395" t="n">
        <v>1396.99</v>
      </c>
      <c r="E395" t="n">
        <v>1818.61</v>
      </c>
      <c r="F395" t="n">
        <v>3119.31</v>
      </c>
    </row>
    <row r="396">
      <c r="A396" s="3" t="n">
        <v>39016</v>
      </c>
      <c r="B396" t="n">
        <v>2470.36</v>
      </c>
      <c r="C396" t="n">
        <v>1587.47</v>
      </c>
      <c r="D396" t="n">
        <v>1400.7</v>
      </c>
      <c r="E396" t="n">
        <v>1836.07</v>
      </c>
      <c r="F396" t="n">
        <v>3145.78</v>
      </c>
    </row>
    <row r="397">
      <c r="A397" s="3" t="n">
        <v>39017</v>
      </c>
      <c r="B397" t="n">
        <v>2507.62</v>
      </c>
      <c r="C397" t="n">
        <v>1604.91</v>
      </c>
      <c r="D397" t="n">
        <v>1420.95</v>
      </c>
      <c r="E397" t="n">
        <v>1859.14</v>
      </c>
      <c r="F397" t="n">
        <v>3182.52</v>
      </c>
    </row>
    <row r="398">
      <c r="A398" s="3" t="n">
        <v>39020</v>
      </c>
      <c r="B398" t="n">
        <v>2517.99</v>
      </c>
      <c r="C398" t="n">
        <v>1599.92</v>
      </c>
      <c r="D398" t="n">
        <v>1416.33</v>
      </c>
      <c r="E398" t="n">
        <v>1877.51</v>
      </c>
      <c r="F398" t="n">
        <v>3187.68</v>
      </c>
    </row>
    <row r="399">
      <c r="A399" s="3" t="n">
        <v>39021</v>
      </c>
      <c r="B399" t="n">
        <v>2507.87</v>
      </c>
      <c r="C399" t="n">
        <v>1594.96</v>
      </c>
      <c r="D399" t="n">
        <v>1404.9</v>
      </c>
      <c r="E399" t="n">
        <v>1867.53</v>
      </c>
      <c r="F399" t="n">
        <v>3174.37</v>
      </c>
    </row>
    <row r="400">
      <c r="A400" s="3" t="n">
        <v>39022</v>
      </c>
      <c r="B400" t="n">
        <v>2519.89</v>
      </c>
      <c r="C400" t="n">
        <v>1600.48</v>
      </c>
      <c r="D400" t="n">
        <v>1414.14</v>
      </c>
      <c r="E400" t="n">
        <v>1874.9</v>
      </c>
      <c r="F400" t="n">
        <v>3176.2</v>
      </c>
    </row>
    <row r="401">
      <c r="A401" s="3" t="n">
        <v>39023</v>
      </c>
      <c r="B401" t="n">
        <v>2537.28</v>
      </c>
      <c r="C401" t="n">
        <v>1602.23</v>
      </c>
      <c r="D401" t="n">
        <v>1412.92</v>
      </c>
      <c r="E401" t="n">
        <v>1879.93</v>
      </c>
      <c r="F401" t="n">
        <v>3217.04</v>
      </c>
    </row>
    <row r="402">
      <c r="A402" s="3" t="n">
        <v>39024</v>
      </c>
      <c r="B402" t="n">
        <v>2551.11</v>
      </c>
      <c r="C402" t="n">
        <v>1598.69</v>
      </c>
      <c r="D402" t="n">
        <v>1406.21</v>
      </c>
      <c r="E402" t="n">
        <v>1884.07</v>
      </c>
      <c r="F402" t="n">
        <v>3256.07</v>
      </c>
    </row>
    <row r="403">
      <c r="A403" s="3" t="n">
        <v>39027</v>
      </c>
      <c r="B403" t="n">
        <v>2574.55</v>
      </c>
      <c r="C403" t="n">
        <v>1612.36</v>
      </c>
      <c r="D403" t="n">
        <v>1405.73</v>
      </c>
      <c r="E403" t="n">
        <v>1888.77</v>
      </c>
      <c r="F403" t="n">
        <v>3294.1</v>
      </c>
    </row>
    <row r="404">
      <c r="A404" s="3" t="n">
        <v>39028</v>
      </c>
      <c r="B404" t="n">
        <v>2577.54</v>
      </c>
      <c r="C404" t="n">
        <v>1610.04</v>
      </c>
      <c r="D404" t="n">
        <v>1394.67</v>
      </c>
      <c r="E404" t="n">
        <v>1889.99</v>
      </c>
      <c r="F404" t="n">
        <v>3295.87</v>
      </c>
    </row>
    <row r="405">
      <c r="A405" s="3" t="n">
        <v>39029</v>
      </c>
      <c r="B405" t="n">
        <v>2546.1</v>
      </c>
      <c r="C405" t="n">
        <v>1592.97</v>
      </c>
      <c r="D405" t="n">
        <v>1378.15</v>
      </c>
      <c r="E405" t="n">
        <v>1884.43</v>
      </c>
      <c r="F405" t="n">
        <v>3240.66</v>
      </c>
    </row>
    <row r="406">
      <c r="A406" s="3" t="n">
        <v>39030</v>
      </c>
      <c r="B406" t="n">
        <v>2548.03</v>
      </c>
      <c r="C406" t="n">
        <v>1606.72</v>
      </c>
      <c r="D406" t="n">
        <v>1380.54</v>
      </c>
      <c r="E406" t="n">
        <v>1896.17</v>
      </c>
      <c r="F406" t="n">
        <v>3245.97</v>
      </c>
    </row>
    <row r="407">
      <c r="A407" s="3" t="n">
        <v>39031</v>
      </c>
      <c r="B407" t="n">
        <v>2576.85</v>
      </c>
      <c r="C407" t="n">
        <v>1618.53</v>
      </c>
      <c r="D407" t="n">
        <v>1385.16</v>
      </c>
      <c r="E407" t="n">
        <v>1911.94</v>
      </c>
      <c r="F407" t="n">
        <v>3303.49</v>
      </c>
    </row>
    <row r="408">
      <c r="A408" s="3" t="n">
        <v>39034</v>
      </c>
      <c r="B408" t="n">
        <v>2599.75</v>
      </c>
      <c r="C408" t="n">
        <v>1620.78</v>
      </c>
      <c r="D408" t="n">
        <v>1384.47</v>
      </c>
      <c r="E408" t="n">
        <v>1928.39</v>
      </c>
      <c r="F408" t="n">
        <v>3364.58</v>
      </c>
    </row>
    <row r="409">
      <c r="A409" s="3" t="n">
        <v>39035</v>
      </c>
      <c r="B409" t="n">
        <v>2585.48</v>
      </c>
      <c r="C409" t="n">
        <v>1615.32</v>
      </c>
      <c r="D409" t="n">
        <v>1382.88</v>
      </c>
      <c r="E409" t="n">
        <v>1935.34</v>
      </c>
      <c r="F409" t="n">
        <v>3379.04</v>
      </c>
    </row>
    <row r="410">
      <c r="A410" s="3" t="n">
        <v>39036</v>
      </c>
      <c r="B410" t="n">
        <v>2594.58</v>
      </c>
      <c r="C410" t="n">
        <v>1610.3</v>
      </c>
      <c r="D410" t="n">
        <v>1392.92</v>
      </c>
      <c r="E410" t="n">
        <v>1942.96</v>
      </c>
      <c r="F410" t="n">
        <v>3426.35</v>
      </c>
    </row>
    <row r="411">
      <c r="A411" s="3" t="n">
        <v>39037</v>
      </c>
      <c r="B411" t="n">
        <v>2607.47</v>
      </c>
      <c r="C411" t="n">
        <v>1607.15</v>
      </c>
      <c r="D411" t="n">
        <v>1383.17</v>
      </c>
      <c r="E411" t="n">
        <v>1948.37</v>
      </c>
      <c r="F411" t="n">
        <v>3455.52</v>
      </c>
    </row>
    <row r="412">
      <c r="A412" s="3" t="n">
        <v>39038</v>
      </c>
      <c r="B412" t="n">
        <v>2564.19</v>
      </c>
      <c r="C412" t="n">
        <v>1588.98</v>
      </c>
      <c r="D412" t="n">
        <v>1375.71</v>
      </c>
      <c r="E412" t="n">
        <v>1933.41</v>
      </c>
      <c r="F412" t="n">
        <v>3373.53</v>
      </c>
    </row>
    <row r="413">
      <c r="A413" s="3" t="n">
        <v>39041</v>
      </c>
      <c r="B413" t="n">
        <v>2532.19</v>
      </c>
      <c r="C413" t="n">
        <v>1581.43</v>
      </c>
      <c r="D413" t="n">
        <v>1354.62</v>
      </c>
      <c r="E413" t="n">
        <v>1927.01</v>
      </c>
      <c r="F413" t="n">
        <v>3367.88</v>
      </c>
    </row>
    <row r="414">
      <c r="A414" s="3" t="n">
        <v>39042</v>
      </c>
      <c r="B414" t="n">
        <v>2580.7</v>
      </c>
      <c r="C414" t="n">
        <v>1606.67</v>
      </c>
      <c r="D414" t="n">
        <v>1378</v>
      </c>
      <c r="E414" t="n">
        <v>1954.27</v>
      </c>
      <c r="F414" t="n">
        <v>3444.04</v>
      </c>
    </row>
    <row r="415">
      <c r="A415" s="3" t="n">
        <v>39043</v>
      </c>
      <c r="B415" t="n">
        <v>2622.64</v>
      </c>
      <c r="C415" t="n">
        <v>1628.09</v>
      </c>
      <c r="D415" t="n">
        <v>1375.02</v>
      </c>
      <c r="E415" t="n">
        <v>1965.14</v>
      </c>
      <c r="F415" t="n">
        <v>3526.04</v>
      </c>
    </row>
    <row r="416">
      <c r="A416" s="3" t="n">
        <v>39044</v>
      </c>
      <c r="B416" t="n">
        <v>2635.44</v>
      </c>
      <c r="C416" t="n">
        <v>1626.54</v>
      </c>
      <c r="D416" t="n">
        <v>1389.39</v>
      </c>
      <c r="E416" t="n">
        <v>1969.9</v>
      </c>
      <c r="F416" t="n">
        <v>3579.4</v>
      </c>
    </row>
    <row r="417">
      <c r="A417" s="3" t="n">
        <v>39045</v>
      </c>
      <c r="B417" t="n">
        <v>2642.09</v>
      </c>
      <c r="C417" t="n">
        <v>1628.15</v>
      </c>
      <c r="D417" t="n">
        <v>1393.53</v>
      </c>
      <c r="E417" t="n">
        <v>1976.78</v>
      </c>
      <c r="F417" t="n">
        <v>3580.26</v>
      </c>
    </row>
    <row r="418">
      <c r="A418" s="3" t="n">
        <v>39048</v>
      </c>
      <c r="B418" t="n">
        <v>2653.15</v>
      </c>
      <c r="C418" t="n">
        <v>1628.61</v>
      </c>
      <c r="D418" t="n">
        <v>1389.5</v>
      </c>
      <c r="E418" t="n">
        <v>1987.74</v>
      </c>
      <c r="F418" t="n">
        <v>3576.61</v>
      </c>
    </row>
    <row r="419">
      <c r="A419" s="3" t="n">
        <v>39049</v>
      </c>
      <c r="B419" t="n">
        <v>2634.04</v>
      </c>
      <c r="C419" t="n">
        <v>1605.38</v>
      </c>
      <c r="D419" t="n">
        <v>1368.23</v>
      </c>
      <c r="E419" t="n">
        <v>1969.02</v>
      </c>
      <c r="F419" t="n">
        <v>3513.98</v>
      </c>
    </row>
    <row r="420">
      <c r="A420" s="3" t="n">
        <v>39050</v>
      </c>
      <c r="B420" t="n">
        <v>2654.03</v>
      </c>
      <c r="C420" t="n">
        <v>1613.12</v>
      </c>
      <c r="D420" t="n">
        <v>1372.27</v>
      </c>
      <c r="E420" t="n">
        <v>1976.5</v>
      </c>
      <c r="F420" t="n">
        <v>3554.88</v>
      </c>
    </row>
    <row r="421">
      <c r="A421" s="3" t="n">
        <v>39051</v>
      </c>
      <c r="B421" t="n">
        <v>2644.57</v>
      </c>
      <c r="C421" t="n">
        <v>1611.98</v>
      </c>
      <c r="D421" t="n">
        <v>1351.77</v>
      </c>
      <c r="E421" t="n">
        <v>1990.29</v>
      </c>
      <c r="F421" t="n">
        <v>3539.83</v>
      </c>
    </row>
    <row r="422">
      <c r="A422" s="3" t="n">
        <v>39052</v>
      </c>
      <c r="B422" t="n">
        <v>2685.58</v>
      </c>
      <c r="C422" t="n">
        <v>1634</v>
      </c>
      <c r="D422" t="n">
        <v>1367.82</v>
      </c>
      <c r="E422" t="n">
        <v>2011.09</v>
      </c>
      <c r="F422" t="n">
        <v>3574.32</v>
      </c>
    </row>
    <row r="423">
      <c r="A423" s="3" t="n">
        <v>39055</v>
      </c>
      <c r="B423" t="n">
        <v>2732.6</v>
      </c>
      <c r="C423" t="n">
        <v>1639.12</v>
      </c>
      <c r="D423" t="n">
        <v>1376</v>
      </c>
      <c r="E423" t="n">
        <v>2014.48</v>
      </c>
      <c r="F423" t="n">
        <v>3620.32</v>
      </c>
    </row>
    <row r="424">
      <c r="A424" s="3" t="n">
        <v>39056</v>
      </c>
      <c r="B424" t="n">
        <v>2729.41</v>
      </c>
      <c r="C424" t="n">
        <v>1647.09</v>
      </c>
      <c r="D424" t="n">
        <v>1381.22</v>
      </c>
      <c r="E424" t="n">
        <v>2007.87</v>
      </c>
      <c r="F424" t="n">
        <v>3594.66</v>
      </c>
    </row>
    <row r="425">
      <c r="A425" s="3" t="n">
        <v>39057</v>
      </c>
      <c r="B425" t="n">
        <v>2713.69</v>
      </c>
      <c r="C425" t="n">
        <v>1639.52</v>
      </c>
      <c r="D425" t="n">
        <v>1366.87</v>
      </c>
      <c r="E425" t="n">
        <v>2005.41</v>
      </c>
      <c r="F425" t="n">
        <v>3554.35</v>
      </c>
    </row>
    <row r="426">
      <c r="A426" s="3" t="n">
        <v>39058</v>
      </c>
      <c r="B426" t="n">
        <v>2723.35</v>
      </c>
      <c r="C426" t="n">
        <v>1642.35</v>
      </c>
      <c r="D426" t="n">
        <v>1367.93</v>
      </c>
      <c r="E426" t="n">
        <v>2005.66</v>
      </c>
      <c r="F426" t="n">
        <v>3578.02</v>
      </c>
    </row>
    <row r="427">
      <c r="A427" s="3" t="n">
        <v>39059</v>
      </c>
      <c r="B427" t="n">
        <v>2711.05</v>
      </c>
      <c r="C427" t="n">
        <v>1620.47</v>
      </c>
      <c r="D427" t="n">
        <v>1358.75</v>
      </c>
      <c r="E427" t="n">
        <v>1989.45</v>
      </c>
      <c r="F427" t="n">
        <v>3549.24</v>
      </c>
    </row>
    <row r="428">
      <c r="A428" s="3" t="n">
        <v>39062</v>
      </c>
      <c r="B428" t="n">
        <v>2640.58</v>
      </c>
      <c r="C428" t="n">
        <v>1585.61</v>
      </c>
      <c r="D428" t="n">
        <v>1309.3</v>
      </c>
      <c r="E428" t="n">
        <v>1928.54</v>
      </c>
      <c r="F428" t="n">
        <v>3450.56</v>
      </c>
    </row>
    <row r="429">
      <c r="A429" s="3" t="n">
        <v>39063</v>
      </c>
      <c r="B429" t="n">
        <v>2533.33</v>
      </c>
      <c r="C429" t="n">
        <v>1535.91</v>
      </c>
      <c r="D429" t="n">
        <v>1251.33</v>
      </c>
      <c r="E429" t="n">
        <v>1862.64</v>
      </c>
      <c r="F429" t="n">
        <v>3277.49</v>
      </c>
    </row>
    <row r="430">
      <c r="A430" s="3" t="n">
        <v>39064</v>
      </c>
      <c r="B430" t="n">
        <v>2579.42</v>
      </c>
      <c r="C430" t="n">
        <v>1550.32</v>
      </c>
      <c r="D430" t="n">
        <v>1275.46</v>
      </c>
      <c r="E430" t="n">
        <v>1883.45</v>
      </c>
      <c r="F430" t="n">
        <v>3396.15</v>
      </c>
    </row>
    <row r="431">
      <c r="A431" s="3" t="n">
        <v>39065</v>
      </c>
      <c r="B431" t="n">
        <v>2638.7</v>
      </c>
      <c r="C431" t="n">
        <v>1582.2</v>
      </c>
      <c r="D431" t="n">
        <v>1305.82</v>
      </c>
      <c r="E431" t="n">
        <v>1922.34</v>
      </c>
      <c r="F431" t="n">
        <v>3517.45</v>
      </c>
    </row>
    <row r="432">
      <c r="A432" s="3" t="n">
        <v>39066</v>
      </c>
      <c r="B432" t="n">
        <v>2664.11</v>
      </c>
      <c r="C432" t="n">
        <v>1600.13</v>
      </c>
      <c r="D432" t="n">
        <v>1324.5</v>
      </c>
      <c r="E432" t="n">
        <v>1942.84</v>
      </c>
      <c r="F432" t="n">
        <v>3540.77</v>
      </c>
    </row>
    <row r="433">
      <c r="A433" s="3" t="n">
        <v>39069</v>
      </c>
      <c r="B433" t="n">
        <v>2660.58</v>
      </c>
      <c r="C433" t="n">
        <v>1617.49</v>
      </c>
      <c r="D433" t="n">
        <v>1325.54</v>
      </c>
      <c r="E433" t="n">
        <v>1956.27</v>
      </c>
      <c r="F433" t="n">
        <v>3498</v>
      </c>
    </row>
    <row r="434">
      <c r="A434" s="3" t="n">
        <v>39070</v>
      </c>
      <c r="B434" t="n">
        <v>2599.77</v>
      </c>
      <c r="C434" t="n">
        <v>1580.2</v>
      </c>
      <c r="D434" t="n">
        <v>1305.14</v>
      </c>
      <c r="E434" t="n">
        <v>1913.28</v>
      </c>
      <c r="F434" t="n">
        <v>3433.47</v>
      </c>
    </row>
    <row r="435">
      <c r="A435" s="3" t="n">
        <v>39071</v>
      </c>
      <c r="B435" t="n">
        <v>2586.54</v>
      </c>
      <c r="C435" t="n">
        <v>1569.99</v>
      </c>
      <c r="D435" t="n">
        <v>1305.27</v>
      </c>
      <c r="E435" t="n">
        <v>1903.81</v>
      </c>
      <c r="F435" t="n">
        <v>3395.46</v>
      </c>
    </row>
    <row r="436">
      <c r="A436" s="3" t="n">
        <v>39072</v>
      </c>
      <c r="B436" t="n">
        <v>2584.2</v>
      </c>
      <c r="C436" t="n">
        <v>1584.23</v>
      </c>
      <c r="D436" t="n">
        <v>1307.74</v>
      </c>
      <c r="E436" t="n">
        <v>1910.02</v>
      </c>
      <c r="F436" t="n">
        <v>3409.55</v>
      </c>
    </row>
    <row r="437">
      <c r="A437" s="3" t="n">
        <v>39073</v>
      </c>
      <c r="B437" t="n">
        <v>2613.84</v>
      </c>
      <c r="C437" t="n">
        <v>1602.29</v>
      </c>
      <c r="D437" t="n">
        <v>1328.2</v>
      </c>
      <c r="E437" t="n">
        <v>1922.96</v>
      </c>
      <c r="F437" t="n">
        <v>3471.2</v>
      </c>
    </row>
    <row r="438">
      <c r="A438" s="3" t="n">
        <v>39077</v>
      </c>
      <c r="B438" t="n">
        <v>2662.94</v>
      </c>
      <c r="C438" t="n">
        <v>1628.28</v>
      </c>
      <c r="D438" t="n">
        <v>1335.63</v>
      </c>
      <c r="E438" t="n">
        <v>1958.17</v>
      </c>
      <c r="F438" t="n">
        <v>3517.63</v>
      </c>
    </row>
    <row r="439">
      <c r="A439" s="3" t="n">
        <v>39078</v>
      </c>
      <c r="B439" t="n">
        <v>2688.02</v>
      </c>
      <c r="C439" t="n">
        <v>1642.67</v>
      </c>
      <c r="D439" t="n">
        <v>1354.56</v>
      </c>
      <c r="E439" t="n">
        <v>1977.71</v>
      </c>
      <c r="F439" t="n">
        <v>3542.31</v>
      </c>
    </row>
    <row r="440">
      <c r="A440" s="3" t="n">
        <v>39079</v>
      </c>
      <c r="B440" t="n">
        <v>2673.08</v>
      </c>
      <c r="C440" t="n">
        <v>1641.06</v>
      </c>
      <c r="D440" t="n">
        <v>1353.66</v>
      </c>
      <c r="E440" t="n">
        <v>1979.1</v>
      </c>
      <c r="F440" t="n">
        <v>3541.28</v>
      </c>
    </row>
    <row r="441">
      <c r="A441" s="3" t="n">
        <v>39080</v>
      </c>
      <c r="B441" t="n">
        <v>2692.14</v>
      </c>
      <c r="C441" t="n">
        <v>1649.91</v>
      </c>
      <c r="D441" t="n">
        <v>1361.93</v>
      </c>
      <c r="E441" t="n">
        <v>1979.36</v>
      </c>
      <c r="F441" t="n">
        <v>3563.39</v>
      </c>
    </row>
    <row r="442">
      <c r="A442" s="3" t="n">
        <v>39084</v>
      </c>
      <c r="B442" t="n">
        <v>2738.49</v>
      </c>
      <c r="C442" t="n">
        <v>1671.36</v>
      </c>
      <c r="D442" t="n">
        <v>1374.92</v>
      </c>
      <c r="E442" t="n">
        <v>1997.56</v>
      </c>
      <c r="F442" t="n">
        <v>3619.71</v>
      </c>
    </row>
    <row r="443">
      <c r="A443" s="3" t="n">
        <v>39085</v>
      </c>
      <c r="B443" t="n">
        <v>2747.07</v>
      </c>
      <c r="C443" t="n">
        <v>1682.24</v>
      </c>
      <c r="D443" t="n">
        <v>1400.04</v>
      </c>
      <c r="E443" t="n">
        <v>2005.49</v>
      </c>
      <c r="F443" t="n">
        <v>3646.52</v>
      </c>
    </row>
    <row r="444">
      <c r="A444" s="3" t="n">
        <v>39086</v>
      </c>
      <c r="B444" t="n">
        <v>2738.53</v>
      </c>
      <c r="C444" t="n">
        <v>1670.98</v>
      </c>
      <c r="D444" t="n">
        <v>1403.73</v>
      </c>
      <c r="E444" t="n">
        <v>1991.41</v>
      </c>
      <c r="F444" t="n">
        <v>3669.31</v>
      </c>
    </row>
    <row r="445">
      <c r="A445" s="3" t="n">
        <v>39087</v>
      </c>
      <c r="B445" t="n">
        <v>2717.07</v>
      </c>
      <c r="C445" t="n">
        <v>1667.81</v>
      </c>
      <c r="D445" t="n">
        <v>1410.04</v>
      </c>
      <c r="E445" t="n">
        <v>1993.84</v>
      </c>
      <c r="F445" t="n">
        <v>3653.47</v>
      </c>
    </row>
    <row r="446">
      <c r="A446" s="3" t="n">
        <v>39090</v>
      </c>
      <c r="B446" t="n">
        <v>2683.7</v>
      </c>
      <c r="C446" t="n">
        <v>1646.9</v>
      </c>
      <c r="D446" t="n">
        <v>1410.05</v>
      </c>
      <c r="E446" t="n">
        <v>1971.9</v>
      </c>
      <c r="F446" t="n">
        <v>3608.04</v>
      </c>
    </row>
    <row r="447">
      <c r="A447" s="3" t="n">
        <v>39091</v>
      </c>
      <c r="B447" t="n">
        <v>2664.29</v>
      </c>
      <c r="C447" t="n">
        <v>1631.77</v>
      </c>
      <c r="D447" t="n">
        <v>1398.73</v>
      </c>
      <c r="E447" t="n">
        <v>1961.09</v>
      </c>
      <c r="F447" t="n">
        <v>3573.11</v>
      </c>
    </row>
    <row r="448">
      <c r="A448" s="3" t="n">
        <v>39092</v>
      </c>
      <c r="B448" t="n">
        <v>2626.19</v>
      </c>
      <c r="C448" t="n">
        <v>1620.57</v>
      </c>
      <c r="D448" t="n">
        <v>1379.41</v>
      </c>
      <c r="E448" t="n">
        <v>1933.32</v>
      </c>
      <c r="F448" t="n">
        <v>3512.98</v>
      </c>
    </row>
    <row r="449">
      <c r="A449" s="3" t="n">
        <v>39093</v>
      </c>
      <c r="B449" t="n">
        <v>2669.55</v>
      </c>
      <c r="C449" t="n">
        <v>1654.41</v>
      </c>
      <c r="D449" t="n">
        <v>1409.27</v>
      </c>
      <c r="E449" t="n">
        <v>1970.42</v>
      </c>
      <c r="F449" t="n">
        <v>3575.2</v>
      </c>
    </row>
    <row r="450">
      <c r="A450" s="3" t="n">
        <v>39094</v>
      </c>
      <c r="B450" t="n">
        <v>2720.68</v>
      </c>
      <c r="C450" t="n">
        <v>1687.46</v>
      </c>
      <c r="D450" t="n">
        <v>1444.27</v>
      </c>
      <c r="E450" t="n">
        <v>2026.65</v>
      </c>
      <c r="F450" t="n">
        <v>3621.58</v>
      </c>
    </row>
    <row r="451">
      <c r="A451" s="3" t="n">
        <v>39097</v>
      </c>
      <c r="B451" t="n">
        <v>2748.18</v>
      </c>
      <c r="C451" t="n">
        <v>1709.61</v>
      </c>
      <c r="D451" t="n">
        <v>1450.78</v>
      </c>
      <c r="E451" t="n">
        <v>2033.92</v>
      </c>
      <c r="F451" t="n">
        <v>3666.61</v>
      </c>
    </row>
    <row r="452">
      <c r="A452" s="3" t="n">
        <v>39098</v>
      </c>
      <c r="B452" t="n">
        <v>2758.86</v>
      </c>
      <c r="C452" t="n">
        <v>1707.31</v>
      </c>
      <c r="D452" t="n">
        <v>1449.64</v>
      </c>
      <c r="E452" t="n">
        <v>2035.05</v>
      </c>
      <c r="F452" t="n">
        <v>3685.31</v>
      </c>
    </row>
    <row r="453">
      <c r="A453" s="3" t="n">
        <v>39099</v>
      </c>
      <c r="B453" t="n">
        <v>2778.81</v>
      </c>
      <c r="C453" t="n">
        <v>1712.31</v>
      </c>
      <c r="D453" t="n">
        <v>1467.25</v>
      </c>
      <c r="E453" t="n">
        <v>2035.33</v>
      </c>
      <c r="F453" t="n">
        <v>3737.65</v>
      </c>
    </row>
    <row r="454">
      <c r="A454" s="3" t="n">
        <v>39100</v>
      </c>
      <c r="B454" t="n">
        <v>2783.94</v>
      </c>
      <c r="C454" t="n">
        <v>1725.97</v>
      </c>
      <c r="D454" t="n">
        <v>1473.91</v>
      </c>
      <c r="E454" t="n">
        <v>2049.76</v>
      </c>
      <c r="F454" t="n">
        <v>3741.5</v>
      </c>
    </row>
    <row r="455">
      <c r="A455" s="3" t="n">
        <v>39101</v>
      </c>
      <c r="B455" t="n">
        <v>2772.83</v>
      </c>
      <c r="C455" t="n">
        <v>1709.1</v>
      </c>
      <c r="D455" t="n">
        <v>1469.07</v>
      </c>
      <c r="E455" t="n">
        <v>2043.81</v>
      </c>
      <c r="F455" t="n">
        <v>3708.73</v>
      </c>
    </row>
    <row r="456">
      <c r="A456" s="3" t="n">
        <v>39104</v>
      </c>
      <c r="B456" t="n">
        <v>2791.9</v>
      </c>
      <c r="C456" t="n">
        <v>1712.14</v>
      </c>
      <c r="D456" t="n">
        <v>1463.23</v>
      </c>
      <c r="E456" t="n">
        <v>2048.65</v>
      </c>
      <c r="F456" t="n">
        <v>3729.24</v>
      </c>
    </row>
    <row r="457">
      <c r="A457" s="3" t="n">
        <v>39105</v>
      </c>
      <c r="B457" t="n">
        <v>2722.59</v>
      </c>
      <c r="C457" t="n">
        <v>1698.67</v>
      </c>
      <c r="D457" t="n">
        <v>1445.15</v>
      </c>
      <c r="E457" t="n">
        <v>2026.32</v>
      </c>
      <c r="F457" t="n">
        <v>3643.36</v>
      </c>
    </row>
    <row r="458">
      <c r="A458" s="3" t="n">
        <v>39106</v>
      </c>
      <c r="B458" t="n">
        <v>2724.59</v>
      </c>
      <c r="C458" t="n">
        <v>1719.13</v>
      </c>
      <c r="D458" t="n">
        <v>1460.53</v>
      </c>
      <c r="E458" t="n">
        <v>2029.21</v>
      </c>
      <c r="F458" t="n">
        <v>3660.62</v>
      </c>
    </row>
    <row r="459">
      <c r="A459" s="3" t="n">
        <v>39107</v>
      </c>
      <c r="B459" t="n">
        <v>2740.96</v>
      </c>
      <c r="C459" t="n">
        <v>1744.86</v>
      </c>
      <c r="D459" t="n">
        <v>1480.6</v>
      </c>
      <c r="E459" t="n">
        <v>2055.91</v>
      </c>
      <c r="F459" t="n">
        <v>3681.02</v>
      </c>
    </row>
    <row r="460">
      <c r="A460" s="3" t="n">
        <v>39111</v>
      </c>
      <c r="B460" t="n">
        <v>2730.13</v>
      </c>
      <c r="C460" t="n">
        <v>1740.6</v>
      </c>
      <c r="D460" t="n">
        <v>1483.14</v>
      </c>
      <c r="E460" t="n">
        <v>2040.07</v>
      </c>
      <c r="F460" t="n">
        <v>3663.85</v>
      </c>
    </row>
    <row r="461">
      <c r="A461" s="3" t="n">
        <v>39113</v>
      </c>
      <c r="B461" t="n">
        <v>2706.76</v>
      </c>
      <c r="C461" t="n">
        <v>1711.82</v>
      </c>
      <c r="D461" t="n">
        <v>1472.43</v>
      </c>
      <c r="E461" t="n">
        <v>2026.36</v>
      </c>
      <c r="F461" t="n">
        <v>3654.25</v>
      </c>
    </row>
    <row r="462">
      <c r="A462" s="3" t="n">
        <v>39114</v>
      </c>
      <c r="B462" t="n">
        <v>2734.93</v>
      </c>
      <c r="C462" t="n">
        <v>1730.77</v>
      </c>
      <c r="D462" t="n">
        <v>1487.3</v>
      </c>
      <c r="E462" t="n">
        <v>2048.52</v>
      </c>
      <c r="F462" t="n">
        <v>3693.29</v>
      </c>
    </row>
    <row r="463">
      <c r="A463" s="3" t="n">
        <v>39115</v>
      </c>
      <c r="B463" t="n">
        <v>2759.53</v>
      </c>
      <c r="C463" t="n">
        <v>1743.1</v>
      </c>
      <c r="D463" t="n">
        <v>1484.53</v>
      </c>
      <c r="E463" t="n">
        <v>2066.92</v>
      </c>
      <c r="F463" t="n">
        <v>3721.83</v>
      </c>
    </row>
    <row r="464">
      <c r="A464" s="3" t="n">
        <v>39118</v>
      </c>
      <c r="B464" t="n">
        <v>2775.35</v>
      </c>
      <c r="C464" t="n">
        <v>1748.95</v>
      </c>
      <c r="D464" t="n">
        <v>1487.52</v>
      </c>
      <c r="E464" t="n">
        <v>2083.59</v>
      </c>
      <c r="F464" t="n">
        <v>3735.92</v>
      </c>
    </row>
    <row r="465">
      <c r="A465" s="3" t="n">
        <v>39119</v>
      </c>
      <c r="B465" t="n">
        <v>2783.8</v>
      </c>
      <c r="C465" t="n">
        <v>1755.1</v>
      </c>
      <c r="D465" t="n">
        <v>1482.15</v>
      </c>
      <c r="E465" t="n">
        <v>2082.29</v>
      </c>
      <c r="F465" t="n">
        <v>3764.95</v>
      </c>
    </row>
    <row r="466">
      <c r="A466" s="3" t="n">
        <v>39120</v>
      </c>
      <c r="B466" t="n">
        <v>2800.19</v>
      </c>
      <c r="C466" t="n">
        <v>1773.7</v>
      </c>
      <c r="D466" t="n">
        <v>1479.77</v>
      </c>
      <c r="E466" t="n">
        <v>2094.81</v>
      </c>
      <c r="F466" t="n">
        <v>3757.13</v>
      </c>
    </row>
    <row r="467">
      <c r="A467" s="3" t="n">
        <v>39121</v>
      </c>
      <c r="B467" t="n">
        <v>2796.56</v>
      </c>
      <c r="C467" t="n">
        <v>1772.11</v>
      </c>
      <c r="D467" t="n">
        <v>1485.25</v>
      </c>
      <c r="E467" t="n">
        <v>2100.89</v>
      </c>
      <c r="F467" t="n">
        <v>3756</v>
      </c>
    </row>
    <row r="468">
      <c r="A468" s="3" t="n">
        <v>39122</v>
      </c>
      <c r="B468" t="n">
        <v>2748.47</v>
      </c>
      <c r="C468" t="n">
        <v>1751.49</v>
      </c>
      <c r="D468" t="n">
        <v>1454.7</v>
      </c>
      <c r="E468" t="n">
        <v>2080.79</v>
      </c>
      <c r="F468" t="n">
        <v>3678.97</v>
      </c>
    </row>
    <row r="469">
      <c r="A469" s="3" t="n">
        <v>39125</v>
      </c>
      <c r="B469" t="n">
        <v>2655.09</v>
      </c>
      <c r="C469" t="n">
        <v>1704.9</v>
      </c>
      <c r="D469" t="n">
        <v>1393.66</v>
      </c>
      <c r="E469" t="n">
        <v>2027.1</v>
      </c>
      <c r="F469" t="n">
        <v>3477.17</v>
      </c>
    </row>
    <row r="470">
      <c r="A470" s="3" t="n">
        <v>39126</v>
      </c>
      <c r="B470" t="n">
        <v>2627.91</v>
      </c>
      <c r="C470" t="n">
        <v>1695.18</v>
      </c>
      <c r="D470" t="n">
        <v>1392.37</v>
      </c>
      <c r="E470" t="n">
        <v>2018.25</v>
      </c>
      <c r="F470" t="n">
        <v>3455.08</v>
      </c>
    </row>
    <row r="471">
      <c r="A471" s="3" t="n">
        <v>39127</v>
      </c>
      <c r="B471" t="n">
        <v>2621.99</v>
      </c>
      <c r="C471" t="n">
        <v>1707.13</v>
      </c>
      <c r="D471" t="n">
        <v>1390.2</v>
      </c>
      <c r="E471" t="n">
        <v>2011.07</v>
      </c>
      <c r="F471" t="n">
        <v>3419.63</v>
      </c>
    </row>
    <row r="472">
      <c r="A472" s="3" t="n">
        <v>39128</v>
      </c>
      <c r="B472" t="n">
        <v>2696.79</v>
      </c>
      <c r="C472" t="n">
        <v>1763.86</v>
      </c>
      <c r="D472" t="n">
        <v>1422.2</v>
      </c>
      <c r="E472" t="n">
        <v>2061.31</v>
      </c>
      <c r="F472" t="n">
        <v>3523.12</v>
      </c>
    </row>
    <row r="473">
      <c r="A473" s="3" t="n">
        <v>39132</v>
      </c>
      <c r="B473" t="n">
        <v>2704.57</v>
      </c>
      <c r="C473" t="n">
        <v>1767.55</v>
      </c>
      <c r="D473" t="n">
        <v>1424.43</v>
      </c>
      <c r="E473" t="n">
        <v>2068.36</v>
      </c>
      <c r="F473" t="n">
        <v>3535.98</v>
      </c>
    </row>
    <row r="474">
      <c r="A474" s="3" t="n">
        <v>39133</v>
      </c>
      <c r="B474" t="n">
        <v>2674.94</v>
      </c>
      <c r="C474" t="n">
        <v>1743.79</v>
      </c>
      <c r="D474" t="n">
        <v>1408.33</v>
      </c>
      <c r="E474" t="n">
        <v>2046.13</v>
      </c>
      <c r="F474" t="n">
        <v>3508.85</v>
      </c>
    </row>
    <row r="475">
      <c r="A475" s="3" t="n">
        <v>39134</v>
      </c>
      <c r="B475" t="n">
        <v>2665.77</v>
      </c>
      <c r="C475" t="n">
        <v>1745.92</v>
      </c>
      <c r="D475" t="n">
        <v>1405.6</v>
      </c>
      <c r="E475" t="n">
        <v>2041.37</v>
      </c>
      <c r="F475" t="n">
        <v>3504.71</v>
      </c>
    </row>
    <row r="476">
      <c r="A476" s="3" t="n">
        <v>39135</v>
      </c>
      <c r="B476" t="n">
        <v>2612.63</v>
      </c>
      <c r="C476" t="n">
        <v>1715.04</v>
      </c>
      <c r="D476" t="n">
        <v>1386.77</v>
      </c>
      <c r="E476" t="n">
        <v>2009.58</v>
      </c>
      <c r="F476" t="n">
        <v>3448.06</v>
      </c>
    </row>
    <row r="477">
      <c r="A477" s="3" t="n">
        <v>39136</v>
      </c>
      <c r="B477" t="n">
        <v>2540.98</v>
      </c>
      <c r="C477" t="n">
        <v>1676.38</v>
      </c>
      <c r="D477" t="n">
        <v>1362.82</v>
      </c>
      <c r="E477" t="n">
        <v>1958.59</v>
      </c>
      <c r="F477" t="n">
        <v>3338.4</v>
      </c>
    </row>
    <row r="478">
      <c r="A478" s="3" t="n">
        <v>39139</v>
      </c>
      <c r="B478" t="n">
        <v>2562.19</v>
      </c>
      <c r="C478" t="n">
        <v>1691.53</v>
      </c>
      <c r="D478" t="n">
        <v>1374.68</v>
      </c>
      <c r="E478" t="n">
        <v>1961.42</v>
      </c>
      <c r="F478" t="n">
        <v>3340.23</v>
      </c>
    </row>
    <row r="479">
      <c r="A479" s="3" t="n">
        <v>39140</v>
      </c>
      <c r="B479" t="n">
        <v>2552.37</v>
      </c>
      <c r="C479" t="n">
        <v>1674.99</v>
      </c>
      <c r="D479" t="n">
        <v>1380.17</v>
      </c>
      <c r="E479" t="n">
        <v>1939.76</v>
      </c>
      <c r="F479" t="n">
        <v>3369.93</v>
      </c>
    </row>
    <row r="480">
      <c r="A480" s="3" t="n">
        <v>39141</v>
      </c>
      <c r="B480" t="n">
        <v>2456.4</v>
      </c>
      <c r="C480" t="n">
        <v>1606.87</v>
      </c>
      <c r="D480" t="n">
        <v>1338.23</v>
      </c>
      <c r="E480" t="n">
        <v>1877.51</v>
      </c>
      <c r="F480" t="n">
        <v>3239.57</v>
      </c>
    </row>
    <row r="481">
      <c r="A481" s="3" t="n">
        <v>39142</v>
      </c>
      <c r="B481" t="n">
        <v>2453.89</v>
      </c>
      <c r="C481" t="n">
        <v>1622.44</v>
      </c>
      <c r="D481" t="n">
        <v>1344.05</v>
      </c>
      <c r="E481" t="n">
        <v>1896.06</v>
      </c>
      <c r="F481" t="n">
        <v>3213.36</v>
      </c>
    </row>
    <row r="482">
      <c r="A482" s="3" t="n">
        <v>39143</v>
      </c>
      <c r="B482" t="n">
        <v>2408.87</v>
      </c>
      <c r="C482" t="n">
        <v>1602.94</v>
      </c>
      <c r="D482" t="n">
        <v>1325.55</v>
      </c>
      <c r="E482" t="n">
        <v>1860.63</v>
      </c>
      <c r="F482" t="n">
        <v>3190.77</v>
      </c>
    </row>
    <row r="483">
      <c r="A483" s="3" t="n">
        <v>39146</v>
      </c>
      <c r="B483" t="n">
        <v>2301.95</v>
      </c>
      <c r="C483" t="n">
        <v>1529.56</v>
      </c>
      <c r="D483" t="n">
        <v>1248</v>
      </c>
      <c r="E483" t="n">
        <v>1792.83</v>
      </c>
      <c r="F483" t="n">
        <v>3016.96</v>
      </c>
    </row>
    <row r="484">
      <c r="A484" s="3" t="n">
        <v>39147</v>
      </c>
      <c r="B484" t="n">
        <v>2328.3</v>
      </c>
      <c r="C484" t="n">
        <v>1549.47</v>
      </c>
      <c r="D484" t="n">
        <v>1260.02</v>
      </c>
      <c r="E484" t="n">
        <v>1825.02</v>
      </c>
      <c r="F484" t="n">
        <v>3046.57</v>
      </c>
    </row>
    <row r="485">
      <c r="A485" s="3" t="n">
        <v>39148</v>
      </c>
      <c r="B485" t="n">
        <v>2294.6</v>
      </c>
      <c r="C485" t="n">
        <v>1524.08</v>
      </c>
      <c r="D485" t="n">
        <v>1230.98</v>
      </c>
      <c r="E485" t="n">
        <v>1810.76</v>
      </c>
      <c r="F485" t="n">
        <v>2993.83</v>
      </c>
    </row>
    <row r="486">
      <c r="A486" s="3" t="n">
        <v>39149</v>
      </c>
      <c r="B486" t="n">
        <v>2381.66</v>
      </c>
      <c r="C486" t="n">
        <v>1574.82</v>
      </c>
      <c r="D486" t="n">
        <v>1284.96</v>
      </c>
      <c r="E486" t="n">
        <v>1865.58</v>
      </c>
      <c r="F486" t="n">
        <v>3089.19</v>
      </c>
    </row>
    <row r="487">
      <c r="A487" s="3" t="n">
        <v>39150</v>
      </c>
      <c r="B487" t="n">
        <v>2334.98</v>
      </c>
      <c r="C487" t="n">
        <v>1569.1</v>
      </c>
      <c r="D487" t="n">
        <v>1284.04</v>
      </c>
      <c r="E487" t="n">
        <v>1850.6</v>
      </c>
      <c r="F487" t="n">
        <v>3068.87</v>
      </c>
    </row>
    <row r="488">
      <c r="A488" s="3" t="n">
        <v>39153</v>
      </c>
      <c r="B488" t="n">
        <v>2337.41</v>
      </c>
      <c r="C488" t="n">
        <v>1579.02</v>
      </c>
      <c r="D488" t="n">
        <v>1291.08</v>
      </c>
      <c r="E488" t="n">
        <v>1857.35</v>
      </c>
      <c r="F488" t="n">
        <v>3116.81</v>
      </c>
    </row>
    <row r="489">
      <c r="A489" s="3" t="n">
        <v>39154</v>
      </c>
      <c r="B489" t="n">
        <v>2366.08</v>
      </c>
      <c r="C489" t="n">
        <v>1593.48</v>
      </c>
      <c r="D489" t="n">
        <v>1306.91</v>
      </c>
      <c r="E489" t="n">
        <v>1871.45</v>
      </c>
      <c r="F489" t="n">
        <v>3179.78</v>
      </c>
    </row>
    <row r="490">
      <c r="A490" s="3" t="n">
        <v>39155</v>
      </c>
      <c r="B490" t="n">
        <v>2310.42</v>
      </c>
      <c r="C490" t="n">
        <v>1544.26</v>
      </c>
      <c r="D490" t="n">
        <v>1273</v>
      </c>
      <c r="E490" t="n">
        <v>1815.4</v>
      </c>
      <c r="F490" t="n">
        <v>3133.44</v>
      </c>
    </row>
    <row r="491">
      <c r="A491" s="3" t="n">
        <v>39156</v>
      </c>
      <c r="B491" t="n">
        <v>2321.26</v>
      </c>
      <c r="C491" t="n">
        <v>1552.88</v>
      </c>
      <c r="D491" t="n">
        <v>1278.75</v>
      </c>
      <c r="E491" t="n">
        <v>1819.72</v>
      </c>
      <c r="F491" t="n">
        <v>3172.36</v>
      </c>
    </row>
    <row r="492">
      <c r="A492" s="3" t="n">
        <v>39157</v>
      </c>
      <c r="B492" t="n">
        <v>2295.26</v>
      </c>
      <c r="C492" t="n">
        <v>1535.11</v>
      </c>
      <c r="D492" t="n">
        <v>1270.61</v>
      </c>
      <c r="E492" t="n">
        <v>1801.71</v>
      </c>
      <c r="F492" t="n">
        <v>3168.3</v>
      </c>
    </row>
    <row r="493">
      <c r="A493" s="3" t="n">
        <v>39160</v>
      </c>
      <c r="B493" t="n">
        <v>2331.85</v>
      </c>
      <c r="C493" t="n">
        <v>1552.95</v>
      </c>
      <c r="D493" t="n">
        <v>1284.44</v>
      </c>
      <c r="E493" t="n">
        <v>1831.12</v>
      </c>
      <c r="F493" t="n">
        <v>3185.82</v>
      </c>
    </row>
    <row r="494">
      <c r="A494" s="3" t="n">
        <v>39161</v>
      </c>
      <c r="B494" t="n">
        <v>2346.05</v>
      </c>
      <c r="C494" t="n">
        <v>1561.93</v>
      </c>
      <c r="D494" t="n">
        <v>1298.24</v>
      </c>
      <c r="E494" t="n">
        <v>1842.04</v>
      </c>
      <c r="F494" t="n">
        <v>3219.7</v>
      </c>
    </row>
    <row r="495">
      <c r="A495" s="3" t="n">
        <v>39162</v>
      </c>
      <c r="B495" t="n">
        <v>2354.59</v>
      </c>
      <c r="C495" t="n">
        <v>1582.22</v>
      </c>
      <c r="D495" t="n">
        <v>1309.99</v>
      </c>
      <c r="E495" t="n">
        <v>1872.51</v>
      </c>
      <c r="F495" t="n">
        <v>3228.19</v>
      </c>
    </row>
    <row r="496">
      <c r="A496" s="3" t="n">
        <v>39163</v>
      </c>
      <c r="B496" t="n">
        <v>2400.73</v>
      </c>
      <c r="C496" t="n">
        <v>1617.99</v>
      </c>
      <c r="D496" t="n">
        <v>1333.03</v>
      </c>
      <c r="E496" t="n">
        <v>1918.22</v>
      </c>
      <c r="F496" t="n">
        <v>3254.88</v>
      </c>
    </row>
    <row r="497">
      <c r="A497" s="3" t="n">
        <v>39164</v>
      </c>
      <c r="B497" t="n">
        <v>2415.2</v>
      </c>
      <c r="C497" t="n">
        <v>1618.63</v>
      </c>
      <c r="D497" t="n">
        <v>1323.98</v>
      </c>
      <c r="E497" t="n">
        <v>1913.94</v>
      </c>
      <c r="F497" t="n">
        <v>3254.03</v>
      </c>
    </row>
    <row r="498">
      <c r="A498" s="3" t="n">
        <v>39167</v>
      </c>
      <c r="B498" t="n">
        <v>2400.41</v>
      </c>
      <c r="C498" t="n">
        <v>1603.66</v>
      </c>
      <c r="D498" t="n">
        <v>1320.03</v>
      </c>
      <c r="E498" t="n">
        <v>1891.21</v>
      </c>
      <c r="F498" t="n">
        <v>3231.02</v>
      </c>
    </row>
    <row r="499">
      <c r="A499" s="3" t="n">
        <v>39169</v>
      </c>
      <c r="B499" t="n">
        <v>2367.08</v>
      </c>
      <c r="C499" t="n">
        <v>1583.22</v>
      </c>
      <c r="D499" t="n">
        <v>1302.51</v>
      </c>
      <c r="E499" t="n">
        <v>1860.23</v>
      </c>
      <c r="F499" t="n">
        <v>3197.52</v>
      </c>
    </row>
    <row r="500">
      <c r="A500" s="3" t="n">
        <v>39170</v>
      </c>
      <c r="B500" t="n">
        <v>2377.57</v>
      </c>
      <c r="C500" t="n">
        <v>1596.11</v>
      </c>
      <c r="D500" t="n">
        <v>1307.55</v>
      </c>
      <c r="E500" t="n">
        <v>1875.05</v>
      </c>
      <c r="F500" t="n">
        <v>3216.18</v>
      </c>
    </row>
    <row r="501">
      <c r="A501" s="3" t="n">
        <v>39171</v>
      </c>
      <c r="B501" t="n">
        <v>2412.75</v>
      </c>
      <c r="C501" t="n">
        <v>1613.89</v>
      </c>
      <c r="D501" t="n">
        <v>1323.78</v>
      </c>
      <c r="E501" t="n">
        <v>1890.5</v>
      </c>
      <c r="F501" t="n">
        <v>3237.7</v>
      </c>
    </row>
    <row r="502">
      <c r="A502" s="3" t="n">
        <v>39174</v>
      </c>
      <c r="B502" t="n">
        <v>2300.42</v>
      </c>
      <c r="C502" t="n">
        <v>1541.06</v>
      </c>
      <c r="D502" t="n">
        <v>1277.09</v>
      </c>
      <c r="E502" t="n">
        <v>1811.67</v>
      </c>
      <c r="F502" t="n">
        <v>3116.92</v>
      </c>
    </row>
    <row r="503">
      <c r="A503" s="3" t="n">
        <v>39175</v>
      </c>
      <c r="B503" t="n">
        <v>2325.29</v>
      </c>
      <c r="C503" t="n">
        <v>1563.27</v>
      </c>
      <c r="D503" t="n">
        <v>1284.93</v>
      </c>
      <c r="E503" t="n">
        <v>1831.73</v>
      </c>
      <c r="F503" t="n">
        <v>3117.31</v>
      </c>
    </row>
    <row r="504">
      <c r="A504" s="3" t="n">
        <v>39176</v>
      </c>
      <c r="B504" t="n">
        <v>2356.44</v>
      </c>
      <c r="C504" t="n">
        <v>1577.2</v>
      </c>
      <c r="D504" t="n">
        <v>1292.52</v>
      </c>
      <c r="E504" t="n">
        <v>1853.42</v>
      </c>
      <c r="F504" t="n">
        <v>3153.46</v>
      </c>
    </row>
    <row r="505">
      <c r="A505" s="3" t="n">
        <v>39177</v>
      </c>
      <c r="B505" t="n">
        <v>2369.21</v>
      </c>
      <c r="C505" t="n">
        <v>1587.99</v>
      </c>
      <c r="D505" t="n">
        <v>1312.87</v>
      </c>
      <c r="E505" t="n">
        <v>1862.56</v>
      </c>
      <c r="F505" t="n">
        <v>3189.3</v>
      </c>
    </row>
    <row r="506">
      <c r="A506" s="3" t="n">
        <v>39181</v>
      </c>
      <c r="B506" t="n">
        <v>2433.81</v>
      </c>
      <c r="C506" t="n">
        <v>1622.93</v>
      </c>
      <c r="D506" t="n">
        <v>1343.75</v>
      </c>
      <c r="E506" t="n">
        <v>1899.78</v>
      </c>
      <c r="F506" t="n">
        <v>3301.44</v>
      </c>
    </row>
    <row r="507">
      <c r="A507" s="3" t="n">
        <v>39182</v>
      </c>
      <c r="B507" t="n">
        <v>2474.66</v>
      </c>
      <c r="C507" t="n">
        <v>1628.72</v>
      </c>
      <c r="D507" t="n">
        <v>1358.47</v>
      </c>
      <c r="E507" t="n">
        <v>1908.86</v>
      </c>
      <c r="F507" t="n">
        <v>3359.19</v>
      </c>
    </row>
    <row r="508">
      <c r="A508" s="3" t="n">
        <v>39183</v>
      </c>
      <c r="B508" t="n">
        <v>2501.66</v>
      </c>
      <c r="C508" t="n">
        <v>1642.12</v>
      </c>
      <c r="D508" t="n">
        <v>1359.52</v>
      </c>
      <c r="E508" t="n">
        <v>1910.34</v>
      </c>
      <c r="F508" t="n">
        <v>3367.63</v>
      </c>
    </row>
    <row r="509">
      <c r="A509" s="3" t="n">
        <v>39184</v>
      </c>
      <c r="B509" t="n">
        <v>2495.93</v>
      </c>
      <c r="C509" t="n">
        <v>1628.85</v>
      </c>
      <c r="D509" t="n">
        <v>1350.59</v>
      </c>
      <c r="E509" t="n">
        <v>1895.88</v>
      </c>
      <c r="F509" t="n">
        <v>3365.3</v>
      </c>
    </row>
    <row r="510">
      <c r="A510" s="3" t="n">
        <v>39185</v>
      </c>
      <c r="B510" t="n">
        <v>2546.86</v>
      </c>
      <c r="C510" t="n">
        <v>1663.6</v>
      </c>
      <c r="D510" t="n">
        <v>1367.86</v>
      </c>
      <c r="E510" t="n">
        <v>1927.85</v>
      </c>
      <c r="F510" t="n">
        <v>3455.17</v>
      </c>
    </row>
    <row r="511">
      <c r="A511" s="3" t="n">
        <v>39188</v>
      </c>
      <c r="B511" t="n">
        <v>2588.22</v>
      </c>
      <c r="C511" t="n">
        <v>1693.66</v>
      </c>
      <c r="D511" t="n">
        <v>1397.21</v>
      </c>
      <c r="E511" t="n">
        <v>1960.83</v>
      </c>
      <c r="F511" t="n">
        <v>3521.41</v>
      </c>
    </row>
    <row r="512">
      <c r="A512" s="3" t="n">
        <v>39189</v>
      </c>
      <c r="B512" t="n">
        <v>2565.81</v>
      </c>
      <c r="C512" t="n">
        <v>1673.64</v>
      </c>
      <c r="D512" t="n">
        <v>1406.37</v>
      </c>
      <c r="E512" t="n">
        <v>1951.93</v>
      </c>
      <c r="F512" t="n">
        <v>3464.76</v>
      </c>
    </row>
    <row r="513">
      <c r="A513" s="3" t="n">
        <v>39190</v>
      </c>
      <c r="B513" t="n">
        <v>2560.6</v>
      </c>
      <c r="C513" t="n">
        <v>1682.19</v>
      </c>
      <c r="D513" t="n">
        <v>1410.05</v>
      </c>
      <c r="E513" t="n">
        <v>1961.1</v>
      </c>
      <c r="F513" t="n">
        <v>3476.69</v>
      </c>
    </row>
    <row r="514">
      <c r="A514" s="3" t="n">
        <v>39191</v>
      </c>
      <c r="B514" t="n">
        <v>2550.61</v>
      </c>
      <c r="C514" t="n">
        <v>1675.46</v>
      </c>
      <c r="D514" t="n">
        <v>1407.04</v>
      </c>
      <c r="E514" t="n">
        <v>1958.29</v>
      </c>
      <c r="F514" t="n">
        <v>3482.26</v>
      </c>
    </row>
    <row r="515">
      <c r="A515" s="3" t="n">
        <v>39192</v>
      </c>
      <c r="B515" t="n">
        <v>2580.27</v>
      </c>
      <c r="C515" t="n">
        <v>1704.69</v>
      </c>
      <c r="D515" t="n">
        <v>1415.71</v>
      </c>
      <c r="E515" t="n">
        <v>1985.11</v>
      </c>
      <c r="F515" t="n">
        <v>3556.63</v>
      </c>
    </row>
    <row r="516">
      <c r="A516" s="3" t="n">
        <v>39195</v>
      </c>
      <c r="B516" t="n">
        <v>2582.99</v>
      </c>
      <c r="C516" t="n">
        <v>1704.64</v>
      </c>
      <c r="D516" t="n">
        <v>1409.89</v>
      </c>
      <c r="E516" t="n">
        <v>1984.5</v>
      </c>
      <c r="F516" t="n">
        <v>3558.42</v>
      </c>
    </row>
    <row r="517">
      <c r="A517" s="3" t="n">
        <v>39196</v>
      </c>
      <c r="B517" t="n">
        <v>2598.74</v>
      </c>
      <c r="C517" t="n">
        <v>1715.72</v>
      </c>
      <c r="D517" t="n">
        <v>1432.71</v>
      </c>
      <c r="E517" t="n">
        <v>2010.53</v>
      </c>
      <c r="F517" t="n">
        <v>3611.35</v>
      </c>
    </row>
    <row r="518">
      <c r="A518" s="3" t="n">
        <v>39197</v>
      </c>
      <c r="B518" t="n">
        <v>2618.1</v>
      </c>
      <c r="C518" t="n">
        <v>1734.5</v>
      </c>
      <c r="D518" t="n">
        <v>1462.18</v>
      </c>
      <c r="E518" t="n">
        <v>2033.5</v>
      </c>
      <c r="F518" t="n">
        <v>3647.4</v>
      </c>
    </row>
    <row r="519">
      <c r="A519" s="3" t="n">
        <v>39198</v>
      </c>
      <c r="B519" t="n">
        <v>2619.15</v>
      </c>
      <c r="C519" t="n">
        <v>1731.62</v>
      </c>
      <c r="D519" t="n">
        <v>1467.19</v>
      </c>
      <c r="E519" t="n">
        <v>2037.38</v>
      </c>
      <c r="F519" t="n">
        <v>3634.34</v>
      </c>
    </row>
    <row r="520">
      <c r="A520" s="3" t="n">
        <v>39199</v>
      </c>
      <c r="B520" t="n">
        <v>2593.83</v>
      </c>
      <c r="C520" t="n">
        <v>1707.52</v>
      </c>
      <c r="D520" t="n">
        <v>1459.99</v>
      </c>
      <c r="E520" t="n">
        <v>1993.26</v>
      </c>
      <c r="F520" t="n">
        <v>3581.37</v>
      </c>
    </row>
    <row r="521">
      <c r="A521" s="3" t="n">
        <v>39202</v>
      </c>
      <c r="B521" t="n">
        <v>2633.36</v>
      </c>
      <c r="C521" t="n">
        <v>1716.72</v>
      </c>
      <c r="D521" t="n">
        <v>1462.78</v>
      </c>
      <c r="E521" t="n">
        <v>1991.85</v>
      </c>
      <c r="F521" t="n">
        <v>3614.8</v>
      </c>
    </row>
    <row r="522">
      <c r="A522" s="3" t="n">
        <v>39205</v>
      </c>
      <c r="B522" t="n">
        <v>2637.91</v>
      </c>
      <c r="C522" t="n">
        <v>1728.94</v>
      </c>
      <c r="D522" t="n">
        <v>1500.12</v>
      </c>
      <c r="E522" t="n">
        <v>2017</v>
      </c>
      <c r="F522" t="n">
        <v>3636.92</v>
      </c>
    </row>
    <row r="523">
      <c r="A523" s="3" t="n">
        <v>39206</v>
      </c>
      <c r="B523" t="n">
        <v>2612.02</v>
      </c>
      <c r="C523" t="n">
        <v>1723.06</v>
      </c>
      <c r="D523" t="n">
        <v>1501.36</v>
      </c>
      <c r="E523" t="n">
        <v>2003.02</v>
      </c>
      <c r="F523" t="n">
        <v>3649.74</v>
      </c>
    </row>
    <row r="524">
      <c r="A524" s="3" t="n">
        <v>39209</v>
      </c>
      <c r="B524" t="n">
        <v>2607.32</v>
      </c>
      <c r="C524" t="n">
        <v>1715.96</v>
      </c>
      <c r="D524" t="n">
        <v>1495.37</v>
      </c>
      <c r="E524" t="n">
        <v>1999.73</v>
      </c>
      <c r="F524" t="n">
        <v>3642.07</v>
      </c>
    </row>
    <row r="525">
      <c r="A525" s="3" t="n">
        <v>39210</v>
      </c>
      <c r="B525" t="n">
        <v>2583.16</v>
      </c>
      <c r="C525" t="n">
        <v>1700.31</v>
      </c>
      <c r="D525" t="n">
        <v>1472.29</v>
      </c>
      <c r="E525" t="n">
        <v>1978.47</v>
      </c>
      <c r="F525" t="n">
        <v>3618.18</v>
      </c>
    </row>
    <row r="526">
      <c r="A526" s="3" t="n">
        <v>39211</v>
      </c>
      <c r="B526" t="n">
        <v>2590.04</v>
      </c>
      <c r="C526" t="n">
        <v>1700.12</v>
      </c>
      <c r="D526" t="n">
        <v>1489.58</v>
      </c>
      <c r="E526" t="n">
        <v>1981.18</v>
      </c>
      <c r="F526" t="n">
        <v>3652.04</v>
      </c>
    </row>
    <row r="527">
      <c r="A527" s="3" t="n">
        <v>39212</v>
      </c>
      <c r="B527" t="n">
        <v>2593.57</v>
      </c>
      <c r="C527" t="n">
        <v>1699.3</v>
      </c>
      <c r="D527" t="n">
        <v>1490.78</v>
      </c>
      <c r="E527" t="n">
        <v>1980.72</v>
      </c>
      <c r="F527" t="n">
        <v>3647.84</v>
      </c>
    </row>
    <row r="528">
      <c r="A528" s="3" t="n">
        <v>39213</v>
      </c>
      <c r="B528" t="n">
        <v>2608.68</v>
      </c>
      <c r="C528" t="n">
        <v>1696.3</v>
      </c>
      <c r="D528" t="n">
        <v>1496.08</v>
      </c>
      <c r="E528" t="n">
        <v>1973.73</v>
      </c>
      <c r="F528" t="n">
        <v>3676.82</v>
      </c>
    </row>
    <row r="529">
      <c r="A529" s="3" t="n">
        <v>39216</v>
      </c>
      <c r="B529" t="n">
        <v>2648.67</v>
      </c>
      <c r="C529" t="n">
        <v>1714.24</v>
      </c>
      <c r="D529" t="n">
        <v>1528.68</v>
      </c>
      <c r="E529" t="n">
        <v>2000.7</v>
      </c>
      <c r="F529" t="n">
        <v>3767.23</v>
      </c>
    </row>
    <row r="530">
      <c r="A530" s="3" t="n">
        <v>39217</v>
      </c>
      <c r="B530" t="n">
        <v>2666.32</v>
      </c>
      <c r="C530" t="n">
        <v>1712.86</v>
      </c>
      <c r="D530" t="n">
        <v>1548.15</v>
      </c>
      <c r="E530" t="n">
        <v>2003.12</v>
      </c>
      <c r="F530" t="n">
        <v>3800.59</v>
      </c>
    </row>
    <row r="531">
      <c r="A531" s="3" t="n">
        <v>39218</v>
      </c>
      <c r="B531" t="n">
        <v>2683.3</v>
      </c>
      <c r="C531" t="n">
        <v>1728.55</v>
      </c>
      <c r="D531" t="n">
        <v>1564.14</v>
      </c>
      <c r="E531" t="n">
        <v>2024.69</v>
      </c>
      <c r="F531" t="n">
        <v>3891.63</v>
      </c>
    </row>
    <row r="532">
      <c r="A532" s="3" t="n">
        <v>39219</v>
      </c>
      <c r="B532" t="n">
        <v>2719.19</v>
      </c>
      <c r="C532" t="n">
        <v>1737.07</v>
      </c>
      <c r="D532" t="n">
        <v>1581.17</v>
      </c>
      <c r="E532" t="n">
        <v>2047.39</v>
      </c>
      <c r="F532" t="n">
        <v>3953.52</v>
      </c>
    </row>
    <row r="533">
      <c r="A533" s="3" t="n">
        <v>39220</v>
      </c>
      <c r="B533" t="n">
        <v>2719.34</v>
      </c>
      <c r="C533" t="n">
        <v>1742.83</v>
      </c>
      <c r="D533" t="n">
        <v>1570.62</v>
      </c>
      <c r="E533" t="n">
        <v>2047.91</v>
      </c>
      <c r="F533" t="n">
        <v>3948.48</v>
      </c>
    </row>
    <row r="534">
      <c r="A534" s="3" t="n">
        <v>39223</v>
      </c>
      <c r="B534" t="n">
        <v>2713.79</v>
      </c>
      <c r="C534" t="n">
        <v>1754.12</v>
      </c>
      <c r="D534" t="n">
        <v>1605.4</v>
      </c>
      <c r="E534" t="n">
        <v>2071.01</v>
      </c>
      <c r="F534" t="n">
        <v>3940.7</v>
      </c>
    </row>
    <row r="535">
      <c r="A535" s="3" t="n">
        <v>39224</v>
      </c>
      <c r="B535" t="n">
        <v>2732.17</v>
      </c>
      <c r="C535" t="n">
        <v>1756.41</v>
      </c>
      <c r="D535" t="n">
        <v>1608.72</v>
      </c>
      <c r="E535" t="n">
        <v>2076.88</v>
      </c>
      <c r="F535" t="n">
        <v>3971.16</v>
      </c>
    </row>
    <row r="536">
      <c r="A536" s="3" t="n">
        <v>39225</v>
      </c>
      <c r="B536" t="n">
        <v>2721.75</v>
      </c>
      <c r="C536" t="n">
        <v>1751.43</v>
      </c>
      <c r="D536" t="n">
        <v>1591.3</v>
      </c>
      <c r="E536" t="n">
        <v>2068.51</v>
      </c>
      <c r="F536" t="n">
        <v>3979.85</v>
      </c>
    </row>
    <row r="537">
      <c r="A537" s="3" t="n">
        <v>39226</v>
      </c>
      <c r="B537" t="n">
        <v>2716.64</v>
      </c>
      <c r="C537" t="n">
        <v>1748.95</v>
      </c>
      <c r="D537" t="n">
        <v>1569.5</v>
      </c>
      <c r="E537" t="n">
        <v>2048.78</v>
      </c>
      <c r="F537" t="n">
        <v>3956.24</v>
      </c>
    </row>
    <row r="538">
      <c r="A538" s="3" t="n">
        <v>39227</v>
      </c>
      <c r="B538" t="n">
        <v>2730.54</v>
      </c>
      <c r="C538" t="n">
        <v>1764.24</v>
      </c>
      <c r="D538" t="n">
        <v>1572.85</v>
      </c>
      <c r="E538" t="n">
        <v>2056.44</v>
      </c>
      <c r="F538" t="n">
        <v>3982.76</v>
      </c>
    </row>
    <row r="539">
      <c r="A539" s="3" t="n">
        <v>39230</v>
      </c>
      <c r="B539" t="n">
        <v>2740.25</v>
      </c>
      <c r="C539" t="n">
        <v>1770.17</v>
      </c>
      <c r="D539" t="n">
        <v>1589.6</v>
      </c>
      <c r="E539" t="n">
        <v>2068.74</v>
      </c>
      <c r="F539" t="n">
        <v>4078.86</v>
      </c>
    </row>
    <row r="540">
      <c r="A540" s="3" t="n">
        <v>39231</v>
      </c>
      <c r="B540" t="n">
        <v>2773.28</v>
      </c>
      <c r="C540" t="n">
        <v>1790.1</v>
      </c>
      <c r="D540" t="n">
        <v>1591.92</v>
      </c>
      <c r="E540" t="n">
        <v>2087.18</v>
      </c>
      <c r="F540" t="n">
        <v>4090.65</v>
      </c>
    </row>
    <row r="541">
      <c r="A541" s="3" t="n">
        <v>39232</v>
      </c>
      <c r="B541" t="n">
        <v>2764.18</v>
      </c>
      <c r="C541" t="n">
        <v>1778.67</v>
      </c>
      <c r="D541" t="n">
        <v>1575.03</v>
      </c>
      <c r="E541" t="n">
        <v>2066.74</v>
      </c>
      <c r="F541" t="n">
        <v>4015.6</v>
      </c>
    </row>
    <row r="542">
      <c r="A542" s="3" t="n">
        <v>39233</v>
      </c>
      <c r="B542" t="n">
        <v>2795.64</v>
      </c>
      <c r="C542" t="n">
        <v>1794.86</v>
      </c>
      <c r="D542" t="n">
        <v>1576.01</v>
      </c>
      <c r="E542" t="n">
        <v>2091.14</v>
      </c>
      <c r="F542" t="n">
        <v>4071.89</v>
      </c>
    </row>
    <row r="543">
      <c r="A543" s="3" t="n">
        <v>39234</v>
      </c>
      <c r="B543" t="n">
        <v>2816.65</v>
      </c>
      <c r="C543" t="n">
        <v>1798.67</v>
      </c>
      <c r="D543" t="n">
        <v>1596.82</v>
      </c>
      <c r="E543" t="n">
        <v>2096.04</v>
      </c>
      <c r="F543" t="n">
        <v>4103.59</v>
      </c>
    </row>
    <row r="544">
      <c r="A544" s="3" t="n">
        <v>39237</v>
      </c>
      <c r="B544" t="n">
        <v>2805.2</v>
      </c>
      <c r="C544" t="n">
        <v>1783.01</v>
      </c>
      <c r="D544" t="n">
        <v>1590.01</v>
      </c>
      <c r="E544" t="n">
        <v>2083.76</v>
      </c>
      <c r="F544" t="n">
        <v>4074.43</v>
      </c>
    </row>
    <row r="545">
      <c r="A545" s="3" t="n">
        <v>39238</v>
      </c>
      <c r="B545" t="n">
        <v>2850.52</v>
      </c>
      <c r="C545" t="n">
        <v>1782.36</v>
      </c>
      <c r="D545" t="n">
        <v>1593.81</v>
      </c>
      <c r="E545" t="n">
        <v>2088.35</v>
      </c>
      <c r="F545" t="n">
        <v>4090.8</v>
      </c>
    </row>
    <row r="546">
      <c r="A546" s="3" t="n">
        <v>39239</v>
      </c>
      <c r="B546" t="n">
        <v>2812.41</v>
      </c>
      <c r="C546" t="n">
        <v>1754.81</v>
      </c>
      <c r="D546" t="n">
        <v>1551.48</v>
      </c>
      <c r="E546" t="n">
        <v>2049.47</v>
      </c>
      <c r="F546" t="n">
        <v>4021.2</v>
      </c>
    </row>
    <row r="547">
      <c r="A547" s="3" t="n">
        <v>39240</v>
      </c>
      <c r="B547" t="n">
        <v>2825.11</v>
      </c>
      <c r="C547" t="n">
        <v>1750.17</v>
      </c>
      <c r="D547" t="n">
        <v>1545.61</v>
      </c>
      <c r="E547" t="n">
        <v>2035.45</v>
      </c>
      <c r="F547" t="n">
        <v>4022.82</v>
      </c>
    </row>
    <row r="548">
      <c r="A548" s="3" t="n">
        <v>39241</v>
      </c>
      <c r="B548" t="n">
        <v>2802.59</v>
      </c>
      <c r="C548" t="n">
        <v>1735.94</v>
      </c>
      <c r="D548" t="n">
        <v>1525.34</v>
      </c>
      <c r="E548" t="n">
        <v>2019.78</v>
      </c>
      <c r="F548" t="n">
        <v>3977.72</v>
      </c>
    </row>
    <row r="549">
      <c r="A549" s="3" t="n">
        <v>39244</v>
      </c>
      <c r="B549" t="n">
        <v>2807.3</v>
      </c>
      <c r="C549" t="n">
        <v>1738.09</v>
      </c>
      <c r="D549" t="n">
        <v>1524.02</v>
      </c>
      <c r="E549" t="n">
        <v>2026.15</v>
      </c>
      <c r="F549" t="n">
        <v>3981.06</v>
      </c>
    </row>
    <row r="550">
      <c r="A550" s="3" t="n">
        <v>39245</v>
      </c>
      <c r="B550" t="n">
        <v>2794.62</v>
      </c>
      <c r="C550" t="n">
        <v>1739.23</v>
      </c>
      <c r="D550" t="n">
        <v>1511.27</v>
      </c>
      <c r="E550" t="n">
        <v>2028.25</v>
      </c>
      <c r="F550" t="n">
        <v>3948.37</v>
      </c>
    </row>
    <row r="551">
      <c r="A551" s="3" t="n">
        <v>39246</v>
      </c>
      <c r="B551" t="n">
        <v>2782.99</v>
      </c>
      <c r="C551" t="n">
        <v>1731.63</v>
      </c>
      <c r="D551" t="n">
        <v>1503.6</v>
      </c>
      <c r="E551" t="n">
        <v>2009.75</v>
      </c>
      <c r="F551" t="n">
        <v>3940.58</v>
      </c>
    </row>
    <row r="552">
      <c r="A552" s="3" t="n">
        <v>39247</v>
      </c>
      <c r="B552" t="n">
        <v>2821.21</v>
      </c>
      <c r="C552" t="n">
        <v>1755.86</v>
      </c>
      <c r="D552" t="n">
        <v>1526.3</v>
      </c>
      <c r="E552" t="n">
        <v>2031.1</v>
      </c>
      <c r="F552" t="n">
        <v>4032.14</v>
      </c>
    </row>
    <row r="553">
      <c r="A553" s="3" t="n">
        <v>39248</v>
      </c>
      <c r="B553" t="n">
        <v>2840.92</v>
      </c>
      <c r="C553" t="n">
        <v>1757.52</v>
      </c>
      <c r="D553" t="n">
        <v>1531.11</v>
      </c>
      <c r="E553" t="n">
        <v>2031.43</v>
      </c>
      <c r="F553" t="n">
        <v>4035.35</v>
      </c>
    </row>
    <row r="554">
      <c r="A554" s="3" t="n">
        <v>39251</v>
      </c>
      <c r="B554" t="n">
        <v>2836.37</v>
      </c>
      <c r="C554" t="n">
        <v>1748.39</v>
      </c>
      <c r="D554" t="n">
        <v>1514.29</v>
      </c>
      <c r="E554" t="n">
        <v>2022.58</v>
      </c>
      <c r="F554" t="n">
        <v>4019.62</v>
      </c>
    </row>
    <row r="555">
      <c r="A555" s="3" t="n">
        <v>39252</v>
      </c>
      <c r="B555" t="n">
        <v>2875.84</v>
      </c>
      <c r="C555" t="n">
        <v>1765.3</v>
      </c>
      <c r="D555" t="n">
        <v>1537.18</v>
      </c>
      <c r="E555" t="n">
        <v>2043.39</v>
      </c>
      <c r="F555" t="n">
        <v>4104.62</v>
      </c>
    </row>
    <row r="556">
      <c r="A556" s="3" t="n">
        <v>39253</v>
      </c>
      <c r="B556" t="n">
        <v>2923.04</v>
      </c>
      <c r="C556" t="n">
        <v>1778.05</v>
      </c>
      <c r="D556" t="n">
        <v>1560.61</v>
      </c>
      <c r="E556" t="n">
        <v>2061.66</v>
      </c>
      <c r="F556" t="n">
        <v>4194.7</v>
      </c>
    </row>
    <row r="557">
      <c r="A557" s="3" t="n">
        <v>39254</v>
      </c>
      <c r="B557" t="n">
        <v>2941.57</v>
      </c>
      <c r="C557" t="n">
        <v>1785.08</v>
      </c>
      <c r="D557" t="n">
        <v>1575.15</v>
      </c>
      <c r="E557" t="n">
        <v>2073.9</v>
      </c>
      <c r="F557" t="n">
        <v>4186.73</v>
      </c>
    </row>
    <row r="558">
      <c r="A558" s="3" t="n">
        <v>39255</v>
      </c>
      <c r="B558" t="n">
        <v>2947.12</v>
      </c>
      <c r="C558" t="n">
        <v>1777.02</v>
      </c>
      <c r="D558" t="n">
        <v>1564.98</v>
      </c>
      <c r="E558" t="n">
        <v>2078.6</v>
      </c>
      <c r="F558" t="n">
        <v>4197.8</v>
      </c>
    </row>
    <row r="559">
      <c r="A559" s="3" t="n">
        <v>39258</v>
      </c>
      <c r="B559" t="n">
        <v>2954.32</v>
      </c>
      <c r="C559" t="n">
        <v>1777.21</v>
      </c>
      <c r="D559" t="n">
        <v>1569.58</v>
      </c>
      <c r="E559" t="n">
        <v>2075.68</v>
      </c>
      <c r="F559" t="n">
        <v>4199.59</v>
      </c>
    </row>
    <row r="560">
      <c r="A560" s="3" t="n">
        <v>39259</v>
      </c>
      <c r="B560" t="n">
        <v>2995.81</v>
      </c>
      <c r="C560" t="n">
        <v>1787.77</v>
      </c>
      <c r="D560" t="n">
        <v>1559.67</v>
      </c>
      <c r="E560" t="n">
        <v>2083.85</v>
      </c>
      <c r="F560" t="n">
        <v>4242.86</v>
      </c>
    </row>
    <row r="561">
      <c r="A561" s="3" t="n">
        <v>39260</v>
      </c>
      <c r="B561" t="n">
        <v>3008.81</v>
      </c>
      <c r="C561" t="n">
        <v>1780.55</v>
      </c>
      <c r="D561" t="n">
        <v>1554.54</v>
      </c>
      <c r="E561" t="n">
        <v>2071.83</v>
      </c>
      <c r="F561" t="n">
        <v>4236.79</v>
      </c>
    </row>
    <row r="562">
      <c r="A562" s="3" t="n">
        <v>39261</v>
      </c>
      <c r="B562" t="n">
        <v>3036.34</v>
      </c>
      <c r="C562" t="n">
        <v>1789.43</v>
      </c>
      <c r="D562" t="n">
        <v>1554.52</v>
      </c>
      <c r="E562" t="n">
        <v>2089.79</v>
      </c>
      <c r="F562" t="n">
        <v>4224.39</v>
      </c>
    </row>
    <row r="563">
      <c r="A563" s="3" t="n">
        <v>39262</v>
      </c>
      <c r="B563" t="n">
        <v>3077.08</v>
      </c>
      <c r="C563" t="n">
        <v>1805.46</v>
      </c>
      <c r="D563" t="n">
        <v>1590.93</v>
      </c>
      <c r="E563" t="n">
        <v>2113.3</v>
      </c>
      <c r="F563" t="n">
        <v>4266.59</v>
      </c>
    </row>
    <row r="564">
      <c r="A564" s="3" t="n">
        <v>39265</v>
      </c>
      <c r="B564" t="n">
        <v>3099.47</v>
      </c>
      <c r="C564" t="n">
        <v>1802.93</v>
      </c>
      <c r="D564" t="n">
        <v>1593.67</v>
      </c>
      <c r="E564" t="n">
        <v>2112.46</v>
      </c>
      <c r="F564" t="n">
        <v>4312.76</v>
      </c>
    </row>
    <row r="565">
      <c r="A565" s="3" t="n">
        <v>39266</v>
      </c>
      <c r="B565" t="n">
        <v>3126.55</v>
      </c>
      <c r="C565" t="n">
        <v>1813.94</v>
      </c>
      <c r="D565" t="n">
        <v>1602.34</v>
      </c>
      <c r="E565" t="n">
        <v>2130.06</v>
      </c>
      <c r="F565" t="n">
        <v>4355.19</v>
      </c>
    </row>
    <row r="566">
      <c r="A566" s="3" t="n">
        <v>39267</v>
      </c>
      <c r="B566" t="n">
        <v>3123.56</v>
      </c>
      <c r="C566" t="n">
        <v>1818.36</v>
      </c>
      <c r="D566" t="n">
        <v>1605.02</v>
      </c>
      <c r="E566" t="n">
        <v>2129.97</v>
      </c>
      <c r="F566" t="n">
        <v>4338.87</v>
      </c>
    </row>
    <row r="567">
      <c r="A567" s="3" t="n">
        <v>39268</v>
      </c>
      <c r="B567" t="n">
        <v>3103.61</v>
      </c>
      <c r="C567" t="n">
        <v>1819.19</v>
      </c>
      <c r="D567" t="n">
        <v>1593.5</v>
      </c>
      <c r="E567" t="n">
        <v>2123.33</v>
      </c>
      <c r="F567" t="n">
        <v>4303.24</v>
      </c>
    </row>
    <row r="568">
      <c r="A568" s="3" t="n">
        <v>39269</v>
      </c>
      <c r="B568" t="n">
        <v>3131.38</v>
      </c>
      <c r="C568" t="n">
        <v>1828.55</v>
      </c>
      <c r="D568" t="n">
        <v>1595.47</v>
      </c>
      <c r="E568" t="n">
        <v>2132.08</v>
      </c>
      <c r="F568" t="n">
        <v>4309.34</v>
      </c>
    </row>
    <row r="569">
      <c r="A569" s="3" t="n">
        <v>39272</v>
      </c>
      <c r="B569" t="n">
        <v>3179.6</v>
      </c>
      <c r="C569" t="n">
        <v>1835.18</v>
      </c>
      <c r="D569" t="n">
        <v>1620.97</v>
      </c>
      <c r="E569" t="n">
        <v>2144.71</v>
      </c>
      <c r="F569" t="n">
        <v>4355</v>
      </c>
    </row>
    <row r="570">
      <c r="A570" s="3" t="n">
        <v>39273</v>
      </c>
      <c r="B570" t="n">
        <v>3165.95</v>
      </c>
      <c r="C570" t="n">
        <v>1838.28</v>
      </c>
      <c r="D570" t="n">
        <v>1623.57</v>
      </c>
      <c r="E570" t="n">
        <v>2134.98</v>
      </c>
      <c r="F570" t="n">
        <v>4342.19</v>
      </c>
    </row>
    <row r="571">
      <c r="A571" s="3" t="n">
        <v>39274</v>
      </c>
      <c r="B571" t="n">
        <v>3167.1</v>
      </c>
      <c r="C571" t="n">
        <v>1835.12</v>
      </c>
      <c r="D571" t="n">
        <v>1634.91</v>
      </c>
      <c r="E571" t="n">
        <v>2124.09</v>
      </c>
      <c r="F571" t="n">
        <v>4384.99</v>
      </c>
    </row>
    <row r="572">
      <c r="A572" s="3" t="n">
        <v>39275</v>
      </c>
      <c r="B572" t="n">
        <v>3215.87</v>
      </c>
      <c r="C572" t="n">
        <v>1854.02</v>
      </c>
      <c r="D572" t="n">
        <v>1659.65</v>
      </c>
      <c r="E572" t="n">
        <v>2154.39</v>
      </c>
      <c r="F572" t="n">
        <v>4441.15</v>
      </c>
    </row>
    <row r="573">
      <c r="A573" s="3" t="n">
        <v>39276</v>
      </c>
      <c r="B573" t="n">
        <v>3224.85</v>
      </c>
      <c r="C573" t="n">
        <v>1878.69</v>
      </c>
      <c r="D573" t="n">
        <v>1669.03</v>
      </c>
      <c r="E573" t="n">
        <v>2167.84</v>
      </c>
      <c r="F573" t="n">
        <v>4436.64</v>
      </c>
    </row>
    <row r="574">
      <c r="A574" s="3" t="n">
        <v>39279</v>
      </c>
      <c r="B574" t="n">
        <v>3238.27</v>
      </c>
      <c r="C574" t="n">
        <v>1873.51</v>
      </c>
      <c r="D574" t="n">
        <v>1705.61</v>
      </c>
      <c r="E574" t="n">
        <v>2172.81</v>
      </c>
      <c r="F574" t="n">
        <v>4427.41</v>
      </c>
    </row>
    <row r="575">
      <c r="A575" s="3" t="n">
        <v>39280</v>
      </c>
      <c r="B575" t="n">
        <v>3189.2</v>
      </c>
      <c r="C575" t="n">
        <v>1859.92</v>
      </c>
      <c r="D575" t="n">
        <v>1691.82</v>
      </c>
      <c r="E575" t="n">
        <v>2166.12</v>
      </c>
      <c r="F575" t="n">
        <v>4383.86</v>
      </c>
    </row>
    <row r="576">
      <c r="A576" s="3" t="n">
        <v>39281</v>
      </c>
      <c r="B576" t="n">
        <v>3184.15</v>
      </c>
      <c r="C576" t="n">
        <v>1852.72</v>
      </c>
      <c r="D576" t="n">
        <v>1684.09</v>
      </c>
      <c r="E576" t="n">
        <v>2169.18</v>
      </c>
      <c r="F576" t="n">
        <v>4369.51</v>
      </c>
    </row>
    <row r="577">
      <c r="A577" s="3" t="n">
        <v>39282</v>
      </c>
      <c r="B577" t="n">
        <v>3222.75</v>
      </c>
      <c r="C577" t="n">
        <v>1865.47</v>
      </c>
      <c r="D577" t="n">
        <v>1698.31</v>
      </c>
      <c r="E577" t="n">
        <v>2184.64</v>
      </c>
      <c r="F577" t="n">
        <v>4404.42</v>
      </c>
    </row>
    <row r="578">
      <c r="A578" s="3" t="n">
        <v>39283</v>
      </c>
      <c r="B578" t="n">
        <v>3233.14</v>
      </c>
      <c r="C578" t="n">
        <v>1864.32</v>
      </c>
      <c r="D578" t="n">
        <v>1687.87</v>
      </c>
      <c r="E578" t="n">
        <v>2178.82</v>
      </c>
      <c r="F578" t="n">
        <v>4401.35</v>
      </c>
    </row>
    <row r="579">
      <c r="A579" s="3" t="n">
        <v>39286</v>
      </c>
      <c r="B579" t="n">
        <v>3243.28</v>
      </c>
      <c r="C579" t="n">
        <v>1877.6</v>
      </c>
      <c r="D579" t="n">
        <v>1691.05</v>
      </c>
      <c r="E579" t="n">
        <v>2201.67</v>
      </c>
      <c r="F579" t="n">
        <v>4425.92</v>
      </c>
    </row>
    <row r="580">
      <c r="A580" s="3" t="n">
        <v>39287</v>
      </c>
      <c r="B580" t="n">
        <v>3232.79</v>
      </c>
      <c r="C580" t="n">
        <v>1872.67</v>
      </c>
      <c r="D580" t="n">
        <v>1691.22</v>
      </c>
      <c r="E580" t="n">
        <v>2199.84</v>
      </c>
      <c r="F580" t="n">
        <v>4415.91</v>
      </c>
    </row>
    <row r="581">
      <c r="A581" s="3" t="n">
        <v>39288</v>
      </c>
      <c r="B581" t="n">
        <v>3221.25</v>
      </c>
      <c r="C581" t="n">
        <v>1857.8</v>
      </c>
      <c r="D581" t="n">
        <v>1678.46</v>
      </c>
      <c r="E581" t="n">
        <v>2195.28</v>
      </c>
      <c r="F581" t="n">
        <v>4402.85</v>
      </c>
    </row>
    <row r="582">
      <c r="A582" s="3" t="n">
        <v>39289</v>
      </c>
      <c r="B582" t="n">
        <v>3233.32</v>
      </c>
      <c r="C582" t="n">
        <v>1875.05</v>
      </c>
      <c r="D582" t="n">
        <v>1692.45</v>
      </c>
      <c r="E582" t="n">
        <v>2213.25</v>
      </c>
      <c r="F582" t="n">
        <v>4427.84</v>
      </c>
    </row>
    <row r="583">
      <c r="A583" s="3" t="n">
        <v>39290</v>
      </c>
      <c r="B583" t="n">
        <v>3161.56</v>
      </c>
      <c r="C583" t="n">
        <v>1807.74</v>
      </c>
      <c r="D583" t="n">
        <v>1637.66</v>
      </c>
      <c r="E583" t="n">
        <v>2142.97</v>
      </c>
      <c r="F583" t="n">
        <v>4279.58</v>
      </c>
    </row>
    <row r="584">
      <c r="A584" s="3" t="n">
        <v>39293</v>
      </c>
      <c r="B584" t="n">
        <v>3179.57</v>
      </c>
      <c r="C584" t="n">
        <v>1799.33</v>
      </c>
      <c r="D584" t="n">
        <v>1634.72</v>
      </c>
      <c r="E584" t="n">
        <v>2151.71</v>
      </c>
      <c r="F584" t="n">
        <v>4286.87</v>
      </c>
    </row>
    <row r="585">
      <c r="A585" s="3" t="n">
        <v>39294</v>
      </c>
      <c r="B585" t="n">
        <v>3246.71</v>
      </c>
      <c r="C585" t="n">
        <v>1826.31</v>
      </c>
      <c r="D585" t="n">
        <v>1660.27</v>
      </c>
      <c r="E585" t="n">
        <v>2189.15</v>
      </c>
      <c r="F585" t="n">
        <v>4372.8</v>
      </c>
    </row>
    <row r="586">
      <c r="A586" s="3" t="n">
        <v>39295</v>
      </c>
      <c r="B586" t="n">
        <v>3121.17</v>
      </c>
      <c r="C586" t="n">
        <v>1761.96</v>
      </c>
      <c r="D586" t="n">
        <v>1579.23</v>
      </c>
      <c r="E586" t="n">
        <v>2110.46</v>
      </c>
      <c r="F586" t="n">
        <v>4129.88</v>
      </c>
    </row>
    <row r="587">
      <c r="A587" s="3" t="n">
        <v>39296</v>
      </c>
      <c r="B587" t="n">
        <v>3190.46</v>
      </c>
      <c r="C587" t="n">
        <v>1759.97</v>
      </c>
      <c r="D587" t="n">
        <v>1586.92</v>
      </c>
      <c r="E587" t="n">
        <v>2114.19</v>
      </c>
      <c r="F587" t="n">
        <v>4172.26</v>
      </c>
    </row>
    <row r="588">
      <c r="A588" s="3" t="n">
        <v>39297</v>
      </c>
      <c r="B588" t="n">
        <v>3257.6</v>
      </c>
      <c r="C588" t="n">
        <v>1782.85</v>
      </c>
      <c r="D588" t="n">
        <v>1603.53</v>
      </c>
      <c r="E588" t="n">
        <v>2133.06</v>
      </c>
      <c r="F588" t="n">
        <v>4257.67</v>
      </c>
    </row>
    <row r="589">
      <c r="A589" s="3" t="n">
        <v>39300</v>
      </c>
      <c r="B589" t="n">
        <v>3224.36</v>
      </c>
      <c r="C589" t="n">
        <v>1769.41</v>
      </c>
      <c r="D589" t="n">
        <v>1588.66</v>
      </c>
      <c r="E589" t="n">
        <v>2110.83</v>
      </c>
      <c r="F589" t="n">
        <v>4186.75</v>
      </c>
    </row>
    <row r="590">
      <c r="A590" s="3" t="n">
        <v>39301</v>
      </c>
      <c r="B590" t="n">
        <v>3247.32</v>
      </c>
      <c r="C590" t="n">
        <v>1770.83</v>
      </c>
      <c r="D590" t="n">
        <v>1609.32</v>
      </c>
      <c r="E590" t="n">
        <v>2121.56</v>
      </c>
      <c r="F590" t="n">
        <v>4204.57</v>
      </c>
    </row>
    <row r="591">
      <c r="A591" s="3" t="n">
        <v>39302</v>
      </c>
      <c r="B591" t="n">
        <v>3289.94</v>
      </c>
      <c r="C591" t="n">
        <v>1804.98</v>
      </c>
      <c r="D591" t="n">
        <v>1644.27</v>
      </c>
      <c r="E591" t="n">
        <v>2164.68</v>
      </c>
      <c r="F591" t="n">
        <v>4262.08</v>
      </c>
    </row>
    <row r="592">
      <c r="A592" s="3" t="n">
        <v>39303</v>
      </c>
      <c r="B592" t="n">
        <v>3241.39</v>
      </c>
      <c r="C592" t="n">
        <v>1786.43</v>
      </c>
      <c r="D592" t="n">
        <v>1612.52</v>
      </c>
      <c r="E592" t="n">
        <v>2137.42</v>
      </c>
      <c r="F592" t="n">
        <v>4189.88</v>
      </c>
    </row>
    <row r="593">
      <c r="A593" s="3" t="n">
        <v>39304</v>
      </c>
      <c r="B593" t="n">
        <v>3223.35</v>
      </c>
      <c r="C593" t="n">
        <v>1770.31</v>
      </c>
      <c r="D593" t="n">
        <v>1588.14</v>
      </c>
      <c r="E593" t="n">
        <v>2104.16</v>
      </c>
      <c r="F593" t="n">
        <v>4160.37</v>
      </c>
    </row>
    <row r="594">
      <c r="A594" s="3" t="n">
        <v>39307</v>
      </c>
      <c r="B594" t="n">
        <v>3249.56</v>
      </c>
      <c r="C594" t="n">
        <v>1780.09</v>
      </c>
      <c r="D594" t="n">
        <v>1606.88</v>
      </c>
      <c r="E594" t="n">
        <v>2124.12</v>
      </c>
      <c r="F594" t="n">
        <v>4175.06</v>
      </c>
    </row>
    <row r="595">
      <c r="A595" s="3" t="n">
        <v>39308</v>
      </c>
      <c r="B595" t="n">
        <v>3254.16</v>
      </c>
      <c r="C595" t="n">
        <v>1776.7</v>
      </c>
      <c r="D595" t="n">
        <v>1609.3</v>
      </c>
      <c r="E595" t="n">
        <v>2121.7</v>
      </c>
      <c r="F595" t="n">
        <v>4162.57</v>
      </c>
    </row>
    <row r="596">
      <c r="A596" s="3" t="n">
        <v>39310</v>
      </c>
      <c r="B596" t="n">
        <v>3155.69</v>
      </c>
      <c r="C596" t="n">
        <v>1714.47</v>
      </c>
      <c r="D596" t="n">
        <v>1539.29</v>
      </c>
      <c r="E596" t="n">
        <v>2045.28</v>
      </c>
      <c r="F596" t="n">
        <v>3987.28</v>
      </c>
    </row>
    <row r="597">
      <c r="A597" s="3" t="n">
        <v>39311</v>
      </c>
      <c r="B597" t="n">
        <v>3099.74</v>
      </c>
      <c r="C597" t="n">
        <v>1678.64</v>
      </c>
      <c r="D597" t="n">
        <v>1508.2</v>
      </c>
      <c r="E597" t="n">
        <v>2018.05</v>
      </c>
      <c r="F597" t="n">
        <v>3897.86</v>
      </c>
    </row>
    <row r="598">
      <c r="A598" s="3" t="n">
        <v>39314</v>
      </c>
      <c r="B598" t="n">
        <v>3157.28</v>
      </c>
      <c r="C598" t="n">
        <v>1706.78</v>
      </c>
      <c r="D598" t="n">
        <v>1553.61</v>
      </c>
      <c r="E598" t="n">
        <v>2056.69</v>
      </c>
      <c r="F598" t="n">
        <v>3955.23</v>
      </c>
    </row>
    <row r="599">
      <c r="A599" s="3" t="n">
        <v>39315</v>
      </c>
      <c r="B599" t="n">
        <v>3042.15</v>
      </c>
      <c r="C599" t="n">
        <v>1653.81</v>
      </c>
      <c r="D599" t="n">
        <v>1490.21</v>
      </c>
      <c r="E599" t="n">
        <v>1994.8</v>
      </c>
      <c r="F599" t="n">
        <v>3800.15</v>
      </c>
    </row>
    <row r="600">
      <c r="A600" s="3" t="n">
        <v>39316</v>
      </c>
      <c r="B600" t="n">
        <v>3048.08</v>
      </c>
      <c r="C600" t="n">
        <v>1676.34</v>
      </c>
      <c r="D600" t="n">
        <v>1499.25</v>
      </c>
      <c r="E600" t="n">
        <v>2021.04</v>
      </c>
      <c r="F600" t="n">
        <v>3843.73</v>
      </c>
    </row>
    <row r="601">
      <c r="A601" s="3" t="n">
        <v>39317</v>
      </c>
      <c r="B601" t="n">
        <v>3004.53</v>
      </c>
      <c r="C601" t="n">
        <v>1666.4</v>
      </c>
      <c r="D601" t="n">
        <v>1471.78</v>
      </c>
      <c r="E601" t="n">
        <v>2003.18</v>
      </c>
      <c r="F601" t="n">
        <v>3813.68</v>
      </c>
    </row>
    <row r="602">
      <c r="A602" s="3" t="n">
        <v>39318</v>
      </c>
      <c r="B602" t="n">
        <v>3072.01</v>
      </c>
      <c r="C602" t="n">
        <v>1695</v>
      </c>
      <c r="D602" t="n">
        <v>1497.95</v>
      </c>
      <c r="E602" t="n">
        <v>2034.92</v>
      </c>
      <c r="F602" t="n">
        <v>3917.3</v>
      </c>
    </row>
    <row r="603">
      <c r="A603" s="3" t="n">
        <v>39321</v>
      </c>
      <c r="B603" t="n">
        <v>3160.47</v>
      </c>
      <c r="C603" t="n">
        <v>1733.84</v>
      </c>
      <c r="D603" t="n">
        <v>1544.06</v>
      </c>
      <c r="E603" t="n">
        <v>2083.72</v>
      </c>
      <c r="F603" t="n">
        <v>4062.56</v>
      </c>
    </row>
    <row r="604">
      <c r="A604" s="3" t="n">
        <v>39322</v>
      </c>
      <c r="B604" t="n">
        <v>3215.77</v>
      </c>
      <c r="C604" t="n">
        <v>1749.36</v>
      </c>
      <c r="D604" t="n">
        <v>1552.68</v>
      </c>
      <c r="E604" t="n">
        <v>2089.13</v>
      </c>
      <c r="F604" t="n">
        <v>4098.57</v>
      </c>
    </row>
    <row r="605">
      <c r="A605" s="3" t="n">
        <v>39323</v>
      </c>
      <c r="B605" t="n">
        <v>3250.79</v>
      </c>
      <c r="C605" t="n">
        <v>1768.91</v>
      </c>
      <c r="D605" t="n">
        <v>1564.81</v>
      </c>
      <c r="E605" t="n">
        <v>2100.01</v>
      </c>
      <c r="F605" t="n">
        <v>4106.2</v>
      </c>
    </row>
    <row r="606">
      <c r="A606" s="3" t="n">
        <v>39324</v>
      </c>
      <c r="B606" t="n">
        <v>3271.48</v>
      </c>
      <c r="C606" t="n">
        <v>1785.11</v>
      </c>
      <c r="D606" t="n">
        <v>1576.64</v>
      </c>
      <c r="E606" t="n">
        <v>2121.34</v>
      </c>
      <c r="F606" t="n">
        <v>4096.46</v>
      </c>
    </row>
    <row r="607">
      <c r="A607" s="3" t="n">
        <v>39325</v>
      </c>
      <c r="B607" t="n">
        <v>3342.1</v>
      </c>
      <c r="C607" t="n">
        <v>1806.45</v>
      </c>
      <c r="D607" t="n">
        <v>1621.98</v>
      </c>
      <c r="E607" t="n">
        <v>2141.37</v>
      </c>
      <c r="F607" t="n">
        <v>4232.95</v>
      </c>
    </row>
    <row r="608">
      <c r="A608" s="3" t="n">
        <v>39328</v>
      </c>
      <c r="B608" t="n">
        <v>3412.96</v>
      </c>
      <c r="C608" t="n">
        <v>1816.83</v>
      </c>
      <c r="D608" t="n">
        <v>1646.83</v>
      </c>
      <c r="E608" t="n">
        <v>2153.45</v>
      </c>
      <c r="F608" t="n">
        <v>4375.05</v>
      </c>
    </row>
    <row r="609">
      <c r="A609" s="3" t="n">
        <v>39329</v>
      </c>
      <c r="B609" t="n">
        <v>3415.65</v>
      </c>
      <c r="C609" t="n">
        <v>1822.42</v>
      </c>
      <c r="D609" t="n">
        <v>1663.74</v>
      </c>
      <c r="E609" t="n">
        <v>2163.98</v>
      </c>
      <c r="F609" t="n">
        <v>4396.92</v>
      </c>
    </row>
    <row r="610">
      <c r="A610" s="3" t="n">
        <v>39330</v>
      </c>
      <c r="B610" t="n">
        <v>3418.81</v>
      </c>
      <c r="C610" t="n">
        <v>1827.45</v>
      </c>
      <c r="D610" t="n">
        <v>1668.63</v>
      </c>
      <c r="E610" t="n">
        <v>2167.8</v>
      </c>
      <c r="F610" t="n">
        <v>4385.37</v>
      </c>
    </row>
    <row r="611">
      <c r="A611" s="3" t="n">
        <v>39331</v>
      </c>
      <c r="B611" t="n">
        <v>3462.79</v>
      </c>
      <c r="C611" t="n">
        <v>1851.91</v>
      </c>
      <c r="D611" t="n">
        <v>1693.18</v>
      </c>
      <c r="E611" t="n">
        <v>2191.04</v>
      </c>
      <c r="F611" t="n">
        <v>4440.9</v>
      </c>
    </row>
    <row r="612">
      <c r="A612" s="3" t="n">
        <v>39332</v>
      </c>
      <c r="B612" t="n">
        <v>3482.64</v>
      </c>
      <c r="C612" t="n">
        <v>1850.99</v>
      </c>
      <c r="D612" t="n">
        <v>1694.92</v>
      </c>
      <c r="E612" t="n">
        <v>2188.34</v>
      </c>
      <c r="F612" t="n">
        <v>4437.02</v>
      </c>
    </row>
    <row r="613">
      <c r="A613" s="3" t="n">
        <v>39335</v>
      </c>
      <c r="B613" t="n">
        <v>3502</v>
      </c>
      <c r="C613" t="n">
        <v>1849.5</v>
      </c>
      <c r="D613" t="n">
        <v>1702.42</v>
      </c>
      <c r="E613" t="n">
        <v>2189.21</v>
      </c>
      <c r="F613" t="n">
        <v>4480.57</v>
      </c>
    </row>
    <row r="614">
      <c r="A614" s="3" t="n">
        <v>39336</v>
      </c>
      <c r="B614" t="n">
        <v>3492.78</v>
      </c>
      <c r="C614" t="n">
        <v>1846.43</v>
      </c>
      <c r="D614" t="n">
        <v>1705.42</v>
      </c>
      <c r="E614" t="n">
        <v>2184.08</v>
      </c>
      <c r="F614" t="n">
        <v>4466.89</v>
      </c>
    </row>
    <row r="615">
      <c r="A615" s="3" t="n">
        <v>39337</v>
      </c>
      <c r="B615" t="n">
        <v>3511.65</v>
      </c>
      <c r="C615" t="n">
        <v>1846.25</v>
      </c>
      <c r="D615" t="n">
        <v>1712.71</v>
      </c>
      <c r="E615" t="n">
        <v>2181.05</v>
      </c>
      <c r="F615" t="n">
        <v>4468.1</v>
      </c>
    </row>
    <row r="616">
      <c r="A616" s="3" t="n">
        <v>39338</v>
      </c>
      <c r="B616" t="n">
        <v>3561.99</v>
      </c>
      <c r="C616" t="n">
        <v>1852.3</v>
      </c>
      <c r="D616" t="n">
        <v>1728.78</v>
      </c>
      <c r="E616" t="n">
        <v>2196.55</v>
      </c>
      <c r="F616" t="n">
        <v>4515.75</v>
      </c>
    </row>
    <row r="617">
      <c r="A617" s="3" t="n">
        <v>39339</v>
      </c>
      <c r="B617" t="n">
        <v>3564.69</v>
      </c>
      <c r="C617" t="n">
        <v>1843.55</v>
      </c>
      <c r="D617" t="n">
        <v>1703.79</v>
      </c>
      <c r="E617" t="n">
        <v>2188.66</v>
      </c>
      <c r="F617" t="n">
        <v>4489.24</v>
      </c>
    </row>
    <row r="618">
      <c r="A618" s="3" t="n">
        <v>39342</v>
      </c>
      <c r="B618" t="n">
        <v>3594.5</v>
      </c>
      <c r="C618" t="n">
        <v>1844.43</v>
      </c>
      <c r="D618" t="n">
        <v>1701.26</v>
      </c>
      <c r="E618" t="n">
        <v>2182.12</v>
      </c>
      <c r="F618" t="n">
        <v>4506.93</v>
      </c>
    </row>
    <row r="619">
      <c r="A619" s="3" t="n">
        <v>39343</v>
      </c>
      <c r="B619" t="n">
        <v>3668.22</v>
      </c>
      <c r="C619" t="n">
        <v>1858.68</v>
      </c>
      <c r="D619" t="n">
        <v>1728.5</v>
      </c>
      <c r="E619" t="n">
        <v>2203.23</v>
      </c>
      <c r="F619" t="n">
        <v>4561.82</v>
      </c>
    </row>
    <row r="620">
      <c r="A620" s="3" t="n">
        <v>39344</v>
      </c>
      <c r="B620" t="n">
        <v>3741.45</v>
      </c>
      <c r="C620" t="n">
        <v>1904.32</v>
      </c>
      <c r="D620" t="n">
        <v>1766.56</v>
      </c>
      <c r="E620" t="n">
        <v>2276.42</v>
      </c>
      <c r="F620" t="n">
        <v>4658</v>
      </c>
    </row>
    <row r="621">
      <c r="A621" s="3" t="n">
        <v>39345</v>
      </c>
      <c r="B621" t="n">
        <v>3788.87</v>
      </c>
      <c r="C621" t="n">
        <v>1916.85</v>
      </c>
      <c r="D621" t="n">
        <v>1771.44</v>
      </c>
      <c r="E621" t="n">
        <v>2281.56</v>
      </c>
      <c r="F621" t="n">
        <v>4685.71</v>
      </c>
    </row>
    <row r="622">
      <c r="A622" s="3" t="n">
        <v>39346</v>
      </c>
      <c r="B622" t="n">
        <v>3833.1</v>
      </c>
      <c r="C622" t="n">
        <v>1928.94</v>
      </c>
      <c r="D622" t="n">
        <v>1794.22</v>
      </c>
      <c r="E622" t="n">
        <v>2308.32</v>
      </c>
      <c r="F622" t="n">
        <v>4697.64</v>
      </c>
    </row>
    <row r="623">
      <c r="A623" s="3" t="n">
        <v>39349</v>
      </c>
      <c r="B623" t="n">
        <v>3969.24</v>
      </c>
      <c r="C623" t="n">
        <v>1937.2</v>
      </c>
      <c r="D623" t="n">
        <v>1820.99</v>
      </c>
      <c r="E623" t="n">
        <v>2343.22</v>
      </c>
      <c r="F623" t="n">
        <v>4750.07</v>
      </c>
    </row>
    <row r="624">
      <c r="A624" s="3" t="n">
        <v>39350</v>
      </c>
      <c r="B624" t="n">
        <v>3982.93</v>
      </c>
      <c r="C624" t="n">
        <v>1941.22</v>
      </c>
      <c r="D624" t="n">
        <v>1836.67</v>
      </c>
      <c r="E624" t="n">
        <v>2344.9</v>
      </c>
      <c r="F624" t="n">
        <v>4741.17</v>
      </c>
    </row>
    <row r="625">
      <c r="A625" s="3" t="n">
        <v>39351</v>
      </c>
      <c r="B625" t="n">
        <v>3956.81</v>
      </c>
      <c r="C625" t="n">
        <v>1950.02</v>
      </c>
      <c r="D625" t="n">
        <v>1889.04</v>
      </c>
      <c r="E625" t="n">
        <v>2351.67</v>
      </c>
      <c r="F625" t="n">
        <v>4739.61</v>
      </c>
    </row>
    <row r="626">
      <c r="A626" s="3" t="n">
        <v>39352</v>
      </c>
      <c r="B626" t="n">
        <v>3990.26</v>
      </c>
      <c r="C626" t="n">
        <v>1955.01</v>
      </c>
      <c r="D626" t="n">
        <v>1866.45</v>
      </c>
      <c r="E626" t="n">
        <v>2361.48</v>
      </c>
      <c r="F626" t="n">
        <v>4722.61</v>
      </c>
    </row>
    <row r="627">
      <c r="A627" s="3" t="n">
        <v>39353</v>
      </c>
      <c r="B627" t="n">
        <v>4116.04</v>
      </c>
      <c r="C627" t="n">
        <v>1974.44</v>
      </c>
      <c r="D627" t="n">
        <v>1905.44</v>
      </c>
      <c r="E627" t="n">
        <v>2374.71</v>
      </c>
      <c r="F627" t="n">
        <v>4837.57</v>
      </c>
    </row>
    <row r="628">
      <c r="A628" s="3" t="n">
        <v>39356</v>
      </c>
      <c r="B628" t="n">
        <v>4237.92</v>
      </c>
      <c r="C628" t="n">
        <v>1987.49</v>
      </c>
      <c r="D628" t="n">
        <v>1938.73</v>
      </c>
      <c r="E628" t="n">
        <v>2399.38</v>
      </c>
      <c r="F628" t="n">
        <v>4932.01</v>
      </c>
    </row>
    <row r="629">
      <c r="A629" s="3" t="n">
        <v>39358</v>
      </c>
      <c r="B629" t="n">
        <v>4314.54</v>
      </c>
      <c r="C629" t="n">
        <v>2008.32</v>
      </c>
      <c r="D629" t="n">
        <v>1941.1</v>
      </c>
      <c r="E629" t="n">
        <v>2453.84</v>
      </c>
      <c r="F629" t="n">
        <v>4989.07</v>
      </c>
    </row>
    <row r="630">
      <c r="A630" s="3" t="n">
        <v>39359</v>
      </c>
      <c r="B630" t="n">
        <v>4348.72</v>
      </c>
      <c r="C630" t="n">
        <v>2012.78</v>
      </c>
      <c r="D630" t="n">
        <v>1954.1</v>
      </c>
      <c r="E630" t="n">
        <v>2448.12</v>
      </c>
      <c r="F630" t="n">
        <v>5036.55</v>
      </c>
    </row>
    <row r="631">
      <c r="A631" s="3" t="n">
        <v>39360</v>
      </c>
      <c r="B631" t="n">
        <v>4325.25</v>
      </c>
      <c r="C631" t="n">
        <v>1999.25</v>
      </c>
      <c r="D631" t="n">
        <v>1914.34</v>
      </c>
      <c r="E631" t="n">
        <v>2422.52</v>
      </c>
      <c r="F631" t="n">
        <v>5031.13</v>
      </c>
    </row>
    <row r="632">
      <c r="A632" s="3" t="n">
        <v>39363</v>
      </c>
      <c r="B632" t="n">
        <v>4176.78</v>
      </c>
      <c r="C632" t="n">
        <v>1951.53</v>
      </c>
      <c r="D632" t="n">
        <v>1816.21</v>
      </c>
      <c r="E632" t="n">
        <v>2376.24</v>
      </c>
      <c r="F632" t="n">
        <v>4842.42</v>
      </c>
    </row>
    <row r="633">
      <c r="A633" s="3" t="n">
        <v>39364</v>
      </c>
      <c r="B633" t="n">
        <v>4397.14</v>
      </c>
      <c r="C633" t="n">
        <v>2007.46</v>
      </c>
      <c r="D633" t="n">
        <v>1868.19</v>
      </c>
      <c r="E633" t="n">
        <v>2459.95</v>
      </c>
      <c r="F633" t="n">
        <v>5033.07</v>
      </c>
    </row>
    <row r="634">
      <c r="A634" s="3" t="n">
        <v>39365</v>
      </c>
      <c r="B634" t="n">
        <v>4529.51</v>
      </c>
      <c r="C634" t="n">
        <v>2040.65</v>
      </c>
      <c r="D634" t="n">
        <v>1879.15</v>
      </c>
      <c r="E634" t="n">
        <v>2503.81</v>
      </c>
      <c r="F634" t="n">
        <v>5132.5</v>
      </c>
    </row>
    <row r="635">
      <c r="A635" s="3" t="n">
        <v>39366</v>
      </c>
      <c r="B635" t="n">
        <v>4623.5</v>
      </c>
      <c r="C635" t="n">
        <v>2063.35</v>
      </c>
      <c r="D635" t="n">
        <v>1888.76</v>
      </c>
      <c r="E635" t="n">
        <v>2516.37</v>
      </c>
      <c r="F635" t="n">
        <v>5242.01</v>
      </c>
    </row>
    <row r="636">
      <c r="A636" s="3" t="n">
        <v>39367</v>
      </c>
      <c r="B636" t="n">
        <v>4592.32</v>
      </c>
      <c r="C636" t="n">
        <v>2042.95</v>
      </c>
      <c r="D636" t="n">
        <v>1869.47</v>
      </c>
      <c r="E636" t="n">
        <v>2478.57</v>
      </c>
      <c r="F636" t="n">
        <v>5243.54</v>
      </c>
    </row>
    <row r="637">
      <c r="A637" s="3" t="n">
        <v>39370</v>
      </c>
      <c r="B637" t="n">
        <v>4794.92</v>
      </c>
      <c r="C637" t="n">
        <v>2110.07</v>
      </c>
      <c r="D637" t="n">
        <v>1930.63</v>
      </c>
      <c r="E637" t="n">
        <v>2535.62</v>
      </c>
      <c r="F637" t="n">
        <v>5454.84</v>
      </c>
    </row>
    <row r="638">
      <c r="A638" s="3" t="n">
        <v>39371</v>
      </c>
      <c r="B638" t="n">
        <v>4868.74</v>
      </c>
      <c r="C638" t="n">
        <v>2107.45</v>
      </c>
      <c r="D638" t="n">
        <v>1945.32</v>
      </c>
      <c r="E638" t="n">
        <v>2544.03</v>
      </c>
      <c r="F638" t="n">
        <v>5508.58</v>
      </c>
    </row>
    <row r="639">
      <c r="A639" s="3" t="n">
        <v>39372</v>
      </c>
      <c r="B639" t="n">
        <v>4740.46</v>
      </c>
      <c r="C639" t="n">
        <v>2067.67</v>
      </c>
      <c r="D639" t="n">
        <v>1876.51</v>
      </c>
      <c r="E639" t="n">
        <v>2495.96</v>
      </c>
      <c r="F639" t="n">
        <v>5412.99</v>
      </c>
    </row>
    <row r="640">
      <c r="A640" s="3" t="n">
        <v>39373</v>
      </c>
      <c r="B640" t="n">
        <v>4564.56</v>
      </c>
      <c r="C640" t="n">
        <v>2018.17</v>
      </c>
      <c r="D640" t="n">
        <v>1837.92</v>
      </c>
      <c r="E640" t="n">
        <v>2452.84</v>
      </c>
      <c r="F640" t="n">
        <v>5279.12</v>
      </c>
    </row>
    <row r="641">
      <c r="A641" s="3" t="n">
        <v>39374</v>
      </c>
      <c r="B641" t="n">
        <v>4366.42</v>
      </c>
      <c r="C641" t="n">
        <v>1971.96</v>
      </c>
      <c r="D641" t="n">
        <v>1780.3</v>
      </c>
      <c r="E641" t="n">
        <v>2396.15</v>
      </c>
      <c r="F641" t="n">
        <v>5133.69</v>
      </c>
    </row>
    <row r="642">
      <c r="A642" s="3" t="n">
        <v>39377</v>
      </c>
      <c r="B642" t="n">
        <v>4367.06</v>
      </c>
      <c r="C642" t="n">
        <v>1971.81</v>
      </c>
      <c r="D642" t="n">
        <v>1791.16</v>
      </c>
      <c r="E642" t="n">
        <v>2391.28</v>
      </c>
      <c r="F642" t="n">
        <v>5112.41</v>
      </c>
    </row>
    <row r="643">
      <c r="A643" s="3" t="n">
        <v>39378</v>
      </c>
      <c r="B643" t="n">
        <v>4644.16</v>
      </c>
      <c r="C643" t="n">
        <v>2049.93</v>
      </c>
      <c r="D643" t="n">
        <v>1887.82</v>
      </c>
      <c r="E643" t="n">
        <v>2477.84</v>
      </c>
      <c r="F643" t="n">
        <v>5342.09</v>
      </c>
    </row>
    <row r="644">
      <c r="A644" s="3" t="n">
        <v>39379</v>
      </c>
      <c r="B644" t="n">
        <v>4745.88</v>
      </c>
      <c r="C644" t="n">
        <v>2069.67</v>
      </c>
      <c r="D644" t="n">
        <v>1933.46</v>
      </c>
      <c r="E644" t="n">
        <v>2487.29</v>
      </c>
      <c r="F644" t="n">
        <v>5398.74</v>
      </c>
    </row>
    <row r="645">
      <c r="A645" s="3" t="n">
        <v>39380</v>
      </c>
      <c r="B645" t="n">
        <v>4823.43</v>
      </c>
      <c r="C645" t="n">
        <v>2090.15</v>
      </c>
      <c r="D645" t="n">
        <v>1945.11</v>
      </c>
      <c r="E645" t="n">
        <v>2517.72</v>
      </c>
      <c r="F645" t="n">
        <v>5530.8</v>
      </c>
    </row>
    <row r="646">
      <c r="A646" s="3" t="n">
        <v>39381</v>
      </c>
      <c r="B646" t="n">
        <v>5027.27</v>
      </c>
      <c r="C646" t="n">
        <v>2142.31</v>
      </c>
      <c r="D646" t="n">
        <v>1982.51</v>
      </c>
      <c r="E646" t="n">
        <v>2548.72</v>
      </c>
      <c r="F646" t="n">
        <v>5693.5</v>
      </c>
    </row>
    <row r="647">
      <c r="A647" s="3" t="n">
        <v>39384</v>
      </c>
      <c r="B647" t="n">
        <v>5180.64</v>
      </c>
      <c r="C647" t="n">
        <v>2211.17</v>
      </c>
      <c r="D647" t="n">
        <v>1997.81</v>
      </c>
      <c r="E647" t="n">
        <v>2605.62</v>
      </c>
      <c r="F647" t="n">
        <v>5780.78</v>
      </c>
    </row>
    <row r="648">
      <c r="A648" s="3" t="n">
        <v>39385</v>
      </c>
      <c r="B648" t="n">
        <v>5228.98</v>
      </c>
      <c r="C648" t="n">
        <v>2194.81</v>
      </c>
      <c r="D648" t="n">
        <v>2013.43</v>
      </c>
      <c r="E648" t="n">
        <v>2585.51</v>
      </c>
      <c r="F648" t="n">
        <v>5733.18</v>
      </c>
    </row>
    <row r="649">
      <c r="A649" s="3" t="n">
        <v>39386</v>
      </c>
      <c r="B649" t="n">
        <v>5273.42</v>
      </c>
      <c r="C649" t="n">
        <v>2192.82</v>
      </c>
      <c r="D649" t="n">
        <v>2032.78</v>
      </c>
      <c r="E649" t="n">
        <v>2603.76</v>
      </c>
      <c r="F649" t="n">
        <v>5772.32</v>
      </c>
    </row>
    <row r="650">
      <c r="A650" s="3" t="n">
        <v>39387</v>
      </c>
      <c r="B650" t="n">
        <v>5221.48</v>
      </c>
      <c r="C650" t="n">
        <v>2174.22</v>
      </c>
      <c r="D650" t="n">
        <v>2000.78</v>
      </c>
      <c r="E650" t="n">
        <v>2579.24</v>
      </c>
      <c r="F650" t="n">
        <v>5681.54</v>
      </c>
    </row>
    <row r="651">
      <c r="A651" s="3" t="n">
        <v>39388</v>
      </c>
      <c r="B651" t="n">
        <v>5310.45</v>
      </c>
      <c r="C651" t="n">
        <v>2184.29</v>
      </c>
      <c r="D651" t="n">
        <v>2043.65</v>
      </c>
      <c r="E651" t="n">
        <v>2599.53</v>
      </c>
      <c r="F651" t="n">
        <v>5687.64</v>
      </c>
    </row>
    <row r="652">
      <c r="A652" s="3" t="n">
        <v>39391</v>
      </c>
      <c r="B652" t="n">
        <v>5312.62</v>
      </c>
      <c r="C652" t="n">
        <v>2159.06</v>
      </c>
      <c r="D652" t="n">
        <v>2059.06</v>
      </c>
      <c r="E652" t="n">
        <v>2585.46</v>
      </c>
      <c r="F652" t="n">
        <v>5734.88</v>
      </c>
    </row>
    <row r="653">
      <c r="A653" s="3" t="n">
        <v>39392</v>
      </c>
      <c r="B653" t="n">
        <v>5228.12</v>
      </c>
      <c r="C653" t="n">
        <v>2145.87</v>
      </c>
      <c r="D653" t="n">
        <v>2049.57</v>
      </c>
      <c r="E653" t="n">
        <v>2546.2</v>
      </c>
      <c r="F653" t="n">
        <v>5683.43</v>
      </c>
    </row>
    <row r="654">
      <c r="A654" s="3" t="n">
        <v>39393</v>
      </c>
      <c r="B654" t="n">
        <v>5211.84</v>
      </c>
      <c r="C654" t="n">
        <v>2132.79</v>
      </c>
      <c r="D654" t="n">
        <v>2053.32</v>
      </c>
      <c r="E654" t="n">
        <v>2527.75</v>
      </c>
      <c r="F654" t="n">
        <v>5635.07</v>
      </c>
    </row>
    <row r="655">
      <c r="A655" s="3" t="n">
        <v>39394</v>
      </c>
      <c r="B655" t="n">
        <v>5224.18</v>
      </c>
      <c r="C655" t="n">
        <v>2105.26</v>
      </c>
      <c r="D655" t="n">
        <v>2044.34</v>
      </c>
      <c r="E655" t="n">
        <v>2499.5</v>
      </c>
      <c r="F655" t="n">
        <v>5591.62</v>
      </c>
    </row>
    <row r="656">
      <c r="A656" s="3" t="n">
        <v>39395</v>
      </c>
      <c r="B656" t="n">
        <v>5223</v>
      </c>
      <c r="C656" t="n">
        <v>2096.21</v>
      </c>
      <c r="D656" t="n">
        <v>2054.77</v>
      </c>
      <c r="E656" t="n">
        <v>2496.23</v>
      </c>
      <c r="F656" t="n">
        <v>5608.99</v>
      </c>
    </row>
    <row r="657">
      <c r="A657" s="3" t="n">
        <v>39398</v>
      </c>
      <c r="B657" t="n">
        <v>5160.11</v>
      </c>
      <c r="C657" t="n">
        <v>2084.88</v>
      </c>
      <c r="D657" t="n">
        <v>2050.21</v>
      </c>
      <c r="E657" t="n">
        <v>2474.68</v>
      </c>
      <c r="F657" t="n">
        <v>5577.64</v>
      </c>
    </row>
    <row r="658">
      <c r="A658" s="3" t="n">
        <v>39399</v>
      </c>
      <c r="B658" t="n">
        <v>5288.45</v>
      </c>
      <c r="C658" t="n">
        <v>2110.01</v>
      </c>
      <c r="D658" t="n">
        <v>2112.48</v>
      </c>
      <c r="E658" t="n">
        <v>2493.86</v>
      </c>
      <c r="F658" t="n">
        <v>5699.21</v>
      </c>
    </row>
    <row r="659">
      <c r="A659" s="3" t="n">
        <v>39400</v>
      </c>
      <c r="B659" t="n">
        <v>5434.12</v>
      </c>
      <c r="C659" t="n">
        <v>2166.11</v>
      </c>
      <c r="D659" t="n">
        <v>2189.47</v>
      </c>
      <c r="E659" t="n">
        <v>2550.84</v>
      </c>
      <c r="F659" t="n">
        <v>5889.16</v>
      </c>
    </row>
    <row r="660">
      <c r="A660" s="3" t="n">
        <v>39401</v>
      </c>
      <c r="B660" t="n">
        <v>5490.6</v>
      </c>
      <c r="C660" t="n">
        <v>2173.24</v>
      </c>
      <c r="D660" t="n">
        <v>2279.08</v>
      </c>
      <c r="E660" t="n">
        <v>2548.34</v>
      </c>
      <c r="F660" t="n">
        <v>6010.34</v>
      </c>
    </row>
    <row r="661">
      <c r="A661" s="3" t="n">
        <v>39402</v>
      </c>
      <c r="B661" t="n">
        <v>5487.17</v>
      </c>
      <c r="C661" t="n">
        <v>2184.83</v>
      </c>
      <c r="D661" t="n">
        <v>2347.74</v>
      </c>
      <c r="E661" t="n">
        <v>2578</v>
      </c>
      <c r="F661" t="n">
        <v>5985.64</v>
      </c>
    </row>
    <row r="662">
      <c r="A662" s="3" t="n">
        <v>39405</v>
      </c>
      <c r="B662" t="n">
        <v>5622.78</v>
      </c>
      <c r="C662" t="n">
        <v>2212.63</v>
      </c>
      <c r="D662" t="n">
        <v>2387.23</v>
      </c>
      <c r="E662" t="n">
        <v>2590.03</v>
      </c>
      <c r="F662" t="n">
        <v>6141.58</v>
      </c>
    </row>
    <row r="663">
      <c r="A663" s="3" t="n">
        <v>39406</v>
      </c>
      <c r="B663" t="n">
        <v>5537.93</v>
      </c>
      <c r="C663" t="n">
        <v>2185.24</v>
      </c>
      <c r="D663" t="n">
        <v>2330.61</v>
      </c>
      <c r="E663" t="n">
        <v>2542.2</v>
      </c>
      <c r="F663" t="n">
        <v>6073.88</v>
      </c>
    </row>
    <row r="664">
      <c r="A664" s="3" t="n">
        <v>39407</v>
      </c>
      <c r="B664" t="n">
        <v>5243.12</v>
      </c>
      <c r="C664" t="n">
        <v>2112.11</v>
      </c>
      <c r="D664" t="n">
        <v>2179.15</v>
      </c>
      <c r="E664" t="n">
        <v>2468.2</v>
      </c>
      <c r="F664" t="n">
        <v>5759.02</v>
      </c>
    </row>
    <row r="665">
      <c r="A665" s="3" t="n">
        <v>39408</v>
      </c>
      <c r="B665" t="n">
        <v>5238.42</v>
      </c>
      <c r="C665" t="n">
        <v>2084.87</v>
      </c>
      <c r="D665" t="n">
        <v>2134.42</v>
      </c>
      <c r="E665" t="n">
        <v>2454.09</v>
      </c>
      <c r="F665" t="n">
        <v>5690.76</v>
      </c>
    </row>
    <row r="666">
      <c r="A666" s="3" t="n">
        <v>39409</v>
      </c>
      <c r="B666" t="n">
        <v>5355.59</v>
      </c>
      <c r="C666" t="n">
        <v>2114.94</v>
      </c>
      <c r="D666" t="n">
        <v>2165.05</v>
      </c>
      <c r="E666" t="n">
        <v>2474.48</v>
      </c>
      <c r="F666" t="n">
        <v>5860.09</v>
      </c>
    </row>
    <row r="667">
      <c r="A667" s="3" t="n">
        <v>39412</v>
      </c>
      <c r="B667" t="n">
        <v>5446.46</v>
      </c>
      <c r="C667" t="n">
        <v>2156.91</v>
      </c>
      <c r="D667" t="n">
        <v>2211.88</v>
      </c>
      <c r="E667" t="n">
        <v>2512.29</v>
      </c>
      <c r="F667" t="n">
        <v>6067.02</v>
      </c>
    </row>
    <row r="668">
      <c r="A668" s="3" t="n">
        <v>39413</v>
      </c>
      <c r="B668" t="n">
        <v>5411.45</v>
      </c>
      <c r="C668" t="n">
        <v>2148.63</v>
      </c>
      <c r="D668" t="n">
        <v>2246.68</v>
      </c>
      <c r="E668" t="n">
        <v>2493.12</v>
      </c>
      <c r="F668" t="n">
        <v>5988.53</v>
      </c>
    </row>
    <row r="669">
      <c r="A669" s="3" t="n">
        <v>39414</v>
      </c>
      <c r="B669" t="n">
        <v>5393.27</v>
      </c>
      <c r="C669" t="n">
        <v>2118.92</v>
      </c>
      <c r="D669" t="n">
        <v>2225.24</v>
      </c>
      <c r="E669" t="n">
        <v>2469.64</v>
      </c>
      <c r="F669" t="n">
        <v>5980.66</v>
      </c>
    </row>
    <row r="670">
      <c r="A670" s="3" t="n">
        <v>39415</v>
      </c>
      <c r="B670" t="n">
        <v>5388.2</v>
      </c>
      <c r="C670" t="n">
        <v>2105.94</v>
      </c>
      <c r="D670" t="n">
        <v>2200.84</v>
      </c>
      <c r="E670" t="n">
        <v>2481.95</v>
      </c>
      <c r="F670" t="n">
        <v>5943.77</v>
      </c>
    </row>
    <row r="671">
      <c r="A671" s="3" t="n">
        <v>39416</v>
      </c>
      <c r="B671" t="n">
        <v>5549.18</v>
      </c>
      <c r="C671" t="n">
        <v>2145.6</v>
      </c>
      <c r="D671" t="n">
        <v>2281.78</v>
      </c>
      <c r="E671" t="n">
        <v>2523.91</v>
      </c>
      <c r="F671" t="n">
        <v>6156.48</v>
      </c>
    </row>
    <row r="672">
      <c r="A672" s="3" t="n">
        <v>39419</v>
      </c>
      <c r="B672" t="n">
        <v>5727.48</v>
      </c>
      <c r="C672" t="n">
        <v>2183.41</v>
      </c>
      <c r="D672" t="n">
        <v>2345.36</v>
      </c>
      <c r="E672" t="n">
        <v>2571.89</v>
      </c>
      <c r="F672" t="n">
        <v>6355.79</v>
      </c>
    </row>
    <row r="673">
      <c r="A673" s="3" t="n">
        <v>39420</v>
      </c>
      <c r="B673" t="n">
        <v>5811.5</v>
      </c>
      <c r="C673" t="n">
        <v>2208.91</v>
      </c>
      <c r="D673" t="n">
        <v>2409.89</v>
      </c>
      <c r="E673" t="n">
        <v>2571.71</v>
      </c>
      <c r="F673" t="n">
        <v>6507.77</v>
      </c>
    </row>
    <row r="674">
      <c r="A674" s="3" t="n">
        <v>39421</v>
      </c>
      <c r="B674" t="n">
        <v>5876.55</v>
      </c>
      <c r="C674" t="n">
        <v>2234.48</v>
      </c>
      <c r="D674" t="n">
        <v>2460.94</v>
      </c>
      <c r="E674" t="n">
        <v>2607.49</v>
      </c>
      <c r="F674" t="n">
        <v>6632.43</v>
      </c>
    </row>
    <row r="675">
      <c r="A675" s="3" t="n">
        <v>39422</v>
      </c>
      <c r="B675" t="n">
        <v>5843.36</v>
      </c>
      <c r="C675" t="n">
        <v>2226.75</v>
      </c>
      <c r="D675" t="n">
        <v>2454.93</v>
      </c>
      <c r="E675" t="n">
        <v>2615.38</v>
      </c>
      <c r="F675" t="n">
        <v>6617.06</v>
      </c>
    </row>
    <row r="676">
      <c r="A676" s="3" t="n">
        <v>39423</v>
      </c>
      <c r="B676" t="n">
        <v>5802.54</v>
      </c>
      <c r="C676" t="n">
        <v>2224.74</v>
      </c>
      <c r="D676" t="n">
        <v>2451.82</v>
      </c>
      <c r="E676" t="n">
        <v>2627.26</v>
      </c>
      <c r="F676" t="n">
        <v>6552.12</v>
      </c>
    </row>
    <row r="677">
      <c r="A677" s="3" t="n">
        <v>39426</v>
      </c>
      <c r="B677" t="n">
        <v>5772.23</v>
      </c>
      <c r="C677" t="n">
        <v>2226</v>
      </c>
      <c r="D677" t="n">
        <v>2496.01</v>
      </c>
      <c r="E677" t="n">
        <v>2625.22</v>
      </c>
      <c r="F677" t="n">
        <v>6573.96</v>
      </c>
    </row>
    <row r="678">
      <c r="A678" s="3" t="n">
        <v>39427</v>
      </c>
      <c r="B678" t="n">
        <v>5818.4</v>
      </c>
      <c r="C678" t="n">
        <v>2246.54</v>
      </c>
      <c r="D678" t="n">
        <v>2511.01</v>
      </c>
      <c r="E678" t="n">
        <v>2664.63</v>
      </c>
      <c r="F678" t="n">
        <v>6633.13</v>
      </c>
    </row>
    <row r="679">
      <c r="A679" s="3" t="n">
        <v>39428</v>
      </c>
      <c r="B679" t="n">
        <v>5901.18</v>
      </c>
      <c r="C679" t="n">
        <v>2264.3</v>
      </c>
      <c r="D679" t="n">
        <v>2553.34</v>
      </c>
      <c r="E679" t="n">
        <v>2685.43</v>
      </c>
      <c r="F679" t="n">
        <v>6770.82</v>
      </c>
    </row>
    <row r="680">
      <c r="A680" s="3" t="n">
        <v>39429</v>
      </c>
      <c r="B680" t="n">
        <v>5907.89</v>
      </c>
      <c r="C680" t="n">
        <v>2255.17</v>
      </c>
      <c r="D680" t="n">
        <v>2563.2</v>
      </c>
      <c r="E680" t="n">
        <v>2661.55</v>
      </c>
      <c r="F680" t="n">
        <v>6814.85</v>
      </c>
    </row>
    <row r="681">
      <c r="A681" s="3" t="n">
        <v>39430</v>
      </c>
      <c r="B681" t="n">
        <v>5892.26</v>
      </c>
      <c r="C681" t="n">
        <v>2279.42</v>
      </c>
      <c r="D681" t="n">
        <v>2574.09</v>
      </c>
      <c r="E681" t="n">
        <v>2687.83</v>
      </c>
      <c r="F681" t="n">
        <v>6833.63</v>
      </c>
    </row>
    <row r="682">
      <c r="A682" s="3" t="n">
        <v>39433</v>
      </c>
      <c r="B682" t="n">
        <v>5606.71</v>
      </c>
      <c r="C682" t="n">
        <v>2202.43</v>
      </c>
      <c r="D682" t="n">
        <v>2438.37</v>
      </c>
      <c r="E682" t="n">
        <v>2598.79</v>
      </c>
      <c r="F682" t="n">
        <v>6493.58</v>
      </c>
    </row>
    <row r="683">
      <c r="A683" s="3" t="n">
        <v>39434</v>
      </c>
      <c r="B683" t="n">
        <v>5580.37</v>
      </c>
      <c r="C683" t="n">
        <v>2195.71</v>
      </c>
      <c r="D683" t="n">
        <v>2449.17</v>
      </c>
      <c r="E683" t="n">
        <v>2596.95</v>
      </c>
      <c r="F683" t="n">
        <v>6478.98</v>
      </c>
    </row>
    <row r="684">
      <c r="A684" s="3" t="n">
        <v>39435</v>
      </c>
      <c r="B684" t="n">
        <v>5606.39</v>
      </c>
      <c r="C684" t="n">
        <v>2189.96</v>
      </c>
      <c r="D684" t="n">
        <v>2440.85</v>
      </c>
      <c r="E684" t="n">
        <v>2600.67</v>
      </c>
      <c r="F684" t="n">
        <v>6487.7</v>
      </c>
    </row>
    <row r="685">
      <c r="A685" s="3" t="n">
        <v>39436</v>
      </c>
      <c r="B685" t="n">
        <v>5604.63</v>
      </c>
      <c r="C685" t="n">
        <v>2194.91</v>
      </c>
      <c r="D685" t="n">
        <v>2442.27</v>
      </c>
      <c r="E685" t="n">
        <v>2609.54</v>
      </c>
      <c r="F685" t="n">
        <v>6449.27</v>
      </c>
    </row>
    <row r="686">
      <c r="A686" s="3" t="n">
        <v>39440</v>
      </c>
      <c r="B686" t="n">
        <v>5787.83</v>
      </c>
      <c r="C686" t="n">
        <v>2248.17</v>
      </c>
      <c r="D686" t="n">
        <v>2513.36</v>
      </c>
      <c r="E686" t="n">
        <v>2684.69</v>
      </c>
      <c r="F686" t="n">
        <v>6608.31</v>
      </c>
    </row>
    <row r="687">
      <c r="A687" s="3" t="n">
        <v>39442</v>
      </c>
      <c r="B687" t="n">
        <v>5972.13</v>
      </c>
      <c r="C687" t="n">
        <v>2271.09</v>
      </c>
      <c r="D687" t="n">
        <v>2598.73</v>
      </c>
      <c r="E687" t="n">
        <v>2717.05</v>
      </c>
      <c r="F687" t="n">
        <v>6784.57</v>
      </c>
    </row>
    <row r="688">
      <c r="A688" s="3" t="n">
        <v>39443</v>
      </c>
      <c r="B688" t="n">
        <v>5953.58</v>
      </c>
      <c r="C688" t="n">
        <v>2269.08</v>
      </c>
      <c r="D688" t="n">
        <v>2641.63</v>
      </c>
      <c r="E688" t="n">
        <v>2720.08</v>
      </c>
      <c r="F688" t="n">
        <v>6796.17</v>
      </c>
    </row>
    <row r="689">
      <c r="A689" s="3" t="n">
        <v>39444</v>
      </c>
      <c r="B689" t="n">
        <v>6067.15</v>
      </c>
      <c r="C689" t="n">
        <v>2283.05</v>
      </c>
      <c r="D689" t="n">
        <v>2681.96</v>
      </c>
      <c r="E689" t="n">
        <v>2722.85</v>
      </c>
      <c r="F689" t="n">
        <v>6966.95</v>
      </c>
    </row>
    <row r="690">
      <c r="A690" s="3" t="n">
        <v>39447</v>
      </c>
      <c r="B690" t="n">
        <v>6127.25</v>
      </c>
      <c r="C690" t="n">
        <v>2302.56</v>
      </c>
      <c r="D690" t="n">
        <v>2754.14</v>
      </c>
      <c r="E690" t="n">
        <v>2764.78</v>
      </c>
      <c r="F690" t="n">
        <v>7120.01</v>
      </c>
    </row>
    <row r="691">
      <c r="A691" s="3" t="n">
        <v>39448</v>
      </c>
      <c r="B691" t="n">
        <v>6192.01</v>
      </c>
      <c r="C691" t="n">
        <v>2314.72</v>
      </c>
      <c r="D691" t="n">
        <v>2799.33</v>
      </c>
      <c r="E691" t="n">
        <v>2797.36</v>
      </c>
      <c r="F691" t="n">
        <v>7197.74</v>
      </c>
    </row>
    <row r="692">
      <c r="A692" s="3" t="n">
        <v>39449</v>
      </c>
      <c r="B692" t="n">
        <v>6285.32</v>
      </c>
      <c r="C692" t="n">
        <v>2319.35</v>
      </c>
      <c r="D692" t="n">
        <v>2847.89</v>
      </c>
      <c r="E692" t="n">
        <v>2810.26</v>
      </c>
      <c r="F692" t="n">
        <v>7268.49</v>
      </c>
    </row>
    <row r="693">
      <c r="A693" s="3" t="n">
        <v>39450</v>
      </c>
      <c r="B693" t="n">
        <v>6325.7</v>
      </c>
      <c r="C693" t="n">
        <v>2300.52</v>
      </c>
      <c r="D693" t="n">
        <v>2859.39</v>
      </c>
      <c r="E693" t="n">
        <v>2819.71</v>
      </c>
      <c r="F693" t="n">
        <v>7272.25</v>
      </c>
    </row>
    <row r="694">
      <c r="A694" s="3" t="n">
        <v>39451</v>
      </c>
      <c r="B694" t="n">
        <v>6393.72</v>
      </c>
      <c r="C694" t="n">
        <v>2321.34</v>
      </c>
      <c r="D694" t="n">
        <v>2848.34</v>
      </c>
      <c r="E694" t="n">
        <v>2840.46</v>
      </c>
      <c r="F694" t="n">
        <v>7294.42</v>
      </c>
    </row>
    <row r="695">
      <c r="A695" s="3" t="n">
        <v>39454</v>
      </c>
      <c r="B695" t="n">
        <v>6473.11</v>
      </c>
      <c r="C695" t="n">
        <v>2316.38</v>
      </c>
      <c r="D695" t="n">
        <v>2827.95</v>
      </c>
      <c r="E695" t="n">
        <v>2835.56</v>
      </c>
      <c r="F695" t="n">
        <v>7342.95</v>
      </c>
    </row>
    <row r="696">
      <c r="A696" s="3" t="n">
        <v>39455</v>
      </c>
      <c r="B696" t="n">
        <v>6443.47</v>
      </c>
      <c r="C696" t="n">
        <v>2296.46</v>
      </c>
      <c r="D696" t="n">
        <v>2727.63</v>
      </c>
      <c r="E696" t="n">
        <v>2808.14</v>
      </c>
      <c r="F696" t="n">
        <v>7229.05</v>
      </c>
    </row>
    <row r="697">
      <c r="A697" s="3" t="n">
        <v>39456</v>
      </c>
      <c r="B697" t="n">
        <v>6383.79</v>
      </c>
      <c r="C697" t="n">
        <v>2280.79</v>
      </c>
      <c r="D697" t="n">
        <v>2687.03</v>
      </c>
      <c r="E697" t="n">
        <v>2782.96</v>
      </c>
      <c r="F697" t="n">
        <v>7135.95</v>
      </c>
    </row>
    <row r="698">
      <c r="A698" s="3" t="n">
        <v>39457</v>
      </c>
      <c r="B698" t="n">
        <v>6112.8</v>
      </c>
      <c r="C698" t="n">
        <v>2220.67</v>
      </c>
      <c r="D698" t="n">
        <v>2578.33</v>
      </c>
      <c r="E698" t="n">
        <v>2710.47</v>
      </c>
      <c r="F698" t="n">
        <v>6851.41</v>
      </c>
    </row>
    <row r="699">
      <c r="A699" s="3" t="n">
        <v>39458</v>
      </c>
      <c r="B699" t="n">
        <v>6101.46</v>
      </c>
      <c r="C699" t="n">
        <v>2207.24</v>
      </c>
      <c r="D699" t="n">
        <v>2572.55</v>
      </c>
      <c r="E699" t="n">
        <v>2706</v>
      </c>
      <c r="F699" t="n">
        <v>6850.16</v>
      </c>
    </row>
    <row r="700">
      <c r="A700" s="3" t="n">
        <v>39461</v>
      </c>
      <c r="B700" t="n">
        <v>6209.01</v>
      </c>
      <c r="C700" t="n">
        <v>2193.49</v>
      </c>
      <c r="D700" t="n">
        <v>2647.05</v>
      </c>
      <c r="E700" t="n">
        <v>2713.93</v>
      </c>
      <c r="F700" t="n">
        <v>6992.91</v>
      </c>
    </row>
    <row r="701">
      <c r="A701" s="3" t="n">
        <v>39462</v>
      </c>
      <c r="B701" t="n">
        <v>6086.89</v>
      </c>
      <c r="C701" t="n">
        <v>2166.37</v>
      </c>
      <c r="D701" t="n">
        <v>2600.66</v>
      </c>
      <c r="E701" t="n">
        <v>2675.4</v>
      </c>
      <c r="F701" t="n">
        <v>6866.74</v>
      </c>
    </row>
    <row r="702">
      <c r="A702" s="3" t="n">
        <v>39463</v>
      </c>
      <c r="B702" t="n">
        <v>5955.91</v>
      </c>
      <c r="C702" t="n">
        <v>2133.85</v>
      </c>
      <c r="D702" t="n">
        <v>2541.68</v>
      </c>
      <c r="E702" t="n">
        <v>2628.29</v>
      </c>
      <c r="F702" t="n">
        <v>6719.54</v>
      </c>
    </row>
    <row r="703">
      <c r="A703" s="3" t="n">
        <v>39464</v>
      </c>
      <c r="B703" t="n">
        <v>5963.71</v>
      </c>
      <c r="C703" t="n">
        <v>2147.77</v>
      </c>
      <c r="D703" t="n">
        <v>2568.59</v>
      </c>
      <c r="E703" t="n">
        <v>2636.18</v>
      </c>
      <c r="F703" t="n">
        <v>6800.51</v>
      </c>
    </row>
    <row r="704">
      <c r="A704" s="3" t="n">
        <v>39465</v>
      </c>
      <c r="B704" t="n">
        <v>5628.91</v>
      </c>
      <c r="C704" t="n">
        <v>2085.75</v>
      </c>
      <c r="D704" t="n">
        <v>2418.77</v>
      </c>
      <c r="E704" t="n">
        <v>2554.19</v>
      </c>
      <c r="F704" t="n">
        <v>6343.88</v>
      </c>
    </row>
    <row r="705">
      <c r="A705" s="3" t="n">
        <v>39468</v>
      </c>
      <c r="B705" t="n">
        <v>4921.74</v>
      </c>
      <c r="C705" t="n">
        <v>1919.36</v>
      </c>
      <c r="D705" t="n">
        <v>2088.26</v>
      </c>
      <c r="E705" t="n">
        <v>2335.87</v>
      </c>
      <c r="F705" t="n">
        <v>5325.78</v>
      </c>
    </row>
    <row r="706">
      <c r="A706" s="3" t="n">
        <v>39469</v>
      </c>
      <c r="B706" t="n">
        <v>4591.94</v>
      </c>
      <c r="C706" t="n">
        <v>1799.21</v>
      </c>
      <c r="D706" t="n">
        <v>1873.8</v>
      </c>
      <c r="E706" t="n">
        <v>2179.95</v>
      </c>
      <c r="F706" t="n">
        <v>4789.49</v>
      </c>
    </row>
    <row r="707">
      <c r="A707" s="3" t="n">
        <v>39470</v>
      </c>
      <c r="B707" t="n">
        <v>4948.62</v>
      </c>
      <c r="C707" t="n">
        <v>1900.46</v>
      </c>
      <c r="D707" t="n">
        <v>2036.35</v>
      </c>
      <c r="E707" t="n">
        <v>2310.14</v>
      </c>
      <c r="F707" t="n">
        <v>5242.93</v>
      </c>
    </row>
    <row r="708">
      <c r="A708" s="3" t="n">
        <v>39471</v>
      </c>
      <c r="B708" t="n">
        <v>4726.55</v>
      </c>
      <c r="C708" t="n">
        <v>1834.25</v>
      </c>
      <c r="D708" t="n">
        <v>1957.32</v>
      </c>
      <c r="E708" t="n">
        <v>2247.58</v>
      </c>
      <c r="F708" t="n">
        <v>4954.51</v>
      </c>
    </row>
    <row r="709">
      <c r="A709" s="3" t="n">
        <v>39472</v>
      </c>
      <c r="B709" t="n">
        <v>5095.65</v>
      </c>
      <c r="C709" t="n">
        <v>1956.95</v>
      </c>
      <c r="D709" t="n">
        <v>2120.02</v>
      </c>
      <c r="E709" t="n">
        <v>2377.64</v>
      </c>
      <c r="F709" t="n">
        <v>5412.43</v>
      </c>
    </row>
    <row r="710">
      <c r="A710" s="3" t="n">
        <v>39475</v>
      </c>
      <c r="B710" t="n">
        <v>5072.36</v>
      </c>
      <c r="C710" t="n">
        <v>1927.54</v>
      </c>
      <c r="D710" t="n">
        <v>2113</v>
      </c>
      <c r="E710" t="n">
        <v>2342.91</v>
      </c>
      <c r="F710" t="n">
        <v>5423.98</v>
      </c>
    </row>
    <row r="711">
      <c r="A711" s="3" t="n">
        <v>39476</v>
      </c>
      <c r="B711" t="n">
        <v>5067.94</v>
      </c>
      <c r="C711" t="n">
        <v>1941.55</v>
      </c>
      <c r="D711" t="n">
        <v>2094.09</v>
      </c>
      <c r="E711" t="n">
        <v>2364.29</v>
      </c>
      <c r="F711" t="n">
        <v>5480.29</v>
      </c>
    </row>
    <row r="712">
      <c r="A712" s="3" t="n">
        <v>39477</v>
      </c>
      <c r="B712" t="n">
        <v>4908.51</v>
      </c>
      <c r="C712" t="n">
        <v>1914.62</v>
      </c>
      <c r="D712" t="n">
        <v>2043.12</v>
      </c>
      <c r="E712" t="n">
        <v>2319.07</v>
      </c>
      <c r="F712" t="n">
        <v>5275.76</v>
      </c>
    </row>
    <row r="713">
      <c r="A713" s="3" t="n">
        <v>39478</v>
      </c>
      <c r="B713" t="n">
        <v>4837.99</v>
      </c>
      <c r="C713" t="n">
        <v>1908.49</v>
      </c>
      <c r="D713" t="n">
        <v>2015.05</v>
      </c>
      <c r="E713" t="n">
        <v>2323.62</v>
      </c>
      <c r="F713" t="n">
        <v>5177.2</v>
      </c>
    </row>
    <row r="714">
      <c r="A714" s="3" t="n">
        <v>39479</v>
      </c>
      <c r="B714" t="n">
        <v>4880.18</v>
      </c>
      <c r="C714" t="n">
        <v>1943.3</v>
      </c>
      <c r="D714" t="n">
        <v>2057.3</v>
      </c>
      <c r="E714" t="n">
        <v>2390.52</v>
      </c>
      <c r="F714" t="n">
        <v>5230.22</v>
      </c>
    </row>
    <row r="715">
      <c r="A715" s="3" t="n">
        <v>39482</v>
      </c>
      <c r="B715" t="n">
        <v>5013.88</v>
      </c>
      <c r="C715" t="n">
        <v>1993.77</v>
      </c>
      <c r="D715" t="n">
        <v>2161.39</v>
      </c>
      <c r="E715" t="n">
        <v>2460.04</v>
      </c>
      <c r="F715" t="n">
        <v>5423.87</v>
      </c>
    </row>
    <row r="716">
      <c r="A716" s="3" t="n">
        <v>39483</v>
      </c>
      <c r="B716" t="n">
        <v>5097.78</v>
      </c>
      <c r="C716" t="n">
        <v>1999.98</v>
      </c>
      <c r="D716" t="n">
        <v>2193.1</v>
      </c>
      <c r="E716" t="n">
        <v>2469.3</v>
      </c>
      <c r="F716" t="n">
        <v>5560.3</v>
      </c>
    </row>
    <row r="717">
      <c r="A717" s="3" t="n">
        <v>39484</v>
      </c>
      <c r="B717" t="n">
        <v>5003.68</v>
      </c>
      <c r="C717" t="n">
        <v>1946.54</v>
      </c>
      <c r="D717" t="n">
        <v>2179.71</v>
      </c>
      <c r="E717" t="n">
        <v>2402.56</v>
      </c>
      <c r="F717" t="n">
        <v>5515.25</v>
      </c>
    </row>
    <row r="718">
      <c r="A718" s="3" t="n">
        <v>39485</v>
      </c>
      <c r="B718" t="n">
        <v>4836.98</v>
      </c>
      <c r="C718" t="n">
        <v>1893.94</v>
      </c>
      <c r="D718" t="n">
        <v>2113.5</v>
      </c>
      <c r="E718" t="n">
        <v>2331.94</v>
      </c>
      <c r="F718" t="n">
        <v>5304.78</v>
      </c>
    </row>
    <row r="719">
      <c r="A719" s="3" t="n">
        <v>39486</v>
      </c>
      <c r="B719" t="n">
        <v>4722.8</v>
      </c>
      <c r="C719" t="n">
        <v>1888.85</v>
      </c>
      <c r="D719" t="n">
        <v>2076.23</v>
      </c>
      <c r="E719" t="n">
        <v>2336.17</v>
      </c>
      <c r="F719" t="n">
        <v>5181.85</v>
      </c>
    </row>
    <row r="720">
      <c r="A720" s="3" t="n">
        <v>39489</v>
      </c>
      <c r="B720" t="n">
        <v>4385.51</v>
      </c>
      <c r="C720" t="n">
        <v>1819.97</v>
      </c>
      <c r="D720" t="n">
        <v>1979.6</v>
      </c>
      <c r="E720" t="n">
        <v>2238.79</v>
      </c>
      <c r="F720" t="n">
        <v>4786.9</v>
      </c>
    </row>
    <row r="721">
      <c r="A721" s="3" t="n">
        <v>39490</v>
      </c>
      <c r="B721" t="n">
        <v>4333.62</v>
      </c>
      <c r="C721" t="n">
        <v>1804.29</v>
      </c>
      <c r="D721" t="n">
        <v>1938.71</v>
      </c>
      <c r="E721" t="n">
        <v>2217.01</v>
      </c>
      <c r="F721" t="n">
        <v>4692.74</v>
      </c>
    </row>
    <row r="722">
      <c r="A722" s="3" t="n">
        <v>39491</v>
      </c>
      <c r="B722" t="n">
        <v>4370.3</v>
      </c>
      <c r="C722" t="n">
        <v>1823.3</v>
      </c>
      <c r="D722" t="n">
        <v>1939.66</v>
      </c>
      <c r="E722" t="n">
        <v>2231.1</v>
      </c>
      <c r="F722" t="n">
        <v>4759.04</v>
      </c>
    </row>
    <row r="723">
      <c r="A723" s="3" t="n">
        <v>39492</v>
      </c>
      <c r="B723" t="n">
        <v>4663.91</v>
      </c>
      <c r="C723" t="n">
        <v>1892.96</v>
      </c>
      <c r="D723" t="n">
        <v>2064.73</v>
      </c>
      <c r="E723" t="n">
        <v>2322.02</v>
      </c>
      <c r="F723" t="n">
        <v>5116.81</v>
      </c>
    </row>
    <row r="724">
      <c r="A724" s="3" t="n">
        <v>39493</v>
      </c>
      <c r="B724" t="n">
        <v>4791.74</v>
      </c>
      <c r="C724" t="n">
        <v>1919.14</v>
      </c>
      <c r="D724" t="n">
        <v>2110.09</v>
      </c>
      <c r="E724" t="n">
        <v>2353.47</v>
      </c>
      <c r="F724" t="n">
        <v>5253.89</v>
      </c>
    </row>
    <row r="725">
      <c r="A725" s="3" t="n">
        <v>39496</v>
      </c>
      <c r="B725" t="n">
        <v>4789.21</v>
      </c>
      <c r="C725" t="n">
        <v>1925.2</v>
      </c>
      <c r="D725" t="n">
        <v>2133.13</v>
      </c>
      <c r="E725" t="n">
        <v>2357.08</v>
      </c>
      <c r="F725" t="n">
        <v>5303.66</v>
      </c>
    </row>
    <row r="726">
      <c r="A726" s="3" t="n">
        <v>39497</v>
      </c>
      <c r="B726" t="n">
        <v>4782.2</v>
      </c>
      <c r="C726" t="n">
        <v>1936.74</v>
      </c>
      <c r="D726" t="n">
        <v>2128.37</v>
      </c>
      <c r="E726" t="n">
        <v>2359.76</v>
      </c>
      <c r="F726" t="n">
        <v>5323.91</v>
      </c>
    </row>
    <row r="727">
      <c r="A727" s="3" t="n">
        <v>39498</v>
      </c>
      <c r="B727" t="n">
        <v>4620.32</v>
      </c>
      <c r="C727" t="n">
        <v>1902.53</v>
      </c>
      <c r="D727" t="n">
        <v>2087.06</v>
      </c>
      <c r="E727" t="n">
        <v>2326.61</v>
      </c>
      <c r="F727" t="n">
        <v>5224.43</v>
      </c>
    </row>
    <row r="728">
      <c r="A728" s="3" t="n">
        <v>39499</v>
      </c>
      <c r="B728" t="n">
        <v>4660.75</v>
      </c>
      <c r="C728" t="n">
        <v>1931.11</v>
      </c>
      <c r="D728" t="n">
        <v>2084.99</v>
      </c>
      <c r="E728" t="n">
        <v>2350.74</v>
      </c>
      <c r="F728" t="n">
        <v>5296.04</v>
      </c>
    </row>
    <row r="729">
      <c r="A729" s="3" t="n">
        <v>39500</v>
      </c>
      <c r="B729" t="n">
        <v>4592.27</v>
      </c>
      <c r="C729" t="n">
        <v>1920.26</v>
      </c>
      <c r="D729" t="n">
        <v>2065.72</v>
      </c>
      <c r="E729" t="n">
        <v>2337.72</v>
      </c>
      <c r="F729" t="n">
        <v>5225.05</v>
      </c>
    </row>
    <row r="730">
      <c r="A730" s="3" t="n">
        <v>39503</v>
      </c>
      <c r="B730" t="n">
        <v>4638.48</v>
      </c>
      <c r="C730" t="n">
        <v>1941.04</v>
      </c>
      <c r="D730" t="n">
        <v>2075.01</v>
      </c>
      <c r="E730" t="n">
        <v>2369.97</v>
      </c>
      <c r="F730" t="n">
        <v>5229.72</v>
      </c>
    </row>
    <row r="731">
      <c r="A731" s="3" t="n">
        <v>39504</v>
      </c>
      <c r="B731" t="n">
        <v>4717.56</v>
      </c>
      <c r="C731" t="n">
        <v>1960.72</v>
      </c>
      <c r="D731" t="n">
        <v>2104.36</v>
      </c>
      <c r="E731" t="n">
        <v>2397.85</v>
      </c>
      <c r="F731" t="n">
        <v>5316.64</v>
      </c>
    </row>
    <row r="732">
      <c r="A732" s="3" t="n">
        <v>39505</v>
      </c>
      <c r="B732" t="n">
        <v>4716.76</v>
      </c>
      <c r="C732" t="n">
        <v>1972.12</v>
      </c>
      <c r="D732" t="n">
        <v>2104.43</v>
      </c>
      <c r="E732" t="n">
        <v>2399.74</v>
      </c>
      <c r="F732" t="n">
        <v>5310.56</v>
      </c>
    </row>
    <row r="733">
      <c r="A733" s="3" t="n">
        <v>39506</v>
      </c>
      <c r="B733" t="n">
        <v>4693.37</v>
      </c>
      <c r="C733" t="n">
        <v>1984.83</v>
      </c>
      <c r="D733" t="n">
        <v>2108.82</v>
      </c>
      <c r="E733" t="n">
        <v>2404.99</v>
      </c>
      <c r="F733" t="n">
        <v>5279.46</v>
      </c>
    </row>
    <row r="734">
      <c r="A734" s="3" t="n">
        <v>39507</v>
      </c>
      <c r="B734" t="n">
        <v>4628.29</v>
      </c>
      <c r="C734" t="n">
        <v>1972.37</v>
      </c>
      <c r="D734" t="n">
        <v>2094.42</v>
      </c>
      <c r="E734" t="n">
        <v>2408.05</v>
      </c>
      <c r="F734" t="n">
        <v>5238.78</v>
      </c>
    </row>
    <row r="735">
      <c r="A735" s="3" t="n">
        <v>39510</v>
      </c>
      <c r="B735" t="n">
        <v>4346.75</v>
      </c>
      <c r="C735" t="n">
        <v>1905.15</v>
      </c>
      <c r="D735" t="n">
        <v>2005.33</v>
      </c>
      <c r="E735" t="n">
        <v>2337.71</v>
      </c>
      <c r="F735" t="n">
        <v>4932.68</v>
      </c>
    </row>
    <row r="736">
      <c r="A736" s="3" t="n">
        <v>39511</v>
      </c>
      <c r="B736" t="n">
        <v>4224.23</v>
      </c>
      <c r="C736" t="n">
        <v>1876.81</v>
      </c>
      <c r="D736" t="n">
        <v>1950.19</v>
      </c>
      <c r="E736" t="n">
        <v>2297.14</v>
      </c>
      <c r="F736" t="n">
        <v>4790.23</v>
      </c>
    </row>
    <row r="737">
      <c r="A737" s="3" t="n">
        <v>39512</v>
      </c>
      <c r="B737" t="n">
        <v>4177.72</v>
      </c>
      <c r="C737" t="n">
        <v>1890.43</v>
      </c>
      <c r="D737" t="n">
        <v>1921.8</v>
      </c>
      <c r="E737" t="n">
        <v>2323.33</v>
      </c>
      <c r="F737" t="n">
        <v>4736.83</v>
      </c>
    </row>
    <row r="738">
      <c r="A738" s="3" t="n">
        <v>39514</v>
      </c>
      <c r="B738" t="n">
        <v>3933.08</v>
      </c>
      <c r="C738" t="n">
        <v>1835.67</v>
      </c>
      <c r="D738" t="n">
        <v>1833.98</v>
      </c>
      <c r="E738" t="n">
        <v>2258.22</v>
      </c>
      <c r="F738" t="n">
        <v>4441.82</v>
      </c>
    </row>
    <row r="739">
      <c r="A739" s="3" t="n">
        <v>39517</v>
      </c>
      <c r="B739" t="n">
        <v>3940.54</v>
      </c>
      <c r="C739" t="n">
        <v>1824.61</v>
      </c>
      <c r="D739" t="n">
        <v>1831.48</v>
      </c>
      <c r="E739" t="n">
        <v>2263.83</v>
      </c>
      <c r="F739" t="n">
        <v>4429.87</v>
      </c>
    </row>
    <row r="740">
      <c r="A740" s="3" t="n">
        <v>39518</v>
      </c>
      <c r="B740" t="n">
        <v>4106.76</v>
      </c>
      <c r="C740" t="n">
        <v>1849.11</v>
      </c>
      <c r="D740" t="n">
        <v>1895.7</v>
      </c>
      <c r="E740" t="n">
        <v>2295.05</v>
      </c>
      <c r="F740" t="n">
        <v>4617.38</v>
      </c>
    </row>
    <row r="741">
      <c r="A741" s="3" t="n">
        <v>39519</v>
      </c>
      <c r="B741" t="n">
        <v>4073.15</v>
      </c>
      <c r="C741" t="n">
        <v>1839.87</v>
      </c>
      <c r="D741" t="n">
        <v>1868.98</v>
      </c>
      <c r="E741" t="n">
        <v>2290.91</v>
      </c>
      <c r="F741" t="n">
        <v>4613.37</v>
      </c>
    </row>
    <row r="742">
      <c r="A742" s="3" t="n">
        <v>39520</v>
      </c>
      <c r="B742" t="n">
        <v>3763.24</v>
      </c>
      <c r="C742" t="n">
        <v>1759.03</v>
      </c>
      <c r="D742" t="n">
        <v>1752.88</v>
      </c>
      <c r="E742" t="n">
        <v>2210.19</v>
      </c>
      <c r="F742" t="n">
        <v>4271.47</v>
      </c>
    </row>
    <row r="743">
      <c r="A743" s="3" t="n">
        <v>39521</v>
      </c>
      <c r="B743" t="n">
        <v>3846.96</v>
      </c>
      <c r="C743" t="n">
        <v>1797.26</v>
      </c>
      <c r="D743" t="n">
        <v>1769.75</v>
      </c>
      <c r="E743" t="n">
        <v>2233.52</v>
      </c>
      <c r="F743" t="n">
        <v>4364.82</v>
      </c>
    </row>
    <row r="744">
      <c r="A744" s="3" t="n">
        <v>39524</v>
      </c>
      <c r="B744" t="n">
        <v>3580.01</v>
      </c>
      <c r="C744" t="n">
        <v>1695.09</v>
      </c>
      <c r="D744" t="n">
        <v>1652.13</v>
      </c>
      <c r="E744" t="n">
        <v>2135.12</v>
      </c>
      <c r="F744" t="n">
        <v>4032.47</v>
      </c>
    </row>
    <row r="745">
      <c r="A745" s="3" t="n">
        <v>39525</v>
      </c>
      <c r="B745" t="n">
        <v>3518.25</v>
      </c>
      <c r="C745" t="n">
        <v>1711.2</v>
      </c>
      <c r="D745" t="n">
        <v>1645.19</v>
      </c>
      <c r="E745" t="n">
        <v>2154.68</v>
      </c>
      <c r="F745" t="n">
        <v>3949.25</v>
      </c>
    </row>
    <row r="746">
      <c r="A746" s="3" t="n">
        <v>39526</v>
      </c>
      <c r="B746" t="n">
        <v>3492.75</v>
      </c>
      <c r="C746" t="n">
        <v>1728.91</v>
      </c>
      <c r="D746" t="n">
        <v>1627.94</v>
      </c>
      <c r="E746" t="n">
        <v>2171.79</v>
      </c>
      <c r="F746" t="n">
        <v>3849.31</v>
      </c>
    </row>
    <row r="747">
      <c r="A747" s="3" t="n">
        <v>39531</v>
      </c>
      <c r="B747" t="n">
        <v>3407.37</v>
      </c>
      <c r="C747" t="n">
        <v>1719.86</v>
      </c>
      <c r="D747" t="n">
        <v>1598.74</v>
      </c>
      <c r="E747" t="n">
        <v>2188.83</v>
      </c>
      <c r="F747" t="n">
        <v>3652.01</v>
      </c>
    </row>
    <row r="748">
      <c r="A748" s="3" t="n">
        <v>39532</v>
      </c>
      <c r="B748" t="n">
        <v>3687.48</v>
      </c>
      <c r="C748" t="n">
        <v>1801.81</v>
      </c>
      <c r="D748" t="n">
        <v>1706.84</v>
      </c>
      <c r="E748" t="n">
        <v>2276.38</v>
      </c>
      <c r="F748" t="n">
        <v>4007.88</v>
      </c>
    </row>
    <row r="749">
      <c r="A749" s="3" t="n">
        <v>39533</v>
      </c>
      <c r="B749" t="n">
        <v>3690.69</v>
      </c>
      <c r="C749" t="n">
        <v>1802.26</v>
      </c>
      <c r="D749" t="n">
        <v>1716.32</v>
      </c>
      <c r="E749" t="n">
        <v>2268.04</v>
      </c>
      <c r="F749" t="n">
        <v>4069.37</v>
      </c>
    </row>
    <row r="750">
      <c r="A750" s="3" t="n">
        <v>39534</v>
      </c>
      <c r="B750" t="n">
        <v>3679.72</v>
      </c>
      <c r="C750" t="n">
        <v>1804.84</v>
      </c>
      <c r="D750" t="n">
        <v>1699.27</v>
      </c>
      <c r="E750" t="n">
        <v>2267.18</v>
      </c>
      <c r="F750" t="n">
        <v>4086.89</v>
      </c>
    </row>
    <row r="751">
      <c r="A751" s="3" t="n">
        <v>39535</v>
      </c>
      <c r="B751" t="n">
        <v>3880.04</v>
      </c>
      <c r="C751" t="n">
        <v>1850</v>
      </c>
      <c r="D751" t="n">
        <v>1768.36</v>
      </c>
      <c r="E751" t="n">
        <v>2316.54</v>
      </c>
      <c r="F751" t="n">
        <v>4270.19</v>
      </c>
    </row>
    <row r="752">
      <c r="A752" s="3" t="n">
        <v>39538</v>
      </c>
      <c r="B752" t="n">
        <v>3723.54</v>
      </c>
      <c r="C752" t="n">
        <v>1799.47</v>
      </c>
      <c r="D752" t="n">
        <v>1737.71</v>
      </c>
      <c r="E752" t="n">
        <v>2275.04</v>
      </c>
      <c r="F752" t="n">
        <v>4101.8</v>
      </c>
    </row>
    <row r="753">
      <c r="A753" s="3" t="n">
        <v>39539</v>
      </c>
      <c r="B753" t="n">
        <v>3683.56</v>
      </c>
      <c r="C753" t="n">
        <v>1786.26</v>
      </c>
      <c r="D753" t="n">
        <v>1735.12</v>
      </c>
      <c r="E753" t="n">
        <v>2279.44</v>
      </c>
      <c r="F753" t="n">
        <v>4099.03</v>
      </c>
    </row>
    <row r="754">
      <c r="A754" s="3" t="n">
        <v>39540</v>
      </c>
      <c r="B754" t="n">
        <v>3679.27</v>
      </c>
      <c r="C754" t="n">
        <v>1794.85</v>
      </c>
      <c r="D754" t="n">
        <v>1747.42</v>
      </c>
      <c r="E754" t="n">
        <v>2291.79</v>
      </c>
      <c r="F754" t="n">
        <v>4095.23</v>
      </c>
    </row>
    <row r="755">
      <c r="A755" s="3" t="n">
        <v>39541</v>
      </c>
      <c r="B755" t="n">
        <v>3657.71</v>
      </c>
      <c r="C755" t="n">
        <v>1801.81</v>
      </c>
      <c r="D755" t="n">
        <v>1745.24</v>
      </c>
      <c r="E755" t="n">
        <v>2310.93</v>
      </c>
      <c r="F755" t="n">
        <v>4094.63</v>
      </c>
    </row>
    <row r="756">
      <c r="A756" s="3" t="n">
        <v>39542</v>
      </c>
      <c r="B756" t="n">
        <v>3553.46</v>
      </c>
      <c r="C756" t="n">
        <v>1759.5</v>
      </c>
      <c r="D756" t="n">
        <v>1715.29</v>
      </c>
      <c r="E756" t="n">
        <v>2268.82</v>
      </c>
      <c r="F756" t="n">
        <v>3996.43</v>
      </c>
    </row>
    <row r="757">
      <c r="A757" s="3" t="n">
        <v>39545</v>
      </c>
      <c r="B757" t="n">
        <v>3610.46</v>
      </c>
      <c r="C757" t="n">
        <v>1791</v>
      </c>
      <c r="D757" t="n">
        <v>1739.03</v>
      </c>
      <c r="E757" t="n">
        <v>2318.72</v>
      </c>
      <c r="F757" t="n">
        <v>4064.92</v>
      </c>
    </row>
    <row r="758">
      <c r="A758" s="3" t="n">
        <v>39546</v>
      </c>
      <c r="B758" t="n">
        <v>3572.43</v>
      </c>
      <c r="C758" t="n">
        <v>1765.88</v>
      </c>
      <c r="D758" t="n">
        <v>1747.76</v>
      </c>
      <c r="E758" t="n">
        <v>2297.18</v>
      </c>
      <c r="F758" t="n">
        <v>4060.93</v>
      </c>
    </row>
    <row r="759">
      <c r="A759" s="3" t="n">
        <v>39547</v>
      </c>
      <c r="B759" t="n">
        <v>3650.69</v>
      </c>
      <c r="C759" t="n">
        <v>1777.76</v>
      </c>
      <c r="D759" t="n">
        <v>1772.82</v>
      </c>
      <c r="E759" t="n">
        <v>2307.52</v>
      </c>
      <c r="F759" t="n">
        <v>4147.37</v>
      </c>
    </row>
    <row r="760">
      <c r="A760" s="3" t="n">
        <v>39548</v>
      </c>
      <c r="B760" t="n">
        <v>3679.68</v>
      </c>
      <c r="C760" t="n">
        <v>1780.33</v>
      </c>
      <c r="D760" t="n">
        <v>1768.76</v>
      </c>
      <c r="E760" t="n">
        <v>2297.06</v>
      </c>
      <c r="F760" t="n">
        <v>4171.17</v>
      </c>
    </row>
    <row r="761">
      <c r="A761" s="3" t="n">
        <v>39549</v>
      </c>
      <c r="B761" t="n">
        <v>3753.29</v>
      </c>
      <c r="C761" t="n">
        <v>1785.35</v>
      </c>
      <c r="D761" t="n">
        <v>1788.08</v>
      </c>
      <c r="E761" t="n">
        <v>2297.78</v>
      </c>
      <c r="F761" t="n">
        <v>4217.37</v>
      </c>
    </row>
    <row r="762">
      <c r="A762" s="3" t="n">
        <v>39553</v>
      </c>
      <c r="B762" t="n">
        <v>3815.5</v>
      </c>
      <c r="C762" t="n">
        <v>1814.15</v>
      </c>
      <c r="D762" t="n">
        <v>1808.61</v>
      </c>
      <c r="E762" t="n">
        <v>2348.49</v>
      </c>
      <c r="F762" t="n">
        <v>4311.35</v>
      </c>
    </row>
    <row r="763">
      <c r="A763" s="3" t="n">
        <v>39554</v>
      </c>
      <c r="B763" t="n">
        <v>3832.9</v>
      </c>
      <c r="C763" t="n">
        <v>1829.46</v>
      </c>
      <c r="D763" t="n">
        <v>1823.89</v>
      </c>
      <c r="E763" t="n">
        <v>2364.31</v>
      </c>
      <c r="F763" t="n">
        <v>4390.81</v>
      </c>
    </row>
    <row r="764">
      <c r="A764" s="3" t="n">
        <v>39555</v>
      </c>
      <c r="B764" t="n">
        <v>3904.82</v>
      </c>
      <c r="C764" t="n">
        <v>1851.59</v>
      </c>
      <c r="D764" t="n">
        <v>1884.55</v>
      </c>
      <c r="E764" t="n">
        <v>2386.63</v>
      </c>
      <c r="F764" t="n">
        <v>4517.21</v>
      </c>
    </row>
    <row r="765">
      <c r="A765" s="3" t="n">
        <v>39559</v>
      </c>
      <c r="B765" t="n">
        <v>4020.94</v>
      </c>
      <c r="C765" t="n">
        <v>1882.07</v>
      </c>
      <c r="D765" t="n">
        <v>1939.74</v>
      </c>
      <c r="E765" t="n">
        <v>2406.65</v>
      </c>
      <c r="F765" t="n">
        <v>4653.39</v>
      </c>
    </row>
    <row r="766">
      <c r="A766" s="3" t="n">
        <v>39560</v>
      </c>
      <c r="B766" t="n">
        <v>4092.27</v>
      </c>
      <c r="C766" t="n">
        <v>1887.44</v>
      </c>
      <c r="D766" t="n">
        <v>1937</v>
      </c>
      <c r="E766" t="n">
        <v>2389.41</v>
      </c>
      <c r="F766" t="n">
        <v>4714.3</v>
      </c>
    </row>
    <row r="767">
      <c r="A767" s="3" t="n">
        <v>39561</v>
      </c>
      <c r="B767" t="n">
        <v>4081.22</v>
      </c>
      <c r="C767" t="n">
        <v>1891.93</v>
      </c>
      <c r="D767" t="n">
        <v>1941.06</v>
      </c>
      <c r="E767" t="n">
        <v>2394.66</v>
      </c>
      <c r="F767" t="n">
        <v>4726.89</v>
      </c>
    </row>
    <row r="768">
      <c r="A768" s="3" t="n">
        <v>39562</v>
      </c>
      <c r="B768" t="n">
        <v>4057.43</v>
      </c>
      <c r="C768" t="n">
        <v>1884.87</v>
      </c>
      <c r="D768" t="n">
        <v>1908.08</v>
      </c>
      <c r="E768" t="n">
        <v>2396.71</v>
      </c>
      <c r="F768" t="n">
        <v>4701.03</v>
      </c>
    </row>
    <row r="769">
      <c r="A769" s="3" t="n">
        <v>39563</v>
      </c>
      <c r="B769" t="n">
        <v>4139.35</v>
      </c>
      <c r="C769" t="n">
        <v>1902.41</v>
      </c>
      <c r="D769" t="n">
        <v>1935.53</v>
      </c>
      <c r="E769" t="n">
        <v>2420.1</v>
      </c>
      <c r="F769" t="n">
        <v>4779.03</v>
      </c>
    </row>
    <row r="770">
      <c r="A770" s="3" t="n">
        <v>39566</v>
      </c>
      <c r="B770" t="n">
        <v>4149.07</v>
      </c>
      <c r="C770" t="n">
        <v>1897.11</v>
      </c>
      <c r="D770" t="n">
        <v>1939.08</v>
      </c>
      <c r="E770" t="n">
        <v>2404.34</v>
      </c>
      <c r="F770" t="n">
        <v>4812.06</v>
      </c>
    </row>
    <row r="771">
      <c r="A771" s="3" t="n">
        <v>39567</v>
      </c>
      <c r="B771" t="n">
        <v>4231.79</v>
      </c>
      <c r="C771" t="n">
        <v>1942.3</v>
      </c>
      <c r="D771" t="n">
        <v>1976.65</v>
      </c>
      <c r="E771" t="n">
        <v>2429.27</v>
      </c>
      <c r="F771" t="n">
        <v>4880.27</v>
      </c>
    </row>
    <row r="772">
      <c r="A772" s="3" t="n">
        <v>39568</v>
      </c>
      <c r="B772" t="n">
        <v>4241.24</v>
      </c>
      <c r="C772" t="n">
        <v>1948.97</v>
      </c>
      <c r="D772" t="n">
        <v>1968.49</v>
      </c>
      <c r="E772" t="n">
        <v>2432.84</v>
      </c>
      <c r="F772" t="n">
        <v>4881.47</v>
      </c>
    </row>
    <row r="773">
      <c r="A773" s="3" t="n">
        <v>39570</v>
      </c>
      <c r="B773" t="n">
        <v>4332.81</v>
      </c>
      <c r="C773" t="n">
        <v>1967.42</v>
      </c>
      <c r="D773" t="n">
        <v>2003.48</v>
      </c>
      <c r="E773" t="n">
        <v>2463.82</v>
      </c>
      <c r="F773" t="n">
        <v>4980.41</v>
      </c>
    </row>
    <row r="774">
      <c r="A774" s="3" t="n">
        <v>39573</v>
      </c>
      <c r="B774" t="n">
        <v>4335.88</v>
      </c>
      <c r="C774" t="n">
        <v>1963.17</v>
      </c>
      <c r="D774" t="n">
        <v>2012.8</v>
      </c>
      <c r="E774" t="n">
        <v>2452.36</v>
      </c>
      <c r="F774" t="n">
        <v>5028.06</v>
      </c>
    </row>
    <row r="775">
      <c r="A775" s="3" t="n">
        <v>39574</v>
      </c>
      <c r="B775" t="n">
        <v>4225.21</v>
      </c>
      <c r="C775" t="n">
        <v>1948.17</v>
      </c>
      <c r="D775" t="n">
        <v>1999.01</v>
      </c>
      <c r="E775" t="n">
        <v>2443.95</v>
      </c>
      <c r="F775" t="n">
        <v>4904.83</v>
      </c>
    </row>
    <row r="776">
      <c r="A776" s="3" t="n">
        <v>39575</v>
      </c>
      <c r="B776" t="n">
        <v>4215.67</v>
      </c>
      <c r="C776" t="n">
        <v>1939.85</v>
      </c>
      <c r="D776" t="n">
        <v>1979.1</v>
      </c>
      <c r="E776" t="n">
        <v>2446.94</v>
      </c>
      <c r="F776" t="n">
        <v>4891.57</v>
      </c>
    </row>
    <row r="777">
      <c r="A777" s="3" t="n">
        <v>39576</v>
      </c>
      <c r="B777" t="n">
        <v>4159.09</v>
      </c>
      <c r="C777" t="n">
        <v>1914.44</v>
      </c>
      <c r="D777" t="n">
        <v>1960.77</v>
      </c>
      <c r="E777" t="n">
        <v>2429.81</v>
      </c>
      <c r="F777" t="n">
        <v>4833.77</v>
      </c>
    </row>
    <row r="778">
      <c r="A778" s="3" t="n">
        <v>39577</v>
      </c>
      <c r="B778" t="n">
        <v>4014.23</v>
      </c>
      <c r="C778" t="n">
        <v>1890.71</v>
      </c>
      <c r="D778" t="n">
        <v>1911.53</v>
      </c>
      <c r="E778" t="n">
        <v>2406.8</v>
      </c>
      <c r="F778" t="n">
        <v>4636</v>
      </c>
    </row>
    <row r="779">
      <c r="A779" s="3" t="n">
        <v>39580</v>
      </c>
      <c r="B779" t="n">
        <v>4016.49</v>
      </c>
      <c r="C779" t="n">
        <v>1884.96</v>
      </c>
      <c r="D779" t="n">
        <v>1893.92</v>
      </c>
      <c r="E779" t="n">
        <v>2412.54</v>
      </c>
      <c r="F779" t="n">
        <v>4622.6</v>
      </c>
    </row>
    <row r="780">
      <c r="A780" s="3" t="n">
        <v>39581</v>
      </c>
      <c r="B780" t="n">
        <v>4030.43</v>
      </c>
      <c r="C780" t="n">
        <v>1877</v>
      </c>
      <c r="D780" t="n">
        <v>1889.45</v>
      </c>
      <c r="E780" t="n">
        <v>2395.02</v>
      </c>
      <c r="F780" t="n">
        <v>4630.07</v>
      </c>
    </row>
    <row r="781">
      <c r="A781" s="3" t="n">
        <v>39582</v>
      </c>
      <c r="B781" t="n">
        <v>4088.92</v>
      </c>
      <c r="C781" t="n">
        <v>1887.6</v>
      </c>
      <c r="D781" t="n">
        <v>1903.99</v>
      </c>
      <c r="E781" t="n">
        <v>2433.91</v>
      </c>
      <c r="F781" t="n">
        <v>4703.66</v>
      </c>
    </row>
    <row r="782">
      <c r="A782" s="3" t="n">
        <v>39583</v>
      </c>
      <c r="B782" t="n">
        <v>4186.21</v>
      </c>
      <c r="C782" t="n">
        <v>1910.05</v>
      </c>
      <c r="D782" t="n">
        <v>1929.7</v>
      </c>
      <c r="E782" t="n">
        <v>2455.23</v>
      </c>
      <c r="F782" t="n">
        <v>4822.85</v>
      </c>
    </row>
    <row r="783">
      <c r="A783" s="3" t="n">
        <v>39584</v>
      </c>
      <c r="B783" t="n">
        <v>4203.9</v>
      </c>
      <c r="C783" t="n">
        <v>1920.41</v>
      </c>
      <c r="D783" t="n">
        <v>1964.2</v>
      </c>
      <c r="E783" t="n">
        <v>2465.8</v>
      </c>
      <c r="F783" t="n">
        <v>4861.25</v>
      </c>
    </row>
    <row r="784">
      <c r="A784" s="3" t="n">
        <v>39588</v>
      </c>
      <c r="B784" t="n">
        <v>4145.92</v>
      </c>
      <c r="C784" t="n">
        <v>1903.39</v>
      </c>
      <c r="D784" t="n">
        <v>1963.33</v>
      </c>
      <c r="E784" t="n">
        <v>2447.96</v>
      </c>
      <c r="F784" t="n">
        <v>4793.35</v>
      </c>
    </row>
    <row r="785">
      <c r="A785" s="3" t="n">
        <v>39589</v>
      </c>
      <c r="B785" t="n">
        <v>4201.91</v>
      </c>
      <c r="C785" t="n">
        <v>1906.81</v>
      </c>
      <c r="D785" t="n">
        <v>1971.06</v>
      </c>
      <c r="E785" t="n">
        <v>2446.59</v>
      </c>
      <c r="F785" t="n">
        <v>4904.83</v>
      </c>
    </row>
    <row r="786">
      <c r="A786" s="3" t="n">
        <v>39590</v>
      </c>
      <c r="B786" t="n">
        <v>4111.14</v>
      </c>
      <c r="C786" t="n">
        <v>1884.04</v>
      </c>
      <c r="D786" t="n">
        <v>1936.36</v>
      </c>
      <c r="E786" t="n">
        <v>2420.33</v>
      </c>
      <c r="F786" t="n">
        <v>4790.19</v>
      </c>
    </row>
    <row r="787">
      <c r="A787" s="3" t="n">
        <v>39591</v>
      </c>
      <c r="B787" t="n">
        <v>4028.67</v>
      </c>
      <c r="C787" t="n">
        <v>1859.87</v>
      </c>
      <c r="D787" t="n">
        <v>1915.92</v>
      </c>
      <c r="E787" t="n">
        <v>2397.14</v>
      </c>
      <c r="F787" t="n">
        <v>4676.52</v>
      </c>
    </row>
    <row r="788">
      <c r="A788" s="3" t="n">
        <v>39594</v>
      </c>
      <c r="B788" t="n">
        <v>3912.39</v>
      </c>
      <c r="C788" t="n">
        <v>1829.46</v>
      </c>
      <c r="D788" t="n">
        <v>1868.8</v>
      </c>
      <c r="E788" t="n">
        <v>2367.99</v>
      </c>
      <c r="F788" t="n">
        <v>4547.34</v>
      </c>
    </row>
    <row r="789">
      <c r="A789" s="3" t="n">
        <v>39595</v>
      </c>
      <c r="B789" t="n">
        <v>3859.36</v>
      </c>
      <c r="C789" t="n">
        <v>1827.81</v>
      </c>
      <c r="D789" t="n">
        <v>1851.45</v>
      </c>
      <c r="E789" t="n">
        <v>2381.09</v>
      </c>
      <c r="F789" t="n">
        <v>4491.61</v>
      </c>
    </row>
    <row r="790">
      <c r="A790" s="3" t="n">
        <v>39596</v>
      </c>
      <c r="B790" t="n">
        <v>3904.23</v>
      </c>
      <c r="C790" t="n">
        <v>1852.66</v>
      </c>
      <c r="D790" t="n">
        <v>1896.45</v>
      </c>
      <c r="E790" t="n">
        <v>2421.07</v>
      </c>
      <c r="F790" t="n">
        <v>4561.02</v>
      </c>
    </row>
    <row r="791">
      <c r="A791" s="3" t="n">
        <v>39597</v>
      </c>
      <c r="B791" t="n">
        <v>3885.28</v>
      </c>
      <c r="C791" t="n">
        <v>1840.06</v>
      </c>
      <c r="D791" t="n">
        <v>1870.34</v>
      </c>
      <c r="E791" t="n">
        <v>2394.23</v>
      </c>
      <c r="F791" t="n">
        <v>4525.26</v>
      </c>
    </row>
    <row r="792">
      <c r="A792" s="3" t="n">
        <v>39598</v>
      </c>
      <c r="B792" t="n">
        <v>3871.97</v>
      </c>
      <c r="C792" t="n">
        <v>1852.65</v>
      </c>
      <c r="D792" t="n">
        <v>1859.6</v>
      </c>
      <c r="E792" t="n">
        <v>2414.84</v>
      </c>
      <c r="F792" t="n">
        <v>4486.87</v>
      </c>
    </row>
    <row r="793">
      <c r="A793" s="3" t="n">
        <v>39601</v>
      </c>
      <c r="B793" t="n">
        <v>3746.03</v>
      </c>
      <c r="C793" t="n">
        <v>1817.96</v>
      </c>
      <c r="D793" t="n">
        <v>1811.82</v>
      </c>
      <c r="E793" t="n">
        <v>2383.11</v>
      </c>
      <c r="F793" t="n">
        <v>4350.24</v>
      </c>
    </row>
    <row r="794">
      <c r="A794" s="3" t="n">
        <v>39602</v>
      </c>
      <c r="B794" t="n">
        <v>3717.6</v>
      </c>
      <c r="C794" t="n">
        <v>1814.38</v>
      </c>
      <c r="D794" t="n">
        <v>1801.07</v>
      </c>
      <c r="E794" t="n">
        <v>2370.04</v>
      </c>
      <c r="F794" t="n">
        <v>4332.93</v>
      </c>
    </row>
    <row r="795">
      <c r="A795" s="3" t="n">
        <v>39603</v>
      </c>
      <c r="B795" t="n">
        <v>3565.45</v>
      </c>
      <c r="C795" t="n">
        <v>1768.9</v>
      </c>
      <c r="D795" t="n">
        <v>1736.63</v>
      </c>
      <c r="E795" t="n">
        <v>2314.57</v>
      </c>
      <c r="F795" t="n">
        <v>4136.92</v>
      </c>
    </row>
    <row r="796">
      <c r="A796" s="3" t="n">
        <v>39604</v>
      </c>
      <c r="B796" t="n">
        <v>3625.09</v>
      </c>
      <c r="C796" t="n">
        <v>1812.28</v>
      </c>
      <c r="D796" t="n">
        <v>1728.35</v>
      </c>
      <c r="E796" t="n">
        <v>2351.21</v>
      </c>
      <c r="F796" t="n">
        <v>4184.99</v>
      </c>
    </row>
    <row r="797">
      <c r="A797" s="3" t="n">
        <v>39605</v>
      </c>
      <c r="B797" t="n">
        <v>3571.2</v>
      </c>
      <c r="C797" t="n">
        <v>1794.99</v>
      </c>
      <c r="D797" t="n">
        <v>1707.63</v>
      </c>
      <c r="E797" t="n">
        <v>2326.94</v>
      </c>
      <c r="F797" t="n">
        <v>4124.73</v>
      </c>
    </row>
    <row r="798">
      <c r="A798" s="3" t="n">
        <v>39608</v>
      </c>
      <c r="B798" t="n">
        <v>3465.07</v>
      </c>
      <c r="C798" t="n">
        <v>1746.44</v>
      </c>
      <c r="D798" t="n">
        <v>1649.89</v>
      </c>
      <c r="E798" t="n">
        <v>2276.01</v>
      </c>
      <c r="F798" t="n">
        <v>3994.06</v>
      </c>
    </row>
    <row r="799">
      <c r="A799" s="3" t="n">
        <v>39609</v>
      </c>
      <c r="B799" t="n">
        <v>3425.78</v>
      </c>
      <c r="C799" t="n">
        <v>1729.61</v>
      </c>
      <c r="D799" t="n">
        <v>1636.4</v>
      </c>
      <c r="E799" t="n">
        <v>2266.63</v>
      </c>
      <c r="F799" t="n">
        <v>3964.98</v>
      </c>
    </row>
    <row r="800">
      <c r="A800" s="3" t="n">
        <v>39610</v>
      </c>
      <c r="B800" t="n">
        <v>3478.01</v>
      </c>
      <c r="C800" t="n">
        <v>1746.7</v>
      </c>
      <c r="D800" t="n">
        <v>1663.35</v>
      </c>
      <c r="E800" t="n">
        <v>2297.94</v>
      </c>
      <c r="F800" t="n">
        <v>4020.8</v>
      </c>
    </row>
    <row r="801">
      <c r="A801" s="3" t="n">
        <v>39611</v>
      </c>
      <c r="B801" t="n">
        <v>3534.59</v>
      </c>
      <c r="C801" t="n">
        <v>1754.52</v>
      </c>
      <c r="D801" t="n">
        <v>1672.7</v>
      </c>
      <c r="E801" t="n">
        <v>2295.55</v>
      </c>
      <c r="F801" t="n">
        <v>4070.31</v>
      </c>
    </row>
    <row r="802">
      <c r="A802" s="3" t="n">
        <v>39612</v>
      </c>
      <c r="B802" t="n">
        <v>3508.91</v>
      </c>
      <c r="C802" t="n">
        <v>1743.57</v>
      </c>
      <c r="D802" t="n">
        <v>1674.98</v>
      </c>
      <c r="E802" t="n">
        <v>2295.68</v>
      </c>
      <c r="F802" t="n">
        <v>4056.91</v>
      </c>
    </row>
    <row r="803">
      <c r="A803" s="3" t="n">
        <v>39615</v>
      </c>
      <c r="B803" t="n">
        <v>3553.9</v>
      </c>
      <c r="C803" t="n">
        <v>1766.84</v>
      </c>
      <c r="D803" t="n">
        <v>1698.37</v>
      </c>
      <c r="E803" t="n">
        <v>2316.38</v>
      </c>
      <c r="F803" t="n">
        <v>4119.8</v>
      </c>
    </row>
    <row r="804">
      <c r="A804" s="3" t="n">
        <v>39616</v>
      </c>
      <c r="B804" t="n">
        <v>3652.14</v>
      </c>
      <c r="C804" t="n">
        <v>1794.98</v>
      </c>
      <c r="D804" t="n">
        <v>1735.81</v>
      </c>
      <c r="E804" t="n">
        <v>2340.86</v>
      </c>
      <c r="F804" t="n">
        <v>4228.33</v>
      </c>
    </row>
    <row r="805">
      <c r="A805" s="3" t="n">
        <v>39617</v>
      </c>
      <c r="B805" t="n">
        <v>3594.69</v>
      </c>
      <c r="C805" t="n">
        <v>1779.1</v>
      </c>
      <c r="D805" t="n">
        <v>1724.35</v>
      </c>
      <c r="E805" t="n">
        <v>2325.02</v>
      </c>
      <c r="F805" t="n">
        <v>4188.12</v>
      </c>
    </row>
    <row r="806">
      <c r="A806" s="3" t="n">
        <v>39618</v>
      </c>
      <c r="B806" t="n">
        <v>3498.31</v>
      </c>
      <c r="C806" t="n">
        <v>1755.12</v>
      </c>
      <c r="D806" t="n">
        <v>1692.43</v>
      </c>
      <c r="E806" t="n">
        <v>2303.39</v>
      </c>
      <c r="F806" t="n">
        <v>4093.62</v>
      </c>
    </row>
    <row r="807">
      <c r="A807" s="3" t="n">
        <v>39619</v>
      </c>
      <c r="B807" t="n">
        <v>3350.13</v>
      </c>
      <c r="C807" t="n">
        <v>1710.94</v>
      </c>
      <c r="D807" t="n">
        <v>1634.83</v>
      </c>
      <c r="E807" t="n">
        <v>2239.32</v>
      </c>
      <c r="F807" t="n">
        <v>3902.8</v>
      </c>
    </row>
    <row r="808">
      <c r="A808" s="3" t="n">
        <v>39622</v>
      </c>
      <c r="B808" t="n">
        <v>3193.04</v>
      </c>
      <c r="C808" t="n">
        <v>1675.96</v>
      </c>
      <c r="D808" t="n">
        <v>1577.6</v>
      </c>
      <c r="E808" t="n">
        <v>2199.64</v>
      </c>
      <c r="F808" t="n">
        <v>3715.03</v>
      </c>
    </row>
    <row r="809">
      <c r="A809" s="3" t="n">
        <v>39623</v>
      </c>
      <c r="B809" t="n">
        <v>3110.36</v>
      </c>
      <c r="C809" t="n">
        <v>1636.87</v>
      </c>
      <c r="D809" t="n">
        <v>1554.59</v>
      </c>
      <c r="E809" t="n">
        <v>2167.48</v>
      </c>
      <c r="F809" t="n">
        <v>3596.11</v>
      </c>
    </row>
    <row r="810">
      <c r="A810" s="3" t="n">
        <v>39624</v>
      </c>
      <c r="B810" t="n">
        <v>3157.29</v>
      </c>
      <c r="C810" t="n">
        <v>1640.4</v>
      </c>
      <c r="D810" t="n">
        <v>1564.56</v>
      </c>
      <c r="E810" t="n">
        <v>2173.58</v>
      </c>
      <c r="F810" t="n">
        <v>3655.33</v>
      </c>
    </row>
    <row r="811">
      <c r="A811" s="3" t="n">
        <v>39625</v>
      </c>
      <c r="B811" t="n">
        <v>3168.67</v>
      </c>
      <c r="C811" t="n">
        <v>1661.96</v>
      </c>
      <c r="D811" t="n">
        <v>1573.35</v>
      </c>
      <c r="E811" t="n">
        <v>2196.07</v>
      </c>
      <c r="F811" t="n">
        <v>3639.45</v>
      </c>
    </row>
    <row r="812">
      <c r="A812" s="3" t="n">
        <v>39626</v>
      </c>
      <c r="B812" t="n">
        <v>3045.9</v>
      </c>
      <c r="C812" t="n">
        <v>1601.95</v>
      </c>
      <c r="D812" t="n">
        <v>1525.11</v>
      </c>
      <c r="E812" t="n">
        <v>2122.33</v>
      </c>
      <c r="F812" t="n">
        <v>3489.04</v>
      </c>
    </row>
    <row r="813">
      <c r="A813" s="3" t="n">
        <v>39629</v>
      </c>
      <c r="B813" t="n">
        <v>2941.69</v>
      </c>
      <c r="C813" t="n">
        <v>1576.6</v>
      </c>
      <c r="D813" t="n">
        <v>1472.47</v>
      </c>
      <c r="E813" t="n">
        <v>2093.81</v>
      </c>
      <c r="F813" t="n">
        <v>3331.27</v>
      </c>
    </row>
    <row r="814">
      <c r="A814" s="3" t="n">
        <v>39630</v>
      </c>
      <c r="B814" t="n">
        <v>2798.65</v>
      </c>
      <c r="C814" t="n">
        <v>1521.51</v>
      </c>
      <c r="D814" t="n">
        <v>1393.2</v>
      </c>
      <c r="E814" t="n">
        <v>2037.12</v>
      </c>
      <c r="F814" t="n">
        <v>3119.39</v>
      </c>
    </row>
    <row r="815">
      <c r="A815" s="3" t="n">
        <v>39631</v>
      </c>
      <c r="B815" t="n">
        <v>2981.05</v>
      </c>
      <c r="C815" t="n">
        <v>1575.22</v>
      </c>
      <c r="D815" t="n">
        <v>1447.92</v>
      </c>
      <c r="E815" t="n">
        <v>2085.26</v>
      </c>
      <c r="F815" t="n">
        <v>3312.82</v>
      </c>
    </row>
    <row r="816">
      <c r="A816" s="3" t="n">
        <v>39632</v>
      </c>
      <c r="B816" t="n">
        <v>2832.27</v>
      </c>
      <c r="C816" t="n">
        <v>1527</v>
      </c>
      <c r="D816" t="n">
        <v>1425.94</v>
      </c>
      <c r="E816" t="n">
        <v>2032.92</v>
      </c>
      <c r="F816" t="n">
        <v>3143.74</v>
      </c>
    </row>
    <row r="817">
      <c r="A817" s="3" t="n">
        <v>39633</v>
      </c>
      <c r="B817" t="n">
        <v>2928.1</v>
      </c>
      <c r="C817" t="n">
        <v>1549.91</v>
      </c>
      <c r="D817" t="n">
        <v>1452.43</v>
      </c>
      <c r="E817" t="n">
        <v>2055.22</v>
      </c>
      <c r="F817" t="n">
        <v>3259.06</v>
      </c>
    </row>
    <row r="818">
      <c r="A818" s="3" t="n">
        <v>39636</v>
      </c>
      <c r="B818" t="n">
        <v>2952.96</v>
      </c>
      <c r="C818" t="n">
        <v>1580.63</v>
      </c>
      <c r="D818" t="n">
        <v>1468.36</v>
      </c>
      <c r="E818" t="n">
        <v>2076.91</v>
      </c>
      <c r="F818" t="n">
        <v>3295.91</v>
      </c>
    </row>
    <row r="819">
      <c r="A819" s="3" t="n">
        <v>39637</v>
      </c>
      <c r="B819" t="n">
        <v>2935.01</v>
      </c>
      <c r="C819" t="n">
        <v>1562.72</v>
      </c>
      <c r="D819" t="n">
        <v>1482.77</v>
      </c>
      <c r="E819" t="n">
        <v>2044.31</v>
      </c>
      <c r="F819" t="n">
        <v>3274.71</v>
      </c>
    </row>
    <row r="820">
      <c r="A820" s="3" t="n">
        <v>39638</v>
      </c>
      <c r="B820" t="n">
        <v>3066</v>
      </c>
      <c r="C820" t="n">
        <v>1619.17</v>
      </c>
      <c r="D820" t="n">
        <v>1523.31</v>
      </c>
      <c r="E820" t="n">
        <v>2116.08</v>
      </c>
      <c r="F820" t="n">
        <v>3431.7</v>
      </c>
    </row>
    <row r="821">
      <c r="A821" s="3" t="n">
        <v>39639</v>
      </c>
      <c r="B821" t="n">
        <v>3097.04</v>
      </c>
      <c r="C821" t="n">
        <v>1615.52</v>
      </c>
      <c r="D821" t="n">
        <v>1530.55</v>
      </c>
      <c r="E821" t="n">
        <v>2101.13</v>
      </c>
      <c r="F821" t="n">
        <v>3468.62</v>
      </c>
    </row>
    <row r="822">
      <c r="A822" s="3" t="n">
        <v>39640</v>
      </c>
      <c r="B822" t="n">
        <v>2987.72</v>
      </c>
      <c r="C822" t="n">
        <v>1567.06</v>
      </c>
      <c r="D822" t="n">
        <v>1491.49</v>
      </c>
      <c r="E822" t="n">
        <v>2056.79</v>
      </c>
      <c r="F822" t="n">
        <v>3365.85</v>
      </c>
    </row>
    <row r="823">
      <c r="A823" s="3" t="n">
        <v>39643</v>
      </c>
      <c r="B823" t="n">
        <v>3003.54</v>
      </c>
      <c r="C823" t="n">
        <v>1552.57</v>
      </c>
      <c r="D823" t="n">
        <v>1486.51</v>
      </c>
      <c r="E823" t="n">
        <v>2032.81</v>
      </c>
      <c r="F823" t="n">
        <v>3373.98</v>
      </c>
    </row>
    <row r="824">
      <c r="A824" s="3" t="n">
        <v>39644</v>
      </c>
      <c r="B824" t="n">
        <v>2876.06</v>
      </c>
      <c r="C824" t="n">
        <v>1501.51</v>
      </c>
      <c r="D824" t="n">
        <v>1433.87</v>
      </c>
      <c r="E824" t="n">
        <v>1972.97</v>
      </c>
      <c r="F824" t="n">
        <v>3234.32</v>
      </c>
    </row>
    <row r="825">
      <c r="A825" s="3" t="n">
        <v>39645</v>
      </c>
      <c r="B825" t="n">
        <v>2824.96</v>
      </c>
      <c r="C825" t="n">
        <v>1482.51</v>
      </c>
      <c r="D825" t="n">
        <v>1417.75</v>
      </c>
      <c r="E825" t="n">
        <v>1969.06</v>
      </c>
      <c r="F825" t="n">
        <v>3180.86</v>
      </c>
    </row>
    <row r="826">
      <c r="A826" s="3" t="n">
        <v>39646</v>
      </c>
      <c r="B826" t="n">
        <v>2901.02</v>
      </c>
      <c r="C826" t="n">
        <v>1515.72</v>
      </c>
      <c r="D826" t="n">
        <v>1447.29</v>
      </c>
      <c r="E826" t="n">
        <v>2012.2</v>
      </c>
      <c r="F826" t="n">
        <v>3223.03</v>
      </c>
    </row>
    <row r="827">
      <c r="A827" s="3" t="n">
        <v>39647</v>
      </c>
      <c r="B827" t="n">
        <v>2971.84</v>
      </c>
      <c r="C827" t="n">
        <v>1532.9</v>
      </c>
      <c r="D827" t="n">
        <v>1477.17</v>
      </c>
      <c r="E827" t="n">
        <v>2038.37</v>
      </c>
      <c r="F827" t="n">
        <v>3290.98</v>
      </c>
    </row>
    <row r="828">
      <c r="A828" s="3" t="n">
        <v>39650</v>
      </c>
      <c r="B828" t="n">
        <v>2985.58</v>
      </c>
      <c r="C828" t="n">
        <v>1550.44</v>
      </c>
      <c r="D828" t="n">
        <v>1482.16</v>
      </c>
      <c r="E828" t="n">
        <v>2068.83</v>
      </c>
      <c r="F828" t="n">
        <v>3297.68</v>
      </c>
    </row>
    <row r="829">
      <c r="A829" s="3" t="n">
        <v>39651</v>
      </c>
      <c r="B829" t="n">
        <v>3092.99</v>
      </c>
      <c r="C829" t="n">
        <v>1586.05</v>
      </c>
      <c r="D829" t="n">
        <v>1506.04</v>
      </c>
      <c r="E829" t="n">
        <v>2088.94</v>
      </c>
      <c r="F829" t="n">
        <v>3399.75</v>
      </c>
    </row>
    <row r="830">
      <c r="A830" s="3" t="n">
        <v>39652</v>
      </c>
      <c r="B830" t="n">
        <v>3339.87</v>
      </c>
      <c r="C830" t="n">
        <v>1649.73</v>
      </c>
      <c r="D830" t="n">
        <v>1586.09</v>
      </c>
      <c r="E830" t="n">
        <v>2148.53</v>
      </c>
      <c r="F830" t="n">
        <v>3638.1</v>
      </c>
    </row>
    <row r="831">
      <c r="A831" s="3" t="n">
        <v>39653</v>
      </c>
      <c r="B831" t="n">
        <v>3310.09</v>
      </c>
      <c r="C831" t="n">
        <v>1638.48</v>
      </c>
      <c r="D831" t="n">
        <v>1594.16</v>
      </c>
      <c r="E831" t="n">
        <v>2134.16</v>
      </c>
      <c r="F831" t="n">
        <v>3640.52</v>
      </c>
    </row>
    <row r="832">
      <c r="A832" s="3" t="n">
        <v>39654</v>
      </c>
      <c r="B832" t="n">
        <v>3242.7</v>
      </c>
      <c r="C832" t="n">
        <v>1622.77</v>
      </c>
      <c r="D832" t="n">
        <v>1592.19</v>
      </c>
      <c r="E832" t="n">
        <v>2114.78</v>
      </c>
      <c r="F832" t="n">
        <v>3657.67</v>
      </c>
    </row>
    <row r="833">
      <c r="A833" s="3" t="n">
        <v>39657</v>
      </c>
      <c r="B833" t="n">
        <v>3270.79</v>
      </c>
      <c r="C833" t="n">
        <v>1630.77</v>
      </c>
      <c r="D833" t="n">
        <v>1617.76</v>
      </c>
      <c r="E833" t="n">
        <v>2119.5</v>
      </c>
      <c r="F833" t="n">
        <v>3692.24</v>
      </c>
    </row>
    <row r="834">
      <c r="A834" s="3" t="n">
        <v>39658</v>
      </c>
      <c r="B834" t="n">
        <v>3142.02</v>
      </c>
      <c r="C834" t="n">
        <v>1595.91</v>
      </c>
      <c r="D834" t="n">
        <v>1566.82</v>
      </c>
      <c r="E834" t="n">
        <v>2085.01</v>
      </c>
      <c r="F834" t="n">
        <v>3568.13</v>
      </c>
    </row>
    <row r="835">
      <c r="A835" s="3" t="n">
        <v>39659</v>
      </c>
      <c r="B835" t="n">
        <v>3262.37</v>
      </c>
      <c r="C835" t="n">
        <v>1629.32</v>
      </c>
      <c r="D835" t="n">
        <v>1612.2</v>
      </c>
      <c r="E835" t="n">
        <v>2128.86</v>
      </c>
      <c r="F835" t="n">
        <v>3674.5</v>
      </c>
    </row>
    <row r="836">
      <c r="A836" s="3" t="n">
        <v>39660</v>
      </c>
      <c r="B836" t="n">
        <v>3287.21</v>
      </c>
      <c r="C836" t="n">
        <v>1630.92</v>
      </c>
      <c r="D836" t="n">
        <v>1603.84</v>
      </c>
      <c r="E836" t="n">
        <v>2128.93</v>
      </c>
      <c r="F836" t="n">
        <v>3688.44</v>
      </c>
    </row>
    <row r="837">
      <c r="A837" s="3" t="n">
        <v>39661</v>
      </c>
      <c r="B837" t="n">
        <v>3371.58</v>
      </c>
      <c r="C837" t="n">
        <v>1659.68</v>
      </c>
      <c r="D837" t="n">
        <v>1642.57</v>
      </c>
      <c r="E837" t="n">
        <v>2152.79</v>
      </c>
      <c r="F837" t="n">
        <v>3791.32</v>
      </c>
    </row>
    <row r="838">
      <c r="A838" s="3" t="n">
        <v>39664</v>
      </c>
      <c r="B838" t="n">
        <v>3407.96</v>
      </c>
      <c r="C838" t="n">
        <v>1676.31</v>
      </c>
      <c r="D838" t="n">
        <v>1666.29</v>
      </c>
      <c r="E838" t="n">
        <v>2162.48</v>
      </c>
      <c r="F838" t="n">
        <v>3883.69</v>
      </c>
    </row>
    <row r="839">
      <c r="A839" s="3" t="n">
        <v>39665</v>
      </c>
      <c r="B839" t="n">
        <v>3461.3</v>
      </c>
      <c r="C839" t="n">
        <v>1706.07</v>
      </c>
      <c r="D839" t="n">
        <v>1702.31</v>
      </c>
      <c r="E839" t="n">
        <v>2203.76</v>
      </c>
      <c r="F839" t="n">
        <v>3910.2</v>
      </c>
    </row>
    <row r="840">
      <c r="A840" s="3" t="n">
        <v>39666</v>
      </c>
      <c r="B840" t="n">
        <v>3415.72</v>
      </c>
      <c r="C840" t="n">
        <v>1711.72</v>
      </c>
      <c r="D840" t="n">
        <v>1688.62</v>
      </c>
      <c r="E840" t="n">
        <v>2225.28</v>
      </c>
      <c r="F840" t="n">
        <v>3840.37</v>
      </c>
    </row>
    <row r="841">
      <c r="A841" s="3" t="n">
        <v>39667</v>
      </c>
      <c r="B841" t="n">
        <v>3413.63</v>
      </c>
      <c r="C841" t="n">
        <v>1723.66</v>
      </c>
      <c r="D841" t="n">
        <v>1689.66</v>
      </c>
      <c r="E841" t="n">
        <v>2229.52</v>
      </c>
      <c r="F841" t="n">
        <v>3836.14</v>
      </c>
    </row>
    <row r="842">
      <c r="A842" s="3" t="n">
        <v>39668</v>
      </c>
      <c r="B842" t="n">
        <v>3440.36</v>
      </c>
      <c r="C842" t="n">
        <v>1725.42</v>
      </c>
      <c r="D842" t="n">
        <v>1697.18</v>
      </c>
      <c r="E842" t="n">
        <v>2221.99</v>
      </c>
      <c r="F842" t="n">
        <v>3854.1</v>
      </c>
    </row>
    <row r="843">
      <c r="A843" s="3" t="n">
        <v>39671</v>
      </c>
      <c r="B843" t="n">
        <v>3526.26</v>
      </c>
      <c r="C843" t="n">
        <v>1748.42</v>
      </c>
      <c r="D843" t="n">
        <v>1722.55</v>
      </c>
      <c r="E843" t="n">
        <v>2241.01</v>
      </c>
      <c r="F843" t="n">
        <v>3902.87</v>
      </c>
    </row>
    <row r="844">
      <c r="A844" s="3" t="n">
        <v>39672</v>
      </c>
      <c r="B844" t="n">
        <v>3459.73</v>
      </c>
      <c r="C844" t="n">
        <v>1729.35</v>
      </c>
      <c r="D844" t="n">
        <v>1705.68</v>
      </c>
      <c r="E844" t="n">
        <v>2220.42</v>
      </c>
      <c r="F844" t="n">
        <v>3844.24</v>
      </c>
    </row>
    <row r="845">
      <c r="A845" s="3" t="n">
        <v>39673</v>
      </c>
      <c r="B845" t="n">
        <v>3444.41</v>
      </c>
      <c r="C845" t="n">
        <v>1729.5</v>
      </c>
      <c r="D845" t="n">
        <v>1695.58</v>
      </c>
      <c r="E845" t="n">
        <v>2219.02</v>
      </c>
      <c r="F845" t="n">
        <v>3851.52</v>
      </c>
    </row>
    <row r="846">
      <c r="A846" s="3" t="n">
        <v>39674</v>
      </c>
      <c r="B846" t="n">
        <v>3344.34</v>
      </c>
      <c r="C846" t="n">
        <v>1709.72</v>
      </c>
      <c r="D846" t="n">
        <v>1655.65</v>
      </c>
      <c r="E846" t="n">
        <v>2205.68</v>
      </c>
      <c r="F846" t="n">
        <v>3755.97</v>
      </c>
    </row>
    <row r="847">
      <c r="A847" s="3" t="n">
        <v>39678</v>
      </c>
      <c r="B847" t="n">
        <v>3293.81</v>
      </c>
      <c r="C847" t="n">
        <v>1701.25</v>
      </c>
      <c r="D847" t="n">
        <v>1633.78</v>
      </c>
      <c r="E847" t="n">
        <v>2191.16</v>
      </c>
      <c r="F847" t="n">
        <v>3692.99</v>
      </c>
    </row>
    <row r="848">
      <c r="A848" s="3" t="n">
        <v>39679</v>
      </c>
      <c r="B848" t="n">
        <v>3292.95</v>
      </c>
      <c r="C848" t="n">
        <v>1686.41</v>
      </c>
      <c r="D848" t="n">
        <v>1634.43</v>
      </c>
      <c r="E848" t="n">
        <v>2179.77</v>
      </c>
      <c r="F848" t="n">
        <v>3715.58</v>
      </c>
    </row>
    <row r="849">
      <c r="A849" s="3" t="n">
        <v>39680</v>
      </c>
      <c r="B849" t="n">
        <v>3352.11</v>
      </c>
      <c r="C849" t="n">
        <v>1704.09</v>
      </c>
      <c r="D849" t="n">
        <v>1649.47</v>
      </c>
      <c r="E849" t="n">
        <v>2201.22</v>
      </c>
      <c r="F849" t="n">
        <v>3778.38</v>
      </c>
    </row>
    <row r="850">
      <c r="A850" s="3" t="n">
        <v>39681</v>
      </c>
      <c r="B850" t="n">
        <v>3251.23</v>
      </c>
      <c r="C850" t="n">
        <v>1665.72</v>
      </c>
      <c r="D850" t="n">
        <v>1600.6</v>
      </c>
      <c r="E850" t="n">
        <v>2169.9</v>
      </c>
      <c r="F850" t="n">
        <v>3660.15</v>
      </c>
    </row>
    <row r="851">
      <c r="A851" s="3" t="n">
        <v>39682</v>
      </c>
      <c r="B851" t="n">
        <v>3280.83</v>
      </c>
      <c r="C851" t="n">
        <v>1671.82</v>
      </c>
      <c r="D851" t="n">
        <v>1592.48</v>
      </c>
      <c r="E851" t="n">
        <v>2179.95</v>
      </c>
      <c r="F851" t="n">
        <v>3692.69</v>
      </c>
    </row>
    <row r="852">
      <c r="A852" s="3" t="n">
        <v>39685</v>
      </c>
      <c r="B852" t="n">
        <v>3279.53</v>
      </c>
      <c r="C852" t="n">
        <v>1674.62</v>
      </c>
      <c r="D852" t="n">
        <v>1602.51</v>
      </c>
      <c r="E852" t="n">
        <v>2181.57</v>
      </c>
      <c r="F852" t="n">
        <v>3672.38</v>
      </c>
    </row>
    <row r="853">
      <c r="A853" s="3" t="n">
        <v>39686</v>
      </c>
      <c r="B853" t="n">
        <v>3292.52</v>
      </c>
      <c r="C853" t="n">
        <v>1678.9</v>
      </c>
      <c r="D853" t="n">
        <v>1603.76</v>
      </c>
      <c r="E853" t="n">
        <v>2179.99</v>
      </c>
      <c r="F853" t="n">
        <v>3674.9</v>
      </c>
    </row>
    <row r="854">
      <c r="A854" s="3" t="n">
        <v>39687</v>
      </c>
      <c r="B854" t="n">
        <v>3243.94</v>
      </c>
      <c r="C854" t="n">
        <v>1672.36</v>
      </c>
      <c r="D854" t="n">
        <v>1587.14</v>
      </c>
      <c r="E854" t="n">
        <v>2173.57</v>
      </c>
      <c r="F854" t="n">
        <v>3606.33</v>
      </c>
    </row>
    <row r="855">
      <c r="A855" s="3" t="n">
        <v>39688</v>
      </c>
      <c r="B855" t="n">
        <v>3199.38</v>
      </c>
      <c r="C855" t="n">
        <v>1651.28</v>
      </c>
      <c r="D855" t="n">
        <v>1551.98</v>
      </c>
      <c r="E855" t="n">
        <v>2157.8</v>
      </c>
      <c r="F855" t="n">
        <v>3539.89</v>
      </c>
    </row>
    <row r="856">
      <c r="A856" s="3" t="n">
        <v>39689</v>
      </c>
      <c r="B856" t="n">
        <v>3319.26</v>
      </c>
      <c r="C856" t="n">
        <v>1690.63</v>
      </c>
      <c r="D856" t="n">
        <v>1606.33</v>
      </c>
      <c r="E856" t="n">
        <v>2203.61</v>
      </c>
      <c r="F856" t="n">
        <v>3646.09</v>
      </c>
    </row>
    <row r="857">
      <c r="A857" s="3" t="n">
        <v>39692</v>
      </c>
      <c r="B857" t="n">
        <v>3306.26</v>
      </c>
      <c r="C857" t="n">
        <v>1688.77</v>
      </c>
      <c r="D857" t="n">
        <v>1607.48</v>
      </c>
      <c r="E857" t="n">
        <v>2197.02</v>
      </c>
      <c r="F857" t="n">
        <v>3645.26</v>
      </c>
    </row>
    <row r="858">
      <c r="A858" s="3" t="n">
        <v>39693</v>
      </c>
      <c r="B858" t="n">
        <v>3400.03</v>
      </c>
      <c r="C858" t="n">
        <v>1727.73</v>
      </c>
      <c r="D858" t="n">
        <v>1653.89</v>
      </c>
      <c r="E858" t="n">
        <v>2236.15</v>
      </c>
      <c r="F858" t="n">
        <v>3701.64</v>
      </c>
    </row>
    <row r="859">
      <c r="A859" s="3" t="n">
        <v>39695</v>
      </c>
      <c r="B859" t="n">
        <v>3371.59</v>
      </c>
      <c r="C859" t="n">
        <v>1714.42</v>
      </c>
      <c r="D859" t="n">
        <v>1648.55</v>
      </c>
      <c r="E859" t="n">
        <v>2231</v>
      </c>
      <c r="F859" t="n">
        <v>3672.1</v>
      </c>
    </row>
    <row r="860">
      <c r="A860" s="3" t="n">
        <v>39696</v>
      </c>
      <c r="B860" t="n">
        <v>3288.86</v>
      </c>
      <c r="C860" t="n">
        <v>1687.38</v>
      </c>
      <c r="D860" t="n">
        <v>1639.76</v>
      </c>
      <c r="E860" t="n">
        <v>2187.89</v>
      </c>
      <c r="F860" t="n">
        <v>3575.51</v>
      </c>
    </row>
    <row r="861">
      <c r="A861" s="3" t="n">
        <v>39699</v>
      </c>
      <c r="B861" t="n">
        <v>3353.84</v>
      </c>
      <c r="C861" t="n">
        <v>1718.34</v>
      </c>
      <c r="D861" t="n">
        <v>1639.63</v>
      </c>
      <c r="E861" t="n">
        <v>2224.88</v>
      </c>
      <c r="F861" t="n">
        <v>3634.02</v>
      </c>
    </row>
    <row r="862">
      <c r="A862" s="3" t="n">
        <v>39700</v>
      </c>
      <c r="B862" t="n">
        <v>3313.48</v>
      </c>
      <c r="C862" t="n">
        <v>1711.01</v>
      </c>
      <c r="D862" t="n">
        <v>1634.99</v>
      </c>
      <c r="E862" t="n">
        <v>2217.72</v>
      </c>
      <c r="F862" t="n">
        <v>3606.9</v>
      </c>
    </row>
    <row r="863">
      <c r="A863" s="3" t="n">
        <v>39701</v>
      </c>
      <c r="B863" t="n">
        <v>3280.9</v>
      </c>
      <c r="C863" t="n">
        <v>1697.74</v>
      </c>
      <c r="D863" t="n">
        <v>1620.27</v>
      </c>
      <c r="E863" t="n">
        <v>2204.43</v>
      </c>
      <c r="F863" t="n">
        <v>3533.34</v>
      </c>
    </row>
    <row r="864">
      <c r="A864" s="3" t="n">
        <v>39702</v>
      </c>
      <c r="B864" t="n">
        <v>3237.78</v>
      </c>
      <c r="C864" t="n">
        <v>1669.69</v>
      </c>
      <c r="D864" t="n">
        <v>1603.19</v>
      </c>
      <c r="E864" t="n">
        <v>2173.96</v>
      </c>
      <c r="F864" t="n">
        <v>3461.68</v>
      </c>
    </row>
    <row r="865">
      <c r="A865" s="3" t="n">
        <v>39703</v>
      </c>
      <c r="B865" t="n">
        <v>3193.95</v>
      </c>
      <c r="C865" t="n">
        <v>1648.18</v>
      </c>
      <c r="D865" t="n">
        <v>1582.75</v>
      </c>
      <c r="E865" t="n">
        <v>2150.52</v>
      </c>
      <c r="F865" t="n">
        <v>3378.34</v>
      </c>
    </row>
    <row r="866">
      <c r="A866" s="3" t="n">
        <v>39706</v>
      </c>
      <c r="B866" t="n">
        <v>3062.86</v>
      </c>
      <c r="C866" t="n">
        <v>1591.62</v>
      </c>
      <c r="D866" t="n">
        <v>1522.09</v>
      </c>
      <c r="E866" t="n">
        <v>2098.13</v>
      </c>
      <c r="F866" t="n">
        <v>3159.64</v>
      </c>
    </row>
    <row r="867">
      <c r="A867" s="3" t="n">
        <v>39707</v>
      </c>
      <c r="B867" t="n">
        <v>3021.38</v>
      </c>
      <c r="C867" t="n">
        <v>1575.1</v>
      </c>
      <c r="D867" t="n">
        <v>1531.88</v>
      </c>
      <c r="E867" t="n">
        <v>2083.99</v>
      </c>
      <c r="F867" t="n">
        <v>3126.48</v>
      </c>
    </row>
    <row r="868">
      <c r="A868" s="3" t="n">
        <v>39708</v>
      </c>
      <c r="B868" t="n">
        <v>2968.17</v>
      </c>
      <c r="C868" t="n">
        <v>1560.95</v>
      </c>
      <c r="D868" t="n">
        <v>1500.1</v>
      </c>
      <c r="E868" t="n">
        <v>2061.57</v>
      </c>
      <c r="F868" t="n">
        <v>3064.81</v>
      </c>
    </row>
    <row r="869">
      <c r="A869" s="3" t="n">
        <v>39709</v>
      </c>
      <c r="B869" t="n">
        <v>2954.04</v>
      </c>
      <c r="C869" t="n">
        <v>1554.42</v>
      </c>
      <c r="D869" t="n">
        <v>1498.46</v>
      </c>
      <c r="E869" t="n">
        <v>2050.92</v>
      </c>
      <c r="F869" t="n">
        <v>3038.25</v>
      </c>
    </row>
    <row r="870">
      <c r="A870" s="3" t="n">
        <v>39710</v>
      </c>
      <c r="B870" t="n">
        <v>3051</v>
      </c>
      <c r="C870" t="n">
        <v>1610.54</v>
      </c>
      <c r="D870" t="n">
        <v>1524.95</v>
      </c>
      <c r="E870" t="n">
        <v>2117.24</v>
      </c>
      <c r="F870" t="n">
        <v>3170.09</v>
      </c>
    </row>
    <row r="871">
      <c r="A871" s="3" t="n">
        <v>39713</v>
      </c>
      <c r="B871" t="n">
        <v>3052.6</v>
      </c>
      <c r="C871" t="n">
        <v>1610.9</v>
      </c>
      <c r="D871" t="n">
        <v>1511.89</v>
      </c>
      <c r="E871" t="n">
        <v>2115.3</v>
      </c>
      <c r="F871" t="n">
        <v>3184.76</v>
      </c>
    </row>
    <row r="872">
      <c r="A872" s="3" t="n">
        <v>39714</v>
      </c>
      <c r="B872" t="n">
        <v>3003.83</v>
      </c>
      <c r="C872" t="n">
        <v>1584.57</v>
      </c>
      <c r="D872" t="n">
        <v>1495.65</v>
      </c>
      <c r="E872" t="n">
        <v>2075.84</v>
      </c>
      <c r="F872" t="n">
        <v>3116.08</v>
      </c>
    </row>
    <row r="873">
      <c r="A873" s="3" t="n">
        <v>39715</v>
      </c>
      <c r="B873" t="n">
        <v>3033.7</v>
      </c>
      <c r="C873" t="n">
        <v>1585.09</v>
      </c>
      <c r="D873" t="n">
        <v>1502.87</v>
      </c>
      <c r="E873" t="n">
        <v>2080.77</v>
      </c>
      <c r="F873" t="n">
        <v>3144.1</v>
      </c>
    </row>
    <row r="874">
      <c r="A874" s="3" t="n">
        <v>39716</v>
      </c>
      <c r="B874" t="n">
        <v>3015.6</v>
      </c>
      <c r="C874" t="n">
        <v>1566.72</v>
      </c>
      <c r="D874" t="n">
        <v>1481.68</v>
      </c>
      <c r="E874" t="n">
        <v>2060.14</v>
      </c>
      <c r="F874" t="n">
        <v>3094.88</v>
      </c>
    </row>
    <row r="875">
      <c r="A875" s="3" t="n">
        <v>39717</v>
      </c>
      <c r="B875" t="n">
        <v>2939.06</v>
      </c>
      <c r="C875" t="n">
        <v>1528.69</v>
      </c>
      <c r="D875" t="n">
        <v>1446.95</v>
      </c>
      <c r="E875" t="n">
        <v>2022.68</v>
      </c>
      <c r="F875" t="n">
        <v>2954.45</v>
      </c>
    </row>
    <row r="876">
      <c r="A876" s="3" t="n">
        <v>39720</v>
      </c>
      <c r="B876" t="n">
        <v>2827.4</v>
      </c>
      <c r="C876" t="n">
        <v>1493.14</v>
      </c>
      <c r="D876" t="n">
        <v>1396.27</v>
      </c>
      <c r="E876" t="n">
        <v>1980.68</v>
      </c>
      <c r="F876" t="n">
        <v>2787.75</v>
      </c>
    </row>
    <row r="877">
      <c r="A877" s="3" t="n">
        <v>39721</v>
      </c>
      <c r="B877" t="n">
        <v>2867.49</v>
      </c>
      <c r="C877" t="n">
        <v>1497.06</v>
      </c>
      <c r="D877" t="n">
        <v>1416.02</v>
      </c>
      <c r="E877" t="n">
        <v>1999.84</v>
      </c>
      <c r="F877" t="n">
        <v>2834.96</v>
      </c>
    </row>
    <row r="878">
      <c r="A878" s="3" t="n">
        <v>39722</v>
      </c>
      <c r="B878" t="n">
        <v>2876.12</v>
      </c>
      <c r="C878" t="n">
        <v>1507.42</v>
      </c>
      <c r="D878" t="n">
        <v>1435.2</v>
      </c>
      <c r="E878" t="n">
        <v>2009.16</v>
      </c>
      <c r="F878" t="n">
        <v>2840.99</v>
      </c>
    </row>
    <row r="879">
      <c r="A879" s="3" t="n">
        <v>39724</v>
      </c>
      <c r="B879" t="n">
        <v>2801.75</v>
      </c>
      <c r="C879" t="n">
        <v>1482.87</v>
      </c>
      <c r="D879" t="n">
        <v>1407.22</v>
      </c>
      <c r="E879" t="n">
        <v>1976.79</v>
      </c>
      <c r="F879" t="n">
        <v>2720.22</v>
      </c>
    </row>
    <row r="880">
      <c r="A880" s="3" t="n">
        <v>39727</v>
      </c>
      <c r="B880" t="n">
        <v>2617.84</v>
      </c>
      <c r="C880" t="n">
        <v>1408.25</v>
      </c>
      <c r="D880" t="n">
        <v>1342.63</v>
      </c>
      <c r="E880" t="n">
        <v>1891.72</v>
      </c>
      <c r="F880" t="n">
        <v>2478.92</v>
      </c>
    </row>
    <row r="881">
      <c r="A881" s="3" t="n">
        <v>39728</v>
      </c>
      <c r="B881" t="n">
        <v>2593.63</v>
      </c>
      <c r="C881" t="n">
        <v>1384.47</v>
      </c>
      <c r="D881" t="n">
        <v>1327.06</v>
      </c>
      <c r="E881" t="n">
        <v>1868.54</v>
      </c>
      <c r="F881" t="n">
        <v>2446.56</v>
      </c>
    </row>
    <row r="882">
      <c r="A882" s="3" t="n">
        <v>39729</v>
      </c>
      <c r="B882" t="n">
        <v>2509.94</v>
      </c>
      <c r="C882" t="n">
        <v>1335.13</v>
      </c>
      <c r="D882" t="n">
        <v>1250.39</v>
      </c>
      <c r="E882" t="n">
        <v>1822.32</v>
      </c>
      <c r="F882" t="n">
        <v>2322.88</v>
      </c>
    </row>
    <row r="883">
      <c r="A883" s="3" t="n">
        <v>39731</v>
      </c>
      <c r="B883" t="n">
        <v>2327.82</v>
      </c>
      <c r="C883" t="n">
        <v>1255.83</v>
      </c>
      <c r="D883" t="n">
        <v>1169.55</v>
      </c>
      <c r="E883" t="n">
        <v>1724.56</v>
      </c>
      <c r="F883" t="n">
        <v>2065.36</v>
      </c>
    </row>
    <row r="884">
      <c r="A884" s="3" t="n">
        <v>39734</v>
      </c>
      <c r="B884" t="n">
        <v>2398.92</v>
      </c>
      <c r="C884" t="n">
        <v>1303.46</v>
      </c>
      <c r="D884" t="n">
        <v>1223.39</v>
      </c>
      <c r="E884" t="n">
        <v>1781.89</v>
      </c>
      <c r="F884" t="n">
        <v>2158.44</v>
      </c>
    </row>
    <row r="885">
      <c r="A885" s="3" t="n">
        <v>39735</v>
      </c>
      <c r="B885" t="n">
        <v>2459.13</v>
      </c>
      <c r="C885" t="n">
        <v>1316.36</v>
      </c>
      <c r="D885" t="n">
        <v>1235.28</v>
      </c>
      <c r="E885" t="n">
        <v>1819.89</v>
      </c>
      <c r="F885" t="n">
        <v>2208.99</v>
      </c>
    </row>
    <row r="886">
      <c r="A886" s="3" t="n">
        <v>39736</v>
      </c>
      <c r="B886" t="n">
        <v>2363.01</v>
      </c>
      <c r="C886" t="n">
        <v>1263.76</v>
      </c>
      <c r="D886" t="n">
        <v>1200.35</v>
      </c>
      <c r="E886" t="n">
        <v>1753.39</v>
      </c>
      <c r="F886" t="n">
        <v>2066.69</v>
      </c>
    </row>
    <row r="887">
      <c r="A887" s="3" t="n">
        <v>39737</v>
      </c>
      <c r="B887" t="n">
        <v>2339.89</v>
      </c>
      <c r="C887" t="n">
        <v>1246.33</v>
      </c>
      <c r="D887" t="n">
        <v>1205.74</v>
      </c>
      <c r="E887" t="n">
        <v>1724.23</v>
      </c>
      <c r="F887" t="n">
        <v>2049.55</v>
      </c>
    </row>
    <row r="888">
      <c r="A888" s="3" t="n">
        <v>39738</v>
      </c>
      <c r="B888" t="n">
        <v>2273.74</v>
      </c>
      <c r="C888" t="n">
        <v>1202.28</v>
      </c>
      <c r="D888" t="n">
        <v>1183.55</v>
      </c>
      <c r="E888" t="n">
        <v>1668.89</v>
      </c>
      <c r="F888" t="n">
        <v>1935.36</v>
      </c>
    </row>
    <row r="889">
      <c r="A889" s="3" t="n">
        <v>39741</v>
      </c>
      <c r="B889" t="n">
        <v>2269.54</v>
      </c>
      <c r="C889" t="n">
        <v>1220.17</v>
      </c>
      <c r="D889" t="n">
        <v>1185.7</v>
      </c>
      <c r="E889" t="n">
        <v>1690.04</v>
      </c>
      <c r="F889" t="n">
        <v>1923.16</v>
      </c>
    </row>
    <row r="890">
      <c r="A890" s="3" t="n">
        <v>39742</v>
      </c>
      <c r="B890" t="n">
        <v>2328.81</v>
      </c>
      <c r="C890" t="n">
        <v>1268.99</v>
      </c>
      <c r="D890" t="n">
        <v>1198.39</v>
      </c>
      <c r="E890" t="n">
        <v>1733.64</v>
      </c>
      <c r="F890" t="n">
        <v>1988.13</v>
      </c>
    </row>
    <row r="891">
      <c r="A891" s="3" t="n">
        <v>39743</v>
      </c>
      <c r="B891" t="n">
        <v>2272.03</v>
      </c>
      <c r="C891" t="n">
        <v>1230.64</v>
      </c>
      <c r="D891" t="n">
        <v>1149.75</v>
      </c>
      <c r="E891" t="n">
        <v>1680.85</v>
      </c>
      <c r="F891" t="n">
        <v>1907.49</v>
      </c>
    </row>
    <row r="892">
      <c r="A892" s="3" t="n">
        <v>39744</v>
      </c>
      <c r="B892" t="n">
        <v>2172</v>
      </c>
      <c r="C892" t="n">
        <v>1196.52</v>
      </c>
      <c r="D892" t="n">
        <v>1106.72</v>
      </c>
      <c r="E892" t="n">
        <v>1625.12</v>
      </c>
      <c r="F892" t="n">
        <v>1834.77</v>
      </c>
    </row>
    <row r="893">
      <c r="A893" s="3" t="n">
        <v>39745</v>
      </c>
      <c r="B893" t="n">
        <v>2005.35</v>
      </c>
      <c r="C893" t="n">
        <v>1109.91</v>
      </c>
      <c r="D893" t="n">
        <v>1014.34</v>
      </c>
      <c r="E893" t="n">
        <v>1506.34</v>
      </c>
      <c r="F893" t="n">
        <v>1634.18</v>
      </c>
    </row>
    <row r="894">
      <c r="A894" s="3" t="n">
        <v>39748</v>
      </c>
      <c r="B894" t="n">
        <v>1912.75</v>
      </c>
      <c r="C894" t="n">
        <v>1073.76</v>
      </c>
      <c r="D894" t="n">
        <v>964.6799999999999</v>
      </c>
      <c r="E894" t="n">
        <v>1457.05</v>
      </c>
      <c r="F894" t="n">
        <v>1567.35</v>
      </c>
    </row>
    <row r="895">
      <c r="A895" s="3" t="n">
        <v>39749</v>
      </c>
      <c r="B895" t="n">
        <v>2018.77</v>
      </c>
      <c r="C895" t="n">
        <v>1128.22</v>
      </c>
      <c r="D895" t="n">
        <v>1025.13</v>
      </c>
      <c r="E895" t="n">
        <v>1527.37</v>
      </c>
      <c r="F895" t="n">
        <v>1681.73</v>
      </c>
    </row>
    <row r="896">
      <c r="A896" s="3" t="n">
        <v>39750</v>
      </c>
      <c r="B896" t="n">
        <v>1992.04</v>
      </c>
      <c r="C896" t="n">
        <v>1125.76</v>
      </c>
      <c r="D896" t="n">
        <v>1021</v>
      </c>
      <c r="E896" t="n">
        <v>1522.59</v>
      </c>
      <c r="F896" t="n">
        <v>1670.32</v>
      </c>
    </row>
    <row r="897">
      <c r="A897" s="3" t="n">
        <v>39752</v>
      </c>
      <c r="B897" t="n">
        <v>2080.29</v>
      </c>
      <c r="C897" t="n">
        <v>1162.22</v>
      </c>
      <c r="D897" t="n">
        <v>1043.99</v>
      </c>
      <c r="E897" t="n">
        <v>1563.95</v>
      </c>
      <c r="F897" t="n">
        <v>1791.24</v>
      </c>
    </row>
    <row r="898">
      <c r="A898" s="3" t="n">
        <v>39755</v>
      </c>
      <c r="B898" t="n">
        <v>2172.15</v>
      </c>
      <c r="C898" t="n">
        <v>1198.03</v>
      </c>
      <c r="D898" t="n">
        <v>1095.03</v>
      </c>
      <c r="E898" t="n">
        <v>1605.29</v>
      </c>
      <c r="F898" t="n">
        <v>1916.63</v>
      </c>
    </row>
    <row r="899">
      <c r="A899" s="3" t="n">
        <v>39756</v>
      </c>
      <c r="B899" t="n">
        <v>2217.92</v>
      </c>
      <c r="C899" t="n">
        <v>1210.76</v>
      </c>
      <c r="D899" t="n">
        <v>1143.91</v>
      </c>
      <c r="E899" t="n">
        <v>1620.76</v>
      </c>
      <c r="F899" t="n">
        <v>2001.87</v>
      </c>
    </row>
    <row r="900">
      <c r="A900" s="3" t="n">
        <v>39757</v>
      </c>
      <c r="B900" t="n">
        <v>2182.22</v>
      </c>
      <c r="C900" t="n">
        <v>1193.85</v>
      </c>
      <c r="D900" t="n">
        <v>1125.78</v>
      </c>
      <c r="E900" t="n">
        <v>1597.7</v>
      </c>
      <c r="F900" t="n">
        <v>1918.04</v>
      </c>
    </row>
    <row r="901">
      <c r="A901" s="3" t="n">
        <v>39758</v>
      </c>
      <c r="B901" t="n">
        <v>2142.19</v>
      </c>
      <c r="C901" t="n">
        <v>1169.23</v>
      </c>
      <c r="D901" t="n">
        <v>1091.42</v>
      </c>
      <c r="E901" t="n">
        <v>1565.12</v>
      </c>
      <c r="F901" t="n">
        <v>1851.41</v>
      </c>
    </row>
    <row r="902">
      <c r="A902" s="3" t="n">
        <v>39759</v>
      </c>
      <c r="B902" t="n">
        <v>2171.91</v>
      </c>
      <c r="C902" t="n">
        <v>1186.83</v>
      </c>
      <c r="D902" t="n">
        <v>1118.95</v>
      </c>
      <c r="E902" t="n">
        <v>1588.42</v>
      </c>
      <c r="F902" t="n">
        <v>1897.02</v>
      </c>
    </row>
    <row r="903">
      <c r="A903" s="3" t="n">
        <v>39762</v>
      </c>
      <c r="B903" t="n">
        <v>2258.63</v>
      </c>
      <c r="C903" t="n">
        <v>1227.95</v>
      </c>
      <c r="D903" t="n">
        <v>1148.37</v>
      </c>
      <c r="E903" t="n">
        <v>1642.01</v>
      </c>
      <c r="F903" t="n">
        <v>2013.36</v>
      </c>
    </row>
    <row r="904">
      <c r="A904" s="3" t="n">
        <v>39763</v>
      </c>
      <c r="B904" t="n">
        <v>2182.28</v>
      </c>
      <c r="C904" t="n">
        <v>1176.63</v>
      </c>
      <c r="D904" t="n">
        <v>1104.99</v>
      </c>
      <c r="E904" t="n">
        <v>1589.31</v>
      </c>
      <c r="F904" t="n">
        <v>1896.92</v>
      </c>
    </row>
    <row r="905">
      <c r="A905" s="3" t="n">
        <v>39764</v>
      </c>
      <c r="B905" t="n">
        <v>2140.97</v>
      </c>
      <c r="C905" t="n">
        <v>1156.65</v>
      </c>
      <c r="D905" t="n">
        <v>1092.69</v>
      </c>
      <c r="E905" t="n">
        <v>1563.64</v>
      </c>
      <c r="F905" t="n">
        <v>1850.62</v>
      </c>
    </row>
    <row r="906">
      <c r="A906" s="3" t="n">
        <v>39766</v>
      </c>
      <c r="B906" t="n">
        <v>2118.36</v>
      </c>
      <c r="C906" t="n">
        <v>1135.73</v>
      </c>
      <c r="D906" t="n">
        <v>1081.15</v>
      </c>
      <c r="E906" t="n">
        <v>1543.41</v>
      </c>
      <c r="F906" t="n">
        <v>1815.61</v>
      </c>
    </row>
    <row r="907">
      <c r="A907" s="3" t="n">
        <v>39769</v>
      </c>
      <c r="B907" t="n">
        <v>2091</v>
      </c>
      <c r="C907" t="n">
        <v>1126.7</v>
      </c>
      <c r="D907" t="n">
        <v>1061.98</v>
      </c>
      <c r="E907" t="n">
        <v>1534.09</v>
      </c>
      <c r="F907" t="n">
        <v>1754.13</v>
      </c>
    </row>
    <row r="908">
      <c r="A908" s="3" t="n">
        <v>39770</v>
      </c>
      <c r="B908" t="n">
        <v>2049.26</v>
      </c>
      <c r="C908" t="n">
        <v>1094.21</v>
      </c>
      <c r="D908" t="n">
        <v>1034.91</v>
      </c>
      <c r="E908" t="n">
        <v>1496.13</v>
      </c>
      <c r="F908" t="n">
        <v>1696.42</v>
      </c>
    </row>
    <row r="909">
      <c r="A909" s="3" t="n">
        <v>39771</v>
      </c>
      <c r="B909" t="n">
        <v>2023.97</v>
      </c>
      <c r="C909" t="n">
        <v>1082.34</v>
      </c>
      <c r="D909" t="n">
        <v>1022.52</v>
      </c>
      <c r="E909" t="n">
        <v>1485.07</v>
      </c>
      <c r="F909" t="n">
        <v>1636.97</v>
      </c>
    </row>
    <row r="910">
      <c r="A910" s="3" t="n">
        <v>39772</v>
      </c>
      <c r="B910" t="n">
        <v>1959.07</v>
      </c>
      <c r="C910" t="n">
        <v>1058.11</v>
      </c>
      <c r="D910" t="n">
        <v>995.41</v>
      </c>
      <c r="E910" t="n">
        <v>1446.48</v>
      </c>
      <c r="F910" t="n">
        <v>1565.29</v>
      </c>
    </row>
    <row r="911">
      <c r="A911" s="3" t="n">
        <v>39773</v>
      </c>
      <c r="B911" t="n">
        <v>1978.47</v>
      </c>
      <c r="C911" t="n">
        <v>1083.83</v>
      </c>
      <c r="D911" t="n">
        <v>1012.6</v>
      </c>
      <c r="E911" t="n">
        <v>1476.25</v>
      </c>
      <c r="F911" t="n">
        <v>1595.12</v>
      </c>
    </row>
    <row r="912">
      <c r="A912" s="3" t="n">
        <v>39776</v>
      </c>
      <c r="B912" t="n">
        <v>1986.64</v>
      </c>
      <c r="C912" t="n">
        <v>1087.36</v>
      </c>
      <c r="D912" t="n">
        <v>1017.16</v>
      </c>
      <c r="E912" t="n">
        <v>1486.85</v>
      </c>
      <c r="F912" t="n">
        <v>1597.15</v>
      </c>
    </row>
    <row r="913">
      <c r="A913" s="3" t="n">
        <v>39777</v>
      </c>
      <c r="B913" t="n">
        <v>1975.63</v>
      </c>
      <c r="C913" t="n">
        <v>1076.17</v>
      </c>
      <c r="D913" t="n">
        <v>1013.7</v>
      </c>
      <c r="E913" t="n">
        <v>1471.37</v>
      </c>
      <c r="F913" t="n">
        <v>1587.36</v>
      </c>
    </row>
    <row r="914">
      <c r="A914" s="3" t="n">
        <v>39778</v>
      </c>
      <c r="B914" t="n">
        <v>2014.07</v>
      </c>
      <c r="C914" t="n">
        <v>1091.88</v>
      </c>
      <c r="D914" t="n">
        <v>1027.01</v>
      </c>
      <c r="E914" t="n">
        <v>1499.74</v>
      </c>
      <c r="F914" t="n">
        <v>1608.32</v>
      </c>
    </row>
    <row r="915">
      <c r="A915" s="3" t="n">
        <v>39780</v>
      </c>
      <c r="B915" t="n">
        <v>2026.27</v>
      </c>
      <c r="C915" t="n">
        <v>1096.54</v>
      </c>
      <c r="D915" t="n">
        <v>1030.61</v>
      </c>
      <c r="E915" t="n">
        <v>1506.15</v>
      </c>
      <c r="F915" t="n">
        <v>1628.65</v>
      </c>
    </row>
    <row r="916">
      <c r="A916" s="3" t="n">
        <v>39783</v>
      </c>
      <c r="B916" t="n">
        <v>1978.37</v>
      </c>
      <c r="C916" t="n">
        <v>1076.45</v>
      </c>
      <c r="D916" t="n">
        <v>1021.58</v>
      </c>
      <c r="E916" t="n">
        <v>1471.67</v>
      </c>
      <c r="F916" t="n">
        <v>1597.74</v>
      </c>
    </row>
    <row r="917">
      <c r="A917" s="3" t="n">
        <v>39784</v>
      </c>
      <c r="B917" t="n">
        <v>1965.12</v>
      </c>
      <c r="C917" t="n">
        <v>1066.26</v>
      </c>
      <c r="D917" t="n">
        <v>1012.61</v>
      </c>
      <c r="E917" t="n">
        <v>1459.76</v>
      </c>
      <c r="F917" t="n">
        <v>1578.13</v>
      </c>
    </row>
    <row r="918">
      <c r="A918" s="3" t="n">
        <v>39785</v>
      </c>
      <c r="B918" t="n">
        <v>1967.7</v>
      </c>
      <c r="C918" t="n">
        <v>1061.65</v>
      </c>
      <c r="D918" t="n">
        <v>1026.21</v>
      </c>
      <c r="E918" t="n">
        <v>1456.64</v>
      </c>
      <c r="F918" t="n">
        <v>1600.96</v>
      </c>
    </row>
    <row r="919">
      <c r="A919" s="3" t="n">
        <v>39786</v>
      </c>
      <c r="B919" t="n">
        <v>2011.45</v>
      </c>
      <c r="C919" t="n">
        <v>1092.01</v>
      </c>
      <c r="D919" t="n">
        <v>1049.69</v>
      </c>
      <c r="E919" t="n">
        <v>1496.96</v>
      </c>
      <c r="F919" t="n">
        <v>1672.47</v>
      </c>
    </row>
    <row r="920">
      <c r="A920" s="3" t="n">
        <v>39787</v>
      </c>
      <c r="B920" t="n">
        <v>1991.19</v>
      </c>
      <c r="C920" t="n">
        <v>1077.56</v>
      </c>
      <c r="D920" t="n">
        <v>1025.2</v>
      </c>
      <c r="E920" t="n">
        <v>1474.88</v>
      </c>
      <c r="F920" t="n">
        <v>1645.78</v>
      </c>
    </row>
    <row r="921">
      <c r="A921" s="3" t="n">
        <v>39790</v>
      </c>
      <c r="B921" t="n">
        <v>2010.42</v>
      </c>
      <c r="C921" t="n">
        <v>1093.36</v>
      </c>
      <c r="D921" t="n">
        <v>1016.05</v>
      </c>
      <c r="E921" t="n">
        <v>1495.83</v>
      </c>
      <c r="F921" t="n">
        <v>1652.35</v>
      </c>
    </row>
    <row r="922">
      <c r="A922" s="3" t="n">
        <v>39792</v>
      </c>
      <c r="B922" t="n">
        <v>2050.44</v>
      </c>
      <c r="C922" t="n">
        <v>1129.62</v>
      </c>
      <c r="D922" t="n">
        <v>1039.66</v>
      </c>
      <c r="E922" t="n">
        <v>1537.83</v>
      </c>
      <c r="F922" t="n">
        <v>1718.94</v>
      </c>
    </row>
    <row r="923">
      <c r="A923" s="3" t="n">
        <v>39793</v>
      </c>
      <c r="B923" t="n">
        <v>2067.82</v>
      </c>
      <c r="C923" t="n">
        <v>1121.79</v>
      </c>
      <c r="D923" t="n">
        <v>1055.93</v>
      </c>
      <c r="E923" t="n">
        <v>1530.88</v>
      </c>
      <c r="F923" t="n">
        <v>1762.93</v>
      </c>
    </row>
    <row r="924">
      <c r="A924" s="3" t="n">
        <v>39794</v>
      </c>
      <c r="B924" t="n">
        <v>2071.1</v>
      </c>
      <c r="C924" t="n">
        <v>1112.92</v>
      </c>
      <c r="D924" t="n">
        <v>1073.55</v>
      </c>
      <c r="E924" t="n">
        <v>1516.76</v>
      </c>
      <c r="F924" t="n">
        <v>1794.03</v>
      </c>
    </row>
    <row r="925">
      <c r="A925" s="3" t="n">
        <v>39797</v>
      </c>
      <c r="B925" t="n">
        <v>2126.47</v>
      </c>
      <c r="C925" t="n">
        <v>1135.91</v>
      </c>
      <c r="D925" t="n">
        <v>1109.32</v>
      </c>
      <c r="E925" t="n">
        <v>1536.03</v>
      </c>
      <c r="F925" t="n">
        <v>1854.09</v>
      </c>
    </row>
    <row r="926">
      <c r="A926" s="3" t="n">
        <v>39798</v>
      </c>
      <c r="B926" t="n">
        <v>2172.32</v>
      </c>
      <c r="C926" t="n">
        <v>1167.07</v>
      </c>
      <c r="D926" t="n">
        <v>1120.92</v>
      </c>
      <c r="E926" t="n">
        <v>1566.28</v>
      </c>
      <c r="F926" t="n">
        <v>1906.96</v>
      </c>
    </row>
    <row r="927">
      <c r="A927" s="3" t="n">
        <v>39799</v>
      </c>
      <c r="B927" t="n">
        <v>2112.53</v>
      </c>
      <c r="C927" t="n">
        <v>1147.76</v>
      </c>
      <c r="D927" t="n">
        <v>1102.29</v>
      </c>
      <c r="E927" t="n">
        <v>1549.62</v>
      </c>
      <c r="F927" t="n">
        <v>1823.36</v>
      </c>
    </row>
    <row r="928">
      <c r="A928" s="3" t="n">
        <v>39800</v>
      </c>
      <c r="B928" t="n">
        <v>2150.47</v>
      </c>
      <c r="C928" t="n">
        <v>1178.99</v>
      </c>
      <c r="D928" t="n">
        <v>1140.82</v>
      </c>
      <c r="E928" t="n">
        <v>1583.93</v>
      </c>
      <c r="F928" t="n">
        <v>1887.64</v>
      </c>
    </row>
    <row r="929">
      <c r="A929" s="3" t="n">
        <v>39801</v>
      </c>
      <c r="B929" t="n">
        <v>2165.18</v>
      </c>
      <c r="C929" t="n">
        <v>1190.8</v>
      </c>
      <c r="D929" t="n">
        <v>1168.87</v>
      </c>
      <c r="E929" t="n">
        <v>1606.69</v>
      </c>
      <c r="F929" t="n">
        <v>1908.35</v>
      </c>
    </row>
    <row r="930">
      <c r="A930" s="3" t="n">
        <v>39804</v>
      </c>
      <c r="B930" t="n">
        <v>2142.86</v>
      </c>
      <c r="C930" t="n">
        <v>1184.03</v>
      </c>
      <c r="D930" t="n">
        <v>1159.31</v>
      </c>
      <c r="E930" t="n">
        <v>1595.26</v>
      </c>
      <c r="F930" t="n">
        <v>1897.25</v>
      </c>
    </row>
    <row r="931">
      <c r="A931" s="3" t="n">
        <v>39805</v>
      </c>
      <c r="B931" t="n">
        <v>2104.22</v>
      </c>
      <c r="C931" t="n">
        <v>1162.32</v>
      </c>
      <c r="D931" t="n">
        <v>1134.83</v>
      </c>
      <c r="E931" t="n">
        <v>1574.3</v>
      </c>
      <c r="F931" t="n">
        <v>1845.92</v>
      </c>
    </row>
    <row r="932">
      <c r="A932" s="3" t="n">
        <v>39806</v>
      </c>
      <c r="B932" t="n">
        <v>2095.43</v>
      </c>
      <c r="C932" t="n">
        <v>1144.56</v>
      </c>
      <c r="D932" t="n">
        <v>1134.33</v>
      </c>
      <c r="E932" t="n">
        <v>1553.96</v>
      </c>
      <c r="F932" t="n">
        <v>1820.44</v>
      </c>
    </row>
    <row r="933">
      <c r="A933" s="3" t="n">
        <v>39808</v>
      </c>
      <c r="B933" t="n">
        <v>2094.4</v>
      </c>
      <c r="C933" t="n">
        <v>1125.87</v>
      </c>
      <c r="D933" t="n">
        <v>1121.52</v>
      </c>
      <c r="E933" t="n">
        <v>1540.82</v>
      </c>
      <c r="F933" t="n">
        <v>1788.84</v>
      </c>
    </row>
    <row r="934">
      <c r="A934" s="3" t="n">
        <v>39811</v>
      </c>
      <c r="B934" t="n">
        <v>2139.85</v>
      </c>
      <c r="C934" t="n">
        <v>1138.98</v>
      </c>
      <c r="D934" t="n">
        <v>1132.72</v>
      </c>
      <c r="E934" t="n">
        <v>1561.55</v>
      </c>
      <c r="F934" t="n">
        <v>1826.44</v>
      </c>
    </row>
    <row r="935">
      <c r="A935" s="3" t="n">
        <v>39812</v>
      </c>
      <c r="B935" t="n">
        <v>2162.53</v>
      </c>
      <c r="C935" t="n">
        <v>1158.61</v>
      </c>
      <c r="D935" t="n">
        <v>1156.06</v>
      </c>
      <c r="E935" t="n">
        <v>1584.73</v>
      </c>
      <c r="F935" t="n">
        <v>1868.35</v>
      </c>
    </row>
    <row r="936">
      <c r="A936" s="3" t="n">
        <v>39813</v>
      </c>
      <c r="B936" t="n">
        <v>2174.47</v>
      </c>
      <c r="C936" t="n">
        <v>1156.62</v>
      </c>
      <c r="D936" t="n">
        <v>1157.16</v>
      </c>
      <c r="E936" t="n">
        <v>1582.11</v>
      </c>
      <c r="F936" t="n">
        <v>1873.74</v>
      </c>
    </row>
    <row r="937">
      <c r="A937" s="3" t="n">
        <v>39814</v>
      </c>
      <c r="B937" t="n">
        <v>2204.91</v>
      </c>
      <c r="C937" t="n">
        <v>1179.27</v>
      </c>
      <c r="D937" t="n">
        <v>1172.79</v>
      </c>
      <c r="E937" t="n">
        <v>1605.87</v>
      </c>
      <c r="F937" t="n">
        <v>1907.54</v>
      </c>
    </row>
    <row r="938">
      <c r="A938" s="3" t="n">
        <v>39815</v>
      </c>
      <c r="B938" t="n">
        <v>2216.5</v>
      </c>
      <c r="C938" t="n">
        <v>1184.36</v>
      </c>
      <c r="D938" t="n">
        <v>1198.96</v>
      </c>
      <c r="E938" t="n">
        <v>1614.68</v>
      </c>
      <c r="F938" t="n">
        <v>1927.02</v>
      </c>
    </row>
    <row r="939">
      <c r="A939" s="3" t="n">
        <v>39818</v>
      </c>
      <c r="B939" t="n">
        <v>2231.31</v>
      </c>
      <c r="C939" t="n">
        <v>1202.03</v>
      </c>
      <c r="D939" t="n">
        <v>1226.42</v>
      </c>
      <c r="E939" t="n">
        <v>1625.59</v>
      </c>
      <c r="F939" t="n">
        <v>1951.3</v>
      </c>
    </row>
    <row r="940">
      <c r="A940" s="3" t="n">
        <v>39819</v>
      </c>
      <c r="B940" t="n">
        <v>2232.07</v>
      </c>
      <c r="C940" t="n">
        <v>1216.75</v>
      </c>
      <c r="D940" t="n">
        <v>1222.42</v>
      </c>
      <c r="E940" t="n">
        <v>1634.91</v>
      </c>
      <c r="F940" t="n">
        <v>1946.46</v>
      </c>
    </row>
    <row r="941">
      <c r="A941" s="3" t="n">
        <v>39820</v>
      </c>
      <c r="B941" t="n">
        <v>2142.2</v>
      </c>
      <c r="C941" t="n">
        <v>1177.09</v>
      </c>
      <c r="D941" t="n">
        <v>1161.84</v>
      </c>
      <c r="E941" t="n">
        <v>1587.32</v>
      </c>
      <c r="F941" t="n">
        <v>1832.7</v>
      </c>
    </row>
    <row r="942">
      <c r="A942" s="3" t="n">
        <v>39822</v>
      </c>
      <c r="B942" t="n">
        <v>2120.71</v>
      </c>
      <c r="C942" t="n">
        <v>1178.67</v>
      </c>
      <c r="D942" t="n">
        <v>1147.23</v>
      </c>
      <c r="E942" t="n">
        <v>1596.98</v>
      </c>
      <c r="F942" t="n">
        <v>1801.06</v>
      </c>
    </row>
    <row r="943">
      <c r="A943" s="3" t="n">
        <v>39825</v>
      </c>
      <c r="B943" t="n">
        <v>2085.43</v>
      </c>
      <c r="C943" t="n">
        <v>1151.05</v>
      </c>
      <c r="D943" t="n">
        <v>1116.99</v>
      </c>
      <c r="E943" t="n">
        <v>1571.01</v>
      </c>
      <c r="F943" t="n">
        <v>1752.24</v>
      </c>
    </row>
    <row r="944">
      <c r="A944" s="3" t="n">
        <v>39826</v>
      </c>
      <c r="B944" t="n">
        <v>2057.14</v>
      </c>
      <c r="C944" t="n">
        <v>1150.54</v>
      </c>
      <c r="D944" t="n">
        <v>1120.91</v>
      </c>
      <c r="E944" t="n">
        <v>1574.65</v>
      </c>
      <c r="F944" t="n">
        <v>1732.01</v>
      </c>
    </row>
    <row r="945">
      <c r="A945" s="3" t="n">
        <v>39827</v>
      </c>
      <c r="B945" t="n">
        <v>2106.44</v>
      </c>
      <c r="C945" t="n">
        <v>1171.74</v>
      </c>
      <c r="D945" t="n">
        <v>1136.24</v>
      </c>
      <c r="E945" t="n">
        <v>1595.54</v>
      </c>
      <c r="F945" t="n">
        <v>1782.23</v>
      </c>
    </row>
    <row r="946">
      <c r="A946" s="3" t="n">
        <v>39828</v>
      </c>
      <c r="B946" t="n">
        <v>2072.86</v>
      </c>
      <c r="C946" t="n">
        <v>1145.59</v>
      </c>
      <c r="D946" t="n">
        <v>1113.38</v>
      </c>
      <c r="E946" t="n">
        <v>1568.97</v>
      </c>
      <c r="F946" t="n">
        <v>1743.34</v>
      </c>
    </row>
    <row r="947">
      <c r="A947" s="3" t="n">
        <v>39829</v>
      </c>
      <c r="B947" t="n">
        <v>2104.17</v>
      </c>
      <c r="C947" t="n">
        <v>1160.16</v>
      </c>
      <c r="D947" t="n">
        <v>1127.86</v>
      </c>
      <c r="E947" t="n">
        <v>1588.52</v>
      </c>
      <c r="F947" t="n">
        <v>1792.7</v>
      </c>
    </row>
    <row r="948">
      <c r="A948" s="3" t="n">
        <v>39832</v>
      </c>
      <c r="B948" t="n">
        <v>2114.91</v>
      </c>
      <c r="C948" t="n">
        <v>1164.57</v>
      </c>
      <c r="D948" t="n">
        <v>1136.2</v>
      </c>
      <c r="E948" t="n">
        <v>1587.06</v>
      </c>
      <c r="F948" t="n">
        <v>1798.03</v>
      </c>
    </row>
    <row r="949">
      <c r="A949" s="3" t="n">
        <v>39833</v>
      </c>
      <c r="B949" t="n">
        <v>2092.52</v>
      </c>
      <c r="C949" t="n">
        <v>1148.03</v>
      </c>
      <c r="D949" t="n">
        <v>1128.86</v>
      </c>
      <c r="E949" t="n">
        <v>1566.44</v>
      </c>
      <c r="F949" t="n">
        <v>1773.33</v>
      </c>
    </row>
    <row r="950">
      <c r="A950" s="3" t="n">
        <v>39834</v>
      </c>
      <c r="B950" t="n">
        <v>2056.39</v>
      </c>
      <c r="C950" t="n">
        <v>1132.99</v>
      </c>
      <c r="D950" t="n">
        <v>1110.29</v>
      </c>
      <c r="E950" t="n">
        <v>1551.67</v>
      </c>
      <c r="F950" t="n">
        <v>1712.32</v>
      </c>
    </row>
    <row r="951">
      <c r="A951" s="3" t="n">
        <v>39835</v>
      </c>
      <c r="B951" t="n">
        <v>2042.48</v>
      </c>
      <c r="C951" t="n">
        <v>1129.95</v>
      </c>
      <c r="D951" t="n">
        <v>1096.52</v>
      </c>
      <c r="E951" t="n">
        <v>1544.05</v>
      </c>
      <c r="F951" t="n">
        <v>1715.34</v>
      </c>
    </row>
    <row r="952">
      <c r="A952" s="3" t="n">
        <v>39836</v>
      </c>
      <c r="B952" t="n">
        <v>2035.24</v>
      </c>
      <c r="C952" t="n">
        <v>1113.42</v>
      </c>
      <c r="D952" t="n">
        <v>1064.46</v>
      </c>
      <c r="E952" t="n">
        <v>1534.54</v>
      </c>
      <c r="F952" t="n">
        <v>1683.62</v>
      </c>
    </row>
    <row r="953">
      <c r="A953" s="3" t="n">
        <v>39840</v>
      </c>
      <c r="B953" t="n">
        <v>2064.76</v>
      </c>
      <c r="C953" t="n">
        <v>1125.81</v>
      </c>
      <c r="D953" t="n">
        <v>1073.72</v>
      </c>
      <c r="E953" t="n">
        <v>1565.43</v>
      </c>
      <c r="F953" t="n">
        <v>1725.59</v>
      </c>
    </row>
    <row r="954">
      <c r="A954" s="3" t="n">
        <v>39841</v>
      </c>
      <c r="B954" t="n">
        <v>2105.75</v>
      </c>
      <c r="C954" t="n">
        <v>1149.12</v>
      </c>
      <c r="D954" t="n">
        <v>1087.51</v>
      </c>
      <c r="E954" t="n">
        <v>1587.51</v>
      </c>
      <c r="F954" t="n">
        <v>1759.95</v>
      </c>
    </row>
    <row r="955">
      <c r="A955" s="3" t="n">
        <v>39842</v>
      </c>
      <c r="B955" t="n">
        <v>2079.79</v>
      </c>
      <c r="C955" t="n">
        <v>1144.2</v>
      </c>
      <c r="D955" t="n">
        <v>1103.57</v>
      </c>
      <c r="E955" t="n">
        <v>1579.04</v>
      </c>
      <c r="F955" t="n">
        <v>1755.26</v>
      </c>
    </row>
    <row r="956">
      <c r="A956" s="3" t="n">
        <v>39843</v>
      </c>
      <c r="B956" t="n">
        <v>2106.28</v>
      </c>
      <c r="C956" t="n">
        <v>1157.04</v>
      </c>
      <c r="D956" t="n">
        <v>1116.92</v>
      </c>
      <c r="E956" t="n">
        <v>1593.45</v>
      </c>
      <c r="F956" t="n">
        <v>1780.59</v>
      </c>
    </row>
    <row r="957">
      <c r="A957" s="3" t="n">
        <v>39846</v>
      </c>
      <c r="B957" t="n">
        <v>2062.98</v>
      </c>
      <c r="C957" t="n">
        <v>1134.41</v>
      </c>
      <c r="D957" t="n">
        <v>1096.85</v>
      </c>
      <c r="E957" t="n">
        <v>1571.72</v>
      </c>
      <c r="F957" t="n">
        <v>1724.05</v>
      </c>
    </row>
    <row r="958">
      <c r="A958" s="3" t="n">
        <v>39847</v>
      </c>
      <c r="B958" t="n">
        <v>2060.39</v>
      </c>
      <c r="C958" t="n">
        <v>1142.13</v>
      </c>
      <c r="D958" t="n">
        <v>1091.86</v>
      </c>
      <c r="E958" t="n">
        <v>1579.27</v>
      </c>
      <c r="F958" t="n">
        <v>1716.01</v>
      </c>
    </row>
    <row r="959">
      <c r="A959" s="3" t="n">
        <v>39848</v>
      </c>
      <c r="B959" t="n">
        <v>2064.74</v>
      </c>
      <c r="C959" t="n">
        <v>1147.52</v>
      </c>
      <c r="D959" t="n">
        <v>1093.27</v>
      </c>
      <c r="E959" t="n">
        <v>1586.25</v>
      </c>
      <c r="F959" t="n">
        <v>1714.54</v>
      </c>
    </row>
    <row r="960">
      <c r="A960" s="3" t="n">
        <v>39849</v>
      </c>
      <c r="B960" t="n">
        <v>2062.49</v>
      </c>
      <c r="C960" t="n">
        <v>1135.48</v>
      </c>
      <c r="D960" t="n">
        <v>1088.67</v>
      </c>
      <c r="E960" t="n">
        <v>1571.5</v>
      </c>
      <c r="F960" t="n">
        <v>1701.87</v>
      </c>
    </row>
    <row r="961">
      <c r="A961" s="3" t="n">
        <v>39850</v>
      </c>
      <c r="B961" t="n">
        <v>2085.76</v>
      </c>
      <c r="C961" t="n">
        <v>1155.46</v>
      </c>
      <c r="D961" t="n">
        <v>1103.83</v>
      </c>
      <c r="E961" t="n">
        <v>1598.19</v>
      </c>
      <c r="F961" t="n">
        <v>1734.24</v>
      </c>
    </row>
    <row r="962">
      <c r="A962" s="3" t="n">
        <v>39853</v>
      </c>
      <c r="B962" t="n">
        <v>2112.14</v>
      </c>
      <c r="C962" t="n">
        <v>1171.66</v>
      </c>
      <c r="D962" t="n">
        <v>1117.78</v>
      </c>
      <c r="E962" t="n">
        <v>1616.12</v>
      </c>
      <c r="F962" t="n">
        <v>1772.98</v>
      </c>
    </row>
    <row r="963">
      <c r="A963" s="3" t="n">
        <v>39854</v>
      </c>
      <c r="B963" t="n">
        <v>2127.38</v>
      </c>
      <c r="C963" t="n">
        <v>1175.41</v>
      </c>
      <c r="D963" t="n">
        <v>1124.4</v>
      </c>
      <c r="E963" t="n">
        <v>1623.88</v>
      </c>
      <c r="F963" t="n">
        <v>1788.33</v>
      </c>
    </row>
    <row r="964">
      <c r="A964" s="3" t="n">
        <v>39855</v>
      </c>
      <c r="B964" t="n">
        <v>2120.53</v>
      </c>
      <c r="C964" t="n">
        <v>1173.97</v>
      </c>
      <c r="D964" t="n">
        <v>1124.15</v>
      </c>
      <c r="E964" t="n">
        <v>1617.25</v>
      </c>
      <c r="F964" t="n">
        <v>1802.69</v>
      </c>
    </row>
    <row r="965">
      <c r="A965" s="3" t="n">
        <v>39856</v>
      </c>
      <c r="B965" t="n">
        <v>2129.61</v>
      </c>
      <c r="C965" t="n">
        <v>1169.96</v>
      </c>
      <c r="D965" t="n">
        <v>1121.41</v>
      </c>
      <c r="E965" t="n">
        <v>1605.89</v>
      </c>
      <c r="F965" t="n">
        <v>1804.06</v>
      </c>
    </row>
    <row r="966">
      <c r="A966" s="3" t="n">
        <v>39857</v>
      </c>
      <c r="B966" t="n">
        <v>2153.26</v>
      </c>
      <c r="C966" t="n">
        <v>1176.7</v>
      </c>
      <c r="D966" t="n">
        <v>1124.55</v>
      </c>
      <c r="E966" t="n">
        <v>1614.31</v>
      </c>
      <c r="F966" t="n">
        <v>1842.09</v>
      </c>
    </row>
    <row r="967">
      <c r="A967" s="3" t="n">
        <v>39860</v>
      </c>
      <c r="B967" t="n">
        <v>2096.2</v>
      </c>
      <c r="C967" t="n">
        <v>1156.25</v>
      </c>
      <c r="D967" t="n">
        <v>1099.85</v>
      </c>
      <c r="E967" t="n">
        <v>1588.55</v>
      </c>
      <c r="F967" t="n">
        <v>1776.66</v>
      </c>
    </row>
    <row r="968">
      <c r="A968" s="3" t="n">
        <v>39861</v>
      </c>
      <c r="B968" t="n">
        <v>2065.93</v>
      </c>
      <c r="C968" t="n">
        <v>1135.94</v>
      </c>
      <c r="D968" t="n">
        <v>1076.02</v>
      </c>
      <c r="E968" t="n">
        <v>1565.32</v>
      </c>
      <c r="F968" t="n">
        <v>1731.67</v>
      </c>
    </row>
    <row r="969">
      <c r="A969" s="3" t="n">
        <v>39862</v>
      </c>
      <c r="B969" t="n">
        <v>2056.89</v>
      </c>
      <c r="C969" t="n">
        <v>1135.49</v>
      </c>
      <c r="D969" t="n">
        <v>1075.97</v>
      </c>
      <c r="E969" t="n">
        <v>1568.56</v>
      </c>
      <c r="F969" t="n">
        <v>1727.87</v>
      </c>
    </row>
    <row r="970">
      <c r="A970" s="3" t="n">
        <v>39863</v>
      </c>
      <c r="B970" t="n">
        <v>2053.56</v>
      </c>
      <c r="C970" t="n">
        <v>1139.3</v>
      </c>
      <c r="D970" t="n">
        <v>1069.79</v>
      </c>
      <c r="E970" t="n">
        <v>1576.83</v>
      </c>
      <c r="F970" t="n">
        <v>1729.11</v>
      </c>
    </row>
    <row r="971">
      <c r="A971" s="3" t="n">
        <v>39864</v>
      </c>
      <c r="B971" t="n">
        <v>2033.79</v>
      </c>
      <c r="C971" t="n">
        <v>1125.53</v>
      </c>
      <c r="D971" t="n">
        <v>1059.16</v>
      </c>
      <c r="E971" t="n">
        <v>1559.4</v>
      </c>
      <c r="F971" t="n">
        <v>1685.78</v>
      </c>
    </row>
    <row r="972">
      <c r="A972" s="3" t="n">
        <v>39868</v>
      </c>
      <c r="B972" t="n">
        <v>2018.23</v>
      </c>
      <c r="C972" t="n">
        <v>1117.52</v>
      </c>
      <c r="D972" t="n">
        <v>1036.14</v>
      </c>
      <c r="E972" t="n">
        <v>1552.45</v>
      </c>
      <c r="F972" t="n">
        <v>1660.61</v>
      </c>
    </row>
    <row r="973">
      <c r="A973" s="3" t="n">
        <v>39869</v>
      </c>
      <c r="B973" t="n">
        <v>2031.19</v>
      </c>
      <c r="C973" t="n">
        <v>1126.95</v>
      </c>
      <c r="D973" t="n">
        <v>1040.46</v>
      </c>
      <c r="E973" t="n">
        <v>1562.77</v>
      </c>
      <c r="F973" t="n">
        <v>1664.85</v>
      </c>
    </row>
    <row r="974">
      <c r="A974" s="3" t="n">
        <v>39870</v>
      </c>
      <c r="B974" t="n">
        <v>2032.77</v>
      </c>
      <c r="C974" t="n">
        <v>1132.15</v>
      </c>
      <c r="D974" t="n">
        <v>1024.6</v>
      </c>
      <c r="E974" t="n">
        <v>1572.53</v>
      </c>
      <c r="F974" t="n">
        <v>1663.63</v>
      </c>
    </row>
    <row r="975">
      <c r="A975" s="3" t="n">
        <v>39871</v>
      </c>
      <c r="B975" t="n">
        <v>2031.12</v>
      </c>
      <c r="C975" t="n">
        <v>1125.67</v>
      </c>
      <c r="D975" t="n">
        <v>1031.1</v>
      </c>
      <c r="E975" t="n">
        <v>1566.76</v>
      </c>
      <c r="F975" t="n">
        <v>1669.03</v>
      </c>
    </row>
    <row r="976">
      <c r="A976" s="3" t="n">
        <v>39874</v>
      </c>
      <c r="B976" t="n">
        <v>1987.74</v>
      </c>
      <c r="C976" t="n">
        <v>1101.68</v>
      </c>
      <c r="D976" t="n">
        <v>1008.94</v>
      </c>
      <c r="E976" t="n">
        <v>1537.02</v>
      </c>
      <c r="F976" t="n">
        <v>1629.03</v>
      </c>
    </row>
    <row r="977">
      <c r="A977" s="3" t="n">
        <v>39875</v>
      </c>
      <c r="B977" t="n">
        <v>1958.23</v>
      </c>
      <c r="C977" t="n">
        <v>1085.72</v>
      </c>
      <c r="D977" t="n">
        <v>998.08</v>
      </c>
      <c r="E977" t="n">
        <v>1516.76</v>
      </c>
      <c r="F977" t="n">
        <v>1595.75</v>
      </c>
    </row>
    <row r="978">
      <c r="A978" s="3" t="n">
        <v>39876</v>
      </c>
      <c r="B978" t="n">
        <v>1976.69</v>
      </c>
      <c r="C978" t="n">
        <v>1098</v>
      </c>
      <c r="D978" t="n">
        <v>995.88</v>
      </c>
      <c r="E978" t="n">
        <v>1530.72</v>
      </c>
      <c r="F978" t="n">
        <v>1607.71</v>
      </c>
    </row>
    <row r="979">
      <c r="A979" s="3" t="n">
        <v>39877</v>
      </c>
      <c r="B979" t="n">
        <v>1937.22</v>
      </c>
      <c r="C979" t="n">
        <v>1083.54</v>
      </c>
      <c r="D979" t="n">
        <v>976.87</v>
      </c>
      <c r="E979" t="n">
        <v>1506.85</v>
      </c>
      <c r="F979" t="n">
        <v>1562.69</v>
      </c>
    </row>
    <row r="980">
      <c r="A980" s="3" t="n">
        <v>39878</v>
      </c>
      <c r="B980" t="n">
        <v>1934.16</v>
      </c>
      <c r="C980" t="n">
        <v>1090.87</v>
      </c>
      <c r="D980" t="n">
        <v>970.08</v>
      </c>
      <c r="E980" t="n">
        <v>1515.13</v>
      </c>
      <c r="F980" t="n">
        <v>1568.48</v>
      </c>
    </row>
    <row r="981">
      <c r="A981" s="3" t="n">
        <v>39881</v>
      </c>
      <c r="B981" t="n">
        <v>1918.83</v>
      </c>
      <c r="C981" t="n">
        <v>1075.28</v>
      </c>
      <c r="D981" t="n">
        <v>939.8200000000001</v>
      </c>
      <c r="E981" t="n">
        <v>1494.1</v>
      </c>
      <c r="F981" t="n">
        <v>1537.91</v>
      </c>
    </row>
    <row r="982">
      <c r="A982" s="3" t="n">
        <v>39884</v>
      </c>
      <c r="B982" t="n">
        <v>1947.6</v>
      </c>
      <c r="C982" t="n">
        <v>1094.21</v>
      </c>
      <c r="D982" t="n">
        <v>946.4299999999999</v>
      </c>
      <c r="E982" t="n">
        <v>1512.89</v>
      </c>
      <c r="F982" t="n">
        <v>1560.97</v>
      </c>
    </row>
    <row r="983">
      <c r="A983" s="3" t="n">
        <v>39885</v>
      </c>
      <c r="B983" t="n">
        <v>1989.22</v>
      </c>
      <c r="C983" t="n">
        <v>1120.25</v>
      </c>
      <c r="D983" t="n">
        <v>963.46</v>
      </c>
      <c r="E983" t="n">
        <v>1543.73</v>
      </c>
      <c r="F983" t="n">
        <v>1614.86</v>
      </c>
    </row>
    <row r="984">
      <c r="A984" s="3" t="n">
        <v>39888</v>
      </c>
      <c r="B984" t="n">
        <v>2043.12</v>
      </c>
      <c r="C984" t="n">
        <v>1135.34</v>
      </c>
      <c r="D984" t="n">
        <v>987.5</v>
      </c>
      <c r="E984" t="n">
        <v>1561.96</v>
      </c>
      <c r="F984" t="n">
        <v>1659.59</v>
      </c>
    </row>
    <row r="985">
      <c r="A985" s="3" t="n">
        <v>39889</v>
      </c>
      <c r="B985" t="n">
        <v>2054.57</v>
      </c>
      <c r="C985" t="n">
        <v>1128.03</v>
      </c>
      <c r="D985" t="n">
        <v>979.6799999999999</v>
      </c>
      <c r="E985" t="n">
        <v>1553.59</v>
      </c>
      <c r="F985" t="n">
        <v>1649.59</v>
      </c>
    </row>
    <row r="986">
      <c r="A986" s="3" t="n">
        <v>39890</v>
      </c>
      <c r="B986" t="n">
        <v>2107.81</v>
      </c>
      <c r="C986" t="n">
        <v>1134.13</v>
      </c>
      <c r="D986" t="n">
        <v>980.8099999999999</v>
      </c>
      <c r="E986" t="n">
        <v>1564.21</v>
      </c>
      <c r="F986" t="n">
        <v>1668.21</v>
      </c>
    </row>
    <row r="987">
      <c r="A987" s="3" t="n">
        <v>39891</v>
      </c>
      <c r="B987" t="n">
        <v>2120.51</v>
      </c>
      <c r="C987" t="n">
        <v>1140.81</v>
      </c>
      <c r="D987" t="n">
        <v>982.8</v>
      </c>
      <c r="E987" t="n">
        <v>1570.74</v>
      </c>
      <c r="F987" t="n">
        <v>1679.08</v>
      </c>
    </row>
    <row r="988">
      <c r="A988" s="3" t="n">
        <v>39892</v>
      </c>
      <c r="B988" t="n">
        <v>2083.42</v>
      </c>
      <c r="C988" t="n">
        <v>1148.12</v>
      </c>
      <c r="D988" t="n">
        <v>975.85</v>
      </c>
      <c r="E988" t="n">
        <v>1573.09</v>
      </c>
      <c r="F988" t="n">
        <v>1662.54</v>
      </c>
    </row>
    <row r="989">
      <c r="A989" s="3" t="n">
        <v>39895</v>
      </c>
      <c r="B989" t="n">
        <v>2152.13</v>
      </c>
      <c r="C989" t="n">
        <v>1175.88</v>
      </c>
      <c r="D989" t="n">
        <v>1007</v>
      </c>
      <c r="E989" t="n">
        <v>1614.78</v>
      </c>
      <c r="F989" t="n">
        <v>1736.4</v>
      </c>
    </row>
    <row r="990">
      <c r="A990" s="3" t="n">
        <v>39896</v>
      </c>
      <c r="B990" t="n">
        <v>2147.93</v>
      </c>
      <c r="C990" t="n">
        <v>1171.91</v>
      </c>
      <c r="D990" t="n">
        <v>1010.98</v>
      </c>
      <c r="E990" t="n">
        <v>1620.27</v>
      </c>
      <c r="F990" t="n">
        <v>1734.68</v>
      </c>
    </row>
    <row r="991">
      <c r="A991" s="3" t="n">
        <v>39897</v>
      </c>
      <c r="B991" t="n">
        <v>2162.23</v>
      </c>
      <c r="C991" t="n">
        <v>1176.67</v>
      </c>
      <c r="D991" t="n">
        <v>1017.81</v>
      </c>
      <c r="E991" t="n">
        <v>1624.02</v>
      </c>
      <c r="F991" t="n">
        <v>1752.46</v>
      </c>
    </row>
    <row r="992">
      <c r="A992" s="3" t="n">
        <v>39898</v>
      </c>
      <c r="B992" t="n">
        <v>2133.8</v>
      </c>
      <c r="C992" t="n">
        <v>1204.86</v>
      </c>
      <c r="D992" t="n">
        <v>1035.59</v>
      </c>
      <c r="E992" t="n">
        <v>1663.75</v>
      </c>
      <c r="F992" t="n">
        <v>1790.45</v>
      </c>
    </row>
    <row r="993">
      <c r="A993" s="3" t="n">
        <v>39899</v>
      </c>
      <c r="B993" t="n">
        <v>2163.15</v>
      </c>
      <c r="C993" t="n">
        <v>1227.07</v>
      </c>
      <c r="D993" t="n">
        <v>1071.88</v>
      </c>
      <c r="E993" t="n">
        <v>1685.53</v>
      </c>
      <c r="F993" t="n">
        <v>1825.7</v>
      </c>
    </row>
    <row r="994">
      <c r="A994" s="3" t="n">
        <v>39902</v>
      </c>
      <c r="B994" t="n">
        <v>2138.37</v>
      </c>
      <c r="C994" t="n">
        <v>1200.98</v>
      </c>
      <c r="D994" t="n">
        <v>1031.68</v>
      </c>
      <c r="E994" t="n">
        <v>1674.57</v>
      </c>
      <c r="F994" t="n">
        <v>1763.42</v>
      </c>
    </row>
    <row r="995">
      <c r="A995" s="3" t="n">
        <v>39903</v>
      </c>
      <c r="B995" t="n">
        <v>2173.87</v>
      </c>
      <c r="C995" t="n">
        <v>1222.96</v>
      </c>
      <c r="D995" t="n">
        <v>1053.71</v>
      </c>
      <c r="E995" t="n">
        <v>1708.91</v>
      </c>
      <c r="F995" t="n">
        <v>1793.01</v>
      </c>
    </row>
    <row r="996">
      <c r="A996" s="3" t="n">
        <v>39904</v>
      </c>
      <c r="B996" t="n">
        <v>2158.66</v>
      </c>
      <c r="C996" t="n">
        <v>1229.19</v>
      </c>
      <c r="D996" t="n">
        <v>1074.05</v>
      </c>
      <c r="E996" t="n">
        <v>1698.13</v>
      </c>
      <c r="F996" t="n">
        <v>1798.86</v>
      </c>
    </row>
    <row r="997">
      <c r="A997" s="3" t="n">
        <v>39905</v>
      </c>
      <c r="B997" t="n">
        <v>2198.3</v>
      </c>
      <c r="C997" t="n">
        <v>1268.17</v>
      </c>
      <c r="D997" t="n">
        <v>1125.33</v>
      </c>
      <c r="E997" t="n">
        <v>1724.02</v>
      </c>
      <c r="F997" t="n">
        <v>1846.54</v>
      </c>
    </row>
    <row r="998">
      <c r="A998" s="3" t="n">
        <v>39909</v>
      </c>
      <c r="B998" t="n">
        <v>2198.4</v>
      </c>
      <c r="C998" t="n">
        <v>1274.4</v>
      </c>
      <c r="D998" t="n">
        <v>1164.93</v>
      </c>
      <c r="E998" t="n">
        <v>1726.94</v>
      </c>
      <c r="F998" t="n">
        <v>1859.07</v>
      </c>
    </row>
    <row r="999">
      <c r="A999" s="3" t="n">
        <v>39911</v>
      </c>
      <c r="B999" t="n">
        <v>2261.32</v>
      </c>
      <c r="C999" t="n">
        <v>1315.16</v>
      </c>
      <c r="D999" t="n">
        <v>1194.98</v>
      </c>
      <c r="E999" t="n">
        <v>1757.54</v>
      </c>
      <c r="F999" t="n">
        <v>1884</v>
      </c>
    </row>
    <row r="1000">
      <c r="A1000" s="3" t="n">
        <v>39912</v>
      </c>
      <c r="B1000" t="n">
        <v>2248.29</v>
      </c>
      <c r="C1000" t="n">
        <v>1316.21</v>
      </c>
      <c r="D1000" t="n">
        <v>1235.39</v>
      </c>
      <c r="E1000" t="n">
        <v>1763.16</v>
      </c>
      <c r="F1000" t="n">
        <v>1901.09</v>
      </c>
    </row>
    <row r="1001">
      <c r="A1001" s="3" t="n">
        <v>39916</v>
      </c>
      <c r="B1001" t="n">
        <v>2256.13</v>
      </c>
      <c r="C1001" t="n">
        <v>1332.09</v>
      </c>
      <c r="D1001" t="n">
        <v>1282.4</v>
      </c>
      <c r="E1001" t="n">
        <v>1785.47</v>
      </c>
      <c r="F1001" t="n">
        <v>1919.17</v>
      </c>
    </row>
    <row r="1002">
      <c r="A1002" s="3" t="n">
        <v>39918</v>
      </c>
      <c r="B1002" t="n">
        <v>2311.38</v>
      </c>
      <c r="C1002" t="n">
        <v>1370.93</v>
      </c>
      <c r="D1002" t="n">
        <v>1342.21</v>
      </c>
      <c r="E1002" t="n">
        <v>1818.76</v>
      </c>
      <c r="F1002" t="n">
        <v>1969.69</v>
      </c>
    </row>
    <row r="1003">
      <c r="A1003" s="3" t="n">
        <v>39919</v>
      </c>
      <c r="B1003" t="n">
        <v>2274.13</v>
      </c>
      <c r="C1003" t="n">
        <v>1342.66</v>
      </c>
      <c r="D1003" t="n">
        <v>1274.19</v>
      </c>
      <c r="E1003" t="n">
        <v>1814.01</v>
      </c>
      <c r="F1003" t="n">
        <v>1912.43</v>
      </c>
    </row>
    <row r="1004">
      <c r="A1004" s="3" t="n">
        <v>39920</v>
      </c>
      <c r="B1004" t="n">
        <v>2285.42</v>
      </c>
      <c r="C1004" t="n">
        <v>1353.06</v>
      </c>
      <c r="D1004" t="n">
        <v>1283.38</v>
      </c>
      <c r="E1004" t="n">
        <v>1822.99</v>
      </c>
      <c r="F1004" t="n">
        <v>1929.32</v>
      </c>
    </row>
    <row r="1005">
      <c r="A1005" s="3" t="n">
        <v>39923</v>
      </c>
      <c r="B1005" t="n">
        <v>2308.31</v>
      </c>
      <c r="C1005" t="n">
        <v>1369.21</v>
      </c>
      <c r="D1005" t="n">
        <v>1292.78</v>
      </c>
      <c r="E1005" t="n">
        <v>1828.66</v>
      </c>
      <c r="F1005" t="n">
        <v>1948.59</v>
      </c>
    </row>
    <row r="1006">
      <c r="A1006" s="3" t="n">
        <v>39924</v>
      </c>
      <c r="B1006" t="n">
        <v>2296.75</v>
      </c>
      <c r="C1006" t="n">
        <v>1364.13</v>
      </c>
      <c r="D1006" t="n">
        <v>1284.05</v>
      </c>
      <c r="E1006" t="n">
        <v>1834.93</v>
      </c>
      <c r="F1006" t="n">
        <v>1935.2</v>
      </c>
    </row>
    <row r="1007">
      <c r="A1007" s="3" t="n">
        <v>39925</v>
      </c>
      <c r="B1007" t="n">
        <v>2266.24</v>
      </c>
      <c r="C1007" t="n">
        <v>1348.81</v>
      </c>
      <c r="D1007" t="n">
        <v>1252.29</v>
      </c>
      <c r="E1007" t="n">
        <v>1822.37</v>
      </c>
      <c r="F1007" t="n">
        <v>1918.79</v>
      </c>
    </row>
    <row r="1008">
      <c r="A1008" s="3" t="n">
        <v>39926</v>
      </c>
      <c r="B1008" t="n">
        <v>2295.85</v>
      </c>
      <c r="C1008" t="n">
        <v>1382.44</v>
      </c>
      <c r="D1008" t="n">
        <v>1282.18</v>
      </c>
      <c r="E1008" t="n">
        <v>1836.21</v>
      </c>
      <c r="F1008" t="n">
        <v>1959.98</v>
      </c>
    </row>
    <row r="1009">
      <c r="A1009" s="3" t="n">
        <v>39927</v>
      </c>
      <c r="B1009" t="n">
        <v>2315.28</v>
      </c>
      <c r="C1009" t="n">
        <v>1393.54</v>
      </c>
      <c r="D1009" t="n">
        <v>1306.43</v>
      </c>
      <c r="E1009" t="n">
        <v>1854.23</v>
      </c>
      <c r="F1009" t="n">
        <v>1993.97</v>
      </c>
    </row>
    <row r="1010">
      <c r="A1010" s="3" t="n">
        <v>39930</v>
      </c>
      <c r="B1010" t="n">
        <v>2300.94</v>
      </c>
      <c r="C1010" t="n">
        <v>1391.4</v>
      </c>
      <c r="D1010" t="n">
        <v>1287.83</v>
      </c>
      <c r="E1010" t="n">
        <v>1855.89</v>
      </c>
      <c r="F1010" t="n">
        <v>1975.89</v>
      </c>
    </row>
    <row r="1011">
      <c r="A1011" s="3" t="n">
        <v>39931</v>
      </c>
      <c r="B1011" t="n">
        <v>2253.22</v>
      </c>
      <c r="C1011" t="n">
        <v>1358.43</v>
      </c>
      <c r="D1011" t="n">
        <v>1233.36</v>
      </c>
      <c r="E1011" t="n">
        <v>1832.09</v>
      </c>
      <c r="F1011" t="n">
        <v>1898.35</v>
      </c>
    </row>
    <row r="1012">
      <c r="A1012" s="3" t="n">
        <v>39932</v>
      </c>
      <c r="B1012" t="n">
        <v>2296.32</v>
      </c>
      <c r="C1012" t="n">
        <v>1389.58</v>
      </c>
      <c r="D1012" t="n">
        <v>1251.56</v>
      </c>
      <c r="E1012" t="n">
        <v>1864.26</v>
      </c>
      <c r="F1012" t="n">
        <v>1949.76</v>
      </c>
    </row>
    <row r="1013">
      <c r="A1013" s="3" t="n">
        <v>39937</v>
      </c>
      <c r="B1013" t="n">
        <v>2353.98</v>
      </c>
      <c r="C1013" t="n">
        <v>1456.25</v>
      </c>
      <c r="D1013" t="n">
        <v>1314.07</v>
      </c>
      <c r="E1013" t="n">
        <v>1899.72</v>
      </c>
      <c r="F1013" t="n">
        <v>2010.87</v>
      </c>
    </row>
    <row r="1014">
      <c r="A1014" s="3" t="n">
        <v>39938</v>
      </c>
      <c r="B1014" t="n">
        <v>2350.73</v>
      </c>
      <c r="C1014" t="n">
        <v>1451.05</v>
      </c>
      <c r="D1014" t="n">
        <v>1341.79</v>
      </c>
      <c r="E1014" t="n">
        <v>1898.32</v>
      </c>
      <c r="F1014" t="n">
        <v>2041.79</v>
      </c>
    </row>
    <row r="1015">
      <c r="A1015" s="3" t="n">
        <v>39939</v>
      </c>
      <c r="B1015" t="n">
        <v>2325.59</v>
      </c>
      <c r="C1015" t="n">
        <v>1442.57</v>
      </c>
      <c r="D1015" t="n">
        <v>1319.26</v>
      </c>
      <c r="E1015" t="n">
        <v>1889.1</v>
      </c>
      <c r="F1015" t="n">
        <v>2009.84</v>
      </c>
    </row>
    <row r="1016">
      <c r="A1016" s="3" t="n">
        <v>39940</v>
      </c>
      <c r="B1016" t="n">
        <v>2343.43</v>
      </c>
      <c r="C1016" t="n">
        <v>1462.74</v>
      </c>
      <c r="D1016" t="n">
        <v>1368.86</v>
      </c>
      <c r="E1016" t="n">
        <v>1906.55</v>
      </c>
      <c r="F1016" t="n">
        <v>2040.61</v>
      </c>
    </row>
    <row r="1017">
      <c r="A1017" s="3" t="n">
        <v>39941</v>
      </c>
      <c r="B1017" t="n">
        <v>2333.86</v>
      </c>
      <c r="C1017" t="n">
        <v>1447.14</v>
      </c>
      <c r="D1017" t="n">
        <v>1362.9</v>
      </c>
      <c r="E1017" t="n">
        <v>1905.32</v>
      </c>
      <c r="F1017" t="n">
        <v>2025.03</v>
      </c>
    </row>
    <row r="1018">
      <c r="A1018" s="3" t="n">
        <v>39944</v>
      </c>
      <c r="B1018" t="n">
        <v>2298.64</v>
      </c>
      <c r="C1018" t="n">
        <v>1428.86</v>
      </c>
      <c r="D1018" t="n">
        <v>1338.48</v>
      </c>
      <c r="E1018" t="n">
        <v>1888.55</v>
      </c>
      <c r="F1018" t="n">
        <v>2003.96</v>
      </c>
    </row>
    <row r="1019">
      <c r="A1019" s="3" t="n">
        <v>39945</v>
      </c>
      <c r="B1019" t="n">
        <v>2334.2</v>
      </c>
      <c r="C1019" t="n">
        <v>1448.01</v>
      </c>
      <c r="D1019" t="n">
        <v>1363.89</v>
      </c>
      <c r="E1019" t="n">
        <v>1899.33</v>
      </c>
      <c r="F1019" t="n">
        <v>2048.92</v>
      </c>
    </row>
    <row r="1020">
      <c r="A1020" s="3" t="n">
        <v>39946</v>
      </c>
      <c r="B1020" t="n">
        <v>2318.67</v>
      </c>
      <c r="C1020" t="n">
        <v>1438.07</v>
      </c>
      <c r="D1020" t="n">
        <v>1362.96</v>
      </c>
      <c r="E1020" t="n">
        <v>1902.8</v>
      </c>
      <c r="F1020" t="n">
        <v>2037.03</v>
      </c>
    </row>
    <row r="1021">
      <c r="A1021" s="3" t="n">
        <v>39947</v>
      </c>
      <c r="B1021" t="n">
        <v>2325.97</v>
      </c>
      <c r="C1021" t="n">
        <v>1439.98</v>
      </c>
      <c r="D1021" t="n">
        <v>1375.13</v>
      </c>
      <c r="E1021" t="n">
        <v>1908.5</v>
      </c>
      <c r="F1021" t="n">
        <v>2033.7</v>
      </c>
    </row>
    <row r="1022">
      <c r="A1022" s="3" t="n">
        <v>39948</v>
      </c>
      <c r="B1022" t="n">
        <v>2348.89</v>
      </c>
      <c r="C1022" t="n">
        <v>1476.4</v>
      </c>
      <c r="D1022" t="n">
        <v>1391.99</v>
      </c>
      <c r="E1022" t="n">
        <v>1924.95</v>
      </c>
      <c r="F1022" t="n">
        <v>2060.85</v>
      </c>
    </row>
    <row r="1023">
      <c r="A1023" s="3" t="n">
        <v>39951</v>
      </c>
      <c r="B1023" t="n">
        <v>2657.25</v>
      </c>
      <c r="C1023" t="n">
        <v>1666.91</v>
      </c>
      <c r="D1023" t="n">
        <v>1597.69</v>
      </c>
      <c r="E1023" t="n">
        <v>2106.31</v>
      </c>
      <c r="F1023" t="n">
        <v>2348.3</v>
      </c>
    </row>
    <row r="1024">
      <c r="A1024" s="3" t="n">
        <v>39952</v>
      </c>
      <c r="B1024" t="n">
        <v>2632.34</v>
      </c>
      <c r="C1024" t="n">
        <v>1643.61</v>
      </c>
      <c r="D1024" t="n">
        <v>1622.7</v>
      </c>
      <c r="E1024" t="n">
        <v>2037.13</v>
      </c>
      <c r="F1024" t="n">
        <v>2368.52</v>
      </c>
    </row>
    <row r="1025">
      <c r="A1025" s="3" t="n">
        <v>39953</v>
      </c>
      <c r="B1025" t="n">
        <v>2696.37</v>
      </c>
      <c r="C1025" t="n">
        <v>1692.85</v>
      </c>
      <c r="D1025" t="n">
        <v>1746.75</v>
      </c>
      <c r="E1025" t="n">
        <v>2072.19</v>
      </c>
      <c r="F1025" t="n">
        <v>2411.02</v>
      </c>
    </row>
    <row r="1026">
      <c r="A1026" s="3" t="n">
        <v>39954</v>
      </c>
      <c r="B1026" t="n">
        <v>2669.72</v>
      </c>
      <c r="C1026" t="n">
        <v>1674.63</v>
      </c>
      <c r="D1026" t="n">
        <v>1759.11</v>
      </c>
      <c r="E1026" t="n">
        <v>2090.66</v>
      </c>
      <c r="F1026" t="n">
        <v>2395.29</v>
      </c>
    </row>
    <row r="1027">
      <c r="A1027" s="3" t="n">
        <v>39955</v>
      </c>
      <c r="B1027" t="n">
        <v>2681.07</v>
      </c>
      <c r="C1027" t="n">
        <v>1681.1</v>
      </c>
      <c r="D1027" t="n">
        <v>1786.11</v>
      </c>
      <c r="E1027" t="n">
        <v>2096.08</v>
      </c>
      <c r="F1027" t="n">
        <v>2420.16</v>
      </c>
    </row>
    <row r="1028">
      <c r="A1028" s="3" t="n">
        <v>39958</v>
      </c>
      <c r="B1028" t="n">
        <v>2711.07</v>
      </c>
      <c r="C1028" t="n">
        <v>1696.63</v>
      </c>
      <c r="D1028" t="n">
        <v>1845.41</v>
      </c>
      <c r="E1028" t="n">
        <v>2133.23</v>
      </c>
      <c r="F1028" t="n">
        <v>2465.49</v>
      </c>
    </row>
    <row r="1029">
      <c r="A1029" s="3" t="n">
        <v>39959</v>
      </c>
      <c r="B1029" t="n">
        <v>2619.88</v>
      </c>
      <c r="C1029" t="n">
        <v>1658.94</v>
      </c>
      <c r="D1029" t="n">
        <v>1788.82</v>
      </c>
      <c r="E1029" t="n">
        <v>2116.21</v>
      </c>
      <c r="F1029" t="n">
        <v>2393.57</v>
      </c>
    </row>
    <row r="1030">
      <c r="A1030" s="3" t="n">
        <v>39960</v>
      </c>
      <c r="B1030" t="n">
        <v>2664.85</v>
      </c>
      <c r="C1030" t="n">
        <v>1708.28</v>
      </c>
      <c r="D1030" t="n">
        <v>1859.39</v>
      </c>
      <c r="E1030" t="n">
        <v>2159.71</v>
      </c>
      <c r="F1030" t="n">
        <v>2461.46</v>
      </c>
    </row>
    <row r="1031">
      <c r="A1031" s="3" t="n">
        <v>39961</v>
      </c>
      <c r="B1031" t="n">
        <v>2667.23</v>
      </c>
      <c r="C1031" t="n">
        <v>1710.63</v>
      </c>
      <c r="D1031" t="n">
        <v>1884.17</v>
      </c>
      <c r="E1031" t="n">
        <v>2156.32</v>
      </c>
      <c r="F1031" t="n">
        <v>2470.92</v>
      </c>
    </row>
    <row r="1032">
      <c r="A1032" s="3" t="n">
        <v>39962</v>
      </c>
      <c r="B1032" t="n">
        <v>2707.99</v>
      </c>
      <c r="C1032" t="n">
        <v>1743.19</v>
      </c>
      <c r="D1032" t="n">
        <v>1952.9</v>
      </c>
      <c r="E1032" t="n">
        <v>2174.28</v>
      </c>
      <c r="F1032" t="n">
        <v>2507.13</v>
      </c>
    </row>
    <row r="1033">
      <c r="A1033" s="3" t="n">
        <v>39965</v>
      </c>
      <c r="B1033" t="n">
        <v>2786.31</v>
      </c>
      <c r="C1033" t="n">
        <v>1791</v>
      </c>
      <c r="D1033" t="n">
        <v>2014.84</v>
      </c>
      <c r="E1033" t="n">
        <v>2214.17</v>
      </c>
      <c r="F1033" t="n">
        <v>2568.37</v>
      </c>
    </row>
    <row r="1034">
      <c r="A1034" s="3" t="n">
        <v>39966</v>
      </c>
      <c r="B1034" t="n">
        <v>2775.55</v>
      </c>
      <c r="C1034" t="n">
        <v>1803.85</v>
      </c>
      <c r="D1034" t="n">
        <v>2027.2</v>
      </c>
      <c r="E1034" t="n">
        <v>2221.14</v>
      </c>
      <c r="F1034" t="n">
        <v>2575.92</v>
      </c>
    </row>
    <row r="1035">
      <c r="A1035" s="3" t="n">
        <v>39967</v>
      </c>
      <c r="B1035" t="n">
        <v>2814.53</v>
      </c>
      <c r="C1035" t="n">
        <v>1825.72</v>
      </c>
      <c r="D1035" t="n">
        <v>2064.72</v>
      </c>
      <c r="E1035" t="n">
        <v>2253.75</v>
      </c>
      <c r="F1035" t="n">
        <v>2579.71</v>
      </c>
    </row>
    <row r="1036">
      <c r="A1036" s="3" t="n">
        <v>39968</v>
      </c>
      <c r="B1036" t="n">
        <v>2876.03</v>
      </c>
      <c r="C1036" t="n">
        <v>1844.21</v>
      </c>
      <c r="D1036" t="n">
        <v>2080.87</v>
      </c>
      <c r="E1036" t="n">
        <v>2283.82</v>
      </c>
      <c r="F1036" t="n">
        <v>2622.41</v>
      </c>
    </row>
    <row r="1037">
      <c r="A1037" s="3" t="n">
        <v>39969</v>
      </c>
      <c r="B1037" t="n">
        <v>2886.41</v>
      </c>
      <c r="C1037" t="n">
        <v>1859.39</v>
      </c>
      <c r="D1037" t="n">
        <v>2075.85</v>
      </c>
      <c r="E1037" t="n">
        <v>2292.44</v>
      </c>
      <c r="F1037" t="n">
        <v>2626.72</v>
      </c>
    </row>
    <row r="1038">
      <c r="A1038" s="3" t="n">
        <v>39972</v>
      </c>
      <c r="B1038" t="n">
        <v>2775.58</v>
      </c>
      <c r="C1038" t="n">
        <v>1803.98</v>
      </c>
      <c r="D1038" t="n">
        <v>1927.73</v>
      </c>
      <c r="E1038" t="n">
        <v>2237.67</v>
      </c>
      <c r="F1038" t="n">
        <v>2515.28</v>
      </c>
    </row>
    <row r="1039">
      <c r="A1039" s="3" t="n">
        <v>39973</v>
      </c>
      <c r="B1039" t="n">
        <v>2824.72</v>
      </c>
      <c r="C1039" t="n">
        <v>1869.41</v>
      </c>
      <c r="D1039" t="n">
        <v>1973.45</v>
      </c>
      <c r="E1039" t="n">
        <v>2279.01</v>
      </c>
      <c r="F1039" t="n">
        <v>2592.92</v>
      </c>
    </row>
    <row r="1040">
      <c r="A1040" s="3" t="n">
        <v>39974</v>
      </c>
      <c r="B1040" t="n">
        <v>2866.07</v>
      </c>
      <c r="C1040" t="n">
        <v>1909.52</v>
      </c>
      <c r="D1040" t="n">
        <v>1987.22</v>
      </c>
      <c r="E1040" t="n">
        <v>2308.45</v>
      </c>
      <c r="F1040" t="n">
        <v>2666.73</v>
      </c>
    </row>
    <row r="1041">
      <c r="A1041" s="3" t="n">
        <v>39975</v>
      </c>
      <c r="B1041" t="n">
        <v>2866.9</v>
      </c>
      <c r="C1041" t="n">
        <v>1894.09</v>
      </c>
      <c r="D1041" t="n">
        <v>1998.89</v>
      </c>
      <c r="E1041" t="n">
        <v>2293.9</v>
      </c>
      <c r="F1041" t="n">
        <v>2676.82</v>
      </c>
    </row>
    <row r="1042">
      <c r="A1042" s="3" t="n">
        <v>39976</v>
      </c>
      <c r="B1042" t="n">
        <v>2829.81</v>
      </c>
      <c r="C1042" t="n">
        <v>1876.32</v>
      </c>
      <c r="D1042" t="n">
        <v>1965.11</v>
      </c>
      <c r="E1042" t="n">
        <v>2275.93</v>
      </c>
      <c r="F1042" t="n">
        <v>2621.09</v>
      </c>
    </row>
    <row r="1043">
      <c r="A1043" s="3" t="n">
        <v>39979</v>
      </c>
      <c r="B1043" t="n">
        <v>2790.42</v>
      </c>
      <c r="C1043" t="n">
        <v>1856.47</v>
      </c>
      <c r="D1043" t="n">
        <v>1926.38</v>
      </c>
      <c r="E1043" t="n">
        <v>2264.78</v>
      </c>
      <c r="F1043" t="n">
        <v>2607.76</v>
      </c>
    </row>
    <row r="1044">
      <c r="A1044" s="3" t="n">
        <v>39980</v>
      </c>
      <c r="B1044" t="n">
        <v>2836.09</v>
      </c>
      <c r="C1044" t="n">
        <v>1871.92</v>
      </c>
      <c r="D1044" t="n">
        <v>1977.23</v>
      </c>
      <c r="E1044" t="n">
        <v>2270.83</v>
      </c>
      <c r="F1044" t="n">
        <v>2653.37</v>
      </c>
    </row>
    <row r="1045">
      <c r="A1045" s="3" t="n">
        <v>39981</v>
      </c>
      <c r="B1045" t="n">
        <v>2752.11</v>
      </c>
      <c r="C1045" t="n">
        <v>1802.98</v>
      </c>
      <c r="D1045" t="n">
        <v>1878.77</v>
      </c>
      <c r="E1045" t="n">
        <v>2230.69</v>
      </c>
      <c r="F1045" t="n">
        <v>2557.81</v>
      </c>
    </row>
    <row r="1046">
      <c r="A1046" s="3" t="n">
        <v>39982</v>
      </c>
      <c r="B1046" t="n">
        <v>2693.28</v>
      </c>
      <c r="C1046" t="n">
        <v>1754.63</v>
      </c>
      <c r="D1046" t="n">
        <v>1799.6</v>
      </c>
      <c r="E1046" t="n">
        <v>2199.78</v>
      </c>
      <c r="F1046" t="n">
        <v>2509.87</v>
      </c>
    </row>
    <row r="1047">
      <c r="A1047" s="3" t="n">
        <v>39983</v>
      </c>
      <c r="B1047" t="n">
        <v>2718.28</v>
      </c>
      <c r="C1047" t="n">
        <v>1785.32</v>
      </c>
      <c r="D1047" t="n">
        <v>1841.71</v>
      </c>
      <c r="E1047" t="n">
        <v>2227.47</v>
      </c>
      <c r="F1047" t="n">
        <v>2560.42</v>
      </c>
    </row>
    <row r="1048">
      <c r="A1048" s="3" t="n">
        <v>39986</v>
      </c>
      <c r="B1048" t="n">
        <v>2691.12</v>
      </c>
      <c r="C1048" t="n">
        <v>1766.05</v>
      </c>
      <c r="D1048" t="n">
        <v>1823.98</v>
      </c>
      <c r="E1048" t="n">
        <v>2211.86</v>
      </c>
      <c r="F1048" t="n">
        <v>2537.77</v>
      </c>
    </row>
    <row r="1049">
      <c r="A1049" s="3" t="n">
        <v>39987</v>
      </c>
      <c r="B1049" t="n">
        <v>2686.48</v>
      </c>
      <c r="C1049" t="n">
        <v>1762.86</v>
      </c>
      <c r="D1049" t="n">
        <v>1819.16</v>
      </c>
      <c r="E1049" t="n">
        <v>2211.25</v>
      </c>
      <c r="F1049" t="n">
        <v>2542.84</v>
      </c>
    </row>
    <row r="1050">
      <c r="A1050" s="3" t="n">
        <v>39988</v>
      </c>
      <c r="B1050" t="n">
        <v>2734.96</v>
      </c>
      <c r="C1050" t="n">
        <v>1800.61</v>
      </c>
      <c r="D1050" t="n">
        <v>1858.38</v>
      </c>
      <c r="E1050" t="n">
        <v>2246.6</v>
      </c>
      <c r="F1050" t="n">
        <v>2603.56</v>
      </c>
    </row>
    <row r="1051">
      <c r="A1051" s="3" t="n">
        <v>39989</v>
      </c>
      <c r="B1051" t="n">
        <v>2704.58</v>
      </c>
      <c r="C1051" t="n">
        <v>1784.47</v>
      </c>
      <c r="D1051" t="n">
        <v>1836.95</v>
      </c>
      <c r="E1051" t="n">
        <v>2235.13</v>
      </c>
      <c r="F1051" t="n">
        <v>2589.61</v>
      </c>
    </row>
    <row r="1052">
      <c r="A1052" s="3" t="n">
        <v>39990</v>
      </c>
      <c r="B1052" t="n">
        <v>2737.54</v>
      </c>
      <c r="C1052" t="n">
        <v>1818.62</v>
      </c>
      <c r="D1052" t="n">
        <v>1877.34</v>
      </c>
      <c r="E1052" t="n">
        <v>2253.25</v>
      </c>
      <c r="F1052" t="n">
        <v>2642.36</v>
      </c>
    </row>
    <row r="1053">
      <c r="A1053" s="3" t="n">
        <v>39993</v>
      </c>
      <c r="B1053" t="n">
        <v>2771.11</v>
      </c>
      <c r="C1053" t="n">
        <v>1816.76</v>
      </c>
      <c r="D1053" t="n">
        <v>1904.06</v>
      </c>
      <c r="E1053" t="n">
        <v>2248.83</v>
      </c>
      <c r="F1053" t="n">
        <v>2671.26</v>
      </c>
    </row>
    <row r="1054">
      <c r="A1054" s="3" t="n">
        <v>39994</v>
      </c>
      <c r="B1054" t="n">
        <v>2713.4</v>
      </c>
      <c r="C1054" t="n">
        <v>1785.31</v>
      </c>
      <c r="D1054" t="n">
        <v>1847.03</v>
      </c>
      <c r="E1054" t="n">
        <v>2234.28</v>
      </c>
      <c r="F1054" t="n">
        <v>2624.67</v>
      </c>
    </row>
    <row r="1055">
      <c r="A1055" s="3" t="n">
        <v>39995</v>
      </c>
      <c r="B1055" t="n">
        <v>2748.57</v>
      </c>
      <c r="C1055" t="n">
        <v>1798.48</v>
      </c>
      <c r="D1055" t="n">
        <v>1863.97</v>
      </c>
      <c r="E1055" t="n">
        <v>2241.8</v>
      </c>
      <c r="F1055" t="n">
        <v>2670.77</v>
      </c>
    </row>
    <row r="1056">
      <c r="A1056" s="3" t="n">
        <v>39996</v>
      </c>
      <c r="B1056" t="n">
        <v>2753.79</v>
      </c>
      <c r="C1056" t="n">
        <v>1818.42</v>
      </c>
      <c r="D1056" t="n">
        <v>1885.81</v>
      </c>
      <c r="E1056" t="n">
        <v>2258.91</v>
      </c>
      <c r="F1056" t="n">
        <v>2671.78</v>
      </c>
    </row>
    <row r="1057">
      <c r="A1057" s="3" t="n">
        <v>39997</v>
      </c>
      <c r="B1057" t="n">
        <v>2773.15</v>
      </c>
      <c r="C1057" t="n">
        <v>1831.85</v>
      </c>
      <c r="D1057" t="n">
        <v>1900.19</v>
      </c>
      <c r="E1057" t="n">
        <v>2278.26</v>
      </c>
      <c r="F1057" t="n">
        <v>2715.65</v>
      </c>
    </row>
    <row r="1058">
      <c r="A1058" s="3" t="n">
        <v>40000</v>
      </c>
      <c r="B1058" t="n">
        <v>2660.83</v>
      </c>
      <c r="C1058" t="n">
        <v>1772.64</v>
      </c>
      <c r="D1058" t="n">
        <v>1788.11</v>
      </c>
      <c r="E1058" t="n">
        <v>2224.2</v>
      </c>
      <c r="F1058" t="n">
        <v>2531.12</v>
      </c>
    </row>
    <row r="1059">
      <c r="A1059" s="3" t="n">
        <v>40001</v>
      </c>
      <c r="B1059" t="n">
        <v>2700.29</v>
      </c>
      <c r="C1059" t="n">
        <v>1803.89</v>
      </c>
      <c r="D1059" t="n">
        <v>1787.12</v>
      </c>
      <c r="E1059" t="n">
        <v>2252.38</v>
      </c>
      <c r="F1059" t="n">
        <v>2559.51</v>
      </c>
    </row>
    <row r="1060">
      <c r="A1060" s="3" t="n">
        <v>40002</v>
      </c>
      <c r="B1060" t="n">
        <v>2674.6</v>
      </c>
      <c r="C1060" t="n">
        <v>1778.11</v>
      </c>
      <c r="D1060" t="n">
        <v>1717.69</v>
      </c>
      <c r="E1060" t="n">
        <v>2223.77</v>
      </c>
      <c r="F1060" t="n">
        <v>2475.03</v>
      </c>
    </row>
    <row r="1061">
      <c r="A1061" s="3" t="n">
        <v>40003</v>
      </c>
      <c r="B1061" t="n">
        <v>2706.41</v>
      </c>
      <c r="C1061" t="n">
        <v>1788.33</v>
      </c>
      <c r="D1061" t="n">
        <v>1719.62</v>
      </c>
      <c r="E1061" t="n">
        <v>2232.96</v>
      </c>
      <c r="F1061" t="n">
        <v>2499.9</v>
      </c>
    </row>
    <row r="1062">
      <c r="A1062" s="3" t="n">
        <v>40004</v>
      </c>
      <c r="B1062" t="n">
        <v>2667.34</v>
      </c>
      <c r="C1062" t="n">
        <v>1767.83</v>
      </c>
      <c r="D1062" t="n">
        <v>1686.35</v>
      </c>
      <c r="E1062" t="n">
        <v>2222.93</v>
      </c>
      <c r="F1062" t="n">
        <v>2439.64</v>
      </c>
    </row>
    <row r="1063">
      <c r="A1063" s="3" t="n">
        <v>40007</v>
      </c>
      <c r="B1063" t="n">
        <v>2647.6</v>
      </c>
      <c r="C1063" t="n">
        <v>1736.43</v>
      </c>
      <c r="D1063" t="n">
        <v>1628.14</v>
      </c>
      <c r="E1063" t="n">
        <v>2188.73</v>
      </c>
      <c r="F1063" t="n">
        <v>2378.09</v>
      </c>
    </row>
    <row r="1064">
      <c r="A1064" s="3" t="n">
        <v>40008</v>
      </c>
      <c r="B1064" t="n">
        <v>2732.22</v>
      </c>
      <c r="C1064" t="n">
        <v>1798.17</v>
      </c>
      <c r="D1064" t="n">
        <v>1697.59</v>
      </c>
      <c r="E1064" t="n">
        <v>2236.08</v>
      </c>
      <c r="F1064" t="n">
        <v>2498.3</v>
      </c>
    </row>
    <row r="1065">
      <c r="A1065" s="3" t="n">
        <v>40009</v>
      </c>
      <c r="B1065" t="n">
        <v>2805.25</v>
      </c>
      <c r="C1065" t="n">
        <v>1855.1</v>
      </c>
      <c r="D1065" t="n">
        <v>1793.26</v>
      </c>
      <c r="E1065" t="n">
        <v>2272.79</v>
      </c>
      <c r="F1065" t="n">
        <v>2604.64</v>
      </c>
    </row>
    <row r="1066">
      <c r="A1066" s="3" t="n">
        <v>40010</v>
      </c>
      <c r="B1066" t="n">
        <v>2805.76</v>
      </c>
      <c r="C1066" t="n">
        <v>1856.59</v>
      </c>
      <c r="D1066" t="n">
        <v>1796</v>
      </c>
      <c r="E1066" t="n">
        <v>2280.31</v>
      </c>
      <c r="F1066" t="n">
        <v>2591.11</v>
      </c>
    </row>
    <row r="1067">
      <c r="A1067" s="3" t="n">
        <v>40011</v>
      </c>
      <c r="B1067" t="n">
        <v>2858.24</v>
      </c>
      <c r="C1067" t="n">
        <v>1913.48</v>
      </c>
      <c r="D1067" t="n">
        <v>1838.91</v>
      </c>
      <c r="E1067" t="n">
        <v>2320.57</v>
      </c>
      <c r="F1067" t="n">
        <v>2664.49</v>
      </c>
    </row>
    <row r="1068">
      <c r="A1068" s="3" t="n">
        <v>40014</v>
      </c>
      <c r="B1068" t="n">
        <v>2911.78</v>
      </c>
      <c r="C1068" t="n">
        <v>1985.15</v>
      </c>
      <c r="D1068" t="n">
        <v>1884.8</v>
      </c>
      <c r="E1068" t="n">
        <v>2360.87</v>
      </c>
      <c r="F1068" t="n">
        <v>2729.13</v>
      </c>
    </row>
    <row r="1069">
      <c r="A1069" s="3" t="n">
        <v>40015</v>
      </c>
      <c r="B1069" t="n">
        <v>2900.74</v>
      </c>
      <c r="C1069" t="n">
        <v>1986.65</v>
      </c>
      <c r="D1069" t="n">
        <v>1892.96</v>
      </c>
      <c r="E1069" t="n">
        <v>2367.84</v>
      </c>
      <c r="F1069" t="n">
        <v>2714.57</v>
      </c>
    </row>
    <row r="1070">
      <c r="A1070" s="3" t="n">
        <v>40016</v>
      </c>
      <c r="B1070" t="n">
        <v>2862.14</v>
      </c>
      <c r="C1070" t="n">
        <v>1956.33</v>
      </c>
      <c r="D1070" t="n">
        <v>1872.79</v>
      </c>
      <c r="E1070" t="n">
        <v>2360.32</v>
      </c>
      <c r="F1070" t="n">
        <v>2673.98</v>
      </c>
    </row>
    <row r="1071">
      <c r="A1071" s="3" t="n">
        <v>40017</v>
      </c>
      <c r="B1071" t="n">
        <v>2936.16</v>
      </c>
      <c r="C1071" t="n">
        <v>2003.17</v>
      </c>
      <c r="D1071" t="n">
        <v>1922.69</v>
      </c>
      <c r="E1071" t="n">
        <v>2408.14</v>
      </c>
      <c r="F1071" t="n">
        <v>2734.13</v>
      </c>
    </row>
    <row r="1072">
      <c r="A1072" s="3" t="n">
        <v>40018</v>
      </c>
      <c r="B1072" t="n">
        <v>2962.57</v>
      </c>
      <c r="C1072" t="n">
        <v>2026.94</v>
      </c>
      <c r="D1072" t="n">
        <v>1972.38</v>
      </c>
      <c r="E1072" t="n">
        <v>2438.33</v>
      </c>
      <c r="F1072" t="n">
        <v>2756.26</v>
      </c>
    </row>
    <row r="1073">
      <c r="A1073" s="3" t="n">
        <v>40021</v>
      </c>
      <c r="B1073" t="n">
        <v>2991.15</v>
      </c>
      <c r="C1073" t="n">
        <v>2045.93</v>
      </c>
      <c r="D1073" t="n">
        <v>2000.98</v>
      </c>
      <c r="E1073" t="n">
        <v>2487.91</v>
      </c>
      <c r="F1073" t="n">
        <v>2783.16</v>
      </c>
    </row>
    <row r="1074">
      <c r="A1074" s="3" t="n">
        <v>40022</v>
      </c>
      <c r="B1074" t="n">
        <v>2985.71</v>
      </c>
      <c r="C1074" t="n">
        <v>2057.77</v>
      </c>
      <c r="D1074" t="n">
        <v>2023.49</v>
      </c>
      <c r="E1074" t="n">
        <v>2494.06</v>
      </c>
      <c r="F1074" t="n">
        <v>2806.65</v>
      </c>
    </row>
    <row r="1075">
      <c r="A1075" s="3" t="n">
        <v>40023</v>
      </c>
      <c r="B1075" t="n">
        <v>2956.08</v>
      </c>
      <c r="C1075" t="n">
        <v>2026.25</v>
      </c>
      <c r="D1075" t="n">
        <v>1998.12</v>
      </c>
      <c r="E1075" t="n">
        <v>2461.47</v>
      </c>
      <c r="F1075" t="n">
        <v>2788.61</v>
      </c>
    </row>
    <row r="1076">
      <c r="A1076" s="3" t="n">
        <v>40024</v>
      </c>
      <c r="B1076" t="n">
        <v>2980.26</v>
      </c>
      <c r="C1076" t="n">
        <v>2053.31</v>
      </c>
      <c r="D1076" t="n">
        <v>2017.41</v>
      </c>
      <c r="E1076" t="n">
        <v>2472.13</v>
      </c>
      <c r="F1076" t="n">
        <v>2823.21</v>
      </c>
    </row>
    <row r="1077">
      <c r="A1077" s="3" t="n">
        <v>40025</v>
      </c>
      <c r="B1077" t="n">
        <v>2993.48</v>
      </c>
      <c r="C1077" t="n">
        <v>2081.65</v>
      </c>
      <c r="D1077" t="n">
        <v>2039.37</v>
      </c>
      <c r="E1077" t="n">
        <v>2496.08</v>
      </c>
      <c r="F1077" t="n">
        <v>2832.97</v>
      </c>
    </row>
    <row r="1078">
      <c r="A1078" s="3" t="n">
        <v>40028</v>
      </c>
      <c r="B1078" t="n">
        <v>3013.32</v>
      </c>
      <c r="C1078" t="n">
        <v>2103.88</v>
      </c>
      <c r="D1078" t="n">
        <v>2088.39</v>
      </c>
      <c r="E1078" t="n">
        <v>2511.72</v>
      </c>
      <c r="F1078" t="n">
        <v>2891.1</v>
      </c>
    </row>
    <row r="1079">
      <c r="A1079" s="3" t="n">
        <v>40029</v>
      </c>
      <c r="B1079" t="n">
        <v>3019.31</v>
      </c>
      <c r="C1079" t="n">
        <v>2097.32</v>
      </c>
      <c r="D1079" t="n">
        <v>2098.08</v>
      </c>
      <c r="E1079" t="n">
        <v>2511.09</v>
      </c>
      <c r="F1079" t="n">
        <v>2883.29</v>
      </c>
    </row>
    <row r="1080">
      <c r="A1080" s="3" t="n">
        <v>40030</v>
      </c>
      <c r="B1080" t="n">
        <v>3008.54</v>
      </c>
      <c r="C1080" t="n">
        <v>2118.94</v>
      </c>
      <c r="D1080" t="n">
        <v>2097.97</v>
      </c>
      <c r="E1080" t="n">
        <v>2517.11</v>
      </c>
      <c r="F1080" t="n">
        <v>2883.1</v>
      </c>
    </row>
    <row r="1081">
      <c r="A1081" s="3" t="n">
        <v>40031</v>
      </c>
      <c r="B1081" t="n">
        <v>2948.85</v>
      </c>
      <c r="C1081" t="n">
        <v>2069.35</v>
      </c>
      <c r="D1081" t="n">
        <v>2049.47</v>
      </c>
      <c r="E1081" t="n">
        <v>2474.93</v>
      </c>
      <c r="F1081" t="n">
        <v>2809.26</v>
      </c>
    </row>
    <row r="1082">
      <c r="A1082" s="3" t="n">
        <v>40032</v>
      </c>
      <c r="B1082" t="n">
        <v>2900.78</v>
      </c>
      <c r="C1082" t="n">
        <v>2029.92</v>
      </c>
      <c r="D1082" t="n">
        <v>2007</v>
      </c>
      <c r="E1082" t="n">
        <v>2445.55</v>
      </c>
      <c r="F1082" t="n">
        <v>2747.62</v>
      </c>
    </row>
    <row r="1083">
      <c r="A1083" s="3" t="n">
        <v>40035</v>
      </c>
      <c r="B1083" t="n">
        <v>2842.47</v>
      </c>
      <c r="C1083" t="n">
        <v>2016.6</v>
      </c>
      <c r="D1083" t="n">
        <v>1970.95</v>
      </c>
      <c r="E1083" t="n">
        <v>2418.25</v>
      </c>
      <c r="F1083" t="n">
        <v>2691.29</v>
      </c>
    </row>
    <row r="1084">
      <c r="A1084" s="3" t="n">
        <v>40036</v>
      </c>
      <c r="B1084" t="n">
        <v>2857.77</v>
      </c>
      <c r="C1084" t="n">
        <v>2025.81</v>
      </c>
      <c r="D1084" t="n">
        <v>1991.58</v>
      </c>
      <c r="E1084" t="n">
        <v>2423.49</v>
      </c>
      <c r="F1084" t="n">
        <v>2720.29</v>
      </c>
    </row>
    <row r="1085">
      <c r="A1085" s="3" t="n">
        <v>40037</v>
      </c>
      <c r="B1085" t="n">
        <v>2862.23</v>
      </c>
      <c r="C1085" t="n">
        <v>2013.47</v>
      </c>
      <c r="D1085" t="n">
        <v>1987.18</v>
      </c>
      <c r="E1085" t="n">
        <v>2428.93</v>
      </c>
      <c r="F1085" t="n">
        <v>2722.62</v>
      </c>
    </row>
    <row r="1086">
      <c r="A1086" s="3" t="n">
        <v>40038</v>
      </c>
      <c r="B1086" t="n">
        <v>2947.18</v>
      </c>
      <c r="C1086" t="n">
        <v>2076.19</v>
      </c>
      <c r="D1086" t="n">
        <v>2077.33</v>
      </c>
      <c r="E1086" t="n">
        <v>2487.08</v>
      </c>
      <c r="F1086" t="n">
        <v>2824.1</v>
      </c>
    </row>
    <row r="1087">
      <c r="A1087" s="3" t="n">
        <v>40039</v>
      </c>
      <c r="B1087" t="n">
        <v>2921.07</v>
      </c>
      <c r="C1087" t="n">
        <v>2067.39</v>
      </c>
      <c r="D1087" t="n">
        <v>2090.45</v>
      </c>
      <c r="E1087" t="n">
        <v>2481.39</v>
      </c>
      <c r="F1087" t="n">
        <v>2817.45</v>
      </c>
    </row>
    <row r="1088">
      <c r="A1088" s="3" t="n">
        <v>40042</v>
      </c>
      <c r="B1088" t="n">
        <v>2823.09</v>
      </c>
      <c r="C1088" t="n">
        <v>1994.41</v>
      </c>
      <c r="D1088" t="n">
        <v>1991.14</v>
      </c>
      <c r="E1088" t="n">
        <v>2419.05</v>
      </c>
      <c r="F1088" t="n">
        <v>2700.26</v>
      </c>
    </row>
    <row r="1089">
      <c r="A1089" s="3" t="n">
        <v>40043</v>
      </c>
      <c r="B1089" t="n">
        <v>2865.41</v>
      </c>
      <c r="C1089" t="n">
        <v>2015.29</v>
      </c>
      <c r="D1089" t="n">
        <v>2043.39</v>
      </c>
      <c r="E1089" t="n">
        <v>2437.27</v>
      </c>
      <c r="F1089" t="n">
        <v>2766.56</v>
      </c>
    </row>
    <row r="1090">
      <c r="A1090" s="3" t="n">
        <v>40044</v>
      </c>
      <c r="B1090" t="n">
        <v>2827.39</v>
      </c>
      <c r="C1090" t="n">
        <v>1973.63</v>
      </c>
      <c r="D1090" t="n">
        <v>2007.97</v>
      </c>
      <c r="E1090" t="n">
        <v>2416.22</v>
      </c>
      <c r="F1090" t="n">
        <v>2725.75</v>
      </c>
    </row>
    <row r="1091">
      <c r="A1091" s="3" t="n">
        <v>40045</v>
      </c>
      <c r="B1091" t="n">
        <v>2870.21</v>
      </c>
      <c r="C1091" t="n">
        <v>2000.06</v>
      </c>
      <c r="D1091" t="n">
        <v>2030.97</v>
      </c>
      <c r="E1091" t="n">
        <v>2436.33</v>
      </c>
      <c r="F1091" t="n">
        <v>2759.1</v>
      </c>
    </row>
    <row r="1092">
      <c r="A1092" s="3" t="n">
        <v>40046</v>
      </c>
      <c r="B1092" t="n">
        <v>2896.29</v>
      </c>
      <c r="C1092" t="n">
        <v>2032.77</v>
      </c>
      <c r="D1092" t="n">
        <v>2059.43</v>
      </c>
      <c r="E1092" t="n">
        <v>2461.01</v>
      </c>
      <c r="F1092" t="n">
        <v>2796.7</v>
      </c>
    </row>
    <row r="1093">
      <c r="A1093" s="3" t="n">
        <v>40049</v>
      </c>
      <c r="B1093" t="n">
        <v>2944.27</v>
      </c>
      <c r="C1093" t="n">
        <v>2078.86</v>
      </c>
      <c r="D1093" t="n">
        <v>2121.86</v>
      </c>
      <c r="E1093" t="n">
        <v>2499.91</v>
      </c>
      <c r="F1093" t="n">
        <v>2856.02</v>
      </c>
    </row>
    <row r="1094">
      <c r="A1094" s="3" t="n">
        <v>40050</v>
      </c>
      <c r="B1094" t="n">
        <v>2941.32</v>
      </c>
      <c r="C1094" t="n">
        <v>2093.68</v>
      </c>
      <c r="D1094" t="n">
        <v>2129.04</v>
      </c>
      <c r="E1094" t="n">
        <v>2512.54</v>
      </c>
      <c r="F1094" t="n">
        <v>2855.22</v>
      </c>
    </row>
    <row r="1095">
      <c r="A1095" s="3" t="n">
        <v>40051</v>
      </c>
      <c r="B1095" t="n">
        <v>2952.95</v>
      </c>
      <c r="C1095" t="n">
        <v>2108.26</v>
      </c>
      <c r="D1095" t="n">
        <v>2146.4</v>
      </c>
      <c r="E1095" t="n">
        <v>2533.43</v>
      </c>
      <c r="F1095" t="n">
        <v>2874.74</v>
      </c>
    </row>
    <row r="1096">
      <c r="A1096" s="3" t="n">
        <v>40052</v>
      </c>
      <c r="B1096" t="n">
        <v>2957.93</v>
      </c>
      <c r="C1096" t="n">
        <v>2109.15</v>
      </c>
      <c r="D1096" t="n">
        <v>2154.47</v>
      </c>
      <c r="E1096" t="n">
        <v>2530.73</v>
      </c>
      <c r="F1096" t="n">
        <v>2869.75</v>
      </c>
    </row>
    <row r="1097">
      <c r="A1097" s="3" t="n">
        <v>40053</v>
      </c>
      <c r="B1097" t="n">
        <v>2976.26</v>
      </c>
      <c r="C1097" t="n">
        <v>2122.88</v>
      </c>
      <c r="D1097" t="n">
        <v>2165.1</v>
      </c>
      <c r="E1097" t="n">
        <v>2542.35</v>
      </c>
      <c r="F1097" t="n">
        <v>2900.6</v>
      </c>
    </row>
    <row r="1098">
      <c r="A1098" s="3" t="n">
        <v>40056</v>
      </c>
      <c r="B1098" t="n">
        <v>2986.12</v>
      </c>
      <c r="C1098" t="n">
        <v>2111.41</v>
      </c>
      <c r="D1098" t="n">
        <v>2165.02</v>
      </c>
      <c r="E1098" t="n">
        <v>2536.58</v>
      </c>
      <c r="F1098" t="n">
        <v>2912.61</v>
      </c>
    </row>
    <row r="1099">
      <c r="A1099" s="3" t="n">
        <v>40057</v>
      </c>
      <c r="B1099" t="n">
        <v>2977.27</v>
      </c>
      <c r="C1099" t="n">
        <v>2091.39</v>
      </c>
      <c r="D1099" t="n">
        <v>2131.87</v>
      </c>
      <c r="E1099" t="n">
        <v>2524.24</v>
      </c>
      <c r="F1099" t="n">
        <v>2892.1</v>
      </c>
    </row>
    <row r="1100">
      <c r="A1100" s="3" t="n">
        <v>40058</v>
      </c>
      <c r="B1100" t="n">
        <v>2974.7</v>
      </c>
      <c r="C1100" t="n">
        <v>2090.34</v>
      </c>
      <c r="D1100" t="n">
        <v>2128</v>
      </c>
      <c r="E1100" t="n">
        <v>2517.41</v>
      </c>
      <c r="F1100" t="n">
        <v>2887.47</v>
      </c>
    </row>
    <row r="1101">
      <c r="A1101" s="3" t="n">
        <v>40059</v>
      </c>
      <c r="B1101" t="n">
        <v>2969.34</v>
      </c>
      <c r="C1101" t="n">
        <v>2089.85</v>
      </c>
      <c r="D1101" t="n">
        <v>2146.09</v>
      </c>
      <c r="E1101" t="n">
        <v>2517.5</v>
      </c>
      <c r="F1101" t="n">
        <v>2895.41</v>
      </c>
    </row>
    <row r="1102">
      <c r="A1102" s="3" t="n">
        <v>40060</v>
      </c>
      <c r="B1102" t="n">
        <v>3004.94</v>
      </c>
      <c r="C1102" t="n">
        <v>2120.48</v>
      </c>
      <c r="D1102" t="n">
        <v>2173.88</v>
      </c>
      <c r="E1102" t="n">
        <v>2544.45</v>
      </c>
      <c r="F1102" t="n">
        <v>2928.81</v>
      </c>
    </row>
    <row r="1103">
      <c r="A1103" s="3" t="n">
        <v>40063</v>
      </c>
      <c r="B1103" t="n">
        <v>3041.87</v>
      </c>
      <c r="C1103" t="n">
        <v>2152.76</v>
      </c>
      <c r="D1103" t="n">
        <v>2225.59</v>
      </c>
      <c r="E1103" t="n">
        <v>2572.38</v>
      </c>
      <c r="F1103" t="n">
        <v>2987.07</v>
      </c>
    </row>
    <row r="1104">
      <c r="A1104" s="3" t="n">
        <v>40064</v>
      </c>
      <c r="B1104" t="n">
        <v>3023.72</v>
      </c>
      <c r="C1104" t="n">
        <v>2151.12</v>
      </c>
      <c r="D1104" t="n">
        <v>2240.13</v>
      </c>
      <c r="E1104" t="n">
        <v>2571.35</v>
      </c>
      <c r="F1104" t="n">
        <v>2982.78</v>
      </c>
    </row>
    <row r="1105">
      <c r="A1105" s="3" t="n">
        <v>40065</v>
      </c>
      <c r="B1105" t="n">
        <v>3010.8</v>
      </c>
      <c r="C1105" t="n">
        <v>2141.88</v>
      </c>
      <c r="D1105" t="n">
        <v>2246.1</v>
      </c>
      <c r="E1105" t="n">
        <v>2563.52</v>
      </c>
      <c r="F1105" t="n">
        <v>2982.3</v>
      </c>
    </row>
    <row r="1106">
      <c r="A1106" s="3" t="n">
        <v>40066</v>
      </c>
      <c r="B1106" t="n">
        <v>2999.51</v>
      </c>
      <c r="C1106" t="n">
        <v>2144.29</v>
      </c>
      <c r="D1106" t="n">
        <v>2242.64</v>
      </c>
      <c r="E1106" t="n">
        <v>2570.68</v>
      </c>
      <c r="F1106" t="n">
        <v>2977.23</v>
      </c>
    </row>
    <row r="1107">
      <c r="A1107" s="3" t="n">
        <v>40067</v>
      </c>
      <c r="B1107" t="n">
        <v>2978.76</v>
      </c>
      <c r="C1107" t="n">
        <v>2140.16</v>
      </c>
      <c r="D1107" t="n">
        <v>2275.91</v>
      </c>
      <c r="E1107" t="n">
        <v>2556.69</v>
      </c>
      <c r="F1107" t="n">
        <v>2965.34</v>
      </c>
    </row>
    <row r="1108">
      <c r="A1108" s="3" t="n">
        <v>40070</v>
      </c>
      <c r="B1108" t="n">
        <v>2977.09</v>
      </c>
      <c r="C1108" t="n">
        <v>2133.14</v>
      </c>
      <c r="D1108" t="n">
        <v>2292.02</v>
      </c>
      <c r="E1108" t="n">
        <v>2549.5</v>
      </c>
      <c r="F1108" t="n">
        <v>2980.58</v>
      </c>
    </row>
    <row r="1109">
      <c r="A1109" s="3" t="n">
        <v>40071</v>
      </c>
      <c r="B1109" t="n">
        <v>3035.39</v>
      </c>
      <c r="C1109" t="n">
        <v>2163.6</v>
      </c>
      <c r="D1109" t="n">
        <v>2350.97</v>
      </c>
      <c r="E1109" t="n">
        <v>2582.77</v>
      </c>
      <c r="F1109" t="n">
        <v>3051.68</v>
      </c>
    </row>
    <row r="1110">
      <c r="A1110" s="3" t="n">
        <v>40072</v>
      </c>
      <c r="B1110" t="n">
        <v>3065.65</v>
      </c>
      <c r="C1110" t="n">
        <v>2196.98</v>
      </c>
      <c r="D1110" t="n">
        <v>2396.08</v>
      </c>
      <c r="E1110" t="n">
        <v>2607.98</v>
      </c>
      <c r="F1110" t="n">
        <v>3101.36</v>
      </c>
    </row>
    <row r="1111">
      <c r="A1111" s="3" t="n">
        <v>40073</v>
      </c>
      <c r="B1111" t="n">
        <v>3066.89</v>
      </c>
      <c r="C1111" t="n">
        <v>2215.07</v>
      </c>
      <c r="D1111" t="n">
        <v>2395.14</v>
      </c>
      <c r="E1111" t="n">
        <v>2613.45</v>
      </c>
      <c r="F1111" t="n">
        <v>3095.51</v>
      </c>
    </row>
    <row r="1112">
      <c r="A1112" s="3" t="n">
        <v>40074</v>
      </c>
      <c r="B1112" t="n">
        <v>3082.36</v>
      </c>
      <c r="C1112" t="n">
        <v>2230.85</v>
      </c>
      <c r="D1112" t="n">
        <v>2395.81</v>
      </c>
      <c r="E1112" t="n">
        <v>2625.38</v>
      </c>
      <c r="F1112" t="n">
        <v>3109.97</v>
      </c>
    </row>
    <row r="1113">
      <c r="A1113" s="3" t="n">
        <v>40078</v>
      </c>
      <c r="B1113" t="n">
        <v>3112.44</v>
      </c>
      <c r="C1113" t="n">
        <v>2245.28</v>
      </c>
      <c r="D1113" t="n">
        <v>2416.43</v>
      </c>
      <c r="E1113" t="n">
        <v>2636.84</v>
      </c>
      <c r="F1113" t="n">
        <v>3151.45</v>
      </c>
    </row>
    <row r="1114">
      <c r="A1114" s="3" t="n">
        <v>40079</v>
      </c>
      <c r="B1114" t="n">
        <v>3091.62</v>
      </c>
      <c r="C1114" t="n">
        <v>2220.52</v>
      </c>
      <c r="D1114" t="n">
        <v>2405.56</v>
      </c>
      <c r="E1114" t="n">
        <v>2617.94</v>
      </c>
      <c r="F1114" t="n">
        <v>3115.3</v>
      </c>
    </row>
    <row r="1115">
      <c r="A1115" s="3" t="n">
        <v>40080</v>
      </c>
      <c r="B1115" t="n">
        <v>3098.66</v>
      </c>
      <c r="C1115" t="n">
        <v>2225.25</v>
      </c>
      <c r="D1115" t="n">
        <v>2417.79</v>
      </c>
      <c r="E1115" t="n">
        <v>2629.43</v>
      </c>
      <c r="F1115" t="n">
        <v>3133.37</v>
      </c>
    </row>
    <row r="1116">
      <c r="A1116" s="3" t="n">
        <v>40081</v>
      </c>
      <c r="B1116" t="n">
        <v>3125.33</v>
      </c>
      <c r="C1116" t="n">
        <v>2213.29</v>
      </c>
      <c r="D1116" t="n">
        <v>2419.4</v>
      </c>
      <c r="E1116" t="n">
        <v>2661.34</v>
      </c>
      <c r="F1116" t="n">
        <v>3152.39</v>
      </c>
    </row>
    <row r="1117">
      <c r="A1117" s="3" t="n">
        <v>40085</v>
      </c>
      <c r="B1117" t="n">
        <v>3139.29</v>
      </c>
      <c r="C1117" t="n">
        <v>2236.85</v>
      </c>
      <c r="D1117" t="n">
        <v>2438.73</v>
      </c>
      <c r="E1117" t="n">
        <v>2687.87</v>
      </c>
      <c r="F1117" t="n">
        <v>3162.99</v>
      </c>
    </row>
    <row r="1118">
      <c r="A1118" s="3" t="n">
        <v>40086</v>
      </c>
      <c r="B1118" t="n">
        <v>3159.13</v>
      </c>
      <c r="C1118" t="n">
        <v>2250.95</v>
      </c>
      <c r="D1118" t="n">
        <v>2490.26</v>
      </c>
      <c r="E1118" t="n">
        <v>2703.63</v>
      </c>
      <c r="F1118" t="n">
        <v>3209.09</v>
      </c>
    </row>
    <row r="1119">
      <c r="A1119" s="3" t="n">
        <v>40087</v>
      </c>
      <c r="B1119" t="n">
        <v>3145.35</v>
      </c>
      <c r="C1119" t="n">
        <v>2254.7</v>
      </c>
      <c r="D1119" t="n">
        <v>2463.41</v>
      </c>
      <c r="E1119" t="n">
        <v>2699.34</v>
      </c>
      <c r="F1119" t="n">
        <v>3183.1</v>
      </c>
    </row>
    <row r="1120">
      <c r="A1120" s="3" t="n">
        <v>40091</v>
      </c>
      <c r="B1120" t="n">
        <v>3120.48</v>
      </c>
      <c r="C1120" t="n">
        <v>2239.28</v>
      </c>
      <c r="D1120" t="n">
        <v>2405.24</v>
      </c>
      <c r="E1120" t="n">
        <v>2675.87</v>
      </c>
      <c r="F1120" t="n">
        <v>3123.48</v>
      </c>
    </row>
    <row r="1121">
      <c r="A1121" s="3" t="n">
        <v>40092</v>
      </c>
      <c r="B1121" t="n">
        <v>3127.15</v>
      </c>
      <c r="C1121" t="n">
        <v>2245.8</v>
      </c>
      <c r="D1121" t="n">
        <v>2405.18</v>
      </c>
      <c r="E1121" t="n">
        <v>2683.46</v>
      </c>
      <c r="F1121" t="n">
        <v>3129.45</v>
      </c>
    </row>
    <row r="1122">
      <c r="A1122" s="3" t="n">
        <v>40093</v>
      </c>
      <c r="B1122" t="n">
        <v>3125.91</v>
      </c>
      <c r="C1122" t="n">
        <v>2245.53</v>
      </c>
      <c r="D1122" t="n">
        <v>2429.03</v>
      </c>
      <c r="E1122" t="n">
        <v>2697.53</v>
      </c>
      <c r="F1122" t="n">
        <v>3160.63</v>
      </c>
    </row>
    <row r="1123">
      <c r="A1123" s="3" t="n">
        <v>40094</v>
      </c>
      <c r="B1123" t="n">
        <v>3138.59</v>
      </c>
      <c r="C1123" t="n">
        <v>2248.7</v>
      </c>
      <c r="D1123" t="n">
        <v>2460.7</v>
      </c>
      <c r="E1123" t="n">
        <v>2712.81</v>
      </c>
      <c r="F1123" t="n">
        <v>3190.66</v>
      </c>
    </row>
    <row r="1124">
      <c r="A1124" s="3" t="n">
        <v>40095</v>
      </c>
      <c r="B1124" t="n">
        <v>3121.57</v>
      </c>
      <c r="C1124" t="n">
        <v>2231.5</v>
      </c>
      <c r="D1124" t="n">
        <v>2431.11</v>
      </c>
      <c r="E1124" t="n">
        <v>2696.79</v>
      </c>
      <c r="F1124" t="n">
        <v>3162.33</v>
      </c>
    </row>
    <row r="1125">
      <c r="A1125" s="3" t="n">
        <v>40098</v>
      </c>
      <c r="B1125" t="n">
        <v>3161.92</v>
      </c>
      <c r="C1125" t="n">
        <v>2269.35</v>
      </c>
      <c r="D1125" t="n">
        <v>2460.48</v>
      </c>
      <c r="E1125" t="n">
        <v>2732.62</v>
      </c>
      <c r="F1125" t="n">
        <v>3224.27</v>
      </c>
    </row>
    <row r="1126">
      <c r="A1126" s="3" t="n">
        <v>40100</v>
      </c>
      <c r="B1126" t="n">
        <v>3197.66</v>
      </c>
      <c r="C1126" t="n">
        <v>2311.74</v>
      </c>
      <c r="D1126" t="n">
        <v>2501.38</v>
      </c>
      <c r="E1126" t="n">
        <v>2755.19</v>
      </c>
      <c r="F1126" t="n">
        <v>3298.55</v>
      </c>
    </row>
    <row r="1127">
      <c r="A1127" s="3" t="n">
        <v>40101</v>
      </c>
      <c r="B1127" t="n">
        <v>3209.59</v>
      </c>
      <c r="C1127" t="n">
        <v>2304.38</v>
      </c>
      <c r="D1127" t="n">
        <v>2520.41</v>
      </c>
      <c r="E1127" t="n">
        <v>2749.13</v>
      </c>
      <c r="F1127" t="n">
        <v>3312.34</v>
      </c>
    </row>
    <row r="1128">
      <c r="A1128" s="3" t="n">
        <v>40102</v>
      </c>
      <c r="B1128" t="n">
        <v>3218.64</v>
      </c>
      <c r="C1128" t="n">
        <v>2302.59</v>
      </c>
      <c r="D1128" t="n">
        <v>2543.39</v>
      </c>
      <c r="E1128" t="n">
        <v>2751.42</v>
      </c>
      <c r="F1128" t="n">
        <v>3346.8</v>
      </c>
    </row>
    <row r="1129">
      <c r="A1129" s="3" t="n">
        <v>40103</v>
      </c>
      <c r="B1129" t="n">
        <v>3227.84</v>
      </c>
      <c r="C1129" t="n">
        <v>2315.91</v>
      </c>
      <c r="D1129" t="n">
        <v>2549.21</v>
      </c>
      <c r="E1129" t="n">
        <v>2775.89</v>
      </c>
      <c r="F1129" t="n">
        <v>3361.38</v>
      </c>
    </row>
    <row r="1130">
      <c r="A1130" s="3" t="n">
        <v>40106</v>
      </c>
      <c r="B1130" t="n">
        <v>3212.09</v>
      </c>
      <c r="C1130" t="n">
        <v>2310.8</v>
      </c>
      <c r="D1130" t="n">
        <v>2583.11</v>
      </c>
      <c r="E1130" t="n">
        <v>2763.45</v>
      </c>
      <c r="F1130" t="n">
        <v>3366.73</v>
      </c>
    </row>
    <row r="1131">
      <c r="A1131" s="3" t="n">
        <v>40107</v>
      </c>
      <c r="B1131" t="n">
        <v>3167.22</v>
      </c>
      <c r="C1131" t="n">
        <v>2285.72</v>
      </c>
      <c r="D1131" t="n">
        <v>2548.72</v>
      </c>
      <c r="E1131" t="n">
        <v>2744.73</v>
      </c>
      <c r="F1131" t="n">
        <v>3314.01</v>
      </c>
    </row>
    <row r="1132">
      <c r="A1132" s="3" t="n">
        <v>40108</v>
      </c>
      <c r="B1132" t="n">
        <v>3126.43</v>
      </c>
      <c r="C1132" t="n">
        <v>2265.18</v>
      </c>
      <c r="D1132" t="n">
        <v>2502.53</v>
      </c>
      <c r="E1132" t="n">
        <v>2726.86</v>
      </c>
      <c r="F1132" t="n">
        <v>3253.18</v>
      </c>
    </row>
    <row r="1133">
      <c r="A1133" s="3" t="n">
        <v>40109</v>
      </c>
      <c r="B1133" t="n">
        <v>3156.25</v>
      </c>
      <c r="C1133" t="n">
        <v>2290</v>
      </c>
      <c r="D1133" t="n">
        <v>2519.33</v>
      </c>
      <c r="E1133" t="n">
        <v>2759.74</v>
      </c>
      <c r="F1133" t="n">
        <v>3301.1</v>
      </c>
    </row>
    <row r="1134">
      <c r="A1134" s="3" t="n">
        <v>40112</v>
      </c>
      <c r="B1134" t="n">
        <v>3131.98</v>
      </c>
      <c r="C1134" t="n">
        <v>2279.7</v>
      </c>
      <c r="D1134" t="n">
        <v>2476.33</v>
      </c>
      <c r="E1134" t="n">
        <v>2759.64</v>
      </c>
      <c r="F1134" t="n">
        <v>3273.59</v>
      </c>
    </row>
    <row r="1135">
      <c r="A1135" s="3" t="n">
        <v>40113</v>
      </c>
      <c r="B1135" t="n">
        <v>3059.71</v>
      </c>
      <c r="C1135" t="n">
        <v>2233.31</v>
      </c>
      <c r="D1135" t="n">
        <v>2368.27</v>
      </c>
      <c r="E1135" t="n">
        <v>2711.5</v>
      </c>
      <c r="F1135" t="n">
        <v>3161.33</v>
      </c>
    </row>
    <row r="1136">
      <c r="A1136" s="3" t="n">
        <v>40114</v>
      </c>
      <c r="B1136" t="n">
        <v>3072.91</v>
      </c>
      <c r="C1136" t="n">
        <v>2236.21</v>
      </c>
      <c r="D1136" t="n">
        <v>2346.54</v>
      </c>
      <c r="E1136" t="n">
        <v>2711.13</v>
      </c>
      <c r="F1136" t="n">
        <v>3175.86</v>
      </c>
    </row>
    <row r="1137">
      <c r="A1137" s="3" t="n">
        <v>40115</v>
      </c>
      <c r="B1137" t="n">
        <v>3030.93</v>
      </c>
      <c r="C1137" t="n">
        <v>2232.51</v>
      </c>
      <c r="D1137" t="n">
        <v>2296.96</v>
      </c>
      <c r="E1137" t="n">
        <v>2686.59</v>
      </c>
      <c r="F1137" t="n">
        <v>3104.03</v>
      </c>
    </row>
    <row r="1138">
      <c r="A1138" s="3" t="n">
        <v>40116</v>
      </c>
      <c r="B1138" t="n">
        <v>3014.93</v>
      </c>
      <c r="C1138" t="n">
        <v>2217.94</v>
      </c>
      <c r="D1138" t="n">
        <v>2287.98</v>
      </c>
      <c r="E1138" t="n">
        <v>2687.35</v>
      </c>
      <c r="F1138" t="n">
        <v>3086.27</v>
      </c>
    </row>
    <row r="1139">
      <c r="A1139" s="3" t="n">
        <v>40120</v>
      </c>
      <c r="B1139" t="n">
        <v>2917.58</v>
      </c>
      <c r="C1139" t="n">
        <v>2153.79</v>
      </c>
      <c r="D1139" t="n">
        <v>2185.75</v>
      </c>
      <c r="E1139" t="n">
        <v>2649.79</v>
      </c>
      <c r="F1139" t="n">
        <v>2976.74</v>
      </c>
    </row>
    <row r="1140">
      <c r="A1140" s="3" t="n">
        <v>40121</v>
      </c>
      <c r="B1140" t="n">
        <v>3001.68</v>
      </c>
      <c r="C1140" t="n">
        <v>2194.91</v>
      </c>
      <c r="D1140" t="n">
        <v>2242.69</v>
      </c>
      <c r="E1140" t="n">
        <v>2691.96</v>
      </c>
      <c r="F1140" t="n">
        <v>3089.8</v>
      </c>
    </row>
    <row r="1141">
      <c r="A1141" s="3" t="n">
        <v>40122</v>
      </c>
      <c r="B1141" t="n">
        <v>3072.62</v>
      </c>
      <c r="C1141" t="n">
        <v>2220.38</v>
      </c>
      <c r="D1141" t="n">
        <v>2293.26</v>
      </c>
      <c r="E1141" t="n">
        <v>2725.46</v>
      </c>
      <c r="F1141" t="n">
        <v>3166.88</v>
      </c>
    </row>
    <row r="1142">
      <c r="A1142" s="3" t="n">
        <v>40123</v>
      </c>
      <c r="B1142" t="n">
        <v>3116.22</v>
      </c>
      <c r="C1142" t="n">
        <v>2230.48</v>
      </c>
      <c r="D1142" t="n">
        <v>2339.97</v>
      </c>
      <c r="E1142" t="n">
        <v>2734.89</v>
      </c>
      <c r="F1142" t="n">
        <v>3247.76</v>
      </c>
    </row>
    <row r="1143">
      <c r="A1143" s="3" t="n">
        <v>40126</v>
      </c>
      <c r="B1143" t="n">
        <v>3192.02</v>
      </c>
      <c r="C1143" t="n">
        <v>2258.05</v>
      </c>
      <c r="D1143" t="n">
        <v>2392.61</v>
      </c>
      <c r="E1143" t="n">
        <v>2764.65</v>
      </c>
      <c r="F1143" t="n">
        <v>3330.43</v>
      </c>
    </row>
    <row r="1144">
      <c r="A1144" s="3" t="n">
        <v>40127</v>
      </c>
      <c r="B1144" t="n">
        <v>3173.44</v>
      </c>
      <c r="C1144" t="n">
        <v>2250.99</v>
      </c>
      <c r="D1144" t="n">
        <v>2380.58</v>
      </c>
      <c r="E1144" t="n">
        <v>2755.14</v>
      </c>
      <c r="F1144" t="n">
        <v>3314.04</v>
      </c>
    </row>
    <row r="1145">
      <c r="A1145" s="3" t="n">
        <v>40128</v>
      </c>
      <c r="B1145" t="n">
        <v>3263.79</v>
      </c>
      <c r="C1145" t="n">
        <v>2304.45</v>
      </c>
      <c r="D1145" t="n">
        <v>2438.75</v>
      </c>
      <c r="E1145" t="n">
        <v>2797.75</v>
      </c>
      <c r="F1145" t="n">
        <v>3398.38</v>
      </c>
    </row>
    <row r="1146">
      <c r="A1146" s="3" t="n">
        <v>40129</v>
      </c>
      <c r="B1146" t="n">
        <v>3233.45</v>
      </c>
      <c r="C1146" t="n">
        <v>2293.49</v>
      </c>
      <c r="D1146" t="n">
        <v>2402.01</v>
      </c>
      <c r="E1146" t="n">
        <v>2777.91</v>
      </c>
      <c r="F1146" t="n">
        <v>3347.83</v>
      </c>
    </row>
    <row r="1147">
      <c r="A1147" s="3" t="n">
        <v>40130</v>
      </c>
      <c r="B1147" t="n">
        <v>3255.25</v>
      </c>
      <c r="C1147" t="n">
        <v>2323.2</v>
      </c>
      <c r="D1147" t="n">
        <v>2410.42</v>
      </c>
      <c r="E1147" t="n">
        <v>2787.3</v>
      </c>
      <c r="F1147" t="n">
        <v>3369.66</v>
      </c>
    </row>
    <row r="1148">
      <c r="A1148" s="3" t="n">
        <v>40133</v>
      </c>
      <c r="B1148" t="n">
        <v>3289.37</v>
      </c>
      <c r="C1148" t="n">
        <v>2346.57</v>
      </c>
      <c r="D1148" t="n">
        <v>2435.6</v>
      </c>
      <c r="E1148" t="n">
        <v>2805.93</v>
      </c>
      <c r="F1148" t="n">
        <v>3410.3</v>
      </c>
    </row>
    <row r="1149">
      <c r="A1149" s="3" t="n">
        <v>40134</v>
      </c>
      <c r="B1149" t="n">
        <v>3292.89</v>
      </c>
      <c r="C1149" t="n">
        <v>2358.27</v>
      </c>
      <c r="D1149" t="n">
        <v>2440.55</v>
      </c>
      <c r="E1149" t="n">
        <v>2809.99</v>
      </c>
      <c r="F1149" t="n">
        <v>3410.46</v>
      </c>
    </row>
    <row r="1150">
      <c r="A1150" s="3" t="n">
        <v>40135</v>
      </c>
      <c r="B1150" t="n">
        <v>3303.58</v>
      </c>
      <c r="C1150" t="n">
        <v>2366.29</v>
      </c>
      <c r="D1150" t="n">
        <v>2458.32</v>
      </c>
      <c r="E1150" t="n">
        <v>2816.16</v>
      </c>
      <c r="F1150" t="n">
        <v>3421.93</v>
      </c>
    </row>
    <row r="1151">
      <c r="A1151" s="3" t="n">
        <v>40136</v>
      </c>
      <c r="B1151" t="n">
        <v>3246.89</v>
      </c>
      <c r="C1151" t="n">
        <v>2334.85</v>
      </c>
      <c r="D1151" t="n">
        <v>2412.14</v>
      </c>
      <c r="E1151" t="n">
        <v>2790.53</v>
      </c>
      <c r="F1151" t="n">
        <v>3355.03</v>
      </c>
    </row>
    <row r="1152">
      <c r="A1152" s="3" t="n">
        <v>40137</v>
      </c>
      <c r="B1152" t="n">
        <v>3271.56</v>
      </c>
      <c r="C1152" t="n">
        <v>2352.28</v>
      </c>
      <c r="D1152" t="n">
        <v>2466.88</v>
      </c>
      <c r="E1152" t="n">
        <v>2809.76</v>
      </c>
      <c r="F1152" t="n">
        <v>3384.51</v>
      </c>
    </row>
    <row r="1153">
      <c r="A1153" s="3" t="n">
        <v>40140</v>
      </c>
      <c r="B1153" t="n">
        <v>3288.72</v>
      </c>
      <c r="C1153" t="n">
        <v>2373.58</v>
      </c>
      <c r="D1153" t="n">
        <v>2472.12</v>
      </c>
      <c r="E1153" t="n">
        <v>2841.15</v>
      </c>
      <c r="F1153" t="n">
        <v>3393.11</v>
      </c>
    </row>
    <row r="1154">
      <c r="A1154" s="3" t="n">
        <v>40141</v>
      </c>
      <c r="B1154" t="n">
        <v>3299.67</v>
      </c>
      <c r="C1154" t="n">
        <v>2372.66</v>
      </c>
      <c r="D1154" t="n">
        <v>2488.6</v>
      </c>
      <c r="E1154" t="n">
        <v>2852.06</v>
      </c>
      <c r="F1154" t="n">
        <v>3411.49</v>
      </c>
    </row>
    <row r="1155">
      <c r="A1155" s="3" t="n">
        <v>40142</v>
      </c>
      <c r="B1155" t="n">
        <v>3303</v>
      </c>
      <c r="C1155" t="n">
        <v>2388.47</v>
      </c>
      <c r="D1155" t="n">
        <v>2505.46</v>
      </c>
      <c r="E1155" t="n">
        <v>2862.12</v>
      </c>
      <c r="F1155" t="n">
        <v>3416.87</v>
      </c>
    </row>
    <row r="1156">
      <c r="A1156" s="3" t="n">
        <v>40143</v>
      </c>
      <c r="B1156" t="n">
        <v>3246.52</v>
      </c>
      <c r="C1156" t="n">
        <v>2365.85</v>
      </c>
      <c r="D1156" t="n">
        <v>2467.8</v>
      </c>
      <c r="E1156" t="n">
        <v>2840.7</v>
      </c>
      <c r="F1156" t="n">
        <v>3359.63</v>
      </c>
    </row>
    <row r="1157">
      <c r="A1157" s="3" t="n">
        <v>40144</v>
      </c>
      <c r="B1157" t="n">
        <v>3229.33</v>
      </c>
      <c r="C1157" t="n">
        <v>2336.87</v>
      </c>
      <c r="D1157" t="n">
        <v>2434.96</v>
      </c>
      <c r="E1157" t="n">
        <v>2817.02</v>
      </c>
      <c r="F1157" t="n">
        <v>3319.21</v>
      </c>
    </row>
    <row r="1158">
      <c r="A1158" s="3" t="n">
        <v>40147</v>
      </c>
      <c r="B1158" t="n">
        <v>3271.72</v>
      </c>
      <c r="C1158" t="n">
        <v>2372.44</v>
      </c>
      <c r="D1158" t="n">
        <v>2476.57</v>
      </c>
      <c r="E1158" t="n">
        <v>2846.08</v>
      </c>
      <c r="F1158" t="n">
        <v>3380.42</v>
      </c>
    </row>
    <row r="1159">
      <c r="A1159" s="3" t="n">
        <v>40148</v>
      </c>
      <c r="B1159" t="n">
        <v>3338.59</v>
      </c>
      <c r="C1159" t="n">
        <v>2397.83</v>
      </c>
      <c r="D1159" t="n">
        <v>2532.29</v>
      </c>
      <c r="E1159" t="n">
        <v>2873.17</v>
      </c>
      <c r="F1159" t="n">
        <v>3429.99</v>
      </c>
    </row>
    <row r="1160">
      <c r="A1160" s="3" t="n">
        <v>40149</v>
      </c>
      <c r="B1160" t="n">
        <v>3342.2</v>
      </c>
      <c r="C1160" t="n">
        <v>2397.19</v>
      </c>
      <c r="D1160" t="n">
        <v>2546.66</v>
      </c>
      <c r="E1160" t="n">
        <v>2882.61</v>
      </c>
      <c r="F1160" t="n">
        <v>3432.28</v>
      </c>
    </row>
    <row r="1161">
      <c r="A1161" s="3" t="n">
        <v>40150</v>
      </c>
      <c r="B1161" t="n">
        <v>3367.86</v>
      </c>
      <c r="C1161" t="n">
        <v>2409.32</v>
      </c>
      <c r="D1161" t="n">
        <v>2556.23</v>
      </c>
      <c r="E1161" t="n">
        <v>2889.23</v>
      </c>
      <c r="F1161" t="n">
        <v>3464.58</v>
      </c>
    </row>
    <row r="1162">
      <c r="A1162" s="3" t="n">
        <v>40151</v>
      </c>
      <c r="B1162" t="n">
        <v>3347.62</v>
      </c>
      <c r="C1162" t="n">
        <v>2409.92</v>
      </c>
      <c r="D1162" t="n">
        <v>2561.66</v>
      </c>
      <c r="E1162" t="n">
        <v>2899.85</v>
      </c>
      <c r="F1162" t="n">
        <v>3464.77</v>
      </c>
    </row>
    <row r="1163">
      <c r="A1163" s="3" t="n">
        <v>40154</v>
      </c>
      <c r="B1163" t="n">
        <v>3327.78</v>
      </c>
      <c r="C1163" t="n">
        <v>2395.98</v>
      </c>
      <c r="D1163" t="n">
        <v>2536.53</v>
      </c>
      <c r="E1163" t="n">
        <v>2887.24</v>
      </c>
      <c r="F1163" t="n">
        <v>3424.57</v>
      </c>
    </row>
    <row r="1164">
      <c r="A1164" s="3" t="n">
        <v>40155</v>
      </c>
      <c r="B1164" t="n">
        <v>3361.16</v>
      </c>
      <c r="C1164" t="n">
        <v>2424.37</v>
      </c>
      <c r="D1164" t="n">
        <v>2582.16</v>
      </c>
      <c r="E1164" t="n">
        <v>2910.75</v>
      </c>
      <c r="F1164" t="n">
        <v>3457.87</v>
      </c>
    </row>
    <row r="1165">
      <c r="A1165" s="3" t="n">
        <v>40156</v>
      </c>
      <c r="B1165" t="n">
        <v>3363.17</v>
      </c>
      <c r="C1165" t="n">
        <v>2425.63</v>
      </c>
      <c r="D1165" t="n">
        <v>2560.71</v>
      </c>
      <c r="E1165" t="n">
        <v>2906.5</v>
      </c>
      <c r="F1165" t="n">
        <v>3435.04</v>
      </c>
    </row>
    <row r="1166">
      <c r="A1166" s="3" t="n">
        <v>40157</v>
      </c>
      <c r="B1166" t="n">
        <v>3351.27</v>
      </c>
      <c r="C1166" t="n">
        <v>2418.92</v>
      </c>
      <c r="D1166" t="n">
        <v>2591.83</v>
      </c>
      <c r="E1166" t="n">
        <v>2903.65</v>
      </c>
      <c r="F1166" t="n">
        <v>3444.92</v>
      </c>
    </row>
    <row r="1167">
      <c r="A1167" s="3" t="n">
        <v>40158</v>
      </c>
      <c r="B1167" t="n">
        <v>3346.68</v>
      </c>
      <c r="C1167" t="n">
        <v>2423.89</v>
      </c>
      <c r="D1167" t="n">
        <v>2558.25</v>
      </c>
      <c r="E1167" t="n">
        <v>2898.33</v>
      </c>
      <c r="F1167" t="n">
        <v>3426.39</v>
      </c>
    </row>
    <row r="1168">
      <c r="A1168" s="3" t="n">
        <v>40161</v>
      </c>
      <c r="B1168" t="n">
        <v>3350.36</v>
      </c>
      <c r="C1168" t="n">
        <v>2425.89</v>
      </c>
      <c r="D1168" t="n">
        <v>2530.22</v>
      </c>
      <c r="E1168" t="n">
        <v>2889.84</v>
      </c>
      <c r="F1168" t="n">
        <v>3408.93</v>
      </c>
    </row>
    <row r="1169">
      <c r="A1169" s="3" t="n">
        <v>40162</v>
      </c>
      <c r="B1169" t="n">
        <v>3301.44</v>
      </c>
      <c r="C1169" t="n">
        <v>2412.03</v>
      </c>
      <c r="D1169" t="n">
        <v>2495.1</v>
      </c>
      <c r="E1169" t="n">
        <v>2874.74</v>
      </c>
      <c r="F1169" t="n">
        <v>3356.38</v>
      </c>
    </row>
    <row r="1170">
      <c r="A1170" s="3" t="n">
        <v>40163</v>
      </c>
      <c r="B1170" t="n">
        <v>3322.22</v>
      </c>
      <c r="C1170" t="n">
        <v>2420.88</v>
      </c>
      <c r="D1170" t="n">
        <v>2507.02</v>
      </c>
      <c r="E1170" t="n">
        <v>2877.7</v>
      </c>
      <c r="F1170" t="n">
        <v>3356.97</v>
      </c>
    </row>
    <row r="1171">
      <c r="A1171" s="3" t="n">
        <v>40164</v>
      </c>
      <c r="B1171" t="n">
        <v>3346.03</v>
      </c>
      <c r="C1171" t="n">
        <v>2439.73</v>
      </c>
      <c r="D1171" t="n">
        <v>2525.33</v>
      </c>
      <c r="E1171" t="n">
        <v>2899.41</v>
      </c>
      <c r="F1171" t="n">
        <v>3382.97</v>
      </c>
    </row>
    <row r="1172">
      <c r="A1172" s="3" t="n">
        <v>40165</v>
      </c>
      <c r="B1172" t="n">
        <v>3338.47</v>
      </c>
      <c r="C1172" t="n">
        <v>2429.47</v>
      </c>
      <c r="D1172" t="n">
        <v>2508.13</v>
      </c>
      <c r="E1172" t="n">
        <v>2896.92</v>
      </c>
      <c r="F1172" t="n">
        <v>3350.89</v>
      </c>
    </row>
    <row r="1173">
      <c r="A1173" s="3" t="n">
        <v>40168</v>
      </c>
      <c r="B1173" t="n">
        <v>3310.59</v>
      </c>
      <c r="C1173" t="n">
        <v>2418.6</v>
      </c>
      <c r="D1173" t="n">
        <v>2494.04</v>
      </c>
      <c r="E1173" t="n">
        <v>2887.94</v>
      </c>
      <c r="F1173" t="n">
        <v>3317.45</v>
      </c>
    </row>
    <row r="1174">
      <c r="A1174" s="3" t="n">
        <v>40169</v>
      </c>
      <c r="B1174" t="n">
        <v>3336.94</v>
      </c>
      <c r="C1174" t="n">
        <v>2436.3</v>
      </c>
      <c r="D1174" t="n">
        <v>2527.68</v>
      </c>
      <c r="E1174" t="n">
        <v>2899.34</v>
      </c>
      <c r="F1174" t="n">
        <v>3350.99</v>
      </c>
    </row>
    <row r="1175">
      <c r="A1175" s="3" t="n">
        <v>40170</v>
      </c>
      <c r="B1175" t="n">
        <v>3396.81</v>
      </c>
      <c r="C1175" t="n">
        <v>2486.52</v>
      </c>
      <c r="D1175" t="n">
        <v>2578.68</v>
      </c>
      <c r="E1175" t="n">
        <v>2943.6</v>
      </c>
      <c r="F1175" t="n">
        <v>3419.4</v>
      </c>
    </row>
    <row r="1176">
      <c r="A1176" s="3" t="n">
        <v>40171</v>
      </c>
      <c r="B1176" t="n">
        <v>3420.54</v>
      </c>
      <c r="C1176" t="n">
        <v>2503.87</v>
      </c>
      <c r="D1176" t="n">
        <v>2595.63</v>
      </c>
      <c r="E1176" t="n">
        <v>2957.38</v>
      </c>
      <c r="F1176" t="n">
        <v>3427.79</v>
      </c>
    </row>
    <row r="1177">
      <c r="A1177" s="3" t="n">
        <v>40176</v>
      </c>
      <c r="B1177" t="n">
        <v>3431.83</v>
      </c>
      <c r="C1177" t="n">
        <v>2501.47</v>
      </c>
      <c r="D1177" t="n">
        <v>2606.02</v>
      </c>
      <c r="E1177" t="n">
        <v>2957.6</v>
      </c>
      <c r="F1177" t="n">
        <v>3436.48</v>
      </c>
    </row>
    <row r="1178">
      <c r="A1178" s="3" t="n">
        <v>40177</v>
      </c>
      <c r="B1178" t="n">
        <v>3445.28</v>
      </c>
      <c r="C1178" t="n">
        <v>2503.75</v>
      </c>
      <c r="D1178" t="n">
        <v>2617.24</v>
      </c>
      <c r="E1178" t="n">
        <v>2957.98</v>
      </c>
      <c r="F1178" t="n">
        <v>3451.61</v>
      </c>
    </row>
    <row r="1179">
      <c r="A1179" s="3" t="n">
        <v>40178</v>
      </c>
      <c r="B1179" t="n">
        <v>3465.99</v>
      </c>
      <c r="C1179" t="n">
        <v>2515.14</v>
      </c>
      <c r="D1179" t="n">
        <v>2627.95</v>
      </c>
      <c r="E1179" t="n">
        <v>2967.71</v>
      </c>
      <c r="F1179" t="n">
        <v>3476.84</v>
      </c>
    </row>
    <row r="1180">
      <c r="A1180" s="3" t="n">
        <v>40182</v>
      </c>
      <c r="B1180" t="n">
        <v>3513.62</v>
      </c>
      <c r="C1180" t="n">
        <v>2543.31</v>
      </c>
      <c r="D1180" t="n">
        <v>2684.96</v>
      </c>
      <c r="E1180" t="n">
        <v>2984.22</v>
      </c>
      <c r="F1180" t="n">
        <v>3521.89</v>
      </c>
    </row>
    <row r="1181">
      <c r="A1181" s="3" t="n">
        <v>40183</v>
      </c>
      <c r="B1181" t="n">
        <v>3534.53</v>
      </c>
      <c r="C1181" t="n">
        <v>2566.41</v>
      </c>
      <c r="D1181" t="n">
        <v>2742.98</v>
      </c>
      <c r="E1181" t="n">
        <v>3007.21</v>
      </c>
      <c r="F1181" t="n">
        <v>3554.25</v>
      </c>
    </row>
    <row r="1182">
      <c r="A1182" s="3" t="n">
        <v>40184</v>
      </c>
      <c r="B1182" t="n">
        <v>3527.5</v>
      </c>
      <c r="C1182" t="n">
        <v>2566.1</v>
      </c>
      <c r="D1182" t="n">
        <v>2755.9</v>
      </c>
      <c r="E1182" t="n">
        <v>3018.56</v>
      </c>
      <c r="F1182" t="n">
        <v>3565.81</v>
      </c>
    </row>
    <row r="1183">
      <c r="A1183" s="3" t="n">
        <v>40185</v>
      </c>
      <c r="B1183" t="n">
        <v>3515.95</v>
      </c>
      <c r="C1183" t="n">
        <v>2549.58</v>
      </c>
      <c r="D1183" t="n">
        <v>2756.29</v>
      </c>
      <c r="E1183" t="n">
        <v>3009.18</v>
      </c>
      <c r="F1183" t="n">
        <v>3561.3</v>
      </c>
    </row>
    <row r="1184">
      <c r="A1184" s="3" t="n">
        <v>40186</v>
      </c>
      <c r="B1184" t="n">
        <v>3506.45</v>
      </c>
      <c r="C1184" t="n">
        <v>2534.43</v>
      </c>
      <c r="D1184" t="n">
        <v>2742.54</v>
      </c>
      <c r="E1184" t="n">
        <v>3013.79</v>
      </c>
      <c r="F1184" t="n">
        <v>3543.29</v>
      </c>
    </row>
    <row r="1185">
      <c r="A1185" s="3" t="n">
        <v>40189</v>
      </c>
      <c r="B1185" t="n">
        <v>3527.42</v>
      </c>
      <c r="C1185" t="n">
        <v>2559.58</v>
      </c>
      <c r="D1185" t="n">
        <v>2777.02</v>
      </c>
      <c r="E1185" t="n">
        <v>3043.57</v>
      </c>
      <c r="F1185" t="n">
        <v>3565.4</v>
      </c>
    </row>
    <row r="1186">
      <c r="A1186" s="3" t="n">
        <v>40190</v>
      </c>
      <c r="B1186" t="n">
        <v>3536.48</v>
      </c>
      <c r="C1186" t="n">
        <v>2554.64</v>
      </c>
      <c r="D1186" t="n">
        <v>2722.93</v>
      </c>
      <c r="E1186" t="n">
        <v>3021.89</v>
      </c>
      <c r="F1186" t="n">
        <v>3568.08</v>
      </c>
    </row>
    <row r="1187">
      <c r="A1187" s="3" t="n">
        <v>40191</v>
      </c>
      <c r="B1187" t="n">
        <v>3559.28</v>
      </c>
      <c r="C1187" t="n">
        <v>2586.67</v>
      </c>
      <c r="D1187" t="n">
        <v>2739.03</v>
      </c>
      <c r="E1187" t="n">
        <v>3046.78</v>
      </c>
      <c r="F1187" t="n">
        <v>3585.74</v>
      </c>
    </row>
    <row r="1188">
      <c r="A1188" s="3" t="n">
        <v>40192</v>
      </c>
      <c r="B1188" t="n">
        <v>3577.68</v>
      </c>
      <c r="C1188" t="n">
        <v>2605.89</v>
      </c>
      <c r="D1188" t="n">
        <v>2755.29</v>
      </c>
      <c r="E1188" t="n">
        <v>3065.53</v>
      </c>
      <c r="F1188" t="n">
        <v>3628.48</v>
      </c>
    </row>
    <row r="1189">
      <c r="A1189" s="3" t="n">
        <v>40193</v>
      </c>
      <c r="B1189" t="n">
        <v>3586.44</v>
      </c>
      <c r="C1189" t="n">
        <v>2601.35</v>
      </c>
      <c r="D1189" t="n">
        <v>2763.94</v>
      </c>
      <c r="E1189" t="n">
        <v>3075.67</v>
      </c>
      <c r="F1189" t="n">
        <v>3622.22</v>
      </c>
    </row>
    <row r="1190">
      <c r="A1190" s="3" t="n">
        <v>40196</v>
      </c>
      <c r="B1190" t="n">
        <v>3601.47</v>
      </c>
      <c r="C1190" t="n">
        <v>2605.9</v>
      </c>
      <c r="D1190" t="n">
        <v>2790</v>
      </c>
      <c r="E1190" t="n">
        <v>3087.06</v>
      </c>
      <c r="F1190" t="n">
        <v>3619.34</v>
      </c>
    </row>
    <row r="1191">
      <c r="A1191" s="3" t="n">
        <v>40197</v>
      </c>
      <c r="B1191" t="n">
        <v>3579.78</v>
      </c>
      <c r="C1191" t="n">
        <v>2579.06</v>
      </c>
      <c r="D1191" t="n">
        <v>2778.79</v>
      </c>
      <c r="E1191" t="n">
        <v>3057.98</v>
      </c>
      <c r="F1191" t="n">
        <v>3597.37</v>
      </c>
    </row>
    <row r="1192">
      <c r="A1192" s="3" t="n">
        <v>40198</v>
      </c>
      <c r="B1192" t="n">
        <v>3584.58</v>
      </c>
      <c r="C1192" t="n">
        <v>2582.18</v>
      </c>
      <c r="D1192" t="n">
        <v>2767.01</v>
      </c>
      <c r="E1192" t="n">
        <v>3061.28</v>
      </c>
      <c r="F1192" t="n">
        <v>3621.99</v>
      </c>
    </row>
    <row r="1193">
      <c r="A1193" s="3" t="n">
        <v>40199</v>
      </c>
      <c r="B1193" t="n">
        <v>3510.78</v>
      </c>
      <c r="C1193" t="n">
        <v>2532.67</v>
      </c>
      <c r="D1193" t="n">
        <v>2700.06</v>
      </c>
      <c r="E1193" t="n">
        <v>3010.89</v>
      </c>
      <c r="F1193" t="n">
        <v>3532.37</v>
      </c>
    </row>
    <row r="1194">
      <c r="A1194" s="3" t="n">
        <v>40200</v>
      </c>
      <c r="B1194" t="n">
        <v>3493.83</v>
      </c>
      <c r="C1194" t="n">
        <v>2514.81</v>
      </c>
      <c r="D1194" t="n">
        <v>2674.99</v>
      </c>
      <c r="E1194" t="n">
        <v>2994.26</v>
      </c>
      <c r="F1194" t="n">
        <v>3493.7</v>
      </c>
    </row>
    <row r="1195">
      <c r="A1195" s="3" t="n">
        <v>40203</v>
      </c>
      <c r="B1195" t="n">
        <v>3411.68</v>
      </c>
      <c r="C1195" t="n">
        <v>2496.26</v>
      </c>
      <c r="D1195" t="n">
        <v>2645.86</v>
      </c>
      <c r="E1195" t="n">
        <v>2978.84</v>
      </c>
      <c r="F1195" t="n">
        <v>3452.14</v>
      </c>
    </row>
    <row r="1196">
      <c r="A1196" s="3" t="n">
        <v>40205</v>
      </c>
      <c r="B1196" t="n">
        <v>3231.75</v>
      </c>
      <c r="C1196" t="n">
        <v>2422.62</v>
      </c>
      <c r="D1196" t="n">
        <v>2530.82</v>
      </c>
      <c r="E1196" t="n">
        <v>2918.72</v>
      </c>
      <c r="F1196" t="n">
        <v>3277.36</v>
      </c>
    </row>
    <row r="1197">
      <c r="A1197" s="3" t="n">
        <v>40206</v>
      </c>
      <c r="B1197" t="n">
        <v>3260.62</v>
      </c>
      <c r="C1197" t="n">
        <v>2432.44</v>
      </c>
      <c r="D1197" t="n">
        <v>2531.18</v>
      </c>
      <c r="E1197" t="n">
        <v>2918.7</v>
      </c>
      <c r="F1197" t="n">
        <v>3301.86</v>
      </c>
    </row>
    <row r="1198">
      <c r="A1198" s="3" t="n">
        <v>40207</v>
      </c>
      <c r="B1198" t="n">
        <v>3260.39</v>
      </c>
      <c r="C1198" t="n">
        <v>2423.39</v>
      </c>
      <c r="D1198" t="n">
        <v>2559.45</v>
      </c>
      <c r="E1198" t="n">
        <v>2920.02</v>
      </c>
      <c r="F1198" t="n">
        <v>3304.75</v>
      </c>
    </row>
    <row r="1199">
      <c r="A1199" s="3" t="n">
        <v>40210</v>
      </c>
      <c r="B1199" t="n">
        <v>3313.44</v>
      </c>
      <c r="C1199" t="n">
        <v>2464.85</v>
      </c>
      <c r="D1199" t="n">
        <v>2604.54</v>
      </c>
      <c r="E1199" t="n">
        <v>2962.94</v>
      </c>
      <c r="F1199" t="n">
        <v>3373.69</v>
      </c>
    </row>
    <row r="1200">
      <c r="A1200" s="3" t="n">
        <v>40211</v>
      </c>
      <c r="B1200" t="n">
        <v>3282.29</v>
      </c>
      <c r="C1200" t="n">
        <v>2441.27</v>
      </c>
      <c r="D1200" t="n">
        <v>2571.99</v>
      </c>
      <c r="E1200" t="n">
        <v>2950.88</v>
      </c>
      <c r="F1200" t="n">
        <v>3335.95</v>
      </c>
    </row>
    <row r="1201">
      <c r="A1201" s="3" t="n">
        <v>40212</v>
      </c>
      <c r="B1201" t="n">
        <v>3347.45</v>
      </c>
      <c r="C1201" t="n">
        <v>2480.09</v>
      </c>
      <c r="D1201" t="n">
        <v>2612.08</v>
      </c>
      <c r="E1201" t="n">
        <v>2987.39</v>
      </c>
      <c r="F1201" t="n">
        <v>3402.62</v>
      </c>
    </row>
    <row r="1202">
      <c r="A1202" s="3" t="n">
        <v>40213</v>
      </c>
      <c r="B1202" t="n">
        <v>3272.67</v>
      </c>
      <c r="C1202" t="n">
        <v>2436.87</v>
      </c>
      <c r="D1202" t="n">
        <v>2550.43</v>
      </c>
      <c r="E1202" t="n">
        <v>2964.46</v>
      </c>
      <c r="F1202" t="n">
        <v>3331.19</v>
      </c>
    </row>
    <row r="1203">
      <c r="A1203" s="3" t="n">
        <v>40214</v>
      </c>
      <c r="B1203" t="n">
        <v>3209.25</v>
      </c>
      <c r="C1203" t="n">
        <v>2387.05</v>
      </c>
      <c r="D1203" t="n">
        <v>2480.25</v>
      </c>
      <c r="E1203" t="n">
        <v>2913.54</v>
      </c>
      <c r="F1203" t="n">
        <v>3232.35</v>
      </c>
    </row>
    <row r="1204">
      <c r="A1204" s="3" t="n">
        <v>40215</v>
      </c>
      <c r="B1204" t="n">
        <v>3250.51</v>
      </c>
      <c r="C1204" t="n">
        <v>2413.69</v>
      </c>
      <c r="D1204" t="n">
        <v>2510.61</v>
      </c>
      <c r="E1204" t="n">
        <v>2942.91</v>
      </c>
      <c r="F1204" t="n">
        <v>3278.25</v>
      </c>
    </row>
    <row r="1205">
      <c r="A1205" s="3" t="n">
        <v>40217</v>
      </c>
      <c r="B1205" t="n">
        <v>3243.97</v>
      </c>
      <c r="C1205" t="n">
        <v>2407.7</v>
      </c>
      <c r="D1205" t="n">
        <v>2508.8</v>
      </c>
      <c r="E1205" t="n">
        <v>2928.96</v>
      </c>
      <c r="F1205" t="n">
        <v>3270.72</v>
      </c>
    </row>
    <row r="1206">
      <c r="A1206" s="3" t="n">
        <v>40218</v>
      </c>
      <c r="B1206" t="n">
        <v>3276.04</v>
      </c>
      <c r="C1206" t="n">
        <v>2428.35</v>
      </c>
      <c r="D1206" t="n">
        <v>2520.61</v>
      </c>
      <c r="E1206" t="n">
        <v>2945.83</v>
      </c>
      <c r="F1206" t="n">
        <v>3309.86</v>
      </c>
    </row>
    <row r="1207">
      <c r="A1207" s="3" t="n">
        <v>40219</v>
      </c>
      <c r="B1207" t="n">
        <v>3273.42</v>
      </c>
      <c r="C1207" t="n">
        <v>2422.4</v>
      </c>
      <c r="D1207" t="n">
        <v>2515.12</v>
      </c>
      <c r="E1207" t="n">
        <v>2948.06</v>
      </c>
      <c r="F1207" t="n">
        <v>3294.65</v>
      </c>
    </row>
    <row r="1208">
      <c r="A1208" s="3" t="n">
        <v>40220</v>
      </c>
      <c r="B1208" t="n">
        <v>3328.77</v>
      </c>
      <c r="C1208" t="n">
        <v>2450</v>
      </c>
      <c r="D1208" t="n">
        <v>2535.35</v>
      </c>
      <c r="E1208" t="n">
        <v>2973.37</v>
      </c>
      <c r="F1208" t="n">
        <v>3346.05</v>
      </c>
    </row>
    <row r="1209">
      <c r="A1209" s="3" t="n">
        <v>40224</v>
      </c>
      <c r="B1209" t="n">
        <v>3338.46</v>
      </c>
      <c r="C1209" t="n">
        <v>2450.59</v>
      </c>
      <c r="D1209" t="n">
        <v>2515.21</v>
      </c>
      <c r="E1209" t="n">
        <v>2966.93</v>
      </c>
      <c r="F1209" t="n">
        <v>3337.05</v>
      </c>
    </row>
    <row r="1210">
      <c r="A1210" s="3" t="n">
        <v>40225</v>
      </c>
      <c r="B1210" t="n">
        <v>3369</v>
      </c>
      <c r="C1210" t="n">
        <v>2473.26</v>
      </c>
      <c r="D1210" t="n">
        <v>2542.4</v>
      </c>
      <c r="E1210" t="n">
        <v>2984.3</v>
      </c>
      <c r="F1210" t="n">
        <v>3356.15</v>
      </c>
    </row>
    <row r="1211">
      <c r="A1211" s="3" t="n">
        <v>40226</v>
      </c>
      <c r="B1211" t="n">
        <v>3398.54</v>
      </c>
      <c r="C1211" t="n">
        <v>2488</v>
      </c>
      <c r="D1211" t="n">
        <v>2584.33</v>
      </c>
      <c r="E1211" t="n">
        <v>2998.18</v>
      </c>
      <c r="F1211" t="n">
        <v>3392.42</v>
      </c>
    </row>
    <row r="1212">
      <c r="A1212" s="3" t="n">
        <v>40227</v>
      </c>
      <c r="B1212" t="n">
        <v>3370.71</v>
      </c>
      <c r="C1212" t="n">
        <v>2481.24</v>
      </c>
      <c r="D1212" t="n">
        <v>2588.56</v>
      </c>
      <c r="E1212" t="n">
        <v>2987.73</v>
      </c>
      <c r="F1212" t="n">
        <v>3363</v>
      </c>
    </row>
    <row r="1213">
      <c r="A1213" s="3" t="n">
        <v>40228</v>
      </c>
      <c r="B1213" t="n">
        <v>3343.97</v>
      </c>
      <c r="C1213" t="n">
        <v>2463.11</v>
      </c>
      <c r="D1213" t="n">
        <v>2555.48</v>
      </c>
      <c r="E1213" t="n">
        <v>2968.17</v>
      </c>
      <c r="F1213" t="n">
        <v>3302.97</v>
      </c>
    </row>
    <row r="1214">
      <c r="A1214" s="3" t="n">
        <v>40231</v>
      </c>
      <c r="B1214" t="n">
        <v>3344.37</v>
      </c>
      <c r="C1214" t="n">
        <v>2463.4</v>
      </c>
      <c r="D1214" t="n">
        <v>2555.41</v>
      </c>
      <c r="E1214" t="n">
        <v>2964.02</v>
      </c>
      <c r="F1214" t="n">
        <v>3284.5</v>
      </c>
    </row>
    <row r="1215">
      <c r="A1215" s="3" t="n">
        <v>40232</v>
      </c>
      <c r="B1215" t="n">
        <v>3319.69</v>
      </c>
      <c r="C1215" t="n">
        <v>2463.79</v>
      </c>
      <c r="D1215" t="n">
        <v>2528.36</v>
      </c>
      <c r="E1215" t="n">
        <v>2957.69</v>
      </c>
      <c r="F1215" t="n">
        <v>3262.82</v>
      </c>
    </row>
    <row r="1216">
      <c r="A1216" s="3" t="n">
        <v>40233</v>
      </c>
      <c r="B1216" t="n">
        <v>3304.71</v>
      </c>
      <c r="C1216" t="n">
        <v>2456.93</v>
      </c>
      <c r="D1216" t="n">
        <v>2514.77</v>
      </c>
      <c r="E1216" t="n">
        <v>2935.92</v>
      </c>
      <c r="F1216" t="n">
        <v>3244.22</v>
      </c>
    </row>
    <row r="1217">
      <c r="A1217" s="3" t="n">
        <v>40234</v>
      </c>
      <c r="B1217" t="n">
        <v>3265.18</v>
      </c>
      <c r="C1217" t="n">
        <v>2457.36</v>
      </c>
      <c r="D1217" t="n">
        <v>2494.27</v>
      </c>
      <c r="E1217" t="n">
        <v>2919.98</v>
      </c>
      <c r="F1217" t="n">
        <v>3221.04</v>
      </c>
    </row>
    <row r="1218">
      <c r="A1218" s="3" t="n">
        <v>40235</v>
      </c>
      <c r="B1218" t="n">
        <v>3323.38</v>
      </c>
      <c r="C1218" t="n">
        <v>2477.48</v>
      </c>
      <c r="D1218" t="n">
        <v>2533.29</v>
      </c>
      <c r="E1218" t="n">
        <v>2957.2</v>
      </c>
      <c r="F1218" t="n">
        <v>3277.25</v>
      </c>
    </row>
    <row r="1219">
      <c r="A1219" s="3" t="n">
        <v>40239</v>
      </c>
      <c r="B1219" t="n">
        <v>3418.31</v>
      </c>
      <c r="C1219" t="n">
        <v>2525.85</v>
      </c>
      <c r="D1219" t="n">
        <v>2569.91</v>
      </c>
      <c r="E1219" t="n">
        <v>3000</v>
      </c>
      <c r="F1219" t="n">
        <v>3365.74</v>
      </c>
    </row>
    <row r="1220">
      <c r="A1220" s="3" t="n">
        <v>40240</v>
      </c>
      <c r="B1220" t="n">
        <v>3469.57</v>
      </c>
      <c r="C1220" t="n">
        <v>2548.39</v>
      </c>
      <c r="D1220" t="n">
        <v>2610.3</v>
      </c>
      <c r="E1220" t="n">
        <v>3030.4</v>
      </c>
      <c r="F1220" t="n">
        <v>3424.85</v>
      </c>
    </row>
    <row r="1221">
      <c r="A1221" s="3" t="n">
        <v>40241</v>
      </c>
      <c r="B1221" t="n">
        <v>3479.46</v>
      </c>
      <c r="C1221" t="n">
        <v>2569.14</v>
      </c>
      <c r="D1221" t="n">
        <v>2635.61</v>
      </c>
      <c r="E1221" t="n">
        <v>3039.41</v>
      </c>
      <c r="F1221" t="n">
        <v>3465.44</v>
      </c>
    </row>
    <row r="1222">
      <c r="A1222" s="3" t="n">
        <v>40242</v>
      </c>
      <c r="B1222" t="n">
        <v>3489.68</v>
      </c>
      <c r="C1222" t="n">
        <v>2577.42</v>
      </c>
      <c r="D1222" t="n">
        <v>2659.63</v>
      </c>
      <c r="E1222" t="n">
        <v>3053.9</v>
      </c>
      <c r="F1222" t="n">
        <v>3481.61</v>
      </c>
    </row>
    <row r="1223">
      <c r="A1223" s="3" t="n">
        <v>40245</v>
      </c>
      <c r="B1223" t="n">
        <v>3525.4</v>
      </c>
      <c r="C1223" t="n">
        <v>2607.81</v>
      </c>
      <c r="D1223" t="n">
        <v>2676.68</v>
      </c>
      <c r="E1223" t="n">
        <v>3084.03</v>
      </c>
      <c r="F1223" t="n">
        <v>3504.44</v>
      </c>
    </row>
    <row r="1224">
      <c r="A1224" s="3" t="n">
        <v>40246</v>
      </c>
      <c r="B1224" t="n">
        <v>3508.14</v>
      </c>
      <c r="C1224" t="n">
        <v>2602.17</v>
      </c>
      <c r="D1224" t="n">
        <v>2644.21</v>
      </c>
      <c r="E1224" t="n">
        <v>3077.76</v>
      </c>
      <c r="F1224" t="n">
        <v>3481.01</v>
      </c>
    </row>
    <row r="1225">
      <c r="A1225" s="3" t="n">
        <v>40247</v>
      </c>
      <c r="B1225" t="n">
        <v>3501.55</v>
      </c>
      <c r="C1225" t="n">
        <v>2604.2</v>
      </c>
      <c r="D1225" t="n">
        <v>2638.75</v>
      </c>
      <c r="E1225" t="n">
        <v>3082.33</v>
      </c>
      <c r="F1225" t="n">
        <v>3473.03</v>
      </c>
    </row>
    <row r="1226">
      <c r="A1226" s="3" t="n">
        <v>40248</v>
      </c>
      <c r="B1226" t="n">
        <v>3491.64</v>
      </c>
      <c r="C1226" t="n">
        <v>2610.44</v>
      </c>
      <c r="D1226" t="n">
        <v>2615.34</v>
      </c>
      <c r="E1226" t="n">
        <v>3088.93</v>
      </c>
      <c r="F1226" t="n">
        <v>3460.79</v>
      </c>
    </row>
    <row r="1227">
      <c r="A1227" s="3" t="n">
        <v>40249</v>
      </c>
      <c r="B1227" t="n">
        <v>3499.13</v>
      </c>
      <c r="C1227" t="n">
        <v>2611.33</v>
      </c>
      <c r="D1227" t="n">
        <v>2622.08</v>
      </c>
      <c r="E1227" t="n">
        <v>3081.53</v>
      </c>
      <c r="F1227" t="n">
        <v>3465.67</v>
      </c>
    </row>
    <row r="1228">
      <c r="A1228" s="3" t="n">
        <v>40252</v>
      </c>
      <c r="B1228" t="n">
        <v>3485.44</v>
      </c>
      <c r="C1228" t="n">
        <v>2610.07</v>
      </c>
      <c r="D1228" t="n">
        <v>2607.83</v>
      </c>
      <c r="E1228" t="n">
        <v>3076.44</v>
      </c>
      <c r="F1228" t="n">
        <v>3447.66</v>
      </c>
    </row>
    <row r="1229">
      <c r="A1229" s="3" t="n">
        <v>40253</v>
      </c>
      <c r="B1229" t="n">
        <v>3521.51</v>
      </c>
      <c r="C1229" t="n">
        <v>2629.69</v>
      </c>
      <c r="D1229" t="n">
        <v>2641.11</v>
      </c>
      <c r="E1229" t="n">
        <v>3095.96</v>
      </c>
      <c r="F1229" t="n">
        <v>3490.29</v>
      </c>
    </row>
    <row r="1230">
      <c r="A1230" s="3" t="n">
        <v>40254</v>
      </c>
      <c r="B1230" t="n">
        <v>3530.34</v>
      </c>
      <c r="C1230" t="n">
        <v>2644.72</v>
      </c>
      <c r="D1230" t="n">
        <v>2642.44</v>
      </c>
      <c r="E1230" t="n">
        <v>3113.69</v>
      </c>
      <c r="F1230" t="n">
        <v>3513.27</v>
      </c>
    </row>
    <row r="1231">
      <c r="A1231" s="3" t="n">
        <v>40255</v>
      </c>
      <c r="B1231" t="n">
        <v>3521.41</v>
      </c>
      <c r="C1231" t="n">
        <v>2644.67</v>
      </c>
      <c r="D1231" t="n">
        <v>2643.59</v>
      </c>
      <c r="E1231" t="n">
        <v>3121.77</v>
      </c>
      <c r="F1231" t="n">
        <v>3527.12</v>
      </c>
    </row>
    <row r="1232">
      <c r="A1232" s="3" t="n">
        <v>40256</v>
      </c>
      <c r="B1232" t="n">
        <v>3523.67</v>
      </c>
      <c r="C1232" t="n">
        <v>2654.85</v>
      </c>
      <c r="D1232" t="n">
        <v>2642.94</v>
      </c>
      <c r="E1232" t="n">
        <v>3141.23</v>
      </c>
      <c r="F1232" t="n">
        <v>3534.67</v>
      </c>
    </row>
    <row r="1233">
      <c r="A1233" s="3" t="n">
        <v>40259</v>
      </c>
      <c r="B1233" t="n">
        <v>3487.47</v>
      </c>
      <c r="C1233" t="n">
        <v>2640.26</v>
      </c>
      <c r="D1233" t="n">
        <v>2608.96</v>
      </c>
      <c r="E1233" t="n">
        <v>3131.88</v>
      </c>
      <c r="F1233" t="n">
        <v>3496.54</v>
      </c>
    </row>
    <row r="1234">
      <c r="A1234" s="3" t="n">
        <v>40260</v>
      </c>
      <c r="B1234" t="n">
        <v>3479.1</v>
      </c>
      <c r="C1234" t="n">
        <v>2649.4</v>
      </c>
      <c r="D1234" t="n">
        <v>2610.94</v>
      </c>
      <c r="E1234" t="n">
        <v>3140.01</v>
      </c>
      <c r="F1234" t="n">
        <v>3511.4</v>
      </c>
    </row>
    <row r="1235">
      <c r="A1235" s="3" t="n">
        <v>40262</v>
      </c>
      <c r="B1235" t="n">
        <v>3503.43</v>
      </c>
      <c r="C1235" t="n">
        <v>2664.22</v>
      </c>
      <c r="D1235" t="n">
        <v>2604.21</v>
      </c>
      <c r="E1235" t="n">
        <v>3157.48</v>
      </c>
      <c r="F1235" t="n">
        <v>3531.84</v>
      </c>
    </row>
    <row r="1236">
      <c r="A1236" s="3" t="n">
        <v>40263</v>
      </c>
      <c r="B1236" t="n">
        <v>3537.08</v>
      </c>
      <c r="C1236" t="n">
        <v>2672.45</v>
      </c>
      <c r="D1236" t="n">
        <v>2632.13</v>
      </c>
      <c r="E1236" t="n">
        <v>3157.5</v>
      </c>
      <c r="F1236" t="n">
        <v>3554.92</v>
      </c>
    </row>
    <row r="1237">
      <c r="A1237" s="3" t="n">
        <v>40266</v>
      </c>
      <c r="B1237" t="n">
        <v>3535.74</v>
      </c>
      <c r="C1237" t="n">
        <v>2674.5</v>
      </c>
      <c r="D1237" t="n">
        <v>2672.23</v>
      </c>
      <c r="E1237" t="n">
        <v>3165.09</v>
      </c>
      <c r="F1237" t="n">
        <v>3542.25</v>
      </c>
    </row>
    <row r="1238">
      <c r="A1238" s="3" t="n">
        <v>40267</v>
      </c>
      <c r="B1238" t="n">
        <v>3506.02</v>
      </c>
      <c r="C1238" t="n">
        <v>2659.22</v>
      </c>
      <c r="D1238" t="n">
        <v>2688.87</v>
      </c>
      <c r="E1238" t="n">
        <v>3161.01</v>
      </c>
      <c r="F1238" t="n">
        <v>3526.17</v>
      </c>
    </row>
    <row r="1239">
      <c r="A1239" s="3" t="n">
        <v>40268</v>
      </c>
      <c r="B1239" t="n">
        <v>3514.83</v>
      </c>
      <c r="C1239" t="n">
        <v>2668.01</v>
      </c>
      <c r="D1239" t="n">
        <v>2689.58</v>
      </c>
      <c r="E1239" t="n">
        <v>3165.39</v>
      </c>
      <c r="F1239" t="n">
        <v>3529.18</v>
      </c>
    </row>
    <row r="1240">
      <c r="A1240" s="3" t="n">
        <v>40269</v>
      </c>
      <c r="B1240" t="n">
        <v>3547.99</v>
      </c>
      <c r="C1240" t="n">
        <v>2681.04</v>
      </c>
      <c r="D1240" t="n">
        <v>2705.36</v>
      </c>
      <c r="E1240" t="n">
        <v>3175.73</v>
      </c>
      <c r="F1240" t="n">
        <v>3579.97</v>
      </c>
    </row>
    <row r="1241">
      <c r="A1241" s="3" t="n">
        <v>40273</v>
      </c>
      <c r="B1241" t="n">
        <v>3603.48</v>
      </c>
      <c r="C1241" t="n">
        <v>2703.19</v>
      </c>
      <c r="D1241" t="n">
        <v>2742.64</v>
      </c>
      <c r="E1241" t="n">
        <v>3218.12</v>
      </c>
      <c r="F1241" t="n">
        <v>3629.15</v>
      </c>
    </row>
    <row r="1242">
      <c r="A1242" s="3" t="n">
        <v>40274</v>
      </c>
      <c r="B1242" t="n">
        <v>3587.33</v>
      </c>
      <c r="C1242" t="n">
        <v>2690.73</v>
      </c>
      <c r="D1242" t="n">
        <v>2770.15</v>
      </c>
      <c r="E1242" t="n">
        <v>3221.05</v>
      </c>
      <c r="F1242" t="n">
        <v>3629.89</v>
      </c>
    </row>
    <row r="1243">
      <c r="A1243" s="3" t="n">
        <v>40275</v>
      </c>
      <c r="B1243" t="n">
        <v>3594.48</v>
      </c>
      <c r="C1243" t="n">
        <v>2698.3</v>
      </c>
      <c r="D1243" t="n">
        <v>2786.81</v>
      </c>
      <c r="E1243" t="n">
        <v>3228.03</v>
      </c>
      <c r="F1243" t="n">
        <v>3648.02</v>
      </c>
    </row>
    <row r="1244">
      <c r="A1244" s="3" t="n">
        <v>40276</v>
      </c>
      <c r="B1244" t="n">
        <v>3579.63</v>
      </c>
      <c r="C1244" t="n">
        <v>2684.09</v>
      </c>
      <c r="D1244" t="n">
        <v>2766.93</v>
      </c>
      <c r="E1244" t="n">
        <v>3214.09</v>
      </c>
      <c r="F1244" t="n">
        <v>3625.21</v>
      </c>
    </row>
    <row r="1245">
      <c r="A1245" s="3" t="n">
        <v>40277</v>
      </c>
      <c r="B1245" t="n">
        <v>3584.82</v>
      </c>
      <c r="C1245" t="n">
        <v>2688.22</v>
      </c>
      <c r="D1245" t="n">
        <v>2789.74</v>
      </c>
      <c r="E1245" t="n">
        <v>3226.42</v>
      </c>
      <c r="F1245" t="n">
        <v>3650.73</v>
      </c>
    </row>
    <row r="1246">
      <c r="A1246" s="3" t="n">
        <v>40280</v>
      </c>
      <c r="B1246" t="n">
        <v>3578.14</v>
      </c>
      <c r="C1246" t="n">
        <v>2690.86</v>
      </c>
      <c r="D1246" t="n">
        <v>2782.66</v>
      </c>
      <c r="E1246" t="n">
        <v>3218.1</v>
      </c>
      <c r="F1246" t="n">
        <v>3639.5</v>
      </c>
    </row>
    <row r="1247">
      <c r="A1247" s="3" t="n">
        <v>40281</v>
      </c>
      <c r="B1247" t="n">
        <v>3590.62</v>
      </c>
      <c r="C1247" t="n">
        <v>2692.93</v>
      </c>
      <c r="D1247" t="n">
        <v>2771.13</v>
      </c>
      <c r="E1247" t="n">
        <v>3214.1</v>
      </c>
      <c r="F1247" t="n">
        <v>3636.51</v>
      </c>
    </row>
    <row r="1248">
      <c r="A1248" s="3" t="n">
        <v>40283</v>
      </c>
      <c r="B1248" t="n">
        <v>3592.14</v>
      </c>
      <c r="C1248" t="n">
        <v>2695.19</v>
      </c>
      <c r="D1248" t="n">
        <v>2761.67</v>
      </c>
      <c r="E1248" t="n">
        <v>3217.17</v>
      </c>
      <c r="F1248" t="n">
        <v>3625.74</v>
      </c>
    </row>
    <row r="1249">
      <c r="A1249" s="3" t="n">
        <v>40284</v>
      </c>
      <c r="B1249" t="n">
        <v>3577.96</v>
      </c>
      <c r="C1249" t="n">
        <v>2698.97</v>
      </c>
      <c r="D1249" t="n">
        <v>2761.22</v>
      </c>
      <c r="E1249" t="n">
        <v>3213.54</v>
      </c>
      <c r="F1249" t="n">
        <v>3604.37</v>
      </c>
    </row>
    <row r="1250">
      <c r="A1250" s="3" t="n">
        <v>40287</v>
      </c>
      <c r="B1250" t="n">
        <v>3544.72</v>
      </c>
      <c r="C1250" t="n">
        <v>2660.96</v>
      </c>
      <c r="D1250" t="n">
        <v>2727.17</v>
      </c>
      <c r="E1250" t="n">
        <v>3179.15</v>
      </c>
      <c r="F1250" t="n">
        <v>3575.35</v>
      </c>
    </row>
    <row r="1251">
      <c r="A1251" s="3" t="n">
        <v>40288</v>
      </c>
      <c r="B1251" t="n">
        <v>3560.63</v>
      </c>
      <c r="C1251" t="n">
        <v>2665.14</v>
      </c>
      <c r="D1251" t="n">
        <v>2768.78</v>
      </c>
      <c r="E1251" t="n">
        <v>3193.17</v>
      </c>
      <c r="F1251" t="n">
        <v>3610.7</v>
      </c>
    </row>
    <row r="1252">
      <c r="A1252" s="3" t="n">
        <v>40289</v>
      </c>
      <c r="B1252" t="n">
        <v>3607.3</v>
      </c>
      <c r="C1252" t="n">
        <v>2684.66</v>
      </c>
      <c r="D1252" t="n">
        <v>2785.78</v>
      </c>
      <c r="E1252" t="n">
        <v>3201.96</v>
      </c>
      <c r="F1252" t="n">
        <v>3640.2</v>
      </c>
    </row>
    <row r="1253">
      <c r="A1253" s="3" t="n">
        <v>40290</v>
      </c>
      <c r="B1253" t="n">
        <v>3625.56</v>
      </c>
      <c r="C1253" t="n">
        <v>2687.56</v>
      </c>
      <c r="D1253" t="n">
        <v>2792.41</v>
      </c>
      <c r="E1253" t="n">
        <v>3208.81</v>
      </c>
      <c r="F1253" t="n">
        <v>3639.12</v>
      </c>
    </row>
    <row r="1254">
      <c r="A1254" s="3" t="n">
        <v>40291</v>
      </c>
      <c r="B1254" t="n">
        <v>3631.52</v>
      </c>
      <c r="C1254" t="n">
        <v>2682.58</v>
      </c>
      <c r="D1254" t="n">
        <v>2808.83</v>
      </c>
      <c r="E1254" t="n">
        <v>3218.06</v>
      </c>
      <c r="F1254" t="n">
        <v>3650.85</v>
      </c>
    </row>
    <row r="1255">
      <c r="A1255" s="3" t="n">
        <v>40294</v>
      </c>
      <c r="B1255" t="n">
        <v>3655.87</v>
      </c>
      <c r="C1255" t="n">
        <v>2691.4</v>
      </c>
      <c r="D1255" t="n">
        <v>2842.93</v>
      </c>
      <c r="E1255" t="n">
        <v>3224.18</v>
      </c>
      <c r="F1255" t="n">
        <v>3681.8</v>
      </c>
    </row>
    <row r="1256">
      <c r="A1256" s="3" t="n">
        <v>40295</v>
      </c>
      <c r="B1256" t="n">
        <v>3645.75</v>
      </c>
      <c r="C1256" t="n">
        <v>2685.95</v>
      </c>
      <c r="D1256" t="n">
        <v>2834.58</v>
      </c>
      <c r="E1256" t="n">
        <v>3220.25</v>
      </c>
      <c r="F1256" t="n">
        <v>3649.56</v>
      </c>
    </row>
    <row r="1257">
      <c r="A1257" s="3" t="n">
        <v>40296</v>
      </c>
      <c r="B1257" t="n">
        <v>3595.73</v>
      </c>
      <c r="C1257" t="n">
        <v>2661.55</v>
      </c>
      <c r="D1257" t="n">
        <v>2790.73</v>
      </c>
      <c r="E1257" t="n">
        <v>3197.65</v>
      </c>
      <c r="F1257" t="n">
        <v>3594.32</v>
      </c>
    </row>
    <row r="1258">
      <c r="A1258" s="3" t="n">
        <v>40297</v>
      </c>
      <c r="B1258" t="n">
        <v>3626.65</v>
      </c>
      <c r="C1258" t="n">
        <v>2656.41</v>
      </c>
      <c r="D1258" t="n">
        <v>2813.86</v>
      </c>
      <c r="E1258" t="n">
        <v>3190.2</v>
      </c>
      <c r="F1258" t="n">
        <v>3628.01</v>
      </c>
    </row>
    <row r="1259">
      <c r="A1259" s="3" t="n">
        <v>40298</v>
      </c>
      <c r="B1259" t="n">
        <v>3645.38</v>
      </c>
      <c r="C1259" t="n">
        <v>2670.98</v>
      </c>
      <c r="D1259" t="n">
        <v>2851.91</v>
      </c>
      <c r="E1259" t="n">
        <v>3216.44</v>
      </c>
      <c r="F1259" t="n">
        <v>3659.35</v>
      </c>
    </row>
    <row r="1260">
      <c r="A1260" s="3" t="n">
        <v>40301</v>
      </c>
      <c r="B1260" t="n">
        <v>3598.67</v>
      </c>
      <c r="C1260" t="n">
        <v>2647.56</v>
      </c>
      <c r="D1260" t="n">
        <v>2835.23</v>
      </c>
      <c r="E1260" t="n">
        <v>3199.19</v>
      </c>
      <c r="F1260" t="n">
        <v>3616.14</v>
      </c>
    </row>
    <row r="1261">
      <c r="A1261" s="3" t="n">
        <v>40302</v>
      </c>
      <c r="B1261" t="n">
        <v>3548.65</v>
      </c>
      <c r="C1261" t="n">
        <v>2613.37</v>
      </c>
      <c r="D1261" t="n">
        <v>2779.4</v>
      </c>
      <c r="E1261" t="n">
        <v>3165.99</v>
      </c>
      <c r="F1261" t="n">
        <v>3549.55</v>
      </c>
    </row>
    <row r="1262">
      <c r="A1262" s="3" t="n">
        <v>40303</v>
      </c>
      <c r="B1262" t="n">
        <v>3561.33</v>
      </c>
      <c r="C1262" t="n">
        <v>2614.5</v>
      </c>
      <c r="D1262" t="n">
        <v>2795.58</v>
      </c>
      <c r="E1262" t="n">
        <v>3172.88</v>
      </c>
      <c r="F1262" t="n">
        <v>3541.19</v>
      </c>
    </row>
    <row r="1263">
      <c r="A1263" s="3" t="n">
        <v>40304</v>
      </c>
      <c r="B1263" t="n">
        <v>3543.72</v>
      </c>
      <c r="C1263" t="n">
        <v>2591.28</v>
      </c>
      <c r="D1263" t="n">
        <v>2791.67</v>
      </c>
      <c r="E1263" t="n">
        <v>3171.37</v>
      </c>
      <c r="F1263" t="n">
        <v>3551.96</v>
      </c>
    </row>
    <row r="1264">
      <c r="A1264" s="3" t="n">
        <v>40305</v>
      </c>
      <c r="B1264" t="n">
        <v>3442.1</v>
      </c>
      <c r="C1264" t="n">
        <v>2551.6</v>
      </c>
      <c r="D1264" t="n">
        <v>2723.98</v>
      </c>
      <c r="E1264" t="n">
        <v>3133.15</v>
      </c>
      <c r="F1264" t="n">
        <v>3448.29</v>
      </c>
    </row>
    <row r="1265">
      <c r="A1265" s="3" t="n">
        <v>40308</v>
      </c>
      <c r="B1265" t="n">
        <v>3556.36</v>
      </c>
      <c r="C1265" t="n">
        <v>2613.5</v>
      </c>
      <c r="D1265" t="n">
        <v>2782.45</v>
      </c>
      <c r="E1265" t="n">
        <v>3176.31</v>
      </c>
      <c r="F1265" t="n">
        <v>3545.51</v>
      </c>
    </row>
    <row r="1266">
      <c r="A1266" s="3" t="n">
        <v>40309</v>
      </c>
      <c r="B1266" t="n">
        <v>3519.24</v>
      </c>
      <c r="C1266" t="n">
        <v>2582.61</v>
      </c>
      <c r="D1266" t="n">
        <v>2758.22</v>
      </c>
      <c r="E1266" t="n">
        <v>3159.24</v>
      </c>
      <c r="F1266" t="n">
        <v>3491.99</v>
      </c>
    </row>
    <row r="1267">
      <c r="A1267" s="3" t="n">
        <v>40310</v>
      </c>
      <c r="B1267" t="n">
        <v>3544.14</v>
      </c>
      <c r="C1267" t="n">
        <v>2592.75</v>
      </c>
      <c r="D1267" t="n">
        <v>2765.46</v>
      </c>
      <c r="E1267" t="n">
        <v>3178.9</v>
      </c>
      <c r="F1267" t="n">
        <v>3506.77</v>
      </c>
    </row>
    <row r="1268">
      <c r="A1268" s="3" t="n">
        <v>40311</v>
      </c>
      <c r="B1268" t="n">
        <v>3579.77</v>
      </c>
      <c r="C1268" t="n">
        <v>2608.9</v>
      </c>
      <c r="D1268" t="n">
        <v>2774.93</v>
      </c>
      <c r="E1268" t="n">
        <v>3188.39</v>
      </c>
      <c r="F1268" t="n">
        <v>3532.84</v>
      </c>
    </row>
    <row r="1269">
      <c r="A1269" s="3" t="n">
        <v>40312</v>
      </c>
      <c r="B1269" t="n">
        <v>3541.31</v>
      </c>
      <c r="C1269" t="n">
        <v>2590</v>
      </c>
      <c r="D1269" t="n">
        <v>2755.6</v>
      </c>
      <c r="E1269" t="n">
        <v>3170.3</v>
      </c>
      <c r="F1269" t="n">
        <v>3489.75</v>
      </c>
    </row>
    <row r="1270">
      <c r="A1270" s="3" t="n">
        <v>40315</v>
      </c>
      <c r="B1270" t="n">
        <v>3516.22</v>
      </c>
      <c r="C1270" t="n">
        <v>2590.77</v>
      </c>
      <c r="D1270" t="n">
        <v>2750.93</v>
      </c>
      <c r="E1270" t="n">
        <v>3156.35</v>
      </c>
      <c r="F1270" t="n">
        <v>3465.21</v>
      </c>
    </row>
    <row r="1271">
      <c r="A1271" s="3" t="n">
        <v>40316</v>
      </c>
      <c r="B1271" t="n">
        <v>3519.44</v>
      </c>
      <c r="C1271" t="n">
        <v>2589.26</v>
      </c>
      <c r="D1271" t="n">
        <v>2755.7</v>
      </c>
      <c r="E1271" t="n">
        <v>3171.97</v>
      </c>
      <c r="F1271" t="n">
        <v>3469.84</v>
      </c>
    </row>
    <row r="1272">
      <c r="A1272" s="3" t="n">
        <v>40317</v>
      </c>
      <c r="B1272" t="n">
        <v>3415.05</v>
      </c>
      <c r="C1272" t="n">
        <v>2533.87</v>
      </c>
      <c r="D1272" t="n">
        <v>2686.91</v>
      </c>
      <c r="E1272" t="n">
        <v>3130.74</v>
      </c>
      <c r="F1272" t="n">
        <v>3353.69</v>
      </c>
    </row>
    <row r="1273">
      <c r="A1273" s="3" t="n">
        <v>40318</v>
      </c>
      <c r="B1273" t="n">
        <v>3422.13</v>
      </c>
      <c r="C1273" t="n">
        <v>2537.01</v>
      </c>
      <c r="D1273" t="n">
        <v>2688.44</v>
      </c>
      <c r="E1273" t="n">
        <v>3141.51</v>
      </c>
      <c r="F1273" t="n">
        <v>3360.12</v>
      </c>
    </row>
    <row r="1274">
      <c r="A1274" s="3" t="n">
        <v>40319</v>
      </c>
      <c r="B1274" t="n">
        <v>3379</v>
      </c>
      <c r="C1274" t="n">
        <v>2520.41</v>
      </c>
      <c r="D1274" t="n">
        <v>2660.73</v>
      </c>
      <c r="E1274" t="n">
        <v>3131.39</v>
      </c>
      <c r="F1274" t="n">
        <v>3307.06</v>
      </c>
    </row>
    <row r="1275">
      <c r="A1275" s="3" t="n">
        <v>40322</v>
      </c>
      <c r="B1275" t="n">
        <v>3376.37</v>
      </c>
      <c r="C1275" t="n">
        <v>2534.04</v>
      </c>
      <c r="D1275" t="n">
        <v>2664.75</v>
      </c>
      <c r="E1275" t="n">
        <v>3132.56</v>
      </c>
      <c r="F1275" t="n">
        <v>3311.51</v>
      </c>
    </row>
    <row r="1276">
      <c r="A1276" s="3" t="n">
        <v>40323</v>
      </c>
      <c r="B1276" t="n">
        <v>3262.21</v>
      </c>
      <c r="C1276" t="n">
        <v>2464.63</v>
      </c>
      <c r="D1276" t="n">
        <v>2591.55</v>
      </c>
      <c r="E1276" t="n">
        <v>3079.34</v>
      </c>
      <c r="F1276" t="n">
        <v>3190.67</v>
      </c>
    </row>
    <row r="1277">
      <c r="A1277" s="3" t="n">
        <v>40324</v>
      </c>
      <c r="B1277" t="n">
        <v>3329.02</v>
      </c>
      <c r="C1277" t="n">
        <v>2508.99</v>
      </c>
      <c r="D1277" t="n">
        <v>2610.04</v>
      </c>
      <c r="E1277" t="n">
        <v>3113.54</v>
      </c>
      <c r="F1277" t="n">
        <v>3246.45</v>
      </c>
    </row>
    <row r="1278">
      <c r="A1278" s="3" t="n">
        <v>40325</v>
      </c>
      <c r="B1278" t="n">
        <v>3365</v>
      </c>
      <c r="C1278" t="n">
        <v>2536.72</v>
      </c>
      <c r="D1278" t="n">
        <v>2641.43</v>
      </c>
      <c r="E1278" t="n">
        <v>3152.01</v>
      </c>
      <c r="F1278" t="n">
        <v>3273.95</v>
      </c>
    </row>
    <row r="1279">
      <c r="A1279" s="3" t="n">
        <v>40326</v>
      </c>
      <c r="B1279" t="n">
        <v>3425.8</v>
      </c>
      <c r="C1279" t="n">
        <v>2585.45</v>
      </c>
      <c r="D1279" t="n">
        <v>2675.63</v>
      </c>
      <c r="E1279" t="n">
        <v>3190.56</v>
      </c>
      <c r="F1279" t="n">
        <v>3340.93</v>
      </c>
    </row>
    <row r="1280">
      <c r="A1280" s="3" t="n">
        <v>40329</v>
      </c>
      <c r="B1280" t="n">
        <v>3471.2</v>
      </c>
      <c r="C1280" t="n">
        <v>2600.36</v>
      </c>
      <c r="D1280" t="n">
        <v>2709.77</v>
      </c>
      <c r="E1280" t="n">
        <v>3221.24</v>
      </c>
      <c r="F1280" t="n">
        <v>3384.99</v>
      </c>
    </row>
    <row r="1281">
      <c r="A1281" s="3" t="n">
        <v>40330</v>
      </c>
      <c r="B1281" t="n">
        <v>3404.51</v>
      </c>
      <c r="C1281" t="n">
        <v>2566.56</v>
      </c>
      <c r="D1281" t="n">
        <v>2669.52</v>
      </c>
      <c r="E1281" t="n">
        <v>3198.31</v>
      </c>
      <c r="F1281" t="n">
        <v>3332.71</v>
      </c>
    </row>
    <row r="1282">
      <c r="A1282" s="3" t="n">
        <v>40331</v>
      </c>
      <c r="B1282" t="n">
        <v>3435.84</v>
      </c>
      <c r="C1282" t="n">
        <v>2591.69</v>
      </c>
      <c r="D1282" t="n">
        <v>2693.98</v>
      </c>
      <c r="E1282" t="n">
        <v>3221.99</v>
      </c>
      <c r="F1282" t="n">
        <v>3360.13</v>
      </c>
    </row>
    <row r="1283">
      <c r="A1283" s="3" t="n">
        <v>40332</v>
      </c>
      <c r="B1283" t="n">
        <v>3491.53</v>
      </c>
      <c r="C1283" t="n">
        <v>2626.72</v>
      </c>
      <c r="D1283" t="n">
        <v>2725.34</v>
      </c>
      <c r="E1283" t="n">
        <v>3255.64</v>
      </c>
      <c r="F1283" t="n">
        <v>3406.76</v>
      </c>
    </row>
    <row r="1284">
      <c r="A1284" s="3" t="n">
        <v>40333</v>
      </c>
      <c r="B1284" t="n">
        <v>3494.91</v>
      </c>
      <c r="C1284" t="n">
        <v>2635.67</v>
      </c>
      <c r="D1284" t="n">
        <v>2730.48</v>
      </c>
      <c r="E1284" t="n">
        <v>3270.55</v>
      </c>
      <c r="F1284" t="n">
        <v>3398.73</v>
      </c>
    </row>
    <row r="1285">
      <c r="A1285" s="3" t="n">
        <v>40336</v>
      </c>
      <c r="B1285" t="n">
        <v>3421.1</v>
      </c>
      <c r="C1285" t="n">
        <v>2607.7</v>
      </c>
      <c r="D1285" t="n">
        <v>2684.87</v>
      </c>
      <c r="E1285" t="n">
        <v>3240.13</v>
      </c>
      <c r="F1285" t="n">
        <v>3335.79</v>
      </c>
    </row>
    <row r="1286">
      <c r="A1286" s="3" t="n">
        <v>40337</v>
      </c>
      <c r="B1286" t="n">
        <v>3393.14</v>
      </c>
      <c r="C1286" t="n">
        <v>2597.69</v>
      </c>
      <c r="D1286" t="n">
        <v>2651.85</v>
      </c>
      <c r="E1286" t="n">
        <v>3231.24</v>
      </c>
      <c r="F1286" t="n">
        <v>3316.87</v>
      </c>
    </row>
    <row r="1287">
      <c r="A1287" s="3" t="n">
        <v>40338</v>
      </c>
      <c r="B1287" t="n">
        <v>3399.42</v>
      </c>
      <c r="C1287" t="n">
        <v>2593.02</v>
      </c>
      <c r="D1287" t="n">
        <v>2661.63</v>
      </c>
      <c r="E1287" t="n">
        <v>3232.91</v>
      </c>
      <c r="F1287" t="n">
        <v>3320.13</v>
      </c>
    </row>
    <row r="1288">
      <c r="A1288" s="3" t="n">
        <v>40339</v>
      </c>
      <c r="B1288" t="n">
        <v>3454.45</v>
      </c>
      <c r="C1288" t="n">
        <v>2625.57</v>
      </c>
      <c r="D1288" t="n">
        <v>2686.22</v>
      </c>
      <c r="E1288" t="n">
        <v>3277.67</v>
      </c>
      <c r="F1288" t="n">
        <v>3360.71</v>
      </c>
    </row>
    <row r="1289">
      <c r="A1289" s="3" t="n">
        <v>40340</v>
      </c>
      <c r="B1289" t="n">
        <v>3480.57</v>
      </c>
      <c r="C1289" t="n">
        <v>2629.75</v>
      </c>
      <c r="D1289" t="n">
        <v>2690.41</v>
      </c>
      <c r="E1289" t="n">
        <v>3289.85</v>
      </c>
      <c r="F1289" t="n">
        <v>3385.74</v>
      </c>
    </row>
    <row r="1290">
      <c r="A1290" s="3" t="n">
        <v>40343</v>
      </c>
      <c r="B1290" t="n">
        <v>3508.53</v>
      </c>
      <c r="C1290" t="n">
        <v>2656.7</v>
      </c>
      <c r="D1290" t="n">
        <v>2722.46</v>
      </c>
      <c r="E1290" t="n">
        <v>3314.71</v>
      </c>
      <c r="F1290" t="n">
        <v>3417.09</v>
      </c>
    </row>
    <row r="1291">
      <c r="A1291" s="3" t="n">
        <v>40344</v>
      </c>
      <c r="B1291" t="n">
        <v>3514.75</v>
      </c>
      <c r="C1291" t="n">
        <v>2673.95</v>
      </c>
      <c r="D1291" t="n">
        <v>2719.01</v>
      </c>
      <c r="E1291" t="n">
        <v>3326.77</v>
      </c>
      <c r="F1291" t="n">
        <v>3437.17</v>
      </c>
    </row>
    <row r="1292">
      <c r="A1292" s="3" t="n">
        <v>40345</v>
      </c>
      <c r="B1292" t="n">
        <v>3525.78</v>
      </c>
      <c r="C1292" t="n">
        <v>2676.65</v>
      </c>
      <c r="D1292" t="n">
        <v>2716.55</v>
      </c>
      <c r="E1292" t="n">
        <v>3331.88</v>
      </c>
      <c r="F1292" t="n">
        <v>3440.81</v>
      </c>
    </row>
    <row r="1293">
      <c r="A1293" s="3" t="n">
        <v>40346</v>
      </c>
      <c r="B1293" t="n">
        <v>3551.79</v>
      </c>
      <c r="C1293" t="n">
        <v>2688.21</v>
      </c>
      <c r="D1293" t="n">
        <v>2723.43</v>
      </c>
      <c r="E1293" t="n">
        <v>3337.99</v>
      </c>
      <c r="F1293" t="n">
        <v>3458.51</v>
      </c>
    </row>
    <row r="1294">
      <c r="A1294" s="3" t="n">
        <v>40347</v>
      </c>
      <c r="B1294" t="n">
        <v>3535.69</v>
      </c>
      <c r="C1294" t="n">
        <v>2690.14</v>
      </c>
      <c r="D1294" t="n">
        <v>2709.68</v>
      </c>
      <c r="E1294" t="n">
        <v>3339.23</v>
      </c>
      <c r="F1294" t="n">
        <v>3442.24</v>
      </c>
    </row>
    <row r="1295">
      <c r="A1295" s="3" t="n">
        <v>40350</v>
      </c>
      <c r="B1295" t="n">
        <v>3591.94</v>
      </c>
      <c r="C1295" t="n">
        <v>2727.7</v>
      </c>
      <c r="D1295" t="n">
        <v>2745.22</v>
      </c>
      <c r="E1295" t="n">
        <v>3372.88</v>
      </c>
      <c r="F1295" t="n">
        <v>3494.01</v>
      </c>
    </row>
    <row r="1296">
      <c r="A1296" s="3" t="n">
        <v>40351</v>
      </c>
      <c r="B1296" t="n">
        <v>3569.14</v>
      </c>
      <c r="C1296" t="n">
        <v>2712.7</v>
      </c>
      <c r="D1296" t="n">
        <v>2762.11</v>
      </c>
      <c r="E1296" t="n">
        <v>3361.37</v>
      </c>
      <c r="F1296" t="n">
        <v>3490.45</v>
      </c>
    </row>
    <row r="1297">
      <c r="A1297" s="3" t="n">
        <v>40352</v>
      </c>
      <c r="B1297" t="n">
        <v>3588.54</v>
      </c>
      <c r="C1297" t="n">
        <v>2725.85</v>
      </c>
      <c r="D1297" t="n">
        <v>2783.65</v>
      </c>
      <c r="E1297" t="n">
        <v>3390.68</v>
      </c>
      <c r="F1297" t="n">
        <v>3514.99</v>
      </c>
    </row>
    <row r="1298">
      <c r="A1298" s="3" t="n">
        <v>40353</v>
      </c>
      <c r="B1298" t="n">
        <v>3580.25</v>
      </c>
      <c r="C1298" t="n">
        <v>2723.24</v>
      </c>
      <c r="D1298" t="n">
        <v>2762</v>
      </c>
      <c r="E1298" t="n">
        <v>3395.71</v>
      </c>
      <c r="F1298" t="n">
        <v>3513.43</v>
      </c>
    </row>
    <row r="1299">
      <c r="A1299" s="3" t="n">
        <v>40354</v>
      </c>
      <c r="B1299" t="n">
        <v>3546.09</v>
      </c>
      <c r="C1299" t="n">
        <v>2694.44</v>
      </c>
      <c r="D1299" t="n">
        <v>2793.8</v>
      </c>
      <c r="E1299" t="n">
        <v>3388.03</v>
      </c>
      <c r="F1299" t="n">
        <v>3479.4</v>
      </c>
    </row>
    <row r="1300">
      <c r="A1300" s="3" t="n">
        <v>40357</v>
      </c>
      <c r="B1300" t="n">
        <v>3582.59</v>
      </c>
      <c r="C1300" t="n">
        <v>2719.73</v>
      </c>
      <c r="D1300" t="n">
        <v>2849.04</v>
      </c>
      <c r="E1300" t="n">
        <v>3408.47</v>
      </c>
      <c r="F1300" t="n">
        <v>3513.94</v>
      </c>
    </row>
    <row r="1301">
      <c r="A1301" s="3" t="n">
        <v>40358</v>
      </c>
      <c r="B1301" t="n">
        <v>3540.89</v>
      </c>
      <c r="C1301" t="n">
        <v>2688.02</v>
      </c>
      <c r="D1301" t="n">
        <v>2823.3</v>
      </c>
      <c r="E1301" t="n">
        <v>3375.03</v>
      </c>
      <c r="F1301" t="n">
        <v>3485.02</v>
      </c>
    </row>
    <row r="1302">
      <c r="A1302" s="3" t="n">
        <v>40359</v>
      </c>
      <c r="B1302" t="n">
        <v>3550.46</v>
      </c>
      <c r="C1302" t="n">
        <v>2701.69</v>
      </c>
      <c r="D1302" t="n">
        <v>2856.53</v>
      </c>
      <c r="E1302" t="n">
        <v>3390.42</v>
      </c>
      <c r="F1302" t="n">
        <v>3497.09</v>
      </c>
    </row>
    <row r="1303">
      <c r="A1303" s="3" t="n">
        <v>40360</v>
      </c>
      <c r="B1303" t="n">
        <v>3533.94</v>
      </c>
      <c r="C1303" t="n">
        <v>2682.22</v>
      </c>
      <c r="D1303" t="n">
        <v>2845.42</v>
      </c>
      <c r="E1303" t="n">
        <v>3375.28</v>
      </c>
      <c r="F1303" t="n">
        <v>3494.88</v>
      </c>
    </row>
    <row r="1304">
      <c r="A1304" s="3" t="n">
        <v>40361</v>
      </c>
      <c r="B1304" t="n">
        <v>3534.56</v>
      </c>
      <c r="C1304" t="n">
        <v>2678.73</v>
      </c>
      <c r="D1304" t="n">
        <v>2846.05</v>
      </c>
      <c r="E1304" t="n">
        <v>3377.41</v>
      </c>
      <c r="F1304" t="n">
        <v>3488.86</v>
      </c>
    </row>
    <row r="1305">
      <c r="A1305" s="3" t="n">
        <v>40364</v>
      </c>
      <c r="B1305" t="n">
        <v>3551.27</v>
      </c>
      <c r="C1305" t="n">
        <v>2680.57</v>
      </c>
      <c r="D1305" t="n">
        <v>2846.26</v>
      </c>
      <c r="E1305" t="n">
        <v>3380.58</v>
      </c>
      <c r="F1305" t="n">
        <v>3500.95</v>
      </c>
    </row>
    <row r="1306">
      <c r="A1306" s="3" t="n">
        <v>40365</v>
      </c>
      <c r="B1306" t="n">
        <v>3586.82</v>
      </c>
      <c r="C1306" t="n">
        <v>2705.54</v>
      </c>
      <c r="D1306" t="n">
        <v>2871.96</v>
      </c>
      <c r="E1306" t="n">
        <v>3398.74</v>
      </c>
      <c r="F1306" t="n">
        <v>3536.79</v>
      </c>
    </row>
    <row r="1307">
      <c r="A1307" s="3" t="n">
        <v>40366</v>
      </c>
      <c r="B1307" t="n">
        <v>3568.28</v>
      </c>
      <c r="C1307" t="n">
        <v>2691.92</v>
      </c>
      <c r="D1307" t="n">
        <v>2873.94</v>
      </c>
      <c r="E1307" t="n">
        <v>3384.02</v>
      </c>
      <c r="F1307" t="n">
        <v>3525.82</v>
      </c>
    </row>
    <row r="1308">
      <c r="A1308" s="3" t="n">
        <v>40367</v>
      </c>
      <c r="B1308" t="n">
        <v>3601.87</v>
      </c>
      <c r="C1308" t="n">
        <v>2707.44</v>
      </c>
      <c r="D1308" t="n">
        <v>2908.25</v>
      </c>
      <c r="E1308" t="n">
        <v>3414.65</v>
      </c>
      <c r="F1308" t="n">
        <v>3566.22</v>
      </c>
    </row>
    <row r="1309">
      <c r="A1309" s="3" t="n">
        <v>40368</v>
      </c>
      <c r="B1309" t="n">
        <v>3622.2</v>
      </c>
      <c r="C1309" t="n">
        <v>2714.35</v>
      </c>
      <c r="D1309" t="n">
        <v>2940.08</v>
      </c>
      <c r="E1309" t="n">
        <v>3428.94</v>
      </c>
      <c r="F1309" t="n">
        <v>3586.66</v>
      </c>
    </row>
    <row r="1310">
      <c r="A1310" s="3" t="n">
        <v>40371</v>
      </c>
      <c r="B1310" t="n">
        <v>3644.55</v>
      </c>
      <c r="C1310" t="n">
        <v>2724.84</v>
      </c>
      <c r="D1310" t="n">
        <v>2944.16</v>
      </c>
      <c r="E1310" t="n">
        <v>3430.64</v>
      </c>
      <c r="F1310" t="n">
        <v>3589.02</v>
      </c>
    </row>
    <row r="1311">
      <c r="A1311" s="3" t="n">
        <v>40372</v>
      </c>
      <c r="B1311" t="n">
        <v>3646.27</v>
      </c>
      <c r="C1311" t="n">
        <v>2725.93</v>
      </c>
      <c r="D1311" t="n">
        <v>2962.43</v>
      </c>
      <c r="E1311" t="n">
        <v>3427.77</v>
      </c>
      <c r="F1311" t="n">
        <v>3592.95</v>
      </c>
    </row>
    <row r="1312">
      <c r="A1312" s="3" t="n">
        <v>40373</v>
      </c>
      <c r="B1312" t="n">
        <v>3642.93</v>
      </c>
      <c r="C1312" t="n">
        <v>2714.75</v>
      </c>
      <c r="D1312" t="n">
        <v>2945.81</v>
      </c>
      <c r="E1312" t="n">
        <v>3408.79</v>
      </c>
      <c r="F1312" t="n">
        <v>3596.91</v>
      </c>
    </row>
    <row r="1313">
      <c r="A1313" s="3" t="n">
        <v>40374</v>
      </c>
      <c r="B1313" t="n">
        <v>3641.36</v>
      </c>
      <c r="C1313" t="n">
        <v>2722.75</v>
      </c>
      <c r="D1313" t="n">
        <v>2919.77</v>
      </c>
      <c r="E1313" t="n">
        <v>3401.04</v>
      </c>
      <c r="F1313" t="n">
        <v>3617.64</v>
      </c>
    </row>
    <row r="1314">
      <c r="A1314" s="3" t="n">
        <v>40375</v>
      </c>
      <c r="B1314" t="n">
        <v>3685.16</v>
      </c>
      <c r="C1314" t="n">
        <v>2737.31</v>
      </c>
      <c r="D1314" t="n">
        <v>2936.12</v>
      </c>
      <c r="E1314" t="n">
        <v>3407.66</v>
      </c>
      <c r="F1314" t="n">
        <v>3638.86</v>
      </c>
    </row>
    <row r="1315">
      <c r="A1315" s="3" t="n">
        <v>40378</v>
      </c>
      <c r="B1315" t="n">
        <v>3687.84</v>
      </c>
      <c r="C1315" t="n">
        <v>2728.1</v>
      </c>
      <c r="D1315" t="n">
        <v>2954.3</v>
      </c>
      <c r="E1315" t="n">
        <v>3402.18</v>
      </c>
      <c r="F1315" t="n">
        <v>3628.73</v>
      </c>
    </row>
    <row r="1316">
      <c r="A1316" s="3" t="n">
        <v>40379</v>
      </c>
      <c r="B1316" t="n">
        <v>3671.65</v>
      </c>
      <c r="C1316" t="n">
        <v>2721.35</v>
      </c>
      <c r="D1316" t="n">
        <v>2938.14</v>
      </c>
      <c r="E1316" t="n">
        <v>3391.27</v>
      </c>
      <c r="F1316" t="n">
        <v>3613.47</v>
      </c>
    </row>
    <row r="1317">
      <c r="A1317" s="3" t="n">
        <v>40380</v>
      </c>
      <c r="B1317" t="n">
        <v>3699.95</v>
      </c>
      <c r="C1317" t="n">
        <v>2741.02</v>
      </c>
      <c r="D1317" t="n">
        <v>2949.82</v>
      </c>
      <c r="E1317" t="n">
        <v>3396.67</v>
      </c>
      <c r="F1317" t="n">
        <v>3636.7</v>
      </c>
    </row>
    <row r="1318">
      <c r="A1318" s="3" t="n">
        <v>40381</v>
      </c>
      <c r="B1318" t="n">
        <v>3717.16</v>
      </c>
      <c r="C1318" t="n">
        <v>2758.62</v>
      </c>
      <c r="D1318" t="n">
        <v>2950.33</v>
      </c>
      <c r="E1318" t="n">
        <v>3405.68</v>
      </c>
      <c r="F1318" t="n">
        <v>3647.05</v>
      </c>
    </row>
    <row r="1319">
      <c r="A1319" s="3" t="n">
        <v>40382</v>
      </c>
      <c r="B1319" t="n">
        <v>3707.01</v>
      </c>
      <c r="C1319" t="n">
        <v>2755.68</v>
      </c>
      <c r="D1319" t="n">
        <v>2955.71</v>
      </c>
      <c r="E1319" t="n">
        <v>3400.65</v>
      </c>
      <c r="F1319" t="n">
        <v>3643.1</v>
      </c>
    </row>
    <row r="1320">
      <c r="A1320" s="3" t="n">
        <v>40385</v>
      </c>
      <c r="B1320" t="n">
        <v>3689.51</v>
      </c>
      <c r="C1320" t="n">
        <v>2750.22</v>
      </c>
      <c r="D1320" t="n">
        <v>2918.15</v>
      </c>
      <c r="E1320" t="n">
        <v>3373.3</v>
      </c>
      <c r="F1320" t="n">
        <v>3615.45</v>
      </c>
    </row>
    <row r="1321">
      <c r="A1321" s="3" t="n">
        <v>40386</v>
      </c>
      <c r="B1321" t="n">
        <v>3710.18</v>
      </c>
      <c r="C1321" t="n">
        <v>2752.75</v>
      </c>
      <c r="D1321" t="n">
        <v>2929.15</v>
      </c>
      <c r="E1321" t="n">
        <v>3382.9</v>
      </c>
      <c r="F1321" t="n">
        <v>3628.87</v>
      </c>
    </row>
    <row r="1322">
      <c r="A1322" s="3" t="n">
        <v>40387</v>
      </c>
      <c r="B1322" t="n">
        <v>3699.11</v>
      </c>
      <c r="C1322" t="n">
        <v>2753.84</v>
      </c>
      <c r="D1322" t="n">
        <v>2920.24</v>
      </c>
      <c r="E1322" t="n">
        <v>3384.04</v>
      </c>
      <c r="F1322" t="n">
        <v>3632.14</v>
      </c>
    </row>
    <row r="1323">
      <c r="A1323" s="3" t="n">
        <v>40388</v>
      </c>
      <c r="B1323" t="n">
        <v>3708.4</v>
      </c>
      <c r="C1323" t="n">
        <v>2750.67</v>
      </c>
      <c r="D1323" t="n">
        <v>2919.56</v>
      </c>
      <c r="E1323" t="n">
        <v>3392.58</v>
      </c>
      <c r="F1323" t="n">
        <v>3634.85</v>
      </c>
    </row>
    <row r="1324">
      <c r="A1324" s="3" t="n">
        <v>40389</v>
      </c>
      <c r="B1324" t="n">
        <v>3703.65</v>
      </c>
      <c r="C1324" t="n">
        <v>2743.48</v>
      </c>
      <c r="D1324" t="n">
        <v>2949.55</v>
      </c>
      <c r="E1324" t="n">
        <v>3379.1</v>
      </c>
      <c r="F1324" t="n">
        <v>3629.12</v>
      </c>
    </row>
    <row r="1325">
      <c r="A1325" s="3" t="n">
        <v>40392</v>
      </c>
      <c r="B1325" t="n">
        <v>3737.33</v>
      </c>
      <c r="C1325" t="n">
        <v>2751.61</v>
      </c>
      <c r="D1325" t="n">
        <v>3002.25</v>
      </c>
      <c r="E1325" t="n">
        <v>3399.23</v>
      </c>
      <c r="F1325" t="n">
        <v>3669.47</v>
      </c>
    </row>
    <row r="1326">
      <c r="A1326" s="3" t="n">
        <v>40393</v>
      </c>
      <c r="B1326" t="n">
        <v>3749.27</v>
      </c>
      <c r="C1326" t="n">
        <v>2747.46</v>
      </c>
      <c r="D1326" t="n">
        <v>3027.72</v>
      </c>
      <c r="E1326" t="n">
        <v>3405.45</v>
      </c>
      <c r="F1326" t="n">
        <v>3689.76</v>
      </c>
    </row>
    <row r="1327">
      <c r="A1327" s="3" t="n">
        <v>40394</v>
      </c>
      <c r="B1327" t="n">
        <v>3782.82</v>
      </c>
      <c r="C1327" t="n">
        <v>2772.23</v>
      </c>
      <c r="D1327" t="n">
        <v>3030.63</v>
      </c>
      <c r="E1327" t="n">
        <v>3424.58</v>
      </c>
      <c r="F1327" t="n">
        <v>3687.96</v>
      </c>
    </row>
    <row r="1328">
      <c r="A1328" s="3" t="n">
        <v>40395</v>
      </c>
      <c r="B1328" t="n">
        <v>3783.76</v>
      </c>
      <c r="C1328" t="n">
        <v>2767.84</v>
      </c>
      <c r="D1328" t="n">
        <v>3041.88</v>
      </c>
      <c r="E1328" t="n">
        <v>3408.62</v>
      </c>
      <c r="F1328" t="n">
        <v>3693.45</v>
      </c>
    </row>
    <row r="1329">
      <c r="A1329" s="3" t="n">
        <v>40396</v>
      </c>
      <c r="B1329" t="n">
        <v>3786.03</v>
      </c>
      <c r="C1329" t="n">
        <v>2766.63</v>
      </c>
      <c r="D1329" t="n">
        <v>3033.96</v>
      </c>
      <c r="E1329" t="n">
        <v>3408.5</v>
      </c>
      <c r="F1329" t="n">
        <v>3703.39</v>
      </c>
    </row>
    <row r="1330">
      <c r="A1330" s="3" t="n">
        <v>40399</v>
      </c>
      <c r="B1330" t="n">
        <v>3828.18</v>
      </c>
      <c r="C1330" t="n">
        <v>2791</v>
      </c>
      <c r="D1330" t="n">
        <v>3083.69</v>
      </c>
      <c r="E1330" t="n">
        <v>3428.12</v>
      </c>
      <c r="F1330" t="n">
        <v>3741.57</v>
      </c>
    </row>
    <row r="1331">
      <c r="A1331" s="3" t="n">
        <v>40400</v>
      </c>
      <c r="B1331" t="n">
        <v>3817.74</v>
      </c>
      <c r="C1331" t="n">
        <v>2777.5</v>
      </c>
      <c r="D1331" t="n">
        <v>3066.9</v>
      </c>
      <c r="E1331" t="n">
        <v>3416.02</v>
      </c>
      <c r="F1331" t="n">
        <v>3727.56</v>
      </c>
    </row>
    <row r="1332">
      <c r="A1332" s="3" t="n">
        <v>40401</v>
      </c>
      <c r="B1332" t="n">
        <v>3795.75</v>
      </c>
      <c r="C1332" t="n">
        <v>2765.27</v>
      </c>
      <c r="D1332" t="n">
        <v>3060.67</v>
      </c>
      <c r="E1332" t="n">
        <v>3407.89</v>
      </c>
      <c r="F1332" t="n">
        <v>3708.5</v>
      </c>
    </row>
    <row r="1333">
      <c r="A1333" s="3" t="n">
        <v>40402</v>
      </c>
      <c r="B1333" t="n">
        <v>3809.49</v>
      </c>
      <c r="C1333" t="n">
        <v>2748.82</v>
      </c>
      <c r="D1333" t="n">
        <v>3091.88</v>
      </c>
      <c r="E1333" t="n">
        <v>3406.88</v>
      </c>
      <c r="F1333" t="n">
        <v>3726.56</v>
      </c>
    </row>
    <row r="1334">
      <c r="A1334" s="3" t="n">
        <v>40403</v>
      </c>
      <c r="B1334" t="n">
        <v>3832.41</v>
      </c>
      <c r="C1334" t="n">
        <v>2768.4</v>
      </c>
      <c r="D1334" t="n">
        <v>3123.01</v>
      </c>
      <c r="E1334" t="n">
        <v>3428.56</v>
      </c>
      <c r="F1334" t="n">
        <v>3764.61</v>
      </c>
    </row>
    <row r="1335">
      <c r="A1335" s="3" t="n">
        <v>40406</v>
      </c>
      <c r="B1335" t="n">
        <v>3811.08</v>
      </c>
      <c r="C1335" t="n">
        <v>2760.54</v>
      </c>
      <c r="D1335" t="n">
        <v>3133.08</v>
      </c>
      <c r="E1335" t="n">
        <v>3422.42</v>
      </c>
      <c r="F1335" t="n">
        <v>3764.25</v>
      </c>
    </row>
    <row r="1336">
      <c r="A1336" s="3" t="n">
        <v>40407</v>
      </c>
      <c r="B1336" t="n">
        <v>3826.88</v>
      </c>
      <c r="C1336" t="n">
        <v>2752.44</v>
      </c>
      <c r="D1336" t="n">
        <v>3171.9</v>
      </c>
      <c r="E1336" t="n">
        <v>3428.77</v>
      </c>
      <c r="F1336" t="n">
        <v>3777.93</v>
      </c>
    </row>
    <row r="1337">
      <c r="A1337" s="3" t="n">
        <v>40408</v>
      </c>
      <c r="B1337" t="n">
        <v>3895.4</v>
      </c>
      <c r="C1337" t="n">
        <v>2789.43</v>
      </c>
      <c r="D1337" t="n">
        <v>3209.52</v>
      </c>
      <c r="E1337" t="n">
        <v>3474.18</v>
      </c>
      <c r="F1337" t="n">
        <v>3821.27</v>
      </c>
    </row>
    <row r="1338">
      <c r="A1338" s="3" t="n">
        <v>40409</v>
      </c>
      <c r="B1338" t="n">
        <v>3948.05</v>
      </c>
      <c r="C1338" t="n">
        <v>2807.45</v>
      </c>
      <c r="D1338" t="n">
        <v>3229.73</v>
      </c>
      <c r="E1338" t="n">
        <v>3506.15</v>
      </c>
      <c r="F1338" t="n">
        <v>3861.9</v>
      </c>
    </row>
    <row r="1339">
      <c r="A1339" s="3" t="n">
        <v>40410</v>
      </c>
      <c r="B1339" t="n">
        <v>3941.27</v>
      </c>
      <c r="C1339" t="n">
        <v>2798.58</v>
      </c>
      <c r="D1339" t="n">
        <v>3221.01</v>
      </c>
      <c r="E1339" t="n">
        <v>3504.31</v>
      </c>
      <c r="F1339" t="n">
        <v>3867.66</v>
      </c>
    </row>
    <row r="1340">
      <c r="A1340" s="3" t="n">
        <v>40413</v>
      </c>
      <c r="B1340" t="n">
        <v>3954.23</v>
      </c>
      <c r="C1340" t="n">
        <v>2807.16</v>
      </c>
      <c r="D1340" t="n">
        <v>3276.37</v>
      </c>
      <c r="E1340" t="n">
        <v>3523.74</v>
      </c>
      <c r="F1340" t="n">
        <v>3908.38</v>
      </c>
    </row>
    <row r="1341">
      <c r="A1341" s="3" t="n">
        <v>40414</v>
      </c>
      <c r="B1341" t="n">
        <v>3940.1</v>
      </c>
      <c r="C1341" t="n">
        <v>2796.22</v>
      </c>
      <c r="D1341" t="n">
        <v>3239.3</v>
      </c>
      <c r="E1341" t="n">
        <v>3518.26</v>
      </c>
      <c r="F1341" t="n">
        <v>3891.39</v>
      </c>
    </row>
    <row r="1342">
      <c r="A1342" s="3" t="n">
        <v>40415</v>
      </c>
      <c r="B1342" t="n">
        <v>3886.58</v>
      </c>
      <c r="C1342" t="n">
        <v>2777.74</v>
      </c>
      <c r="D1342" t="n">
        <v>3205.04</v>
      </c>
      <c r="E1342" t="n">
        <v>3483.83</v>
      </c>
      <c r="F1342" t="n">
        <v>3836.84</v>
      </c>
    </row>
    <row r="1343">
      <c r="A1343" s="3" t="n">
        <v>40416</v>
      </c>
      <c r="B1343" t="n">
        <v>3901.59</v>
      </c>
      <c r="C1343" t="n">
        <v>2792.3</v>
      </c>
      <c r="D1343" t="n">
        <v>3211.87</v>
      </c>
      <c r="E1343" t="n">
        <v>3492.87</v>
      </c>
      <c r="F1343" t="n">
        <v>3847.05</v>
      </c>
    </row>
    <row r="1344">
      <c r="A1344" s="3" t="n">
        <v>40417</v>
      </c>
      <c r="B1344" t="n">
        <v>3858.95</v>
      </c>
      <c r="C1344" t="n">
        <v>2763.37</v>
      </c>
      <c r="D1344" t="n">
        <v>3186.73</v>
      </c>
      <c r="E1344" t="n">
        <v>3468.04</v>
      </c>
      <c r="F1344" t="n">
        <v>3826.31</v>
      </c>
    </row>
    <row r="1345">
      <c r="A1345" s="3" t="n">
        <v>40420</v>
      </c>
      <c r="B1345" t="n">
        <v>3857.78</v>
      </c>
      <c r="C1345" t="n">
        <v>2756.84</v>
      </c>
      <c r="D1345" t="n">
        <v>3180.37</v>
      </c>
      <c r="E1345" t="n">
        <v>3457</v>
      </c>
      <c r="F1345" t="n">
        <v>3828.34</v>
      </c>
    </row>
    <row r="1346">
      <c r="A1346" s="3" t="n">
        <v>40421</v>
      </c>
      <c r="B1346" t="n">
        <v>3832.41</v>
      </c>
      <c r="C1346" t="n">
        <v>2752.63</v>
      </c>
      <c r="D1346" t="n">
        <v>3152.92</v>
      </c>
      <c r="E1346" t="n">
        <v>3471.16</v>
      </c>
      <c r="F1346" t="n">
        <v>3802.28</v>
      </c>
    </row>
    <row r="1347">
      <c r="A1347" s="3" t="n">
        <v>40422</v>
      </c>
      <c r="B1347" t="n">
        <v>3887.95</v>
      </c>
      <c r="C1347" t="n">
        <v>2774.38</v>
      </c>
      <c r="D1347" t="n">
        <v>3209.11</v>
      </c>
      <c r="E1347" t="n">
        <v>3513.32</v>
      </c>
      <c r="F1347" t="n">
        <v>3841.44</v>
      </c>
    </row>
    <row r="1348">
      <c r="A1348" s="3" t="n">
        <v>40423</v>
      </c>
      <c r="B1348" t="n">
        <v>3907.64</v>
      </c>
      <c r="C1348" t="n">
        <v>2788.63</v>
      </c>
      <c r="D1348" t="n">
        <v>3248.31</v>
      </c>
      <c r="E1348" t="n">
        <v>3520.91</v>
      </c>
      <c r="F1348" t="n">
        <v>3879.13</v>
      </c>
    </row>
    <row r="1349">
      <c r="A1349" s="3" t="n">
        <v>40424</v>
      </c>
      <c r="B1349" t="n">
        <v>3937.78</v>
      </c>
      <c r="C1349" t="n">
        <v>2794.98</v>
      </c>
      <c r="D1349" t="n">
        <v>3256.33</v>
      </c>
      <c r="E1349" t="n">
        <v>3540.54</v>
      </c>
      <c r="F1349" t="n">
        <v>3926.94</v>
      </c>
    </row>
    <row r="1350">
      <c r="A1350" s="3" t="n">
        <v>40427</v>
      </c>
      <c r="B1350" t="n">
        <v>4024.77</v>
      </c>
      <c r="C1350" t="n">
        <v>2824.43</v>
      </c>
      <c r="D1350" t="n">
        <v>3290.36</v>
      </c>
      <c r="E1350" t="n">
        <v>3579.68</v>
      </c>
      <c r="F1350" t="n">
        <v>3997.99</v>
      </c>
    </row>
    <row r="1351">
      <c r="A1351" s="3" t="n">
        <v>40428</v>
      </c>
      <c r="B1351" t="n">
        <v>4030.16</v>
      </c>
      <c r="C1351" t="n">
        <v>2846.44</v>
      </c>
      <c r="D1351" t="n">
        <v>3286.4</v>
      </c>
      <c r="E1351" t="n">
        <v>3592.93</v>
      </c>
      <c r="F1351" t="n">
        <v>3988.59</v>
      </c>
    </row>
    <row r="1352">
      <c r="A1352" s="3" t="n">
        <v>40429</v>
      </c>
      <c r="B1352" t="n">
        <v>4035.54</v>
      </c>
      <c r="C1352" t="n">
        <v>2856.05</v>
      </c>
      <c r="D1352" t="n">
        <v>3313.78</v>
      </c>
      <c r="E1352" t="n">
        <v>3594.24</v>
      </c>
      <c r="F1352" t="n">
        <v>3978.56</v>
      </c>
    </row>
    <row r="1353">
      <c r="A1353" s="3" t="n">
        <v>40430</v>
      </c>
      <c r="B1353" t="n">
        <v>4017.11</v>
      </c>
      <c r="C1353" t="n">
        <v>2860.94</v>
      </c>
      <c r="D1353" t="n">
        <v>3351.87</v>
      </c>
      <c r="E1353" t="n">
        <v>3594.85</v>
      </c>
      <c r="F1353" t="n">
        <v>3976.25</v>
      </c>
    </row>
    <row r="1354">
      <c r="A1354" s="3" t="n">
        <v>40434</v>
      </c>
      <c r="B1354" t="n">
        <v>4060.71</v>
      </c>
      <c r="C1354" t="n">
        <v>2885.16</v>
      </c>
      <c r="D1354" t="n">
        <v>3373.72</v>
      </c>
      <c r="E1354" t="n">
        <v>3624.82</v>
      </c>
      <c r="F1354" t="n">
        <v>4000.8</v>
      </c>
    </row>
    <row r="1355">
      <c r="A1355" s="3" t="n">
        <v>40435</v>
      </c>
      <c r="B1355" t="n">
        <v>4059.45</v>
      </c>
      <c r="C1355" t="n">
        <v>2889.8</v>
      </c>
      <c r="D1355" t="n">
        <v>3350.85</v>
      </c>
      <c r="E1355" t="n">
        <v>3630.44</v>
      </c>
      <c r="F1355" t="n">
        <v>3998.99</v>
      </c>
    </row>
    <row r="1356">
      <c r="A1356" s="3" t="n">
        <v>40436</v>
      </c>
      <c r="B1356" t="n">
        <v>4092.04</v>
      </c>
      <c r="C1356" t="n">
        <v>2919</v>
      </c>
      <c r="D1356" t="n">
        <v>3353.58</v>
      </c>
      <c r="E1356" t="n">
        <v>3653.63</v>
      </c>
      <c r="F1356" t="n">
        <v>4003.61</v>
      </c>
    </row>
    <row r="1357">
      <c r="A1357" s="3" t="n">
        <v>40437</v>
      </c>
      <c r="B1357" t="n">
        <v>4057.08</v>
      </c>
      <c r="C1357" t="n">
        <v>2895.2</v>
      </c>
      <c r="D1357" t="n">
        <v>3328.79</v>
      </c>
      <c r="E1357" t="n">
        <v>3623.83</v>
      </c>
      <c r="F1357" t="n">
        <v>3980.86</v>
      </c>
    </row>
    <row r="1358">
      <c r="A1358" s="3" t="n">
        <v>40438</v>
      </c>
      <c r="B1358" t="n">
        <v>4108.86</v>
      </c>
      <c r="C1358" t="n">
        <v>2933.4</v>
      </c>
      <c r="D1358" t="n">
        <v>3359.84</v>
      </c>
      <c r="E1358" t="n">
        <v>3659.77</v>
      </c>
      <c r="F1358" t="n">
        <v>4064.1</v>
      </c>
    </row>
    <row r="1359">
      <c r="A1359" s="3" t="n">
        <v>40441</v>
      </c>
      <c r="B1359" t="n">
        <v>4138.27</v>
      </c>
      <c r="C1359" t="n">
        <v>2974.97</v>
      </c>
      <c r="D1359" t="n">
        <v>3389.07</v>
      </c>
      <c r="E1359" t="n">
        <v>3707.17</v>
      </c>
      <c r="F1359" t="n">
        <v>4072.96</v>
      </c>
    </row>
    <row r="1360">
      <c r="A1360" s="3" t="n">
        <v>40442</v>
      </c>
      <c r="B1360" t="n">
        <v>4141.96</v>
      </c>
      <c r="C1360" t="n">
        <v>2978.24</v>
      </c>
      <c r="D1360" t="n">
        <v>3335.1</v>
      </c>
      <c r="E1360" t="n">
        <v>3707.63</v>
      </c>
      <c r="F1360" t="n">
        <v>4043.43</v>
      </c>
    </row>
    <row r="1361">
      <c r="A1361" s="3" t="n">
        <v>40443</v>
      </c>
      <c r="B1361" t="n">
        <v>4112.79</v>
      </c>
      <c r="C1361" t="n">
        <v>2975.5</v>
      </c>
      <c r="D1361" t="n">
        <v>3323.18</v>
      </c>
      <c r="E1361" t="n">
        <v>3699.59</v>
      </c>
      <c r="F1361" t="n">
        <v>4016.57</v>
      </c>
    </row>
    <row r="1362">
      <c r="A1362" s="3" t="n">
        <v>40444</v>
      </c>
      <c r="B1362" t="n">
        <v>4092.72</v>
      </c>
      <c r="C1362" t="n">
        <v>2983.45</v>
      </c>
      <c r="D1362" t="n">
        <v>3315.85</v>
      </c>
      <c r="E1362" t="n">
        <v>3708.65</v>
      </c>
      <c r="F1362" t="n">
        <v>4005.96</v>
      </c>
    </row>
    <row r="1363">
      <c r="A1363" s="3" t="n">
        <v>40445</v>
      </c>
      <c r="B1363" t="n">
        <v>4132.58</v>
      </c>
      <c r="C1363" t="n">
        <v>3017.56</v>
      </c>
      <c r="D1363" t="n">
        <v>3342.49</v>
      </c>
      <c r="E1363" t="n">
        <v>3760.07</v>
      </c>
      <c r="F1363" t="n">
        <v>4048.58</v>
      </c>
    </row>
    <row r="1364">
      <c r="A1364" s="3" t="n">
        <v>40448</v>
      </c>
      <c r="B1364" t="n">
        <v>4145.2</v>
      </c>
      <c r="C1364" t="n">
        <v>3013.01</v>
      </c>
      <c r="D1364" t="n">
        <v>3352.7</v>
      </c>
      <c r="E1364" t="n">
        <v>3749.45</v>
      </c>
      <c r="F1364" t="n">
        <v>4066.48</v>
      </c>
    </row>
    <row r="1365">
      <c r="A1365" s="3" t="n">
        <v>40449</v>
      </c>
      <c r="B1365" t="n">
        <v>4140.61</v>
      </c>
      <c r="C1365" t="n">
        <v>3014.96</v>
      </c>
      <c r="D1365" t="n">
        <v>3362.63</v>
      </c>
      <c r="E1365" t="n">
        <v>3745.35</v>
      </c>
      <c r="F1365" t="n">
        <v>4066.22</v>
      </c>
    </row>
    <row r="1366">
      <c r="A1366" s="3" t="n">
        <v>40450</v>
      </c>
      <c r="B1366" t="n">
        <v>4133.86</v>
      </c>
      <c r="C1366" t="n">
        <v>3002.32</v>
      </c>
      <c r="D1366" t="n">
        <v>3325.79</v>
      </c>
      <c r="E1366" t="n">
        <v>3721.58</v>
      </c>
      <c r="F1366" t="n">
        <v>4048.55</v>
      </c>
    </row>
    <row r="1367">
      <c r="A1367" s="3" t="n">
        <v>40451</v>
      </c>
      <c r="B1367" t="n">
        <v>4129</v>
      </c>
      <c r="C1367" t="n">
        <v>3005.1</v>
      </c>
      <c r="D1367" t="n">
        <v>3316.77</v>
      </c>
      <c r="E1367" t="n">
        <v>3732.9</v>
      </c>
      <c r="F1367" t="n">
        <v>4030.93</v>
      </c>
    </row>
    <row r="1368">
      <c r="A1368" s="3" t="n">
        <v>40452</v>
      </c>
      <c r="B1368" t="n">
        <v>4197.05</v>
      </c>
      <c r="C1368" t="n">
        <v>3062.86</v>
      </c>
      <c r="D1368" t="n">
        <v>3386.2</v>
      </c>
      <c r="E1368" t="n">
        <v>3794.3</v>
      </c>
      <c r="F1368" t="n">
        <v>4109.64</v>
      </c>
    </row>
    <row r="1369">
      <c r="A1369" s="3" t="n">
        <v>40455</v>
      </c>
      <c r="B1369" t="n">
        <v>4229.02</v>
      </c>
      <c r="C1369" t="n">
        <v>3073.79</v>
      </c>
      <c r="D1369" t="n">
        <v>3424.87</v>
      </c>
      <c r="E1369" t="n">
        <v>3804.62</v>
      </c>
      <c r="F1369" t="n">
        <v>4142.08</v>
      </c>
    </row>
    <row r="1370">
      <c r="A1370" s="3" t="n">
        <v>40456</v>
      </c>
      <c r="B1370" t="n">
        <v>4266.57</v>
      </c>
      <c r="C1370" t="n">
        <v>3078.47</v>
      </c>
      <c r="D1370" t="n">
        <v>3459.98</v>
      </c>
      <c r="E1370" t="n">
        <v>3803.31</v>
      </c>
      <c r="F1370" t="n">
        <v>4181.77</v>
      </c>
    </row>
    <row r="1371">
      <c r="A1371" s="3" t="n">
        <v>40457</v>
      </c>
      <c r="B1371" t="n">
        <v>4310.36</v>
      </c>
      <c r="C1371" t="n">
        <v>3109.7</v>
      </c>
      <c r="D1371" t="n">
        <v>3510.95</v>
      </c>
      <c r="E1371" t="n">
        <v>3826.35</v>
      </c>
      <c r="F1371" t="n">
        <v>4209.86</v>
      </c>
    </row>
    <row r="1372">
      <c r="A1372" s="3" t="n">
        <v>40458</v>
      </c>
      <c r="B1372" t="n">
        <v>4271.1</v>
      </c>
      <c r="C1372" t="n">
        <v>3083.17</v>
      </c>
      <c r="D1372" t="n">
        <v>3467.36</v>
      </c>
      <c r="E1372" t="n">
        <v>3797.99</v>
      </c>
      <c r="F1372" t="n">
        <v>4192.71</v>
      </c>
    </row>
    <row r="1373">
      <c r="A1373" s="3" t="n">
        <v>40459</v>
      </c>
      <c r="B1373" t="n">
        <v>4235.8</v>
      </c>
      <c r="C1373" t="n">
        <v>3066.48</v>
      </c>
      <c r="D1373" t="n">
        <v>3451.47</v>
      </c>
      <c r="E1373" t="n">
        <v>3794.89</v>
      </c>
      <c r="F1373" t="n">
        <v>4164.26</v>
      </c>
    </row>
    <row r="1374">
      <c r="A1374" s="3" t="n">
        <v>40462</v>
      </c>
      <c r="B1374" t="n">
        <v>4287.19</v>
      </c>
      <c r="C1374" t="n">
        <v>3090.09</v>
      </c>
      <c r="D1374" t="n">
        <v>3477.18</v>
      </c>
      <c r="E1374" t="n">
        <v>3810.37</v>
      </c>
      <c r="F1374" t="n">
        <v>4207.3</v>
      </c>
    </row>
    <row r="1375">
      <c r="A1375" s="3" t="n">
        <v>40463</v>
      </c>
      <c r="B1375" t="n">
        <v>4264.58</v>
      </c>
      <c r="C1375" t="n">
        <v>3077.7</v>
      </c>
      <c r="D1375" t="n">
        <v>3476.04</v>
      </c>
      <c r="E1375" t="n">
        <v>3788.03</v>
      </c>
      <c r="F1375" t="n">
        <v>4183.17</v>
      </c>
    </row>
    <row r="1376">
      <c r="A1376" s="3" t="n">
        <v>40464</v>
      </c>
      <c r="B1376" t="n">
        <v>4298.98</v>
      </c>
      <c r="C1376" t="n">
        <v>3133.05</v>
      </c>
      <c r="D1376" t="n">
        <v>3544.26</v>
      </c>
      <c r="E1376" t="n">
        <v>3859.41</v>
      </c>
      <c r="F1376" t="n">
        <v>4221.35</v>
      </c>
    </row>
    <row r="1377">
      <c r="A1377" s="3" t="n">
        <v>40465</v>
      </c>
      <c r="B1377" t="n">
        <v>4290.29</v>
      </c>
      <c r="C1377" t="n">
        <v>3130.97</v>
      </c>
      <c r="D1377" t="n">
        <v>3521.08</v>
      </c>
      <c r="E1377" t="n">
        <v>3823.46</v>
      </c>
      <c r="F1377" t="n">
        <v>4199.26</v>
      </c>
    </row>
    <row r="1378">
      <c r="A1378" s="3" t="n">
        <v>40466</v>
      </c>
      <c r="B1378" t="n">
        <v>4224.15</v>
      </c>
      <c r="C1378" t="n">
        <v>3072.11</v>
      </c>
      <c r="D1378" t="n">
        <v>3490.24</v>
      </c>
      <c r="E1378" t="n">
        <v>3763.16</v>
      </c>
      <c r="F1378" t="n">
        <v>4144.87</v>
      </c>
    </row>
    <row r="1379">
      <c r="A1379" s="3" t="n">
        <v>40469</v>
      </c>
      <c r="B1379" t="n">
        <v>4198.71</v>
      </c>
      <c r="C1379" t="n">
        <v>3070.71</v>
      </c>
      <c r="D1379" t="n">
        <v>3472.71</v>
      </c>
      <c r="E1379" t="n">
        <v>3773.34</v>
      </c>
      <c r="F1379" t="n">
        <v>4126.48</v>
      </c>
    </row>
    <row r="1380">
      <c r="A1380" s="3" t="n">
        <v>40470</v>
      </c>
      <c r="B1380" t="n">
        <v>4189.88</v>
      </c>
      <c r="C1380" t="n">
        <v>3063.06</v>
      </c>
      <c r="D1380" t="n">
        <v>3479.35</v>
      </c>
      <c r="E1380" t="n">
        <v>3752.86</v>
      </c>
      <c r="F1380" t="n">
        <v>4114.96</v>
      </c>
    </row>
    <row r="1381">
      <c r="A1381" s="3" t="n">
        <v>40471</v>
      </c>
      <c r="B1381" t="n">
        <v>4180.67</v>
      </c>
      <c r="C1381" t="n">
        <v>3056.59</v>
      </c>
      <c r="D1381" t="n">
        <v>3494.7</v>
      </c>
      <c r="E1381" t="n">
        <v>3741.26</v>
      </c>
      <c r="F1381" t="n">
        <v>4114.72</v>
      </c>
    </row>
    <row r="1382">
      <c r="A1382" s="3" t="n">
        <v>40472</v>
      </c>
      <c r="B1382" t="n">
        <v>4226.08</v>
      </c>
      <c r="C1382" t="n">
        <v>3097.16</v>
      </c>
      <c r="D1382" t="n">
        <v>3559.01</v>
      </c>
      <c r="E1382" t="n">
        <v>3799.52</v>
      </c>
      <c r="F1382" t="n">
        <v>4166.86</v>
      </c>
    </row>
    <row r="1383">
      <c r="A1383" s="3" t="n">
        <v>40473</v>
      </c>
      <c r="B1383" t="n">
        <v>4254.35</v>
      </c>
      <c r="C1383" t="n">
        <v>3093.4</v>
      </c>
      <c r="D1383" t="n">
        <v>3600.6</v>
      </c>
      <c r="E1383" t="n">
        <v>3791.71</v>
      </c>
      <c r="F1383" t="n">
        <v>4172.1</v>
      </c>
    </row>
    <row r="1384">
      <c r="A1384" s="3" t="n">
        <v>40476</v>
      </c>
      <c r="B1384" t="n">
        <v>4316.04</v>
      </c>
      <c r="C1384" t="n">
        <v>3116.19</v>
      </c>
      <c r="D1384" t="n">
        <v>3670.62</v>
      </c>
      <c r="E1384" t="n">
        <v>3812.99</v>
      </c>
      <c r="F1384" t="n">
        <v>4217.14</v>
      </c>
    </row>
    <row r="1385">
      <c r="A1385" s="3" t="n">
        <v>40477</v>
      </c>
      <c r="B1385" t="n">
        <v>4341.31</v>
      </c>
      <c r="C1385" t="n">
        <v>3113.04</v>
      </c>
      <c r="D1385" t="n">
        <v>3659.27</v>
      </c>
      <c r="E1385" t="n">
        <v>3790.06</v>
      </c>
      <c r="F1385" t="n">
        <v>4238.74</v>
      </c>
    </row>
    <row r="1386">
      <c r="A1386" s="3" t="n">
        <v>40478</v>
      </c>
      <c r="B1386" t="n">
        <v>4351.32</v>
      </c>
      <c r="C1386" t="n">
        <v>3100.12</v>
      </c>
      <c r="D1386" t="n">
        <v>3658.33</v>
      </c>
      <c r="E1386" t="n">
        <v>3751.99</v>
      </c>
      <c r="F1386" t="n">
        <v>4250.29</v>
      </c>
    </row>
    <row r="1387">
      <c r="A1387" s="3" t="n">
        <v>40479</v>
      </c>
      <c r="B1387" t="n">
        <v>4329.78</v>
      </c>
      <c r="C1387" t="n">
        <v>3078.51</v>
      </c>
      <c r="D1387" t="n">
        <v>3630.97</v>
      </c>
      <c r="E1387" t="n">
        <v>3741.7</v>
      </c>
      <c r="F1387" t="n">
        <v>4219.71</v>
      </c>
    </row>
    <row r="1388">
      <c r="A1388" s="3" t="n">
        <v>40480</v>
      </c>
      <c r="B1388" t="n">
        <v>4327.2</v>
      </c>
      <c r="C1388" t="n">
        <v>3070.05</v>
      </c>
      <c r="D1388" t="n">
        <v>3605.6</v>
      </c>
      <c r="E1388" t="n">
        <v>3740.41</v>
      </c>
      <c r="F1388" t="n">
        <v>4227.03</v>
      </c>
    </row>
    <row r="1389">
      <c r="A1389" s="3" t="n">
        <v>40483</v>
      </c>
      <c r="B1389" t="n">
        <v>4395.46</v>
      </c>
      <c r="C1389" t="n">
        <v>3107.17</v>
      </c>
      <c r="D1389" t="n">
        <v>3682.58</v>
      </c>
      <c r="E1389" t="n">
        <v>3776.57</v>
      </c>
      <c r="F1389" t="n">
        <v>4304.67</v>
      </c>
    </row>
    <row r="1390">
      <c r="A1390" s="3" t="n">
        <v>40484</v>
      </c>
      <c r="B1390" t="n">
        <v>4392.89</v>
      </c>
      <c r="C1390" t="n">
        <v>3119.34</v>
      </c>
      <c r="D1390" t="n">
        <v>3748.06</v>
      </c>
      <c r="E1390" t="n">
        <v>3785.12</v>
      </c>
      <c r="F1390" t="n">
        <v>4316.49</v>
      </c>
    </row>
    <row r="1391">
      <c r="A1391" s="3" t="n">
        <v>40485</v>
      </c>
      <c r="B1391" t="n">
        <v>4420.37</v>
      </c>
      <c r="C1391" t="n">
        <v>3148.61</v>
      </c>
      <c r="D1391" t="n">
        <v>3759.29</v>
      </c>
      <c r="E1391" t="n">
        <v>3807.24</v>
      </c>
      <c r="F1391" t="n">
        <v>4328.99</v>
      </c>
    </row>
    <row r="1392">
      <c r="A1392" s="3" t="n">
        <v>40486</v>
      </c>
      <c r="B1392" t="n">
        <v>4463.31</v>
      </c>
      <c r="C1392" t="n">
        <v>3177.92</v>
      </c>
      <c r="D1392" t="n">
        <v>3792.32</v>
      </c>
      <c r="E1392" t="n">
        <v>3862.1</v>
      </c>
      <c r="F1392" t="n">
        <v>4363.6</v>
      </c>
    </row>
    <row r="1393">
      <c r="A1393" s="3" t="n">
        <v>40487</v>
      </c>
      <c r="B1393" t="n">
        <v>4484.64</v>
      </c>
      <c r="C1393" t="n">
        <v>3188.11</v>
      </c>
      <c r="D1393" t="n">
        <v>3824.51</v>
      </c>
      <c r="E1393" t="n">
        <v>3880.76</v>
      </c>
      <c r="F1393" t="n">
        <v>4384.19</v>
      </c>
    </row>
    <row r="1394">
      <c r="A1394" s="3" t="n">
        <v>40490</v>
      </c>
      <c r="B1394" t="n">
        <v>4476.62</v>
      </c>
      <c r="C1394" t="n">
        <v>3190.74</v>
      </c>
      <c r="D1394" t="n">
        <v>3798.65</v>
      </c>
      <c r="E1394" t="n">
        <v>3850.44</v>
      </c>
      <c r="F1394" t="n">
        <v>4375.78</v>
      </c>
    </row>
    <row r="1395">
      <c r="A1395" s="3" t="n">
        <v>40491</v>
      </c>
      <c r="B1395" t="n">
        <v>4503.16</v>
      </c>
      <c r="C1395" t="n">
        <v>3215.49</v>
      </c>
      <c r="D1395" t="n">
        <v>3821.37</v>
      </c>
      <c r="E1395" t="n">
        <v>3868.47</v>
      </c>
      <c r="F1395" t="n">
        <v>4420.55</v>
      </c>
    </row>
    <row r="1396">
      <c r="A1396" s="3" t="n">
        <v>40492</v>
      </c>
      <c r="B1396" t="n">
        <v>4525.48</v>
      </c>
      <c r="C1396" t="n">
        <v>3221.39</v>
      </c>
      <c r="D1396" t="n">
        <v>3863.51</v>
      </c>
      <c r="E1396" t="n">
        <v>3857.03</v>
      </c>
      <c r="F1396" t="n">
        <v>4434.75</v>
      </c>
    </row>
    <row r="1397">
      <c r="A1397" s="3" t="n">
        <v>40493</v>
      </c>
      <c r="B1397" t="n">
        <v>4499.38</v>
      </c>
      <c r="C1397" t="n">
        <v>3187.25</v>
      </c>
      <c r="D1397" t="n">
        <v>3820.17</v>
      </c>
      <c r="E1397" t="n">
        <v>3807.44</v>
      </c>
      <c r="F1397" t="n">
        <v>4380.71</v>
      </c>
    </row>
    <row r="1398">
      <c r="A1398" s="3" t="n">
        <v>40494</v>
      </c>
      <c r="B1398" t="n">
        <v>4397.73</v>
      </c>
      <c r="C1398" t="n">
        <v>3131.14</v>
      </c>
      <c r="D1398" t="n">
        <v>3712.85</v>
      </c>
      <c r="E1398" t="n">
        <v>3754.67</v>
      </c>
      <c r="F1398" t="n">
        <v>4284.22</v>
      </c>
    </row>
    <row r="1399">
      <c r="A1399" s="3" t="n">
        <v>40497</v>
      </c>
      <c r="B1399" t="n">
        <v>4416.98</v>
      </c>
      <c r="C1399" t="n">
        <v>3142.08</v>
      </c>
      <c r="D1399" t="n">
        <v>3729.87</v>
      </c>
      <c r="E1399" t="n">
        <v>3777.23</v>
      </c>
      <c r="F1399" t="n">
        <v>4314.53</v>
      </c>
    </row>
    <row r="1400">
      <c r="A1400" s="3" t="n">
        <v>40498</v>
      </c>
      <c r="B1400" t="n">
        <v>4332.33</v>
      </c>
      <c r="C1400" t="n">
        <v>3085.85</v>
      </c>
      <c r="D1400" t="n">
        <v>3612.8</v>
      </c>
      <c r="E1400" t="n">
        <v>3709.27</v>
      </c>
      <c r="F1400" t="n">
        <v>4235.69</v>
      </c>
    </row>
    <row r="1401">
      <c r="A1401" s="3" t="n">
        <v>40500</v>
      </c>
      <c r="B1401" t="n">
        <v>4322.37</v>
      </c>
      <c r="C1401" t="n">
        <v>3102.54</v>
      </c>
      <c r="D1401" t="n">
        <v>3626.95</v>
      </c>
      <c r="E1401" t="n">
        <v>3713.11</v>
      </c>
      <c r="F1401" t="n">
        <v>4237.85</v>
      </c>
    </row>
    <row r="1402">
      <c r="A1402" s="3" t="n">
        <v>40501</v>
      </c>
      <c r="B1402" t="n">
        <v>4252.49</v>
      </c>
      <c r="C1402" t="n">
        <v>3053.09</v>
      </c>
      <c r="D1402" t="n">
        <v>3501.66</v>
      </c>
      <c r="E1402" t="n">
        <v>3659.62</v>
      </c>
      <c r="F1402" t="n">
        <v>4174.97</v>
      </c>
    </row>
    <row r="1403">
      <c r="A1403" s="3" t="n">
        <v>40504</v>
      </c>
      <c r="B1403" t="n">
        <v>4327.5</v>
      </c>
      <c r="C1403" t="n">
        <v>3094.5</v>
      </c>
      <c r="D1403" t="n">
        <v>3554.05</v>
      </c>
      <c r="E1403" t="n">
        <v>3709.24</v>
      </c>
      <c r="F1403" t="n">
        <v>4259.67</v>
      </c>
    </row>
    <row r="1404">
      <c r="A1404" s="3" t="n">
        <v>40505</v>
      </c>
      <c r="B1404" t="n">
        <v>4298.61</v>
      </c>
      <c r="C1404" t="n">
        <v>3073.13</v>
      </c>
      <c r="D1404" t="n">
        <v>3503.3</v>
      </c>
      <c r="E1404" t="n">
        <v>3673</v>
      </c>
      <c r="F1404" t="n">
        <v>4224.35</v>
      </c>
    </row>
    <row r="1405">
      <c r="A1405" s="3" t="n">
        <v>40506</v>
      </c>
      <c r="B1405" t="n">
        <v>4218.01</v>
      </c>
      <c r="C1405" t="n">
        <v>3038.38</v>
      </c>
      <c r="D1405" t="n">
        <v>3461.26</v>
      </c>
      <c r="E1405" t="n">
        <v>3623.93</v>
      </c>
      <c r="F1405" t="n">
        <v>4189.8</v>
      </c>
    </row>
    <row r="1406">
      <c r="A1406" s="3" t="n">
        <v>40507</v>
      </c>
      <c r="B1406" t="n">
        <v>4142.23</v>
      </c>
      <c r="C1406" t="n">
        <v>2993.61</v>
      </c>
      <c r="D1406" t="n">
        <v>3387.32</v>
      </c>
      <c r="E1406" t="n">
        <v>3589.88</v>
      </c>
      <c r="F1406" t="n">
        <v>4107.2</v>
      </c>
    </row>
    <row r="1407">
      <c r="A1407" s="3" t="n">
        <v>40508</v>
      </c>
      <c r="B1407" t="n">
        <v>4059.16</v>
      </c>
      <c r="C1407" t="n">
        <v>2961.58</v>
      </c>
      <c r="D1407" t="n">
        <v>3272.55</v>
      </c>
      <c r="E1407" t="n">
        <v>3569.28</v>
      </c>
      <c r="F1407" t="n">
        <v>4019.68</v>
      </c>
    </row>
    <row r="1408">
      <c r="A1408" s="3" t="n">
        <v>40511</v>
      </c>
      <c r="B1408" t="n">
        <v>4072.13</v>
      </c>
      <c r="C1408" t="n">
        <v>2999.22</v>
      </c>
      <c r="D1408" t="n">
        <v>3301.04</v>
      </c>
      <c r="E1408" t="n">
        <v>3613.63</v>
      </c>
      <c r="F1408" t="n">
        <v>4053.04</v>
      </c>
    </row>
    <row r="1409">
      <c r="A1409" s="3" t="n">
        <v>40512</v>
      </c>
      <c r="B1409" t="n">
        <v>4124.8</v>
      </c>
      <c r="C1409" t="n">
        <v>3035.98</v>
      </c>
      <c r="D1409" t="n">
        <v>3349.7</v>
      </c>
      <c r="E1409" t="n">
        <v>3630.8</v>
      </c>
      <c r="F1409" t="n">
        <v>4112.94</v>
      </c>
    </row>
    <row r="1410">
      <c r="A1410" s="3" t="n">
        <v>40513</v>
      </c>
      <c r="B1410" t="n">
        <v>4238.33</v>
      </c>
      <c r="C1410" t="n">
        <v>3080.38</v>
      </c>
      <c r="D1410" t="n">
        <v>3461.77</v>
      </c>
      <c r="E1410" t="n">
        <v>3682.33</v>
      </c>
      <c r="F1410" t="n">
        <v>4206.91</v>
      </c>
    </row>
    <row r="1411">
      <c r="A1411" s="3" t="n">
        <v>40514</v>
      </c>
      <c r="B1411" t="n">
        <v>4288.11</v>
      </c>
      <c r="C1411" t="n">
        <v>3100.8</v>
      </c>
      <c r="D1411" t="n">
        <v>3502.36</v>
      </c>
      <c r="E1411" t="n">
        <v>3697.37</v>
      </c>
      <c r="F1411" t="n">
        <v>4242.27</v>
      </c>
    </row>
    <row r="1412">
      <c r="A1412" s="3" t="n">
        <v>40515</v>
      </c>
      <c r="B1412" t="n">
        <v>4220.38</v>
      </c>
      <c r="C1412" t="n">
        <v>3085.31</v>
      </c>
      <c r="D1412" t="n">
        <v>3397.96</v>
      </c>
      <c r="E1412" t="n">
        <v>3688.39</v>
      </c>
      <c r="F1412" t="n">
        <v>4181.68</v>
      </c>
    </row>
    <row r="1413">
      <c r="A1413" s="3" t="n">
        <v>40518</v>
      </c>
      <c r="B1413" t="n">
        <v>4193.28</v>
      </c>
      <c r="C1413" t="n">
        <v>3071.18</v>
      </c>
      <c r="D1413" t="n">
        <v>3357.47</v>
      </c>
      <c r="E1413" t="n">
        <v>3687.14</v>
      </c>
      <c r="F1413" t="n">
        <v>4154.82</v>
      </c>
    </row>
    <row r="1414">
      <c r="A1414" s="3" t="n">
        <v>40519</v>
      </c>
      <c r="B1414" t="n">
        <v>4120.36</v>
      </c>
      <c r="C1414" t="n">
        <v>3050.21</v>
      </c>
      <c r="D1414" t="n">
        <v>3296.51</v>
      </c>
      <c r="E1414" t="n">
        <v>3686.98</v>
      </c>
      <c r="F1414" t="n">
        <v>4101.03</v>
      </c>
    </row>
    <row r="1415">
      <c r="A1415" s="3" t="n">
        <v>40520</v>
      </c>
      <c r="B1415" t="n">
        <v>4018.21</v>
      </c>
      <c r="C1415" t="n">
        <v>3006.54</v>
      </c>
      <c r="D1415" t="n">
        <v>3201.86</v>
      </c>
      <c r="E1415" t="n">
        <v>3653.74</v>
      </c>
      <c r="F1415" t="n">
        <v>4006.73</v>
      </c>
    </row>
    <row r="1416">
      <c r="A1416" s="3" t="n">
        <v>40521</v>
      </c>
      <c r="B1416" t="n">
        <v>3860.73</v>
      </c>
      <c r="C1416" t="n">
        <v>2927.17</v>
      </c>
      <c r="D1416" t="n">
        <v>3016.53</v>
      </c>
      <c r="E1416" t="n">
        <v>3582.87</v>
      </c>
      <c r="F1416" t="n">
        <v>3852.72</v>
      </c>
    </row>
    <row r="1417">
      <c r="A1417" s="3" t="n">
        <v>40522</v>
      </c>
      <c r="B1417" t="n">
        <v>3923.37</v>
      </c>
      <c r="C1417" t="n">
        <v>2965.51</v>
      </c>
      <c r="D1417" t="n">
        <v>3116.74</v>
      </c>
      <c r="E1417" t="n">
        <v>3626.33</v>
      </c>
      <c r="F1417" t="n">
        <v>3901.37</v>
      </c>
    </row>
    <row r="1418">
      <c r="A1418" s="3" t="n">
        <v>40525</v>
      </c>
      <c r="B1418" t="n">
        <v>3986.13</v>
      </c>
      <c r="C1418" t="n">
        <v>3000.57</v>
      </c>
      <c r="D1418" t="n">
        <v>3186.07</v>
      </c>
      <c r="E1418" t="n">
        <v>3668.12</v>
      </c>
      <c r="F1418" t="n">
        <v>3945.06</v>
      </c>
    </row>
    <row r="1419">
      <c r="A1419" s="3" t="n">
        <v>40526</v>
      </c>
      <c r="B1419" t="n">
        <v>4054.98</v>
      </c>
      <c r="C1419" t="n">
        <v>3024.54</v>
      </c>
      <c r="D1419" t="n">
        <v>3250.94</v>
      </c>
      <c r="E1419" t="n">
        <v>3686.75</v>
      </c>
      <c r="F1419" t="n">
        <v>4002.21</v>
      </c>
    </row>
    <row r="1420">
      <c r="A1420" s="3" t="n">
        <v>40527</v>
      </c>
      <c r="B1420" t="n">
        <v>3985.98</v>
      </c>
      <c r="C1420" t="n">
        <v>2999.46</v>
      </c>
      <c r="D1420" t="n">
        <v>3208.38</v>
      </c>
      <c r="E1420" t="n">
        <v>3658.39</v>
      </c>
      <c r="F1420" t="n">
        <v>3946.21</v>
      </c>
    </row>
    <row r="1421">
      <c r="A1421" s="3" t="n">
        <v>40528</v>
      </c>
      <c r="B1421" t="n">
        <v>3996.44</v>
      </c>
      <c r="C1421" t="n">
        <v>3023.71</v>
      </c>
      <c r="D1421" t="n">
        <v>3254.63</v>
      </c>
      <c r="E1421" t="n">
        <v>3680.28</v>
      </c>
      <c r="F1421" t="n">
        <v>3952</v>
      </c>
    </row>
    <row r="1422">
      <c r="A1422" s="3" t="n">
        <v>40532</v>
      </c>
      <c r="B1422" t="n">
        <v>3999.7</v>
      </c>
      <c r="C1422" t="n">
        <v>3049.88</v>
      </c>
      <c r="D1422" t="n">
        <v>3240.42</v>
      </c>
      <c r="E1422" t="n">
        <v>3690.28</v>
      </c>
      <c r="F1422" t="n">
        <v>3959.09</v>
      </c>
    </row>
    <row r="1423">
      <c r="A1423" s="3" t="n">
        <v>40533</v>
      </c>
      <c r="B1423" t="n">
        <v>4010.14</v>
      </c>
      <c r="C1423" t="n">
        <v>3059.33</v>
      </c>
      <c r="D1423" t="n">
        <v>3266.74</v>
      </c>
      <c r="E1423" t="n">
        <v>3700.2</v>
      </c>
      <c r="F1423" t="n">
        <v>3982.22</v>
      </c>
    </row>
    <row r="1424">
      <c r="A1424" s="3" t="n">
        <v>40534</v>
      </c>
      <c r="B1424" t="n">
        <v>4022.01</v>
      </c>
      <c r="C1424" t="n">
        <v>3053.54</v>
      </c>
      <c r="D1424" t="n">
        <v>3286.04</v>
      </c>
      <c r="E1424" t="n">
        <v>3682.18</v>
      </c>
      <c r="F1424" t="n">
        <v>3976.34</v>
      </c>
    </row>
    <row r="1425">
      <c r="A1425" s="3" t="n">
        <v>40535</v>
      </c>
      <c r="B1425" t="n">
        <v>4016.88</v>
      </c>
      <c r="C1425" t="n">
        <v>3046.14</v>
      </c>
      <c r="D1425" t="n">
        <v>3278.76</v>
      </c>
      <c r="E1425" t="n">
        <v>3683.35</v>
      </c>
      <c r="F1425" t="n">
        <v>3956.1</v>
      </c>
    </row>
    <row r="1426">
      <c r="A1426" s="3" t="n">
        <v>40536</v>
      </c>
      <c r="B1426" t="n">
        <v>4025.91</v>
      </c>
      <c r="C1426" t="n">
        <v>3056.37</v>
      </c>
      <c r="D1426" t="n">
        <v>3283.37</v>
      </c>
      <c r="E1426" t="n">
        <v>3701.67</v>
      </c>
      <c r="F1426" t="n">
        <v>3960.18</v>
      </c>
    </row>
    <row r="1427">
      <c r="A1427" s="3" t="n">
        <v>40539</v>
      </c>
      <c r="B1427" t="n">
        <v>4023.23</v>
      </c>
      <c r="C1427" t="n">
        <v>3054.82</v>
      </c>
      <c r="D1427" t="n">
        <v>3272.29</v>
      </c>
      <c r="E1427" t="n">
        <v>3701.42</v>
      </c>
      <c r="F1427" t="n">
        <v>3946.01</v>
      </c>
    </row>
    <row r="1428">
      <c r="A1428" s="3" t="n">
        <v>40540</v>
      </c>
      <c r="B1428" t="n">
        <v>4025.17</v>
      </c>
      <c r="C1428" t="n">
        <v>3053.72</v>
      </c>
      <c r="D1428" t="n">
        <v>3257.03</v>
      </c>
      <c r="E1428" t="n">
        <v>3708.64</v>
      </c>
      <c r="F1428" t="n">
        <v>3974.8</v>
      </c>
    </row>
    <row r="1429">
      <c r="A1429" s="3" t="n">
        <v>40541</v>
      </c>
      <c r="B1429" t="n">
        <v>4053.56</v>
      </c>
      <c r="C1429" t="n">
        <v>3079.48</v>
      </c>
      <c r="D1429" t="n">
        <v>3280.14</v>
      </c>
      <c r="E1429" t="n">
        <v>3736.09</v>
      </c>
      <c r="F1429" t="n">
        <v>3992.53</v>
      </c>
    </row>
    <row r="1430">
      <c r="A1430" s="3" t="n">
        <v>40542</v>
      </c>
      <c r="B1430" t="n">
        <v>4075.31</v>
      </c>
      <c r="C1430" t="n">
        <v>3101.95</v>
      </c>
      <c r="D1430" t="n">
        <v>3308.56</v>
      </c>
      <c r="E1430" t="n">
        <v>3758.74</v>
      </c>
      <c r="F1430" t="n">
        <v>4017</v>
      </c>
    </row>
    <row r="1431">
      <c r="A1431" s="3" t="n">
        <v>40543</v>
      </c>
      <c r="B1431" t="n">
        <v>4136.15</v>
      </c>
      <c r="C1431" t="n">
        <v>3119.71</v>
      </c>
      <c r="D1431" t="n">
        <v>3353.71</v>
      </c>
      <c r="E1431" t="n">
        <v>3772.71</v>
      </c>
      <c r="F1431" t="n">
        <v>4066.85</v>
      </c>
    </row>
    <row r="1432">
      <c r="A1432" s="3" t="n">
        <v>40546</v>
      </c>
      <c r="B1432" t="n">
        <v>4147.07</v>
      </c>
      <c r="C1432" t="n">
        <v>3130.6</v>
      </c>
      <c r="D1432" t="n">
        <v>3386.47</v>
      </c>
      <c r="E1432" t="n">
        <v>3779.53</v>
      </c>
      <c r="F1432" t="n">
        <v>4104.4</v>
      </c>
    </row>
    <row r="1433">
      <c r="A1433" s="3" t="n">
        <v>40547</v>
      </c>
      <c r="B1433" t="n">
        <v>4093.7</v>
      </c>
      <c r="C1433" t="n">
        <v>3134.75</v>
      </c>
      <c r="D1433" t="n">
        <v>3363.42</v>
      </c>
      <c r="E1433" t="n">
        <v>3786.87</v>
      </c>
      <c r="F1433" t="n">
        <v>4083.72</v>
      </c>
    </row>
    <row r="1434">
      <c r="A1434" s="3" t="n">
        <v>40548</v>
      </c>
      <c r="B1434" t="n">
        <v>4027.4</v>
      </c>
      <c r="C1434" t="n">
        <v>3110.32</v>
      </c>
      <c r="D1434" t="n">
        <v>3314.85</v>
      </c>
      <c r="E1434" t="n">
        <v>3761.66</v>
      </c>
      <c r="F1434" t="n">
        <v>4011.71</v>
      </c>
    </row>
    <row r="1435">
      <c r="A1435" s="3" t="n">
        <v>40549</v>
      </c>
      <c r="B1435" t="n">
        <v>3977.6</v>
      </c>
      <c r="C1435" t="n">
        <v>3090.32</v>
      </c>
      <c r="D1435" t="n">
        <v>3274.06</v>
      </c>
      <c r="E1435" t="n">
        <v>3737.47</v>
      </c>
      <c r="F1435" t="n">
        <v>3958.36</v>
      </c>
    </row>
    <row r="1436">
      <c r="A1436" s="3" t="n">
        <v>40550</v>
      </c>
      <c r="B1436" t="n">
        <v>3867.22</v>
      </c>
      <c r="C1436" t="n">
        <v>3013.63</v>
      </c>
      <c r="D1436" t="n">
        <v>3183.69</v>
      </c>
      <c r="E1436" t="n">
        <v>3667.92</v>
      </c>
      <c r="F1436" t="n">
        <v>3846.81</v>
      </c>
    </row>
    <row r="1437">
      <c r="A1437" s="3" t="n">
        <v>40553</v>
      </c>
      <c r="B1437" t="n">
        <v>3782.21</v>
      </c>
      <c r="C1437" t="n">
        <v>2956.94</v>
      </c>
      <c r="D1437" t="n">
        <v>3103.99</v>
      </c>
      <c r="E1437" t="n">
        <v>3583.71</v>
      </c>
      <c r="F1437" t="n">
        <v>3757.11</v>
      </c>
    </row>
    <row r="1438">
      <c r="A1438" s="3" t="n">
        <v>40554</v>
      </c>
      <c r="B1438" t="n">
        <v>3773.47</v>
      </c>
      <c r="C1438" t="n">
        <v>2948.36</v>
      </c>
      <c r="D1438" t="n">
        <v>3087.97</v>
      </c>
      <c r="E1438" t="n">
        <v>3577.35</v>
      </c>
      <c r="F1438" t="n">
        <v>3741.58</v>
      </c>
    </row>
    <row r="1439">
      <c r="A1439" s="3" t="n">
        <v>40555</v>
      </c>
      <c r="B1439" t="n">
        <v>3849.22</v>
      </c>
      <c r="C1439" t="n">
        <v>2994.35</v>
      </c>
      <c r="D1439" t="n">
        <v>3148.59</v>
      </c>
      <c r="E1439" t="n">
        <v>3619.45</v>
      </c>
      <c r="F1439" t="n">
        <v>3836.73</v>
      </c>
    </row>
    <row r="1440">
      <c r="A1440" s="3" t="n">
        <v>40556</v>
      </c>
      <c r="B1440" t="n">
        <v>3814.6</v>
      </c>
      <c r="C1440" t="n">
        <v>2959.19</v>
      </c>
      <c r="D1440" t="n">
        <v>3103.56</v>
      </c>
      <c r="E1440" t="n">
        <v>3571.74</v>
      </c>
      <c r="F1440" t="n">
        <v>3795.22</v>
      </c>
    </row>
    <row r="1441">
      <c r="A1441" s="3" t="n">
        <v>40557</v>
      </c>
      <c r="B1441" t="n">
        <v>3747.9</v>
      </c>
      <c r="C1441" t="n">
        <v>2925.05</v>
      </c>
      <c r="D1441" t="n">
        <v>3057.34</v>
      </c>
      <c r="E1441" t="n">
        <v>3524.87</v>
      </c>
      <c r="F1441" t="n">
        <v>3734.39</v>
      </c>
    </row>
    <row r="1442">
      <c r="A1442" s="3" t="n">
        <v>40560</v>
      </c>
      <c r="B1442" t="n">
        <v>3727.78</v>
      </c>
      <c r="C1442" t="n">
        <v>2917.97</v>
      </c>
      <c r="D1442" t="n">
        <v>3031.57</v>
      </c>
      <c r="E1442" t="n">
        <v>3532</v>
      </c>
      <c r="F1442" t="n">
        <v>3704.25</v>
      </c>
    </row>
    <row r="1443">
      <c r="A1443" s="3" t="n">
        <v>40561</v>
      </c>
      <c r="B1443" t="n">
        <v>3769.36</v>
      </c>
      <c r="C1443" t="n">
        <v>2950.53</v>
      </c>
      <c r="D1443" t="n">
        <v>3049.65</v>
      </c>
      <c r="E1443" t="n">
        <v>3563.94</v>
      </c>
      <c r="F1443" t="n">
        <v>3738.3</v>
      </c>
    </row>
    <row r="1444">
      <c r="A1444" s="3" t="n">
        <v>40562</v>
      </c>
      <c r="B1444" t="n">
        <v>3788.25</v>
      </c>
      <c r="C1444" t="n">
        <v>2949.12</v>
      </c>
      <c r="D1444" t="n">
        <v>3064.75</v>
      </c>
      <c r="E1444" t="n">
        <v>3530.6</v>
      </c>
      <c r="F1444" t="n">
        <v>3761.15</v>
      </c>
    </row>
    <row r="1445">
      <c r="A1445" s="3" t="n">
        <v>40563</v>
      </c>
      <c r="B1445" t="n">
        <v>3808.71</v>
      </c>
      <c r="C1445" t="n">
        <v>2962.16</v>
      </c>
      <c r="D1445" t="n">
        <v>3076.94</v>
      </c>
      <c r="E1445" t="n">
        <v>3541.72</v>
      </c>
      <c r="F1445" t="n">
        <v>3779.94</v>
      </c>
    </row>
    <row r="1446">
      <c r="A1446" s="3" t="n">
        <v>40564</v>
      </c>
      <c r="B1446" t="n">
        <v>3808.27</v>
      </c>
      <c r="C1446" t="n">
        <v>2942.32</v>
      </c>
      <c r="D1446" t="n">
        <v>3109.87</v>
      </c>
      <c r="E1446" t="n">
        <v>3526.21</v>
      </c>
      <c r="F1446" t="n">
        <v>3783.44</v>
      </c>
    </row>
    <row r="1447">
      <c r="A1447" s="3" t="n">
        <v>40567</v>
      </c>
      <c r="B1447" t="n">
        <v>3834.4</v>
      </c>
      <c r="C1447" t="n">
        <v>2951.3</v>
      </c>
      <c r="D1447" t="n">
        <v>3141.09</v>
      </c>
      <c r="E1447" t="n">
        <v>3556.45</v>
      </c>
      <c r="F1447" t="n">
        <v>3811.77</v>
      </c>
    </row>
    <row r="1448">
      <c r="A1448" s="3" t="n">
        <v>40568</v>
      </c>
      <c r="B1448" t="n">
        <v>3798.31</v>
      </c>
      <c r="C1448" t="n">
        <v>2927.71</v>
      </c>
      <c r="D1448" t="n">
        <v>3123.25</v>
      </c>
      <c r="E1448" t="n">
        <v>3536.03</v>
      </c>
      <c r="F1448" t="n">
        <v>3768.07</v>
      </c>
    </row>
    <row r="1449">
      <c r="A1449" s="3" t="n">
        <v>40570</v>
      </c>
      <c r="B1449" t="n">
        <v>3743.61</v>
      </c>
      <c r="C1449" t="n">
        <v>2888.86</v>
      </c>
      <c r="D1449" t="n">
        <v>3069.43</v>
      </c>
      <c r="E1449" t="n">
        <v>3482.48</v>
      </c>
      <c r="F1449" t="n">
        <v>3689.24</v>
      </c>
    </row>
    <row r="1450">
      <c r="A1450" s="3" t="n">
        <v>40571</v>
      </c>
      <c r="B1450" t="n">
        <v>3648.64</v>
      </c>
      <c r="C1450" t="n">
        <v>2821.47</v>
      </c>
      <c r="D1450" t="n">
        <v>3002.77</v>
      </c>
      <c r="E1450" t="n">
        <v>3423.42</v>
      </c>
      <c r="F1450" t="n">
        <v>3579.81</v>
      </c>
    </row>
    <row r="1451">
      <c r="A1451" s="3" t="n">
        <v>40574</v>
      </c>
      <c r="B1451" t="n">
        <v>3665.54</v>
      </c>
      <c r="C1451" t="n">
        <v>2830.44</v>
      </c>
      <c r="D1451" t="n">
        <v>2998.77</v>
      </c>
      <c r="E1451" t="n">
        <v>3431.61</v>
      </c>
      <c r="F1451" t="n">
        <v>3611.75</v>
      </c>
    </row>
    <row r="1452">
      <c r="A1452" s="3" t="n">
        <v>40575</v>
      </c>
      <c r="B1452" t="n">
        <v>3585.73</v>
      </c>
      <c r="C1452" t="n">
        <v>2779.09</v>
      </c>
      <c r="D1452" t="n">
        <v>2932.56</v>
      </c>
      <c r="E1452" t="n">
        <v>3387.19</v>
      </c>
      <c r="F1452" t="n">
        <v>3536.6</v>
      </c>
    </row>
    <row r="1453">
      <c r="A1453" s="3" t="n">
        <v>40576</v>
      </c>
      <c r="B1453" t="n">
        <v>3575.31</v>
      </c>
      <c r="C1453" t="n">
        <v>2786.04</v>
      </c>
      <c r="D1453" t="n">
        <v>2933.35</v>
      </c>
      <c r="E1453" t="n">
        <v>3381.13</v>
      </c>
      <c r="F1453" t="n">
        <v>3534.41</v>
      </c>
    </row>
    <row r="1454">
      <c r="A1454" s="3" t="n">
        <v>40577</v>
      </c>
      <c r="B1454" t="n">
        <v>3617.5</v>
      </c>
      <c r="C1454" t="n">
        <v>2815.43</v>
      </c>
      <c r="D1454" t="n">
        <v>2979.6</v>
      </c>
      <c r="E1454" t="n">
        <v>3416.67</v>
      </c>
      <c r="F1454" t="n">
        <v>3573.65</v>
      </c>
    </row>
    <row r="1455">
      <c r="A1455" s="3" t="n">
        <v>40578</v>
      </c>
      <c r="B1455" t="n">
        <v>3568.02</v>
      </c>
      <c r="C1455" t="n">
        <v>2768.06</v>
      </c>
      <c r="D1455" t="n">
        <v>2929.52</v>
      </c>
      <c r="E1455" t="n">
        <v>3350.65</v>
      </c>
      <c r="F1455" t="n">
        <v>3511.41</v>
      </c>
    </row>
    <row r="1456">
      <c r="A1456" s="3" t="n">
        <v>40581</v>
      </c>
      <c r="B1456" t="n">
        <v>3539.8</v>
      </c>
      <c r="C1456" t="n">
        <v>2754.09</v>
      </c>
      <c r="D1456" t="n">
        <v>2912.45</v>
      </c>
      <c r="E1456" t="n">
        <v>3338.28</v>
      </c>
      <c r="F1456" t="n">
        <v>3481.73</v>
      </c>
    </row>
    <row r="1457">
      <c r="A1457" s="3" t="n">
        <v>40582</v>
      </c>
      <c r="B1457" t="n">
        <v>3479.39</v>
      </c>
      <c r="C1457" t="n">
        <v>2707.03</v>
      </c>
      <c r="D1457" t="n">
        <v>2848.41</v>
      </c>
      <c r="E1457" t="n">
        <v>3291.4</v>
      </c>
      <c r="F1457" t="n">
        <v>3386.04</v>
      </c>
    </row>
    <row r="1458">
      <c r="A1458" s="3" t="n">
        <v>40583</v>
      </c>
      <c r="B1458" t="n">
        <v>3387.16</v>
      </c>
      <c r="C1458" t="n">
        <v>2640.7</v>
      </c>
      <c r="D1458" t="n">
        <v>2752.59</v>
      </c>
      <c r="E1458" t="n">
        <v>3250.54</v>
      </c>
      <c r="F1458" t="n">
        <v>3284.64</v>
      </c>
    </row>
    <row r="1459">
      <c r="A1459" s="3" t="n">
        <v>40584</v>
      </c>
      <c r="B1459" t="n">
        <v>3395.43</v>
      </c>
      <c r="C1459" t="n">
        <v>2643.77</v>
      </c>
      <c r="D1459" t="n">
        <v>2755.21</v>
      </c>
      <c r="E1459" t="n">
        <v>3232.52</v>
      </c>
      <c r="F1459" t="n">
        <v>3311.26</v>
      </c>
    </row>
    <row r="1460">
      <c r="A1460" s="3" t="n">
        <v>40585</v>
      </c>
      <c r="B1460" t="n">
        <v>3487.81</v>
      </c>
      <c r="C1460" t="n">
        <v>2684.33</v>
      </c>
      <c r="D1460" t="n">
        <v>2840.29</v>
      </c>
      <c r="E1460" t="n">
        <v>3284.22</v>
      </c>
      <c r="F1460" t="n">
        <v>3421.41</v>
      </c>
    </row>
    <row r="1461">
      <c r="A1461" s="3" t="n">
        <v>40588</v>
      </c>
      <c r="B1461" t="n">
        <v>3612.55</v>
      </c>
      <c r="C1461" t="n">
        <v>2779.44</v>
      </c>
      <c r="D1461" t="n">
        <v>2952.89</v>
      </c>
      <c r="E1461" t="n">
        <v>3366.86</v>
      </c>
      <c r="F1461" t="n">
        <v>3553.02</v>
      </c>
    </row>
    <row r="1462">
      <c r="A1462" s="3" t="n">
        <v>40589</v>
      </c>
      <c r="B1462" t="n">
        <v>3656.74</v>
      </c>
      <c r="C1462" t="n">
        <v>2793.84</v>
      </c>
      <c r="D1462" t="n">
        <v>2946.16</v>
      </c>
      <c r="E1462" t="n">
        <v>3378.1</v>
      </c>
      <c r="F1462" t="n">
        <v>3562.46</v>
      </c>
    </row>
    <row r="1463">
      <c r="A1463" s="3" t="n">
        <v>40590</v>
      </c>
      <c r="B1463" t="n">
        <v>3673.94</v>
      </c>
      <c r="C1463" t="n">
        <v>2806.17</v>
      </c>
      <c r="D1463" t="n">
        <v>2952.34</v>
      </c>
      <c r="E1463" t="n">
        <v>3370.95</v>
      </c>
      <c r="F1463" t="n">
        <v>3565.83</v>
      </c>
    </row>
    <row r="1464">
      <c r="A1464" s="3" t="n">
        <v>40591</v>
      </c>
      <c r="B1464" t="n">
        <v>3728.75</v>
      </c>
      <c r="C1464" t="n">
        <v>2825.69</v>
      </c>
      <c r="D1464" t="n">
        <v>2980.16</v>
      </c>
      <c r="E1464" t="n">
        <v>3399.75</v>
      </c>
      <c r="F1464" t="n">
        <v>3598.92</v>
      </c>
    </row>
    <row r="1465">
      <c r="A1465" s="3" t="n">
        <v>40592</v>
      </c>
      <c r="B1465" t="n">
        <v>3686.16</v>
      </c>
      <c r="C1465" t="n">
        <v>2789.36</v>
      </c>
      <c r="D1465" t="n">
        <v>2903.78</v>
      </c>
      <c r="E1465" t="n">
        <v>3363.92</v>
      </c>
      <c r="F1465" t="n">
        <v>3529.18</v>
      </c>
    </row>
    <row r="1466">
      <c r="A1466" s="3" t="n">
        <v>40595</v>
      </c>
      <c r="B1466" t="n">
        <v>3682.45</v>
      </c>
      <c r="C1466" t="n">
        <v>2814.33</v>
      </c>
      <c r="D1466" t="n">
        <v>2901.68</v>
      </c>
      <c r="E1466" t="n">
        <v>3393.49</v>
      </c>
      <c r="F1466" t="n">
        <v>3548.82</v>
      </c>
    </row>
    <row r="1467">
      <c r="A1467" s="3" t="n">
        <v>40596</v>
      </c>
      <c r="B1467" t="n">
        <v>3656.15</v>
      </c>
      <c r="C1467" t="n">
        <v>2783.49</v>
      </c>
      <c r="D1467" t="n">
        <v>2861.3</v>
      </c>
      <c r="E1467" t="n">
        <v>3362.27</v>
      </c>
      <c r="F1467" t="n">
        <v>3506.03</v>
      </c>
    </row>
    <row r="1468">
      <c r="A1468" s="3" t="n">
        <v>40597</v>
      </c>
      <c r="B1468" t="n">
        <v>3649.92</v>
      </c>
      <c r="C1468" t="n">
        <v>2770.06</v>
      </c>
      <c r="D1468" t="n">
        <v>2841.24</v>
      </c>
      <c r="E1468" t="n">
        <v>3343.15</v>
      </c>
      <c r="F1468" t="n">
        <v>3475.06</v>
      </c>
    </row>
    <row r="1469">
      <c r="A1469" s="3" t="n">
        <v>40598</v>
      </c>
      <c r="B1469" t="n">
        <v>3519.94</v>
      </c>
      <c r="C1469" t="n">
        <v>2682.66</v>
      </c>
      <c r="D1469" t="n">
        <v>2736.43</v>
      </c>
      <c r="E1469" t="n">
        <v>3265.37</v>
      </c>
      <c r="F1469" t="n">
        <v>3345.14</v>
      </c>
    </row>
    <row r="1470">
      <c r="A1470" s="3" t="n">
        <v>40599</v>
      </c>
      <c r="B1470" t="n">
        <v>3523.16</v>
      </c>
      <c r="C1470" t="n">
        <v>2693.2</v>
      </c>
      <c r="D1470" t="n">
        <v>2733.53</v>
      </c>
      <c r="E1470" t="n">
        <v>3270.21</v>
      </c>
      <c r="F1470" t="n">
        <v>3364.29</v>
      </c>
    </row>
    <row r="1471">
      <c r="A1471" s="3" t="n">
        <v>40602</v>
      </c>
      <c r="B1471" t="n">
        <v>3534.75</v>
      </c>
      <c r="C1471" t="n">
        <v>2689.48</v>
      </c>
      <c r="D1471" t="n">
        <v>2756.7</v>
      </c>
      <c r="E1471" t="n">
        <v>3280.82</v>
      </c>
      <c r="F1471" t="n">
        <v>3388.18</v>
      </c>
    </row>
    <row r="1472">
      <c r="A1472" s="3" t="n">
        <v>40603</v>
      </c>
      <c r="B1472" t="n">
        <v>3674.98</v>
      </c>
      <c r="C1472" t="n">
        <v>2760.76</v>
      </c>
      <c r="D1472" t="n">
        <v>2845.42</v>
      </c>
      <c r="E1472" t="n">
        <v>3375.16</v>
      </c>
      <c r="F1472" t="n">
        <v>3544.92</v>
      </c>
    </row>
    <row r="1473">
      <c r="A1473" s="3" t="n">
        <v>40605</v>
      </c>
      <c r="B1473" t="n">
        <v>3699.51</v>
      </c>
      <c r="C1473" t="n">
        <v>2783.18</v>
      </c>
      <c r="D1473" t="n">
        <v>2840.27</v>
      </c>
      <c r="E1473" t="n">
        <v>3393.35</v>
      </c>
      <c r="F1473" t="n">
        <v>3542.66</v>
      </c>
    </row>
    <row r="1474">
      <c r="A1474" s="3" t="n">
        <v>40606</v>
      </c>
      <c r="B1474" t="n">
        <v>3702.34</v>
      </c>
      <c r="C1474" t="n">
        <v>2786.11</v>
      </c>
      <c r="D1474" t="n">
        <v>2842.34</v>
      </c>
      <c r="E1474" t="n">
        <v>3395.77</v>
      </c>
      <c r="F1474" t="n">
        <v>3546.19</v>
      </c>
    </row>
    <row r="1475">
      <c r="A1475" s="3" t="n">
        <v>40609</v>
      </c>
      <c r="B1475" t="n">
        <v>3653.22</v>
      </c>
      <c r="C1475" t="n">
        <v>2749.42</v>
      </c>
      <c r="D1475" t="n">
        <v>2793.68</v>
      </c>
      <c r="E1475" t="n">
        <v>3356.2</v>
      </c>
      <c r="F1475" t="n">
        <v>3504.87</v>
      </c>
    </row>
    <row r="1476">
      <c r="A1476" s="3" t="n">
        <v>40610</v>
      </c>
      <c r="B1476" t="n">
        <v>3691.78</v>
      </c>
      <c r="C1476" t="n">
        <v>2780.77</v>
      </c>
      <c r="D1476" t="n">
        <v>2824.91</v>
      </c>
      <c r="E1476" t="n">
        <v>3379.85</v>
      </c>
      <c r="F1476" t="n">
        <v>3544.33</v>
      </c>
    </row>
    <row r="1477">
      <c r="A1477" s="3" t="n">
        <v>40611</v>
      </c>
      <c r="B1477" t="n">
        <v>3727.88</v>
      </c>
      <c r="C1477" t="n">
        <v>2795.2</v>
      </c>
      <c r="D1477" t="n">
        <v>2842.43</v>
      </c>
      <c r="E1477" t="n">
        <v>3380.51</v>
      </c>
      <c r="F1477" t="n">
        <v>3578.72</v>
      </c>
    </row>
    <row r="1478">
      <c r="A1478" s="3" t="n">
        <v>40612</v>
      </c>
      <c r="B1478" t="n">
        <v>3714.93</v>
      </c>
      <c r="C1478" t="n">
        <v>2785.42</v>
      </c>
      <c r="D1478" t="n">
        <v>2829.25</v>
      </c>
      <c r="E1478" t="n">
        <v>3369.18</v>
      </c>
      <c r="F1478" t="n">
        <v>3565.11</v>
      </c>
    </row>
    <row r="1479">
      <c r="A1479" s="3" t="n">
        <v>40613</v>
      </c>
      <c r="B1479" t="n">
        <v>3686.49</v>
      </c>
      <c r="C1479" t="n">
        <v>2764.72</v>
      </c>
      <c r="D1479" t="n">
        <v>2804.13</v>
      </c>
      <c r="E1479" t="n">
        <v>3347.73</v>
      </c>
      <c r="F1479" t="n">
        <v>3535</v>
      </c>
    </row>
    <row r="1480">
      <c r="A1480" s="3" t="n">
        <v>40616</v>
      </c>
      <c r="B1480" t="n">
        <v>3708.12</v>
      </c>
      <c r="C1480" t="n">
        <v>2792.05</v>
      </c>
      <c r="D1480" t="n">
        <v>2828.42</v>
      </c>
      <c r="E1480" t="n">
        <v>3388.87</v>
      </c>
      <c r="F1480" t="n">
        <v>3566.11</v>
      </c>
    </row>
    <row r="1481">
      <c r="A1481" s="3" t="n">
        <v>40617</v>
      </c>
      <c r="B1481" t="n">
        <v>3664.1</v>
      </c>
      <c r="C1481" t="n">
        <v>2745.24</v>
      </c>
      <c r="D1481" t="n">
        <v>2782.46</v>
      </c>
      <c r="E1481" t="n">
        <v>3342.2</v>
      </c>
      <c r="F1481" t="n">
        <v>3515.93</v>
      </c>
    </row>
    <row r="1482">
      <c r="A1482" s="3" t="n">
        <v>40618</v>
      </c>
      <c r="B1482" t="n">
        <v>3707.41</v>
      </c>
      <c r="C1482" t="n">
        <v>2781.54</v>
      </c>
      <c r="D1482" t="n">
        <v>2821.94</v>
      </c>
      <c r="E1482" t="n">
        <v>3367.22</v>
      </c>
      <c r="F1482" t="n">
        <v>3572.78</v>
      </c>
    </row>
    <row r="1483">
      <c r="A1483" s="3" t="n">
        <v>40619</v>
      </c>
      <c r="B1483" t="n">
        <v>3706.82</v>
      </c>
      <c r="C1483" t="n">
        <v>2763.76</v>
      </c>
      <c r="D1483" t="n">
        <v>2810.28</v>
      </c>
      <c r="E1483" t="n">
        <v>3343.41</v>
      </c>
      <c r="F1483" t="n">
        <v>3568.55</v>
      </c>
    </row>
    <row r="1484">
      <c r="A1484" s="3" t="n">
        <v>40620</v>
      </c>
      <c r="B1484" t="n">
        <v>3680.55</v>
      </c>
      <c r="C1484" t="n">
        <v>2737.48</v>
      </c>
      <c r="D1484" t="n">
        <v>2778.45</v>
      </c>
      <c r="E1484" t="n">
        <v>3306.84</v>
      </c>
      <c r="F1484" t="n">
        <v>3535.1</v>
      </c>
    </row>
    <row r="1485">
      <c r="A1485" s="3" t="n">
        <v>40623</v>
      </c>
      <c r="B1485" t="n">
        <v>3675.06</v>
      </c>
      <c r="C1485" t="n">
        <v>2730.78</v>
      </c>
      <c r="D1485" t="n">
        <v>2769.39</v>
      </c>
      <c r="E1485" t="n">
        <v>3298.83</v>
      </c>
      <c r="F1485" t="n">
        <v>3527.69</v>
      </c>
    </row>
    <row r="1486">
      <c r="A1486" s="3" t="n">
        <v>40624</v>
      </c>
      <c r="B1486" t="n">
        <v>3721.02</v>
      </c>
      <c r="C1486" t="n">
        <v>2751.28</v>
      </c>
      <c r="D1486" t="n">
        <v>2782.42</v>
      </c>
      <c r="E1486" t="n">
        <v>3324.54</v>
      </c>
      <c r="F1486" t="n">
        <v>3565.35</v>
      </c>
    </row>
    <row r="1487">
      <c r="A1487" s="3" t="n">
        <v>40625</v>
      </c>
      <c r="B1487" t="n">
        <v>3749.09</v>
      </c>
      <c r="C1487" t="n">
        <v>2768.37</v>
      </c>
      <c r="D1487" t="n">
        <v>2795.29</v>
      </c>
      <c r="E1487" t="n">
        <v>3355.88</v>
      </c>
      <c r="F1487" t="n">
        <v>3599.48</v>
      </c>
    </row>
    <row r="1488">
      <c r="A1488" s="3" t="n">
        <v>40626</v>
      </c>
      <c r="B1488" t="n">
        <v>3775.68</v>
      </c>
      <c r="C1488" t="n">
        <v>2786.52</v>
      </c>
      <c r="D1488" t="n">
        <v>2812.42</v>
      </c>
      <c r="E1488" t="n">
        <v>3375.31</v>
      </c>
      <c r="F1488" t="n">
        <v>3624.08</v>
      </c>
    </row>
    <row r="1489">
      <c r="A1489" s="3" t="n">
        <v>40627</v>
      </c>
      <c r="B1489" t="n">
        <v>3816.7</v>
      </c>
      <c r="C1489" t="n">
        <v>2827.51</v>
      </c>
      <c r="D1489" t="n">
        <v>2855.14</v>
      </c>
      <c r="E1489" t="n">
        <v>3437.64</v>
      </c>
      <c r="F1489" t="n">
        <v>3666.9</v>
      </c>
    </row>
    <row r="1490">
      <c r="A1490" s="3" t="n">
        <v>40630</v>
      </c>
      <c r="B1490" t="n">
        <v>3853.69</v>
      </c>
      <c r="C1490" t="n">
        <v>2849.37</v>
      </c>
      <c r="D1490" t="n">
        <v>2882.62</v>
      </c>
      <c r="E1490" t="n">
        <v>3457.4</v>
      </c>
      <c r="F1490" t="n">
        <v>3692.49</v>
      </c>
    </row>
    <row r="1491">
      <c r="A1491" s="3" t="n">
        <v>40631</v>
      </c>
      <c r="B1491" t="n">
        <v>3868.75</v>
      </c>
      <c r="C1491" t="n">
        <v>2867.31</v>
      </c>
      <c r="D1491" t="n">
        <v>2913.62</v>
      </c>
      <c r="E1491" t="n">
        <v>3483.4</v>
      </c>
      <c r="F1491" t="n">
        <v>3696.89</v>
      </c>
    </row>
    <row r="1492">
      <c r="A1492" s="3" t="n">
        <v>40632</v>
      </c>
      <c r="B1492" t="n">
        <v>3921.27</v>
      </c>
      <c r="C1492" t="n">
        <v>2899.15</v>
      </c>
      <c r="D1492" t="n">
        <v>2966.69</v>
      </c>
      <c r="E1492" t="n">
        <v>3524.92</v>
      </c>
      <c r="F1492" t="n">
        <v>3750.21</v>
      </c>
    </row>
    <row r="1493">
      <c r="A1493" s="3" t="n">
        <v>40633</v>
      </c>
      <c r="B1493" t="n">
        <v>3932.26</v>
      </c>
      <c r="C1493" t="n">
        <v>2921.05</v>
      </c>
      <c r="D1493" t="n">
        <v>2950.87</v>
      </c>
      <c r="E1493" t="n">
        <v>3548.54</v>
      </c>
      <c r="F1493" t="n">
        <v>3764.06</v>
      </c>
    </row>
    <row r="1494">
      <c r="A1494" s="3" t="n">
        <v>40634</v>
      </c>
      <c r="B1494" t="n">
        <v>3956.01</v>
      </c>
      <c r="C1494" t="n">
        <v>2925.35</v>
      </c>
      <c r="D1494" t="n">
        <v>2987.63</v>
      </c>
      <c r="E1494" t="n">
        <v>3544.24</v>
      </c>
      <c r="F1494" t="n">
        <v>3816.43</v>
      </c>
    </row>
    <row r="1495">
      <c r="A1495" s="3" t="n">
        <v>40637</v>
      </c>
      <c r="B1495" t="n">
        <v>4012.96</v>
      </c>
      <c r="C1495" t="n">
        <v>2963.72</v>
      </c>
      <c r="D1495" t="n">
        <v>3040.7</v>
      </c>
      <c r="E1495" t="n">
        <v>3583.9</v>
      </c>
      <c r="F1495" t="n">
        <v>3876.86</v>
      </c>
    </row>
    <row r="1496">
      <c r="A1496" s="3" t="n">
        <v>40638</v>
      </c>
      <c r="B1496" t="n">
        <v>4052.25</v>
      </c>
      <c r="C1496" t="n">
        <v>2991.4</v>
      </c>
      <c r="D1496" t="n">
        <v>3085.46</v>
      </c>
      <c r="E1496" t="n">
        <v>3591.88</v>
      </c>
      <c r="F1496" t="n">
        <v>3918.04</v>
      </c>
    </row>
    <row r="1497">
      <c r="A1497" s="3" t="n">
        <v>40639</v>
      </c>
      <c r="B1497" t="n">
        <v>4062.17</v>
      </c>
      <c r="C1497" t="n">
        <v>2998.1</v>
      </c>
      <c r="D1497" t="n">
        <v>3093.07</v>
      </c>
      <c r="E1497" t="n">
        <v>3587.34</v>
      </c>
      <c r="F1497" t="n">
        <v>3908.45</v>
      </c>
    </row>
    <row r="1498">
      <c r="A1498" s="3" t="n">
        <v>40640</v>
      </c>
      <c r="B1498" t="n">
        <v>4072.62</v>
      </c>
      <c r="C1498" t="n">
        <v>2998.92</v>
      </c>
      <c r="D1498" t="n">
        <v>3132.76</v>
      </c>
      <c r="E1498" t="n">
        <v>3578</v>
      </c>
      <c r="F1498" t="n">
        <v>3926.31</v>
      </c>
    </row>
    <row r="1499">
      <c r="A1499" s="3" t="n">
        <v>40641</v>
      </c>
      <c r="B1499" t="n">
        <v>4022.46</v>
      </c>
      <c r="C1499" t="n">
        <v>2966.34</v>
      </c>
      <c r="D1499" t="n">
        <v>3069.24</v>
      </c>
      <c r="E1499" t="n">
        <v>3558.93</v>
      </c>
      <c r="F1499" t="n">
        <v>3877.26</v>
      </c>
    </row>
    <row r="1500">
      <c r="A1500" s="3" t="n">
        <v>40644</v>
      </c>
      <c r="B1500" t="n">
        <v>3981.03</v>
      </c>
      <c r="C1500" t="n">
        <v>2947.3</v>
      </c>
      <c r="D1500" t="n">
        <v>3022.54</v>
      </c>
      <c r="E1500" t="n">
        <v>3532.59</v>
      </c>
      <c r="F1500" t="n">
        <v>3859.07</v>
      </c>
    </row>
    <row r="1501">
      <c r="A1501" s="3" t="n">
        <v>40646</v>
      </c>
      <c r="B1501" t="n">
        <v>4048.84</v>
      </c>
      <c r="C1501" t="n">
        <v>3005.74</v>
      </c>
      <c r="D1501" t="n">
        <v>3089.35</v>
      </c>
      <c r="E1501" t="n">
        <v>3593.44</v>
      </c>
      <c r="F1501" t="n">
        <v>3928.72</v>
      </c>
    </row>
    <row r="1502">
      <c r="A1502" s="3" t="n">
        <v>40648</v>
      </c>
      <c r="B1502" t="n">
        <v>4052.1</v>
      </c>
      <c r="C1502" t="n">
        <v>2980.76</v>
      </c>
      <c r="D1502" t="n">
        <v>3093.14</v>
      </c>
      <c r="E1502" t="n">
        <v>3552.67</v>
      </c>
      <c r="F1502" t="n">
        <v>3931.34</v>
      </c>
    </row>
    <row r="1503">
      <c r="A1503" s="3" t="n">
        <v>40651</v>
      </c>
      <c r="B1503" t="n">
        <v>4001.58</v>
      </c>
      <c r="C1503" t="n">
        <v>2941.52</v>
      </c>
      <c r="D1503" t="n">
        <v>3047.94</v>
      </c>
      <c r="E1503" t="n">
        <v>3511.42</v>
      </c>
      <c r="F1503" t="n">
        <v>3877.99</v>
      </c>
    </row>
    <row r="1504">
      <c r="A1504" s="3" t="n">
        <v>40652</v>
      </c>
      <c r="B1504" t="n">
        <v>4012.41</v>
      </c>
      <c r="C1504" t="n">
        <v>2935.13</v>
      </c>
      <c r="D1504" t="n">
        <v>3061</v>
      </c>
      <c r="E1504" t="n">
        <v>3515.15</v>
      </c>
      <c r="F1504" t="n">
        <v>3916.43</v>
      </c>
    </row>
    <row r="1505">
      <c r="A1505" s="3" t="n">
        <v>40653</v>
      </c>
      <c r="B1505" t="n">
        <v>4085</v>
      </c>
      <c r="C1505" t="n">
        <v>2987.68</v>
      </c>
      <c r="D1505" t="n">
        <v>3088.07</v>
      </c>
      <c r="E1505" t="n">
        <v>3568.4</v>
      </c>
      <c r="F1505" t="n">
        <v>3971.52</v>
      </c>
    </row>
    <row r="1506">
      <c r="A1506" s="3" t="n">
        <v>40654</v>
      </c>
      <c r="B1506" t="n">
        <v>4049.1</v>
      </c>
      <c r="C1506" t="n">
        <v>2993.57</v>
      </c>
      <c r="D1506" t="n">
        <v>3100.74</v>
      </c>
      <c r="E1506" t="n">
        <v>3578.42</v>
      </c>
      <c r="F1506" t="n">
        <v>3943.89</v>
      </c>
    </row>
    <row r="1507">
      <c r="A1507" s="3" t="n">
        <v>40658</v>
      </c>
      <c r="B1507" t="n">
        <v>4060.72</v>
      </c>
      <c r="C1507" t="n">
        <v>3006.56</v>
      </c>
      <c r="D1507" t="n">
        <v>3102.61</v>
      </c>
      <c r="E1507" t="n">
        <v>3587.26</v>
      </c>
      <c r="F1507" t="n">
        <v>3965.26</v>
      </c>
    </row>
    <row r="1508">
      <c r="A1508" s="3" t="n">
        <v>40659</v>
      </c>
      <c r="B1508" t="n">
        <v>4052.75</v>
      </c>
      <c r="C1508" t="n">
        <v>3001.91</v>
      </c>
      <c r="D1508" t="n">
        <v>3103.34</v>
      </c>
      <c r="E1508" t="n">
        <v>3579.38</v>
      </c>
      <c r="F1508" t="n">
        <v>3954.27</v>
      </c>
    </row>
    <row r="1509">
      <c r="A1509" s="3" t="n">
        <v>40660</v>
      </c>
      <c r="B1509" t="n">
        <v>4048.55</v>
      </c>
      <c r="C1509" t="n">
        <v>2991.78</v>
      </c>
      <c r="D1509" t="n">
        <v>3091.47</v>
      </c>
      <c r="E1509" t="n">
        <v>3564.12</v>
      </c>
      <c r="F1509" t="n">
        <v>3970.67</v>
      </c>
    </row>
    <row r="1510">
      <c r="A1510" s="3" t="n">
        <v>40661</v>
      </c>
      <c r="B1510" t="n">
        <v>4014.58</v>
      </c>
      <c r="C1510" t="n">
        <v>2964.36</v>
      </c>
      <c r="D1510" t="n">
        <v>3062.47</v>
      </c>
      <c r="E1510" t="n">
        <v>3537.37</v>
      </c>
      <c r="F1510" t="n">
        <v>3941.49</v>
      </c>
    </row>
    <row r="1511">
      <c r="A1511" s="3" t="n">
        <v>40662</v>
      </c>
      <c r="B1511" t="n">
        <v>3958.86</v>
      </c>
      <c r="C1511" t="n">
        <v>2946.23</v>
      </c>
      <c r="D1511" t="n">
        <v>3017.25</v>
      </c>
      <c r="E1511" t="n">
        <v>3526.51</v>
      </c>
      <c r="F1511" t="n">
        <v>3885.14</v>
      </c>
    </row>
    <row r="1512">
      <c r="A1512" s="3" t="n">
        <v>40665</v>
      </c>
      <c r="B1512" t="n">
        <v>3899.45</v>
      </c>
      <c r="C1512" t="n">
        <v>2917.66</v>
      </c>
      <c r="D1512" t="n">
        <v>2996.1</v>
      </c>
      <c r="E1512" t="n">
        <v>3506.09</v>
      </c>
      <c r="F1512" t="n">
        <v>3841.89</v>
      </c>
    </row>
    <row r="1513">
      <c r="A1513" s="3" t="n">
        <v>40666</v>
      </c>
      <c r="B1513" t="n">
        <v>3813.67</v>
      </c>
      <c r="C1513" t="n">
        <v>2862.62</v>
      </c>
      <c r="D1513" t="n">
        <v>2934.94</v>
      </c>
      <c r="E1513" t="n">
        <v>3437.01</v>
      </c>
      <c r="F1513" t="n">
        <v>3767.9</v>
      </c>
    </row>
    <row r="1514">
      <c r="A1514" s="3" t="n">
        <v>40667</v>
      </c>
      <c r="B1514" t="n">
        <v>3783.64</v>
      </c>
      <c r="C1514" t="n">
        <v>2840.45</v>
      </c>
      <c r="D1514" t="n">
        <v>2928.07</v>
      </c>
      <c r="E1514" t="n">
        <v>3422.48</v>
      </c>
      <c r="F1514" t="n">
        <v>3760.48</v>
      </c>
    </row>
    <row r="1515">
      <c r="A1515" s="3" t="n">
        <v>40668</v>
      </c>
      <c r="B1515" t="n">
        <v>3724.7</v>
      </c>
      <c r="C1515" t="n">
        <v>2813.65</v>
      </c>
      <c r="D1515" t="n">
        <v>2907.48</v>
      </c>
      <c r="E1515" t="n">
        <v>3377.78</v>
      </c>
      <c r="F1515" t="n">
        <v>3713.47</v>
      </c>
    </row>
    <row r="1516">
      <c r="A1516" s="3" t="n">
        <v>40669</v>
      </c>
      <c r="B1516" t="n">
        <v>3827.26</v>
      </c>
      <c r="C1516" t="n">
        <v>2864.48</v>
      </c>
      <c r="D1516" t="n">
        <v>2966</v>
      </c>
      <c r="E1516" t="n">
        <v>3419.06</v>
      </c>
      <c r="F1516" t="n">
        <v>3801.12</v>
      </c>
    </row>
    <row r="1517">
      <c r="A1517" s="3" t="n">
        <v>40672</v>
      </c>
      <c r="B1517" t="n">
        <v>3832.66</v>
      </c>
      <c r="C1517" t="n">
        <v>2865.92</v>
      </c>
      <c r="D1517" t="n">
        <v>2932.91</v>
      </c>
      <c r="E1517" t="n">
        <v>3421.04</v>
      </c>
      <c r="F1517" t="n">
        <v>3827.47</v>
      </c>
    </row>
    <row r="1518">
      <c r="A1518" s="3" t="n">
        <v>40673</v>
      </c>
      <c r="B1518" t="n">
        <v>3831.77</v>
      </c>
      <c r="C1518" t="n">
        <v>2871.53</v>
      </c>
      <c r="D1518" t="n">
        <v>2929.67</v>
      </c>
      <c r="E1518" t="n">
        <v>3425.29</v>
      </c>
      <c r="F1518" t="n">
        <v>3825.85</v>
      </c>
    </row>
    <row r="1519">
      <c r="A1519" s="3" t="n">
        <v>40674</v>
      </c>
      <c r="B1519" t="n">
        <v>3862.06</v>
      </c>
      <c r="C1519" t="n">
        <v>2893.21</v>
      </c>
      <c r="D1519" t="n">
        <v>2957.39</v>
      </c>
      <c r="E1519" t="n">
        <v>3432.74</v>
      </c>
      <c r="F1519" t="n">
        <v>3867.3</v>
      </c>
    </row>
    <row r="1520">
      <c r="A1520" s="3" t="n">
        <v>40675</v>
      </c>
      <c r="B1520" t="n">
        <v>3814.84</v>
      </c>
      <c r="C1520" t="n">
        <v>2861.76</v>
      </c>
      <c r="D1520" t="n">
        <v>2927.83</v>
      </c>
      <c r="E1520" t="n">
        <v>3401.83</v>
      </c>
      <c r="F1520" t="n">
        <v>3803.95</v>
      </c>
    </row>
    <row r="1521">
      <c r="A1521" s="3" t="n">
        <v>40676</v>
      </c>
      <c r="B1521" t="n">
        <v>3848.59</v>
      </c>
      <c r="C1521" t="n">
        <v>2900.11</v>
      </c>
      <c r="D1521" t="n">
        <v>2947.33</v>
      </c>
      <c r="E1521" t="n">
        <v>3429.95</v>
      </c>
      <c r="F1521" t="n">
        <v>3833.13</v>
      </c>
    </row>
    <row r="1522">
      <c r="A1522" s="3" t="n">
        <v>40679</v>
      </c>
      <c r="B1522" t="n">
        <v>3811.01</v>
      </c>
      <c r="C1522" t="n">
        <v>2890.29</v>
      </c>
      <c r="D1522" t="n">
        <v>2927.07</v>
      </c>
      <c r="E1522" t="n">
        <v>3414.64</v>
      </c>
      <c r="F1522" t="n">
        <v>3807.5</v>
      </c>
    </row>
    <row r="1523">
      <c r="A1523" s="3" t="n">
        <v>40680</v>
      </c>
      <c r="B1523" t="n">
        <v>3788.4</v>
      </c>
      <c r="C1523" t="n">
        <v>2879.96</v>
      </c>
      <c r="D1523" t="n">
        <v>2884.38</v>
      </c>
      <c r="E1523" t="n">
        <v>3383</v>
      </c>
      <c r="F1523" t="n">
        <v>3780.36</v>
      </c>
    </row>
    <row r="1524">
      <c r="A1524" s="3" t="n">
        <v>40681</v>
      </c>
      <c r="B1524" t="n">
        <v>3767.62</v>
      </c>
      <c r="C1524" t="n">
        <v>2877.39</v>
      </c>
      <c r="D1524" t="n">
        <v>2846.7</v>
      </c>
      <c r="E1524" t="n">
        <v>3376.53</v>
      </c>
      <c r="F1524" t="n">
        <v>3751.97</v>
      </c>
    </row>
    <row r="1525">
      <c r="A1525" s="3" t="n">
        <v>40682</v>
      </c>
      <c r="B1525" t="n">
        <v>3762.86</v>
      </c>
      <c r="C1525" t="n">
        <v>2877.52</v>
      </c>
      <c r="D1525" t="n">
        <v>2819.42</v>
      </c>
      <c r="E1525" t="n">
        <v>3380.37</v>
      </c>
      <c r="F1525" t="n">
        <v>3727.82</v>
      </c>
    </row>
    <row r="1526">
      <c r="A1526" s="3" t="n">
        <v>40683</v>
      </c>
      <c r="B1526" t="n">
        <v>3811.82</v>
      </c>
      <c r="C1526" t="n">
        <v>2901.41</v>
      </c>
      <c r="D1526" t="n">
        <v>2844.09</v>
      </c>
      <c r="E1526" t="n">
        <v>3414.39</v>
      </c>
      <c r="F1526" t="n">
        <v>3760.96</v>
      </c>
    </row>
    <row r="1527">
      <c r="A1527" s="3" t="n">
        <v>40686</v>
      </c>
      <c r="B1527" t="n">
        <v>3757.86</v>
      </c>
      <c r="C1527" t="n">
        <v>2859.39</v>
      </c>
      <c r="D1527" t="n">
        <v>2807.24</v>
      </c>
      <c r="E1527" t="n">
        <v>3354.66</v>
      </c>
      <c r="F1527" t="n">
        <v>3694.57</v>
      </c>
    </row>
    <row r="1528">
      <c r="A1528" s="3" t="n">
        <v>40687</v>
      </c>
      <c r="B1528" t="n">
        <v>3793.86</v>
      </c>
      <c r="C1528" t="n">
        <v>2874.13</v>
      </c>
      <c r="D1528" t="n">
        <v>2815.04</v>
      </c>
      <c r="E1528" t="n">
        <v>3360.88</v>
      </c>
      <c r="F1528" t="n">
        <v>3718.89</v>
      </c>
    </row>
    <row r="1529">
      <c r="A1529" s="3" t="n">
        <v>40688</v>
      </c>
      <c r="B1529" t="n">
        <v>3775.99</v>
      </c>
      <c r="C1529" t="n">
        <v>2860.52</v>
      </c>
      <c r="D1529" t="n">
        <v>2786.59</v>
      </c>
      <c r="E1529" t="n">
        <v>3335.43</v>
      </c>
      <c r="F1529" t="n">
        <v>3706.33</v>
      </c>
    </row>
    <row r="1530">
      <c r="A1530" s="3" t="n">
        <v>40689</v>
      </c>
      <c r="B1530" t="n">
        <v>3804.56</v>
      </c>
      <c r="C1530" t="n">
        <v>2888.17</v>
      </c>
      <c r="D1530" t="n">
        <v>2794.83</v>
      </c>
      <c r="E1530" t="n">
        <v>3362.47</v>
      </c>
      <c r="F1530" t="n">
        <v>3738.68</v>
      </c>
    </row>
    <row r="1531">
      <c r="A1531" s="3" t="n">
        <v>40690</v>
      </c>
      <c r="B1531" t="n">
        <v>3836.11</v>
      </c>
      <c r="C1531" t="n">
        <v>2887.5</v>
      </c>
      <c r="D1531" t="n">
        <v>2861.41</v>
      </c>
      <c r="E1531" t="n">
        <v>3387.84</v>
      </c>
      <c r="F1531" t="n">
        <v>3794.17</v>
      </c>
    </row>
    <row r="1532">
      <c r="A1532" s="3" t="n">
        <v>40693</v>
      </c>
      <c r="B1532" t="n">
        <v>3855.07</v>
      </c>
      <c r="C1532" t="n">
        <v>2898.71</v>
      </c>
      <c r="D1532" t="n">
        <v>2881.65</v>
      </c>
      <c r="E1532" t="n">
        <v>3397.53</v>
      </c>
      <c r="F1532" t="n">
        <v>3830.68</v>
      </c>
    </row>
    <row r="1533">
      <c r="A1533" s="3" t="n">
        <v>40694</v>
      </c>
      <c r="B1533" t="n">
        <v>3907.19</v>
      </c>
      <c r="C1533" t="n">
        <v>2939.17</v>
      </c>
      <c r="D1533" t="n">
        <v>2935.11</v>
      </c>
      <c r="E1533" t="n">
        <v>3440.54</v>
      </c>
      <c r="F1533" t="n">
        <v>3902.24</v>
      </c>
    </row>
    <row r="1534">
      <c r="A1534" s="3" t="n">
        <v>40695</v>
      </c>
      <c r="B1534" t="n">
        <v>3925.33</v>
      </c>
      <c r="C1534" t="n">
        <v>2956.93</v>
      </c>
      <c r="D1534" t="n">
        <v>2959.86</v>
      </c>
      <c r="E1534" t="n">
        <v>3468.65</v>
      </c>
      <c r="F1534" t="n">
        <v>3926.9</v>
      </c>
    </row>
    <row r="1535">
      <c r="A1535" s="3" t="n">
        <v>40696</v>
      </c>
      <c r="B1535" t="n">
        <v>3903.63</v>
      </c>
      <c r="C1535" t="n">
        <v>2938.22</v>
      </c>
      <c r="D1535" t="n">
        <v>2938.15</v>
      </c>
      <c r="E1535" t="n">
        <v>3457.74</v>
      </c>
      <c r="F1535" t="n">
        <v>3886.79</v>
      </c>
    </row>
    <row r="1536">
      <c r="A1536" s="3" t="n">
        <v>40697</v>
      </c>
      <c r="B1536" t="n">
        <v>3895.73</v>
      </c>
      <c r="C1536" t="n">
        <v>2928.57</v>
      </c>
      <c r="D1536" t="n">
        <v>2928.4</v>
      </c>
      <c r="E1536" t="n">
        <v>3442.74</v>
      </c>
      <c r="F1536" t="n">
        <v>3871.07</v>
      </c>
    </row>
    <row r="1537">
      <c r="A1537" s="3" t="n">
        <v>40700</v>
      </c>
      <c r="B1537" t="n">
        <v>3909.84</v>
      </c>
      <c r="C1537" t="n">
        <v>2932.69</v>
      </c>
      <c r="D1537" t="n">
        <v>2921.59</v>
      </c>
      <c r="E1537" t="n">
        <v>3451.7</v>
      </c>
      <c r="F1537" t="n">
        <v>3877.74</v>
      </c>
    </row>
    <row r="1538">
      <c r="A1538" s="3" t="n">
        <v>40701</v>
      </c>
      <c r="B1538" t="n">
        <v>3922.98</v>
      </c>
      <c r="C1538" t="n">
        <v>2936.91</v>
      </c>
      <c r="D1538" t="n">
        <v>2940.68</v>
      </c>
      <c r="E1538" t="n">
        <v>3460.62</v>
      </c>
      <c r="F1538" t="n">
        <v>3916.9</v>
      </c>
    </row>
    <row r="1539">
      <c r="A1539" s="3" t="n">
        <v>40702</v>
      </c>
      <c r="B1539" t="n">
        <v>3926.41</v>
      </c>
      <c r="C1539" t="n">
        <v>2926.65</v>
      </c>
      <c r="D1539" t="n">
        <v>2943.5</v>
      </c>
      <c r="E1539" t="n">
        <v>3449.58</v>
      </c>
      <c r="F1539" t="n">
        <v>3947.45</v>
      </c>
    </row>
    <row r="1540">
      <c r="A1540" s="3" t="n">
        <v>40703</v>
      </c>
      <c r="B1540" t="n">
        <v>3924.09</v>
      </c>
      <c r="C1540" t="n">
        <v>2916.29</v>
      </c>
      <c r="D1540" t="n">
        <v>2923.66</v>
      </c>
      <c r="E1540" t="n">
        <v>3447.61</v>
      </c>
      <c r="F1540" t="n">
        <v>3948.15</v>
      </c>
    </row>
    <row r="1541">
      <c r="A1541" s="3" t="n">
        <v>40704</v>
      </c>
      <c r="B1541" t="n">
        <v>3917.36</v>
      </c>
      <c r="C1541" t="n">
        <v>2906.55</v>
      </c>
      <c r="D1541" t="n">
        <v>2902.7</v>
      </c>
      <c r="E1541" t="n">
        <v>3436.46</v>
      </c>
      <c r="F1541" t="n">
        <v>3947.52</v>
      </c>
    </row>
    <row r="1542">
      <c r="A1542" s="3" t="n">
        <v>40707</v>
      </c>
      <c r="B1542" t="n">
        <v>3918.01</v>
      </c>
      <c r="C1542" t="n">
        <v>2910.23</v>
      </c>
      <c r="D1542" t="n">
        <v>2934.77</v>
      </c>
      <c r="E1542" t="n">
        <v>3445.13</v>
      </c>
      <c r="F1542" t="n">
        <v>3949.94</v>
      </c>
    </row>
    <row r="1543">
      <c r="A1543" s="3" t="n">
        <v>40708</v>
      </c>
      <c r="B1543" t="n">
        <v>3922.8</v>
      </c>
      <c r="C1543" t="n">
        <v>2928.14</v>
      </c>
      <c r="D1543" t="n">
        <v>2941.28</v>
      </c>
      <c r="E1543" t="n">
        <v>3458.84</v>
      </c>
      <c r="F1543" t="n">
        <v>3972.76</v>
      </c>
    </row>
    <row r="1544">
      <c r="A1544" s="3" t="n">
        <v>40709</v>
      </c>
      <c r="B1544" t="n">
        <v>3894.89</v>
      </c>
      <c r="C1544" t="n">
        <v>2915.03</v>
      </c>
      <c r="D1544" t="n">
        <v>2919</v>
      </c>
      <c r="E1544" t="n">
        <v>3434.07</v>
      </c>
      <c r="F1544" t="n">
        <v>3946.57</v>
      </c>
    </row>
    <row r="1545">
      <c r="A1545" s="3" t="n">
        <v>40710</v>
      </c>
      <c r="B1545" t="n">
        <v>3850.82</v>
      </c>
      <c r="C1545" t="n">
        <v>2881.18</v>
      </c>
      <c r="D1545" t="n">
        <v>2908.16</v>
      </c>
      <c r="E1545" t="n">
        <v>3407.67</v>
      </c>
      <c r="F1545" t="n">
        <v>3910.86</v>
      </c>
    </row>
    <row r="1546">
      <c r="A1546" s="3" t="n">
        <v>40711</v>
      </c>
      <c r="B1546" t="n">
        <v>3829.32</v>
      </c>
      <c r="C1546" t="n">
        <v>2861.6</v>
      </c>
      <c r="D1546" t="n">
        <v>2900.86</v>
      </c>
      <c r="E1546" t="n">
        <v>3379.7</v>
      </c>
      <c r="F1546" t="n">
        <v>3882.98</v>
      </c>
    </row>
    <row r="1547">
      <c r="A1547" s="3" t="n">
        <v>40714</v>
      </c>
      <c r="B1547" t="n">
        <v>3744.68</v>
      </c>
      <c r="C1547" t="n">
        <v>2810.84</v>
      </c>
      <c r="D1547" t="n">
        <v>2806.2</v>
      </c>
      <c r="E1547" t="n">
        <v>3295.94</v>
      </c>
      <c r="F1547" t="n">
        <v>3784.81</v>
      </c>
    </row>
    <row r="1548">
      <c r="A1548" s="3" t="n">
        <v>40715</v>
      </c>
      <c r="B1548" t="n">
        <v>3737.59</v>
      </c>
      <c r="C1548" t="n">
        <v>2816.83</v>
      </c>
      <c r="D1548" t="n">
        <v>2785.34</v>
      </c>
      <c r="E1548" t="n">
        <v>3305.47</v>
      </c>
      <c r="F1548" t="n">
        <v>3766.17</v>
      </c>
    </row>
    <row r="1549">
      <c r="A1549" s="3" t="n">
        <v>40716</v>
      </c>
      <c r="B1549" t="n">
        <v>3717.1</v>
      </c>
      <c r="C1549" t="n">
        <v>2793.28</v>
      </c>
      <c r="D1549" t="n">
        <v>2764.93</v>
      </c>
      <c r="E1549" t="n">
        <v>3304.71</v>
      </c>
      <c r="F1549" t="n">
        <v>3744.91</v>
      </c>
    </row>
    <row r="1550">
      <c r="A1550" s="3" t="n">
        <v>40717</v>
      </c>
      <c r="B1550" t="n">
        <v>3725.83</v>
      </c>
      <c r="C1550" t="n">
        <v>2810.74</v>
      </c>
      <c r="D1550" t="n">
        <v>2783.56</v>
      </c>
      <c r="E1550" t="n">
        <v>3309.58</v>
      </c>
      <c r="F1550" t="n">
        <v>3745.62</v>
      </c>
    </row>
    <row r="1551">
      <c r="A1551" s="3" t="n">
        <v>40718</v>
      </c>
      <c r="B1551" t="n">
        <v>3800.14</v>
      </c>
      <c r="C1551" t="n">
        <v>2873.51</v>
      </c>
      <c r="D1551" t="n">
        <v>2866.19</v>
      </c>
      <c r="E1551" t="n">
        <v>3387.03</v>
      </c>
      <c r="F1551" t="n">
        <v>3830.89</v>
      </c>
    </row>
    <row r="1552">
      <c r="A1552" s="3" t="n">
        <v>40721</v>
      </c>
      <c r="B1552" t="n">
        <v>3832.38</v>
      </c>
      <c r="C1552" t="n">
        <v>2901.54</v>
      </c>
      <c r="D1552" t="n">
        <v>2912.97</v>
      </c>
      <c r="E1552" t="n">
        <v>3429.79</v>
      </c>
      <c r="F1552" t="n">
        <v>3866.93</v>
      </c>
    </row>
    <row r="1553">
      <c r="A1553" s="3" t="n">
        <v>40722</v>
      </c>
      <c r="B1553" t="n">
        <v>3864.92</v>
      </c>
      <c r="C1553" t="n">
        <v>2910.76</v>
      </c>
      <c r="D1553" t="n">
        <v>2912.23</v>
      </c>
      <c r="E1553" t="n">
        <v>3443.4</v>
      </c>
      <c r="F1553" t="n">
        <v>3883.91</v>
      </c>
    </row>
    <row r="1554">
      <c r="A1554" s="3" t="n">
        <v>40723</v>
      </c>
      <c r="B1554" t="n">
        <v>3895.88</v>
      </c>
      <c r="C1554" t="n">
        <v>2938.2</v>
      </c>
      <c r="D1554" t="n">
        <v>2920.06</v>
      </c>
      <c r="E1554" t="n">
        <v>3470.29</v>
      </c>
      <c r="F1554" t="n">
        <v>3921.28</v>
      </c>
    </row>
    <row r="1555">
      <c r="A1555" s="3" t="n">
        <v>40724</v>
      </c>
      <c r="B1555" t="n">
        <v>3915.36</v>
      </c>
      <c r="C1555" t="n">
        <v>2958.4</v>
      </c>
      <c r="D1555" t="n">
        <v>2944.26</v>
      </c>
      <c r="E1555" t="n">
        <v>3489.2</v>
      </c>
      <c r="F1555" t="n">
        <v>3957.4</v>
      </c>
    </row>
    <row r="1556">
      <c r="A1556" s="3" t="n">
        <v>40725</v>
      </c>
      <c r="B1556" t="n">
        <v>3934.01</v>
      </c>
      <c r="C1556" t="n">
        <v>2976.9</v>
      </c>
      <c r="D1556" t="n">
        <v>2960.09</v>
      </c>
      <c r="E1556" t="n">
        <v>3493.08</v>
      </c>
      <c r="F1556" t="n">
        <v>3954.47</v>
      </c>
    </row>
    <row r="1557">
      <c r="A1557" s="3" t="n">
        <v>40728</v>
      </c>
      <c r="B1557" t="n">
        <v>3984.39</v>
      </c>
      <c r="C1557" t="n">
        <v>2991.66</v>
      </c>
      <c r="D1557" t="n">
        <v>2983.36</v>
      </c>
      <c r="E1557" t="n">
        <v>3509.88</v>
      </c>
      <c r="F1557" t="n">
        <v>3967.15</v>
      </c>
    </row>
    <row r="1558">
      <c r="A1558" s="3" t="n">
        <v>40729</v>
      </c>
      <c r="B1558" t="n">
        <v>3996.53</v>
      </c>
      <c r="C1558" t="n">
        <v>2987</v>
      </c>
      <c r="D1558" t="n">
        <v>2976.96</v>
      </c>
      <c r="E1558" t="n">
        <v>3494.94</v>
      </c>
      <c r="F1558" t="n">
        <v>3960.46</v>
      </c>
    </row>
    <row r="1559">
      <c r="A1559" s="3" t="n">
        <v>40730</v>
      </c>
      <c r="B1559" t="n">
        <v>4012.01</v>
      </c>
      <c r="C1559" t="n">
        <v>2984.13</v>
      </c>
      <c r="D1559" t="n">
        <v>2961.17</v>
      </c>
      <c r="E1559" t="n">
        <v>3491.26</v>
      </c>
      <c r="F1559" t="n">
        <v>3983.78</v>
      </c>
    </row>
    <row r="1560">
      <c r="A1560" s="3" t="n">
        <v>40731</v>
      </c>
      <c r="B1560" t="n">
        <v>4053.98</v>
      </c>
      <c r="C1560" t="n">
        <v>3027.8</v>
      </c>
      <c r="D1560" t="n">
        <v>2986.75</v>
      </c>
      <c r="E1560" t="n">
        <v>3549.64</v>
      </c>
      <c r="F1560" t="n">
        <v>4022.75</v>
      </c>
    </row>
    <row r="1561">
      <c r="A1561" s="3" t="n">
        <v>40732</v>
      </c>
      <c r="B1561" t="n">
        <v>4023.99</v>
      </c>
      <c r="C1561" t="n">
        <v>3001.61</v>
      </c>
      <c r="D1561" t="n">
        <v>2968.88</v>
      </c>
      <c r="E1561" t="n">
        <v>3526.74</v>
      </c>
      <c r="F1561" t="n">
        <v>3987.71</v>
      </c>
    </row>
    <row r="1562">
      <c r="A1562" s="3" t="n">
        <v>40735</v>
      </c>
      <c r="B1562" t="n">
        <v>4011</v>
      </c>
      <c r="C1562" t="n">
        <v>2983.87</v>
      </c>
      <c r="D1562" t="n">
        <v>2950.44</v>
      </c>
      <c r="E1562" t="n">
        <v>3503.64</v>
      </c>
      <c r="F1562" t="n">
        <v>3983.11</v>
      </c>
    </row>
    <row r="1563">
      <c r="A1563" s="3" t="n">
        <v>40736</v>
      </c>
      <c r="B1563" t="n">
        <v>3971.01</v>
      </c>
      <c r="C1563" t="n">
        <v>2942.52</v>
      </c>
      <c r="D1563" t="n">
        <v>2916.38</v>
      </c>
      <c r="E1563" t="n">
        <v>3459.8</v>
      </c>
      <c r="F1563" t="n">
        <v>3930.69</v>
      </c>
    </row>
    <row r="1564">
      <c r="A1564" s="3" t="n">
        <v>40737</v>
      </c>
      <c r="B1564" t="n">
        <v>4029.87</v>
      </c>
      <c r="C1564" t="n">
        <v>2969.66</v>
      </c>
      <c r="D1564" t="n">
        <v>2953.01</v>
      </c>
      <c r="E1564" t="n">
        <v>3494.01</v>
      </c>
      <c r="F1564" t="n">
        <v>3999.71</v>
      </c>
    </row>
    <row r="1565">
      <c r="A1565" s="3" t="n">
        <v>40738</v>
      </c>
      <c r="B1565" t="n">
        <v>4042.3</v>
      </c>
      <c r="C1565" t="n">
        <v>2977.72</v>
      </c>
      <c r="D1565" t="n">
        <v>2957.61</v>
      </c>
      <c r="E1565" t="n">
        <v>3496.32</v>
      </c>
      <c r="F1565" t="n">
        <v>4020.51</v>
      </c>
    </row>
    <row r="1566">
      <c r="A1566" s="3" t="n">
        <v>40739</v>
      </c>
      <c r="B1566" t="n">
        <v>4038.51</v>
      </c>
      <c r="C1566" t="n">
        <v>2978.44</v>
      </c>
      <c r="D1566" t="n">
        <v>2960.58</v>
      </c>
      <c r="E1566" t="n">
        <v>3492.59</v>
      </c>
      <c r="F1566" t="n">
        <v>4023.34</v>
      </c>
    </row>
    <row r="1567">
      <c r="A1567" s="3" t="n">
        <v>40742</v>
      </c>
      <c r="B1567" t="n">
        <v>4039</v>
      </c>
      <c r="C1567" t="n">
        <v>2975.24</v>
      </c>
      <c r="D1567" t="n">
        <v>2965.97</v>
      </c>
      <c r="E1567" t="n">
        <v>3489.01</v>
      </c>
      <c r="F1567" t="n">
        <v>4034.17</v>
      </c>
    </row>
    <row r="1568">
      <c r="A1568" s="3" t="n">
        <v>40743</v>
      </c>
      <c r="B1568" t="n">
        <v>4074.99</v>
      </c>
      <c r="C1568" t="n">
        <v>2973.64</v>
      </c>
      <c r="D1568" t="n">
        <v>2974.6</v>
      </c>
      <c r="E1568" t="n">
        <v>3507.97</v>
      </c>
      <c r="F1568" t="n">
        <v>4059.68</v>
      </c>
    </row>
    <row r="1569">
      <c r="A1569" s="3" t="n">
        <v>40744</v>
      </c>
      <c r="B1569" t="n">
        <v>4041.4</v>
      </c>
      <c r="C1569" t="n">
        <v>2939.54</v>
      </c>
      <c r="D1569" t="n">
        <v>2949.33</v>
      </c>
      <c r="E1569" t="n">
        <v>3475.33</v>
      </c>
      <c r="F1569" t="n">
        <v>4028.87</v>
      </c>
    </row>
    <row r="1570">
      <c r="A1570" s="3" t="n">
        <v>40745</v>
      </c>
      <c r="B1570" t="n">
        <v>4018.76</v>
      </c>
      <c r="C1570" t="n">
        <v>2919.67</v>
      </c>
      <c r="D1570" t="n">
        <v>2923.5</v>
      </c>
      <c r="E1570" t="n">
        <v>3454.32</v>
      </c>
      <c r="F1570" t="n">
        <v>4014.89</v>
      </c>
    </row>
    <row r="1571">
      <c r="A1571" s="3" t="n">
        <v>40746</v>
      </c>
      <c r="B1571" t="n">
        <v>4067.43</v>
      </c>
      <c r="C1571" t="n">
        <v>2952.34</v>
      </c>
      <c r="D1571" t="n">
        <v>2964.09</v>
      </c>
      <c r="E1571" t="n">
        <v>3500.63</v>
      </c>
      <c r="F1571" t="n">
        <v>4072.56</v>
      </c>
    </row>
    <row r="1572">
      <c r="A1572" s="3" t="n">
        <v>40749</v>
      </c>
      <c r="B1572" t="n">
        <v>4083.15</v>
      </c>
      <c r="C1572" t="n">
        <v>2959.59</v>
      </c>
      <c r="D1572" t="n">
        <v>3005.82</v>
      </c>
      <c r="E1572" t="n">
        <v>3519.02</v>
      </c>
      <c r="F1572" t="n">
        <v>4100.38</v>
      </c>
    </row>
    <row r="1573">
      <c r="A1573" s="3" t="n">
        <v>40750</v>
      </c>
      <c r="B1573" t="n">
        <v>4035.68</v>
      </c>
      <c r="C1573" t="n">
        <v>2933.03</v>
      </c>
      <c r="D1573" t="n">
        <v>2961.69</v>
      </c>
      <c r="E1573" t="n">
        <v>3475.95</v>
      </c>
      <c r="F1573" t="n">
        <v>4052.01</v>
      </c>
    </row>
    <row r="1574">
      <c r="A1574" s="3" t="n">
        <v>40751</v>
      </c>
      <c r="B1574" t="n">
        <v>4027.3</v>
      </c>
      <c r="C1574" t="n">
        <v>2924.58</v>
      </c>
      <c r="D1574" t="n">
        <v>2950.64</v>
      </c>
      <c r="E1574" t="n">
        <v>3460.65</v>
      </c>
      <c r="F1574" t="n">
        <v>4076.92</v>
      </c>
    </row>
    <row r="1575">
      <c r="A1575" s="3" t="n">
        <v>40752</v>
      </c>
      <c r="B1575" t="n">
        <v>4008.64</v>
      </c>
      <c r="C1575" t="n">
        <v>2898.62</v>
      </c>
      <c r="D1575" t="n">
        <v>2913.53</v>
      </c>
      <c r="E1575" t="n">
        <v>3425.35</v>
      </c>
      <c r="F1575" t="n">
        <v>4069.34</v>
      </c>
    </row>
    <row r="1576">
      <c r="A1576" s="3" t="n">
        <v>40753</v>
      </c>
      <c r="B1576" t="n">
        <v>3983.4</v>
      </c>
      <c r="C1576" t="n">
        <v>2878.12</v>
      </c>
      <c r="D1576" t="n">
        <v>2889.34</v>
      </c>
      <c r="E1576" t="n">
        <v>3418.68</v>
      </c>
      <c r="F1576" t="n">
        <v>4043.56</v>
      </c>
    </row>
    <row r="1577">
      <c r="A1577" s="3" t="n">
        <v>40756</v>
      </c>
      <c r="B1577" t="n">
        <v>3998.64</v>
      </c>
      <c r="C1577" t="n">
        <v>2870.63</v>
      </c>
      <c r="D1577" t="n">
        <v>2881.18</v>
      </c>
      <c r="E1577" t="n">
        <v>3433.17</v>
      </c>
      <c r="F1577" t="n">
        <v>4063.47</v>
      </c>
    </row>
    <row r="1578">
      <c r="A1578" s="3" t="n">
        <v>40757</v>
      </c>
      <c r="B1578" t="n">
        <v>3945.27</v>
      </c>
      <c r="C1578" t="n">
        <v>2846.79</v>
      </c>
      <c r="D1578" t="n">
        <v>2841.38</v>
      </c>
      <c r="E1578" t="n">
        <v>3415.72</v>
      </c>
      <c r="F1578" t="n">
        <v>3990.81</v>
      </c>
    </row>
    <row r="1579">
      <c r="A1579" s="3" t="n">
        <v>40758</v>
      </c>
      <c r="B1579" t="n">
        <v>3902.64</v>
      </c>
      <c r="C1579" t="n">
        <v>2819.35</v>
      </c>
      <c r="D1579" t="n">
        <v>2829.08</v>
      </c>
      <c r="E1579" t="n">
        <v>3388</v>
      </c>
      <c r="F1579" t="n">
        <v>3969.31</v>
      </c>
    </row>
    <row r="1580">
      <c r="A1580" s="3" t="n">
        <v>40759</v>
      </c>
      <c r="B1580" t="n">
        <v>3870.76</v>
      </c>
      <c r="C1580" t="n">
        <v>2801.88</v>
      </c>
      <c r="D1580" t="n">
        <v>2836.7</v>
      </c>
      <c r="E1580" t="n">
        <v>3355.68</v>
      </c>
      <c r="F1580" t="n">
        <v>3933.34</v>
      </c>
    </row>
    <row r="1581">
      <c r="A1581" s="3" t="n">
        <v>40760</v>
      </c>
      <c r="B1581" t="n">
        <v>3811.04</v>
      </c>
      <c r="C1581" t="n">
        <v>2754.44</v>
      </c>
      <c r="D1581" t="n">
        <v>2770.8</v>
      </c>
      <c r="E1581" t="n">
        <v>3297.02</v>
      </c>
      <c r="F1581" t="n">
        <v>3856.4</v>
      </c>
    </row>
    <row r="1582">
      <c r="A1582" s="3" t="n">
        <v>40763</v>
      </c>
      <c r="B1582" t="n">
        <v>3758.37</v>
      </c>
      <c r="C1582" t="n">
        <v>2716.82</v>
      </c>
      <c r="D1582" t="n">
        <v>2738.84</v>
      </c>
      <c r="E1582" t="n">
        <v>3259.56</v>
      </c>
      <c r="F1582" t="n">
        <v>3800.57</v>
      </c>
    </row>
    <row r="1583">
      <c r="A1583" s="3" t="n">
        <v>40764</v>
      </c>
      <c r="B1583" t="n">
        <v>3713.26</v>
      </c>
      <c r="C1583" t="n">
        <v>2685.57</v>
      </c>
      <c r="D1583" t="n">
        <v>2707.47</v>
      </c>
      <c r="E1583" t="n">
        <v>3225.31</v>
      </c>
      <c r="F1583" t="n">
        <v>3759.61</v>
      </c>
    </row>
    <row r="1584">
      <c r="A1584" s="3" t="n">
        <v>40765</v>
      </c>
      <c r="B1584" t="n">
        <v>3823.93</v>
      </c>
      <c r="C1584" t="n">
        <v>2741.03</v>
      </c>
      <c r="D1584" t="n">
        <v>2746.15</v>
      </c>
      <c r="E1584" t="n">
        <v>3276.66</v>
      </c>
      <c r="F1584" t="n">
        <v>3849.66</v>
      </c>
    </row>
    <row r="1585">
      <c r="A1585" s="3" t="n">
        <v>40766</v>
      </c>
      <c r="B1585" t="n">
        <v>3800.77</v>
      </c>
      <c r="C1585" t="n">
        <v>2723.19</v>
      </c>
      <c r="D1585" t="n">
        <v>2738.4</v>
      </c>
      <c r="E1585" t="n">
        <v>3258.5</v>
      </c>
      <c r="F1585" t="n">
        <v>3840.4</v>
      </c>
    </row>
    <row r="1586">
      <c r="A1586" s="3" t="n">
        <v>40767</v>
      </c>
      <c r="B1586" t="n">
        <v>3762.79</v>
      </c>
      <c r="C1586" t="n">
        <v>2700.01</v>
      </c>
      <c r="D1586" t="n">
        <v>2724.15</v>
      </c>
      <c r="E1586" t="n">
        <v>3229.23</v>
      </c>
      <c r="F1586" t="n">
        <v>3837.67</v>
      </c>
    </row>
    <row r="1587">
      <c r="A1587" s="3" t="n">
        <v>40771</v>
      </c>
      <c r="B1587" t="n">
        <v>3751.21</v>
      </c>
      <c r="C1587" t="n">
        <v>2676.81</v>
      </c>
      <c r="D1587" t="n">
        <v>2655.05</v>
      </c>
      <c r="E1587" t="n">
        <v>3201.42</v>
      </c>
      <c r="F1587" t="n">
        <v>3843.8</v>
      </c>
    </row>
    <row r="1588">
      <c r="A1588" s="3" t="n">
        <v>40772</v>
      </c>
      <c r="B1588" t="n">
        <v>3740.05</v>
      </c>
      <c r="C1588" t="n">
        <v>2686.88</v>
      </c>
      <c r="D1588" t="n">
        <v>2637.41</v>
      </c>
      <c r="E1588" t="n">
        <v>3212.29</v>
      </c>
      <c r="F1588" t="n">
        <v>3850.37</v>
      </c>
    </row>
    <row r="1589">
      <c r="A1589" s="3" t="n">
        <v>40773</v>
      </c>
      <c r="B1589" t="n">
        <v>3639.63</v>
      </c>
      <c r="C1589" t="n">
        <v>2632.37</v>
      </c>
      <c r="D1589" t="n">
        <v>2574.56</v>
      </c>
      <c r="E1589" t="n">
        <v>3159.15</v>
      </c>
      <c r="F1589" t="n">
        <v>3725.55</v>
      </c>
    </row>
    <row r="1590">
      <c r="A1590" s="3" t="n">
        <v>40774</v>
      </c>
      <c r="B1590" t="n">
        <v>3581.64</v>
      </c>
      <c r="C1590" t="n">
        <v>2584.66</v>
      </c>
      <c r="D1590" t="n">
        <v>2545.65</v>
      </c>
      <c r="E1590" t="n">
        <v>3106.7</v>
      </c>
      <c r="F1590" t="n">
        <v>3681.29</v>
      </c>
    </row>
    <row r="1591">
      <c r="A1591" s="3" t="n">
        <v>40777</v>
      </c>
      <c r="B1591" t="n">
        <v>3620.65</v>
      </c>
      <c r="C1591" t="n">
        <v>2610.13</v>
      </c>
      <c r="D1591" t="n">
        <v>2599.83</v>
      </c>
      <c r="E1591" t="n">
        <v>3139.04</v>
      </c>
      <c r="F1591" t="n">
        <v>3748.13</v>
      </c>
    </row>
    <row r="1592">
      <c r="A1592" s="3" t="n">
        <v>40778</v>
      </c>
      <c r="B1592" t="n">
        <v>3672.76</v>
      </c>
      <c r="C1592" t="n">
        <v>2636.2</v>
      </c>
      <c r="D1592" t="n">
        <v>2620.42</v>
      </c>
      <c r="E1592" t="n">
        <v>3161.08</v>
      </c>
      <c r="F1592" t="n">
        <v>3811.19</v>
      </c>
    </row>
    <row r="1593">
      <c r="A1593" s="3" t="n">
        <v>40779</v>
      </c>
      <c r="B1593" t="n">
        <v>3632.46</v>
      </c>
      <c r="C1593" t="n">
        <v>2608.16</v>
      </c>
      <c r="D1593" t="n">
        <v>2607.53</v>
      </c>
      <c r="E1593" t="n">
        <v>3134.24</v>
      </c>
      <c r="F1593" t="n">
        <v>3777.19</v>
      </c>
    </row>
    <row r="1594">
      <c r="A1594" s="3" t="n">
        <v>40780</v>
      </c>
      <c r="B1594" t="n">
        <v>3602.85</v>
      </c>
      <c r="C1594" t="n">
        <v>2585.26</v>
      </c>
      <c r="D1594" t="n">
        <v>2562.95</v>
      </c>
      <c r="E1594" t="n">
        <v>3114.56</v>
      </c>
      <c r="F1594" t="n">
        <v>3755.21</v>
      </c>
    </row>
    <row r="1595">
      <c r="A1595" s="3" t="n">
        <v>40781</v>
      </c>
      <c r="B1595" t="n">
        <v>3532.39</v>
      </c>
      <c r="C1595" t="n">
        <v>2547.57</v>
      </c>
      <c r="D1595" t="n">
        <v>2506.81</v>
      </c>
      <c r="E1595" t="n">
        <v>3068.46</v>
      </c>
      <c r="F1595" t="n">
        <v>3676.97</v>
      </c>
    </row>
    <row r="1596">
      <c r="A1596" s="3" t="n">
        <v>40784</v>
      </c>
      <c r="B1596" t="n">
        <v>3644.3</v>
      </c>
      <c r="C1596" t="n">
        <v>2618.24</v>
      </c>
      <c r="D1596" t="n">
        <v>2578.03</v>
      </c>
      <c r="E1596" t="n">
        <v>3143.88</v>
      </c>
      <c r="F1596" t="n">
        <v>3779.29</v>
      </c>
    </row>
    <row r="1597">
      <c r="A1597" s="3" t="n">
        <v>40785</v>
      </c>
      <c r="B1597" t="n">
        <v>3698.75</v>
      </c>
      <c r="C1597" t="n">
        <v>2660.63</v>
      </c>
      <c r="D1597" t="n">
        <v>2618.76</v>
      </c>
      <c r="E1597" t="n">
        <v>3172.48</v>
      </c>
      <c r="F1597" t="n">
        <v>3833.92</v>
      </c>
    </row>
    <row r="1598">
      <c r="A1598" s="3" t="n">
        <v>40788</v>
      </c>
      <c r="B1598" t="n">
        <v>3740.21</v>
      </c>
      <c r="C1598" t="n">
        <v>2671.03</v>
      </c>
      <c r="D1598" t="n">
        <v>2650.92</v>
      </c>
      <c r="E1598" t="n">
        <v>3179.89</v>
      </c>
      <c r="F1598" t="n">
        <v>3881.69</v>
      </c>
    </row>
    <row r="1599">
      <c r="A1599" s="3" t="n">
        <v>40791</v>
      </c>
      <c r="B1599" t="n">
        <v>3766.1</v>
      </c>
      <c r="C1599" t="n">
        <v>2690.16</v>
      </c>
      <c r="D1599" t="n">
        <v>2666.79</v>
      </c>
      <c r="E1599" t="n">
        <v>3162.41</v>
      </c>
      <c r="F1599" t="n">
        <v>3906.29</v>
      </c>
    </row>
    <row r="1600">
      <c r="A1600" s="3" t="n">
        <v>40792</v>
      </c>
      <c r="B1600" t="n">
        <v>3779.17</v>
      </c>
      <c r="C1600" t="n">
        <v>2701.35</v>
      </c>
      <c r="D1600" t="n">
        <v>2678.12</v>
      </c>
      <c r="E1600" t="n">
        <v>3175.75</v>
      </c>
      <c r="F1600" t="n">
        <v>3919.76</v>
      </c>
    </row>
    <row r="1601">
      <c r="A1601" s="3" t="n">
        <v>40793</v>
      </c>
      <c r="B1601" t="n">
        <v>3812.13</v>
      </c>
      <c r="C1601" t="n">
        <v>2733.93</v>
      </c>
      <c r="D1601" t="n">
        <v>2715.52</v>
      </c>
      <c r="E1601" t="n">
        <v>3222.38</v>
      </c>
      <c r="F1601" t="n">
        <v>3938.73</v>
      </c>
    </row>
    <row r="1602">
      <c r="A1602" s="3" t="n">
        <v>40794</v>
      </c>
      <c r="B1602" t="n">
        <v>3826.36</v>
      </c>
      <c r="C1602" t="n">
        <v>2744.89</v>
      </c>
      <c r="D1602" t="n">
        <v>2725.12</v>
      </c>
      <c r="E1602" t="n">
        <v>3227.11</v>
      </c>
      <c r="F1602" t="n">
        <v>3945.3</v>
      </c>
    </row>
    <row r="1603">
      <c r="A1603" s="3" t="n">
        <v>40795</v>
      </c>
      <c r="B1603" t="n">
        <v>3811.04</v>
      </c>
      <c r="C1603" t="n">
        <v>2720.64</v>
      </c>
      <c r="D1603" t="n">
        <v>2679.81</v>
      </c>
      <c r="E1603" t="n">
        <v>3191.58</v>
      </c>
      <c r="F1603" t="n">
        <v>3930.87</v>
      </c>
    </row>
    <row r="1604">
      <c r="A1604" s="3" t="n">
        <v>40798</v>
      </c>
      <c r="B1604" t="n">
        <v>3710.77</v>
      </c>
      <c r="C1604" t="n">
        <v>2664.92</v>
      </c>
      <c r="D1604" t="n">
        <v>2633.24</v>
      </c>
      <c r="E1604" t="n">
        <v>3147.15</v>
      </c>
      <c r="F1604" t="n">
        <v>3848.47</v>
      </c>
    </row>
    <row r="1605">
      <c r="A1605" s="3" t="n">
        <v>40799</v>
      </c>
      <c r="B1605" t="n">
        <v>3711.81</v>
      </c>
      <c r="C1605" t="n">
        <v>2665.27</v>
      </c>
      <c r="D1605" t="n">
        <v>2635.55</v>
      </c>
      <c r="E1605" t="n">
        <v>3143.75</v>
      </c>
      <c r="F1605" t="n">
        <v>3835.24</v>
      </c>
    </row>
    <row r="1606">
      <c r="A1606" s="3" t="n">
        <v>40800</v>
      </c>
      <c r="B1606" t="n">
        <v>3734.95</v>
      </c>
      <c r="C1606" t="n">
        <v>2688.31</v>
      </c>
      <c r="D1606" t="n">
        <v>2649.77</v>
      </c>
      <c r="E1606" t="n">
        <v>3174.66</v>
      </c>
      <c r="F1606" t="n">
        <v>3853.66</v>
      </c>
    </row>
    <row r="1607">
      <c r="A1607" s="3" t="n">
        <v>40801</v>
      </c>
      <c r="B1607" t="n">
        <v>3773.17</v>
      </c>
      <c r="C1607" t="n">
        <v>2710.39</v>
      </c>
      <c r="D1607" t="n">
        <v>2670.67</v>
      </c>
      <c r="E1607" t="n">
        <v>3203.11</v>
      </c>
      <c r="F1607" t="n">
        <v>3897.02</v>
      </c>
    </row>
    <row r="1608">
      <c r="A1608" s="3" t="n">
        <v>40802</v>
      </c>
      <c r="B1608" t="n">
        <v>3809.91</v>
      </c>
      <c r="C1608" t="n">
        <v>2698.74</v>
      </c>
      <c r="D1608" t="n">
        <v>2650.74</v>
      </c>
      <c r="E1608" t="n">
        <v>3207.05</v>
      </c>
      <c r="F1608" t="n">
        <v>3894.65</v>
      </c>
    </row>
    <row r="1609">
      <c r="A1609" s="3" t="n">
        <v>40805</v>
      </c>
      <c r="B1609" t="n">
        <v>3793.89</v>
      </c>
      <c r="C1609" t="n">
        <v>2687</v>
      </c>
      <c r="D1609" t="n">
        <v>2644.93</v>
      </c>
      <c r="E1609" t="n">
        <v>3185</v>
      </c>
      <c r="F1609" t="n">
        <v>3872.18</v>
      </c>
    </row>
    <row r="1610">
      <c r="A1610" s="3" t="n">
        <v>40806</v>
      </c>
      <c r="B1610" t="n">
        <v>3856.47</v>
      </c>
      <c r="C1610" t="n">
        <v>2722.11</v>
      </c>
      <c r="D1610" t="n">
        <v>2667.5</v>
      </c>
      <c r="E1610" t="n">
        <v>3233.87</v>
      </c>
      <c r="F1610" t="n">
        <v>3942.07</v>
      </c>
    </row>
    <row r="1611">
      <c r="A1611" s="3" t="n">
        <v>40807</v>
      </c>
      <c r="B1611" t="n">
        <v>3882.89</v>
      </c>
      <c r="C1611" t="n">
        <v>2726.55</v>
      </c>
      <c r="D1611" t="n">
        <v>2684.82</v>
      </c>
      <c r="E1611" t="n">
        <v>3234.28</v>
      </c>
      <c r="F1611" t="n">
        <v>3986.41</v>
      </c>
    </row>
    <row r="1612">
      <c r="A1612" s="3" t="n">
        <v>40808</v>
      </c>
      <c r="B1612" t="n">
        <v>3745.77</v>
      </c>
      <c r="C1612" t="n">
        <v>2641.97</v>
      </c>
      <c r="D1612" t="n">
        <v>2602.24</v>
      </c>
      <c r="E1612" t="n">
        <v>3136.08</v>
      </c>
      <c r="F1612" t="n">
        <v>3849.09</v>
      </c>
    </row>
    <row r="1613">
      <c r="A1613" s="3" t="n">
        <v>40809</v>
      </c>
      <c r="B1613" t="n">
        <v>3724.07</v>
      </c>
      <c r="C1613" t="n">
        <v>2622.38</v>
      </c>
      <c r="D1613" t="n">
        <v>2573.05</v>
      </c>
      <c r="E1613" t="n">
        <v>3119.19</v>
      </c>
      <c r="F1613" t="n">
        <v>3819.11</v>
      </c>
    </row>
    <row r="1614">
      <c r="A1614" s="3" t="n">
        <v>40812</v>
      </c>
      <c r="B1614" t="n">
        <v>3670.46</v>
      </c>
      <c r="C1614" t="n">
        <v>2587.49</v>
      </c>
      <c r="D1614" t="n">
        <v>2539.91</v>
      </c>
      <c r="E1614" t="n">
        <v>3091.68</v>
      </c>
      <c r="F1614" t="n">
        <v>3765.12</v>
      </c>
    </row>
    <row r="1615">
      <c r="A1615" s="3" t="n">
        <v>40813</v>
      </c>
      <c r="B1615" t="n">
        <v>3746.65</v>
      </c>
      <c r="C1615" t="n">
        <v>2633.53</v>
      </c>
      <c r="D1615" t="n">
        <v>2581.65</v>
      </c>
      <c r="E1615" t="n">
        <v>3150.48</v>
      </c>
      <c r="F1615" t="n">
        <v>3853.53</v>
      </c>
    </row>
    <row r="1616">
      <c r="A1616" s="3" t="n">
        <v>40814</v>
      </c>
      <c r="B1616" t="n">
        <v>3724.65</v>
      </c>
      <c r="C1616" t="n">
        <v>2623.77</v>
      </c>
      <c r="D1616" t="n">
        <v>2545.2</v>
      </c>
      <c r="E1616" t="n">
        <v>3147.24</v>
      </c>
      <c r="F1616" t="n">
        <v>3821.19</v>
      </c>
    </row>
    <row r="1617">
      <c r="A1617" s="3" t="n">
        <v>40815</v>
      </c>
      <c r="B1617" t="n">
        <v>3727.67</v>
      </c>
      <c r="C1617" t="n">
        <v>2639.49</v>
      </c>
      <c r="D1617" t="n">
        <v>2556.37</v>
      </c>
      <c r="E1617" t="n">
        <v>3172.4</v>
      </c>
      <c r="F1617" t="n">
        <v>3805.64</v>
      </c>
    </row>
    <row r="1618">
      <c r="A1618" s="3" t="n">
        <v>40816</v>
      </c>
      <c r="B1618" t="n">
        <v>3699.57</v>
      </c>
      <c r="C1618" t="n">
        <v>2618.1</v>
      </c>
      <c r="D1618" t="n">
        <v>2532.33</v>
      </c>
      <c r="E1618" t="n">
        <v>3141.44</v>
      </c>
      <c r="F1618" t="n">
        <v>3790.67</v>
      </c>
    </row>
    <row r="1619">
      <c r="A1619" s="3" t="n">
        <v>40819</v>
      </c>
      <c r="B1619" t="n">
        <v>3649.42</v>
      </c>
      <c r="C1619" t="n">
        <v>2577.29</v>
      </c>
      <c r="D1619" t="n">
        <v>2502.5</v>
      </c>
      <c r="E1619" t="n">
        <v>3093.69</v>
      </c>
      <c r="F1619" t="n">
        <v>3741.76</v>
      </c>
    </row>
    <row r="1620">
      <c r="A1620" s="3" t="n">
        <v>40820</v>
      </c>
      <c r="B1620" t="n">
        <v>3595.95</v>
      </c>
      <c r="C1620" t="n">
        <v>2555.22</v>
      </c>
      <c r="D1620" t="n">
        <v>2475.57</v>
      </c>
      <c r="E1620" t="n">
        <v>3065.11</v>
      </c>
      <c r="F1620" t="n">
        <v>3692.52</v>
      </c>
    </row>
    <row r="1621">
      <c r="A1621" s="3" t="n">
        <v>40821</v>
      </c>
      <c r="B1621" t="n">
        <v>3554.41</v>
      </c>
      <c r="C1621" t="n">
        <v>2540.29</v>
      </c>
      <c r="D1621" t="n">
        <v>2458.96</v>
      </c>
      <c r="E1621" t="n">
        <v>3054.01</v>
      </c>
      <c r="F1621" t="n">
        <v>3623.71</v>
      </c>
    </row>
    <row r="1622">
      <c r="A1622" s="3" t="n">
        <v>40823</v>
      </c>
      <c r="B1622" t="n">
        <v>3624.14</v>
      </c>
      <c r="C1622" t="n">
        <v>2586.56</v>
      </c>
      <c r="D1622" t="n">
        <v>2491.72</v>
      </c>
      <c r="E1622" t="n">
        <v>3108.24</v>
      </c>
      <c r="F1622" t="n">
        <v>3688.61</v>
      </c>
    </row>
    <row r="1623">
      <c r="A1623" s="3" t="n">
        <v>40826</v>
      </c>
      <c r="B1623" t="n">
        <v>3683.11</v>
      </c>
      <c r="C1623" t="n">
        <v>2624.75</v>
      </c>
      <c r="D1623" t="n">
        <v>2524.19</v>
      </c>
      <c r="E1623" t="n">
        <v>3143.64</v>
      </c>
      <c r="F1623" t="n">
        <v>3775.76</v>
      </c>
    </row>
    <row r="1624">
      <c r="A1624" s="3" t="n">
        <v>40827</v>
      </c>
      <c r="B1624" t="n">
        <v>3724.22</v>
      </c>
      <c r="C1624" t="n">
        <v>2634.37</v>
      </c>
      <c r="D1624" t="n">
        <v>2532.3</v>
      </c>
      <c r="E1624" t="n">
        <v>3139.13</v>
      </c>
      <c r="F1624" t="n">
        <v>3813.29</v>
      </c>
    </row>
    <row r="1625">
      <c r="A1625" s="3" t="n">
        <v>40828</v>
      </c>
      <c r="B1625" t="n">
        <v>3769.95</v>
      </c>
      <c r="C1625" t="n">
        <v>2694.21</v>
      </c>
      <c r="D1625" t="n">
        <v>2571.33</v>
      </c>
      <c r="E1625" t="n">
        <v>3192.16</v>
      </c>
      <c r="F1625" t="n">
        <v>3894.88</v>
      </c>
    </row>
    <row r="1626">
      <c r="A1626" s="3" t="n">
        <v>40829</v>
      </c>
      <c r="B1626" t="n">
        <v>3748.24</v>
      </c>
      <c r="C1626" t="n">
        <v>2680.81</v>
      </c>
      <c r="D1626" t="n">
        <v>2557.31</v>
      </c>
      <c r="E1626" t="n">
        <v>3171.31</v>
      </c>
      <c r="F1626" t="n">
        <v>3885.04</v>
      </c>
    </row>
    <row r="1627">
      <c r="A1627" s="3" t="n">
        <v>40830</v>
      </c>
      <c r="B1627" t="n">
        <v>3772.41</v>
      </c>
      <c r="C1627" t="n">
        <v>2699.76</v>
      </c>
      <c r="D1627" t="n">
        <v>2569.42</v>
      </c>
      <c r="E1627" t="n">
        <v>3192.51</v>
      </c>
      <c r="F1627" t="n">
        <v>3916.57</v>
      </c>
    </row>
    <row r="1628">
      <c r="A1628" s="3" t="n">
        <v>40833</v>
      </c>
      <c r="B1628" t="n">
        <v>3795.54</v>
      </c>
      <c r="C1628" t="n">
        <v>2711.29</v>
      </c>
      <c r="D1628" t="n">
        <v>2551.72</v>
      </c>
      <c r="E1628" t="n">
        <v>3176.54</v>
      </c>
      <c r="F1628" t="n">
        <v>3931.21</v>
      </c>
    </row>
    <row r="1629">
      <c r="A1629" s="3" t="n">
        <v>40834</v>
      </c>
      <c r="B1629" t="n">
        <v>3741.82</v>
      </c>
      <c r="C1629" t="n">
        <v>2664.21</v>
      </c>
      <c r="D1629" t="n">
        <v>2528.33</v>
      </c>
      <c r="E1629" t="n">
        <v>3149.02</v>
      </c>
      <c r="F1629" t="n">
        <v>3861.23</v>
      </c>
    </row>
    <row r="1630">
      <c r="A1630" s="3" t="n">
        <v>40835</v>
      </c>
      <c r="B1630" t="n">
        <v>3798.33</v>
      </c>
      <c r="C1630" t="n">
        <v>2690.05</v>
      </c>
      <c r="D1630" t="n">
        <v>2563.23</v>
      </c>
      <c r="E1630" t="n">
        <v>3197.3</v>
      </c>
      <c r="F1630" t="n">
        <v>3925.61</v>
      </c>
    </row>
    <row r="1631">
      <c r="A1631" s="3" t="n">
        <v>40836</v>
      </c>
      <c r="B1631" t="n">
        <v>3765.72</v>
      </c>
      <c r="C1631" t="n">
        <v>2670.38</v>
      </c>
      <c r="D1631" t="n">
        <v>2534.31</v>
      </c>
      <c r="E1631" t="n">
        <v>3177.91</v>
      </c>
      <c r="F1631" t="n">
        <v>3899.38</v>
      </c>
    </row>
    <row r="1632">
      <c r="A1632" s="3" t="n">
        <v>40837</v>
      </c>
      <c r="B1632" t="n">
        <v>3754.95</v>
      </c>
      <c r="C1632" t="n">
        <v>2654.91</v>
      </c>
      <c r="D1632" t="n">
        <v>2528</v>
      </c>
      <c r="E1632" t="n">
        <v>3160.68</v>
      </c>
      <c r="F1632" t="n">
        <v>3878.63</v>
      </c>
    </row>
    <row r="1633">
      <c r="A1633" s="3" t="n">
        <v>40840</v>
      </c>
      <c r="B1633" t="n">
        <v>3773.47</v>
      </c>
      <c r="C1633" t="n">
        <v>2671.87</v>
      </c>
      <c r="D1633" t="n">
        <v>2506.48</v>
      </c>
      <c r="E1633" t="n">
        <v>3187.72</v>
      </c>
      <c r="F1633" t="n">
        <v>3877.01</v>
      </c>
    </row>
    <row r="1634">
      <c r="A1634" s="3" t="n">
        <v>40841</v>
      </c>
      <c r="B1634" t="n">
        <v>3781.73</v>
      </c>
      <c r="C1634" t="n">
        <v>2682.55</v>
      </c>
      <c r="D1634" t="n">
        <v>2517.84</v>
      </c>
      <c r="E1634" t="n">
        <v>3223.53</v>
      </c>
      <c r="F1634" t="n">
        <v>3891.24</v>
      </c>
    </row>
    <row r="1635">
      <c r="A1635" s="3" t="n">
        <v>40842</v>
      </c>
      <c r="B1635" t="n">
        <v>3811.37</v>
      </c>
      <c r="C1635" t="n">
        <v>2694.81</v>
      </c>
      <c r="D1635" t="n">
        <v>2545.7</v>
      </c>
      <c r="E1635" t="n">
        <v>3239.77</v>
      </c>
      <c r="F1635" t="n">
        <v>3920.69</v>
      </c>
    </row>
    <row r="1636">
      <c r="A1636" s="3" t="n">
        <v>40844</v>
      </c>
      <c r="B1636" t="n">
        <v>3823.32</v>
      </c>
      <c r="C1636" t="n">
        <v>2751.74</v>
      </c>
      <c r="D1636" t="n">
        <v>2598.55</v>
      </c>
      <c r="E1636" t="n">
        <v>3294.64</v>
      </c>
      <c r="F1636" t="n">
        <v>3947.14</v>
      </c>
    </row>
    <row r="1637">
      <c r="A1637" s="3" t="n">
        <v>40847</v>
      </c>
      <c r="B1637" t="n">
        <v>3826.13</v>
      </c>
      <c r="C1637" t="n">
        <v>2755.36</v>
      </c>
      <c r="D1637" t="n">
        <v>2610.98</v>
      </c>
      <c r="E1637" t="n">
        <v>3294.94</v>
      </c>
      <c r="F1637" t="n">
        <v>3951.31</v>
      </c>
    </row>
    <row r="1638">
      <c r="A1638" s="3" t="n">
        <v>40848</v>
      </c>
      <c r="B1638" t="n">
        <v>3815.33</v>
      </c>
      <c r="C1638" t="n">
        <v>2752.42</v>
      </c>
      <c r="D1638" t="n">
        <v>2579.59</v>
      </c>
      <c r="E1638" t="n">
        <v>3285.14</v>
      </c>
      <c r="F1638" t="n">
        <v>3945.68</v>
      </c>
    </row>
    <row r="1639">
      <c r="A1639" s="3" t="n">
        <v>40849</v>
      </c>
      <c r="B1639" t="n">
        <v>3806.75</v>
      </c>
      <c r="C1639" t="n">
        <v>2750.41</v>
      </c>
      <c r="D1639" t="n">
        <v>2593.11</v>
      </c>
      <c r="E1639" t="n">
        <v>3284.77</v>
      </c>
      <c r="F1639" t="n">
        <v>3945.94</v>
      </c>
    </row>
    <row r="1640">
      <c r="A1640" s="3" t="n">
        <v>40850</v>
      </c>
      <c r="B1640" t="n">
        <v>3820.41</v>
      </c>
      <c r="C1640" t="n">
        <v>2753.13</v>
      </c>
      <c r="D1640" t="n">
        <v>2594.15</v>
      </c>
      <c r="E1640" t="n">
        <v>3295.84</v>
      </c>
      <c r="F1640" t="n">
        <v>3929.48</v>
      </c>
    </row>
    <row r="1641">
      <c r="A1641" s="3" t="n">
        <v>40851</v>
      </c>
      <c r="B1641" t="n">
        <v>3855.46</v>
      </c>
      <c r="C1641" t="n">
        <v>2775.57</v>
      </c>
      <c r="D1641" t="n">
        <v>2611.22</v>
      </c>
      <c r="E1641" t="n">
        <v>3306.15</v>
      </c>
      <c r="F1641" t="n">
        <v>3954.18</v>
      </c>
    </row>
    <row r="1642">
      <c r="A1642" s="3" t="n">
        <v>40855</v>
      </c>
      <c r="B1642" t="n">
        <v>3846.73</v>
      </c>
      <c r="C1642" t="n">
        <v>2777.74</v>
      </c>
      <c r="D1642" t="n">
        <v>2608.64</v>
      </c>
      <c r="E1642" t="n">
        <v>3306.62</v>
      </c>
      <c r="F1642" t="n">
        <v>3942.24</v>
      </c>
    </row>
    <row r="1643">
      <c r="A1643" s="3" t="n">
        <v>40856</v>
      </c>
      <c r="B1643" t="n">
        <v>3813.95</v>
      </c>
      <c r="C1643" t="n">
        <v>2760.86</v>
      </c>
      <c r="D1643" t="n">
        <v>2546.27</v>
      </c>
      <c r="E1643" t="n">
        <v>3276.05</v>
      </c>
      <c r="F1643" t="n">
        <v>3880.13</v>
      </c>
    </row>
    <row r="1644">
      <c r="A1644" s="3" t="n">
        <v>40858</v>
      </c>
      <c r="B1644" t="n">
        <v>3794.9</v>
      </c>
      <c r="C1644" t="n">
        <v>2736.14</v>
      </c>
      <c r="D1644" t="n">
        <v>2513.7</v>
      </c>
      <c r="E1644" t="n">
        <v>3262.68</v>
      </c>
      <c r="F1644" t="n">
        <v>3838.74</v>
      </c>
    </row>
    <row r="1645">
      <c r="A1645" s="3" t="n">
        <v>40861</v>
      </c>
      <c r="B1645" t="n">
        <v>3773.2</v>
      </c>
      <c r="C1645" t="n">
        <v>2728.71</v>
      </c>
      <c r="D1645" t="n">
        <v>2460.39</v>
      </c>
      <c r="E1645" t="n">
        <v>3261.24</v>
      </c>
      <c r="F1645" t="n">
        <v>3779.18</v>
      </c>
    </row>
    <row r="1646">
      <c r="A1646" s="3" t="n">
        <v>40862</v>
      </c>
      <c r="B1646" t="n">
        <v>3701.43</v>
      </c>
      <c r="C1646" t="n">
        <v>2691.8</v>
      </c>
      <c r="D1646" t="n">
        <v>2383.85</v>
      </c>
      <c r="E1646" t="n">
        <v>3216.56</v>
      </c>
      <c r="F1646" t="n">
        <v>3682.89</v>
      </c>
    </row>
    <row r="1647">
      <c r="A1647" s="3" t="n">
        <v>40863</v>
      </c>
      <c r="B1647" t="n">
        <v>3684.25</v>
      </c>
      <c r="C1647" t="n">
        <v>2671.65</v>
      </c>
      <c r="D1647" t="n">
        <v>2362.7</v>
      </c>
      <c r="E1647" t="n">
        <v>3185.7</v>
      </c>
      <c r="F1647" t="n">
        <v>3646.91</v>
      </c>
    </row>
    <row r="1648">
      <c r="A1648" s="3" t="n">
        <v>40864</v>
      </c>
      <c r="B1648" t="n">
        <v>3632.34</v>
      </c>
      <c r="C1648" t="n">
        <v>2626.87</v>
      </c>
      <c r="D1648" t="n">
        <v>2327.57</v>
      </c>
      <c r="E1648" t="n">
        <v>3136.2</v>
      </c>
      <c r="F1648" t="n">
        <v>3601.7</v>
      </c>
    </row>
    <row r="1649">
      <c r="A1649" s="3" t="n">
        <v>40865</v>
      </c>
      <c r="B1649" t="n">
        <v>3624.77</v>
      </c>
      <c r="C1649" t="n">
        <v>2610.73</v>
      </c>
      <c r="D1649" t="n">
        <v>2321.46</v>
      </c>
      <c r="E1649" t="n">
        <v>3124.51</v>
      </c>
      <c r="F1649" t="n">
        <v>3616.94</v>
      </c>
    </row>
    <row r="1650">
      <c r="A1650" s="3" t="n">
        <v>40868</v>
      </c>
      <c r="B1650" t="n">
        <v>3555.72</v>
      </c>
      <c r="C1650" t="n">
        <v>2559.04</v>
      </c>
      <c r="D1650" t="n">
        <v>2276.31</v>
      </c>
      <c r="E1650" t="n">
        <v>3068.15</v>
      </c>
      <c r="F1650" t="n">
        <v>3510.28</v>
      </c>
    </row>
    <row r="1651">
      <c r="A1651" s="3" t="n">
        <v>40869</v>
      </c>
      <c r="B1651" t="n">
        <v>3527.43</v>
      </c>
      <c r="C1651" t="n">
        <v>2574.12</v>
      </c>
      <c r="D1651" t="n">
        <v>2297.55</v>
      </c>
      <c r="E1651" t="n">
        <v>3074.82</v>
      </c>
      <c r="F1651" t="n">
        <v>3496.76</v>
      </c>
    </row>
    <row r="1652">
      <c r="A1652" s="3" t="n">
        <v>40870</v>
      </c>
      <c r="B1652" t="n">
        <v>3478.16</v>
      </c>
      <c r="C1652" t="n">
        <v>2530.93</v>
      </c>
      <c r="D1652" t="n">
        <v>2246.98</v>
      </c>
      <c r="E1652" t="n">
        <v>3022.48</v>
      </c>
      <c r="F1652" t="n">
        <v>3434.77</v>
      </c>
    </row>
    <row r="1653">
      <c r="A1653" s="3" t="n">
        <v>40871</v>
      </c>
      <c r="B1653" t="n">
        <v>3521.71</v>
      </c>
      <c r="C1653" t="n">
        <v>2555.63</v>
      </c>
      <c r="D1653" t="n">
        <v>2269.98</v>
      </c>
      <c r="E1653" t="n">
        <v>3052.82</v>
      </c>
      <c r="F1653" t="n">
        <v>3503.32</v>
      </c>
    </row>
    <row r="1654">
      <c r="A1654" s="3" t="n">
        <v>40872</v>
      </c>
      <c r="B1654" t="n">
        <v>3535.18</v>
      </c>
      <c r="C1654" t="n">
        <v>2541.58</v>
      </c>
      <c r="D1654" t="n">
        <v>2268.48</v>
      </c>
      <c r="E1654" t="n">
        <v>3044.69</v>
      </c>
      <c r="F1654" t="n">
        <v>3521.99</v>
      </c>
    </row>
    <row r="1655">
      <c r="A1655" s="3" t="n">
        <v>40875</v>
      </c>
      <c r="B1655" t="n">
        <v>3584.2</v>
      </c>
      <c r="C1655" t="n">
        <v>2589.61</v>
      </c>
      <c r="D1655" t="n">
        <v>2326.3</v>
      </c>
      <c r="E1655" t="n">
        <v>3100.81</v>
      </c>
      <c r="F1655" t="n">
        <v>3582.28</v>
      </c>
    </row>
    <row r="1656">
      <c r="A1656" s="3" t="n">
        <v>40876</v>
      </c>
      <c r="B1656" t="n">
        <v>3562.47</v>
      </c>
      <c r="C1656" t="n">
        <v>2578.81</v>
      </c>
      <c r="D1656" t="n">
        <v>2303.76</v>
      </c>
      <c r="E1656" t="n">
        <v>3086.45</v>
      </c>
      <c r="F1656" t="n">
        <v>3564.7</v>
      </c>
    </row>
    <row r="1657">
      <c r="A1657" s="3" t="n">
        <v>40877</v>
      </c>
      <c r="B1657" t="n">
        <v>3549.55</v>
      </c>
      <c r="C1657" t="n">
        <v>2574.23</v>
      </c>
      <c r="D1657" t="n">
        <v>2300.39</v>
      </c>
      <c r="E1657" t="n">
        <v>3105.7</v>
      </c>
      <c r="F1657" t="n">
        <v>3544.03</v>
      </c>
    </row>
    <row r="1658">
      <c r="A1658" s="3" t="n">
        <v>40878</v>
      </c>
      <c r="B1658" t="n">
        <v>3560.09</v>
      </c>
      <c r="C1658" t="n">
        <v>2608.82</v>
      </c>
      <c r="D1658" t="n">
        <v>2321.13</v>
      </c>
      <c r="E1658" t="n">
        <v>3132.99</v>
      </c>
      <c r="F1658" t="n">
        <v>3564.91</v>
      </c>
    </row>
    <row r="1659">
      <c r="A1659" s="3" t="n">
        <v>40879</v>
      </c>
      <c r="B1659" t="n">
        <v>3617.4</v>
      </c>
      <c r="C1659" t="n">
        <v>2650.18</v>
      </c>
      <c r="D1659" t="n">
        <v>2369.59</v>
      </c>
      <c r="E1659" t="n">
        <v>3184.62</v>
      </c>
      <c r="F1659" t="n">
        <v>3639.6</v>
      </c>
    </row>
    <row r="1660">
      <c r="A1660" s="3" t="n">
        <v>40882</v>
      </c>
      <c r="B1660" t="n">
        <v>3611.72</v>
      </c>
      <c r="C1660" t="n">
        <v>2654.41</v>
      </c>
      <c r="D1660" t="n">
        <v>2369.48</v>
      </c>
      <c r="E1660" t="n">
        <v>3181.69</v>
      </c>
      <c r="F1660" t="n">
        <v>3637.27</v>
      </c>
    </row>
    <row r="1661">
      <c r="A1661" s="3" t="n">
        <v>40884</v>
      </c>
      <c r="B1661" t="n">
        <v>3567.85</v>
      </c>
      <c r="C1661" t="n">
        <v>2656.42</v>
      </c>
      <c r="D1661" t="n">
        <v>2378.7</v>
      </c>
      <c r="E1661" t="n">
        <v>3188.02</v>
      </c>
      <c r="F1661" t="n">
        <v>3633.22</v>
      </c>
    </row>
    <row r="1662">
      <c r="A1662" s="3" t="n">
        <v>40885</v>
      </c>
      <c r="B1662" t="n">
        <v>3503.69</v>
      </c>
      <c r="C1662" t="n">
        <v>2619.23</v>
      </c>
      <c r="D1662" t="n">
        <v>2324.53</v>
      </c>
      <c r="E1662" t="n">
        <v>3141.72</v>
      </c>
      <c r="F1662" t="n">
        <v>3566.72</v>
      </c>
    </row>
    <row r="1663">
      <c r="A1663" s="3" t="n">
        <v>40886</v>
      </c>
      <c r="B1663" t="n">
        <v>3460.88</v>
      </c>
      <c r="C1663" t="n">
        <v>2588.7</v>
      </c>
      <c r="D1663" t="n">
        <v>2318.17</v>
      </c>
      <c r="E1663" t="n">
        <v>3103.45</v>
      </c>
      <c r="F1663" t="n">
        <v>3519.75</v>
      </c>
    </row>
    <row r="1664">
      <c r="A1664" s="3" t="n">
        <v>40889</v>
      </c>
      <c r="B1664" t="n">
        <v>3383.85</v>
      </c>
      <c r="C1664" t="n">
        <v>2560.34</v>
      </c>
      <c r="D1664" t="n">
        <v>2270.69</v>
      </c>
      <c r="E1664" t="n">
        <v>3058.4</v>
      </c>
      <c r="F1664" t="n">
        <v>3440.68</v>
      </c>
    </row>
    <row r="1665">
      <c r="A1665" s="3" t="n">
        <v>40890</v>
      </c>
      <c r="B1665" t="n">
        <v>3384.41</v>
      </c>
      <c r="C1665" t="n">
        <v>2560.95</v>
      </c>
      <c r="D1665" t="n">
        <v>2276.7</v>
      </c>
      <c r="E1665" t="n">
        <v>3078.3</v>
      </c>
      <c r="F1665" t="n">
        <v>3445.22</v>
      </c>
    </row>
    <row r="1666">
      <c r="A1666" s="3" t="n">
        <v>40891</v>
      </c>
      <c r="B1666" t="n">
        <v>3361.38</v>
      </c>
      <c r="C1666" t="n">
        <v>2547.36</v>
      </c>
      <c r="D1666" t="n">
        <v>2247.53</v>
      </c>
      <c r="E1666" t="n">
        <v>3059.53</v>
      </c>
      <c r="F1666" t="n">
        <v>3411.53</v>
      </c>
    </row>
    <row r="1667">
      <c r="A1667" s="3" t="n">
        <v>40892</v>
      </c>
      <c r="B1667" t="n">
        <v>3352.72</v>
      </c>
      <c r="C1667" t="n">
        <v>2527.98</v>
      </c>
      <c r="D1667" t="n">
        <v>2229.63</v>
      </c>
      <c r="E1667" t="n">
        <v>3059.49</v>
      </c>
      <c r="F1667" t="n">
        <v>3391.07</v>
      </c>
    </row>
    <row r="1668">
      <c r="A1668" s="3" t="n">
        <v>40893</v>
      </c>
      <c r="B1668" t="n">
        <v>3294.38</v>
      </c>
      <c r="C1668" t="n">
        <v>2493.69</v>
      </c>
      <c r="D1668" t="n">
        <v>2166.37</v>
      </c>
      <c r="E1668" t="n">
        <v>3019.8</v>
      </c>
      <c r="F1668" t="n">
        <v>3299.97</v>
      </c>
    </row>
    <row r="1669">
      <c r="A1669" s="3" t="n">
        <v>40896</v>
      </c>
      <c r="B1669" t="n">
        <v>3254</v>
      </c>
      <c r="C1669" t="n">
        <v>2463.25</v>
      </c>
      <c r="D1669" t="n">
        <v>2118.69</v>
      </c>
      <c r="E1669" t="n">
        <v>2997.15</v>
      </c>
      <c r="F1669" t="n">
        <v>3235.46</v>
      </c>
    </row>
    <row r="1670">
      <c r="A1670" s="3" t="n">
        <v>40897</v>
      </c>
      <c r="B1670" t="n">
        <v>3197.69</v>
      </c>
      <c r="C1670" t="n">
        <v>2418</v>
      </c>
      <c r="D1670" t="n">
        <v>2060.86</v>
      </c>
      <c r="E1670" t="n">
        <v>2964.63</v>
      </c>
      <c r="F1670" t="n">
        <v>3181.41</v>
      </c>
    </row>
    <row r="1671">
      <c r="A1671" s="3" t="n">
        <v>40898</v>
      </c>
      <c r="B1671" t="n">
        <v>3254.56</v>
      </c>
      <c r="C1671" t="n">
        <v>2463.77</v>
      </c>
      <c r="D1671" t="n">
        <v>2099.91</v>
      </c>
      <c r="E1671" t="n">
        <v>3031.29</v>
      </c>
      <c r="F1671" t="n">
        <v>3240.98</v>
      </c>
    </row>
    <row r="1672">
      <c r="A1672" s="3" t="n">
        <v>40899</v>
      </c>
      <c r="B1672" t="n">
        <v>3277.89</v>
      </c>
      <c r="C1672" t="n">
        <v>2482.27</v>
      </c>
      <c r="D1672" t="n">
        <v>2125.22</v>
      </c>
      <c r="E1672" t="n">
        <v>3057.29</v>
      </c>
      <c r="F1672" t="n">
        <v>3288.55</v>
      </c>
    </row>
    <row r="1673">
      <c r="A1673" s="3" t="n">
        <v>40900</v>
      </c>
      <c r="B1673" t="n">
        <v>3251.25</v>
      </c>
      <c r="C1673" t="n">
        <v>2492.5</v>
      </c>
      <c r="D1673" t="n">
        <v>2102.25</v>
      </c>
      <c r="E1673" t="n">
        <v>3055.07</v>
      </c>
      <c r="F1673" t="n">
        <v>3259.42</v>
      </c>
    </row>
    <row r="1674">
      <c r="A1674" s="3" t="n">
        <v>40903</v>
      </c>
      <c r="B1674" t="n">
        <v>3290.17</v>
      </c>
      <c r="C1674" t="n">
        <v>2514.66</v>
      </c>
      <c r="D1674" t="n">
        <v>2113.67</v>
      </c>
      <c r="E1674" t="n">
        <v>3075.04</v>
      </c>
      <c r="F1674" t="n">
        <v>3294.38</v>
      </c>
    </row>
    <row r="1675">
      <c r="A1675" s="3" t="n">
        <v>40904</v>
      </c>
      <c r="B1675" t="n">
        <v>3280.61</v>
      </c>
      <c r="C1675" t="n">
        <v>2502.04</v>
      </c>
      <c r="D1675" t="n">
        <v>2097.15</v>
      </c>
      <c r="E1675" t="n">
        <v>3063.6</v>
      </c>
      <c r="F1675" t="n">
        <v>3249.19</v>
      </c>
    </row>
    <row r="1676">
      <c r="A1676" s="3" t="n">
        <v>40905</v>
      </c>
      <c r="B1676" t="n">
        <v>3253.85</v>
      </c>
      <c r="C1676" t="n">
        <v>2479.66</v>
      </c>
      <c r="D1676" t="n">
        <v>2063.77</v>
      </c>
      <c r="E1676" t="n">
        <v>3052.55</v>
      </c>
      <c r="F1676" t="n">
        <v>3196.09</v>
      </c>
    </row>
    <row r="1677">
      <c r="A1677" s="3" t="n">
        <v>40906</v>
      </c>
      <c r="B1677" t="n">
        <v>3244.11</v>
      </c>
      <c r="C1677" t="n">
        <v>2475.44</v>
      </c>
      <c r="D1677" t="n">
        <v>2032.04</v>
      </c>
      <c r="E1677" t="n">
        <v>3022.44</v>
      </c>
      <c r="F1677" t="n">
        <v>3192.69</v>
      </c>
    </row>
    <row r="1678">
      <c r="A1678" s="3" t="n">
        <v>40907</v>
      </c>
      <c r="B1678" t="n">
        <v>3243.66</v>
      </c>
      <c r="C1678" t="n">
        <v>2476.55</v>
      </c>
      <c r="D1678" t="n">
        <v>2029.54</v>
      </c>
      <c r="E1678" t="n">
        <v>3017.53</v>
      </c>
      <c r="F1678" t="n">
        <v>3180.22</v>
      </c>
    </row>
    <row r="1679">
      <c r="A1679" s="3" t="n">
        <v>40910</v>
      </c>
      <c r="B1679" t="n">
        <v>3218.66</v>
      </c>
      <c r="C1679" t="n">
        <v>2473.68</v>
      </c>
      <c r="D1679" t="n">
        <v>2045.66</v>
      </c>
      <c r="E1679" t="n">
        <v>3007.79</v>
      </c>
      <c r="F1679" t="n">
        <v>3179.17</v>
      </c>
    </row>
    <row r="1680">
      <c r="A1680" s="3" t="n">
        <v>40911</v>
      </c>
      <c r="B1680" t="n">
        <v>3277.17</v>
      </c>
      <c r="C1680" t="n">
        <v>2533.41</v>
      </c>
      <c r="D1680" t="n">
        <v>2114.62</v>
      </c>
      <c r="E1680" t="n">
        <v>3074.46</v>
      </c>
      <c r="F1680" t="n">
        <v>3260.99</v>
      </c>
    </row>
    <row r="1681">
      <c r="A1681" s="3" t="n">
        <v>40912</v>
      </c>
      <c r="B1681" t="n">
        <v>3261.42</v>
      </c>
      <c r="C1681" t="n">
        <v>2536.14</v>
      </c>
      <c r="D1681" t="n">
        <v>2114.28</v>
      </c>
      <c r="E1681" t="n">
        <v>3062.14</v>
      </c>
      <c r="F1681" t="n">
        <v>3261.51</v>
      </c>
    </row>
    <row r="1682">
      <c r="A1682" s="3" t="n">
        <v>40913</v>
      </c>
      <c r="B1682" t="n">
        <v>3274.04</v>
      </c>
      <c r="C1682" t="n">
        <v>2541.97</v>
      </c>
      <c r="D1682" t="n">
        <v>2115.53</v>
      </c>
      <c r="E1682" t="n">
        <v>3058.09</v>
      </c>
      <c r="F1682" t="n">
        <v>3276.84</v>
      </c>
    </row>
    <row r="1683">
      <c r="A1683" s="3" t="n">
        <v>40914</v>
      </c>
      <c r="B1683" t="n">
        <v>3253.23</v>
      </c>
      <c r="C1683" t="n">
        <v>2522.21</v>
      </c>
      <c r="D1683" t="n">
        <v>2134.77</v>
      </c>
      <c r="E1683" t="n">
        <v>3058.53</v>
      </c>
      <c r="F1683" t="n">
        <v>3273.76</v>
      </c>
    </row>
    <row r="1684">
      <c r="A1684" s="3" t="n">
        <v>40915</v>
      </c>
      <c r="B1684" t="n">
        <v>3267.63</v>
      </c>
      <c r="C1684" t="n">
        <v>2529.71</v>
      </c>
      <c r="D1684" t="n">
        <v>2149.25</v>
      </c>
      <c r="E1684" t="n">
        <v>3059.72</v>
      </c>
      <c r="F1684" t="n">
        <v>3283.1</v>
      </c>
    </row>
    <row r="1685">
      <c r="A1685" s="3" t="n">
        <v>40917</v>
      </c>
      <c r="B1685" t="n">
        <v>3262.38</v>
      </c>
      <c r="C1685" t="n">
        <v>2538.04</v>
      </c>
      <c r="D1685" t="n">
        <v>2172.21</v>
      </c>
      <c r="E1685" t="n">
        <v>3069.6</v>
      </c>
      <c r="F1685" t="n">
        <v>3294.36</v>
      </c>
    </row>
    <row r="1686">
      <c r="A1686" s="3" t="n">
        <v>40918</v>
      </c>
      <c r="B1686" t="n">
        <v>3311.31</v>
      </c>
      <c r="C1686" t="n">
        <v>2575.09</v>
      </c>
      <c r="D1686" t="n">
        <v>2238.41</v>
      </c>
      <c r="E1686" t="n">
        <v>3110.18</v>
      </c>
      <c r="F1686" t="n">
        <v>3360.51</v>
      </c>
    </row>
    <row r="1687">
      <c r="A1687" s="3" t="n">
        <v>40919</v>
      </c>
      <c r="B1687" t="n">
        <v>3328.39</v>
      </c>
      <c r="C1687" t="n">
        <v>2584.33</v>
      </c>
      <c r="D1687" t="n">
        <v>2269.22</v>
      </c>
      <c r="E1687" t="n">
        <v>3109.84</v>
      </c>
      <c r="F1687" t="n">
        <v>3374.02</v>
      </c>
    </row>
    <row r="1688">
      <c r="A1688" s="3" t="n">
        <v>40920</v>
      </c>
      <c r="B1688" t="n">
        <v>3330.57</v>
      </c>
      <c r="C1688" t="n">
        <v>2570.85</v>
      </c>
      <c r="D1688" t="n">
        <v>2289.74</v>
      </c>
      <c r="E1688" t="n">
        <v>3099.92</v>
      </c>
      <c r="F1688" t="n">
        <v>3387.06</v>
      </c>
    </row>
    <row r="1689">
      <c r="A1689" s="3" t="n">
        <v>40921</v>
      </c>
      <c r="B1689" t="n">
        <v>3334.21</v>
      </c>
      <c r="C1689" t="n">
        <v>2578.51</v>
      </c>
      <c r="D1689" t="n">
        <v>2325.77</v>
      </c>
      <c r="E1689" t="n">
        <v>3116.96</v>
      </c>
      <c r="F1689" t="n">
        <v>3397.03</v>
      </c>
    </row>
    <row r="1690">
      <c r="A1690" s="3" t="n">
        <v>40924</v>
      </c>
      <c r="B1690" t="n">
        <v>3339.75</v>
      </c>
      <c r="C1690" t="n">
        <v>2596.76</v>
      </c>
      <c r="D1690" t="n">
        <v>2316.36</v>
      </c>
      <c r="E1690" t="n">
        <v>3110.32</v>
      </c>
      <c r="F1690" t="n">
        <v>3414.95</v>
      </c>
    </row>
    <row r="1691">
      <c r="A1691" s="3" t="n">
        <v>40925</v>
      </c>
      <c r="B1691" t="n">
        <v>3390.02</v>
      </c>
      <c r="C1691" t="n">
        <v>2629.98</v>
      </c>
      <c r="D1691" t="n">
        <v>2351.08</v>
      </c>
      <c r="E1691" t="n">
        <v>3167.51</v>
      </c>
      <c r="F1691" t="n">
        <v>3456.72</v>
      </c>
    </row>
    <row r="1692">
      <c r="A1692" s="3" t="n">
        <v>40926</v>
      </c>
      <c r="B1692" t="n">
        <v>3369.24</v>
      </c>
      <c r="C1692" t="n">
        <v>2599.74</v>
      </c>
      <c r="D1692" t="n">
        <v>2325.29</v>
      </c>
      <c r="E1692" t="n">
        <v>3156.72</v>
      </c>
      <c r="F1692" t="n">
        <v>3408.17</v>
      </c>
    </row>
    <row r="1693">
      <c r="A1693" s="3" t="n">
        <v>40927</v>
      </c>
      <c r="B1693" t="n">
        <v>3396.33</v>
      </c>
      <c r="C1693" t="n">
        <v>2613.45</v>
      </c>
      <c r="D1693" t="n">
        <v>2357.64</v>
      </c>
      <c r="E1693" t="n">
        <v>3185.42</v>
      </c>
      <c r="F1693" t="n">
        <v>3432.9</v>
      </c>
    </row>
    <row r="1694">
      <c r="A1694" s="3" t="n">
        <v>40928</v>
      </c>
      <c r="B1694" t="n">
        <v>3404.02</v>
      </c>
      <c r="C1694" t="n">
        <v>2630.46</v>
      </c>
      <c r="D1694" t="n">
        <v>2390.37</v>
      </c>
      <c r="E1694" t="n">
        <v>3199.32</v>
      </c>
      <c r="F1694" t="n">
        <v>3416.74</v>
      </c>
    </row>
    <row r="1695">
      <c r="A1695" s="3" t="n">
        <v>40931</v>
      </c>
      <c r="B1695" t="n">
        <v>3416.45</v>
      </c>
      <c r="C1695" t="n">
        <v>2637.43</v>
      </c>
      <c r="D1695" t="n">
        <v>2397.83</v>
      </c>
      <c r="E1695" t="n">
        <v>3212.86</v>
      </c>
      <c r="F1695" t="n">
        <v>3431.28</v>
      </c>
    </row>
    <row r="1696">
      <c r="A1696" s="3" t="n">
        <v>40932</v>
      </c>
      <c r="B1696" t="n">
        <v>3462.15</v>
      </c>
      <c r="C1696" t="n">
        <v>2661.27</v>
      </c>
      <c r="D1696" t="n">
        <v>2457.26</v>
      </c>
      <c r="E1696" t="n">
        <v>3232.82</v>
      </c>
      <c r="F1696" t="n">
        <v>3487.77</v>
      </c>
    </row>
    <row r="1697">
      <c r="A1697" s="3" t="n">
        <v>40933</v>
      </c>
      <c r="B1697" t="n">
        <v>3500.14</v>
      </c>
      <c r="C1697" t="n">
        <v>2690.21</v>
      </c>
      <c r="D1697" t="n">
        <v>2511.43</v>
      </c>
      <c r="E1697" t="n">
        <v>3236.76</v>
      </c>
      <c r="F1697" t="n">
        <v>3545.76</v>
      </c>
    </row>
    <row r="1698">
      <c r="A1698" s="3" t="n">
        <v>40935</v>
      </c>
      <c r="B1698" t="n">
        <v>3521.94</v>
      </c>
      <c r="C1698" t="n">
        <v>2701.73</v>
      </c>
      <c r="D1698" t="n">
        <v>2517.96</v>
      </c>
      <c r="E1698" t="n">
        <v>3251.6</v>
      </c>
      <c r="F1698" t="n">
        <v>3574.97</v>
      </c>
    </row>
    <row r="1699">
      <c r="A1699" s="3" t="n">
        <v>40938</v>
      </c>
      <c r="B1699" t="n">
        <v>3478.83</v>
      </c>
      <c r="C1699" t="n">
        <v>2659.81</v>
      </c>
      <c r="D1699" t="n">
        <v>2452.77</v>
      </c>
      <c r="E1699" t="n">
        <v>3200.9</v>
      </c>
      <c r="F1699" t="n">
        <v>3520.51</v>
      </c>
    </row>
    <row r="1700">
      <c r="A1700" s="3" t="n">
        <v>40939</v>
      </c>
      <c r="B1700" t="n">
        <v>3547.07</v>
      </c>
      <c r="C1700" t="n">
        <v>2702.84</v>
      </c>
      <c r="D1700" t="n">
        <v>2519.6</v>
      </c>
      <c r="E1700" t="n">
        <v>3240.49</v>
      </c>
      <c r="F1700" t="n">
        <v>3617.1</v>
      </c>
    </row>
    <row r="1701">
      <c r="A1701" s="3" t="n">
        <v>40940</v>
      </c>
      <c r="B1701" t="n">
        <v>3552.19</v>
      </c>
      <c r="C1701" t="n">
        <v>2731.22</v>
      </c>
      <c r="D1701" t="n">
        <v>2546.31</v>
      </c>
      <c r="E1701" t="n">
        <v>3266.61</v>
      </c>
      <c r="F1701" t="n">
        <v>3640.64</v>
      </c>
    </row>
    <row r="1702">
      <c r="A1702" s="3" t="n">
        <v>40941</v>
      </c>
      <c r="B1702" t="n">
        <v>3590.96</v>
      </c>
      <c r="C1702" t="n">
        <v>2759.12</v>
      </c>
      <c r="D1702" t="n">
        <v>2564.51</v>
      </c>
      <c r="E1702" t="n">
        <v>3283.21</v>
      </c>
      <c r="F1702" t="n">
        <v>3677.81</v>
      </c>
    </row>
    <row r="1703">
      <c r="A1703" s="3" t="n">
        <v>40942</v>
      </c>
      <c r="B1703" t="n">
        <v>3620.74</v>
      </c>
      <c r="C1703" t="n">
        <v>2779.29</v>
      </c>
      <c r="D1703" t="n">
        <v>2601.39</v>
      </c>
      <c r="E1703" t="n">
        <v>3324.02</v>
      </c>
      <c r="F1703" t="n">
        <v>3722.24</v>
      </c>
    </row>
    <row r="1704">
      <c r="A1704" s="3" t="n">
        <v>40945</v>
      </c>
      <c r="B1704" t="n">
        <v>3652.52</v>
      </c>
      <c r="C1704" t="n">
        <v>2804.27</v>
      </c>
      <c r="D1704" t="n">
        <v>2625.19</v>
      </c>
      <c r="E1704" t="n">
        <v>3350.4</v>
      </c>
      <c r="F1704" t="n">
        <v>3733.18</v>
      </c>
    </row>
    <row r="1705">
      <c r="A1705" s="3" t="n">
        <v>40946</v>
      </c>
      <c r="B1705" t="n">
        <v>3623.66</v>
      </c>
      <c r="C1705" t="n">
        <v>2790.44</v>
      </c>
      <c r="D1705" t="n">
        <v>2612.79</v>
      </c>
      <c r="E1705" t="n">
        <v>3340.25</v>
      </c>
      <c r="F1705" t="n">
        <v>3674.08</v>
      </c>
    </row>
    <row r="1706">
      <c r="A1706" s="3" t="n">
        <v>40947</v>
      </c>
      <c r="B1706" t="n">
        <v>3655.58</v>
      </c>
      <c r="C1706" t="n">
        <v>2818.33</v>
      </c>
      <c r="D1706" t="n">
        <v>2641.74</v>
      </c>
      <c r="E1706" t="n">
        <v>3371.32</v>
      </c>
      <c r="F1706" t="n">
        <v>3722.86</v>
      </c>
    </row>
    <row r="1707">
      <c r="A1707" s="3" t="n">
        <v>40948</v>
      </c>
      <c r="B1707" t="n">
        <v>3685.96</v>
      </c>
      <c r="C1707" t="n">
        <v>2832.86</v>
      </c>
      <c r="D1707" t="n">
        <v>2686.69</v>
      </c>
      <c r="E1707" t="n">
        <v>3393.86</v>
      </c>
      <c r="F1707" t="n">
        <v>3773.47</v>
      </c>
    </row>
    <row r="1708">
      <c r="A1708" s="3" t="n">
        <v>40949</v>
      </c>
      <c r="B1708" t="n">
        <v>3687.74</v>
      </c>
      <c r="C1708" t="n">
        <v>2838.59</v>
      </c>
      <c r="D1708" t="n">
        <v>2687.71</v>
      </c>
      <c r="E1708" t="n">
        <v>3384.92</v>
      </c>
      <c r="F1708" t="n">
        <v>3789.83</v>
      </c>
    </row>
    <row r="1709">
      <c r="A1709" s="3" t="n">
        <v>40952</v>
      </c>
      <c r="B1709" t="n">
        <v>3710.03</v>
      </c>
      <c r="C1709" t="n">
        <v>2845.61</v>
      </c>
      <c r="D1709" t="n">
        <v>2696.97</v>
      </c>
      <c r="E1709" t="n">
        <v>3384.7</v>
      </c>
      <c r="F1709" t="n">
        <v>3821.29</v>
      </c>
    </row>
    <row r="1710">
      <c r="A1710" s="3" t="n">
        <v>40953</v>
      </c>
      <c r="B1710" t="n">
        <v>3726.8</v>
      </c>
      <c r="C1710" t="n">
        <v>2868.22</v>
      </c>
      <c r="D1710" t="n">
        <v>2749.4</v>
      </c>
      <c r="E1710" t="n">
        <v>3379.09</v>
      </c>
      <c r="F1710" t="n">
        <v>3842.77</v>
      </c>
    </row>
    <row r="1711">
      <c r="A1711" s="3" t="n">
        <v>40954</v>
      </c>
      <c r="B1711" t="n">
        <v>3776.46</v>
      </c>
      <c r="C1711" t="n">
        <v>2923.12</v>
      </c>
      <c r="D1711" t="n">
        <v>2806.03</v>
      </c>
      <c r="E1711" t="n">
        <v>3421.66</v>
      </c>
      <c r="F1711" t="n">
        <v>3913.18</v>
      </c>
    </row>
    <row r="1712">
      <c r="A1712" s="3" t="n">
        <v>40955</v>
      </c>
      <c r="B1712" t="n">
        <v>3790.62</v>
      </c>
      <c r="C1712" t="n">
        <v>2935.24</v>
      </c>
      <c r="D1712" t="n">
        <v>2821.86</v>
      </c>
      <c r="E1712" t="n">
        <v>3435.56</v>
      </c>
      <c r="F1712" t="n">
        <v>3901.66</v>
      </c>
    </row>
    <row r="1713">
      <c r="A1713" s="3" t="n">
        <v>40956</v>
      </c>
      <c r="B1713" t="n">
        <v>3790.64</v>
      </c>
      <c r="C1713" t="n">
        <v>2948.1</v>
      </c>
      <c r="D1713" t="n">
        <v>2837.02</v>
      </c>
      <c r="E1713" t="n">
        <v>3460.22</v>
      </c>
      <c r="F1713" t="n">
        <v>3912.22</v>
      </c>
    </row>
    <row r="1714">
      <c r="A1714" s="3" t="n">
        <v>40960</v>
      </c>
      <c r="B1714" t="n">
        <v>3815.28</v>
      </c>
      <c r="C1714" t="n">
        <v>2959.94</v>
      </c>
      <c r="D1714" t="n">
        <v>2866.4</v>
      </c>
      <c r="E1714" t="n">
        <v>3471.14</v>
      </c>
      <c r="F1714" t="n">
        <v>3940.12</v>
      </c>
    </row>
    <row r="1715">
      <c r="A1715" s="3" t="n">
        <v>40961</v>
      </c>
      <c r="B1715" t="n">
        <v>3724.52</v>
      </c>
      <c r="C1715" t="n">
        <v>2906.36</v>
      </c>
      <c r="D1715" t="n">
        <v>2749.84</v>
      </c>
      <c r="E1715" t="n">
        <v>3432.71</v>
      </c>
      <c r="F1715" t="n">
        <v>3828.86</v>
      </c>
    </row>
    <row r="1716">
      <c r="A1716" s="3" t="n">
        <v>40962</v>
      </c>
      <c r="B1716" t="n">
        <v>3716.27</v>
      </c>
      <c r="C1716" t="n">
        <v>2899.56</v>
      </c>
      <c r="D1716" t="n">
        <v>2736.03</v>
      </c>
      <c r="E1716" t="n">
        <v>3428.72</v>
      </c>
      <c r="F1716" t="n">
        <v>3822.31</v>
      </c>
    </row>
    <row r="1717">
      <c r="A1717" s="3" t="n">
        <v>40963</v>
      </c>
      <c r="B1717" t="n">
        <v>3705.45</v>
      </c>
      <c r="C1717" t="n">
        <v>2892.37</v>
      </c>
      <c r="D1717" t="n">
        <v>2697.78</v>
      </c>
      <c r="E1717" t="n">
        <v>3412.69</v>
      </c>
      <c r="F1717" t="n">
        <v>3809.89</v>
      </c>
    </row>
    <row r="1718">
      <c r="A1718" s="3" t="n">
        <v>40966</v>
      </c>
      <c r="B1718" t="n">
        <v>3643.57</v>
      </c>
      <c r="C1718" t="n">
        <v>2816.36</v>
      </c>
      <c r="D1718" t="n">
        <v>2595.14</v>
      </c>
      <c r="E1718" t="n">
        <v>3356.32</v>
      </c>
      <c r="F1718" t="n">
        <v>3748.26</v>
      </c>
    </row>
    <row r="1719">
      <c r="A1719" s="3" t="n">
        <v>40967</v>
      </c>
      <c r="B1719" t="n">
        <v>3735.05</v>
      </c>
      <c r="C1719" t="n">
        <v>2870.32</v>
      </c>
      <c r="D1719" t="n">
        <v>2693.3</v>
      </c>
      <c r="E1719" t="n">
        <v>3403.7</v>
      </c>
      <c r="F1719" t="n">
        <v>3876.1</v>
      </c>
    </row>
    <row r="1720">
      <c r="A1720" s="3" t="n">
        <v>40968</v>
      </c>
      <c r="B1720" t="n">
        <v>3752.91</v>
      </c>
      <c r="C1720" t="n">
        <v>2874.51</v>
      </c>
      <c r="D1720" t="n">
        <v>2741.48</v>
      </c>
      <c r="E1720" t="n">
        <v>3417.61</v>
      </c>
      <c r="F1720" t="n">
        <v>3901.19</v>
      </c>
    </row>
    <row r="1721">
      <c r="A1721" s="3" t="n">
        <v>40969</v>
      </c>
      <c r="B1721" t="n">
        <v>3737.45</v>
      </c>
      <c r="C1721" t="n">
        <v>2859.26</v>
      </c>
      <c r="D1721" t="n">
        <v>2717.33</v>
      </c>
      <c r="E1721" t="n">
        <v>3412.4</v>
      </c>
      <c r="F1721" t="n">
        <v>3860.71</v>
      </c>
    </row>
    <row r="1722">
      <c r="A1722" s="3" t="n">
        <v>40970</v>
      </c>
      <c r="B1722" t="n">
        <v>3731.9</v>
      </c>
      <c r="C1722" t="n">
        <v>2862.87</v>
      </c>
      <c r="D1722" t="n">
        <v>2727.91</v>
      </c>
      <c r="E1722" t="n">
        <v>3408.65</v>
      </c>
      <c r="F1722" t="n">
        <v>3846.64</v>
      </c>
    </row>
    <row r="1723">
      <c r="A1723" s="3" t="n">
        <v>40971</v>
      </c>
      <c r="B1723" t="n">
        <v>3733.12</v>
      </c>
      <c r="C1723" t="n">
        <v>2862.28</v>
      </c>
      <c r="D1723" t="n">
        <v>2736.14</v>
      </c>
      <c r="E1723" t="n">
        <v>3403.71</v>
      </c>
      <c r="F1723" t="n">
        <v>3848.45</v>
      </c>
    </row>
    <row r="1724">
      <c r="A1724" s="3" t="n">
        <v>40973</v>
      </c>
      <c r="B1724" t="n">
        <v>3706.41</v>
      </c>
      <c r="C1724" t="n">
        <v>2842.37</v>
      </c>
      <c r="D1724" t="n">
        <v>2703.91</v>
      </c>
      <c r="E1724" t="n">
        <v>3370.06</v>
      </c>
      <c r="F1724" t="n">
        <v>3794.73</v>
      </c>
    </row>
    <row r="1725">
      <c r="A1725" s="3" t="n">
        <v>40974</v>
      </c>
      <c r="B1725" t="n">
        <v>3686.88</v>
      </c>
      <c r="C1725" t="n">
        <v>2828.17</v>
      </c>
      <c r="D1725" t="n">
        <v>2656.87</v>
      </c>
      <c r="E1725" t="n">
        <v>3354.36</v>
      </c>
      <c r="F1725" t="n">
        <v>3751.99</v>
      </c>
    </row>
    <row r="1726">
      <c r="A1726" s="3" t="n">
        <v>40975</v>
      </c>
      <c r="B1726" t="n">
        <v>3686.31</v>
      </c>
      <c r="C1726" t="n">
        <v>2832.61</v>
      </c>
      <c r="D1726" t="n">
        <v>2656.82</v>
      </c>
      <c r="E1726" t="n">
        <v>3348.07</v>
      </c>
      <c r="F1726" t="n">
        <v>3770.53</v>
      </c>
    </row>
    <row r="1727">
      <c r="A1727" s="3" t="n">
        <v>40977</v>
      </c>
      <c r="B1727" t="n">
        <v>3751.03</v>
      </c>
      <c r="C1727" t="n">
        <v>2884.78</v>
      </c>
      <c r="D1727" t="n">
        <v>2738.15</v>
      </c>
      <c r="E1727" t="n">
        <v>3390.21</v>
      </c>
      <c r="F1727" t="n">
        <v>3848.86</v>
      </c>
    </row>
    <row r="1728">
      <c r="A1728" s="3" t="n">
        <v>40980</v>
      </c>
      <c r="B1728" t="n">
        <v>3787.55</v>
      </c>
      <c r="C1728" t="n">
        <v>2905.94</v>
      </c>
      <c r="D1728" t="n">
        <v>2768.9</v>
      </c>
      <c r="E1728" t="n">
        <v>3402.56</v>
      </c>
      <c r="F1728" t="n">
        <v>3891.87</v>
      </c>
    </row>
    <row r="1729">
      <c r="A1729" s="3" t="n">
        <v>40981</v>
      </c>
      <c r="B1729" t="n">
        <v>3817.78</v>
      </c>
      <c r="C1729" t="n">
        <v>2932.51</v>
      </c>
      <c r="D1729" t="n">
        <v>2796.71</v>
      </c>
      <c r="E1729" t="n">
        <v>3434.68</v>
      </c>
      <c r="F1729" t="n">
        <v>3952.11</v>
      </c>
    </row>
    <row r="1730">
      <c r="A1730" s="3" t="n">
        <v>40982</v>
      </c>
      <c r="B1730" t="n">
        <v>3828.76</v>
      </c>
      <c r="C1730" t="n">
        <v>2941.06</v>
      </c>
      <c r="D1730" t="n">
        <v>2810.65</v>
      </c>
      <c r="E1730" t="n">
        <v>3458.17</v>
      </c>
      <c r="F1730" t="n">
        <v>3945.33</v>
      </c>
    </row>
    <row r="1731">
      <c r="A1731" s="3" t="n">
        <v>40983</v>
      </c>
      <c r="B1731" t="n">
        <v>3784</v>
      </c>
      <c r="C1731" t="n">
        <v>2921.11</v>
      </c>
      <c r="D1731" t="n">
        <v>2725.16</v>
      </c>
      <c r="E1731" t="n">
        <v>3429.48</v>
      </c>
      <c r="F1731" t="n">
        <v>3888.09</v>
      </c>
    </row>
    <row r="1732">
      <c r="A1732" s="3" t="n">
        <v>40984</v>
      </c>
      <c r="B1732" t="n">
        <v>3782.16</v>
      </c>
      <c r="C1732" t="n">
        <v>2900.81</v>
      </c>
      <c r="D1732" t="n">
        <v>2685.6</v>
      </c>
      <c r="E1732" t="n">
        <v>3377.74</v>
      </c>
      <c r="F1732" t="n">
        <v>3868.73</v>
      </c>
    </row>
    <row r="1733">
      <c r="A1733" s="3" t="n">
        <v>40987</v>
      </c>
      <c r="B1733" t="n">
        <v>3762.06</v>
      </c>
      <c r="C1733" t="n">
        <v>2882.31</v>
      </c>
      <c r="D1733" t="n">
        <v>2641.27</v>
      </c>
      <c r="E1733" t="n">
        <v>3353.3</v>
      </c>
      <c r="F1733" t="n">
        <v>3830.22</v>
      </c>
    </row>
    <row r="1734">
      <c r="A1734" s="3" t="n">
        <v>40988</v>
      </c>
      <c r="B1734" t="n">
        <v>3789.44</v>
      </c>
      <c r="C1734" t="n">
        <v>2892.37</v>
      </c>
      <c r="D1734" t="n">
        <v>2666.78</v>
      </c>
      <c r="E1734" t="n">
        <v>3372.13</v>
      </c>
      <c r="F1734" t="n">
        <v>3878.87</v>
      </c>
    </row>
    <row r="1735">
      <c r="A1735" s="3" t="n">
        <v>40989</v>
      </c>
      <c r="B1735" t="n">
        <v>3852.16</v>
      </c>
      <c r="C1735" t="n">
        <v>2929.18</v>
      </c>
      <c r="D1735" t="n">
        <v>2724.7</v>
      </c>
      <c r="E1735" t="n">
        <v>3408.94</v>
      </c>
      <c r="F1735" t="n">
        <v>3980.43</v>
      </c>
    </row>
    <row r="1736">
      <c r="A1736" s="3" t="n">
        <v>40990</v>
      </c>
      <c r="B1736" t="n">
        <v>3788.17</v>
      </c>
      <c r="C1736" t="n">
        <v>2871.7</v>
      </c>
      <c r="D1736" t="n">
        <v>2647.35</v>
      </c>
      <c r="E1736" t="n">
        <v>3342.54</v>
      </c>
      <c r="F1736" t="n">
        <v>3883.33</v>
      </c>
    </row>
    <row r="1737">
      <c r="A1737" s="3" t="n">
        <v>40991</v>
      </c>
      <c r="B1737" t="n">
        <v>3828.57</v>
      </c>
      <c r="C1737" t="n">
        <v>2896.33</v>
      </c>
      <c r="D1737" t="n">
        <v>2668.4</v>
      </c>
      <c r="E1737" t="n">
        <v>3371.55</v>
      </c>
      <c r="F1737" t="n">
        <v>3922.97</v>
      </c>
    </row>
    <row r="1738">
      <c r="A1738" s="3" t="n">
        <v>40994</v>
      </c>
      <c r="B1738" t="n">
        <v>3793.98</v>
      </c>
      <c r="C1738" t="n">
        <v>2859.41</v>
      </c>
      <c r="D1738" t="n">
        <v>2610.63</v>
      </c>
      <c r="E1738" t="n">
        <v>3324.76</v>
      </c>
      <c r="F1738" t="n">
        <v>3879.55</v>
      </c>
    </row>
    <row r="1739">
      <c r="A1739" s="3" t="n">
        <v>40995</v>
      </c>
      <c r="B1739" t="n">
        <v>3810.89</v>
      </c>
      <c r="C1739" t="n">
        <v>2886.03</v>
      </c>
      <c r="D1739" t="n">
        <v>2617.22</v>
      </c>
      <c r="E1739" t="n">
        <v>3350.59</v>
      </c>
      <c r="F1739" t="n">
        <v>3878.22</v>
      </c>
    </row>
    <row r="1740">
      <c r="A1740" s="3" t="n">
        <v>40996</v>
      </c>
      <c r="B1740" t="n">
        <v>3775.65</v>
      </c>
      <c r="C1740" t="n">
        <v>2867.59</v>
      </c>
      <c r="D1740" t="n">
        <v>2580.18</v>
      </c>
      <c r="E1740" t="n">
        <v>3332.15</v>
      </c>
      <c r="F1740" t="n">
        <v>3829.9</v>
      </c>
    </row>
    <row r="1741">
      <c r="A1741" s="3" t="n">
        <v>40997</v>
      </c>
      <c r="B1741" t="n">
        <v>3787.45</v>
      </c>
      <c r="C1741" t="n">
        <v>2877.98</v>
      </c>
      <c r="D1741" t="n">
        <v>2577.82</v>
      </c>
      <c r="E1741" t="n">
        <v>3330.59</v>
      </c>
      <c r="F1741" t="n">
        <v>3838.54</v>
      </c>
    </row>
    <row r="1742">
      <c r="A1742" s="3" t="n">
        <v>40998</v>
      </c>
      <c r="B1742" t="n">
        <v>3869.45</v>
      </c>
      <c r="C1742" t="n">
        <v>2926.51</v>
      </c>
      <c r="D1742" t="n">
        <v>2661.6</v>
      </c>
      <c r="E1742" t="n">
        <v>3394.77</v>
      </c>
      <c r="F1742" t="n">
        <v>3941.61</v>
      </c>
    </row>
    <row r="1743">
      <c r="A1743" s="3" t="n">
        <v>41001</v>
      </c>
      <c r="B1743" t="n">
        <v>3917.55</v>
      </c>
      <c r="C1743" t="n">
        <v>2940.41</v>
      </c>
      <c r="D1743" t="n">
        <v>2678.14</v>
      </c>
      <c r="E1743" t="n">
        <v>3400.69</v>
      </c>
      <c r="F1743" t="n">
        <v>4004.21</v>
      </c>
    </row>
    <row r="1744">
      <c r="A1744" s="3" t="n">
        <v>41002</v>
      </c>
      <c r="B1744" t="n">
        <v>3945.56</v>
      </c>
      <c r="C1744" t="n">
        <v>2954.09</v>
      </c>
      <c r="D1744" t="n">
        <v>2704.06</v>
      </c>
      <c r="E1744" t="n">
        <v>3418.97</v>
      </c>
      <c r="F1744" t="n">
        <v>4030.62</v>
      </c>
    </row>
    <row r="1745">
      <c r="A1745" s="3" t="n">
        <v>41003</v>
      </c>
      <c r="B1745" t="n">
        <v>3944.28</v>
      </c>
      <c r="C1745" t="n">
        <v>2943.96</v>
      </c>
      <c r="D1745" t="n">
        <v>2698.87</v>
      </c>
      <c r="E1745" t="n">
        <v>3406.41</v>
      </c>
      <c r="F1745" t="n">
        <v>4038.43</v>
      </c>
    </row>
    <row r="1746">
      <c r="A1746" s="3" t="n">
        <v>41008</v>
      </c>
      <c r="B1746" t="n">
        <v>3896.75</v>
      </c>
      <c r="C1746" t="n">
        <v>2902.81</v>
      </c>
      <c r="D1746" t="n">
        <v>2647.25</v>
      </c>
      <c r="E1746" t="n">
        <v>3370.08</v>
      </c>
      <c r="F1746" t="n">
        <v>3983.12</v>
      </c>
    </row>
    <row r="1747">
      <c r="A1747" s="3" t="n">
        <v>41009</v>
      </c>
      <c r="B1747" t="n">
        <v>3879.09</v>
      </c>
      <c r="C1747" t="n">
        <v>2900.15</v>
      </c>
      <c r="D1747" t="n">
        <v>2656.28</v>
      </c>
      <c r="E1747" t="n">
        <v>3374.36</v>
      </c>
      <c r="F1747" t="n">
        <v>3975.3</v>
      </c>
    </row>
    <row r="1748">
      <c r="A1748" s="3" t="n">
        <v>41010</v>
      </c>
      <c r="B1748" t="n">
        <v>3869.93</v>
      </c>
      <c r="C1748" t="n">
        <v>2885.46</v>
      </c>
      <c r="D1748" t="n">
        <v>2640.42</v>
      </c>
      <c r="E1748" t="n">
        <v>3366.01</v>
      </c>
      <c r="F1748" t="n">
        <v>3957.89</v>
      </c>
    </row>
    <row r="1749">
      <c r="A1749" s="3" t="n">
        <v>41011</v>
      </c>
      <c r="B1749" t="n">
        <v>3892.02</v>
      </c>
      <c r="C1749" t="n">
        <v>2911.08</v>
      </c>
      <c r="D1749" t="n">
        <v>2687.8</v>
      </c>
      <c r="E1749" t="n">
        <v>3384.55</v>
      </c>
      <c r="F1749" t="n">
        <v>3973.69</v>
      </c>
    </row>
    <row r="1750">
      <c r="A1750" s="3" t="n">
        <v>41012</v>
      </c>
      <c r="B1750" t="n">
        <v>3898.08</v>
      </c>
      <c r="C1750" t="n">
        <v>2877.27</v>
      </c>
      <c r="D1750" t="n">
        <v>2649.44</v>
      </c>
      <c r="E1750" t="n">
        <v>3368.03</v>
      </c>
      <c r="F1750" t="n">
        <v>3962.83</v>
      </c>
    </row>
    <row r="1751">
      <c r="A1751" s="3" t="n">
        <v>41015</v>
      </c>
      <c r="B1751" t="n">
        <v>3930.7</v>
      </c>
      <c r="C1751" t="n">
        <v>2901.58</v>
      </c>
      <c r="D1751" t="n">
        <v>2657.33</v>
      </c>
      <c r="E1751" t="n">
        <v>3372.26</v>
      </c>
      <c r="F1751" t="n">
        <v>4009.52</v>
      </c>
    </row>
    <row r="1752">
      <c r="A1752" s="3" t="n">
        <v>41016</v>
      </c>
      <c r="B1752" t="n">
        <v>3949.6</v>
      </c>
      <c r="C1752" t="n">
        <v>2919.45</v>
      </c>
      <c r="D1752" t="n">
        <v>2682.73</v>
      </c>
      <c r="E1752" t="n">
        <v>3399.95</v>
      </c>
      <c r="F1752" t="n">
        <v>4035.26</v>
      </c>
    </row>
    <row r="1753">
      <c r="A1753" s="3" t="n">
        <v>41017</v>
      </c>
      <c r="B1753" t="n">
        <v>3963.37</v>
      </c>
      <c r="C1753" t="n">
        <v>2938.4</v>
      </c>
      <c r="D1753" t="n">
        <v>2684.79</v>
      </c>
      <c r="E1753" t="n">
        <v>3418.42</v>
      </c>
      <c r="F1753" t="n">
        <v>4051.89</v>
      </c>
    </row>
    <row r="1754">
      <c r="A1754" s="3" t="n">
        <v>41018</v>
      </c>
      <c r="B1754" t="n">
        <v>3968.06</v>
      </c>
      <c r="C1754" t="n">
        <v>2954.91</v>
      </c>
      <c r="D1754" t="n">
        <v>2678.42</v>
      </c>
      <c r="E1754" t="n">
        <v>3432.21</v>
      </c>
      <c r="F1754" t="n">
        <v>4067.12</v>
      </c>
    </row>
    <row r="1755">
      <c r="A1755" s="3" t="n">
        <v>41019</v>
      </c>
      <c r="B1755" t="n">
        <v>3944.27</v>
      </c>
      <c r="C1755" t="n">
        <v>2942.21</v>
      </c>
      <c r="D1755" t="n">
        <v>2655.33</v>
      </c>
      <c r="E1755" t="n">
        <v>3407.11</v>
      </c>
      <c r="F1755" t="n">
        <v>4029.18</v>
      </c>
    </row>
    <row r="1756">
      <c r="A1756" s="3" t="n">
        <v>41022</v>
      </c>
      <c r="B1756" t="n">
        <v>3892.86</v>
      </c>
      <c r="C1756" t="n">
        <v>2901.78</v>
      </c>
      <c r="D1756" t="n">
        <v>2591.03</v>
      </c>
      <c r="E1756" t="n">
        <v>3368.91</v>
      </c>
      <c r="F1756" t="n">
        <v>3966.83</v>
      </c>
    </row>
    <row r="1757">
      <c r="A1757" s="3" t="n">
        <v>41023</v>
      </c>
      <c r="B1757" t="n">
        <v>3885.28</v>
      </c>
      <c r="C1757" t="n">
        <v>2931.65</v>
      </c>
      <c r="D1757" t="n">
        <v>2593.35</v>
      </c>
      <c r="E1757" t="n">
        <v>3366.78</v>
      </c>
      <c r="F1757" t="n">
        <v>3970.96</v>
      </c>
    </row>
    <row r="1758">
      <c r="A1758" s="3" t="n">
        <v>41024</v>
      </c>
      <c r="B1758" t="n">
        <v>3879.11</v>
      </c>
      <c r="C1758" t="n">
        <v>2920.47</v>
      </c>
      <c r="D1758" t="n">
        <v>2566.47</v>
      </c>
      <c r="E1758" t="n">
        <v>3352.56</v>
      </c>
      <c r="F1758" t="n">
        <v>3979.12</v>
      </c>
    </row>
    <row r="1759">
      <c r="A1759" s="3" t="n">
        <v>41025</v>
      </c>
      <c r="B1759" t="n">
        <v>3855.15</v>
      </c>
      <c r="C1759" t="n">
        <v>2904.93</v>
      </c>
      <c r="D1759" t="n">
        <v>2531.35</v>
      </c>
      <c r="E1759" t="n">
        <v>3334.87</v>
      </c>
      <c r="F1759" t="n">
        <v>3968.8</v>
      </c>
    </row>
    <row r="1760">
      <c r="A1760" s="3" t="n">
        <v>41026</v>
      </c>
      <c r="B1760" t="n">
        <v>3861.68</v>
      </c>
      <c r="C1760" t="n">
        <v>2901.63</v>
      </c>
      <c r="D1760" t="n">
        <v>2522.15</v>
      </c>
      <c r="E1760" t="n">
        <v>3338.11</v>
      </c>
      <c r="F1760" t="n">
        <v>3995.04</v>
      </c>
    </row>
    <row r="1761">
      <c r="A1761" s="3" t="n">
        <v>41027</v>
      </c>
      <c r="B1761" t="n">
        <v>3864.77</v>
      </c>
      <c r="C1761" t="n">
        <v>2910.76</v>
      </c>
      <c r="D1761" t="n">
        <v>2543.5</v>
      </c>
      <c r="E1761" t="n">
        <v>3347.47</v>
      </c>
      <c r="F1761" t="n">
        <v>4000.66</v>
      </c>
    </row>
    <row r="1762">
      <c r="A1762" s="3" t="n">
        <v>41029</v>
      </c>
      <c r="B1762" t="n">
        <v>3898.3</v>
      </c>
      <c r="C1762" t="n">
        <v>2933.71</v>
      </c>
      <c r="D1762" t="n">
        <v>2564.55</v>
      </c>
      <c r="E1762" t="n">
        <v>3365.47</v>
      </c>
      <c r="F1762" t="n">
        <v>4030.24</v>
      </c>
    </row>
    <row r="1763">
      <c r="A1763" s="3" t="n">
        <v>41031</v>
      </c>
      <c r="B1763" t="n">
        <v>3887.09</v>
      </c>
      <c r="C1763" t="n">
        <v>2939.99</v>
      </c>
      <c r="D1763" t="n">
        <v>2555.82</v>
      </c>
      <c r="E1763" t="n">
        <v>3356.29</v>
      </c>
      <c r="F1763" t="n">
        <v>4023.3</v>
      </c>
    </row>
    <row r="1764">
      <c r="A1764" s="3" t="n">
        <v>41032</v>
      </c>
      <c r="B1764" t="n">
        <v>3858.68</v>
      </c>
      <c r="C1764" t="n">
        <v>2919.73</v>
      </c>
      <c r="D1764" t="n">
        <v>2520.04</v>
      </c>
      <c r="E1764" t="n">
        <v>3347.51</v>
      </c>
      <c r="F1764" t="n">
        <v>3995.8</v>
      </c>
    </row>
    <row r="1765">
      <c r="A1765" s="3" t="n">
        <v>41033</v>
      </c>
      <c r="B1765" t="n">
        <v>3775.31</v>
      </c>
      <c r="C1765" t="n">
        <v>2884.11</v>
      </c>
      <c r="D1765" t="n">
        <v>2470.84</v>
      </c>
      <c r="E1765" t="n">
        <v>3318.31</v>
      </c>
      <c r="F1765" t="n">
        <v>3906.6</v>
      </c>
    </row>
    <row r="1766">
      <c r="A1766" s="3" t="n">
        <v>41036</v>
      </c>
      <c r="B1766" t="n">
        <v>3821.3</v>
      </c>
      <c r="C1766" t="n">
        <v>2894.97</v>
      </c>
      <c r="D1766" t="n">
        <v>2499.95</v>
      </c>
      <c r="E1766" t="n">
        <v>3323.14</v>
      </c>
      <c r="F1766" t="n">
        <v>3924.54</v>
      </c>
    </row>
    <row r="1767">
      <c r="A1767" s="3" t="n">
        <v>41037</v>
      </c>
      <c r="B1767" t="n">
        <v>3774.52</v>
      </c>
      <c r="C1767" t="n">
        <v>2836.33</v>
      </c>
      <c r="D1767" t="n">
        <v>2447.37</v>
      </c>
      <c r="E1767" t="n">
        <v>3287.61</v>
      </c>
      <c r="F1767" t="n">
        <v>3871.06</v>
      </c>
    </row>
    <row r="1768">
      <c r="A1768" s="3" t="n">
        <v>41038</v>
      </c>
      <c r="B1768" t="n">
        <v>3750.43</v>
      </c>
      <c r="C1768" t="n">
        <v>2832.97</v>
      </c>
      <c r="D1768" t="n">
        <v>2408.1</v>
      </c>
      <c r="E1768" t="n">
        <v>3284.59</v>
      </c>
      <c r="F1768" t="n">
        <v>3819.61</v>
      </c>
    </row>
    <row r="1769">
      <c r="A1769" s="3" t="n">
        <v>41039</v>
      </c>
      <c r="B1769" t="n">
        <v>3768.72</v>
      </c>
      <c r="C1769" t="n">
        <v>2833.77</v>
      </c>
      <c r="D1769" t="n">
        <v>2398.02</v>
      </c>
      <c r="E1769" t="n">
        <v>3293.43</v>
      </c>
      <c r="F1769" t="n">
        <v>3824.15</v>
      </c>
    </row>
    <row r="1770">
      <c r="A1770" s="3" t="n">
        <v>41040</v>
      </c>
      <c r="B1770" t="n">
        <v>3747.35</v>
      </c>
      <c r="C1770" t="n">
        <v>2816.4</v>
      </c>
      <c r="D1770" t="n">
        <v>2375.05</v>
      </c>
      <c r="E1770" t="n">
        <v>3251.44</v>
      </c>
      <c r="F1770" t="n">
        <v>3816.67</v>
      </c>
    </row>
    <row r="1771">
      <c r="A1771" s="3" t="n">
        <v>41043</v>
      </c>
      <c r="B1771" t="n">
        <v>3715.13</v>
      </c>
      <c r="C1771" t="n">
        <v>2813.05</v>
      </c>
      <c r="D1771" t="n">
        <v>2345.88</v>
      </c>
      <c r="E1771" t="n">
        <v>3256.94</v>
      </c>
      <c r="F1771" t="n">
        <v>3775.08</v>
      </c>
    </row>
    <row r="1772">
      <c r="A1772" s="3" t="n">
        <v>41044</v>
      </c>
      <c r="B1772" t="n">
        <v>3725.48</v>
      </c>
      <c r="C1772" t="n">
        <v>2831.3</v>
      </c>
      <c r="D1772" t="n">
        <v>2364.9</v>
      </c>
      <c r="E1772" t="n">
        <v>3260.64</v>
      </c>
      <c r="F1772" t="n">
        <v>3796.21</v>
      </c>
    </row>
    <row r="1773">
      <c r="A1773" s="3" t="n">
        <v>41045</v>
      </c>
      <c r="B1773" t="n">
        <v>3695.16</v>
      </c>
      <c r="C1773" t="n">
        <v>2788.14</v>
      </c>
      <c r="D1773" t="n">
        <v>2338.19</v>
      </c>
      <c r="E1773" t="n">
        <v>3235.47</v>
      </c>
      <c r="F1773" t="n">
        <v>3763.71</v>
      </c>
    </row>
    <row r="1774">
      <c r="A1774" s="3" t="n">
        <v>41046</v>
      </c>
      <c r="B1774" t="n">
        <v>3697.68</v>
      </c>
      <c r="C1774" t="n">
        <v>2799.23</v>
      </c>
      <c r="D1774" t="n">
        <v>2337.07</v>
      </c>
      <c r="E1774" t="n">
        <v>3230.29</v>
      </c>
      <c r="F1774" t="n">
        <v>3765.92</v>
      </c>
    </row>
    <row r="1775">
      <c r="A1775" s="3" t="n">
        <v>41047</v>
      </c>
      <c r="B1775" t="n">
        <v>3673.17</v>
      </c>
      <c r="C1775" t="n">
        <v>2793.73</v>
      </c>
      <c r="D1775" t="n">
        <v>2337.17</v>
      </c>
      <c r="E1775" t="n">
        <v>3233.53</v>
      </c>
      <c r="F1775" t="n">
        <v>3772.12</v>
      </c>
    </row>
    <row r="1776">
      <c r="A1776" s="3" t="n">
        <v>41050</v>
      </c>
      <c r="B1776" t="n">
        <v>3686.53</v>
      </c>
      <c r="C1776" t="n">
        <v>2790.57</v>
      </c>
      <c r="D1776" t="n">
        <v>2360.69</v>
      </c>
      <c r="E1776" t="n">
        <v>3224.4</v>
      </c>
      <c r="F1776" t="n">
        <v>3810.19</v>
      </c>
    </row>
    <row r="1777">
      <c r="A1777" s="3" t="n">
        <v>41051</v>
      </c>
      <c r="B1777" t="n">
        <v>3666.27</v>
      </c>
      <c r="C1777" t="n">
        <v>2781.18</v>
      </c>
      <c r="D1777" t="n">
        <v>2329.66</v>
      </c>
      <c r="E1777" t="n">
        <v>3195.53</v>
      </c>
      <c r="F1777" t="n">
        <v>3780.58</v>
      </c>
    </row>
    <row r="1778">
      <c r="A1778" s="3" t="n">
        <v>41052</v>
      </c>
      <c r="B1778" t="n">
        <v>3660.61</v>
      </c>
      <c r="C1778" t="n">
        <v>2773.24</v>
      </c>
      <c r="D1778" t="n">
        <v>2314.3</v>
      </c>
      <c r="E1778" t="n">
        <v>3195.24</v>
      </c>
      <c r="F1778" t="n">
        <v>3766.4</v>
      </c>
    </row>
    <row r="1779">
      <c r="A1779" s="3" t="n">
        <v>41053</v>
      </c>
      <c r="B1779" t="n">
        <v>3697.63</v>
      </c>
      <c r="C1779" t="n">
        <v>2791.32</v>
      </c>
      <c r="D1779" t="n">
        <v>2333.76</v>
      </c>
      <c r="E1779" t="n">
        <v>3227.89</v>
      </c>
      <c r="F1779" t="n">
        <v>3813.19</v>
      </c>
    </row>
    <row r="1780">
      <c r="A1780" s="3" t="n">
        <v>41054</v>
      </c>
      <c r="B1780" t="n">
        <v>3704.95</v>
      </c>
      <c r="C1780" t="n">
        <v>2796.33</v>
      </c>
      <c r="D1780" t="n">
        <v>2337.34</v>
      </c>
      <c r="E1780" t="n">
        <v>3230.76</v>
      </c>
      <c r="F1780" t="n">
        <v>3836.61</v>
      </c>
    </row>
    <row r="1781">
      <c r="A1781" s="3" t="n">
        <v>41057</v>
      </c>
      <c r="B1781" t="n">
        <v>3767.04</v>
      </c>
      <c r="C1781" t="n">
        <v>2833.62</v>
      </c>
      <c r="D1781" t="n">
        <v>2373.79</v>
      </c>
      <c r="E1781" t="n">
        <v>3259.27</v>
      </c>
      <c r="F1781" t="n">
        <v>3905.36</v>
      </c>
    </row>
    <row r="1782">
      <c r="A1782" s="3" t="n">
        <v>41058</v>
      </c>
      <c r="B1782" t="n">
        <v>3747.56</v>
      </c>
      <c r="C1782" t="n">
        <v>2828.8</v>
      </c>
      <c r="D1782" t="n">
        <v>2359.97</v>
      </c>
      <c r="E1782" t="n">
        <v>3248.2</v>
      </c>
      <c r="F1782" t="n">
        <v>3905.72</v>
      </c>
    </row>
    <row r="1783">
      <c r="A1783" s="3" t="n">
        <v>41059</v>
      </c>
      <c r="B1783" t="n">
        <v>3708.27</v>
      </c>
      <c r="C1783" t="n">
        <v>2791.6</v>
      </c>
      <c r="D1783" t="n">
        <v>2315.49</v>
      </c>
      <c r="E1783" t="n">
        <v>3234.99</v>
      </c>
      <c r="F1783" t="n">
        <v>3850.31</v>
      </c>
    </row>
    <row r="1784">
      <c r="A1784" s="3" t="n">
        <v>41060</v>
      </c>
      <c r="B1784" t="n">
        <v>3695.2</v>
      </c>
      <c r="C1784" t="n">
        <v>2800.8</v>
      </c>
      <c r="D1784" t="n">
        <v>2331.64</v>
      </c>
      <c r="E1784" t="n">
        <v>3245.34</v>
      </c>
      <c r="F1784" t="n">
        <v>3847.92</v>
      </c>
    </row>
    <row r="1785">
      <c r="A1785" s="3" t="n">
        <v>41061</v>
      </c>
      <c r="B1785" t="n">
        <v>3642.93</v>
      </c>
      <c r="C1785" t="n">
        <v>2765.54</v>
      </c>
      <c r="D1785" t="n">
        <v>2298.56</v>
      </c>
      <c r="E1785" t="n">
        <v>3201.1</v>
      </c>
      <c r="F1785" t="n">
        <v>3774.79</v>
      </c>
    </row>
    <row r="1786">
      <c r="A1786" s="3" t="n">
        <v>41064</v>
      </c>
      <c r="B1786" t="n">
        <v>3611.59</v>
      </c>
      <c r="C1786" t="n">
        <v>2740.82</v>
      </c>
      <c r="D1786" t="n">
        <v>2311.55</v>
      </c>
      <c r="E1786" t="n">
        <v>3177.22</v>
      </c>
      <c r="F1786" t="n">
        <v>3750.62</v>
      </c>
    </row>
    <row r="1787">
      <c r="A1787" s="3" t="n">
        <v>41065</v>
      </c>
      <c r="B1787" t="n">
        <v>3603.84</v>
      </c>
      <c r="C1787" t="n">
        <v>2751.65</v>
      </c>
      <c r="D1787" t="n">
        <v>2309.81</v>
      </c>
      <c r="E1787" t="n">
        <v>3183.66</v>
      </c>
      <c r="F1787" t="n">
        <v>3753.04</v>
      </c>
    </row>
    <row r="1788">
      <c r="A1788" s="3" t="n">
        <v>41066</v>
      </c>
      <c r="B1788" t="n">
        <v>3686.67</v>
      </c>
      <c r="C1788" t="n">
        <v>2806.17</v>
      </c>
      <c r="D1788" t="n">
        <v>2362.12</v>
      </c>
      <c r="E1788" t="n">
        <v>3245.77</v>
      </c>
      <c r="F1788" t="n">
        <v>3836.7</v>
      </c>
    </row>
    <row r="1789">
      <c r="A1789" s="3" t="n">
        <v>41067</v>
      </c>
      <c r="B1789" t="n">
        <v>3691.62</v>
      </c>
      <c r="C1789" t="n">
        <v>2821.37</v>
      </c>
      <c r="D1789" t="n">
        <v>2372.65</v>
      </c>
      <c r="E1789" t="n">
        <v>3254.21</v>
      </c>
      <c r="F1789" t="n">
        <v>3856.76</v>
      </c>
    </row>
    <row r="1790">
      <c r="A1790" s="3" t="n">
        <v>41068</v>
      </c>
      <c r="B1790" t="n">
        <v>3711.75</v>
      </c>
      <c r="C1790" t="n">
        <v>2828.49</v>
      </c>
      <c r="D1790" t="n">
        <v>2392.39</v>
      </c>
      <c r="E1790" t="n">
        <v>3260.37</v>
      </c>
      <c r="F1790" t="n">
        <v>3863.18</v>
      </c>
    </row>
    <row r="1791">
      <c r="A1791" s="3" t="n">
        <v>41071</v>
      </c>
      <c r="B1791" t="n">
        <v>3703.41</v>
      </c>
      <c r="C1791" t="n">
        <v>2813.05</v>
      </c>
      <c r="D1791" t="n">
        <v>2391.84</v>
      </c>
      <c r="E1791" t="n">
        <v>3261.11</v>
      </c>
      <c r="F1791" t="n">
        <v>3848.32</v>
      </c>
    </row>
    <row r="1792">
      <c r="A1792" s="3" t="n">
        <v>41072</v>
      </c>
      <c r="B1792" t="n">
        <v>3748.69</v>
      </c>
      <c r="C1792" t="n">
        <v>2829.1</v>
      </c>
      <c r="D1792" t="n">
        <v>2424.92</v>
      </c>
      <c r="E1792" t="n">
        <v>3278.07</v>
      </c>
      <c r="F1792" t="n">
        <v>3866.67</v>
      </c>
    </row>
    <row r="1793">
      <c r="A1793" s="3" t="n">
        <v>41073</v>
      </c>
      <c r="B1793" t="n">
        <v>3755.14</v>
      </c>
      <c r="C1793" t="n">
        <v>2837.09</v>
      </c>
      <c r="D1793" t="n">
        <v>2422.53</v>
      </c>
      <c r="E1793" t="n">
        <v>3290.96</v>
      </c>
      <c r="F1793" t="n">
        <v>3872.07</v>
      </c>
    </row>
    <row r="1794">
      <c r="A1794" s="3" t="n">
        <v>41074</v>
      </c>
      <c r="B1794" t="n">
        <v>3713.28</v>
      </c>
      <c r="C1794" t="n">
        <v>2815.13</v>
      </c>
      <c r="D1794" t="n">
        <v>2400.23</v>
      </c>
      <c r="E1794" t="n">
        <v>3272.53</v>
      </c>
      <c r="F1794" t="n">
        <v>3822.8</v>
      </c>
    </row>
    <row r="1795">
      <c r="A1795" s="3" t="n">
        <v>41075</v>
      </c>
      <c r="B1795" t="n">
        <v>3767.65</v>
      </c>
      <c r="C1795" t="n">
        <v>2845.99</v>
      </c>
      <c r="D1795" t="n">
        <v>2422.2</v>
      </c>
      <c r="E1795" t="n">
        <v>3301.31</v>
      </c>
      <c r="F1795" t="n">
        <v>3850.74</v>
      </c>
    </row>
    <row r="1796">
      <c r="A1796" s="3" t="n">
        <v>41078</v>
      </c>
      <c r="B1796" t="n">
        <v>3738.25</v>
      </c>
      <c r="C1796" t="n">
        <v>2816.37</v>
      </c>
      <c r="D1796" t="n">
        <v>2382.45</v>
      </c>
      <c r="E1796" t="n">
        <v>3272.74</v>
      </c>
      <c r="F1796" t="n">
        <v>3803.15</v>
      </c>
    </row>
    <row r="1797">
      <c r="A1797" s="3" t="n">
        <v>41079</v>
      </c>
      <c r="B1797" t="n">
        <v>3757.33</v>
      </c>
      <c r="C1797" t="n">
        <v>2820.82</v>
      </c>
      <c r="D1797" t="n">
        <v>2405.06</v>
      </c>
      <c r="E1797" t="n">
        <v>3298.63</v>
      </c>
      <c r="F1797" t="n">
        <v>3821.05</v>
      </c>
    </row>
    <row r="1798">
      <c r="A1798" s="3" t="n">
        <v>41080</v>
      </c>
      <c r="B1798" t="n">
        <v>3795.9</v>
      </c>
      <c r="C1798" t="n">
        <v>2842.17</v>
      </c>
      <c r="D1798" t="n">
        <v>2436.86</v>
      </c>
      <c r="E1798" t="n">
        <v>3319.36</v>
      </c>
      <c r="F1798" t="n">
        <v>3860.1</v>
      </c>
    </row>
    <row r="1799">
      <c r="A1799" s="3" t="n">
        <v>41081</v>
      </c>
      <c r="B1799" t="n">
        <v>3807.74</v>
      </c>
      <c r="C1799" t="n">
        <v>2863.01</v>
      </c>
      <c r="D1799" t="n">
        <v>2475.52</v>
      </c>
      <c r="E1799" t="n">
        <v>3342.17</v>
      </c>
      <c r="F1799" t="n">
        <v>3885.37</v>
      </c>
    </row>
    <row r="1800">
      <c r="A1800" s="3" t="n">
        <v>41082</v>
      </c>
      <c r="B1800" t="n">
        <v>3796.63</v>
      </c>
      <c r="C1800" t="n">
        <v>2861.92</v>
      </c>
      <c r="D1800" t="n">
        <v>2468.68</v>
      </c>
      <c r="E1800" t="n">
        <v>3344.56</v>
      </c>
      <c r="F1800" t="n">
        <v>3874.82</v>
      </c>
    </row>
    <row r="1801">
      <c r="A1801" s="3" t="n">
        <v>41085</v>
      </c>
      <c r="B1801" t="n">
        <v>3791.18</v>
      </c>
      <c r="C1801" t="n">
        <v>2850.91</v>
      </c>
      <c r="D1801" t="n">
        <v>2462.86</v>
      </c>
      <c r="E1801" t="n">
        <v>3327.78</v>
      </c>
      <c r="F1801" t="n">
        <v>3862.83</v>
      </c>
    </row>
    <row r="1802">
      <c r="A1802" s="3" t="n">
        <v>41086</v>
      </c>
      <c r="B1802" t="n">
        <v>3800.33</v>
      </c>
      <c r="C1802" t="n">
        <v>2855.91</v>
      </c>
      <c r="D1802" t="n">
        <v>2465.36</v>
      </c>
      <c r="E1802" t="n">
        <v>3345.02</v>
      </c>
      <c r="F1802" t="n">
        <v>3867.73</v>
      </c>
    </row>
    <row r="1803">
      <c r="A1803" s="3" t="n">
        <v>41087</v>
      </c>
      <c r="B1803" t="n">
        <v>3806.3</v>
      </c>
      <c r="C1803" t="n">
        <v>2866.3</v>
      </c>
      <c r="D1803" t="n">
        <v>2467.76</v>
      </c>
      <c r="E1803" t="n">
        <v>3355.98</v>
      </c>
      <c r="F1803" t="n">
        <v>3881.24</v>
      </c>
    </row>
    <row r="1804">
      <c r="A1804" s="3" t="n">
        <v>41088</v>
      </c>
      <c r="B1804" t="n">
        <v>3823.04</v>
      </c>
      <c r="C1804" t="n">
        <v>2871.3</v>
      </c>
      <c r="D1804" t="n">
        <v>2462.26</v>
      </c>
      <c r="E1804" t="n">
        <v>3363.67</v>
      </c>
      <c r="F1804" t="n">
        <v>3888.14</v>
      </c>
    </row>
    <row r="1805">
      <c r="A1805" s="3" t="n">
        <v>41089</v>
      </c>
      <c r="B1805" t="n">
        <v>3881.25</v>
      </c>
      <c r="C1805" t="n">
        <v>2929.6</v>
      </c>
      <c r="D1805" t="n">
        <v>2512.28</v>
      </c>
      <c r="E1805" t="n">
        <v>3428.79</v>
      </c>
      <c r="F1805" t="n">
        <v>3949.4</v>
      </c>
    </row>
    <row r="1806">
      <c r="A1806" s="3" t="n">
        <v>41092</v>
      </c>
      <c r="B1806" t="n">
        <v>3907.45</v>
      </c>
      <c r="C1806" t="n">
        <v>2925.14</v>
      </c>
      <c r="D1806" t="n">
        <v>2532.97</v>
      </c>
      <c r="E1806" t="n">
        <v>3437.35</v>
      </c>
      <c r="F1806" t="n">
        <v>3959.33</v>
      </c>
    </row>
    <row r="1807">
      <c r="A1807" s="3" t="n">
        <v>41093</v>
      </c>
      <c r="B1807" t="n">
        <v>3919.69</v>
      </c>
      <c r="C1807" t="n">
        <v>2934.39</v>
      </c>
      <c r="D1807" t="n">
        <v>2556.26</v>
      </c>
      <c r="E1807" t="n">
        <v>3443.58</v>
      </c>
      <c r="F1807" t="n">
        <v>3970.58</v>
      </c>
    </row>
    <row r="1808">
      <c r="A1808" s="3" t="n">
        <v>41094</v>
      </c>
      <c r="B1808" t="n">
        <v>3916.42</v>
      </c>
      <c r="C1808" t="n">
        <v>2944.37</v>
      </c>
      <c r="D1808" t="n">
        <v>2570</v>
      </c>
      <c r="E1808" t="n">
        <v>3438.71</v>
      </c>
      <c r="F1808" t="n">
        <v>3971.09</v>
      </c>
    </row>
    <row r="1809">
      <c r="A1809" s="3" t="n">
        <v>41095</v>
      </c>
      <c r="B1809" t="n">
        <v>3938.45</v>
      </c>
      <c r="C1809" t="n">
        <v>2954.2</v>
      </c>
      <c r="D1809" t="n">
        <v>2598.71</v>
      </c>
      <c r="E1809" t="n">
        <v>3441.77</v>
      </c>
      <c r="F1809" t="n">
        <v>4011.64</v>
      </c>
    </row>
    <row r="1810">
      <c r="A1810" s="3" t="n">
        <v>41096</v>
      </c>
      <c r="B1810" t="n">
        <v>3912.72</v>
      </c>
      <c r="C1810" t="n">
        <v>2932.06</v>
      </c>
      <c r="D1810" t="n">
        <v>2588.15</v>
      </c>
      <c r="E1810" t="n">
        <v>3430.61</v>
      </c>
      <c r="F1810" t="n">
        <v>3979.06</v>
      </c>
    </row>
    <row r="1811">
      <c r="A1811" s="3" t="n">
        <v>41099</v>
      </c>
      <c r="B1811" t="n">
        <v>3877.96</v>
      </c>
      <c r="C1811" t="n">
        <v>2917.98</v>
      </c>
      <c r="D1811" t="n">
        <v>2539.86</v>
      </c>
      <c r="E1811" t="n">
        <v>3402.04</v>
      </c>
      <c r="F1811" t="n">
        <v>3955.62</v>
      </c>
    </row>
    <row r="1812">
      <c r="A1812" s="3" t="n">
        <v>41100</v>
      </c>
      <c r="B1812" t="n">
        <v>3906.39</v>
      </c>
      <c r="C1812" t="n">
        <v>2947.62</v>
      </c>
      <c r="D1812" t="n">
        <v>2579.63</v>
      </c>
      <c r="E1812" t="n">
        <v>3426.01</v>
      </c>
      <c r="F1812" t="n">
        <v>3995.91</v>
      </c>
    </row>
    <row r="1813">
      <c r="A1813" s="3" t="n">
        <v>41101</v>
      </c>
      <c r="B1813" t="n">
        <v>3894.92</v>
      </c>
      <c r="C1813" t="n">
        <v>2925.24</v>
      </c>
      <c r="D1813" t="n">
        <v>2574.45</v>
      </c>
      <c r="E1813" t="n">
        <v>3407.07</v>
      </c>
      <c r="F1813" t="n">
        <v>3983.3</v>
      </c>
    </row>
    <row r="1814">
      <c r="A1814" s="3" t="n">
        <v>41102</v>
      </c>
      <c r="B1814" t="n">
        <v>3866.22</v>
      </c>
      <c r="C1814" t="n">
        <v>2893.29</v>
      </c>
      <c r="D1814" t="n">
        <v>2561.33</v>
      </c>
      <c r="E1814" t="n">
        <v>3397.89</v>
      </c>
      <c r="F1814" t="n">
        <v>3960.6</v>
      </c>
    </row>
    <row r="1815">
      <c r="A1815" s="3" t="n">
        <v>41103</v>
      </c>
      <c r="B1815" t="n">
        <v>3860.73</v>
      </c>
      <c r="C1815" t="n">
        <v>2885.27</v>
      </c>
      <c r="D1815" t="n">
        <v>2551.17</v>
      </c>
      <c r="E1815" t="n">
        <v>3404.09</v>
      </c>
      <c r="F1815" t="n">
        <v>3948.98</v>
      </c>
    </row>
    <row r="1816">
      <c r="A1816" s="3" t="n">
        <v>41106</v>
      </c>
      <c r="B1816" t="n">
        <v>3850.9</v>
      </c>
      <c r="C1816" t="n">
        <v>2868.06</v>
      </c>
      <c r="D1816" t="n">
        <v>2526.33</v>
      </c>
      <c r="E1816" t="n">
        <v>3400.87</v>
      </c>
      <c r="F1816" t="n">
        <v>3941.7</v>
      </c>
    </row>
    <row r="1817">
      <c r="A1817" s="3" t="n">
        <v>41107</v>
      </c>
      <c r="B1817" t="n">
        <v>3844.44</v>
      </c>
      <c r="C1817" t="n">
        <v>2858.66</v>
      </c>
      <c r="D1817" t="n">
        <v>2494.49</v>
      </c>
      <c r="E1817" t="n">
        <v>3400.47</v>
      </c>
      <c r="F1817" t="n">
        <v>3926.17</v>
      </c>
    </row>
    <row r="1818">
      <c r="A1818" s="3" t="n">
        <v>41108</v>
      </c>
      <c r="B1818" t="n">
        <v>3866.31</v>
      </c>
      <c r="C1818" t="n">
        <v>2866.01</v>
      </c>
      <c r="D1818" t="n">
        <v>2496.23</v>
      </c>
      <c r="E1818" t="n">
        <v>3406.01</v>
      </c>
      <c r="F1818" t="n">
        <v>3951.47</v>
      </c>
    </row>
    <row r="1819">
      <c r="A1819" s="3" t="n">
        <v>41109</v>
      </c>
      <c r="B1819" t="n">
        <v>3875.44</v>
      </c>
      <c r="C1819" t="n">
        <v>2882.99</v>
      </c>
      <c r="D1819" t="n">
        <v>2507.48</v>
      </c>
      <c r="E1819" t="n">
        <v>3407.84</v>
      </c>
      <c r="F1819" t="n">
        <v>3961.6</v>
      </c>
    </row>
    <row r="1820">
      <c r="A1820" s="3" t="n">
        <v>41110</v>
      </c>
      <c r="B1820" t="n">
        <v>3872.3</v>
      </c>
      <c r="C1820" t="n">
        <v>2885.46</v>
      </c>
      <c r="D1820" t="n">
        <v>2487.88</v>
      </c>
      <c r="E1820" t="n">
        <v>3398.68</v>
      </c>
      <c r="F1820" t="n">
        <v>3948.1</v>
      </c>
    </row>
    <row r="1821">
      <c r="A1821" s="3" t="n">
        <v>41113</v>
      </c>
      <c r="B1821" t="n">
        <v>3831.92</v>
      </c>
      <c r="C1821" t="n">
        <v>2841.97</v>
      </c>
      <c r="D1821" t="n">
        <v>2442.33</v>
      </c>
      <c r="E1821" t="n">
        <v>3366.03</v>
      </c>
      <c r="F1821" t="n">
        <v>3893.78</v>
      </c>
    </row>
    <row r="1822">
      <c r="A1822" s="3" t="n">
        <v>41114</v>
      </c>
      <c r="B1822" t="n">
        <v>3861.44</v>
      </c>
      <c r="C1822" t="n">
        <v>2861.05</v>
      </c>
      <c r="D1822" t="n">
        <v>2446.01</v>
      </c>
      <c r="E1822" t="n">
        <v>3381.62</v>
      </c>
      <c r="F1822" t="n">
        <v>3895.99</v>
      </c>
    </row>
    <row r="1823">
      <c r="A1823" s="3" t="n">
        <v>41115</v>
      </c>
      <c r="B1823" t="n">
        <v>3860.51</v>
      </c>
      <c r="C1823" t="n">
        <v>2841.98</v>
      </c>
      <c r="D1823" t="n">
        <v>2414.07</v>
      </c>
      <c r="E1823" t="n">
        <v>3373.68</v>
      </c>
      <c r="F1823" t="n">
        <v>3904.95</v>
      </c>
    </row>
    <row r="1824">
      <c r="A1824" s="3" t="n">
        <v>41116</v>
      </c>
      <c r="B1824" t="n">
        <v>3832.11</v>
      </c>
      <c r="C1824" t="n">
        <v>2803.6</v>
      </c>
      <c r="D1824" t="n">
        <v>2348.65</v>
      </c>
      <c r="E1824" t="n">
        <v>3342.02</v>
      </c>
      <c r="F1824" t="n">
        <v>3855.39</v>
      </c>
    </row>
    <row r="1825">
      <c r="A1825" s="3" t="n">
        <v>41117</v>
      </c>
      <c r="B1825" t="n">
        <v>3845.84</v>
      </c>
      <c r="C1825" t="n">
        <v>2798.93</v>
      </c>
      <c r="D1825" t="n">
        <v>2322.45</v>
      </c>
      <c r="E1825" t="n">
        <v>3371.49</v>
      </c>
      <c r="F1825" t="n">
        <v>3853.75</v>
      </c>
    </row>
    <row r="1826">
      <c r="A1826" s="3" t="n">
        <v>41120</v>
      </c>
      <c r="B1826" t="n">
        <v>3885.48</v>
      </c>
      <c r="C1826" t="n">
        <v>2842.7</v>
      </c>
      <c r="D1826" t="n">
        <v>2380.59</v>
      </c>
      <c r="E1826" t="n">
        <v>3405.94</v>
      </c>
      <c r="F1826" t="n">
        <v>3900.43</v>
      </c>
    </row>
    <row r="1827">
      <c r="A1827" s="3" t="n">
        <v>41121</v>
      </c>
      <c r="B1827" t="n">
        <v>3895.33</v>
      </c>
      <c r="C1827" t="n">
        <v>2851.03</v>
      </c>
      <c r="D1827" t="n">
        <v>2384.19</v>
      </c>
      <c r="E1827" t="n">
        <v>3431.48</v>
      </c>
      <c r="F1827" t="n">
        <v>3911.41</v>
      </c>
    </row>
    <row r="1828">
      <c r="A1828" s="3" t="n">
        <v>41122</v>
      </c>
      <c r="B1828" t="n">
        <v>3924.09</v>
      </c>
      <c r="C1828" t="n">
        <v>2861.83</v>
      </c>
      <c r="D1828" t="n">
        <v>2390.46</v>
      </c>
      <c r="E1828" t="n">
        <v>3450.78</v>
      </c>
      <c r="F1828" t="n">
        <v>3954.98</v>
      </c>
    </row>
    <row r="1829">
      <c r="A1829" s="3" t="n">
        <v>41123</v>
      </c>
      <c r="B1829" t="n">
        <v>3946.17</v>
      </c>
      <c r="C1829" t="n">
        <v>2874.38</v>
      </c>
      <c r="D1829" t="n">
        <v>2388.47</v>
      </c>
      <c r="E1829" t="n">
        <v>3457.38</v>
      </c>
      <c r="F1829" t="n">
        <v>3958.14</v>
      </c>
    </row>
    <row r="1830">
      <c r="A1830" s="3" t="n">
        <v>41124</v>
      </c>
      <c r="B1830" t="n">
        <v>3945.44</v>
      </c>
      <c r="C1830" t="n">
        <v>2872.71</v>
      </c>
      <c r="D1830" t="n">
        <v>2382.18</v>
      </c>
      <c r="E1830" t="n">
        <v>3471.28</v>
      </c>
      <c r="F1830" t="n">
        <v>3952.22</v>
      </c>
    </row>
    <row r="1831">
      <c r="A1831" s="3" t="n">
        <v>41127</v>
      </c>
      <c r="B1831" t="n">
        <v>3968.12</v>
      </c>
      <c r="C1831" t="n">
        <v>2887.45</v>
      </c>
      <c r="D1831" t="n">
        <v>2389.39</v>
      </c>
      <c r="E1831" t="n">
        <v>3481.11</v>
      </c>
      <c r="F1831" t="n">
        <v>3978.56</v>
      </c>
    </row>
    <row r="1832">
      <c r="A1832" s="3" t="n">
        <v>41128</v>
      </c>
      <c r="B1832" t="n">
        <v>3982.22</v>
      </c>
      <c r="C1832" t="n">
        <v>2910.24</v>
      </c>
      <c r="D1832" t="n">
        <v>2391.59</v>
      </c>
      <c r="E1832" t="n">
        <v>3492.5</v>
      </c>
      <c r="F1832" t="n">
        <v>3979.9</v>
      </c>
    </row>
    <row r="1833">
      <c r="A1833" s="3" t="n">
        <v>41129</v>
      </c>
      <c r="B1833" t="n">
        <v>3997.91</v>
      </c>
      <c r="C1833" t="n">
        <v>2917.93</v>
      </c>
      <c r="D1833" t="n">
        <v>2380.04</v>
      </c>
      <c r="E1833" t="n">
        <v>3494.52</v>
      </c>
      <c r="F1833" t="n">
        <v>3989.09</v>
      </c>
    </row>
    <row r="1834">
      <c r="A1834" s="3" t="n">
        <v>41130</v>
      </c>
      <c r="B1834" t="n">
        <v>4006.54</v>
      </c>
      <c r="C1834" t="n">
        <v>2922.03</v>
      </c>
      <c r="D1834" t="n">
        <v>2347.53</v>
      </c>
      <c r="E1834" t="n">
        <v>3509.64</v>
      </c>
      <c r="F1834" t="n">
        <v>3997.58</v>
      </c>
    </row>
    <row r="1835">
      <c r="A1835" s="3" t="n">
        <v>41131</v>
      </c>
      <c r="B1835" t="n">
        <v>4022.35</v>
      </c>
      <c r="C1835" t="n">
        <v>2923.11</v>
      </c>
      <c r="D1835" t="n">
        <v>2351.24</v>
      </c>
      <c r="E1835" t="n">
        <v>3512.85</v>
      </c>
      <c r="F1835" t="n">
        <v>3989.64</v>
      </c>
    </row>
    <row r="1836">
      <c r="A1836" s="3" t="n">
        <v>41134</v>
      </c>
      <c r="B1836" t="n">
        <v>4050.13</v>
      </c>
      <c r="C1836" t="n">
        <v>2930.5</v>
      </c>
      <c r="D1836" t="n">
        <v>2358.82</v>
      </c>
      <c r="E1836" t="n">
        <v>3529.79</v>
      </c>
      <c r="F1836" t="n">
        <v>4013.67</v>
      </c>
    </row>
    <row r="1837">
      <c r="A1837" s="3" t="n">
        <v>41135</v>
      </c>
      <c r="B1837" t="n">
        <v>4072.22</v>
      </c>
      <c r="C1837" t="n">
        <v>2949.3</v>
      </c>
      <c r="D1837" t="n">
        <v>2364.86</v>
      </c>
      <c r="E1837" t="n">
        <v>3536.85</v>
      </c>
      <c r="F1837" t="n">
        <v>4034.87</v>
      </c>
    </row>
    <row r="1838">
      <c r="A1838" s="3" t="n">
        <v>41137</v>
      </c>
      <c r="B1838" t="n">
        <v>4067.72</v>
      </c>
      <c r="C1838" t="n">
        <v>2937.29</v>
      </c>
      <c r="D1838" t="n">
        <v>2352.26</v>
      </c>
      <c r="E1838" t="n">
        <v>3517.04</v>
      </c>
      <c r="F1838" t="n">
        <v>4023.4</v>
      </c>
    </row>
    <row r="1839">
      <c r="A1839" s="3" t="n">
        <v>41138</v>
      </c>
      <c r="B1839" t="n">
        <v>4083.77</v>
      </c>
      <c r="C1839" t="n">
        <v>2957.32</v>
      </c>
      <c r="D1839" t="n">
        <v>2341.06</v>
      </c>
      <c r="E1839" t="n">
        <v>3518.02</v>
      </c>
      <c r="F1839" t="n">
        <v>4038.14</v>
      </c>
    </row>
    <row r="1840">
      <c r="A1840" s="3" t="n">
        <v>41142</v>
      </c>
      <c r="B1840" t="n">
        <v>4114.11</v>
      </c>
      <c r="C1840" t="n">
        <v>2970.63</v>
      </c>
      <c r="D1840" t="n">
        <v>2341.2</v>
      </c>
      <c r="E1840" t="n">
        <v>3536.8</v>
      </c>
      <c r="F1840" t="n">
        <v>4068.5</v>
      </c>
    </row>
    <row r="1841">
      <c r="A1841" s="3" t="n">
        <v>41143</v>
      </c>
      <c r="B1841" t="n">
        <v>4111.76</v>
      </c>
      <c r="C1841" t="n">
        <v>2964.15</v>
      </c>
      <c r="D1841" t="n">
        <v>2337.61</v>
      </c>
      <c r="E1841" t="n">
        <v>3533.41</v>
      </c>
      <c r="F1841" t="n">
        <v>4061.47</v>
      </c>
    </row>
    <row r="1842">
      <c r="A1842" s="3" t="n">
        <v>41144</v>
      </c>
      <c r="B1842" t="n">
        <v>4120.63</v>
      </c>
      <c r="C1842" t="n">
        <v>2982.58</v>
      </c>
      <c r="D1842" t="n">
        <v>2327.19</v>
      </c>
      <c r="E1842" t="n">
        <v>3539.05</v>
      </c>
      <c r="F1842" t="n">
        <v>4078.99</v>
      </c>
    </row>
    <row r="1843">
      <c r="A1843" s="3" t="n">
        <v>41145</v>
      </c>
      <c r="B1843" t="n">
        <v>4109.79</v>
      </c>
      <c r="C1843" t="n">
        <v>2980.99</v>
      </c>
      <c r="D1843" t="n">
        <v>2309.23</v>
      </c>
      <c r="E1843" t="n">
        <v>3535.97</v>
      </c>
      <c r="F1843" t="n">
        <v>4052.14</v>
      </c>
    </row>
    <row r="1844">
      <c r="A1844" s="3" t="n">
        <v>41148</v>
      </c>
      <c r="B1844" t="n">
        <v>4097.96</v>
      </c>
      <c r="C1844" t="n">
        <v>2953.55</v>
      </c>
      <c r="D1844" t="n">
        <v>2267.88</v>
      </c>
      <c r="E1844" t="n">
        <v>3540.04</v>
      </c>
      <c r="F1844" t="n">
        <v>4015.86</v>
      </c>
    </row>
    <row r="1845">
      <c r="A1845" s="3" t="n">
        <v>41149</v>
      </c>
      <c r="B1845" t="n">
        <v>4062.79</v>
      </c>
      <c r="C1845" t="n">
        <v>2937.67</v>
      </c>
      <c r="D1845" t="n">
        <v>2244.05</v>
      </c>
      <c r="E1845" t="n">
        <v>3536.99</v>
      </c>
      <c r="F1845" t="n">
        <v>3988.78</v>
      </c>
    </row>
    <row r="1846">
      <c r="A1846" s="3" t="n">
        <v>41150</v>
      </c>
      <c r="B1846" t="n">
        <v>4035.13</v>
      </c>
      <c r="C1846" t="n">
        <v>2923.21</v>
      </c>
      <c r="D1846" t="n">
        <v>2218.32</v>
      </c>
      <c r="E1846" t="n">
        <v>3524.3</v>
      </c>
      <c r="F1846" t="n">
        <v>3952.91</v>
      </c>
    </row>
    <row r="1847">
      <c r="A1847" s="3" t="n">
        <v>41151</v>
      </c>
      <c r="B1847" t="n">
        <v>4059.43</v>
      </c>
      <c r="C1847" t="n">
        <v>2934.13</v>
      </c>
      <c r="D1847" t="n">
        <v>2215.77</v>
      </c>
      <c r="E1847" t="n">
        <v>3532.84</v>
      </c>
      <c r="F1847" t="n">
        <v>3982.69</v>
      </c>
    </row>
    <row r="1848">
      <c r="A1848" s="3" t="n">
        <v>41152</v>
      </c>
      <c r="B1848" t="n">
        <v>4039.23</v>
      </c>
      <c r="C1848" t="n">
        <v>2915.37</v>
      </c>
      <c r="D1848" t="n">
        <v>2193.5</v>
      </c>
      <c r="E1848" t="n">
        <v>3508.23</v>
      </c>
      <c r="F1848" t="n">
        <v>3969.67</v>
      </c>
    </row>
    <row r="1849">
      <c r="A1849" s="3" t="n">
        <v>41155</v>
      </c>
      <c r="B1849" t="n">
        <v>4050.08</v>
      </c>
      <c r="C1849" t="n">
        <v>2918.92</v>
      </c>
      <c r="D1849" t="n">
        <v>2188.78</v>
      </c>
      <c r="E1849" t="n">
        <v>3507.59</v>
      </c>
      <c r="F1849" t="n">
        <v>3981.8</v>
      </c>
    </row>
    <row r="1850">
      <c r="A1850" s="3" t="n">
        <v>41156</v>
      </c>
      <c r="B1850" t="n">
        <v>4060.32</v>
      </c>
      <c r="C1850" t="n">
        <v>2937.42</v>
      </c>
      <c r="D1850" t="n">
        <v>2216.35</v>
      </c>
      <c r="E1850" t="n">
        <v>3516.48</v>
      </c>
      <c r="F1850" t="n">
        <v>4011.55</v>
      </c>
    </row>
    <row r="1851">
      <c r="A1851" s="3" t="n">
        <v>41157</v>
      </c>
      <c r="B1851" t="n">
        <v>4063.68</v>
      </c>
      <c r="C1851" t="n">
        <v>2923.51</v>
      </c>
      <c r="D1851" t="n">
        <v>2199.96</v>
      </c>
      <c r="E1851" t="n">
        <v>3510.57</v>
      </c>
      <c r="F1851" t="n">
        <v>4017.1</v>
      </c>
    </row>
    <row r="1852">
      <c r="A1852" s="3" t="n">
        <v>41158</v>
      </c>
      <c r="B1852" t="n">
        <v>4095.83</v>
      </c>
      <c r="C1852" t="n">
        <v>2939.16</v>
      </c>
      <c r="D1852" t="n">
        <v>2196.06</v>
      </c>
      <c r="E1852" t="n">
        <v>3521.46</v>
      </c>
      <c r="F1852" t="n">
        <v>4046.38</v>
      </c>
    </row>
    <row r="1853">
      <c r="A1853" s="3" t="n">
        <v>41159</v>
      </c>
      <c r="B1853" t="n">
        <v>4160.25</v>
      </c>
      <c r="C1853" t="n">
        <v>2984.37</v>
      </c>
      <c r="D1853" t="n">
        <v>2227.33</v>
      </c>
      <c r="E1853" t="n">
        <v>3561.76</v>
      </c>
      <c r="F1853" t="n">
        <v>4108.7</v>
      </c>
    </row>
    <row r="1854">
      <c r="A1854" s="3" t="n">
        <v>41160</v>
      </c>
      <c r="B1854" t="n">
        <v>4179.39</v>
      </c>
      <c r="C1854" t="n">
        <v>2995.42</v>
      </c>
      <c r="D1854" t="n">
        <v>2238.4</v>
      </c>
      <c r="E1854" t="n">
        <v>3571.43</v>
      </c>
      <c r="F1854" t="n">
        <v>4136.68</v>
      </c>
    </row>
    <row r="1855">
      <c r="A1855" s="3" t="n">
        <v>41162</v>
      </c>
      <c r="B1855" t="n">
        <v>4192.1</v>
      </c>
      <c r="C1855" t="n">
        <v>3002.31</v>
      </c>
      <c r="D1855" t="n">
        <v>2238.99</v>
      </c>
      <c r="E1855" t="n">
        <v>3576.48</v>
      </c>
      <c r="F1855" t="n">
        <v>4135.73</v>
      </c>
    </row>
    <row r="1856">
      <c r="A1856" s="3" t="n">
        <v>41163</v>
      </c>
      <c r="B1856" t="n">
        <v>4206.65</v>
      </c>
      <c r="C1856" t="n">
        <v>3005.58</v>
      </c>
      <c r="D1856" t="n">
        <v>2246.69</v>
      </c>
      <c r="E1856" t="n">
        <v>3592.7</v>
      </c>
      <c r="F1856" t="n">
        <v>4150.55</v>
      </c>
    </row>
    <row r="1857">
      <c r="A1857" s="3" t="n">
        <v>41164</v>
      </c>
      <c r="B1857" t="n">
        <v>4234.02</v>
      </c>
      <c r="C1857" t="n">
        <v>3025.81</v>
      </c>
      <c r="D1857" t="n">
        <v>2247.56</v>
      </c>
      <c r="E1857" t="n">
        <v>3597.6</v>
      </c>
      <c r="F1857" t="n">
        <v>4186.67</v>
      </c>
    </row>
    <row r="1858">
      <c r="A1858" s="3" t="n">
        <v>41165</v>
      </c>
      <c r="B1858" t="n">
        <v>4230.08</v>
      </c>
      <c r="C1858" t="n">
        <v>3028.41</v>
      </c>
      <c r="D1858" t="n">
        <v>2232.34</v>
      </c>
      <c r="E1858" t="n">
        <v>3589.87</v>
      </c>
      <c r="F1858" t="n">
        <v>4176.92</v>
      </c>
    </row>
    <row r="1859">
      <c r="A1859" s="3" t="n">
        <v>41166</v>
      </c>
      <c r="B1859" t="n">
        <v>4275.22</v>
      </c>
      <c r="C1859" t="n">
        <v>3051.7</v>
      </c>
      <c r="D1859" t="n">
        <v>2263.17</v>
      </c>
      <c r="E1859" t="n">
        <v>3602.51</v>
      </c>
      <c r="F1859" t="n">
        <v>4216.48</v>
      </c>
    </row>
    <row r="1860">
      <c r="A1860" s="3" t="n">
        <v>41169</v>
      </c>
      <c r="B1860" t="n">
        <v>4258.57</v>
      </c>
      <c r="C1860" t="n">
        <v>3036.84</v>
      </c>
      <c r="D1860" t="n">
        <v>2311.49</v>
      </c>
      <c r="E1860" t="n">
        <v>3568.37</v>
      </c>
      <c r="F1860" t="n">
        <v>4216.84</v>
      </c>
    </row>
    <row r="1861">
      <c r="A1861" s="3" t="n">
        <v>41170</v>
      </c>
      <c r="B1861" t="n">
        <v>4259.8</v>
      </c>
      <c r="C1861" t="n">
        <v>3043.87</v>
      </c>
      <c r="D1861" t="n">
        <v>2366.34</v>
      </c>
      <c r="E1861" t="n">
        <v>3574.58</v>
      </c>
      <c r="F1861" t="n">
        <v>4222.69</v>
      </c>
    </row>
    <row r="1862">
      <c r="A1862" s="3" t="n">
        <v>41172</v>
      </c>
      <c r="B1862" t="n">
        <v>4248.75</v>
      </c>
      <c r="C1862" t="n">
        <v>3030.93</v>
      </c>
      <c r="D1862" t="n">
        <v>2364.36</v>
      </c>
      <c r="E1862" t="n">
        <v>3565.69</v>
      </c>
      <c r="F1862" t="n">
        <v>4191.46</v>
      </c>
    </row>
    <row r="1863">
      <c r="A1863" s="3" t="n">
        <v>41173</v>
      </c>
      <c r="B1863" t="n">
        <v>4286.34</v>
      </c>
      <c r="C1863" t="n">
        <v>3081.31</v>
      </c>
      <c r="D1863" t="n">
        <v>2412.58</v>
      </c>
      <c r="E1863" t="n">
        <v>3608.22</v>
      </c>
      <c r="F1863" t="n">
        <v>4237.7</v>
      </c>
    </row>
    <row r="1864">
      <c r="A1864" s="3" t="n">
        <v>41176</v>
      </c>
      <c r="B1864" t="n">
        <v>4271.16</v>
      </c>
      <c r="C1864" t="n">
        <v>3081.47</v>
      </c>
      <c r="D1864" t="n">
        <v>2421.19</v>
      </c>
      <c r="E1864" t="n">
        <v>3592.95</v>
      </c>
      <c r="F1864" t="n">
        <v>4238.62</v>
      </c>
    </row>
    <row r="1865">
      <c r="A1865" s="3" t="n">
        <v>41177</v>
      </c>
      <c r="B1865" t="n">
        <v>4289.15</v>
      </c>
      <c r="C1865" t="n">
        <v>3089.52</v>
      </c>
      <c r="D1865" t="n">
        <v>2425.75</v>
      </c>
      <c r="E1865" t="n">
        <v>3599.21</v>
      </c>
      <c r="F1865" t="n">
        <v>4270.9</v>
      </c>
    </row>
    <row r="1866">
      <c r="A1866" s="3" t="n">
        <v>41178</v>
      </c>
      <c r="B1866" t="n">
        <v>4322.59</v>
      </c>
      <c r="C1866" t="n">
        <v>3104.16</v>
      </c>
      <c r="D1866" t="n">
        <v>2422.5</v>
      </c>
      <c r="E1866" t="n">
        <v>3609.35</v>
      </c>
      <c r="F1866" t="n">
        <v>4286.91</v>
      </c>
    </row>
    <row r="1867">
      <c r="A1867" s="3" t="n">
        <v>41179</v>
      </c>
      <c r="B1867" t="n">
        <v>4361.28</v>
      </c>
      <c r="C1867" t="n">
        <v>3098.41</v>
      </c>
      <c r="D1867" t="n">
        <v>2418</v>
      </c>
      <c r="E1867" t="n">
        <v>3618.34</v>
      </c>
      <c r="F1867" t="n">
        <v>4319.27</v>
      </c>
    </row>
    <row r="1868">
      <c r="A1868" s="3" t="n">
        <v>41180</v>
      </c>
      <c r="B1868" t="n">
        <v>4404.98</v>
      </c>
      <c r="C1868" t="n">
        <v>3139.72</v>
      </c>
      <c r="D1868" t="n">
        <v>2440.45</v>
      </c>
      <c r="E1868" t="n">
        <v>3669.38</v>
      </c>
      <c r="F1868" t="n">
        <v>4368.92</v>
      </c>
    </row>
    <row r="1869">
      <c r="A1869" s="3" t="n">
        <v>41183</v>
      </c>
      <c r="B1869" t="n">
        <v>4459.86</v>
      </c>
      <c r="C1869" t="n">
        <v>3162.71</v>
      </c>
      <c r="D1869" t="n">
        <v>2472.28</v>
      </c>
      <c r="E1869" t="n">
        <v>3675.56</v>
      </c>
      <c r="F1869" t="n">
        <v>4414.59</v>
      </c>
    </row>
    <row r="1870">
      <c r="A1870" s="3" t="n">
        <v>41185</v>
      </c>
      <c r="B1870" t="n">
        <v>4485.68</v>
      </c>
      <c r="C1870" t="n">
        <v>3164.16</v>
      </c>
      <c r="D1870" t="n">
        <v>2483.61</v>
      </c>
      <c r="E1870" t="n">
        <v>3687.94</v>
      </c>
      <c r="F1870" t="n">
        <v>4434.28</v>
      </c>
    </row>
    <row r="1871">
      <c r="A1871" s="3" t="n">
        <v>41186</v>
      </c>
      <c r="B1871" t="n">
        <v>4452.99</v>
      </c>
      <c r="C1871" t="n">
        <v>3170.61</v>
      </c>
      <c r="D1871" t="n">
        <v>2520.87</v>
      </c>
      <c r="E1871" t="n">
        <v>3702.1</v>
      </c>
      <c r="F1871" t="n">
        <v>4433.21</v>
      </c>
    </row>
    <row r="1872">
      <c r="A1872" s="3" t="n">
        <v>41187</v>
      </c>
      <c r="B1872" t="n">
        <v>4403.36</v>
      </c>
      <c r="C1872" t="n">
        <v>3161.38</v>
      </c>
      <c r="D1872" t="n">
        <v>2495.2</v>
      </c>
      <c r="E1872" t="n">
        <v>3681.74</v>
      </c>
      <c r="F1872" t="n">
        <v>4381.84</v>
      </c>
    </row>
    <row r="1873">
      <c r="A1873" s="3" t="n">
        <v>41190</v>
      </c>
      <c r="B1873" t="n">
        <v>4390.02</v>
      </c>
      <c r="C1873" t="n">
        <v>3142.79</v>
      </c>
      <c r="D1873" t="n">
        <v>2478.97</v>
      </c>
      <c r="E1873" t="n">
        <v>3686.22</v>
      </c>
      <c r="F1873" t="n">
        <v>4353.64</v>
      </c>
    </row>
    <row r="1874">
      <c r="A1874" s="3" t="n">
        <v>41191</v>
      </c>
      <c r="B1874" t="n">
        <v>4435.53</v>
      </c>
      <c r="C1874" t="n">
        <v>3157.04</v>
      </c>
      <c r="D1874" t="n">
        <v>2490.54</v>
      </c>
      <c r="E1874" t="n">
        <v>3703.61</v>
      </c>
      <c r="F1874" t="n">
        <v>4390.62</v>
      </c>
    </row>
    <row r="1875">
      <c r="A1875" s="3" t="n">
        <v>41192</v>
      </c>
      <c r="B1875" t="n">
        <v>4409.26</v>
      </c>
      <c r="C1875" t="n">
        <v>3132.64</v>
      </c>
      <c r="D1875" t="n">
        <v>2426.74</v>
      </c>
      <c r="E1875" t="n">
        <v>3679.36</v>
      </c>
      <c r="F1875" t="n">
        <v>4344.77</v>
      </c>
    </row>
    <row r="1876">
      <c r="A1876" s="3" t="n">
        <v>41193</v>
      </c>
      <c r="B1876" t="n">
        <v>4422.1</v>
      </c>
      <c r="C1876" t="n">
        <v>3150.65</v>
      </c>
      <c r="D1876" t="n">
        <v>2467.58</v>
      </c>
      <c r="E1876" t="n">
        <v>3693.1</v>
      </c>
      <c r="F1876" t="n">
        <v>4369.56</v>
      </c>
    </row>
    <row r="1877">
      <c r="A1877" s="3" t="n">
        <v>41194</v>
      </c>
      <c r="B1877" t="n">
        <v>4462.47</v>
      </c>
      <c r="C1877" t="n">
        <v>3139.14</v>
      </c>
      <c r="D1877" t="n">
        <v>2461.84</v>
      </c>
      <c r="E1877" t="n">
        <v>3702.62</v>
      </c>
      <c r="F1877" t="n">
        <v>4370.29</v>
      </c>
    </row>
    <row r="1878">
      <c r="A1878" s="3" t="n">
        <v>41197</v>
      </c>
      <c r="B1878" t="n">
        <v>4484.36</v>
      </c>
      <c r="C1878" t="n">
        <v>3137.94</v>
      </c>
      <c r="D1878" t="n">
        <v>2465.13</v>
      </c>
      <c r="E1878" t="n">
        <v>3711.01</v>
      </c>
      <c r="F1878" t="n">
        <v>4367.12</v>
      </c>
    </row>
    <row r="1879">
      <c r="A1879" s="3" t="n">
        <v>41198</v>
      </c>
      <c r="B1879" t="n">
        <v>4460.91</v>
      </c>
      <c r="C1879" t="n">
        <v>3130.72</v>
      </c>
      <c r="D1879" t="n">
        <v>2418.76</v>
      </c>
      <c r="E1879" t="n">
        <v>3701.6</v>
      </c>
      <c r="F1879" t="n">
        <v>4345.25</v>
      </c>
    </row>
    <row r="1880">
      <c r="A1880" s="3" t="n">
        <v>41199</v>
      </c>
      <c r="B1880" t="n">
        <v>4478.05</v>
      </c>
      <c r="C1880" t="n">
        <v>3140.57</v>
      </c>
      <c r="D1880" t="n">
        <v>2422.89</v>
      </c>
      <c r="E1880" t="n">
        <v>3705.91</v>
      </c>
      <c r="F1880" t="n">
        <v>4357.49</v>
      </c>
    </row>
    <row r="1881">
      <c r="A1881" s="3" t="n">
        <v>41200</v>
      </c>
      <c r="B1881" t="n">
        <v>4502.32</v>
      </c>
      <c r="C1881" t="n">
        <v>3166.47</v>
      </c>
      <c r="D1881" t="n">
        <v>2468.8</v>
      </c>
      <c r="E1881" t="n">
        <v>3716.88</v>
      </c>
      <c r="F1881" t="n">
        <v>4403.68</v>
      </c>
    </row>
    <row r="1882">
      <c r="A1882" s="3" t="n">
        <v>41201</v>
      </c>
      <c r="B1882" t="n">
        <v>4483.19</v>
      </c>
      <c r="C1882" t="n">
        <v>3146.21</v>
      </c>
      <c r="D1882" t="n">
        <v>2451</v>
      </c>
      <c r="E1882" t="n">
        <v>3701.96</v>
      </c>
      <c r="F1882" t="n">
        <v>4378.73</v>
      </c>
    </row>
    <row r="1883">
      <c r="A1883" s="3" t="n">
        <v>41204</v>
      </c>
      <c r="B1883" t="n">
        <v>4510.08</v>
      </c>
      <c r="C1883" t="n">
        <v>3149.17</v>
      </c>
      <c r="D1883" t="n">
        <v>2436.81</v>
      </c>
      <c r="E1883" t="n">
        <v>3719.5</v>
      </c>
      <c r="F1883" t="n">
        <v>4382</v>
      </c>
    </row>
    <row r="1884">
      <c r="A1884" s="3" t="n">
        <v>41205</v>
      </c>
      <c r="B1884" t="n">
        <v>4510.83</v>
      </c>
      <c r="C1884" t="n">
        <v>3138.38</v>
      </c>
      <c r="D1884" t="n">
        <v>2424.39</v>
      </c>
      <c r="E1884" t="n">
        <v>3710.43</v>
      </c>
      <c r="F1884" t="n">
        <v>4388.68</v>
      </c>
    </row>
    <row r="1885">
      <c r="A1885" s="3" t="n">
        <v>41207</v>
      </c>
      <c r="B1885" t="n">
        <v>4518.86</v>
      </c>
      <c r="C1885" t="n">
        <v>3135.22</v>
      </c>
      <c r="D1885" t="n">
        <v>2415.79</v>
      </c>
      <c r="E1885" t="n">
        <v>3709.62</v>
      </c>
      <c r="F1885" t="n">
        <v>4399.5</v>
      </c>
    </row>
    <row r="1886">
      <c r="A1886" s="3" t="n">
        <v>41208</v>
      </c>
      <c r="B1886" t="n">
        <v>4461.26</v>
      </c>
      <c r="C1886" t="n">
        <v>3112.97</v>
      </c>
      <c r="D1886" t="n">
        <v>2380.13</v>
      </c>
      <c r="E1886" t="n">
        <v>3688.51</v>
      </c>
      <c r="F1886" t="n">
        <v>4370.38</v>
      </c>
    </row>
    <row r="1887">
      <c r="A1887" s="3" t="n">
        <v>41211</v>
      </c>
      <c r="B1887" t="n">
        <v>4441.49</v>
      </c>
      <c r="C1887" t="n">
        <v>3099.94</v>
      </c>
      <c r="D1887" t="n">
        <v>2368.32</v>
      </c>
      <c r="E1887" t="n">
        <v>3685.09</v>
      </c>
      <c r="F1887" t="n">
        <v>4361.64</v>
      </c>
    </row>
    <row r="1888">
      <c r="A1888" s="3" t="n">
        <v>41212</v>
      </c>
      <c r="B1888" t="n">
        <v>4429.58</v>
      </c>
      <c r="C1888" t="n">
        <v>3081.04</v>
      </c>
      <c r="D1888" t="n">
        <v>2309.55</v>
      </c>
      <c r="E1888" t="n">
        <v>3663.47</v>
      </c>
      <c r="F1888" t="n">
        <v>4336.84</v>
      </c>
    </row>
    <row r="1889">
      <c r="A1889" s="3" t="n">
        <v>41213</v>
      </c>
      <c r="B1889" t="n">
        <v>4477.55</v>
      </c>
      <c r="C1889" t="n">
        <v>3101.67</v>
      </c>
      <c r="D1889" t="n">
        <v>2332.17</v>
      </c>
      <c r="E1889" t="n">
        <v>3679.4</v>
      </c>
      <c r="F1889" t="n">
        <v>4389</v>
      </c>
    </row>
    <row r="1890">
      <c r="A1890" s="3" t="n">
        <v>41214</v>
      </c>
      <c r="B1890" t="n">
        <v>4499.38</v>
      </c>
      <c r="C1890" t="n">
        <v>3125.38</v>
      </c>
      <c r="D1890" t="n">
        <v>2367.13</v>
      </c>
      <c r="E1890" t="n">
        <v>3687.4</v>
      </c>
      <c r="F1890" t="n">
        <v>4417.86</v>
      </c>
    </row>
    <row r="1891">
      <c r="A1891" s="3" t="n">
        <v>41215</v>
      </c>
      <c r="B1891" t="n">
        <v>4515.58</v>
      </c>
      <c r="C1891" t="n">
        <v>3145.95</v>
      </c>
      <c r="D1891" t="n">
        <v>2390.25</v>
      </c>
      <c r="E1891" t="n">
        <v>3704.95</v>
      </c>
      <c r="F1891" t="n">
        <v>4430.36</v>
      </c>
    </row>
    <row r="1892">
      <c r="A1892" s="3" t="n">
        <v>41218</v>
      </c>
      <c r="B1892" t="n">
        <v>4512.66</v>
      </c>
      <c r="C1892" t="n">
        <v>3148.46</v>
      </c>
      <c r="D1892" t="n">
        <v>2377.66</v>
      </c>
      <c r="E1892" t="n">
        <v>3710.81</v>
      </c>
      <c r="F1892" t="n">
        <v>4422.31</v>
      </c>
    </row>
    <row r="1893">
      <c r="A1893" s="3" t="n">
        <v>41219</v>
      </c>
      <c r="B1893" t="n">
        <v>4560.04</v>
      </c>
      <c r="C1893" t="n">
        <v>3160.4</v>
      </c>
      <c r="D1893" t="n">
        <v>2399.57</v>
      </c>
      <c r="E1893" t="n">
        <v>3739.11</v>
      </c>
      <c r="F1893" t="n">
        <v>4466.01</v>
      </c>
    </row>
    <row r="1894">
      <c r="A1894" s="3" t="n">
        <v>41220</v>
      </c>
      <c r="B1894" t="n">
        <v>4610.73</v>
      </c>
      <c r="C1894" t="n">
        <v>3179.64</v>
      </c>
      <c r="D1894" t="n">
        <v>2423.5</v>
      </c>
      <c r="E1894" t="n">
        <v>3755.9</v>
      </c>
      <c r="F1894" t="n">
        <v>4506.94</v>
      </c>
    </row>
    <row r="1895">
      <c r="A1895" s="3" t="n">
        <v>41221</v>
      </c>
      <c r="B1895" t="n">
        <v>4611</v>
      </c>
      <c r="C1895" t="n">
        <v>3183.92</v>
      </c>
      <c r="D1895" t="n">
        <v>2444.62</v>
      </c>
      <c r="E1895" t="n">
        <v>3749.33</v>
      </c>
      <c r="F1895" t="n">
        <v>4493.38</v>
      </c>
    </row>
    <row r="1896">
      <c r="A1896" s="3" t="n">
        <v>41222</v>
      </c>
      <c r="B1896" t="n">
        <v>4589.78</v>
      </c>
      <c r="C1896" t="n">
        <v>3165.13</v>
      </c>
      <c r="D1896" t="n">
        <v>2400.81</v>
      </c>
      <c r="E1896" t="n">
        <v>3733.41</v>
      </c>
      <c r="F1896" t="n">
        <v>4449.08</v>
      </c>
    </row>
    <row r="1897">
      <c r="A1897" s="3" t="n">
        <v>41225</v>
      </c>
      <c r="B1897" t="n">
        <v>4689.62</v>
      </c>
      <c r="C1897" t="n">
        <v>3163.08</v>
      </c>
      <c r="D1897" t="n">
        <v>2419.94</v>
      </c>
      <c r="E1897" t="n">
        <v>3732.14</v>
      </c>
      <c r="F1897" t="n">
        <v>4481.62</v>
      </c>
    </row>
    <row r="1898">
      <c r="A1898" s="3" t="n">
        <v>41226</v>
      </c>
      <c r="B1898" t="n">
        <v>4694.51</v>
      </c>
      <c r="C1898" t="n">
        <v>3167.42</v>
      </c>
      <c r="D1898" t="n">
        <v>2426.91</v>
      </c>
      <c r="E1898" t="n">
        <v>3737.88</v>
      </c>
      <c r="F1898" t="n">
        <v>4518.04</v>
      </c>
    </row>
    <row r="1899">
      <c r="A1899" s="3" t="n">
        <v>41228</v>
      </c>
      <c r="B1899" t="n">
        <v>4693.68</v>
      </c>
      <c r="C1899" t="n">
        <v>3146.3</v>
      </c>
      <c r="D1899" t="n">
        <v>2432.5</v>
      </c>
      <c r="E1899" t="n">
        <v>3710.35</v>
      </c>
      <c r="F1899" t="n">
        <v>4497.69</v>
      </c>
    </row>
    <row r="1900">
      <c r="A1900" s="3" t="n">
        <v>41229</v>
      </c>
      <c r="B1900" t="n">
        <v>4641.95</v>
      </c>
      <c r="C1900" t="n">
        <v>3120.39</v>
      </c>
      <c r="D1900" t="n">
        <v>2386.18</v>
      </c>
      <c r="E1900" t="n">
        <v>3682.21</v>
      </c>
      <c r="F1900" t="n">
        <v>4474.01</v>
      </c>
    </row>
    <row r="1901">
      <c r="A1901" s="3" t="n">
        <v>41232</v>
      </c>
      <c r="B1901" t="n">
        <v>4596.87</v>
      </c>
      <c r="C1901" t="n">
        <v>3109.22</v>
      </c>
      <c r="D1901" t="n">
        <v>2365.77</v>
      </c>
      <c r="E1901" t="n">
        <v>3671.58</v>
      </c>
      <c r="F1901" t="n">
        <v>4444.98</v>
      </c>
    </row>
    <row r="1902">
      <c r="A1902" s="3" t="n">
        <v>41233</v>
      </c>
      <c r="B1902" t="n">
        <v>4577.1</v>
      </c>
      <c r="C1902" t="n">
        <v>3105.74</v>
      </c>
      <c r="D1902" t="n">
        <v>2324.3</v>
      </c>
      <c r="E1902" t="n">
        <v>3674.81</v>
      </c>
      <c r="F1902" t="n">
        <v>4413.13</v>
      </c>
    </row>
    <row r="1903">
      <c r="A1903" s="3" t="n">
        <v>41234</v>
      </c>
      <c r="B1903" t="n">
        <v>4605.19</v>
      </c>
      <c r="C1903" t="n">
        <v>3113.53</v>
      </c>
      <c r="D1903" t="n">
        <v>2351.78</v>
      </c>
      <c r="E1903" t="n">
        <v>3694.08</v>
      </c>
      <c r="F1903" t="n">
        <v>4445.09</v>
      </c>
    </row>
    <row r="1904">
      <c r="A1904" s="3" t="n">
        <v>41235</v>
      </c>
      <c r="B1904" t="n">
        <v>4651.01</v>
      </c>
      <c r="C1904" t="n">
        <v>3118.39</v>
      </c>
      <c r="D1904" t="n">
        <v>2359.47</v>
      </c>
      <c r="E1904" t="n">
        <v>3694.36</v>
      </c>
      <c r="F1904" t="n">
        <v>4483.01</v>
      </c>
    </row>
    <row r="1905">
      <c r="A1905" s="3" t="n">
        <v>41236</v>
      </c>
      <c r="B1905" t="n">
        <v>4662.58</v>
      </c>
      <c r="C1905" t="n">
        <v>3131.41</v>
      </c>
      <c r="D1905" t="n">
        <v>2356.09</v>
      </c>
      <c r="E1905" t="n">
        <v>3690.83</v>
      </c>
      <c r="F1905" t="n">
        <v>4496.31</v>
      </c>
    </row>
    <row r="1906">
      <c r="A1906" s="3" t="n">
        <v>41239</v>
      </c>
      <c r="B1906" t="n">
        <v>4718.57</v>
      </c>
      <c r="C1906" t="n">
        <v>3170.71</v>
      </c>
      <c r="D1906" t="n">
        <v>2365.2</v>
      </c>
      <c r="E1906" t="n">
        <v>3721.33</v>
      </c>
      <c r="F1906" t="n">
        <v>4549.45</v>
      </c>
    </row>
    <row r="1907">
      <c r="A1907" s="3" t="n">
        <v>41240</v>
      </c>
      <c r="B1907" t="n">
        <v>4789.18</v>
      </c>
      <c r="C1907" t="n">
        <v>3201.96</v>
      </c>
      <c r="D1907" t="n">
        <v>2400.47</v>
      </c>
      <c r="E1907" t="n">
        <v>3766.47</v>
      </c>
      <c r="F1907" t="n">
        <v>4615.09</v>
      </c>
    </row>
    <row r="1908">
      <c r="A1908" s="3" t="n">
        <v>41242</v>
      </c>
      <c r="B1908" t="n">
        <v>4818</v>
      </c>
      <c r="C1908" t="n">
        <v>3238.38</v>
      </c>
      <c r="D1908" t="n">
        <v>2440.05</v>
      </c>
      <c r="E1908" t="n">
        <v>3831.12</v>
      </c>
      <c r="F1908" t="n">
        <v>4655.09</v>
      </c>
    </row>
    <row r="1909">
      <c r="A1909" s="3" t="n">
        <v>41243</v>
      </c>
      <c r="B1909" t="n">
        <v>4835.44</v>
      </c>
      <c r="C1909" t="n">
        <v>3245.51</v>
      </c>
      <c r="D1909" t="n">
        <v>2485.83</v>
      </c>
      <c r="E1909" t="n">
        <v>3861.49</v>
      </c>
      <c r="F1909" t="n">
        <v>4679.31</v>
      </c>
    </row>
    <row r="1910">
      <c r="A1910" s="3" t="n">
        <v>41246</v>
      </c>
      <c r="B1910" t="n">
        <v>4861.25</v>
      </c>
      <c r="C1910" t="n">
        <v>3258.35</v>
      </c>
      <c r="D1910" t="n">
        <v>2510.97</v>
      </c>
      <c r="E1910" t="n">
        <v>3870.53</v>
      </c>
      <c r="F1910" t="n">
        <v>4717.59</v>
      </c>
    </row>
    <row r="1911">
      <c r="A1911" s="3" t="n">
        <v>41247</v>
      </c>
      <c r="B1911" t="n">
        <v>4861.4</v>
      </c>
      <c r="C1911" t="n">
        <v>3260.93</v>
      </c>
      <c r="D1911" t="n">
        <v>2530.05</v>
      </c>
      <c r="E1911" t="n">
        <v>3883.79</v>
      </c>
      <c r="F1911" t="n">
        <v>4758.05</v>
      </c>
    </row>
    <row r="1912">
      <c r="A1912" s="3" t="n">
        <v>41248</v>
      </c>
      <c r="B1912" t="n">
        <v>4855.41</v>
      </c>
      <c r="C1912" t="n">
        <v>3256.72</v>
      </c>
      <c r="D1912" t="n">
        <v>2564.99</v>
      </c>
      <c r="E1912" t="n">
        <v>3891.78</v>
      </c>
      <c r="F1912" t="n">
        <v>4731.56</v>
      </c>
    </row>
    <row r="1913">
      <c r="A1913" s="3" t="n">
        <v>41249</v>
      </c>
      <c r="B1913" t="n">
        <v>4835.87</v>
      </c>
      <c r="C1913" t="n">
        <v>3264.01</v>
      </c>
      <c r="D1913" t="n">
        <v>2589.61</v>
      </c>
      <c r="E1913" t="n">
        <v>3909.96</v>
      </c>
      <c r="F1913" t="n">
        <v>4744.27</v>
      </c>
    </row>
    <row r="1914">
      <c r="A1914" s="3" t="n">
        <v>41250</v>
      </c>
      <c r="B1914" t="n">
        <v>4815.45</v>
      </c>
      <c r="C1914" t="n">
        <v>3254.34</v>
      </c>
      <c r="D1914" t="n">
        <v>2589.11</v>
      </c>
      <c r="E1914" t="n">
        <v>3897.42</v>
      </c>
      <c r="F1914" t="n">
        <v>4723.16</v>
      </c>
    </row>
    <row r="1915">
      <c r="A1915" s="3" t="n">
        <v>41253</v>
      </c>
      <c r="B1915" t="n">
        <v>4827.65</v>
      </c>
      <c r="C1915" t="n">
        <v>3253.38</v>
      </c>
      <c r="D1915" t="n">
        <v>2623.58</v>
      </c>
      <c r="E1915" t="n">
        <v>3919.07</v>
      </c>
      <c r="F1915" t="n">
        <v>4725.71</v>
      </c>
    </row>
    <row r="1916">
      <c r="A1916" s="3" t="n">
        <v>41254</v>
      </c>
      <c r="B1916" t="n">
        <v>4816.72</v>
      </c>
      <c r="C1916" t="n">
        <v>3246.67</v>
      </c>
      <c r="D1916" t="n">
        <v>2582.14</v>
      </c>
      <c r="E1916" t="n">
        <v>3925.52</v>
      </c>
      <c r="F1916" t="n">
        <v>4715.11</v>
      </c>
    </row>
    <row r="1917">
      <c r="A1917" s="3" t="n">
        <v>41255</v>
      </c>
      <c r="B1917" t="n">
        <v>4817.39</v>
      </c>
      <c r="C1917" t="n">
        <v>3248.59</v>
      </c>
      <c r="D1917" t="n">
        <v>2583.66</v>
      </c>
      <c r="E1917" t="n">
        <v>3906.1</v>
      </c>
      <c r="F1917" t="n">
        <v>4726.27</v>
      </c>
    </row>
    <row r="1918">
      <c r="A1918" s="3" t="n">
        <v>41256</v>
      </c>
      <c r="B1918" t="n">
        <v>4758.53</v>
      </c>
      <c r="C1918" t="n">
        <v>3230.22</v>
      </c>
      <c r="D1918" t="n">
        <v>2531.75</v>
      </c>
      <c r="E1918" t="n">
        <v>3873.06</v>
      </c>
      <c r="F1918" t="n">
        <v>4688.03</v>
      </c>
    </row>
    <row r="1919">
      <c r="A1919" s="3" t="n">
        <v>41257</v>
      </c>
      <c r="B1919" t="n">
        <v>4786.56</v>
      </c>
      <c r="C1919" t="n">
        <v>3227.54</v>
      </c>
      <c r="D1919" t="n">
        <v>2558.69</v>
      </c>
      <c r="E1919" t="n">
        <v>3870.28</v>
      </c>
      <c r="F1919" t="n">
        <v>4710.48</v>
      </c>
    </row>
    <row r="1920">
      <c r="A1920" s="3" t="n">
        <v>41260</v>
      </c>
      <c r="B1920" t="n">
        <v>4785.89</v>
      </c>
      <c r="C1920" t="n">
        <v>3220.26</v>
      </c>
      <c r="D1920" t="n">
        <v>2564.6</v>
      </c>
      <c r="E1920" t="n">
        <v>3867.6</v>
      </c>
      <c r="F1920" t="n">
        <v>4721.95</v>
      </c>
    </row>
    <row r="1921">
      <c r="A1921" s="3" t="n">
        <v>41261</v>
      </c>
      <c r="B1921" t="n">
        <v>4838.12</v>
      </c>
      <c r="C1921" t="n">
        <v>3238.27</v>
      </c>
      <c r="D1921" t="n">
        <v>2593.89</v>
      </c>
      <c r="E1921" t="n">
        <v>3887.21</v>
      </c>
      <c r="F1921" t="n">
        <v>4775.06</v>
      </c>
    </row>
    <row r="1922">
      <c r="A1922" s="3" t="n">
        <v>41262</v>
      </c>
      <c r="B1922" t="n">
        <v>4868.4</v>
      </c>
      <c r="C1922" t="n">
        <v>3266.52</v>
      </c>
      <c r="D1922" t="n">
        <v>2609.46</v>
      </c>
      <c r="E1922" t="n">
        <v>3917.2</v>
      </c>
      <c r="F1922" t="n">
        <v>4822.37</v>
      </c>
    </row>
    <row r="1923">
      <c r="A1923" s="3" t="n">
        <v>41263</v>
      </c>
      <c r="B1923" t="n">
        <v>4882.82</v>
      </c>
      <c r="C1923" t="n">
        <v>3266.89</v>
      </c>
      <c r="D1923" t="n">
        <v>2611.31</v>
      </c>
      <c r="E1923" t="n">
        <v>3914.22</v>
      </c>
      <c r="F1923" t="n">
        <v>4830.11</v>
      </c>
    </row>
    <row r="1924">
      <c r="A1924" s="3" t="n">
        <v>41264</v>
      </c>
      <c r="B1924" t="n">
        <v>4812.89</v>
      </c>
      <c r="C1924" t="n">
        <v>3229.74</v>
      </c>
      <c r="D1924" t="n">
        <v>2557.32</v>
      </c>
      <c r="E1924" t="n">
        <v>3870.22</v>
      </c>
      <c r="F1924" t="n">
        <v>4749.3</v>
      </c>
    </row>
    <row r="1925">
      <c r="A1925" s="3" t="n">
        <v>41267</v>
      </c>
      <c r="B1925" t="n">
        <v>4840.04</v>
      </c>
      <c r="C1925" t="n">
        <v>3248.5</v>
      </c>
      <c r="D1925" t="n">
        <v>2564.76</v>
      </c>
      <c r="E1925" t="n">
        <v>3876.76</v>
      </c>
      <c r="F1925" t="n">
        <v>4778.29</v>
      </c>
    </row>
    <row r="1926">
      <c r="A1926" s="3" t="n">
        <v>41269</v>
      </c>
      <c r="B1926" t="n">
        <v>4859.22</v>
      </c>
      <c r="C1926" t="n">
        <v>3264.97</v>
      </c>
      <c r="D1926" t="n">
        <v>2592.97</v>
      </c>
      <c r="E1926" t="n">
        <v>3899.57</v>
      </c>
      <c r="F1926" t="n">
        <v>4787.04</v>
      </c>
    </row>
    <row r="1927">
      <c r="A1927" s="3" t="n">
        <v>41270</v>
      </c>
      <c r="B1927" t="n">
        <v>4823.05</v>
      </c>
      <c r="C1927" t="n">
        <v>3255.04</v>
      </c>
      <c r="D1927" t="n">
        <v>2572.83</v>
      </c>
      <c r="E1927" t="n">
        <v>3885.94</v>
      </c>
      <c r="F1927" t="n">
        <v>4752.37</v>
      </c>
    </row>
    <row r="1928">
      <c r="A1928" s="3" t="n">
        <v>41271</v>
      </c>
      <c r="B1928" t="n">
        <v>4833.71</v>
      </c>
      <c r="C1928" t="n">
        <v>3272.28</v>
      </c>
      <c r="D1928" t="n">
        <v>2597.03</v>
      </c>
      <c r="E1928" t="n">
        <v>3906.89</v>
      </c>
      <c r="F1928" t="n">
        <v>4767.38</v>
      </c>
    </row>
    <row r="1929">
      <c r="A1929" s="3" t="n">
        <v>41274</v>
      </c>
      <c r="B1929" t="n">
        <v>4856.21</v>
      </c>
      <c r="C1929" t="n">
        <v>3287.43</v>
      </c>
      <c r="D1929" t="n">
        <v>2616.59</v>
      </c>
      <c r="E1929" t="n">
        <v>3918.05</v>
      </c>
      <c r="F1929" t="n">
        <v>4790.81</v>
      </c>
    </row>
    <row r="1930">
      <c r="A1930" s="3" t="n">
        <v>41275</v>
      </c>
      <c r="B1930" t="n">
        <v>4886.14</v>
      </c>
      <c r="C1930" t="n">
        <v>3299.89</v>
      </c>
      <c r="D1930" t="n">
        <v>2666.1</v>
      </c>
      <c r="E1930" t="n">
        <v>3933.56</v>
      </c>
      <c r="F1930" t="n">
        <v>4832.55</v>
      </c>
    </row>
    <row r="1931">
      <c r="A1931" s="3" t="n">
        <v>41276</v>
      </c>
      <c r="B1931" t="n">
        <v>4903.03</v>
      </c>
      <c r="C1931" t="n">
        <v>3311.91</v>
      </c>
      <c r="D1931" t="n">
        <v>2678.12</v>
      </c>
      <c r="E1931" t="n">
        <v>3946.29</v>
      </c>
      <c r="F1931" t="n">
        <v>4858.16</v>
      </c>
    </row>
    <row r="1932">
      <c r="A1932" s="3" t="n">
        <v>41277</v>
      </c>
      <c r="B1932" t="n">
        <v>4900.3</v>
      </c>
      <c r="C1932" t="n">
        <v>3312.7</v>
      </c>
      <c r="D1932" t="n">
        <v>2701.44</v>
      </c>
      <c r="E1932" t="n">
        <v>3956.57</v>
      </c>
      <c r="F1932" t="n">
        <v>4876.54</v>
      </c>
    </row>
    <row r="1933">
      <c r="A1933" s="3" t="n">
        <v>41278</v>
      </c>
      <c r="B1933" t="n">
        <v>4902.26</v>
      </c>
      <c r="C1933" t="n">
        <v>3322.4</v>
      </c>
      <c r="D1933" t="n">
        <v>2741.62</v>
      </c>
      <c r="E1933" t="n">
        <v>3968.12</v>
      </c>
      <c r="F1933" t="n">
        <v>4866.44</v>
      </c>
    </row>
    <row r="1934">
      <c r="A1934" s="3" t="n">
        <v>41281</v>
      </c>
      <c r="B1934" t="n">
        <v>4883.06</v>
      </c>
      <c r="C1934" t="n">
        <v>3321.2</v>
      </c>
      <c r="D1934" t="n">
        <v>2758.19</v>
      </c>
      <c r="E1934" t="n">
        <v>3959.4</v>
      </c>
      <c r="F1934" t="n">
        <v>4850.33</v>
      </c>
    </row>
    <row r="1935">
      <c r="A1935" s="3" t="n">
        <v>41282</v>
      </c>
      <c r="B1935" t="n">
        <v>4900.24</v>
      </c>
      <c r="C1935" t="n">
        <v>3325.43</v>
      </c>
      <c r="D1935" t="n">
        <v>2758.68</v>
      </c>
      <c r="E1935" t="n">
        <v>3975.69</v>
      </c>
      <c r="F1935" t="n">
        <v>4857.32</v>
      </c>
    </row>
    <row r="1936">
      <c r="A1936" s="3" t="n">
        <v>41283</v>
      </c>
      <c r="B1936" t="n">
        <v>4882.33</v>
      </c>
      <c r="C1936" t="n">
        <v>3313.84</v>
      </c>
      <c r="D1936" t="n">
        <v>2747.16</v>
      </c>
      <c r="E1936" t="n">
        <v>3957.5</v>
      </c>
      <c r="F1936" t="n">
        <v>4855.66</v>
      </c>
    </row>
    <row r="1937">
      <c r="A1937" s="3" t="n">
        <v>41284</v>
      </c>
      <c r="B1937" t="n">
        <v>4861.37</v>
      </c>
      <c r="C1937" t="n">
        <v>3307</v>
      </c>
      <c r="D1937" t="n">
        <v>2716.52</v>
      </c>
      <c r="E1937" t="n">
        <v>3941.38</v>
      </c>
      <c r="F1937" t="n">
        <v>4863.92</v>
      </c>
    </row>
    <row r="1938">
      <c r="A1938" s="3" t="n">
        <v>41285</v>
      </c>
      <c r="B1938" t="n">
        <v>4792.18</v>
      </c>
      <c r="C1938" t="n">
        <v>3302.93</v>
      </c>
      <c r="D1938" t="n">
        <v>2657.37</v>
      </c>
      <c r="E1938" t="n">
        <v>3887.69</v>
      </c>
      <c r="F1938" t="n">
        <v>4797.4</v>
      </c>
    </row>
    <row r="1939">
      <c r="A1939" s="3" t="n">
        <v>41288</v>
      </c>
      <c r="B1939" t="n">
        <v>4799.29</v>
      </c>
      <c r="C1939" t="n">
        <v>3317.85</v>
      </c>
      <c r="D1939" t="n">
        <v>2728.08</v>
      </c>
      <c r="E1939" t="n">
        <v>3912.63</v>
      </c>
      <c r="F1939" t="n">
        <v>4839.34</v>
      </c>
    </row>
    <row r="1940">
      <c r="A1940" s="3" t="n">
        <v>41289</v>
      </c>
      <c r="B1940" t="n">
        <v>4831.81</v>
      </c>
      <c r="C1940" t="n">
        <v>3323.73</v>
      </c>
      <c r="D1940" t="n">
        <v>2747.83</v>
      </c>
      <c r="E1940" t="n">
        <v>3922.32</v>
      </c>
      <c r="F1940" t="n">
        <v>4851.38</v>
      </c>
    </row>
    <row r="1941">
      <c r="A1941" s="3" t="n">
        <v>41290</v>
      </c>
      <c r="B1941" t="n">
        <v>4815.47</v>
      </c>
      <c r="C1941" t="n">
        <v>3296.87</v>
      </c>
      <c r="D1941" t="n">
        <v>2687.47</v>
      </c>
      <c r="E1941" t="n">
        <v>3905.52</v>
      </c>
      <c r="F1941" t="n">
        <v>4808.26</v>
      </c>
    </row>
    <row r="1942">
      <c r="A1942" s="3" t="n">
        <v>41291</v>
      </c>
      <c r="B1942" t="n">
        <v>4808.05</v>
      </c>
      <c r="C1942" t="n">
        <v>3294.76</v>
      </c>
      <c r="D1942" t="n">
        <v>2719.4</v>
      </c>
      <c r="E1942" t="n">
        <v>3908.77</v>
      </c>
      <c r="F1942" t="n">
        <v>4818.5</v>
      </c>
    </row>
    <row r="1943">
      <c r="A1943" s="3" t="n">
        <v>41292</v>
      </c>
      <c r="B1943" t="n">
        <v>4806.68</v>
      </c>
      <c r="C1943" t="n">
        <v>3279.18</v>
      </c>
      <c r="D1943" t="n">
        <v>2756.97</v>
      </c>
      <c r="E1943" t="n">
        <v>3925.24</v>
      </c>
      <c r="F1943" t="n">
        <v>4816.08</v>
      </c>
    </row>
    <row r="1944">
      <c r="A1944" s="3" t="n">
        <v>41295</v>
      </c>
      <c r="B1944" t="n">
        <v>4819.79</v>
      </c>
      <c r="C1944" t="n">
        <v>3276.53</v>
      </c>
      <c r="D1944" t="n">
        <v>2772.98</v>
      </c>
      <c r="E1944" t="n">
        <v>3920.96</v>
      </c>
      <c r="F1944" t="n">
        <v>4853.26</v>
      </c>
    </row>
    <row r="1945">
      <c r="A1945" s="3" t="n">
        <v>41296</v>
      </c>
      <c r="B1945" t="n">
        <v>4780.16</v>
      </c>
      <c r="C1945" t="n">
        <v>3257.89</v>
      </c>
      <c r="D1945" t="n">
        <v>2712.9</v>
      </c>
      <c r="E1945" t="n">
        <v>3915.47</v>
      </c>
      <c r="F1945" t="n">
        <v>4815.43</v>
      </c>
    </row>
    <row r="1946">
      <c r="A1946" s="3" t="n">
        <v>41297</v>
      </c>
      <c r="B1946" t="n">
        <v>4754.41</v>
      </c>
      <c r="C1946" t="n">
        <v>3230.38</v>
      </c>
      <c r="D1946" t="n">
        <v>2654.32</v>
      </c>
      <c r="E1946" t="n">
        <v>3892.13</v>
      </c>
      <c r="F1946" t="n">
        <v>4785.37</v>
      </c>
    </row>
    <row r="1947">
      <c r="A1947" s="3" t="n">
        <v>41298</v>
      </c>
      <c r="B1947" t="n">
        <v>4715.17</v>
      </c>
      <c r="C1947" t="n">
        <v>3208.91</v>
      </c>
      <c r="D1947" t="n">
        <v>2539.35</v>
      </c>
      <c r="E1947" t="n">
        <v>3859.31</v>
      </c>
      <c r="F1947" t="n">
        <v>4695.57</v>
      </c>
    </row>
    <row r="1948">
      <c r="A1948" s="3" t="n">
        <v>41299</v>
      </c>
      <c r="B1948" t="n">
        <v>4767.75</v>
      </c>
      <c r="C1948" t="n">
        <v>3239.07</v>
      </c>
      <c r="D1948" t="n">
        <v>2607.55</v>
      </c>
      <c r="E1948" t="n">
        <v>3891.92</v>
      </c>
      <c r="F1948" t="n">
        <v>4783.5</v>
      </c>
    </row>
    <row r="1949">
      <c r="A1949" s="3" t="n">
        <v>41302</v>
      </c>
      <c r="B1949" t="n">
        <v>4773.08</v>
      </c>
      <c r="C1949" t="n">
        <v>3240.61</v>
      </c>
      <c r="D1949" t="n">
        <v>2599.82</v>
      </c>
      <c r="E1949" t="n">
        <v>3887.47</v>
      </c>
      <c r="F1949" t="n">
        <v>4799.86</v>
      </c>
    </row>
    <row r="1950">
      <c r="A1950" s="3" t="n">
        <v>41303</v>
      </c>
      <c r="B1950" t="n">
        <v>4762.95</v>
      </c>
      <c r="C1950" t="n">
        <v>3231.73</v>
      </c>
      <c r="D1950" t="n">
        <v>2554.04</v>
      </c>
      <c r="E1950" t="n">
        <v>3868.59</v>
      </c>
      <c r="F1950" t="n">
        <v>4779.06</v>
      </c>
    </row>
    <row r="1951">
      <c r="A1951" s="3" t="n">
        <v>41304</v>
      </c>
      <c r="B1951" t="n">
        <v>4778.36</v>
      </c>
      <c r="C1951" t="n">
        <v>3231.31</v>
      </c>
      <c r="D1951" t="n">
        <v>2545.01</v>
      </c>
      <c r="E1951" t="n">
        <v>3872.53</v>
      </c>
      <c r="F1951" t="n">
        <v>4787.94</v>
      </c>
    </row>
    <row r="1952">
      <c r="A1952" s="3" t="n">
        <v>41305</v>
      </c>
      <c r="B1952" t="n">
        <v>4806.12</v>
      </c>
      <c r="C1952" t="n">
        <v>3251.48</v>
      </c>
      <c r="D1952" t="n">
        <v>2572.35</v>
      </c>
      <c r="E1952" t="n">
        <v>3870.29</v>
      </c>
      <c r="F1952" t="n">
        <v>4805.41</v>
      </c>
    </row>
    <row r="1953">
      <c r="A1953" s="3" t="n">
        <v>41306</v>
      </c>
      <c r="B1953" t="n">
        <v>4813.79</v>
      </c>
      <c r="C1953" t="n">
        <v>3249.8</v>
      </c>
      <c r="D1953" t="n">
        <v>2568.01</v>
      </c>
      <c r="E1953" t="n">
        <v>3868.64</v>
      </c>
      <c r="F1953" t="n">
        <v>4815.25</v>
      </c>
    </row>
    <row r="1954">
      <c r="A1954" s="3" t="n">
        <v>41309</v>
      </c>
      <c r="B1954" t="n">
        <v>4797.47</v>
      </c>
      <c r="C1954" t="n">
        <v>3247.73</v>
      </c>
      <c r="D1954" t="n">
        <v>2517.07</v>
      </c>
      <c r="E1954" t="n">
        <v>3857.81</v>
      </c>
      <c r="F1954" t="n">
        <v>4796.89</v>
      </c>
    </row>
    <row r="1955">
      <c r="A1955" s="3" t="n">
        <v>41310</v>
      </c>
      <c r="B1955" t="n">
        <v>4788.28</v>
      </c>
      <c r="C1955" t="n">
        <v>3227.97</v>
      </c>
      <c r="D1955" t="n">
        <v>2503.16</v>
      </c>
      <c r="E1955" t="n">
        <v>3858.73</v>
      </c>
      <c r="F1955" t="n">
        <v>4768.94</v>
      </c>
    </row>
    <row r="1956">
      <c r="A1956" s="3" t="n">
        <v>41311</v>
      </c>
      <c r="B1956" t="n">
        <v>4801.74</v>
      </c>
      <c r="C1956" t="n">
        <v>3225.82</v>
      </c>
      <c r="D1956" t="n">
        <v>2508.29</v>
      </c>
      <c r="E1956" t="n">
        <v>3854.9</v>
      </c>
      <c r="F1956" t="n">
        <v>4796.12</v>
      </c>
    </row>
    <row r="1957">
      <c r="A1957" s="3" t="n">
        <v>41312</v>
      </c>
      <c r="B1957" t="n">
        <v>4756.25</v>
      </c>
      <c r="C1957" t="n">
        <v>3216.74</v>
      </c>
      <c r="D1957" t="n">
        <v>2460.1</v>
      </c>
      <c r="E1957" t="n">
        <v>3837.6</v>
      </c>
      <c r="F1957" t="n">
        <v>4749.83</v>
      </c>
    </row>
    <row r="1958">
      <c r="A1958" s="3" t="n">
        <v>41313</v>
      </c>
      <c r="B1958" t="n">
        <v>4715.69</v>
      </c>
      <c r="C1958" t="n">
        <v>3205.13</v>
      </c>
      <c r="D1958" t="n">
        <v>2424.8</v>
      </c>
      <c r="E1958" t="n">
        <v>3800.57</v>
      </c>
      <c r="F1958" t="n">
        <v>4713.18</v>
      </c>
    </row>
    <row r="1959">
      <c r="A1959" s="3" t="n">
        <v>41316</v>
      </c>
      <c r="B1959" t="n">
        <v>4726.45</v>
      </c>
      <c r="C1959" t="n">
        <v>3206.78</v>
      </c>
      <c r="D1959" t="n">
        <v>2427</v>
      </c>
      <c r="E1959" t="n">
        <v>3813.59</v>
      </c>
      <c r="F1959" t="n">
        <v>4702.77</v>
      </c>
    </row>
    <row r="1960">
      <c r="A1960" s="3" t="n">
        <v>41317</v>
      </c>
      <c r="B1960" t="n">
        <v>4753.81</v>
      </c>
      <c r="C1960" t="n">
        <v>3222.39</v>
      </c>
      <c r="D1960" t="n">
        <v>2423.43</v>
      </c>
      <c r="E1960" t="n">
        <v>3834.19</v>
      </c>
      <c r="F1960" t="n">
        <v>4703.39</v>
      </c>
    </row>
    <row r="1961">
      <c r="A1961" s="3" t="n">
        <v>41318</v>
      </c>
      <c r="B1961" t="n">
        <v>4729.32</v>
      </c>
      <c r="C1961" t="n">
        <v>3222.62</v>
      </c>
      <c r="D1961" t="n">
        <v>2385.24</v>
      </c>
      <c r="E1961" t="n">
        <v>3831.63</v>
      </c>
      <c r="F1961" t="n">
        <v>4659.9</v>
      </c>
    </row>
    <row r="1962">
      <c r="A1962" s="3" t="n">
        <v>41319</v>
      </c>
      <c r="B1962" t="n">
        <v>4706.59</v>
      </c>
      <c r="C1962" t="n">
        <v>3204.67</v>
      </c>
      <c r="D1962" t="n">
        <v>2346.75</v>
      </c>
      <c r="E1962" t="n">
        <v>3822.21</v>
      </c>
      <c r="F1962" t="n">
        <v>4620.22</v>
      </c>
    </row>
    <row r="1963">
      <c r="A1963" s="3" t="n">
        <v>41320</v>
      </c>
      <c r="B1963" t="n">
        <v>4702.56</v>
      </c>
      <c r="C1963" t="n">
        <v>3201.6</v>
      </c>
      <c r="D1963" t="n">
        <v>2355.21</v>
      </c>
      <c r="E1963" t="n">
        <v>3809.14</v>
      </c>
      <c r="F1963" t="n">
        <v>4635.8</v>
      </c>
    </row>
    <row r="1964">
      <c r="A1964" s="3" t="n">
        <v>41323</v>
      </c>
      <c r="B1964" t="n">
        <v>4714.83</v>
      </c>
      <c r="C1964" t="n">
        <v>3207.52</v>
      </c>
      <c r="D1964" t="n">
        <v>2382.55</v>
      </c>
      <c r="E1964" t="n">
        <v>3813.37</v>
      </c>
      <c r="F1964" t="n">
        <v>4641.29</v>
      </c>
    </row>
    <row r="1965">
      <c r="A1965" s="3" t="n">
        <v>41324</v>
      </c>
      <c r="B1965" t="n">
        <v>4783.95</v>
      </c>
      <c r="C1965" t="n">
        <v>3241.88</v>
      </c>
      <c r="D1965" t="n">
        <v>2411.91</v>
      </c>
      <c r="E1965" t="n">
        <v>3854.2</v>
      </c>
      <c r="F1965" t="n">
        <v>4711.2</v>
      </c>
    </row>
    <row r="1966">
      <c r="A1966" s="3" t="n">
        <v>41325</v>
      </c>
      <c r="B1966" t="n">
        <v>4795.55</v>
      </c>
      <c r="C1966" t="n">
        <v>3245.47</v>
      </c>
      <c r="D1966" t="n">
        <v>2408.05</v>
      </c>
      <c r="E1966" t="n">
        <v>3852.65</v>
      </c>
      <c r="F1966" t="n">
        <v>4718.2</v>
      </c>
    </row>
    <row r="1967">
      <c r="A1967" s="3" t="n">
        <v>41326</v>
      </c>
      <c r="B1967" t="n">
        <v>4752.38</v>
      </c>
      <c r="C1967" t="n">
        <v>3217.75</v>
      </c>
      <c r="D1967" t="n">
        <v>2350.63</v>
      </c>
      <c r="E1967" t="n">
        <v>3824.52</v>
      </c>
      <c r="F1967" t="n">
        <v>4646.98</v>
      </c>
    </row>
    <row r="1968">
      <c r="A1968" s="3" t="n">
        <v>41327</v>
      </c>
      <c r="B1968" t="n">
        <v>4757.91</v>
      </c>
      <c r="C1968" t="n">
        <v>3209.89</v>
      </c>
      <c r="D1968" t="n">
        <v>2356.24</v>
      </c>
      <c r="E1968" t="n">
        <v>3819.44</v>
      </c>
      <c r="F1968" t="n">
        <v>4654.09</v>
      </c>
    </row>
    <row r="1969">
      <c r="A1969" s="3" t="n">
        <v>41330</v>
      </c>
      <c r="B1969" t="n">
        <v>4736.96</v>
      </c>
      <c r="C1969" t="n">
        <v>3215.96</v>
      </c>
      <c r="D1969" t="n">
        <v>2308.53</v>
      </c>
      <c r="E1969" t="n">
        <v>3781.43</v>
      </c>
      <c r="F1969" t="n">
        <v>4628.14</v>
      </c>
    </row>
    <row r="1970">
      <c r="A1970" s="3" t="n">
        <v>41331</v>
      </c>
      <c r="B1970" t="n">
        <v>4682.44</v>
      </c>
      <c r="C1970" t="n">
        <v>3178.89</v>
      </c>
      <c r="D1970" t="n">
        <v>2242.72</v>
      </c>
      <c r="E1970" t="n">
        <v>3728.71</v>
      </c>
      <c r="F1970" t="n">
        <v>4539.48</v>
      </c>
    </row>
    <row r="1971">
      <c r="A1971" s="3" t="n">
        <v>41332</v>
      </c>
      <c r="B1971" t="n">
        <v>4697.68</v>
      </c>
      <c r="C1971" t="n">
        <v>3184.68</v>
      </c>
      <c r="D1971" t="n">
        <v>2277.65</v>
      </c>
      <c r="E1971" t="n">
        <v>3724.8</v>
      </c>
      <c r="F1971" t="n">
        <v>4572.51</v>
      </c>
    </row>
    <row r="1972">
      <c r="A1972" s="3" t="n">
        <v>41333</v>
      </c>
      <c r="B1972" t="n">
        <v>4635.33</v>
      </c>
      <c r="C1972" t="n">
        <v>3165.68</v>
      </c>
      <c r="D1972" t="n">
        <v>2168.76</v>
      </c>
      <c r="E1972" t="n">
        <v>3675.63</v>
      </c>
      <c r="F1972" t="n">
        <v>4485.48</v>
      </c>
    </row>
    <row r="1973">
      <c r="A1973" s="3" t="n">
        <v>41334</v>
      </c>
      <c r="B1973" t="n">
        <v>4669.96</v>
      </c>
      <c r="C1973" t="n">
        <v>3195.69</v>
      </c>
      <c r="D1973" t="n">
        <v>2186.4</v>
      </c>
      <c r="E1973" t="n">
        <v>3706.66</v>
      </c>
      <c r="F1973" t="n">
        <v>4492.33</v>
      </c>
    </row>
    <row r="1974">
      <c r="A1974" s="3" t="n">
        <v>41337</v>
      </c>
      <c r="B1974" t="n">
        <v>4602.18</v>
      </c>
      <c r="C1974" t="n">
        <v>3180.66</v>
      </c>
      <c r="D1974" t="n">
        <v>2146.63</v>
      </c>
      <c r="E1974" t="n">
        <v>3692.34</v>
      </c>
      <c r="F1974" t="n">
        <v>4431.49</v>
      </c>
    </row>
    <row r="1975">
      <c r="A1975" s="3" t="n">
        <v>41338</v>
      </c>
      <c r="B1975" t="n">
        <v>4671.17</v>
      </c>
      <c r="C1975" t="n">
        <v>3210.44</v>
      </c>
      <c r="D1975" t="n">
        <v>2204.11</v>
      </c>
      <c r="E1975" t="n">
        <v>3744.38</v>
      </c>
      <c r="F1975" t="n">
        <v>4515.6</v>
      </c>
    </row>
    <row r="1976">
      <c r="A1976" s="3" t="n">
        <v>41339</v>
      </c>
      <c r="B1976" t="n">
        <v>4685.15</v>
      </c>
      <c r="C1976" t="n">
        <v>3223.19</v>
      </c>
      <c r="D1976" t="n">
        <v>2254.24</v>
      </c>
      <c r="E1976" t="n">
        <v>3741.62</v>
      </c>
      <c r="F1976" t="n">
        <v>4562.02</v>
      </c>
    </row>
    <row r="1977">
      <c r="A1977" s="3" t="n">
        <v>41340</v>
      </c>
      <c r="B1977" t="n">
        <v>4716.94</v>
      </c>
      <c r="C1977" t="n">
        <v>3250.58</v>
      </c>
      <c r="D1977" t="n">
        <v>2265.02</v>
      </c>
      <c r="E1977" t="n">
        <v>3756.41</v>
      </c>
      <c r="F1977" t="n">
        <v>4605.22</v>
      </c>
    </row>
    <row r="1978">
      <c r="A1978" s="3" t="n">
        <v>41341</v>
      </c>
      <c r="B1978" t="n">
        <v>4772.36</v>
      </c>
      <c r="C1978" t="n">
        <v>3269.56</v>
      </c>
      <c r="D1978" t="n">
        <v>2302.99</v>
      </c>
      <c r="E1978" t="n">
        <v>3798.69</v>
      </c>
      <c r="F1978" t="n">
        <v>4664.96</v>
      </c>
    </row>
    <row r="1979">
      <c r="A1979" s="3" t="n">
        <v>41344</v>
      </c>
      <c r="B1979" t="n">
        <v>4782.5</v>
      </c>
      <c r="C1979" t="n">
        <v>3261.86</v>
      </c>
      <c r="D1979" t="n">
        <v>2311.64</v>
      </c>
      <c r="E1979" t="n">
        <v>3810.89</v>
      </c>
      <c r="F1979" t="n">
        <v>4675.44</v>
      </c>
    </row>
    <row r="1980">
      <c r="A1980" s="3" t="n">
        <v>41345</v>
      </c>
      <c r="B1980" t="n">
        <v>4780.4</v>
      </c>
      <c r="C1980" t="n">
        <v>3249.55</v>
      </c>
      <c r="D1980" t="n">
        <v>2297.1</v>
      </c>
      <c r="E1980" t="n">
        <v>3795.47</v>
      </c>
      <c r="F1980" t="n">
        <v>4649.73</v>
      </c>
    </row>
    <row r="1981">
      <c r="A1981" s="3" t="n">
        <v>41346</v>
      </c>
      <c r="B1981" t="n">
        <v>4728.38</v>
      </c>
      <c r="C1981" t="n">
        <v>3219.14</v>
      </c>
      <c r="D1981" t="n">
        <v>2260.25</v>
      </c>
      <c r="E1981" t="n">
        <v>3775.04</v>
      </c>
      <c r="F1981" t="n">
        <v>4587.53</v>
      </c>
    </row>
    <row r="1982">
      <c r="A1982" s="3" t="n">
        <v>41347</v>
      </c>
      <c r="B1982" t="n">
        <v>4730.12</v>
      </c>
      <c r="C1982" t="n">
        <v>3223.48</v>
      </c>
      <c r="D1982" t="n">
        <v>2291.58</v>
      </c>
      <c r="E1982" t="n">
        <v>3782.49</v>
      </c>
      <c r="F1982" t="n">
        <v>4610.13</v>
      </c>
    </row>
    <row r="1983">
      <c r="A1983" s="3" t="n">
        <v>41348</v>
      </c>
      <c r="B1983" t="n">
        <v>4716.58</v>
      </c>
      <c r="C1983" t="n">
        <v>3228.17</v>
      </c>
      <c r="D1983" t="n">
        <v>2271.29</v>
      </c>
      <c r="E1983" t="n">
        <v>3783.91</v>
      </c>
      <c r="F1983" t="n">
        <v>4609.69</v>
      </c>
    </row>
    <row r="1984">
      <c r="A1984" s="3" t="n">
        <v>41351</v>
      </c>
      <c r="B1984" t="n">
        <v>4716.25</v>
      </c>
      <c r="C1984" t="n">
        <v>3226.85</v>
      </c>
      <c r="D1984" t="n">
        <v>2250.07</v>
      </c>
      <c r="E1984" t="n">
        <v>3783.34</v>
      </c>
      <c r="F1984" t="n">
        <v>4600.37</v>
      </c>
    </row>
    <row r="1985">
      <c r="A1985" s="3" t="n">
        <v>41352</v>
      </c>
      <c r="B1985" t="n">
        <v>4673.29</v>
      </c>
      <c r="C1985" t="n">
        <v>3202.75</v>
      </c>
      <c r="D1985" t="n">
        <v>2184.82</v>
      </c>
      <c r="E1985" t="n">
        <v>3744.72</v>
      </c>
      <c r="F1985" t="n">
        <v>4544.36</v>
      </c>
    </row>
    <row r="1986">
      <c r="A1986" s="3" t="n">
        <v>41353</v>
      </c>
      <c r="B1986" t="n">
        <v>4646.36</v>
      </c>
      <c r="C1986" t="n">
        <v>3200.48</v>
      </c>
      <c r="D1986" t="n">
        <v>2110.13</v>
      </c>
      <c r="E1986" t="n">
        <v>3719.61</v>
      </c>
      <c r="F1986" t="n">
        <v>4481.11</v>
      </c>
    </row>
    <row r="1987">
      <c r="A1987" s="3" t="n">
        <v>41354</v>
      </c>
      <c r="B1987" t="n">
        <v>4615.36</v>
      </c>
      <c r="C1987" t="n">
        <v>3163.48</v>
      </c>
      <c r="D1987" t="n">
        <v>2077.36</v>
      </c>
      <c r="E1987" t="n">
        <v>3684.18</v>
      </c>
      <c r="F1987" t="n">
        <v>4451.94</v>
      </c>
    </row>
    <row r="1988">
      <c r="A1988" s="3" t="n">
        <v>41355</v>
      </c>
      <c r="B1988" t="n">
        <v>4597.01</v>
      </c>
      <c r="C1988" t="n">
        <v>3159.88</v>
      </c>
      <c r="D1988" t="n">
        <v>2066.86</v>
      </c>
      <c r="E1988" t="n">
        <v>3685.33</v>
      </c>
      <c r="F1988" t="n">
        <v>4403.62</v>
      </c>
    </row>
    <row r="1989">
      <c r="A1989" s="3" t="n">
        <v>41358</v>
      </c>
      <c r="B1989" t="n">
        <v>4584.64</v>
      </c>
      <c r="C1989" t="n">
        <v>3144.72</v>
      </c>
      <c r="D1989" t="n">
        <v>2046.71</v>
      </c>
      <c r="E1989" t="n">
        <v>3684</v>
      </c>
      <c r="F1989" t="n">
        <v>4395.17</v>
      </c>
    </row>
    <row r="1990">
      <c r="A1990" s="3" t="n">
        <v>41359</v>
      </c>
      <c r="B1990" t="n">
        <v>4595.93</v>
      </c>
      <c r="C1990" t="n">
        <v>3151.22</v>
      </c>
      <c r="D1990" t="n">
        <v>2028.1</v>
      </c>
      <c r="E1990" t="n">
        <v>3701.02</v>
      </c>
      <c r="F1990" t="n">
        <v>4397.19</v>
      </c>
    </row>
    <row r="1991">
      <c r="A1991" s="3" t="n">
        <v>41361</v>
      </c>
      <c r="B1991" t="n">
        <v>4634.07</v>
      </c>
      <c r="C1991" t="n">
        <v>3176.95</v>
      </c>
      <c r="D1991" t="n">
        <v>2090.81</v>
      </c>
      <c r="E1991" t="n">
        <v>3724.73</v>
      </c>
      <c r="F1991" t="n">
        <v>4475.11</v>
      </c>
    </row>
    <row r="1992">
      <c r="A1992" s="3" t="n">
        <v>41365</v>
      </c>
      <c r="B1992" t="n">
        <v>4644.98</v>
      </c>
      <c r="C1992" t="n">
        <v>3191.34</v>
      </c>
      <c r="D1992" t="n">
        <v>2136.29</v>
      </c>
      <c r="E1992" t="n">
        <v>3738.23</v>
      </c>
      <c r="F1992" t="n">
        <v>4524.55</v>
      </c>
    </row>
    <row r="1993">
      <c r="A1993" s="3" t="n">
        <v>41366</v>
      </c>
      <c r="B1993" t="n">
        <v>4662.92</v>
      </c>
      <c r="C1993" t="n">
        <v>3223.15</v>
      </c>
      <c r="D1993" t="n">
        <v>2190.51</v>
      </c>
      <c r="E1993" t="n">
        <v>3767.22</v>
      </c>
      <c r="F1993" t="n">
        <v>4566.96</v>
      </c>
    </row>
    <row r="1994">
      <c r="A1994" s="3" t="n">
        <v>41367</v>
      </c>
      <c r="B1994" t="n">
        <v>4647.34</v>
      </c>
      <c r="C1994" t="n">
        <v>3192.45</v>
      </c>
      <c r="D1994" t="n">
        <v>2161.04</v>
      </c>
      <c r="E1994" t="n">
        <v>3740.34</v>
      </c>
      <c r="F1994" t="n">
        <v>4547.16</v>
      </c>
    </row>
    <row r="1995">
      <c r="A1995" s="3" t="n">
        <v>41368</v>
      </c>
      <c r="B1995" t="n">
        <v>4547.53</v>
      </c>
      <c r="C1995" t="n">
        <v>3153.94</v>
      </c>
      <c r="D1995" t="n">
        <v>2125.78</v>
      </c>
      <c r="E1995" t="n">
        <v>3700.2</v>
      </c>
      <c r="F1995" t="n">
        <v>4443.61</v>
      </c>
    </row>
    <row r="1996">
      <c r="A1996" s="3" t="n">
        <v>41369</v>
      </c>
      <c r="B1996" t="n">
        <v>4533.37</v>
      </c>
      <c r="C1996" t="n">
        <v>3151.32</v>
      </c>
      <c r="D1996" t="n">
        <v>2133.72</v>
      </c>
      <c r="E1996" t="n">
        <v>3697.25</v>
      </c>
      <c r="F1996" t="n">
        <v>4433.94</v>
      </c>
    </row>
    <row r="1997">
      <c r="A1997" s="3" t="n">
        <v>41372</v>
      </c>
      <c r="B1997" t="n">
        <v>4549.18</v>
      </c>
      <c r="C1997" t="n">
        <v>3152.93</v>
      </c>
      <c r="D1997" t="n">
        <v>2128.03</v>
      </c>
      <c r="E1997" t="n">
        <v>3701.61</v>
      </c>
      <c r="F1997" t="n">
        <v>4447.07</v>
      </c>
    </row>
    <row r="1998">
      <c r="A1998" s="3" t="n">
        <v>41373</v>
      </c>
      <c r="B1998" t="n">
        <v>4490.15</v>
      </c>
      <c r="C1998" t="n">
        <v>3132.13</v>
      </c>
      <c r="D1998" t="n">
        <v>2099.19</v>
      </c>
      <c r="E1998" t="n">
        <v>3675.5</v>
      </c>
      <c r="F1998" t="n">
        <v>4397.42</v>
      </c>
    </row>
    <row r="1999">
      <c r="A1999" s="3" t="n">
        <v>41374</v>
      </c>
      <c r="B1999" t="n">
        <v>4525.68</v>
      </c>
      <c r="C1999" t="n">
        <v>3137.49</v>
      </c>
      <c r="D1999" t="n">
        <v>2129.44</v>
      </c>
      <c r="E1999" t="n">
        <v>3689.69</v>
      </c>
      <c r="F1999" t="n">
        <v>4431.55</v>
      </c>
    </row>
    <row r="2000">
      <c r="A2000" s="3" t="n">
        <v>41375</v>
      </c>
      <c r="B2000" t="n">
        <v>4573.93</v>
      </c>
      <c r="C2000" t="n">
        <v>3159.01</v>
      </c>
      <c r="D2000" t="n">
        <v>2125.9</v>
      </c>
      <c r="E2000" t="n">
        <v>3688.05</v>
      </c>
      <c r="F2000" t="n">
        <v>4452.04</v>
      </c>
    </row>
    <row r="2001">
      <c r="A2001" s="3" t="n">
        <v>41376</v>
      </c>
      <c r="B2001" t="n">
        <v>4557.42</v>
      </c>
      <c r="C2001" t="n">
        <v>3133</v>
      </c>
      <c r="D2001" t="n">
        <v>2146.32</v>
      </c>
      <c r="E2001" t="n">
        <v>3707.97</v>
      </c>
      <c r="F2001" t="n">
        <v>4408.95</v>
      </c>
    </row>
    <row r="2002">
      <c r="A2002" s="3" t="n">
        <v>41379</v>
      </c>
      <c r="B2002" t="n">
        <v>4547.02</v>
      </c>
      <c r="C2002" t="n">
        <v>3114.31</v>
      </c>
      <c r="D2002" t="n">
        <v>2181.8</v>
      </c>
      <c r="E2002" t="n">
        <v>3708.46</v>
      </c>
      <c r="F2002" t="n">
        <v>4419.68</v>
      </c>
    </row>
    <row r="2003">
      <c r="A2003" s="3" t="n">
        <v>41380</v>
      </c>
      <c r="B2003" t="n">
        <v>4575.93</v>
      </c>
      <c r="C2003" t="n">
        <v>3152.33</v>
      </c>
      <c r="D2003" t="n">
        <v>2221.55</v>
      </c>
      <c r="E2003" t="n">
        <v>3781.04</v>
      </c>
      <c r="F2003" t="n">
        <v>4446.62</v>
      </c>
    </row>
    <row r="2004">
      <c r="A2004" s="3" t="n">
        <v>41381</v>
      </c>
      <c r="B2004" t="n">
        <v>4604.19</v>
      </c>
      <c r="C2004" t="n">
        <v>3157.72</v>
      </c>
      <c r="D2004" t="n">
        <v>2212.38</v>
      </c>
      <c r="E2004" t="n">
        <v>3787.64</v>
      </c>
      <c r="F2004" t="n">
        <v>4504.72</v>
      </c>
    </row>
    <row r="2005">
      <c r="A2005" s="3" t="n">
        <v>41382</v>
      </c>
      <c r="B2005" t="n">
        <v>4615.96</v>
      </c>
      <c r="C2005" t="n">
        <v>3182.69</v>
      </c>
      <c r="D2005" t="n">
        <v>2246.37</v>
      </c>
      <c r="E2005" t="n">
        <v>3828.33</v>
      </c>
      <c r="F2005" t="n">
        <v>4518.87</v>
      </c>
    </row>
    <row r="2006">
      <c r="A2006" s="3" t="n">
        <v>41386</v>
      </c>
      <c r="B2006" t="n">
        <v>4658.09</v>
      </c>
      <c r="C2006" t="n">
        <v>3204.33</v>
      </c>
      <c r="D2006" t="n">
        <v>2310.74</v>
      </c>
      <c r="E2006" t="n">
        <v>3859.99</v>
      </c>
      <c r="F2006" t="n">
        <v>4567.31</v>
      </c>
    </row>
    <row r="2007">
      <c r="A2007" s="3" t="n">
        <v>41387</v>
      </c>
      <c r="B2007" t="n">
        <v>4662.3</v>
      </c>
      <c r="C2007" t="n">
        <v>3206.91</v>
      </c>
      <c r="D2007" t="n">
        <v>2300.15</v>
      </c>
      <c r="E2007" t="n">
        <v>3861.01</v>
      </c>
      <c r="F2007" t="n">
        <v>4577.19</v>
      </c>
    </row>
    <row r="2008">
      <c r="A2008" s="3" t="n">
        <v>41389</v>
      </c>
      <c r="B2008" t="n">
        <v>4690.33</v>
      </c>
      <c r="C2008" t="n">
        <v>3236.04</v>
      </c>
      <c r="D2008" t="n">
        <v>2312.51</v>
      </c>
      <c r="E2008" t="n">
        <v>3928.6</v>
      </c>
      <c r="F2008" t="n">
        <v>4591.31</v>
      </c>
    </row>
    <row r="2009">
      <c r="A2009" s="3" t="n">
        <v>41390</v>
      </c>
      <c r="B2009" t="n">
        <v>4664.4</v>
      </c>
      <c r="C2009" t="n">
        <v>3223.67</v>
      </c>
      <c r="D2009" t="n">
        <v>2278.24</v>
      </c>
      <c r="E2009" t="n">
        <v>3911.98</v>
      </c>
      <c r="F2009" t="n">
        <v>4555.58</v>
      </c>
    </row>
    <row r="2010">
      <c r="A2010" s="3" t="n">
        <v>41393</v>
      </c>
      <c r="B2010" t="n">
        <v>4710.51</v>
      </c>
      <c r="C2010" t="n">
        <v>3250.76</v>
      </c>
      <c r="D2010" t="n">
        <v>2302.32</v>
      </c>
      <c r="E2010" t="n">
        <v>3936.09</v>
      </c>
      <c r="F2010" t="n">
        <v>4586.9</v>
      </c>
    </row>
    <row r="2011">
      <c r="A2011" s="3" t="n">
        <v>41394</v>
      </c>
      <c r="B2011" t="n">
        <v>4770.98</v>
      </c>
      <c r="C2011" t="n">
        <v>3303.41</v>
      </c>
      <c r="D2011" t="n">
        <v>2286.16</v>
      </c>
      <c r="E2011" t="n">
        <v>3985.42</v>
      </c>
      <c r="F2011" t="n">
        <v>4628.6</v>
      </c>
    </row>
    <row r="2012">
      <c r="A2012" s="3" t="n">
        <v>41396</v>
      </c>
      <c r="B2012" t="n">
        <v>4840.47</v>
      </c>
      <c r="C2012" t="n">
        <v>3325.44</v>
      </c>
      <c r="D2012" t="n">
        <v>2315.32</v>
      </c>
      <c r="E2012" t="n">
        <v>4011.03</v>
      </c>
      <c r="F2012" t="n">
        <v>4686.21</v>
      </c>
    </row>
    <row r="2013">
      <c r="A2013" s="3" t="n">
        <v>41397</v>
      </c>
      <c r="B2013" t="n">
        <v>4823.9</v>
      </c>
      <c r="C2013" t="n">
        <v>3315.36</v>
      </c>
      <c r="D2013" t="n">
        <v>2296.53</v>
      </c>
      <c r="E2013" t="n">
        <v>3993.47</v>
      </c>
      <c r="F2013" t="n">
        <v>4682.85</v>
      </c>
    </row>
    <row r="2014">
      <c r="A2014" s="3" t="n">
        <v>41400</v>
      </c>
      <c r="B2014" t="n">
        <v>4871.48</v>
      </c>
      <c r="C2014" t="n">
        <v>3347.62</v>
      </c>
      <c r="D2014" t="n">
        <v>2328.55</v>
      </c>
      <c r="E2014" t="n">
        <v>4000.87</v>
      </c>
      <c r="F2014" t="n">
        <v>4741.96</v>
      </c>
    </row>
    <row r="2015">
      <c r="A2015" s="3" t="n">
        <v>41401</v>
      </c>
      <c r="B2015" t="n">
        <v>4917.07</v>
      </c>
      <c r="C2015" t="n">
        <v>3378.07</v>
      </c>
      <c r="D2015" t="n">
        <v>2334.11</v>
      </c>
      <c r="E2015" t="n">
        <v>4034.72</v>
      </c>
      <c r="F2015" t="n">
        <v>4779.95</v>
      </c>
    </row>
    <row r="2016">
      <c r="A2016" s="3" t="n">
        <v>41402</v>
      </c>
      <c r="B2016" t="n">
        <v>4949.12</v>
      </c>
      <c r="C2016" t="n">
        <v>3383.02</v>
      </c>
      <c r="D2016" t="n">
        <v>2343.64</v>
      </c>
      <c r="E2016" t="n">
        <v>4050.41</v>
      </c>
      <c r="F2016" t="n">
        <v>4823.39</v>
      </c>
    </row>
    <row r="2017">
      <c r="A2017" s="3" t="n">
        <v>41403</v>
      </c>
      <c r="B2017" t="n">
        <v>4950.11</v>
      </c>
      <c r="C2017" t="n">
        <v>3371.76</v>
      </c>
      <c r="D2017" t="n">
        <v>2329.19</v>
      </c>
      <c r="E2017" t="n">
        <v>4023.14</v>
      </c>
      <c r="F2017" t="n">
        <v>4796</v>
      </c>
    </row>
    <row r="2018">
      <c r="A2018" s="3" t="n">
        <v>41404</v>
      </c>
      <c r="B2018" t="n">
        <v>4994.47</v>
      </c>
      <c r="C2018" t="n">
        <v>3398.49</v>
      </c>
      <c r="D2018" t="n">
        <v>2342.49</v>
      </c>
      <c r="E2018" t="n">
        <v>4040.83</v>
      </c>
      <c r="F2018" t="n">
        <v>4792.65</v>
      </c>
    </row>
    <row r="2019">
      <c r="A2019" s="3" t="n">
        <v>41405</v>
      </c>
      <c r="B2019" t="n">
        <v>5006.69</v>
      </c>
      <c r="C2019" t="n">
        <v>3415.89</v>
      </c>
      <c r="D2019" t="n">
        <v>2350.25</v>
      </c>
      <c r="E2019" t="n">
        <v>4062.58</v>
      </c>
      <c r="F2019" t="n">
        <v>4822.42</v>
      </c>
    </row>
    <row r="2020">
      <c r="A2020" s="3" t="n">
        <v>41407</v>
      </c>
      <c r="B2020" t="n">
        <v>4953.37</v>
      </c>
      <c r="C2020" t="n">
        <v>3369.81</v>
      </c>
      <c r="D2020" t="n">
        <v>2294.22</v>
      </c>
      <c r="E2020" t="n">
        <v>4008.9</v>
      </c>
      <c r="F2020" t="n">
        <v>4780.28</v>
      </c>
    </row>
    <row r="2021">
      <c r="A2021" s="3" t="n">
        <v>41408</v>
      </c>
      <c r="B2021" t="n">
        <v>4967.54</v>
      </c>
      <c r="C2021" t="n">
        <v>3376.67</v>
      </c>
      <c r="D2021" t="n">
        <v>2304.79</v>
      </c>
      <c r="E2021" t="n">
        <v>4018.42</v>
      </c>
      <c r="F2021" t="n">
        <v>4775.59</v>
      </c>
    </row>
    <row r="2022">
      <c r="A2022" s="3" t="n">
        <v>41409</v>
      </c>
      <c r="B2022" t="n">
        <v>5047.11</v>
      </c>
      <c r="C2022" t="n">
        <v>3418.4</v>
      </c>
      <c r="D2022" t="n">
        <v>2373.25</v>
      </c>
      <c r="E2022" t="n">
        <v>4091.39</v>
      </c>
      <c r="F2022" t="n">
        <v>4842.35</v>
      </c>
    </row>
    <row r="2023">
      <c r="A2023" s="3" t="n">
        <v>41410</v>
      </c>
      <c r="B2023" t="n">
        <v>5082.09</v>
      </c>
      <c r="C2023" t="n">
        <v>3414.85</v>
      </c>
      <c r="D2023" t="n">
        <v>2383.41</v>
      </c>
      <c r="E2023" t="n">
        <v>4107.74</v>
      </c>
      <c r="F2023" t="n">
        <v>4852.61</v>
      </c>
    </row>
    <row r="2024">
      <c r="A2024" s="3" t="n">
        <v>41411</v>
      </c>
      <c r="B2024" t="n">
        <v>5092.85</v>
      </c>
      <c r="C2024" t="n">
        <v>3420.41</v>
      </c>
      <c r="D2024" t="n">
        <v>2384.84</v>
      </c>
      <c r="E2024" t="n">
        <v>4108.48</v>
      </c>
      <c r="F2024" t="n">
        <v>4848.45</v>
      </c>
    </row>
    <row r="2025">
      <c r="A2025" s="3" t="n">
        <v>41414</v>
      </c>
      <c r="B2025" t="n">
        <v>5056.56</v>
      </c>
      <c r="C2025" t="n">
        <v>3390.55</v>
      </c>
      <c r="D2025" t="n">
        <v>2372.97</v>
      </c>
      <c r="E2025" t="n">
        <v>4083.64</v>
      </c>
      <c r="F2025" t="n">
        <v>4827.35</v>
      </c>
    </row>
    <row r="2026">
      <c r="A2026" s="3" t="n">
        <v>41415</v>
      </c>
      <c r="B2026" t="n">
        <v>5041.4</v>
      </c>
      <c r="C2026" t="n">
        <v>3373.46</v>
      </c>
      <c r="D2026" t="n">
        <v>2346</v>
      </c>
      <c r="E2026" t="n">
        <v>4052.54</v>
      </c>
      <c r="F2026" t="n">
        <v>4796.92</v>
      </c>
    </row>
    <row r="2027">
      <c r="A2027" s="3" t="n">
        <v>41416</v>
      </c>
      <c r="B2027" t="n">
        <v>5042.62</v>
      </c>
      <c r="C2027" t="n">
        <v>3375.69</v>
      </c>
      <c r="D2027" t="n">
        <v>2301.07</v>
      </c>
      <c r="E2027" t="n">
        <v>4059.13</v>
      </c>
      <c r="F2027" t="n">
        <v>4799.09</v>
      </c>
    </row>
    <row r="2028">
      <c r="A2028" s="3" t="n">
        <v>41417</v>
      </c>
      <c r="B2028" t="n">
        <v>4978.22</v>
      </c>
      <c r="C2028" t="n">
        <v>3345.9</v>
      </c>
      <c r="D2028" t="n">
        <v>2232.01</v>
      </c>
      <c r="E2028" t="n">
        <v>4010.78</v>
      </c>
      <c r="F2028" t="n">
        <v>4667.22</v>
      </c>
    </row>
    <row r="2029">
      <c r="A2029" s="3" t="n">
        <v>41418</v>
      </c>
      <c r="B2029" t="n">
        <v>4987.36</v>
      </c>
      <c r="C2029" t="n">
        <v>3350.95</v>
      </c>
      <c r="D2029" t="n">
        <v>2248.41</v>
      </c>
      <c r="E2029" t="n">
        <v>4015.03</v>
      </c>
      <c r="F2029" t="n">
        <v>4694.8</v>
      </c>
    </row>
    <row r="2030">
      <c r="A2030" s="3" t="n">
        <v>41421</v>
      </c>
      <c r="B2030" t="n">
        <v>5054.83</v>
      </c>
      <c r="C2030" t="n">
        <v>3406.91</v>
      </c>
      <c r="D2030" t="n">
        <v>2277.05</v>
      </c>
      <c r="E2030" t="n">
        <v>4080.4</v>
      </c>
      <c r="F2030" t="n">
        <v>4735.56</v>
      </c>
    </row>
    <row r="2031">
      <c r="A2031" s="3" t="n">
        <v>41422</v>
      </c>
      <c r="B2031" t="n">
        <v>5081.54</v>
      </c>
      <c r="C2031" t="n">
        <v>3435.02</v>
      </c>
      <c r="D2031" t="n">
        <v>2293.78</v>
      </c>
      <c r="E2031" t="n">
        <v>4098.92</v>
      </c>
      <c r="F2031" t="n">
        <v>4726.41</v>
      </c>
    </row>
    <row r="2032">
      <c r="A2032" s="3" t="n">
        <v>41423</v>
      </c>
      <c r="B2032" t="n">
        <v>5093.99</v>
      </c>
      <c r="C2032" t="n">
        <v>3456.78</v>
      </c>
      <c r="D2032" t="n">
        <v>2259.12</v>
      </c>
      <c r="E2032" t="n">
        <v>4115.52</v>
      </c>
      <c r="F2032" t="n">
        <v>4721.41</v>
      </c>
    </row>
    <row r="2033">
      <c r="A2033" s="3" t="n">
        <v>41424</v>
      </c>
      <c r="B2033" t="n">
        <v>5102.02</v>
      </c>
      <c r="C2033" t="n">
        <v>3475.79</v>
      </c>
      <c r="D2033" t="n">
        <v>2246.35</v>
      </c>
      <c r="E2033" t="n">
        <v>4133.22</v>
      </c>
      <c r="F2033" t="n">
        <v>4725.26</v>
      </c>
    </row>
    <row r="2034">
      <c r="A2034" s="3" t="n">
        <v>41425</v>
      </c>
      <c r="B2034" t="n">
        <v>5096.52</v>
      </c>
      <c r="C2034" t="n">
        <v>3449.73</v>
      </c>
      <c r="D2034" t="n">
        <v>2160.69</v>
      </c>
      <c r="E2034" t="n">
        <v>4053.7</v>
      </c>
      <c r="F2034" t="n">
        <v>4679.85</v>
      </c>
    </row>
    <row r="2035">
      <c r="A2035" s="3" t="n">
        <v>41428</v>
      </c>
      <c r="B2035" t="n">
        <v>5074.55</v>
      </c>
      <c r="C2035" t="n">
        <v>3421.75</v>
      </c>
      <c r="D2035" t="n">
        <v>2171.59</v>
      </c>
      <c r="E2035" t="n">
        <v>4015.48</v>
      </c>
      <c r="F2035" t="n">
        <v>4689.54</v>
      </c>
    </row>
    <row r="2036">
      <c r="A2036" s="3" t="n">
        <v>41429</v>
      </c>
      <c r="B2036" t="n">
        <v>5142.5</v>
      </c>
      <c r="C2036" t="n">
        <v>3422.27</v>
      </c>
      <c r="D2036" t="n">
        <v>2172.2</v>
      </c>
      <c r="E2036" t="n">
        <v>4024.23</v>
      </c>
      <c r="F2036" t="n">
        <v>4707.82</v>
      </c>
    </row>
    <row r="2037">
      <c r="A2037" s="3" t="n">
        <v>41430</v>
      </c>
      <c r="B2037" t="n">
        <v>5124.49</v>
      </c>
      <c r="C2037" t="n">
        <v>3419.06</v>
      </c>
      <c r="D2037" t="n">
        <v>2192.43</v>
      </c>
      <c r="E2037" t="n">
        <v>4032.6</v>
      </c>
      <c r="F2037" t="n">
        <v>4696.19</v>
      </c>
    </row>
    <row r="2038">
      <c r="A2038" s="3" t="n">
        <v>41431</v>
      </c>
      <c r="B2038" t="n">
        <v>5096.84</v>
      </c>
      <c r="C2038" t="n">
        <v>3400.66</v>
      </c>
      <c r="D2038" t="n">
        <v>2196.9</v>
      </c>
      <c r="E2038" t="n">
        <v>4015.88</v>
      </c>
      <c r="F2038" t="n">
        <v>4684.16</v>
      </c>
    </row>
    <row r="2039">
      <c r="A2039" s="3" t="n">
        <v>41432</v>
      </c>
      <c r="B2039" t="n">
        <v>5075.05</v>
      </c>
      <c r="C2039" t="n">
        <v>3397.81</v>
      </c>
      <c r="D2039" t="n">
        <v>2168.23</v>
      </c>
      <c r="E2039" t="n">
        <v>3994.98</v>
      </c>
      <c r="F2039" t="n">
        <v>4666.67</v>
      </c>
    </row>
    <row r="2040">
      <c r="A2040" s="3" t="n">
        <v>41435</v>
      </c>
      <c r="B2040" t="n">
        <v>5071.07</v>
      </c>
      <c r="C2040" t="n">
        <v>3381.52</v>
      </c>
      <c r="D2040" t="n">
        <v>2115.63</v>
      </c>
      <c r="E2040" t="n">
        <v>3996.99</v>
      </c>
      <c r="F2040" t="n">
        <v>4626.84</v>
      </c>
    </row>
    <row r="2041">
      <c r="A2041" s="3" t="n">
        <v>41436</v>
      </c>
      <c r="B2041" t="n">
        <v>5033.53</v>
      </c>
      <c r="C2041" t="n">
        <v>3344.58</v>
      </c>
      <c r="D2041" t="n">
        <v>2056.96</v>
      </c>
      <c r="E2041" t="n">
        <v>3957.71</v>
      </c>
      <c r="F2041" t="n">
        <v>4553.73</v>
      </c>
    </row>
    <row r="2042">
      <c r="A2042" s="3" t="n">
        <v>41437</v>
      </c>
      <c r="B2042" t="n">
        <v>5004.65</v>
      </c>
      <c r="C2042" t="n">
        <v>3309.77</v>
      </c>
      <c r="D2042" t="n">
        <v>2057.99</v>
      </c>
      <c r="E2042" t="n">
        <v>3942.31</v>
      </c>
      <c r="F2042" t="n">
        <v>4496.66</v>
      </c>
    </row>
    <row r="2043">
      <c r="A2043" s="3" t="n">
        <v>41438</v>
      </c>
      <c r="B2043" t="n">
        <v>4939.48</v>
      </c>
      <c r="C2043" t="n">
        <v>3263.84</v>
      </c>
      <c r="D2043" t="n">
        <v>2022.58</v>
      </c>
      <c r="E2043" t="n">
        <v>3895.24</v>
      </c>
      <c r="F2043" t="n">
        <v>4436.51</v>
      </c>
    </row>
    <row r="2044">
      <c r="A2044" s="3" t="n">
        <v>41439</v>
      </c>
      <c r="B2044" t="n">
        <v>4990.21</v>
      </c>
      <c r="C2044" t="n">
        <v>3307.16</v>
      </c>
      <c r="D2044" t="n">
        <v>2064.56</v>
      </c>
      <c r="E2044" t="n">
        <v>3950.65</v>
      </c>
      <c r="F2044" t="n">
        <v>4493.42</v>
      </c>
    </row>
    <row r="2045">
      <c r="A2045" s="3" t="n">
        <v>41442</v>
      </c>
      <c r="B2045" t="n">
        <v>5048.87</v>
      </c>
      <c r="C2045" t="n">
        <v>3326.35</v>
      </c>
      <c r="D2045" t="n">
        <v>2074</v>
      </c>
      <c r="E2045" t="n">
        <v>3974.35</v>
      </c>
      <c r="F2045" t="n">
        <v>4546.24</v>
      </c>
    </row>
    <row r="2046">
      <c r="A2046" s="3" t="n">
        <v>41443</v>
      </c>
      <c r="B2046" t="n">
        <v>5071.27</v>
      </c>
      <c r="C2046" t="n">
        <v>3324.87</v>
      </c>
      <c r="D2046" t="n">
        <v>2093.61</v>
      </c>
      <c r="E2046" t="n">
        <v>3952.99</v>
      </c>
      <c r="F2046" t="n">
        <v>4563.33</v>
      </c>
    </row>
    <row r="2047">
      <c r="A2047" s="3" t="n">
        <v>41444</v>
      </c>
      <c r="B2047" t="n">
        <v>5091.76</v>
      </c>
      <c r="C2047" t="n">
        <v>3322.56</v>
      </c>
      <c r="D2047" t="n">
        <v>2109.08</v>
      </c>
      <c r="E2047" t="n">
        <v>3954.62</v>
      </c>
      <c r="F2047" t="n">
        <v>4564.84</v>
      </c>
    </row>
    <row r="2048">
      <c r="A2048" s="3" t="n">
        <v>41445</v>
      </c>
      <c r="B2048" t="n">
        <v>4982.73</v>
      </c>
      <c r="C2048" t="n">
        <v>3264.58</v>
      </c>
      <c r="D2048" t="n">
        <v>2034.04</v>
      </c>
      <c r="E2048" t="n">
        <v>3882.89</v>
      </c>
      <c r="F2048" t="n">
        <v>4484.29</v>
      </c>
    </row>
    <row r="2049">
      <c r="A2049" s="3" t="n">
        <v>41446</v>
      </c>
      <c r="B2049" t="n">
        <v>4916.32</v>
      </c>
      <c r="C2049" t="n">
        <v>3259.55</v>
      </c>
      <c r="D2049" t="n">
        <v>1981.12</v>
      </c>
      <c r="E2049" t="n">
        <v>3886.67</v>
      </c>
      <c r="F2049" t="n">
        <v>4439.71</v>
      </c>
    </row>
    <row r="2050">
      <c r="A2050" s="3" t="n">
        <v>41449</v>
      </c>
      <c r="B2050" t="n">
        <v>4814.3</v>
      </c>
      <c r="C2050" t="n">
        <v>3212.42</v>
      </c>
      <c r="D2050" t="n">
        <v>1906.29</v>
      </c>
      <c r="E2050" t="n">
        <v>3839.66</v>
      </c>
      <c r="F2050" t="n">
        <v>4317.98</v>
      </c>
    </row>
    <row r="2051">
      <c r="A2051" s="3" t="n">
        <v>41450</v>
      </c>
      <c r="B2051" t="n">
        <v>4766.44</v>
      </c>
      <c r="C2051" t="n">
        <v>3184.79</v>
      </c>
      <c r="D2051" t="n">
        <v>1912.73</v>
      </c>
      <c r="E2051" t="n">
        <v>3841.96</v>
      </c>
      <c r="F2051" t="n">
        <v>4287.6</v>
      </c>
    </row>
    <row r="2052">
      <c r="A2052" s="3" t="n">
        <v>41451</v>
      </c>
      <c r="B2052" t="n">
        <v>4758.91</v>
      </c>
      <c r="C2052" t="n">
        <v>3205.8</v>
      </c>
      <c r="D2052" t="n">
        <v>1893.25</v>
      </c>
      <c r="E2052" t="n">
        <v>3841.47</v>
      </c>
      <c r="F2052" t="n">
        <v>4265.07</v>
      </c>
    </row>
    <row r="2053">
      <c r="A2053" s="3" t="n">
        <v>41452</v>
      </c>
      <c r="B2053" t="n">
        <v>4803.83</v>
      </c>
      <c r="C2053" t="n">
        <v>3242.11</v>
      </c>
      <c r="D2053" t="n">
        <v>1902.55</v>
      </c>
      <c r="E2053" t="n">
        <v>3901.85</v>
      </c>
      <c r="F2053" t="n">
        <v>4296.28</v>
      </c>
    </row>
    <row r="2054">
      <c r="A2054" s="3" t="n">
        <v>41453</v>
      </c>
      <c r="B2054" t="n">
        <v>4879.47</v>
      </c>
      <c r="C2054" t="n">
        <v>3312.57</v>
      </c>
      <c r="D2054" t="n">
        <v>1966.23</v>
      </c>
      <c r="E2054" t="n">
        <v>3995.87</v>
      </c>
      <c r="F2054" t="n">
        <v>4358.85</v>
      </c>
    </row>
    <row r="2055">
      <c r="A2055" s="3" t="n">
        <v>41456</v>
      </c>
      <c r="B2055" t="n">
        <v>4957.51</v>
      </c>
      <c r="C2055" t="n">
        <v>3338.76</v>
      </c>
      <c r="D2055" t="n">
        <v>2051.29</v>
      </c>
      <c r="E2055" t="n">
        <v>4033.94</v>
      </c>
      <c r="F2055" t="n">
        <v>4468.11</v>
      </c>
    </row>
    <row r="2056">
      <c r="A2056" s="3" t="n">
        <v>41457</v>
      </c>
      <c r="B2056" t="n">
        <v>4953.11</v>
      </c>
      <c r="C2056" t="n">
        <v>3344.74</v>
      </c>
      <c r="D2056" t="n">
        <v>2032.86</v>
      </c>
      <c r="E2056" t="n">
        <v>4013.69</v>
      </c>
      <c r="F2056" t="n">
        <v>4456.62</v>
      </c>
    </row>
    <row r="2057">
      <c r="A2057" s="3" t="n">
        <v>41458</v>
      </c>
      <c r="B2057" t="n">
        <v>4915.09</v>
      </c>
      <c r="C2057" t="n">
        <v>3316.84</v>
      </c>
      <c r="D2057" t="n">
        <v>1966.77</v>
      </c>
      <c r="E2057" t="n">
        <v>3976.06</v>
      </c>
      <c r="F2057" t="n">
        <v>4417.82</v>
      </c>
    </row>
    <row r="2058">
      <c r="A2058" s="3" t="n">
        <v>41459</v>
      </c>
      <c r="B2058" t="n">
        <v>4971.54</v>
      </c>
      <c r="C2058" t="n">
        <v>3359.53</v>
      </c>
      <c r="D2058" t="n">
        <v>1983.39</v>
      </c>
      <c r="E2058" t="n">
        <v>4008.58</v>
      </c>
      <c r="F2058" t="n">
        <v>4458.78</v>
      </c>
    </row>
    <row r="2059">
      <c r="A2059" s="3" t="n">
        <v>41460</v>
      </c>
      <c r="B2059" t="n">
        <v>4974.39</v>
      </c>
      <c r="C2059" t="n">
        <v>3376.28</v>
      </c>
      <c r="D2059" t="n">
        <v>1988.29</v>
      </c>
      <c r="E2059" t="n">
        <v>4024.89</v>
      </c>
      <c r="F2059" t="n">
        <v>4450.63</v>
      </c>
    </row>
    <row r="2060">
      <c r="A2060" s="3" t="n">
        <v>41463</v>
      </c>
      <c r="B2060" t="n">
        <v>4970.92</v>
      </c>
      <c r="C2060" t="n">
        <v>3369.52</v>
      </c>
      <c r="D2060" t="n">
        <v>1984.04</v>
      </c>
      <c r="E2060" t="n">
        <v>3994.74</v>
      </c>
      <c r="F2060" t="n">
        <v>4464.4</v>
      </c>
    </row>
    <row r="2061">
      <c r="A2061" s="3" t="n">
        <v>41464</v>
      </c>
      <c r="B2061" t="n">
        <v>4987.85</v>
      </c>
      <c r="C2061" t="n">
        <v>3401.39</v>
      </c>
      <c r="D2061" t="n">
        <v>2002.89</v>
      </c>
      <c r="E2061" t="n">
        <v>4026.37</v>
      </c>
      <c r="F2061" t="n">
        <v>4491.75</v>
      </c>
    </row>
    <row r="2062">
      <c r="A2062" s="3" t="n">
        <v>41465</v>
      </c>
      <c r="B2062" t="n">
        <v>4974.57</v>
      </c>
      <c r="C2062" t="n">
        <v>3389.49</v>
      </c>
      <c r="D2062" t="n">
        <v>1977.79</v>
      </c>
      <c r="E2062" t="n">
        <v>4004.37</v>
      </c>
      <c r="F2062" t="n">
        <v>4477.45</v>
      </c>
    </row>
    <row r="2063">
      <c r="A2063" s="3" t="n">
        <v>41466</v>
      </c>
      <c r="B2063" t="n">
        <v>5009.29</v>
      </c>
      <c r="C2063" t="n">
        <v>3424.88</v>
      </c>
      <c r="D2063" t="n">
        <v>2008.44</v>
      </c>
      <c r="E2063" t="n">
        <v>4064.1</v>
      </c>
      <c r="F2063" t="n">
        <v>4495.68</v>
      </c>
    </row>
    <row r="2064">
      <c r="A2064" s="3" t="n">
        <v>41467</v>
      </c>
      <c r="B2064" t="n">
        <v>5042.39</v>
      </c>
      <c r="C2064" t="n">
        <v>3457.39</v>
      </c>
      <c r="D2064" t="n">
        <v>1999.81</v>
      </c>
      <c r="E2064" t="n">
        <v>4070.78</v>
      </c>
      <c r="F2064" t="n">
        <v>4512.33</v>
      </c>
    </row>
    <row r="2065">
      <c r="A2065" s="3" t="n">
        <v>41470</v>
      </c>
      <c r="B2065" t="n">
        <v>5107.62</v>
      </c>
      <c r="C2065" t="n">
        <v>3484.6</v>
      </c>
      <c r="D2065" t="n">
        <v>2037.6</v>
      </c>
      <c r="E2065" t="n">
        <v>4084.87</v>
      </c>
      <c r="F2065" t="n">
        <v>4566.72</v>
      </c>
    </row>
    <row r="2066">
      <c r="A2066" s="3" t="n">
        <v>41471</v>
      </c>
      <c r="B2066" t="n">
        <v>5089.54</v>
      </c>
      <c r="C2066" t="n">
        <v>3483.59</v>
      </c>
      <c r="D2066" t="n">
        <v>1987.32</v>
      </c>
      <c r="E2066" t="n">
        <v>4070.6</v>
      </c>
      <c r="F2066" t="n">
        <v>4514.96</v>
      </c>
    </row>
    <row r="2067">
      <c r="A2067" s="3" t="n">
        <v>41472</v>
      </c>
      <c r="B2067" t="n">
        <v>5062.62</v>
      </c>
      <c r="C2067" t="n">
        <v>3533.16</v>
      </c>
      <c r="D2067" t="n">
        <v>1949.56</v>
      </c>
      <c r="E2067" t="n">
        <v>4114.02</v>
      </c>
      <c r="F2067" t="n">
        <v>4487.91</v>
      </c>
    </row>
    <row r="2068">
      <c r="A2068" s="3" t="n">
        <v>41473</v>
      </c>
      <c r="B2068" t="n">
        <v>5092.95</v>
      </c>
      <c r="C2068" t="n">
        <v>3568.26</v>
      </c>
      <c r="D2068" t="n">
        <v>1992.32</v>
      </c>
      <c r="E2068" t="n">
        <v>4151.7</v>
      </c>
      <c r="F2068" t="n">
        <v>4522.56</v>
      </c>
    </row>
    <row r="2069">
      <c r="A2069" s="3" t="n">
        <v>41474</v>
      </c>
      <c r="B2069" t="n">
        <v>5096.73</v>
      </c>
      <c r="C2069" t="n">
        <v>3569.48</v>
      </c>
      <c r="D2069" t="n">
        <v>1970.75</v>
      </c>
      <c r="E2069" t="n">
        <v>4146.93</v>
      </c>
      <c r="F2069" t="n">
        <v>4494.81</v>
      </c>
    </row>
    <row r="2070">
      <c r="A2070" s="3" t="n">
        <v>41477</v>
      </c>
      <c r="B2070" t="n">
        <v>5079.74</v>
      </c>
      <c r="C2070" t="n">
        <v>3564.05</v>
      </c>
      <c r="D2070" t="n">
        <v>1959.58</v>
      </c>
      <c r="E2070" t="n">
        <v>4152.89</v>
      </c>
      <c r="F2070" t="n">
        <v>4490.32</v>
      </c>
    </row>
    <row r="2071">
      <c r="A2071" s="3" t="n">
        <v>41478</v>
      </c>
      <c r="B2071" t="n">
        <v>5080.73</v>
      </c>
      <c r="C2071" t="n">
        <v>3577.31</v>
      </c>
      <c r="D2071" t="n">
        <v>1959.14</v>
      </c>
      <c r="E2071" t="n">
        <v>4168.65</v>
      </c>
      <c r="F2071" t="n">
        <v>4487.34</v>
      </c>
    </row>
    <row r="2072">
      <c r="A2072" s="3" t="n">
        <v>41479</v>
      </c>
      <c r="B2072" t="n">
        <v>5036.16</v>
      </c>
      <c r="C2072" t="n">
        <v>3564.43</v>
      </c>
      <c r="D2072" t="n">
        <v>1914.58</v>
      </c>
      <c r="E2072" t="n">
        <v>4138.73</v>
      </c>
      <c r="F2072" t="n">
        <v>4430.44</v>
      </c>
    </row>
    <row r="2073">
      <c r="A2073" s="3" t="n">
        <v>41480</v>
      </c>
      <c r="B2073" t="n">
        <v>4975.51</v>
      </c>
      <c r="C2073" t="n">
        <v>3528</v>
      </c>
      <c r="D2073" t="n">
        <v>1890.41</v>
      </c>
      <c r="E2073" t="n">
        <v>4078.71</v>
      </c>
      <c r="F2073" t="n">
        <v>4397.18</v>
      </c>
    </row>
    <row r="2074">
      <c r="A2074" s="3" t="n">
        <v>41481</v>
      </c>
      <c r="B2074" t="n">
        <v>4951.23</v>
      </c>
      <c r="C2074" t="n">
        <v>3516.02</v>
      </c>
      <c r="D2074" t="n">
        <v>1851.75</v>
      </c>
      <c r="E2074" t="n">
        <v>4068.29</v>
      </c>
      <c r="F2074" t="n">
        <v>4351.06</v>
      </c>
    </row>
    <row r="2075">
      <c r="A2075" s="3" t="n">
        <v>41484</v>
      </c>
      <c r="B2075" t="n">
        <v>4860.69</v>
      </c>
      <c r="C2075" t="n">
        <v>3489.05</v>
      </c>
      <c r="D2075" t="n">
        <v>1802.88</v>
      </c>
      <c r="E2075" t="n">
        <v>4032.84</v>
      </c>
      <c r="F2075" t="n">
        <v>4280.44</v>
      </c>
    </row>
    <row r="2076">
      <c r="A2076" s="3" t="n">
        <v>41485</v>
      </c>
      <c r="B2076" t="n">
        <v>4757.5</v>
      </c>
      <c r="C2076" t="n">
        <v>3427.12</v>
      </c>
      <c r="D2076" t="n">
        <v>1731.34</v>
      </c>
      <c r="E2076" t="n">
        <v>3966.9</v>
      </c>
      <c r="F2076" t="n">
        <v>4211.21</v>
      </c>
    </row>
    <row r="2077">
      <c r="A2077" s="3" t="n">
        <v>41486</v>
      </c>
      <c r="B2077" t="n">
        <v>4721.55</v>
      </c>
      <c r="C2077" t="n">
        <v>3424.59</v>
      </c>
      <c r="D2077" t="n">
        <v>1770.71</v>
      </c>
      <c r="E2077" t="n">
        <v>3947.33</v>
      </c>
      <c r="F2077" t="n">
        <v>4201.54</v>
      </c>
    </row>
    <row r="2078">
      <c r="A2078" s="3" t="n">
        <v>41487</v>
      </c>
      <c r="B2078" t="n">
        <v>4707.54</v>
      </c>
      <c r="C2078" t="n">
        <v>3403.97</v>
      </c>
      <c r="D2078" t="n">
        <v>1696</v>
      </c>
      <c r="E2078" t="n">
        <v>3936.36</v>
      </c>
      <c r="F2078" t="n">
        <v>4182.08</v>
      </c>
    </row>
    <row r="2079">
      <c r="A2079" s="3" t="n">
        <v>41488</v>
      </c>
      <c r="B2079" t="n">
        <v>4673.3</v>
      </c>
      <c r="C2079" t="n">
        <v>3391.07</v>
      </c>
      <c r="D2079" t="n">
        <v>1640.56</v>
      </c>
      <c r="E2079" t="n">
        <v>3886.79</v>
      </c>
      <c r="F2079" t="n">
        <v>4143.15</v>
      </c>
    </row>
    <row r="2080">
      <c r="A2080" s="3" t="n">
        <v>41491</v>
      </c>
      <c r="B2080" t="n">
        <v>4668.03</v>
      </c>
      <c r="C2080" t="n">
        <v>3365.5</v>
      </c>
      <c r="D2080" t="n">
        <v>1639.47</v>
      </c>
      <c r="E2080" t="n">
        <v>3896.25</v>
      </c>
      <c r="F2080" t="n">
        <v>4130.98</v>
      </c>
    </row>
    <row r="2081">
      <c r="A2081" s="3" t="n">
        <v>41492</v>
      </c>
      <c r="B2081" t="n">
        <v>4573.2</v>
      </c>
      <c r="C2081" t="n">
        <v>3293.6</v>
      </c>
      <c r="D2081" t="n">
        <v>1584.79</v>
      </c>
      <c r="E2081" t="n">
        <v>3801.53</v>
      </c>
      <c r="F2081" t="n">
        <v>4024.25</v>
      </c>
    </row>
    <row r="2082">
      <c r="A2082" s="3" t="n">
        <v>41493</v>
      </c>
      <c r="B2082" t="n">
        <v>4570.01</v>
      </c>
      <c r="C2082" t="n">
        <v>3260.49</v>
      </c>
      <c r="D2082" t="n">
        <v>1631.81</v>
      </c>
      <c r="E2082" t="n">
        <v>3768.9</v>
      </c>
      <c r="F2082" t="n">
        <v>4016.42</v>
      </c>
    </row>
    <row r="2083">
      <c r="A2083" s="3" t="n">
        <v>41494</v>
      </c>
      <c r="B2083" t="n">
        <v>4610.22</v>
      </c>
      <c r="C2083" t="n">
        <v>3278.76</v>
      </c>
      <c r="D2083" t="n">
        <v>1651.97</v>
      </c>
      <c r="E2083" t="n">
        <v>3788.56</v>
      </c>
      <c r="F2083" t="n">
        <v>4049.47</v>
      </c>
    </row>
    <row r="2084">
      <c r="A2084" s="3" t="n">
        <v>41498</v>
      </c>
      <c r="B2084" t="n">
        <v>4711.8</v>
      </c>
      <c r="C2084" t="n">
        <v>3342.92</v>
      </c>
      <c r="D2084" t="n">
        <v>1689.58</v>
      </c>
      <c r="E2084" t="n">
        <v>3837.04</v>
      </c>
      <c r="F2084" t="n">
        <v>4146.33</v>
      </c>
    </row>
    <row r="2085">
      <c r="A2085" s="3" t="n">
        <v>41499</v>
      </c>
      <c r="B2085" t="n">
        <v>4803.16</v>
      </c>
      <c r="C2085" t="n">
        <v>3387.13</v>
      </c>
      <c r="D2085" t="n">
        <v>1715.46</v>
      </c>
      <c r="E2085" t="n">
        <v>3888.79</v>
      </c>
      <c r="F2085" t="n">
        <v>4231.17</v>
      </c>
    </row>
    <row r="2086">
      <c r="A2086" s="3" t="n">
        <v>41500</v>
      </c>
      <c r="B2086" t="n">
        <v>4843.19</v>
      </c>
      <c r="C2086" t="n">
        <v>3426.86</v>
      </c>
      <c r="D2086" t="n">
        <v>1744.41</v>
      </c>
      <c r="E2086" t="n">
        <v>3901.54</v>
      </c>
      <c r="F2086" t="n">
        <v>4289.62</v>
      </c>
    </row>
    <row r="2087">
      <c r="A2087" s="3" t="n">
        <v>41502</v>
      </c>
      <c r="B2087" t="n">
        <v>4738.35</v>
      </c>
      <c r="C2087" t="n">
        <v>3333.22</v>
      </c>
      <c r="D2087" t="n">
        <v>1635.38</v>
      </c>
      <c r="E2087" t="n">
        <v>3788.92</v>
      </c>
      <c r="F2087" t="n">
        <v>4152.32</v>
      </c>
    </row>
    <row r="2088">
      <c r="A2088" s="3" t="n">
        <v>41505</v>
      </c>
      <c r="B2088" t="n">
        <v>4652.25</v>
      </c>
      <c r="C2088" t="n">
        <v>3265.18</v>
      </c>
      <c r="D2088" t="n">
        <v>1627.26</v>
      </c>
      <c r="E2088" t="n">
        <v>3715.91</v>
      </c>
      <c r="F2088" t="n">
        <v>4059.06</v>
      </c>
    </row>
    <row r="2089">
      <c r="A2089" s="3" t="n">
        <v>41506</v>
      </c>
      <c r="B2089" t="n">
        <v>4579.5</v>
      </c>
      <c r="C2089" t="n">
        <v>3231.68</v>
      </c>
      <c r="D2089" t="n">
        <v>1646.38</v>
      </c>
      <c r="E2089" t="n">
        <v>3689.87</v>
      </c>
      <c r="F2089" t="n">
        <v>4002.63</v>
      </c>
    </row>
    <row r="2090">
      <c r="A2090" s="3" t="n">
        <v>41507</v>
      </c>
      <c r="B2090" t="n">
        <v>4528.96</v>
      </c>
      <c r="C2090" t="n">
        <v>3177.04</v>
      </c>
      <c r="D2090" t="n">
        <v>1597.23</v>
      </c>
      <c r="E2090" t="n">
        <v>3628.1</v>
      </c>
      <c r="F2090" t="n">
        <v>3945.73</v>
      </c>
    </row>
    <row r="2091">
      <c r="A2091" s="3" t="n">
        <v>41508</v>
      </c>
      <c r="B2091" t="n">
        <v>4550.55</v>
      </c>
      <c r="C2091" t="n">
        <v>3220.65</v>
      </c>
      <c r="D2091" t="n">
        <v>1652.24</v>
      </c>
      <c r="E2091" t="n">
        <v>3670.22</v>
      </c>
      <c r="F2091" t="n">
        <v>3957.94</v>
      </c>
    </row>
    <row r="2092">
      <c r="A2092" s="3" t="n">
        <v>41509</v>
      </c>
      <c r="B2092" t="n">
        <v>4626.98</v>
      </c>
      <c r="C2092" t="n">
        <v>3253.67</v>
      </c>
      <c r="D2092" t="n">
        <v>1665.53</v>
      </c>
      <c r="E2092" t="n">
        <v>3692.51</v>
      </c>
      <c r="F2092" t="n">
        <v>4018.22</v>
      </c>
    </row>
    <row r="2093">
      <c r="A2093" s="3" t="n">
        <v>41512</v>
      </c>
      <c r="B2093" t="n">
        <v>4658.06</v>
      </c>
      <c r="C2093" t="n">
        <v>3280.07</v>
      </c>
      <c r="D2093" t="n">
        <v>1679.6</v>
      </c>
      <c r="E2093" t="n">
        <v>3712.38</v>
      </c>
      <c r="F2093" t="n">
        <v>4057.9</v>
      </c>
    </row>
    <row r="2094">
      <c r="A2094" s="3" t="n">
        <v>41513</v>
      </c>
      <c r="B2094" t="n">
        <v>4557.01</v>
      </c>
      <c r="C2094" t="n">
        <v>3214.84</v>
      </c>
      <c r="D2094" t="n">
        <v>1618.01</v>
      </c>
      <c r="E2094" t="n">
        <v>3603.72</v>
      </c>
      <c r="F2094" t="n">
        <v>3948.07</v>
      </c>
    </row>
    <row r="2095">
      <c r="A2095" s="3" t="n">
        <v>41514</v>
      </c>
      <c r="B2095" t="n">
        <v>4504.84</v>
      </c>
      <c r="C2095" t="n">
        <v>3219.64</v>
      </c>
      <c r="D2095" t="n">
        <v>1591.8</v>
      </c>
      <c r="E2095" t="n">
        <v>3574.43</v>
      </c>
      <c r="F2095" t="n">
        <v>3896.54</v>
      </c>
    </row>
    <row r="2096">
      <c r="A2096" s="3" t="n">
        <v>41515</v>
      </c>
      <c r="B2096" t="n">
        <v>4596.39</v>
      </c>
      <c r="C2096" t="n">
        <v>3280.9</v>
      </c>
      <c r="D2096" t="n">
        <v>1628.83</v>
      </c>
      <c r="E2096" t="n">
        <v>3653.86</v>
      </c>
      <c r="F2096" t="n">
        <v>3985.61</v>
      </c>
    </row>
    <row r="2097">
      <c r="A2097" s="3" t="n">
        <v>41516</v>
      </c>
      <c r="B2097" t="n">
        <v>4622.59</v>
      </c>
      <c r="C2097" t="n">
        <v>3329.78</v>
      </c>
      <c r="D2097" t="n">
        <v>1633.9</v>
      </c>
      <c r="E2097" t="n">
        <v>3704.62</v>
      </c>
      <c r="F2097" t="n">
        <v>4019</v>
      </c>
    </row>
    <row r="2098">
      <c r="A2098" s="3" t="n">
        <v>41519</v>
      </c>
      <c r="B2098" t="n">
        <v>4665.34</v>
      </c>
      <c r="C2098" t="n">
        <v>3373.03</v>
      </c>
      <c r="D2098" t="n">
        <v>1686.13</v>
      </c>
      <c r="E2098" t="n">
        <v>3749.57</v>
      </c>
      <c r="F2098" t="n">
        <v>4098.64</v>
      </c>
    </row>
    <row r="2099">
      <c r="A2099" s="3" t="n">
        <v>41520</v>
      </c>
      <c r="B2099" t="n">
        <v>4601.07</v>
      </c>
      <c r="C2099" t="n">
        <v>3278.42</v>
      </c>
      <c r="D2099" t="n">
        <v>1632.8</v>
      </c>
      <c r="E2099" t="n">
        <v>3637.71</v>
      </c>
      <c r="F2099" t="n">
        <v>4042.48</v>
      </c>
    </row>
    <row r="2100">
      <c r="A2100" s="3" t="n">
        <v>41521</v>
      </c>
      <c r="B2100" t="n">
        <v>4663.09</v>
      </c>
      <c r="C2100" t="n">
        <v>3342.43</v>
      </c>
      <c r="D2100" t="n">
        <v>1669.08</v>
      </c>
      <c r="E2100" t="n">
        <v>3693.86</v>
      </c>
      <c r="F2100" t="n">
        <v>4107.02</v>
      </c>
    </row>
    <row r="2101">
      <c r="A2101" s="3" t="n">
        <v>41522</v>
      </c>
      <c r="B2101" t="n">
        <v>4738.48</v>
      </c>
      <c r="C2101" t="n">
        <v>3363.99</v>
      </c>
      <c r="D2101" t="n">
        <v>1725.18</v>
      </c>
      <c r="E2101" t="n">
        <v>3761.45</v>
      </c>
      <c r="F2101" t="n">
        <v>4183.69</v>
      </c>
    </row>
    <row r="2102">
      <c r="A2102" s="3" t="n">
        <v>41523</v>
      </c>
      <c r="B2102" t="n">
        <v>4775.87</v>
      </c>
      <c r="C2102" t="n">
        <v>3376.22</v>
      </c>
      <c r="D2102" t="n">
        <v>1743.59</v>
      </c>
      <c r="E2102" t="n">
        <v>3801.47</v>
      </c>
      <c r="F2102" t="n">
        <v>4218.13</v>
      </c>
    </row>
    <row r="2103">
      <c r="A2103" s="3" t="n">
        <v>41527</v>
      </c>
      <c r="B2103" t="n">
        <v>4911.63</v>
      </c>
      <c r="C2103" t="n">
        <v>3492.47</v>
      </c>
      <c r="D2103" t="n">
        <v>1767.17</v>
      </c>
      <c r="E2103" t="n">
        <v>3923.73</v>
      </c>
      <c r="F2103" t="n">
        <v>4328.7</v>
      </c>
    </row>
    <row r="2104">
      <c r="A2104" s="3" t="n">
        <v>41528</v>
      </c>
      <c r="B2104" t="n">
        <v>4944</v>
      </c>
      <c r="C2104" t="n">
        <v>3499.48</v>
      </c>
      <c r="D2104" t="n">
        <v>1819.25</v>
      </c>
      <c r="E2104" t="n">
        <v>3939.37</v>
      </c>
      <c r="F2104" t="n">
        <v>4382.84</v>
      </c>
    </row>
    <row r="2105">
      <c r="A2105" s="3" t="n">
        <v>41529</v>
      </c>
      <c r="B2105" t="n">
        <v>4932.31</v>
      </c>
      <c r="C2105" t="n">
        <v>3464.83</v>
      </c>
      <c r="D2105" t="n">
        <v>1795.99</v>
      </c>
      <c r="E2105" t="n">
        <v>3912.12</v>
      </c>
      <c r="F2105" t="n">
        <v>4350.94</v>
      </c>
    </row>
    <row r="2106">
      <c r="A2106" s="3" t="n">
        <v>41530</v>
      </c>
      <c r="B2106" t="n">
        <v>4896.64</v>
      </c>
      <c r="C2106" t="n">
        <v>3467.66</v>
      </c>
      <c r="D2106" t="n">
        <v>1827.73</v>
      </c>
      <c r="E2106" t="n">
        <v>3922.66</v>
      </c>
      <c r="F2106" t="n">
        <v>4337.36</v>
      </c>
    </row>
    <row r="2107">
      <c r="A2107" s="3" t="n">
        <v>41533</v>
      </c>
      <c r="B2107" t="n">
        <v>4875.34</v>
      </c>
      <c r="C2107" t="n">
        <v>3449.47</v>
      </c>
      <c r="D2107" t="n">
        <v>1820.04</v>
      </c>
      <c r="E2107" t="n">
        <v>3919.56</v>
      </c>
      <c r="F2107" t="n">
        <v>4316.11</v>
      </c>
    </row>
    <row r="2108">
      <c r="A2108" s="3" t="n">
        <v>41534</v>
      </c>
      <c r="B2108" t="n">
        <v>4875.33</v>
      </c>
      <c r="C2108" t="n">
        <v>3453.36</v>
      </c>
      <c r="D2108" t="n">
        <v>1806.66</v>
      </c>
      <c r="E2108" t="n">
        <v>3922.64</v>
      </c>
      <c r="F2108" t="n">
        <v>4298.78</v>
      </c>
    </row>
    <row r="2109">
      <c r="A2109" s="3" t="n">
        <v>41535</v>
      </c>
      <c r="B2109" t="n">
        <v>4914.42</v>
      </c>
      <c r="C2109" t="n">
        <v>3468.6</v>
      </c>
      <c r="D2109" t="n">
        <v>1816.72</v>
      </c>
      <c r="E2109" t="n">
        <v>3959.25</v>
      </c>
      <c r="F2109" t="n">
        <v>4365.33</v>
      </c>
    </row>
    <row r="2110">
      <c r="A2110" s="3" t="n">
        <v>41536</v>
      </c>
      <c r="B2110" t="n">
        <v>4973.84</v>
      </c>
      <c r="C2110" t="n">
        <v>3541.36</v>
      </c>
      <c r="D2110" t="n">
        <v>1914.86</v>
      </c>
      <c r="E2110" t="n">
        <v>4067.76</v>
      </c>
      <c r="F2110" t="n">
        <v>4464.11</v>
      </c>
    </row>
    <row r="2111">
      <c r="A2111" s="3" t="n">
        <v>41537</v>
      </c>
      <c r="B2111" t="n">
        <v>4944.57</v>
      </c>
      <c r="C2111" t="n">
        <v>3520.54</v>
      </c>
      <c r="D2111" t="n">
        <v>1841.95</v>
      </c>
      <c r="E2111" t="n">
        <v>4046.84</v>
      </c>
      <c r="F2111" t="n">
        <v>4423.46</v>
      </c>
    </row>
    <row r="2112">
      <c r="A2112" s="3" t="n">
        <v>41540</v>
      </c>
      <c r="B2112" t="n">
        <v>4941.3</v>
      </c>
      <c r="C2112" t="n">
        <v>3494.87</v>
      </c>
      <c r="D2112" t="n">
        <v>1805.95</v>
      </c>
      <c r="E2112" t="n">
        <v>3984.26</v>
      </c>
      <c r="F2112" t="n">
        <v>4401.92</v>
      </c>
    </row>
    <row r="2113">
      <c r="A2113" s="3" t="n">
        <v>41541</v>
      </c>
      <c r="B2113" t="n">
        <v>4947.79</v>
      </c>
      <c r="C2113" t="n">
        <v>3510.96</v>
      </c>
      <c r="D2113" t="n">
        <v>1792.8</v>
      </c>
      <c r="E2113" t="n">
        <v>3996.19</v>
      </c>
      <c r="F2113" t="n">
        <v>4420.22</v>
      </c>
    </row>
    <row r="2114">
      <c r="A2114" s="3" t="n">
        <v>41542</v>
      </c>
      <c r="B2114" t="n">
        <v>4959.06</v>
      </c>
      <c r="C2114" t="n">
        <v>3519.22</v>
      </c>
      <c r="D2114" t="n">
        <v>1809.26</v>
      </c>
      <c r="E2114" t="n">
        <v>3983.08</v>
      </c>
      <c r="F2114" t="n">
        <v>4430.75</v>
      </c>
    </row>
    <row r="2115">
      <c r="A2115" s="3" t="n">
        <v>41543</v>
      </c>
      <c r="B2115" t="n">
        <v>4967.06</v>
      </c>
      <c r="C2115" t="n">
        <v>3520.83</v>
      </c>
      <c r="D2115" t="n">
        <v>1803.58</v>
      </c>
      <c r="E2115" t="n">
        <v>3984.93</v>
      </c>
      <c r="F2115" t="n">
        <v>4416.5</v>
      </c>
    </row>
    <row r="2116">
      <c r="A2116" s="3" t="n">
        <v>41544</v>
      </c>
      <c r="B2116" t="n">
        <v>4988.49</v>
      </c>
      <c r="C2116" t="n">
        <v>3521.96</v>
      </c>
      <c r="D2116" t="n">
        <v>1806.24</v>
      </c>
      <c r="E2116" t="n">
        <v>3977.79</v>
      </c>
      <c r="F2116" t="n">
        <v>4436.55</v>
      </c>
    </row>
    <row r="2117">
      <c r="A2117" s="3" t="n">
        <v>41547</v>
      </c>
      <c r="B2117" t="n">
        <v>4979.39</v>
      </c>
      <c r="C2117" t="n">
        <v>3511.73</v>
      </c>
      <c r="D2117" t="n">
        <v>1786.19</v>
      </c>
      <c r="E2117" t="n">
        <v>3942.85</v>
      </c>
      <c r="F2117" t="n">
        <v>4415.82</v>
      </c>
    </row>
    <row r="2118">
      <c r="A2118" s="3" t="n">
        <v>41548</v>
      </c>
      <c r="B2118" t="n">
        <v>4983.55</v>
      </c>
      <c r="C2118" t="n">
        <v>3524.12</v>
      </c>
      <c r="D2118" t="n">
        <v>1797.74</v>
      </c>
      <c r="E2118" t="n">
        <v>3953.56</v>
      </c>
      <c r="F2118" t="n">
        <v>4440.3</v>
      </c>
    </row>
    <row r="2119">
      <c r="A2119" s="3" t="n">
        <v>41550</v>
      </c>
      <c r="B2119" t="n">
        <v>5038.2</v>
      </c>
      <c r="C2119" t="n">
        <v>3569.32</v>
      </c>
      <c r="D2119" t="n">
        <v>1839.55</v>
      </c>
      <c r="E2119" t="n">
        <v>4023.43</v>
      </c>
      <c r="F2119" t="n">
        <v>4502.67</v>
      </c>
    </row>
    <row r="2120">
      <c r="A2120" s="3" t="n">
        <v>41551</v>
      </c>
      <c r="B2120" t="n">
        <v>5040.14</v>
      </c>
      <c r="C2120" t="n">
        <v>3575.15</v>
      </c>
      <c r="D2120" t="n">
        <v>1841.44</v>
      </c>
      <c r="E2120" t="n">
        <v>4030.04</v>
      </c>
      <c r="F2120" t="n">
        <v>4515.02</v>
      </c>
    </row>
    <row r="2121">
      <c r="A2121" s="3" t="n">
        <v>41554</v>
      </c>
      <c r="B2121" t="n">
        <v>5076.59</v>
      </c>
      <c r="C2121" t="n">
        <v>3597.07</v>
      </c>
      <c r="D2121" t="n">
        <v>1850.85</v>
      </c>
      <c r="E2121" t="n">
        <v>4032.83</v>
      </c>
      <c r="F2121" t="n">
        <v>4537.39</v>
      </c>
    </row>
    <row r="2122">
      <c r="A2122" s="3" t="n">
        <v>41555</v>
      </c>
      <c r="B2122" t="n">
        <v>5082.71</v>
      </c>
      <c r="C2122" t="n">
        <v>3595.64</v>
      </c>
      <c r="D2122" t="n">
        <v>1864.3</v>
      </c>
      <c r="E2122" t="n">
        <v>4035.24</v>
      </c>
      <c r="F2122" t="n">
        <v>4535.27</v>
      </c>
    </row>
    <row r="2123">
      <c r="A2123" s="3" t="n">
        <v>41556</v>
      </c>
      <c r="B2123" t="n">
        <v>5148.53</v>
      </c>
      <c r="C2123" t="n">
        <v>3639.56</v>
      </c>
      <c r="D2123" t="n">
        <v>1884.84</v>
      </c>
      <c r="E2123" t="n">
        <v>4063.56</v>
      </c>
      <c r="F2123" t="n">
        <v>4611.78</v>
      </c>
    </row>
    <row r="2124">
      <c r="A2124" s="3" t="n">
        <v>41557</v>
      </c>
      <c r="B2124" t="n">
        <v>5175.95</v>
      </c>
      <c r="C2124" t="n">
        <v>3655.42</v>
      </c>
      <c r="D2124" t="n">
        <v>1885.48</v>
      </c>
      <c r="E2124" t="n">
        <v>4076.31</v>
      </c>
      <c r="F2124" t="n">
        <v>4650.21</v>
      </c>
    </row>
    <row r="2125">
      <c r="A2125" s="3" t="n">
        <v>41558</v>
      </c>
      <c r="B2125" t="n">
        <v>5191.92</v>
      </c>
      <c r="C2125" t="n">
        <v>3662.8</v>
      </c>
      <c r="D2125" t="n">
        <v>1900.9</v>
      </c>
      <c r="E2125" t="n">
        <v>4067.55</v>
      </c>
      <c r="F2125" t="n">
        <v>4653.17</v>
      </c>
    </row>
    <row r="2126">
      <c r="A2126" s="3" t="n">
        <v>41561</v>
      </c>
      <c r="B2126" t="n">
        <v>5221.04</v>
      </c>
      <c r="C2126" t="n">
        <v>3661.38</v>
      </c>
      <c r="D2126" t="n">
        <v>1916.49</v>
      </c>
      <c r="E2126" t="n">
        <v>4077.9</v>
      </c>
      <c r="F2126" t="n">
        <v>4670.41</v>
      </c>
    </row>
    <row r="2127">
      <c r="A2127" s="3" t="n">
        <v>41562</v>
      </c>
      <c r="B2127" t="n">
        <v>5197.49</v>
      </c>
      <c r="C2127" t="n">
        <v>3652.55</v>
      </c>
      <c r="D2127" t="n">
        <v>1876.27</v>
      </c>
      <c r="E2127" t="n">
        <v>4059.17</v>
      </c>
      <c r="F2127" t="n">
        <v>4622.48</v>
      </c>
    </row>
    <row r="2128">
      <c r="A2128" s="3" t="n">
        <v>41564</v>
      </c>
      <c r="B2128" t="n">
        <v>5125.51</v>
      </c>
      <c r="C2128" t="n">
        <v>3631.19</v>
      </c>
      <c r="D2128" t="n">
        <v>1875.27</v>
      </c>
      <c r="E2128" t="n">
        <v>4052.75</v>
      </c>
      <c r="F2128" t="n">
        <v>4583</v>
      </c>
    </row>
    <row r="2129">
      <c r="A2129" s="3" t="n">
        <v>41565</v>
      </c>
      <c r="B2129" t="n">
        <v>5188.58</v>
      </c>
      <c r="C2129" t="n">
        <v>3665.88</v>
      </c>
      <c r="D2129" t="n">
        <v>1911.85</v>
      </c>
      <c r="E2129" t="n">
        <v>4099.11</v>
      </c>
      <c r="F2129" t="n">
        <v>4622.68</v>
      </c>
    </row>
    <row r="2130">
      <c r="A2130" s="3" t="n">
        <v>41568</v>
      </c>
      <c r="B2130" t="n">
        <v>5199.61</v>
      </c>
      <c r="C2130" t="n">
        <v>3667.06</v>
      </c>
      <c r="D2130" t="n">
        <v>1938.31</v>
      </c>
      <c r="E2130" t="n">
        <v>4108.06</v>
      </c>
      <c r="F2130" t="n">
        <v>4653.27</v>
      </c>
    </row>
    <row r="2131">
      <c r="A2131" s="3" t="n">
        <v>41569</v>
      </c>
      <c r="B2131" t="n">
        <v>5220.13</v>
      </c>
      <c r="C2131" t="n">
        <v>3681.88</v>
      </c>
      <c r="D2131" t="n">
        <v>1973.18</v>
      </c>
      <c r="E2131" t="n">
        <v>4117.86</v>
      </c>
      <c r="F2131" t="n">
        <v>4693.95</v>
      </c>
    </row>
    <row r="2132">
      <c r="A2132" s="3" t="n">
        <v>41570</v>
      </c>
      <c r="B2132" t="n">
        <v>5203.4</v>
      </c>
      <c r="C2132" t="n">
        <v>3670.68</v>
      </c>
      <c r="D2132" t="n">
        <v>1981.61</v>
      </c>
      <c r="E2132" t="n">
        <v>4099.97</v>
      </c>
      <c r="F2132" t="n">
        <v>4693.31</v>
      </c>
    </row>
    <row r="2133">
      <c r="A2133" s="3" t="n">
        <v>41571</v>
      </c>
      <c r="B2133" t="n">
        <v>5158.45</v>
      </c>
      <c r="C2133" t="n">
        <v>3654.97</v>
      </c>
      <c r="D2133" t="n">
        <v>1971.43</v>
      </c>
      <c r="E2133" t="n">
        <v>4075.02</v>
      </c>
      <c r="F2133" t="n">
        <v>4681.16</v>
      </c>
    </row>
    <row r="2134">
      <c r="A2134" s="3" t="n">
        <v>41572</v>
      </c>
      <c r="B2134" t="n">
        <v>5141.56</v>
      </c>
      <c r="C2134" t="n">
        <v>3644.93</v>
      </c>
      <c r="D2134" t="n">
        <v>1942.36</v>
      </c>
      <c r="E2134" t="n">
        <v>4076.37</v>
      </c>
      <c r="F2134" t="n">
        <v>4663.27</v>
      </c>
    </row>
    <row r="2135">
      <c r="A2135" s="3" t="n">
        <v>41575</v>
      </c>
      <c r="B2135" t="n">
        <v>5085</v>
      </c>
      <c r="C2135" t="n">
        <v>3613.6</v>
      </c>
      <c r="D2135" t="n">
        <v>1914.97</v>
      </c>
      <c r="E2135" t="n">
        <v>4036.2</v>
      </c>
      <c r="F2135" t="n">
        <v>4616.27</v>
      </c>
    </row>
    <row r="2136">
      <c r="A2136" s="3" t="n">
        <v>41576</v>
      </c>
      <c r="B2136" t="n">
        <v>5163.95</v>
      </c>
      <c r="C2136" t="n">
        <v>3651.7</v>
      </c>
      <c r="D2136" t="n">
        <v>1947.35</v>
      </c>
      <c r="E2136" t="n">
        <v>4096.27</v>
      </c>
      <c r="F2136" t="n">
        <v>4676.28</v>
      </c>
    </row>
    <row r="2137">
      <c r="A2137" s="3" t="n">
        <v>41577</v>
      </c>
      <c r="B2137" t="n">
        <v>5193.34</v>
      </c>
      <c r="C2137" t="n">
        <v>3677.67</v>
      </c>
      <c r="D2137" t="n">
        <v>1949.41</v>
      </c>
      <c r="E2137" t="n">
        <v>4119.33</v>
      </c>
      <c r="F2137" t="n">
        <v>4702.35</v>
      </c>
    </row>
    <row r="2138">
      <c r="A2138" s="3" t="n">
        <v>41578</v>
      </c>
      <c r="B2138" t="n">
        <v>5197.31</v>
      </c>
      <c r="C2138" t="n">
        <v>3692.77</v>
      </c>
      <c r="D2138" t="n">
        <v>2007.52</v>
      </c>
      <c r="E2138" t="n">
        <v>4132.61</v>
      </c>
      <c r="F2138" t="n">
        <v>4722.66</v>
      </c>
    </row>
    <row r="2139">
      <c r="A2139" s="3" t="n">
        <v>41579</v>
      </c>
      <c r="B2139" t="n">
        <v>5199.09</v>
      </c>
      <c r="C2139" t="n">
        <v>3696.56</v>
      </c>
      <c r="D2139" t="n">
        <v>2065.38</v>
      </c>
      <c r="E2139" t="n">
        <v>4136.65</v>
      </c>
      <c r="F2139" t="n">
        <v>4731.1</v>
      </c>
    </row>
    <row r="2140">
      <c r="A2140" s="3" t="n">
        <v>41581</v>
      </c>
      <c r="B2140" t="n">
        <v>5238.27</v>
      </c>
      <c r="C2140" t="n">
        <v>3712.64</v>
      </c>
      <c r="D2140" t="n">
        <v>2104.49</v>
      </c>
      <c r="E2140" t="n">
        <v>4147.64</v>
      </c>
      <c r="F2140" t="n">
        <v>4761.63</v>
      </c>
    </row>
    <row r="2141">
      <c r="A2141" s="3" t="n">
        <v>41583</v>
      </c>
      <c r="B2141" t="n">
        <v>5157.7</v>
      </c>
      <c r="C2141" t="n">
        <v>3690.91</v>
      </c>
      <c r="D2141" t="n">
        <v>2148.41</v>
      </c>
      <c r="E2141" t="n">
        <v>4117.93</v>
      </c>
      <c r="F2141" t="n">
        <v>4726.95</v>
      </c>
    </row>
    <row r="2142">
      <c r="A2142" s="3" t="n">
        <v>41584</v>
      </c>
      <c r="B2142" t="n">
        <v>5183.01</v>
      </c>
      <c r="C2142" t="n">
        <v>3694.62</v>
      </c>
      <c r="D2142" t="n">
        <v>2124.19</v>
      </c>
      <c r="E2142" t="n">
        <v>4124.69</v>
      </c>
      <c r="F2142" t="n">
        <v>4729.98</v>
      </c>
    </row>
    <row r="2143">
      <c r="A2143" s="3" t="n">
        <v>41585</v>
      </c>
      <c r="B2143" t="n">
        <v>5158.37</v>
      </c>
      <c r="C2143" t="n">
        <v>3687.73</v>
      </c>
      <c r="D2143" t="n">
        <v>2067.96</v>
      </c>
      <c r="E2143" t="n">
        <v>4113.71</v>
      </c>
      <c r="F2143" t="n">
        <v>4676.24</v>
      </c>
    </row>
    <row r="2144">
      <c r="A2144" s="3" t="n">
        <v>41586</v>
      </c>
      <c r="B2144" t="n">
        <v>5175.8</v>
      </c>
      <c r="C2144" t="n">
        <v>3670.71</v>
      </c>
      <c r="D2144" t="n">
        <v>2058.64</v>
      </c>
      <c r="E2144" t="n">
        <v>4091.03</v>
      </c>
      <c r="F2144" t="n">
        <v>4677.58</v>
      </c>
    </row>
    <row r="2145">
      <c r="A2145" s="3" t="n">
        <v>41589</v>
      </c>
      <c r="B2145" t="n">
        <v>5144.01</v>
      </c>
      <c r="C2145" t="n">
        <v>3650</v>
      </c>
      <c r="D2145" t="n">
        <v>2016.75</v>
      </c>
      <c r="E2145" t="n">
        <v>4065.75</v>
      </c>
      <c r="F2145" t="n">
        <v>4652</v>
      </c>
    </row>
    <row r="2146">
      <c r="A2146" s="3" t="n">
        <v>41590</v>
      </c>
      <c r="B2146" t="n">
        <v>5125.93</v>
      </c>
      <c r="C2146" t="n">
        <v>3644.7</v>
      </c>
      <c r="D2146" t="n">
        <v>1985.44</v>
      </c>
      <c r="E2146" t="n">
        <v>4045.61</v>
      </c>
      <c r="F2146" t="n">
        <v>4622.29</v>
      </c>
    </row>
    <row r="2147">
      <c r="A2147" s="3" t="n">
        <v>41591</v>
      </c>
      <c r="B2147" t="n">
        <v>5118.93</v>
      </c>
      <c r="C2147" t="n">
        <v>3636.56</v>
      </c>
      <c r="D2147" t="n">
        <v>1959</v>
      </c>
      <c r="E2147" t="n">
        <v>4013.81</v>
      </c>
      <c r="F2147" t="n">
        <v>4618.65</v>
      </c>
    </row>
    <row r="2148">
      <c r="A2148" s="3" t="n">
        <v>41592</v>
      </c>
      <c r="B2148" t="n">
        <v>5152.99</v>
      </c>
      <c r="C2148" t="n">
        <v>3642.78</v>
      </c>
      <c r="D2148" t="n">
        <v>1999.51</v>
      </c>
      <c r="E2148" t="n">
        <v>4014.77</v>
      </c>
      <c r="F2148" t="n">
        <v>4664.11</v>
      </c>
    </row>
    <row r="2149">
      <c r="A2149" s="3" t="n">
        <v>41596</v>
      </c>
      <c r="B2149" t="n">
        <v>5209.59</v>
      </c>
      <c r="C2149" t="n">
        <v>3676.47</v>
      </c>
      <c r="D2149" t="n">
        <v>2044.79</v>
      </c>
      <c r="E2149" t="n">
        <v>4056.97</v>
      </c>
      <c r="F2149" t="n">
        <v>4712.29</v>
      </c>
    </row>
    <row r="2150">
      <c r="A2150" s="3" t="n">
        <v>41597</v>
      </c>
      <c r="B2150" t="n">
        <v>5205.38</v>
      </c>
      <c r="C2150" t="n">
        <v>3678.54</v>
      </c>
      <c r="D2150" t="n">
        <v>2065.86</v>
      </c>
      <c r="E2150" t="n">
        <v>4046.58</v>
      </c>
      <c r="F2150" t="n">
        <v>4719.27</v>
      </c>
    </row>
    <row r="2151">
      <c r="A2151" s="3" t="n">
        <v>41598</v>
      </c>
      <c r="B2151" t="n">
        <v>5153.47</v>
      </c>
      <c r="C2151" t="n">
        <v>3650.99</v>
      </c>
      <c r="D2151" t="n">
        <v>2056.84</v>
      </c>
      <c r="E2151" t="n">
        <v>4016.02</v>
      </c>
      <c r="F2151" t="n">
        <v>4686.08</v>
      </c>
    </row>
    <row r="2152">
      <c r="A2152" s="3" t="n">
        <v>41599</v>
      </c>
      <c r="B2152" t="n">
        <v>5088.7</v>
      </c>
      <c r="C2152" t="n">
        <v>3604.78</v>
      </c>
      <c r="D2152" t="n">
        <v>2001.2</v>
      </c>
      <c r="E2152" t="n">
        <v>3962.14</v>
      </c>
      <c r="F2152" t="n">
        <v>4625.41</v>
      </c>
    </row>
    <row r="2153">
      <c r="A2153" s="3" t="n">
        <v>41600</v>
      </c>
      <c r="B2153" t="n">
        <v>5097.93</v>
      </c>
      <c r="C2153" t="n">
        <v>3596.26</v>
      </c>
      <c r="D2153" t="n">
        <v>1995.07</v>
      </c>
      <c r="E2153" t="n">
        <v>3955.95</v>
      </c>
      <c r="F2153" t="n">
        <v>4629.97</v>
      </c>
    </row>
    <row r="2154">
      <c r="A2154" s="3" t="n">
        <v>41603</v>
      </c>
      <c r="B2154" t="n">
        <v>5144.54</v>
      </c>
      <c r="C2154" t="n">
        <v>3628.01</v>
      </c>
      <c r="D2154" t="n">
        <v>2039.37</v>
      </c>
      <c r="E2154" t="n">
        <v>4006.82</v>
      </c>
      <c r="F2154" t="n">
        <v>4670.79</v>
      </c>
    </row>
    <row r="2155">
      <c r="A2155" s="3" t="n">
        <v>41604</v>
      </c>
      <c r="B2155" t="n">
        <v>5168.68</v>
      </c>
      <c r="C2155" t="n">
        <v>3610.99</v>
      </c>
      <c r="D2155" t="n">
        <v>1985.68</v>
      </c>
      <c r="E2155" t="n">
        <v>3982.98</v>
      </c>
      <c r="F2155" t="n">
        <v>4674.51</v>
      </c>
    </row>
    <row r="2156">
      <c r="A2156" s="3" t="n">
        <v>41605</v>
      </c>
      <c r="B2156" t="n">
        <v>5163.2</v>
      </c>
      <c r="C2156" t="n">
        <v>3617.52</v>
      </c>
      <c r="D2156" t="n">
        <v>2000.76</v>
      </c>
      <c r="E2156" t="n">
        <v>3977.99</v>
      </c>
      <c r="F2156" t="n">
        <v>4693.86</v>
      </c>
    </row>
    <row r="2157">
      <c r="A2157" s="3" t="n">
        <v>41606</v>
      </c>
      <c r="B2157" t="n">
        <v>5188.13</v>
      </c>
      <c r="C2157" t="n">
        <v>3629.8</v>
      </c>
      <c r="D2157" t="n">
        <v>2023.66</v>
      </c>
      <c r="E2157" t="n">
        <v>3996.66</v>
      </c>
      <c r="F2157" t="n">
        <v>4710.32</v>
      </c>
    </row>
    <row r="2158">
      <c r="A2158" s="3" t="n">
        <v>41607</v>
      </c>
      <c r="B2158" t="n">
        <v>5208.37</v>
      </c>
      <c r="C2158" t="n">
        <v>3671.6</v>
      </c>
      <c r="D2158" t="n">
        <v>2052.91</v>
      </c>
      <c r="E2158" t="n">
        <v>4035.35</v>
      </c>
      <c r="F2158" t="n">
        <v>4741.64</v>
      </c>
    </row>
    <row r="2159">
      <c r="A2159" s="3" t="n">
        <v>41610</v>
      </c>
      <c r="B2159" t="n">
        <v>5265.6</v>
      </c>
      <c r="C2159" t="n">
        <v>3706.1</v>
      </c>
      <c r="D2159" t="n">
        <v>2085.73</v>
      </c>
      <c r="E2159" t="n">
        <v>4052.18</v>
      </c>
      <c r="F2159" t="n">
        <v>4798.43</v>
      </c>
    </row>
    <row r="2160">
      <c r="A2160" s="3" t="n">
        <v>41611</v>
      </c>
      <c r="B2160" t="n">
        <v>5247.78</v>
      </c>
      <c r="C2160" t="n">
        <v>3707.16</v>
      </c>
      <c r="D2160" t="n">
        <v>2079.6</v>
      </c>
      <c r="E2160" t="n">
        <v>4045.1</v>
      </c>
      <c r="F2160" t="n">
        <v>4792.79</v>
      </c>
    </row>
    <row r="2161">
      <c r="A2161" s="3" t="n">
        <v>41612</v>
      </c>
      <c r="B2161" t="n">
        <v>5213.21</v>
      </c>
      <c r="C2161" t="n">
        <v>3687.69</v>
      </c>
      <c r="D2161" t="n">
        <v>2069.75</v>
      </c>
      <c r="E2161" t="n">
        <v>4024.97</v>
      </c>
      <c r="F2161" t="n">
        <v>4753.05</v>
      </c>
    </row>
    <row r="2162">
      <c r="A2162" s="3" t="n">
        <v>41613</v>
      </c>
      <c r="B2162" t="n">
        <v>5194.37</v>
      </c>
      <c r="C2162" t="n">
        <v>3673.77</v>
      </c>
      <c r="D2162" t="n">
        <v>2113.25</v>
      </c>
      <c r="E2162" t="n">
        <v>4038.46</v>
      </c>
      <c r="F2162" t="n">
        <v>4736.23</v>
      </c>
    </row>
    <row r="2163">
      <c r="A2163" s="3" t="n">
        <v>41614</v>
      </c>
      <c r="B2163" t="n">
        <v>5206.15</v>
      </c>
      <c r="C2163" t="n">
        <v>3689.95</v>
      </c>
      <c r="D2163" t="n">
        <v>2132.13</v>
      </c>
      <c r="E2163" t="n">
        <v>4064.79</v>
      </c>
      <c r="F2163" t="n">
        <v>4750.65</v>
      </c>
    </row>
    <row r="2164">
      <c r="A2164" s="3" t="n">
        <v>41617</v>
      </c>
      <c r="B2164" t="n">
        <v>5232.28</v>
      </c>
      <c r="C2164" t="n">
        <v>3698.47</v>
      </c>
      <c r="D2164" t="n">
        <v>2161.38</v>
      </c>
      <c r="E2164" t="n">
        <v>4101.06</v>
      </c>
      <c r="F2164" t="n">
        <v>4764.23</v>
      </c>
    </row>
    <row r="2165">
      <c r="A2165" s="3" t="n">
        <v>41618</v>
      </c>
      <c r="B2165" t="n">
        <v>5260.66</v>
      </c>
      <c r="C2165" t="n">
        <v>3713.8</v>
      </c>
      <c r="D2165" t="n">
        <v>2128.04</v>
      </c>
      <c r="E2165" t="n">
        <v>4079.98</v>
      </c>
      <c r="F2165" t="n">
        <v>4763.03</v>
      </c>
    </row>
    <row r="2166">
      <c r="A2166" s="3" t="n">
        <v>41619</v>
      </c>
      <c r="B2166" t="n">
        <v>5243.77</v>
      </c>
      <c r="C2166" t="n">
        <v>3713.38</v>
      </c>
      <c r="D2166" t="n">
        <v>2113.62</v>
      </c>
      <c r="E2166" t="n">
        <v>4084.96</v>
      </c>
      <c r="F2166" t="n">
        <v>4757.76</v>
      </c>
    </row>
    <row r="2167">
      <c r="A2167" s="3" t="n">
        <v>41620</v>
      </c>
      <c r="B2167" t="n">
        <v>5212.47</v>
      </c>
      <c r="C2167" t="n">
        <v>3690.17</v>
      </c>
      <c r="D2167" t="n">
        <v>2092.04</v>
      </c>
      <c r="E2167" t="n">
        <v>4046.77</v>
      </c>
      <c r="F2167" t="n">
        <v>4753.05</v>
      </c>
    </row>
    <row r="2168">
      <c r="A2168" s="3" t="n">
        <v>41621</v>
      </c>
      <c r="B2168" t="n">
        <v>5193.07</v>
      </c>
      <c r="C2168" t="n">
        <v>3654.84</v>
      </c>
      <c r="D2168" t="n">
        <v>2048.13</v>
      </c>
      <c r="E2168" t="n">
        <v>4003.66</v>
      </c>
      <c r="F2168" t="n">
        <v>4737.08</v>
      </c>
    </row>
    <row r="2169">
      <c r="A2169" s="3" t="n">
        <v>41624</v>
      </c>
      <c r="B2169" t="n">
        <v>5210.55</v>
      </c>
      <c r="C2169" t="n">
        <v>3671.11</v>
      </c>
      <c r="D2169" t="n">
        <v>2029.71</v>
      </c>
      <c r="E2169" t="n">
        <v>4016.52</v>
      </c>
      <c r="F2169" t="n">
        <v>4759.6</v>
      </c>
    </row>
    <row r="2170">
      <c r="A2170" s="3" t="n">
        <v>41625</v>
      </c>
      <c r="B2170" t="n">
        <v>5219.89</v>
      </c>
      <c r="C2170" t="n">
        <v>3688.46</v>
      </c>
      <c r="D2170" t="n">
        <v>2019.02</v>
      </c>
      <c r="E2170" t="n">
        <v>4009.6</v>
      </c>
      <c r="F2170" t="n">
        <v>4766.09</v>
      </c>
    </row>
    <row r="2171">
      <c r="A2171" s="3" t="n">
        <v>41626</v>
      </c>
      <c r="B2171" t="n">
        <v>5283.18</v>
      </c>
      <c r="C2171" t="n">
        <v>3730.3</v>
      </c>
      <c r="D2171" t="n">
        <v>2064.62</v>
      </c>
      <c r="E2171" t="n">
        <v>4057.59</v>
      </c>
      <c r="F2171" t="n">
        <v>4821.09</v>
      </c>
    </row>
    <row r="2172">
      <c r="A2172" s="3" t="n">
        <v>41627</v>
      </c>
      <c r="B2172" t="n">
        <v>5322.01</v>
      </c>
      <c r="C2172" t="n">
        <v>3735.9</v>
      </c>
      <c r="D2172" t="n">
        <v>2037.66</v>
      </c>
      <c r="E2172" t="n">
        <v>4041.54</v>
      </c>
      <c r="F2172" t="n">
        <v>4842.83</v>
      </c>
    </row>
    <row r="2173">
      <c r="A2173" s="3" t="n">
        <v>41628</v>
      </c>
      <c r="B2173" t="n">
        <v>5400.07</v>
      </c>
      <c r="C2173" t="n">
        <v>3779.76</v>
      </c>
      <c r="D2173" t="n">
        <v>2087.14</v>
      </c>
      <c r="E2173" t="n">
        <v>4086.27</v>
      </c>
      <c r="F2173" t="n">
        <v>4903.96</v>
      </c>
    </row>
    <row r="2174">
      <c r="A2174" s="3" t="n">
        <v>41631</v>
      </c>
      <c r="B2174" t="n">
        <v>5400.86</v>
      </c>
      <c r="C2174" t="n">
        <v>3781.6</v>
      </c>
      <c r="D2174" t="n">
        <v>2129.69</v>
      </c>
      <c r="E2174" t="n">
        <v>4102.49</v>
      </c>
      <c r="F2174" t="n">
        <v>4894.42</v>
      </c>
    </row>
    <row r="2175">
      <c r="A2175" s="3" t="n">
        <v>41632</v>
      </c>
      <c r="B2175" t="n">
        <v>5393.39</v>
      </c>
      <c r="C2175" t="n">
        <v>3786.66</v>
      </c>
      <c r="D2175" t="n">
        <v>2156.21</v>
      </c>
      <c r="E2175" t="n">
        <v>4116.79</v>
      </c>
      <c r="F2175" t="n">
        <v>4908.17</v>
      </c>
    </row>
    <row r="2176">
      <c r="A2176" s="3" t="n">
        <v>41634</v>
      </c>
      <c r="B2176" t="n">
        <v>5384.43</v>
      </c>
      <c r="C2176" t="n">
        <v>3782.37</v>
      </c>
      <c r="D2176" t="n">
        <v>2187.21</v>
      </c>
      <c r="E2176" t="n">
        <v>4106.49</v>
      </c>
      <c r="F2176" t="n">
        <v>4908.26</v>
      </c>
    </row>
    <row r="2177">
      <c r="A2177" s="3" t="n">
        <v>41635</v>
      </c>
      <c r="B2177" t="n">
        <v>5423.12</v>
      </c>
      <c r="C2177" t="n">
        <v>3807.28</v>
      </c>
      <c r="D2177" t="n">
        <v>2197.39</v>
      </c>
      <c r="E2177" t="n">
        <v>4120.19</v>
      </c>
      <c r="F2177" t="n">
        <v>4924.37</v>
      </c>
    </row>
    <row r="2178">
      <c r="A2178" s="3" t="n">
        <v>41638</v>
      </c>
      <c r="B2178" t="n">
        <v>5413.47</v>
      </c>
      <c r="C2178" t="n">
        <v>3804.46</v>
      </c>
      <c r="D2178" t="n">
        <v>2176.4</v>
      </c>
      <c r="E2178" t="n">
        <v>4114.21</v>
      </c>
      <c r="F2178" t="n">
        <v>4914.43</v>
      </c>
    </row>
    <row r="2179">
      <c r="A2179" s="3" t="n">
        <v>41639</v>
      </c>
      <c r="B2179" t="n">
        <v>5427.81</v>
      </c>
      <c r="C2179" t="n">
        <v>3816.32</v>
      </c>
      <c r="D2179" t="n">
        <v>2195.22</v>
      </c>
      <c r="E2179" t="n">
        <v>4131.29</v>
      </c>
      <c r="F2179" t="n">
        <v>4930.49</v>
      </c>
    </row>
    <row r="2180">
      <c r="A2180" s="3" t="n">
        <v>41640</v>
      </c>
      <c r="B2180" t="n">
        <v>5447.19</v>
      </c>
      <c r="C2180" t="n">
        <v>3829.19</v>
      </c>
      <c r="D2180" t="n">
        <v>2235</v>
      </c>
      <c r="E2180" t="n">
        <v>4141.46</v>
      </c>
      <c r="F2180" t="n">
        <v>4958.24</v>
      </c>
    </row>
    <row r="2181">
      <c r="A2181" s="3" t="n">
        <v>41641</v>
      </c>
      <c r="B2181" t="n">
        <v>5382.59</v>
      </c>
      <c r="C2181" t="n">
        <v>3788.09</v>
      </c>
      <c r="D2181" t="n">
        <v>2158.27</v>
      </c>
      <c r="E2181" t="n">
        <v>4089.03</v>
      </c>
      <c r="F2181" t="n">
        <v>4889.98</v>
      </c>
    </row>
    <row r="2182">
      <c r="A2182" s="3" t="n">
        <v>41642</v>
      </c>
      <c r="B2182" t="n">
        <v>5434.67</v>
      </c>
      <c r="C2182" t="n">
        <v>3811.5</v>
      </c>
      <c r="D2182" t="n">
        <v>2176.97</v>
      </c>
      <c r="E2182" t="n">
        <v>4092.36</v>
      </c>
      <c r="F2182" t="n">
        <v>4928.01</v>
      </c>
    </row>
    <row r="2183">
      <c r="A2183" s="3" t="n">
        <v>41645</v>
      </c>
      <c r="B2183" t="n">
        <v>5438.52</v>
      </c>
      <c r="C2183" t="n">
        <v>3814.86</v>
      </c>
      <c r="D2183" t="n">
        <v>2188.18</v>
      </c>
      <c r="E2183" t="n">
        <v>4087.31</v>
      </c>
      <c r="F2183" t="n">
        <v>4949.98</v>
      </c>
    </row>
    <row r="2184">
      <c r="A2184" s="3" t="n">
        <v>41646</v>
      </c>
      <c r="B2184" t="n">
        <v>5414.31</v>
      </c>
      <c r="C2184" t="n">
        <v>3804.34</v>
      </c>
      <c r="D2184" t="n">
        <v>2184</v>
      </c>
      <c r="E2184" t="n">
        <v>4071.29</v>
      </c>
      <c r="F2184" t="n">
        <v>4930.46</v>
      </c>
    </row>
    <row r="2185">
      <c r="A2185" s="3" t="n">
        <v>41647</v>
      </c>
      <c r="B2185" t="n">
        <v>5433.29</v>
      </c>
      <c r="C2185" t="n">
        <v>3824.19</v>
      </c>
      <c r="D2185" t="n">
        <v>2202.63</v>
      </c>
      <c r="E2185" t="n">
        <v>4099.13</v>
      </c>
      <c r="F2185" t="n">
        <v>4954.24</v>
      </c>
    </row>
    <row r="2186">
      <c r="A2186" s="3" t="n">
        <v>41648</v>
      </c>
      <c r="B2186" t="n">
        <v>5424.24</v>
      </c>
      <c r="C2186" t="n">
        <v>3822.96</v>
      </c>
      <c r="D2186" t="n">
        <v>2180.45</v>
      </c>
      <c r="E2186" t="n">
        <v>4099.19</v>
      </c>
      <c r="F2186" t="n">
        <v>4941.53</v>
      </c>
    </row>
    <row r="2187">
      <c r="A2187" s="3" t="n">
        <v>41649</v>
      </c>
      <c r="B2187" t="n">
        <v>5445.49</v>
      </c>
      <c r="C2187" t="n">
        <v>3831.45</v>
      </c>
      <c r="D2187" t="n">
        <v>2149.87</v>
      </c>
      <c r="E2187" t="n">
        <v>4091.27</v>
      </c>
      <c r="F2187" t="n">
        <v>4934.28</v>
      </c>
    </row>
    <row r="2188">
      <c r="A2188" s="3" t="n">
        <v>41652</v>
      </c>
      <c r="B2188" t="n">
        <v>5459.63</v>
      </c>
      <c r="C2188" t="n">
        <v>3838.78</v>
      </c>
      <c r="D2188" t="n">
        <v>2161.56</v>
      </c>
      <c r="E2188" t="n">
        <v>4113.31</v>
      </c>
      <c r="F2188" t="n">
        <v>4971.36</v>
      </c>
    </row>
    <row r="2189">
      <c r="A2189" s="3" t="n">
        <v>41653</v>
      </c>
      <c r="B2189" t="n">
        <v>5454.24</v>
      </c>
      <c r="C2189" t="n">
        <v>3820.55</v>
      </c>
      <c r="D2189" t="n">
        <v>2153.04</v>
      </c>
      <c r="E2189" t="n">
        <v>4104.68</v>
      </c>
      <c r="F2189" t="n">
        <v>4955.74</v>
      </c>
    </row>
    <row r="2190">
      <c r="A2190" s="3" t="n">
        <v>41654</v>
      </c>
      <c r="B2190" t="n">
        <v>5475.51</v>
      </c>
      <c r="C2190" t="n">
        <v>3832.39</v>
      </c>
      <c r="D2190" t="n">
        <v>2181.69</v>
      </c>
      <c r="E2190" t="n">
        <v>4134.54</v>
      </c>
      <c r="F2190" t="n">
        <v>4953.99</v>
      </c>
    </row>
    <row r="2191">
      <c r="A2191" s="3" t="n">
        <v>41655</v>
      </c>
      <c r="B2191" t="n">
        <v>5445.48</v>
      </c>
      <c r="C2191" t="n">
        <v>3837.17</v>
      </c>
      <c r="D2191" t="n">
        <v>2174.51</v>
      </c>
      <c r="E2191" t="n">
        <v>4134.67</v>
      </c>
      <c r="F2191" t="n">
        <v>4947.77</v>
      </c>
    </row>
    <row r="2192">
      <c r="A2192" s="3" t="n">
        <v>41656</v>
      </c>
      <c r="B2192" t="n">
        <v>5373.03</v>
      </c>
      <c r="C2192" t="n">
        <v>3806.94</v>
      </c>
      <c r="D2192" t="n">
        <v>2144.42</v>
      </c>
      <c r="E2192" t="n">
        <v>4106.36</v>
      </c>
      <c r="F2192" t="n">
        <v>4874.72</v>
      </c>
    </row>
    <row r="2193">
      <c r="A2193" s="3" t="n">
        <v>41659</v>
      </c>
      <c r="B2193" t="n">
        <v>5467.03</v>
      </c>
      <c r="C2193" t="n">
        <v>3842.04</v>
      </c>
      <c r="D2193" t="n">
        <v>2161.6</v>
      </c>
      <c r="E2193" t="n">
        <v>4128.03</v>
      </c>
      <c r="F2193" t="n">
        <v>4970.75</v>
      </c>
    </row>
    <row r="2194">
      <c r="A2194" s="3" t="n">
        <v>41660</v>
      </c>
      <c r="B2194" t="n">
        <v>5455.26</v>
      </c>
      <c r="C2194" t="n">
        <v>3833.85</v>
      </c>
      <c r="D2194" t="n">
        <v>2172.4</v>
      </c>
      <c r="E2194" t="n">
        <v>4106.26</v>
      </c>
      <c r="F2194" t="n">
        <v>5026.13</v>
      </c>
    </row>
    <row r="2195">
      <c r="A2195" s="3" t="n">
        <v>41661</v>
      </c>
      <c r="B2195" t="n">
        <v>5467.18</v>
      </c>
      <c r="C2195" t="n">
        <v>3845.35</v>
      </c>
      <c r="D2195" t="n">
        <v>2181.37</v>
      </c>
      <c r="E2195" t="n">
        <v>4118.55</v>
      </c>
      <c r="F2195" t="n">
        <v>5022.47</v>
      </c>
    </row>
    <row r="2196">
      <c r="A2196" s="3" t="n">
        <v>41662</v>
      </c>
      <c r="B2196" t="n">
        <v>5441.76</v>
      </c>
      <c r="C2196" t="n">
        <v>3851.25</v>
      </c>
      <c r="D2196" t="n">
        <v>2169.52</v>
      </c>
      <c r="E2196" t="n">
        <v>4111.76</v>
      </c>
      <c r="F2196" t="n">
        <v>4979.39</v>
      </c>
    </row>
    <row r="2197">
      <c r="A2197" s="3" t="n">
        <v>41663</v>
      </c>
      <c r="B2197" t="n">
        <v>5394.12</v>
      </c>
      <c r="C2197" t="n">
        <v>3830.41</v>
      </c>
      <c r="D2197" t="n">
        <v>2113.99</v>
      </c>
      <c r="E2197" t="n">
        <v>4094.9</v>
      </c>
      <c r="F2197" t="n">
        <v>4915.44</v>
      </c>
    </row>
    <row r="2198">
      <c r="A2198" s="3" t="n">
        <v>41666</v>
      </c>
      <c r="B2198" t="n">
        <v>5316.8</v>
      </c>
      <c r="C2198" t="n">
        <v>3787.6</v>
      </c>
      <c r="D2198" t="n">
        <v>2018.85</v>
      </c>
      <c r="E2198" t="n">
        <v>4042.84</v>
      </c>
      <c r="F2198" t="n">
        <v>4819.62</v>
      </c>
    </row>
    <row r="2199">
      <c r="A2199" s="3" t="n">
        <v>41667</v>
      </c>
      <c r="B2199" t="n">
        <v>5301.75</v>
      </c>
      <c r="C2199" t="n">
        <v>3779.04</v>
      </c>
      <c r="D2199" t="n">
        <v>2021.75</v>
      </c>
      <c r="E2199" t="n">
        <v>4040.14</v>
      </c>
      <c r="F2199" t="n">
        <v>4861.53</v>
      </c>
    </row>
    <row r="2200">
      <c r="A2200" s="3" t="n">
        <v>41668</v>
      </c>
      <c r="B2200" t="n">
        <v>5332.81</v>
      </c>
      <c r="C2200" t="n">
        <v>3788.78</v>
      </c>
      <c r="D2200" t="n">
        <v>2024.06</v>
      </c>
      <c r="E2200" t="n">
        <v>4043.9</v>
      </c>
      <c r="F2200" t="n">
        <v>4870.43</v>
      </c>
    </row>
    <row r="2201">
      <c r="A2201" s="3" t="n">
        <v>41669</v>
      </c>
      <c r="B2201" t="n">
        <v>5281.09</v>
      </c>
      <c r="C2201" t="n">
        <v>3771.22</v>
      </c>
      <c r="D2201" t="n">
        <v>1978.33</v>
      </c>
      <c r="E2201" t="n">
        <v>4008.96</v>
      </c>
      <c r="F2201" t="n">
        <v>4828.95</v>
      </c>
    </row>
    <row r="2202">
      <c r="A2202" s="3" t="n">
        <v>41670</v>
      </c>
      <c r="B2202" t="n">
        <v>5357.93</v>
      </c>
      <c r="C2202" t="n">
        <v>3794</v>
      </c>
      <c r="D2202" t="n">
        <v>2029.72</v>
      </c>
      <c r="E2202" t="n">
        <v>4022.95</v>
      </c>
      <c r="F2202" t="n">
        <v>4925.55</v>
      </c>
    </row>
    <row r="2203">
      <c r="A2203" s="3" t="n">
        <v>41673</v>
      </c>
      <c r="B2203" t="n">
        <v>5339.47</v>
      </c>
      <c r="C2203" t="n">
        <v>3787.5</v>
      </c>
      <c r="D2203" t="n">
        <v>2000.21</v>
      </c>
      <c r="E2203" t="n">
        <v>4006.91</v>
      </c>
      <c r="F2203" t="n">
        <v>4910.16</v>
      </c>
    </row>
    <row r="2204">
      <c r="A2204" s="3" t="n">
        <v>41674</v>
      </c>
      <c r="B2204" t="n">
        <v>5323.14</v>
      </c>
      <c r="C2204" t="n">
        <v>3776.95</v>
      </c>
      <c r="D2204" t="n">
        <v>2007.98</v>
      </c>
      <c r="E2204" t="n">
        <v>4013.69</v>
      </c>
      <c r="F2204" t="n">
        <v>4923.06</v>
      </c>
    </row>
    <row r="2205">
      <c r="A2205" s="3" t="n">
        <v>41675</v>
      </c>
      <c r="B2205" t="n">
        <v>5347.83</v>
      </c>
      <c r="C2205" t="n">
        <v>3789.97</v>
      </c>
      <c r="D2205" t="n">
        <v>2014.33</v>
      </c>
      <c r="E2205" t="n">
        <v>4031.65</v>
      </c>
      <c r="F2205" t="n">
        <v>4951.41</v>
      </c>
    </row>
    <row r="2206">
      <c r="A2206" s="3" t="n">
        <v>41676</v>
      </c>
      <c r="B2206" t="n">
        <v>5377.97</v>
      </c>
      <c r="C2206" t="n">
        <v>3796.94</v>
      </c>
      <c r="D2206" t="n">
        <v>2008.75</v>
      </c>
      <c r="E2206" t="n">
        <v>4047.26</v>
      </c>
      <c r="F2206" t="n">
        <v>4946.79</v>
      </c>
    </row>
    <row r="2207">
      <c r="A2207" s="3" t="n">
        <v>41677</v>
      </c>
      <c r="B2207" t="n">
        <v>5378.26</v>
      </c>
      <c r="C2207" t="n">
        <v>3812.65</v>
      </c>
      <c r="D2207" t="n">
        <v>2028.14</v>
      </c>
      <c r="E2207" t="n">
        <v>4081.9</v>
      </c>
      <c r="F2207" t="n">
        <v>4957.84</v>
      </c>
    </row>
    <row r="2208">
      <c r="A2208" s="3" t="n">
        <v>41680</v>
      </c>
      <c r="B2208" t="n">
        <v>5355.35</v>
      </c>
      <c r="C2208" t="n">
        <v>3819.09</v>
      </c>
      <c r="D2208" t="n">
        <v>2022.97</v>
      </c>
      <c r="E2208" t="n">
        <v>4078.94</v>
      </c>
      <c r="F2208" t="n">
        <v>4972.05</v>
      </c>
    </row>
    <row r="2209">
      <c r="A2209" s="3" t="n">
        <v>41681</v>
      </c>
      <c r="B2209" t="n">
        <v>5375.26</v>
      </c>
      <c r="C2209" t="n">
        <v>3832.04</v>
      </c>
      <c r="D2209" t="n">
        <v>2028.96</v>
      </c>
      <c r="E2209" t="n">
        <v>4062.01</v>
      </c>
      <c r="F2209" t="n">
        <v>5015.89</v>
      </c>
    </row>
    <row r="2210">
      <c r="A2210" s="3" t="n">
        <v>41682</v>
      </c>
      <c r="B2210" t="n">
        <v>5385.24</v>
      </c>
      <c r="C2210" t="n">
        <v>3839.31</v>
      </c>
      <c r="D2210" t="n">
        <v>2020.76</v>
      </c>
      <c r="E2210" t="n">
        <v>4060.5</v>
      </c>
      <c r="F2210" t="n">
        <v>5031.75</v>
      </c>
    </row>
    <row r="2211">
      <c r="A2211" s="3" t="n">
        <v>41683</v>
      </c>
      <c r="B2211" t="n">
        <v>5343.02</v>
      </c>
      <c r="C2211" t="n">
        <v>3813.35</v>
      </c>
      <c r="D2211" t="n">
        <v>1979.75</v>
      </c>
      <c r="E2211" t="n">
        <v>3998.67</v>
      </c>
      <c r="F2211" t="n">
        <v>4980.46</v>
      </c>
    </row>
    <row r="2212">
      <c r="A2212" s="3" t="n">
        <v>41684</v>
      </c>
      <c r="B2212" t="n">
        <v>5360.39</v>
      </c>
      <c r="C2212" t="n">
        <v>3828.19</v>
      </c>
      <c r="D2212" t="n">
        <v>1988.54</v>
      </c>
      <c r="E2212" t="n">
        <v>4005.55</v>
      </c>
      <c r="F2212" t="n">
        <v>4990.69</v>
      </c>
    </row>
    <row r="2213">
      <c r="A2213" s="3" t="n">
        <v>41687</v>
      </c>
      <c r="B2213" t="n">
        <v>5367.88</v>
      </c>
      <c r="C2213" t="n">
        <v>3822.05</v>
      </c>
      <c r="D2213" t="n">
        <v>1988.66</v>
      </c>
      <c r="E2213" t="n">
        <v>4017.55</v>
      </c>
      <c r="F2213" t="n">
        <v>4997.11</v>
      </c>
    </row>
    <row r="2214">
      <c r="A2214" s="3" t="n">
        <v>41688</v>
      </c>
      <c r="B2214" t="n">
        <v>5385.61</v>
      </c>
      <c r="C2214" t="n">
        <v>3830.55</v>
      </c>
      <c r="D2214" t="n">
        <v>2016.64</v>
      </c>
      <c r="E2214" t="n">
        <v>4021.01</v>
      </c>
      <c r="F2214" t="n">
        <v>5030.26</v>
      </c>
    </row>
    <row r="2215">
      <c r="A2215" s="3" t="n">
        <v>41689</v>
      </c>
      <c r="B2215" t="n">
        <v>5421.74</v>
      </c>
      <c r="C2215" t="n">
        <v>3852.41</v>
      </c>
      <c r="D2215" t="n">
        <v>2031.86</v>
      </c>
      <c r="E2215" t="n">
        <v>4025.39</v>
      </c>
      <c r="F2215" t="n">
        <v>5090.05</v>
      </c>
    </row>
    <row r="2216">
      <c r="A2216" s="3" t="n">
        <v>41690</v>
      </c>
      <c r="B2216" t="n">
        <v>5401.37</v>
      </c>
      <c r="C2216" t="n">
        <v>3843</v>
      </c>
      <c r="D2216" t="n">
        <v>2024.93</v>
      </c>
      <c r="E2216" t="n">
        <v>4006.9</v>
      </c>
      <c r="F2216" t="n">
        <v>5095.49</v>
      </c>
    </row>
    <row r="2217">
      <c r="A2217" s="3" t="n">
        <v>41691</v>
      </c>
      <c r="B2217" t="n">
        <v>5431.22</v>
      </c>
      <c r="C2217" t="n">
        <v>3871.99</v>
      </c>
      <c r="D2217" t="n">
        <v>2042.04</v>
      </c>
      <c r="E2217" t="n">
        <v>4045.33</v>
      </c>
      <c r="F2217" t="n">
        <v>5130.66</v>
      </c>
    </row>
    <row r="2218">
      <c r="A2218" s="3" t="n">
        <v>41694</v>
      </c>
      <c r="B2218" t="n">
        <v>5444.17</v>
      </c>
      <c r="C2218" t="n">
        <v>3884.11</v>
      </c>
      <c r="D2218" t="n">
        <v>2038.29</v>
      </c>
      <c r="E2218" t="n">
        <v>4047.18</v>
      </c>
      <c r="F2218" t="n">
        <v>5133.12</v>
      </c>
    </row>
    <row r="2219">
      <c r="A2219" s="3" t="n">
        <v>41695</v>
      </c>
      <c r="B2219" t="n">
        <v>5469.75</v>
      </c>
      <c r="C2219" t="n">
        <v>3900.13</v>
      </c>
      <c r="D2219" t="n">
        <v>2046.24</v>
      </c>
      <c r="E2219" t="n">
        <v>4057.19</v>
      </c>
      <c r="F2219" t="n">
        <v>5190.6</v>
      </c>
    </row>
    <row r="2220">
      <c r="A2220" s="3" t="n">
        <v>41696</v>
      </c>
      <c r="B2220" t="n">
        <v>5487.1</v>
      </c>
      <c r="C2220" t="n">
        <v>3919.95</v>
      </c>
      <c r="D2220" t="n">
        <v>2059.04</v>
      </c>
      <c r="E2220" t="n">
        <v>4073.42</v>
      </c>
      <c r="F2220" t="n">
        <v>5198.35</v>
      </c>
    </row>
    <row r="2221">
      <c r="A2221" s="3" t="n">
        <v>41698</v>
      </c>
      <c r="B2221" t="n">
        <v>5550.86</v>
      </c>
      <c r="C2221" t="n">
        <v>3954.07</v>
      </c>
      <c r="D2221" t="n">
        <v>2068.29</v>
      </c>
      <c r="E2221" t="n">
        <v>4089.25</v>
      </c>
      <c r="F2221" t="n">
        <v>5278.28</v>
      </c>
    </row>
    <row r="2222">
      <c r="A2222" s="3" t="n">
        <v>41701</v>
      </c>
      <c r="B2222" t="n">
        <v>5504.85</v>
      </c>
      <c r="C2222" t="n">
        <v>3924.51</v>
      </c>
      <c r="D2222" t="n">
        <v>2061.96</v>
      </c>
      <c r="E2222" t="n">
        <v>4066.43</v>
      </c>
      <c r="F2222" t="n">
        <v>5279.07</v>
      </c>
    </row>
    <row r="2223">
      <c r="A2223" s="3" t="n">
        <v>41702</v>
      </c>
      <c r="B2223" t="n">
        <v>5514.63</v>
      </c>
      <c r="C2223" t="n">
        <v>3938.03</v>
      </c>
      <c r="D2223" t="n">
        <v>2095.94</v>
      </c>
      <c r="E2223" t="n">
        <v>4106.26</v>
      </c>
      <c r="F2223" t="n">
        <v>5303.05</v>
      </c>
    </row>
    <row r="2224">
      <c r="A2224" s="3" t="n">
        <v>41703</v>
      </c>
      <c r="B2224" t="n">
        <v>5525.72</v>
      </c>
      <c r="C2224" t="n">
        <v>3933.79</v>
      </c>
      <c r="D2224" t="n">
        <v>2128.4</v>
      </c>
      <c r="E2224" t="n">
        <v>4110.43</v>
      </c>
      <c r="F2224" t="n">
        <v>5329.43</v>
      </c>
    </row>
    <row r="2225">
      <c r="A2225" s="3" t="n">
        <v>41704</v>
      </c>
      <c r="B2225" t="n">
        <v>5545.31</v>
      </c>
      <c r="C2225" t="n">
        <v>3953.64</v>
      </c>
      <c r="D2225" t="n">
        <v>2173.08</v>
      </c>
      <c r="E2225" t="n">
        <v>4149.27</v>
      </c>
      <c r="F2225" t="n">
        <v>5349.65</v>
      </c>
    </row>
    <row r="2226">
      <c r="A2226" s="3" t="n">
        <v>41705</v>
      </c>
      <c r="B2226" t="n">
        <v>5480.94</v>
      </c>
      <c r="C2226" t="n">
        <v>3923.5</v>
      </c>
      <c r="D2226" t="n">
        <v>2222.93</v>
      </c>
      <c r="E2226" t="n">
        <v>4166.96</v>
      </c>
      <c r="F2226" t="n">
        <v>5252.76</v>
      </c>
    </row>
    <row r="2227">
      <c r="A2227" s="3" t="n">
        <v>41708</v>
      </c>
      <c r="B2227" t="n">
        <v>5440.16</v>
      </c>
      <c r="C2227" t="n">
        <v>3890.06</v>
      </c>
      <c r="D2227" t="n">
        <v>2243.53</v>
      </c>
      <c r="E2227" t="n">
        <v>4156</v>
      </c>
      <c r="F2227" t="n">
        <v>5200.14</v>
      </c>
    </row>
    <row r="2228">
      <c r="A2228" s="3" t="n">
        <v>41709</v>
      </c>
      <c r="B2228" t="n">
        <v>5432.31</v>
      </c>
      <c r="C2228" t="n">
        <v>3881.56</v>
      </c>
      <c r="D2228" t="n">
        <v>2238.49</v>
      </c>
      <c r="E2228" t="n">
        <v>4145.39</v>
      </c>
      <c r="F2228" t="n">
        <v>5174.48</v>
      </c>
    </row>
    <row r="2229">
      <c r="A2229" s="3" t="n">
        <v>41710</v>
      </c>
      <c r="B2229" t="n">
        <v>5466.07</v>
      </c>
      <c r="C2229" t="n">
        <v>3908.06</v>
      </c>
      <c r="D2229" t="n">
        <v>2223.91</v>
      </c>
      <c r="E2229" t="n">
        <v>4154.2</v>
      </c>
      <c r="F2229" t="n">
        <v>5187.68</v>
      </c>
    </row>
    <row r="2230">
      <c r="A2230" s="3" t="n">
        <v>41711</v>
      </c>
      <c r="B2230" t="n">
        <v>5432.92</v>
      </c>
      <c r="C2230" t="n">
        <v>3878.97</v>
      </c>
      <c r="D2230" t="n">
        <v>2230.26</v>
      </c>
      <c r="E2230" t="n">
        <v>4165.88</v>
      </c>
      <c r="F2230" t="n">
        <v>5151.05</v>
      </c>
    </row>
    <row r="2231">
      <c r="A2231" s="3" t="n">
        <v>41712</v>
      </c>
      <c r="B2231" t="n">
        <v>5425.25</v>
      </c>
      <c r="C2231" t="n">
        <v>3891.29</v>
      </c>
      <c r="D2231" t="n">
        <v>2226.08</v>
      </c>
      <c r="E2231" t="n">
        <v>4178.52</v>
      </c>
      <c r="F2231" t="n">
        <v>5175.03</v>
      </c>
    </row>
    <row r="2232">
      <c r="A2232" s="3" t="n">
        <v>41716</v>
      </c>
      <c r="B2232" t="n">
        <v>5444.14</v>
      </c>
      <c r="C2232" t="n">
        <v>3912.76</v>
      </c>
      <c r="D2232" t="n">
        <v>2271.43</v>
      </c>
      <c r="E2232" t="n">
        <v>4207.57</v>
      </c>
      <c r="F2232" t="n">
        <v>5214.98</v>
      </c>
    </row>
    <row r="2233">
      <c r="A2233" s="3" t="n">
        <v>41717</v>
      </c>
      <c r="B2233" t="n">
        <v>5455.28</v>
      </c>
      <c r="C2233" t="n">
        <v>3921.15</v>
      </c>
      <c r="D2233" t="n">
        <v>2275.99</v>
      </c>
      <c r="E2233" t="n">
        <v>4215.86</v>
      </c>
      <c r="F2233" t="n">
        <v>5204.18</v>
      </c>
    </row>
    <row r="2234">
      <c r="A2234" s="3" t="n">
        <v>41718</v>
      </c>
      <c r="B2234" t="n">
        <v>5473.49</v>
      </c>
      <c r="C2234" t="n">
        <v>3927.3</v>
      </c>
      <c r="D2234" t="n">
        <v>2244.32</v>
      </c>
      <c r="E2234" t="n">
        <v>4202.19</v>
      </c>
      <c r="F2234" t="n">
        <v>5230.22</v>
      </c>
    </row>
    <row r="2235">
      <c r="A2235" s="3" t="n">
        <v>41719</v>
      </c>
      <c r="B2235" t="n">
        <v>5492.96</v>
      </c>
      <c r="C2235" t="n">
        <v>3923.51</v>
      </c>
      <c r="D2235" t="n">
        <v>2252.8</v>
      </c>
      <c r="E2235" t="n">
        <v>4201.79</v>
      </c>
      <c r="F2235" t="n">
        <v>5265.59</v>
      </c>
    </row>
    <row r="2236">
      <c r="A2236" s="3" t="n">
        <v>41720</v>
      </c>
      <c r="B2236" t="n">
        <v>5513.65</v>
      </c>
      <c r="C2236" t="n">
        <v>3935.61</v>
      </c>
      <c r="D2236" t="n">
        <v>2265.22</v>
      </c>
      <c r="E2236" t="n">
        <v>4211.28</v>
      </c>
      <c r="F2236" t="n">
        <v>5286.06</v>
      </c>
    </row>
    <row r="2237">
      <c r="A2237" s="3" t="n">
        <v>41722</v>
      </c>
      <c r="B2237" t="n">
        <v>5497.25</v>
      </c>
      <c r="C2237" t="n">
        <v>3947.52</v>
      </c>
      <c r="D2237" t="n">
        <v>2293.55</v>
      </c>
      <c r="E2237" t="n">
        <v>4247.74</v>
      </c>
      <c r="F2237" t="n">
        <v>5229.39</v>
      </c>
    </row>
    <row r="2238">
      <c r="A2238" s="3" t="n">
        <v>41723</v>
      </c>
      <c r="B2238" t="n">
        <v>5500</v>
      </c>
      <c r="C2238" t="n">
        <v>3959.88</v>
      </c>
      <c r="D2238" t="n">
        <v>2309.45</v>
      </c>
      <c r="E2238" t="n">
        <v>4255.12</v>
      </c>
      <c r="F2238" t="n">
        <v>5251.07</v>
      </c>
    </row>
    <row r="2239">
      <c r="A2239" s="3" t="n">
        <v>41724</v>
      </c>
      <c r="B2239" t="n">
        <v>5451.25</v>
      </c>
      <c r="C2239" t="n">
        <v>3938.51</v>
      </c>
      <c r="D2239" t="n">
        <v>2308.3</v>
      </c>
      <c r="E2239" t="n">
        <v>4244.66</v>
      </c>
      <c r="F2239" t="n">
        <v>5242.62</v>
      </c>
    </row>
    <row r="2240">
      <c r="A2240" s="3" t="n">
        <v>41725</v>
      </c>
      <c r="B2240" t="n">
        <v>5479.97</v>
      </c>
      <c r="C2240" t="n">
        <v>3952.02</v>
      </c>
      <c r="D2240" t="n">
        <v>2357.94</v>
      </c>
      <c r="E2240" t="n">
        <v>4263.85</v>
      </c>
      <c r="F2240" t="n">
        <v>5234.26</v>
      </c>
    </row>
    <row r="2241">
      <c r="A2241" s="3" t="n">
        <v>41726</v>
      </c>
      <c r="B2241" t="n">
        <v>5502.96</v>
      </c>
      <c r="C2241" t="n">
        <v>3977.7</v>
      </c>
      <c r="D2241" t="n">
        <v>2430.8</v>
      </c>
      <c r="E2241" t="n">
        <v>4311.11</v>
      </c>
      <c r="F2241" t="n">
        <v>5256.7</v>
      </c>
    </row>
    <row r="2242">
      <c r="A2242" s="3" t="n">
        <v>41729</v>
      </c>
      <c r="B2242" t="n">
        <v>5523.61</v>
      </c>
      <c r="C2242" t="n">
        <v>4001.38</v>
      </c>
      <c r="D2242" t="n">
        <v>2472.29</v>
      </c>
      <c r="E2242" t="n">
        <v>4325.86</v>
      </c>
      <c r="F2242" t="n">
        <v>5259.91</v>
      </c>
    </row>
    <row r="2243">
      <c r="A2243" s="3" t="n">
        <v>41730</v>
      </c>
      <c r="B2243" t="n">
        <v>5545.74</v>
      </c>
      <c r="C2243" t="n">
        <v>4005.16</v>
      </c>
      <c r="D2243" t="n">
        <v>2477.14</v>
      </c>
      <c r="E2243" t="n">
        <v>4332.59</v>
      </c>
      <c r="F2243" t="n">
        <v>5271.06</v>
      </c>
    </row>
    <row r="2244">
      <c r="A2244" s="3" t="n">
        <v>41731</v>
      </c>
      <c r="B2244" t="n">
        <v>5618.6</v>
      </c>
      <c r="C2244" t="n">
        <v>4009.46</v>
      </c>
      <c r="D2244" t="n">
        <v>2545.62</v>
      </c>
      <c r="E2244" t="n">
        <v>4326.62</v>
      </c>
      <c r="F2244" t="n">
        <v>5342.93</v>
      </c>
    </row>
    <row r="2245">
      <c r="A2245" s="3" t="n">
        <v>41732</v>
      </c>
      <c r="B2245" t="n">
        <v>5614.44</v>
      </c>
      <c r="C2245" t="n">
        <v>4039.55</v>
      </c>
      <c r="D2245" t="n">
        <v>2525.02</v>
      </c>
      <c r="E2245" t="n">
        <v>4347.9</v>
      </c>
      <c r="F2245" t="n">
        <v>5329.02</v>
      </c>
    </row>
    <row r="2246">
      <c r="A2246" s="3" t="n">
        <v>41733</v>
      </c>
      <c r="B2246" t="n">
        <v>5625.36</v>
      </c>
      <c r="C2246" t="n">
        <v>4020.32</v>
      </c>
      <c r="D2246" t="n">
        <v>2585.55</v>
      </c>
      <c r="E2246" t="n">
        <v>4331.84</v>
      </c>
      <c r="F2246" t="n">
        <v>5312.12</v>
      </c>
    </row>
    <row r="2247">
      <c r="A2247" s="3" t="n">
        <v>41736</v>
      </c>
      <c r="B2247" t="n">
        <v>5594.37</v>
      </c>
      <c r="C2247" t="n">
        <v>4009.47</v>
      </c>
      <c r="D2247" t="n">
        <v>2592.02</v>
      </c>
      <c r="E2247" t="n">
        <v>4328.26</v>
      </c>
      <c r="F2247" t="n">
        <v>5294.64</v>
      </c>
    </row>
    <row r="2248">
      <c r="A2248" s="3" t="n">
        <v>41738</v>
      </c>
      <c r="B2248" t="n">
        <v>5613.86</v>
      </c>
      <c r="C2248" t="n">
        <v>4044.91</v>
      </c>
      <c r="D2248" t="n">
        <v>2662.8</v>
      </c>
      <c r="E2248" t="n">
        <v>4361.96</v>
      </c>
      <c r="F2248" t="n">
        <v>5337.13</v>
      </c>
    </row>
    <row r="2249">
      <c r="A2249" s="3" t="n">
        <v>41739</v>
      </c>
      <c r="B2249" t="n">
        <v>5569.25</v>
      </c>
      <c r="C2249" t="n">
        <v>4032.44</v>
      </c>
      <c r="D2249" t="n">
        <v>2703.79</v>
      </c>
      <c r="E2249" t="n">
        <v>4362.59</v>
      </c>
      <c r="F2249" t="n">
        <v>5299.87</v>
      </c>
    </row>
    <row r="2250">
      <c r="A2250" s="3" t="n">
        <v>41740</v>
      </c>
      <c r="B2250" t="n">
        <v>5577.5</v>
      </c>
      <c r="C2250" t="n">
        <v>4047.38</v>
      </c>
      <c r="D2250" t="n">
        <v>2722.94</v>
      </c>
      <c r="E2250" t="n">
        <v>4366.29</v>
      </c>
      <c r="F2250" t="n">
        <v>5315.93</v>
      </c>
    </row>
    <row r="2251">
      <c r="A2251" s="3" t="n">
        <v>41744</v>
      </c>
      <c r="B2251" t="n">
        <v>5575.03</v>
      </c>
      <c r="C2251" t="n">
        <v>4052.35</v>
      </c>
      <c r="D2251" t="n">
        <v>2706.66</v>
      </c>
      <c r="E2251" t="n">
        <v>4349.27</v>
      </c>
      <c r="F2251" t="n">
        <v>5279.47</v>
      </c>
    </row>
    <row r="2252">
      <c r="A2252" s="3" t="n">
        <v>41745</v>
      </c>
      <c r="B2252" t="n">
        <v>5517.87</v>
      </c>
      <c r="C2252" t="n">
        <v>4022.34</v>
      </c>
      <c r="D2252" t="n">
        <v>2640.89</v>
      </c>
      <c r="E2252" t="n">
        <v>4322.58</v>
      </c>
      <c r="F2252" t="n">
        <v>5228.86</v>
      </c>
    </row>
    <row r="2253">
      <c r="A2253" s="3" t="n">
        <v>41746</v>
      </c>
      <c r="B2253" t="n">
        <v>5603.63</v>
      </c>
      <c r="C2253" t="n">
        <v>4053.83</v>
      </c>
      <c r="D2253" t="n">
        <v>2700.29</v>
      </c>
      <c r="E2253" t="n">
        <v>4368.26</v>
      </c>
      <c r="F2253" t="n">
        <v>5306.33</v>
      </c>
    </row>
    <row r="2254">
      <c r="A2254" s="3" t="n">
        <v>41750</v>
      </c>
      <c r="B2254" t="n">
        <v>5678.52</v>
      </c>
      <c r="C2254" t="n">
        <v>4057.42</v>
      </c>
      <c r="D2254" t="n">
        <v>2741.02</v>
      </c>
      <c r="E2254" t="n">
        <v>4374.13</v>
      </c>
      <c r="F2254" t="n">
        <v>5380.73</v>
      </c>
    </row>
    <row r="2255">
      <c r="A2255" s="3" t="n">
        <v>41751</v>
      </c>
      <c r="B2255" t="n">
        <v>5671.28</v>
      </c>
      <c r="C2255" t="n">
        <v>4070.14</v>
      </c>
      <c r="D2255" t="n">
        <v>2753.8</v>
      </c>
      <c r="E2255" t="n">
        <v>4384.39</v>
      </c>
      <c r="F2255" t="n">
        <v>5364</v>
      </c>
    </row>
    <row r="2256">
      <c r="A2256" s="3" t="n">
        <v>41752</v>
      </c>
      <c r="B2256" t="n">
        <v>5706.17</v>
      </c>
      <c r="C2256" t="n">
        <v>4073.72</v>
      </c>
      <c r="D2256" t="n">
        <v>2768.47</v>
      </c>
      <c r="E2256" t="n">
        <v>4377.3</v>
      </c>
      <c r="F2256" t="n">
        <v>5397.31</v>
      </c>
    </row>
    <row r="2257">
      <c r="A2257" s="3" t="n">
        <v>41754</v>
      </c>
      <c r="B2257" t="n">
        <v>5693.26</v>
      </c>
      <c r="C2257" t="n">
        <v>4050.21</v>
      </c>
      <c r="D2257" t="n">
        <v>2762.81</v>
      </c>
      <c r="E2257" t="n">
        <v>4329.04</v>
      </c>
      <c r="F2257" t="n">
        <v>5358.82</v>
      </c>
    </row>
    <row r="2258">
      <c r="A2258" s="3" t="n">
        <v>41757</v>
      </c>
      <c r="B2258" t="n">
        <v>5699.19</v>
      </c>
      <c r="C2258" t="n">
        <v>4049.36</v>
      </c>
      <c r="D2258" t="n">
        <v>2792.24</v>
      </c>
      <c r="E2258" t="n">
        <v>4328.25</v>
      </c>
      <c r="F2258" t="n">
        <v>5364.48</v>
      </c>
    </row>
    <row r="2259">
      <c r="A2259" s="3" t="n">
        <v>41758</v>
      </c>
      <c r="B2259" t="n">
        <v>5676.82</v>
      </c>
      <c r="C2259" t="n">
        <v>4040.26</v>
      </c>
      <c r="D2259" t="n">
        <v>2770.57</v>
      </c>
      <c r="E2259" t="n">
        <v>4310.95</v>
      </c>
      <c r="F2259" t="n">
        <v>5317.02</v>
      </c>
    </row>
    <row r="2260">
      <c r="A2260" s="3" t="n">
        <v>41759</v>
      </c>
      <c r="B2260" t="n">
        <v>5646.86</v>
      </c>
      <c r="C2260" t="n">
        <v>4030.08</v>
      </c>
      <c r="D2260" t="n">
        <v>2715.35</v>
      </c>
      <c r="E2260" t="n">
        <v>4293.57</v>
      </c>
      <c r="F2260" t="n">
        <v>5281.23</v>
      </c>
    </row>
    <row r="2261">
      <c r="A2261" s="3" t="n">
        <v>41761</v>
      </c>
      <c r="B2261" t="n">
        <v>5705.31</v>
      </c>
      <c r="C2261" t="n">
        <v>4042.47</v>
      </c>
      <c r="D2261" t="n">
        <v>2740.41</v>
      </c>
      <c r="E2261" t="n">
        <v>4291.69</v>
      </c>
      <c r="F2261" t="n">
        <v>5334.62</v>
      </c>
    </row>
    <row r="2262">
      <c r="A2262" s="3" t="n">
        <v>41764</v>
      </c>
      <c r="B2262" t="n">
        <v>5669.81</v>
      </c>
      <c r="C2262" t="n">
        <v>4036.32</v>
      </c>
      <c r="D2262" t="n">
        <v>2742.48</v>
      </c>
      <c r="E2262" t="n">
        <v>4300.42</v>
      </c>
      <c r="F2262" t="n">
        <v>5283.15</v>
      </c>
    </row>
    <row r="2263">
      <c r="A2263" s="3" t="n">
        <v>41765</v>
      </c>
      <c r="B2263" t="n">
        <v>5695.97</v>
      </c>
      <c r="C2263" t="n">
        <v>4026.97</v>
      </c>
      <c r="D2263" t="n">
        <v>2749.62</v>
      </c>
      <c r="E2263" t="n">
        <v>4295.3</v>
      </c>
      <c r="F2263" t="n">
        <v>5304.08</v>
      </c>
    </row>
    <row r="2264">
      <c r="A2264" s="3" t="n">
        <v>41766</v>
      </c>
      <c r="B2264" t="n">
        <v>5680.93</v>
      </c>
      <c r="C2264" t="n">
        <v>3994.15</v>
      </c>
      <c r="D2264" t="n">
        <v>2747.18</v>
      </c>
      <c r="E2264" t="n">
        <v>4265.5</v>
      </c>
      <c r="F2264" t="n">
        <v>5294.53</v>
      </c>
    </row>
    <row r="2265">
      <c r="A2265" s="3" t="n">
        <v>41767</v>
      </c>
      <c r="B2265" t="n">
        <v>5706.03</v>
      </c>
      <c r="C2265" t="n">
        <v>3992.7</v>
      </c>
      <c r="D2265" t="n">
        <v>2735.67</v>
      </c>
      <c r="E2265" t="n">
        <v>4270.32</v>
      </c>
      <c r="F2265" t="n">
        <v>5329.23</v>
      </c>
    </row>
    <row r="2266">
      <c r="A2266" s="3" t="n">
        <v>41768</v>
      </c>
      <c r="B2266" t="n">
        <v>5723.53</v>
      </c>
      <c r="C2266" t="n">
        <v>4020.1</v>
      </c>
      <c r="D2266" t="n">
        <v>2813.01</v>
      </c>
      <c r="E2266" t="n">
        <v>4330.77</v>
      </c>
      <c r="F2266" t="n">
        <v>5354.75</v>
      </c>
    </row>
    <row r="2267">
      <c r="A2267" s="3" t="n">
        <v>41771</v>
      </c>
      <c r="B2267" t="n">
        <v>5763.02</v>
      </c>
      <c r="C2267" t="n">
        <v>4057.84</v>
      </c>
      <c r="D2267" t="n">
        <v>2856.52</v>
      </c>
      <c r="E2267" t="n">
        <v>4386.96</v>
      </c>
      <c r="F2267" t="n">
        <v>5394.15</v>
      </c>
    </row>
    <row r="2268">
      <c r="A2268" s="3" t="n">
        <v>41772</v>
      </c>
      <c r="B2268" t="n">
        <v>5797.96</v>
      </c>
      <c r="C2268" t="n">
        <v>4104.23</v>
      </c>
      <c r="D2268" t="n">
        <v>2936.58</v>
      </c>
      <c r="E2268" t="n">
        <v>4442.11</v>
      </c>
      <c r="F2268" t="n">
        <v>5447.48</v>
      </c>
    </row>
    <row r="2269">
      <c r="A2269" s="3" t="n">
        <v>41773</v>
      </c>
      <c r="B2269" t="n">
        <v>5801.65</v>
      </c>
      <c r="C2269" t="n">
        <v>4126.32</v>
      </c>
      <c r="D2269" t="n">
        <v>3024.12</v>
      </c>
      <c r="E2269" t="n">
        <v>4467.41</v>
      </c>
      <c r="F2269" t="n">
        <v>5457.9</v>
      </c>
    </row>
    <row r="2270">
      <c r="A2270" s="3" t="n">
        <v>41774</v>
      </c>
      <c r="B2270" t="n">
        <v>5782.58</v>
      </c>
      <c r="C2270" t="n">
        <v>4102.3</v>
      </c>
      <c r="D2270" t="n">
        <v>3004.25</v>
      </c>
      <c r="E2270" t="n">
        <v>4421.86</v>
      </c>
      <c r="F2270" t="n">
        <v>5408.65</v>
      </c>
    </row>
    <row r="2271">
      <c r="A2271" s="3" t="n">
        <v>41775</v>
      </c>
      <c r="B2271" t="n">
        <v>5746.51</v>
      </c>
      <c r="C2271" t="n">
        <v>4071.35</v>
      </c>
      <c r="D2271" t="n">
        <v>3139.24</v>
      </c>
      <c r="E2271" t="n">
        <v>4447.04</v>
      </c>
      <c r="F2271" t="n">
        <v>5398.13</v>
      </c>
    </row>
    <row r="2272">
      <c r="A2272" s="3" t="n">
        <v>41778</v>
      </c>
      <c r="B2272" t="n">
        <v>5703.48</v>
      </c>
      <c r="C2272" t="n">
        <v>4014.55</v>
      </c>
      <c r="D2272" t="n">
        <v>3404.09</v>
      </c>
      <c r="E2272" t="n">
        <v>4440.16</v>
      </c>
      <c r="F2272" t="n">
        <v>5404.11</v>
      </c>
    </row>
    <row r="2273">
      <c r="A2273" s="3" t="n">
        <v>41779</v>
      </c>
      <c r="B2273" t="n">
        <v>5789.14</v>
      </c>
      <c r="C2273" t="n">
        <v>4052.26</v>
      </c>
      <c r="D2273" t="n">
        <v>3464.52</v>
      </c>
      <c r="E2273" t="n">
        <v>4469.19</v>
      </c>
      <c r="F2273" t="n">
        <v>5486.59</v>
      </c>
    </row>
    <row r="2274">
      <c r="A2274" s="3" t="n">
        <v>41780</v>
      </c>
      <c r="B2274" t="n">
        <v>5862.9</v>
      </c>
      <c r="C2274" t="n">
        <v>4081.95</v>
      </c>
      <c r="D2274" t="n">
        <v>3486.38</v>
      </c>
      <c r="E2274" t="n">
        <v>4475.85</v>
      </c>
      <c r="F2274" t="n">
        <v>5578.75</v>
      </c>
    </row>
    <row r="2275">
      <c r="A2275" s="3" t="n">
        <v>41781</v>
      </c>
      <c r="B2275" t="n">
        <v>5932.3</v>
      </c>
      <c r="C2275" t="n">
        <v>4113.54</v>
      </c>
      <c r="D2275" t="n">
        <v>3595.71</v>
      </c>
      <c r="E2275" t="n">
        <v>4506.78</v>
      </c>
      <c r="F2275" t="n">
        <v>5648.38</v>
      </c>
    </row>
    <row r="2276">
      <c r="A2276" s="3" t="n">
        <v>41782</v>
      </c>
      <c r="B2276" t="n">
        <v>5957.68</v>
      </c>
      <c r="C2276" t="n">
        <v>4137.23</v>
      </c>
      <c r="D2276" t="n">
        <v>3708.85</v>
      </c>
      <c r="E2276" t="n">
        <v>4558.46</v>
      </c>
      <c r="F2276" t="n">
        <v>5705.47</v>
      </c>
    </row>
    <row r="2277">
      <c r="A2277" s="3" t="n">
        <v>41785</v>
      </c>
      <c r="B2277" t="n">
        <v>5885.38</v>
      </c>
      <c r="C2277" t="n">
        <v>4098.88</v>
      </c>
      <c r="D2277" t="n">
        <v>3597.23</v>
      </c>
      <c r="E2277" t="n">
        <v>4510.93</v>
      </c>
      <c r="F2277" t="n">
        <v>5618.5</v>
      </c>
    </row>
    <row r="2278">
      <c r="A2278" s="3" t="n">
        <v>41786</v>
      </c>
      <c r="B2278" t="n">
        <v>5937.08</v>
      </c>
      <c r="C2278" t="n">
        <v>4098.64</v>
      </c>
      <c r="D2278" t="n">
        <v>3540.06</v>
      </c>
      <c r="E2278" t="n">
        <v>4498</v>
      </c>
      <c r="F2278" t="n">
        <v>5657.69</v>
      </c>
    </row>
    <row r="2279">
      <c r="A2279" s="3" t="n">
        <v>41787</v>
      </c>
      <c r="B2279" t="n">
        <v>5998.46</v>
      </c>
      <c r="C2279" t="n">
        <v>4112.64</v>
      </c>
      <c r="D2279" t="n">
        <v>3551.53</v>
      </c>
      <c r="E2279" t="n">
        <v>4535.13</v>
      </c>
      <c r="F2279" t="n">
        <v>5678.93</v>
      </c>
    </row>
    <row r="2280">
      <c r="A2280" s="3" t="n">
        <v>41788</v>
      </c>
      <c r="B2280" t="n">
        <v>5994.22</v>
      </c>
      <c r="C2280" t="n">
        <v>4081.76</v>
      </c>
      <c r="D2280" t="n">
        <v>3533.33</v>
      </c>
      <c r="E2280" t="n">
        <v>4505.32</v>
      </c>
      <c r="F2280" t="n">
        <v>5654.78</v>
      </c>
    </row>
    <row r="2281">
      <c r="A2281" s="3" t="n">
        <v>41789</v>
      </c>
      <c r="B2281" t="n">
        <v>6071.78</v>
      </c>
      <c r="C2281" t="n">
        <v>4131.94</v>
      </c>
      <c r="D2281" t="n">
        <v>3504.74</v>
      </c>
      <c r="E2281" t="n">
        <v>4508.47</v>
      </c>
      <c r="F2281" t="n">
        <v>5708.75</v>
      </c>
    </row>
    <row r="2282">
      <c r="A2282" s="3" t="n">
        <v>41792</v>
      </c>
      <c r="B2282" t="n">
        <v>6110.98</v>
      </c>
      <c r="C2282" t="n">
        <v>4155.11</v>
      </c>
      <c r="D2282" t="n">
        <v>3622.22</v>
      </c>
      <c r="E2282" t="n">
        <v>4549.36</v>
      </c>
      <c r="F2282" t="n">
        <v>5784.02</v>
      </c>
    </row>
    <row r="2283">
      <c r="A2283" s="3" t="n">
        <v>41793</v>
      </c>
      <c r="B2283" t="n">
        <v>6126.24</v>
      </c>
      <c r="C2283" t="n">
        <v>4174.66</v>
      </c>
      <c r="D2283" t="n">
        <v>3669.77</v>
      </c>
      <c r="E2283" t="n">
        <v>4585.28</v>
      </c>
      <c r="F2283" t="n">
        <v>5824.69</v>
      </c>
    </row>
    <row r="2284">
      <c r="A2284" s="3" t="n">
        <v>41794</v>
      </c>
      <c r="B2284" t="n">
        <v>6148.23</v>
      </c>
      <c r="C2284" t="n">
        <v>4183.94</v>
      </c>
      <c r="D2284" t="n">
        <v>3784.56</v>
      </c>
      <c r="E2284" t="n">
        <v>4599.65</v>
      </c>
      <c r="F2284" t="n">
        <v>5842.53</v>
      </c>
    </row>
    <row r="2285">
      <c r="A2285" s="3" t="n">
        <v>41795</v>
      </c>
      <c r="B2285" t="n">
        <v>6193.45</v>
      </c>
      <c r="C2285" t="n">
        <v>4222.99</v>
      </c>
      <c r="D2285" t="n">
        <v>3860.44</v>
      </c>
      <c r="E2285" t="n">
        <v>4639.01</v>
      </c>
      <c r="F2285" t="n">
        <v>5905.48</v>
      </c>
    </row>
    <row r="2286">
      <c r="A2286" s="3" t="n">
        <v>41796</v>
      </c>
      <c r="B2286" t="n">
        <v>6252.98</v>
      </c>
      <c r="C2286" t="n">
        <v>4266.48</v>
      </c>
      <c r="D2286" t="n">
        <v>3961.32</v>
      </c>
      <c r="E2286" t="n">
        <v>4710.35</v>
      </c>
      <c r="F2286" t="n">
        <v>5996.65</v>
      </c>
    </row>
    <row r="2287">
      <c r="A2287" s="3" t="n">
        <v>41799</v>
      </c>
      <c r="B2287" t="n">
        <v>6308.73</v>
      </c>
      <c r="C2287" t="n">
        <v>4309.27</v>
      </c>
      <c r="D2287" t="n">
        <v>4035.07</v>
      </c>
      <c r="E2287" t="n">
        <v>4820.7</v>
      </c>
      <c r="F2287" t="n">
        <v>6051.78</v>
      </c>
    </row>
    <row r="2288">
      <c r="A2288" s="3" t="n">
        <v>41800</v>
      </c>
      <c r="B2288" t="n">
        <v>6373.77</v>
      </c>
      <c r="C2288" t="n">
        <v>4347.79</v>
      </c>
      <c r="D2288" t="n">
        <v>3968.74</v>
      </c>
      <c r="E2288" t="n">
        <v>4832.38</v>
      </c>
      <c r="F2288" t="n">
        <v>6059.77</v>
      </c>
    </row>
    <row r="2289">
      <c r="A2289" s="3" t="n">
        <v>41801</v>
      </c>
      <c r="B2289" t="n">
        <v>6416.05</v>
      </c>
      <c r="C2289" t="n">
        <v>4351.21</v>
      </c>
      <c r="D2289" t="n">
        <v>3869.23</v>
      </c>
      <c r="E2289" t="n">
        <v>4828.32</v>
      </c>
      <c r="F2289" t="n">
        <v>6065.76</v>
      </c>
    </row>
    <row r="2290">
      <c r="A2290" s="3" t="n">
        <v>41802</v>
      </c>
      <c r="B2290" t="n">
        <v>6456.74</v>
      </c>
      <c r="C2290" t="n">
        <v>4387.05</v>
      </c>
      <c r="D2290" t="n">
        <v>3835.24</v>
      </c>
      <c r="E2290" t="n">
        <v>4853.74</v>
      </c>
      <c r="F2290" t="n">
        <v>6114.99</v>
      </c>
    </row>
    <row r="2291">
      <c r="A2291" s="3" t="n">
        <v>41803</v>
      </c>
      <c r="B2291" t="n">
        <v>6395.65</v>
      </c>
      <c r="C2291" t="n">
        <v>4351.34</v>
      </c>
      <c r="D2291" t="n">
        <v>3658.71</v>
      </c>
      <c r="E2291" t="n">
        <v>4798.92</v>
      </c>
      <c r="F2291" t="n">
        <v>6058.35</v>
      </c>
    </row>
    <row r="2292">
      <c r="A2292" s="3" t="n">
        <v>41806</v>
      </c>
      <c r="B2292" t="n">
        <v>6432.06</v>
      </c>
      <c r="C2292" t="n">
        <v>4367.1</v>
      </c>
      <c r="D2292" t="n">
        <v>3678.02</v>
      </c>
      <c r="E2292" t="n">
        <v>4793.03</v>
      </c>
      <c r="F2292" t="n">
        <v>6120.16</v>
      </c>
    </row>
    <row r="2293">
      <c r="A2293" s="3" t="n">
        <v>41807</v>
      </c>
      <c r="B2293" t="n">
        <v>6494.97</v>
      </c>
      <c r="C2293" t="n">
        <v>4391.72</v>
      </c>
      <c r="D2293" t="n">
        <v>3791.51</v>
      </c>
      <c r="E2293" t="n">
        <v>4838.03</v>
      </c>
      <c r="F2293" t="n">
        <v>6188.22</v>
      </c>
    </row>
    <row r="2294">
      <c r="A2294" s="3" t="n">
        <v>41808</v>
      </c>
      <c r="B2294" t="n">
        <v>6480.58</v>
      </c>
      <c r="C2294" t="n">
        <v>4358.78</v>
      </c>
      <c r="D2294" t="n">
        <v>3737.58</v>
      </c>
      <c r="E2294" t="n">
        <v>4831.88</v>
      </c>
      <c r="F2294" t="n">
        <v>6163.39</v>
      </c>
    </row>
    <row r="2295">
      <c r="A2295" s="3" t="n">
        <v>41809</v>
      </c>
      <c r="B2295" t="n">
        <v>6493.11</v>
      </c>
      <c r="C2295" t="n">
        <v>4391.9</v>
      </c>
      <c r="D2295" t="n">
        <v>3697.2</v>
      </c>
      <c r="E2295" t="n">
        <v>4828.76</v>
      </c>
      <c r="F2295" t="n">
        <v>6175.76</v>
      </c>
    </row>
    <row r="2296">
      <c r="A2296" s="3" t="n">
        <v>41810</v>
      </c>
      <c r="B2296" t="n">
        <v>6521.52</v>
      </c>
      <c r="C2296" t="n">
        <v>4385.28</v>
      </c>
      <c r="D2296" t="n">
        <v>3649.66</v>
      </c>
      <c r="E2296" t="n">
        <v>4807.25</v>
      </c>
      <c r="F2296" t="n">
        <v>6181.22</v>
      </c>
    </row>
    <row r="2297">
      <c r="A2297" s="3" t="n">
        <v>41813</v>
      </c>
      <c r="B2297" t="n">
        <v>6566.54</v>
      </c>
      <c r="C2297" t="n">
        <v>4372.26</v>
      </c>
      <c r="D2297" t="n">
        <v>3718.94</v>
      </c>
      <c r="E2297" t="n">
        <v>4805.71</v>
      </c>
      <c r="F2297" t="n">
        <v>6218.91</v>
      </c>
    </row>
    <row r="2298">
      <c r="A2298" s="3" t="n">
        <v>41814</v>
      </c>
      <c r="B2298" t="n">
        <v>6626.41</v>
      </c>
      <c r="C2298" t="n">
        <v>4419.87</v>
      </c>
      <c r="D2298" t="n">
        <v>3820.67</v>
      </c>
      <c r="E2298" t="n">
        <v>4848.31</v>
      </c>
      <c r="F2298" t="n">
        <v>6288.63</v>
      </c>
    </row>
    <row r="2299">
      <c r="A2299" s="3" t="n">
        <v>41815</v>
      </c>
      <c r="B2299" t="n">
        <v>6664.71</v>
      </c>
      <c r="C2299" t="n">
        <v>4449.97</v>
      </c>
      <c r="D2299" t="n">
        <v>3829.6</v>
      </c>
      <c r="E2299" t="n">
        <v>4865.95</v>
      </c>
      <c r="F2299" t="n">
        <v>6284.77</v>
      </c>
    </row>
    <row r="2300">
      <c r="A2300" s="3" t="n">
        <v>41816</v>
      </c>
      <c r="B2300" t="n">
        <v>6694.61</v>
      </c>
      <c r="C2300" t="n">
        <v>4451.34</v>
      </c>
      <c r="D2300" t="n">
        <v>3787.5</v>
      </c>
      <c r="E2300" t="n">
        <v>4840.35</v>
      </c>
      <c r="F2300" t="n">
        <v>6304.49</v>
      </c>
    </row>
    <row r="2301">
      <c r="A2301" s="3" t="n">
        <v>41817</v>
      </c>
      <c r="B2301" t="n">
        <v>6791.37</v>
      </c>
      <c r="C2301" t="n">
        <v>4500.33</v>
      </c>
      <c r="D2301" t="n">
        <v>3798.94</v>
      </c>
      <c r="E2301" t="n">
        <v>4862.2</v>
      </c>
      <c r="F2301" t="n">
        <v>6382.77</v>
      </c>
    </row>
    <row r="2302">
      <c r="A2302" s="3" t="n">
        <v>41820</v>
      </c>
      <c r="B2302" t="n">
        <v>6861.44</v>
      </c>
      <c r="C2302" t="n">
        <v>4552.36</v>
      </c>
      <c r="D2302" t="n">
        <v>3913.83</v>
      </c>
      <c r="E2302" t="n">
        <v>4923.36</v>
      </c>
      <c r="F2302" t="n">
        <v>6472.11</v>
      </c>
    </row>
    <row r="2303">
      <c r="A2303" s="3" t="n">
        <v>41821</v>
      </c>
      <c r="B2303" t="n">
        <v>6880.7</v>
      </c>
      <c r="C2303" t="n">
        <v>4568.45</v>
      </c>
      <c r="D2303" t="n">
        <v>3920.49</v>
      </c>
      <c r="E2303" t="n">
        <v>4938.51</v>
      </c>
      <c r="F2303" t="n">
        <v>6508.89</v>
      </c>
    </row>
    <row r="2304">
      <c r="A2304" s="3" t="n">
        <v>41822</v>
      </c>
      <c r="B2304" t="n">
        <v>6932.83</v>
      </c>
      <c r="C2304" t="n">
        <v>4627.81</v>
      </c>
      <c r="D2304" t="n">
        <v>3936.21</v>
      </c>
      <c r="E2304" t="n">
        <v>5007.61</v>
      </c>
      <c r="F2304" t="n">
        <v>6579.18</v>
      </c>
    </row>
    <row r="2305">
      <c r="A2305" s="3" t="n">
        <v>41823</v>
      </c>
      <c r="B2305" t="n">
        <v>6975.5</v>
      </c>
      <c r="C2305" t="n">
        <v>4627.49</v>
      </c>
      <c r="D2305" t="n">
        <v>3892.03</v>
      </c>
      <c r="E2305" t="n">
        <v>4981.4</v>
      </c>
      <c r="F2305" t="n">
        <v>6630.69</v>
      </c>
    </row>
    <row r="2306">
      <c r="A2306" s="3" t="n">
        <v>41824</v>
      </c>
      <c r="B2306" t="n">
        <v>7010.24</v>
      </c>
      <c r="C2306" t="n">
        <v>4642.38</v>
      </c>
      <c r="D2306" t="n">
        <v>3885.35</v>
      </c>
      <c r="E2306" t="n">
        <v>5010.24</v>
      </c>
      <c r="F2306" t="n">
        <v>6655.64</v>
      </c>
    </row>
    <row r="2307">
      <c r="A2307" s="3" t="n">
        <v>41827</v>
      </c>
      <c r="B2307" t="n">
        <v>7043.83</v>
      </c>
      <c r="C2307" t="n">
        <v>4678.3</v>
      </c>
      <c r="D2307" t="n">
        <v>3854.27</v>
      </c>
      <c r="E2307" t="n">
        <v>5033.62</v>
      </c>
      <c r="F2307" t="n">
        <v>6671.64</v>
      </c>
    </row>
    <row r="2308">
      <c r="A2308" s="3" t="n">
        <v>41828</v>
      </c>
      <c r="B2308" t="n">
        <v>6868.26</v>
      </c>
      <c r="C2308" t="n">
        <v>4594.07</v>
      </c>
      <c r="D2308" t="n">
        <v>3627.64</v>
      </c>
      <c r="E2308" t="n">
        <v>4909.45</v>
      </c>
      <c r="F2308" t="n">
        <v>6471.74</v>
      </c>
    </row>
    <row r="2309">
      <c r="A2309" s="3" t="n">
        <v>41829</v>
      </c>
      <c r="B2309" t="n">
        <v>6745.75</v>
      </c>
      <c r="C2309" t="n">
        <v>4564.82</v>
      </c>
      <c r="D2309" t="n">
        <v>3550.16</v>
      </c>
      <c r="E2309" t="n">
        <v>4856.55</v>
      </c>
      <c r="F2309" t="n">
        <v>6332.28</v>
      </c>
    </row>
    <row r="2310">
      <c r="A2310" s="3" t="n">
        <v>41830</v>
      </c>
      <c r="B2310" t="n">
        <v>6734.64</v>
      </c>
      <c r="C2310" t="n">
        <v>4534</v>
      </c>
      <c r="D2310" t="n">
        <v>3618.01</v>
      </c>
      <c r="E2310" t="n">
        <v>4836.05</v>
      </c>
      <c r="F2310" t="n">
        <v>6338.37</v>
      </c>
    </row>
    <row r="2311">
      <c r="A2311" s="3" t="n">
        <v>41831</v>
      </c>
      <c r="B2311" t="n">
        <v>6684.85</v>
      </c>
      <c r="C2311" t="n">
        <v>4533.5</v>
      </c>
      <c r="D2311" t="n">
        <v>3468.81</v>
      </c>
      <c r="E2311" t="n">
        <v>4781.11</v>
      </c>
      <c r="F2311" t="n">
        <v>6257.92</v>
      </c>
    </row>
    <row r="2312">
      <c r="A2312" s="3" t="n">
        <v>41834</v>
      </c>
      <c r="B2312" t="n">
        <v>6688.08</v>
      </c>
      <c r="C2312" t="n">
        <v>4506.28</v>
      </c>
      <c r="D2312" t="n">
        <v>3468.15</v>
      </c>
      <c r="E2312" t="n">
        <v>4782.64</v>
      </c>
      <c r="F2312" t="n">
        <v>6265.88</v>
      </c>
    </row>
    <row r="2313">
      <c r="A2313" s="3" t="n">
        <v>41835</v>
      </c>
      <c r="B2313" t="n">
        <v>6829.79</v>
      </c>
      <c r="C2313" t="n">
        <v>4529.13</v>
      </c>
      <c r="D2313" t="n">
        <v>3581.43</v>
      </c>
      <c r="E2313" t="n">
        <v>4811.36</v>
      </c>
      <c r="F2313" t="n">
        <v>6400.55</v>
      </c>
    </row>
    <row r="2314">
      <c r="A2314" s="3" t="n">
        <v>41836</v>
      </c>
      <c r="B2314" t="n">
        <v>6923.88</v>
      </c>
      <c r="C2314" t="n">
        <v>4551.99</v>
      </c>
      <c r="D2314" t="n">
        <v>3650.39</v>
      </c>
      <c r="E2314" t="n">
        <v>4845.56</v>
      </c>
      <c r="F2314" t="n">
        <v>6500.44</v>
      </c>
    </row>
    <row r="2315">
      <c r="A2315" s="3" t="n">
        <v>41837</v>
      </c>
      <c r="B2315" t="n">
        <v>7035.34</v>
      </c>
      <c r="C2315" t="n">
        <v>4587.16</v>
      </c>
      <c r="D2315" t="n">
        <v>3679.12</v>
      </c>
      <c r="E2315" t="n">
        <v>4886.44</v>
      </c>
      <c r="F2315" t="n">
        <v>6611.52</v>
      </c>
    </row>
    <row r="2316">
      <c r="A2316" s="3" t="n">
        <v>41838</v>
      </c>
      <c r="B2316" t="n">
        <v>7006.25</v>
      </c>
      <c r="C2316" t="n">
        <v>4602.07</v>
      </c>
      <c r="D2316" t="n">
        <v>3641.12</v>
      </c>
      <c r="E2316" t="n">
        <v>4886.9</v>
      </c>
      <c r="F2316" t="n">
        <v>6603.44</v>
      </c>
    </row>
    <row r="2317">
      <c r="A2317" s="3" t="n">
        <v>41841</v>
      </c>
      <c r="B2317" t="n">
        <v>7044.58</v>
      </c>
      <c r="C2317" t="n">
        <v>4619.35</v>
      </c>
      <c r="D2317" t="n">
        <v>3638.63</v>
      </c>
      <c r="E2317" t="n">
        <v>4912.36</v>
      </c>
      <c r="F2317" t="n">
        <v>6631.18</v>
      </c>
    </row>
    <row r="2318">
      <c r="A2318" s="3" t="n">
        <v>41842</v>
      </c>
      <c r="B2318" t="n">
        <v>7081.38</v>
      </c>
      <c r="C2318" t="n">
        <v>4661.29</v>
      </c>
      <c r="D2318" t="n">
        <v>3613.11</v>
      </c>
      <c r="E2318" t="n">
        <v>4934.22</v>
      </c>
      <c r="F2318" t="n">
        <v>6658.47</v>
      </c>
    </row>
    <row r="2319">
      <c r="A2319" s="3" t="n">
        <v>41843</v>
      </c>
      <c r="B2319" t="n">
        <v>7064.44</v>
      </c>
      <c r="C2319" t="n">
        <v>4687.63</v>
      </c>
      <c r="D2319" t="n">
        <v>3617.19</v>
      </c>
      <c r="E2319" t="n">
        <v>4946.46</v>
      </c>
      <c r="F2319" t="n">
        <v>6655.04</v>
      </c>
    </row>
    <row r="2320">
      <c r="A2320" s="3" t="n">
        <v>41844</v>
      </c>
      <c r="B2320" t="n">
        <v>7021</v>
      </c>
      <c r="C2320" t="n">
        <v>4698.77</v>
      </c>
      <c r="D2320" t="n">
        <v>3618.22</v>
      </c>
      <c r="E2320" t="n">
        <v>4935.2</v>
      </c>
      <c r="F2320" t="n">
        <v>6621.95</v>
      </c>
    </row>
    <row r="2321">
      <c r="A2321" s="3" t="n">
        <v>41845</v>
      </c>
      <c r="B2321" t="n">
        <v>6981.7</v>
      </c>
      <c r="C2321" t="n">
        <v>4733.55</v>
      </c>
      <c r="D2321" t="n">
        <v>3525.36</v>
      </c>
      <c r="E2321" t="n">
        <v>4931.71</v>
      </c>
      <c r="F2321" t="n">
        <v>6548.63</v>
      </c>
    </row>
    <row r="2322">
      <c r="A2322" s="3" t="n">
        <v>41848</v>
      </c>
      <c r="B2322" t="n">
        <v>6993.97</v>
      </c>
      <c r="C2322" t="n">
        <v>4724.25</v>
      </c>
      <c r="D2322" t="n">
        <v>3508.96</v>
      </c>
      <c r="E2322" t="n">
        <v>4890.45</v>
      </c>
      <c r="F2322" t="n">
        <v>6538.27</v>
      </c>
    </row>
    <row r="2323">
      <c r="A2323" s="3" t="n">
        <v>41850</v>
      </c>
      <c r="B2323" t="n">
        <v>7042.21</v>
      </c>
      <c r="C2323" t="n">
        <v>4747.37</v>
      </c>
      <c r="D2323" t="n">
        <v>3533.59</v>
      </c>
      <c r="E2323" t="n">
        <v>4937.64</v>
      </c>
      <c r="F2323" t="n">
        <v>6565.16</v>
      </c>
    </row>
    <row r="2324">
      <c r="A2324" s="3" t="n">
        <v>41851</v>
      </c>
      <c r="B2324" t="n">
        <v>7062.55</v>
      </c>
      <c r="C2324" t="n">
        <v>4735.88</v>
      </c>
      <c r="D2324" t="n">
        <v>3543.62</v>
      </c>
      <c r="E2324" t="n">
        <v>4927.8</v>
      </c>
      <c r="F2324" t="n">
        <v>6598.6</v>
      </c>
    </row>
    <row r="2325">
      <c r="A2325" s="3" t="n">
        <v>41852</v>
      </c>
      <c r="B2325" t="n">
        <v>7005.3</v>
      </c>
      <c r="C2325" t="n">
        <v>4678.37</v>
      </c>
      <c r="D2325" t="n">
        <v>3497.15</v>
      </c>
      <c r="E2325" t="n">
        <v>4868.6</v>
      </c>
      <c r="F2325" t="n">
        <v>6537.6</v>
      </c>
    </row>
    <row r="2326">
      <c r="A2326" s="3" t="n">
        <v>41855</v>
      </c>
      <c r="B2326" t="n">
        <v>7095.6</v>
      </c>
      <c r="C2326" t="n">
        <v>4713.65</v>
      </c>
      <c r="D2326" t="n">
        <v>3560.38</v>
      </c>
      <c r="E2326" t="n">
        <v>4907.09</v>
      </c>
      <c r="F2326" t="n">
        <v>6654.55</v>
      </c>
    </row>
    <row r="2327">
      <c r="A2327" s="3" t="n">
        <v>41856</v>
      </c>
      <c r="B2327" t="n">
        <v>7122.34</v>
      </c>
      <c r="C2327" t="n">
        <v>4746.58</v>
      </c>
      <c r="D2327" t="n">
        <v>3605.72</v>
      </c>
      <c r="E2327" t="n">
        <v>4958.19</v>
      </c>
      <c r="F2327" t="n">
        <v>6721.79</v>
      </c>
    </row>
    <row r="2328">
      <c r="A2328" s="3" t="n">
        <v>41857</v>
      </c>
      <c r="B2328" t="n">
        <v>7127.7</v>
      </c>
      <c r="C2328" t="n">
        <v>4737.77</v>
      </c>
      <c r="D2328" t="n">
        <v>3538.39</v>
      </c>
      <c r="E2328" t="n">
        <v>4930.04</v>
      </c>
      <c r="F2328" t="n">
        <v>6693.84</v>
      </c>
    </row>
    <row r="2329">
      <c r="A2329" s="3" t="n">
        <v>41858</v>
      </c>
      <c r="B2329" t="n">
        <v>7102.78</v>
      </c>
      <c r="C2329" t="n">
        <v>4713.69</v>
      </c>
      <c r="D2329" t="n">
        <v>3536.07</v>
      </c>
      <c r="E2329" t="n">
        <v>4910.82</v>
      </c>
      <c r="F2329" t="n">
        <v>6668.07</v>
      </c>
    </row>
    <row r="2330">
      <c r="A2330" s="3" t="n">
        <v>41859</v>
      </c>
      <c r="B2330" t="n">
        <v>7025.42</v>
      </c>
      <c r="C2330" t="n">
        <v>4684.06</v>
      </c>
      <c r="D2330" t="n">
        <v>3419.9</v>
      </c>
      <c r="E2330" t="n">
        <v>4860.76</v>
      </c>
      <c r="F2330" t="n">
        <v>6552.64</v>
      </c>
    </row>
    <row r="2331">
      <c r="A2331" s="3" t="n">
        <v>41862</v>
      </c>
      <c r="B2331" t="n">
        <v>7111.33</v>
      </c>
      <c r="C2331" t="n">
        <v>4692.57</v>
      </c>
      <c r="D2331" t="n">
        <v>3444.41</v>
      </c>
      <c r="E2331" t="n">
        <v>4864.32</v>
      </c>
      <c r="F2331" t="n">
        <v>6638.85</v>
      </c>
    </row>
    <row r="2332">
      <c r="A2332" s="3" t="n">
        <v>41863</v>
      </c>
      <c r="B2332" t="n">
        <v>7172.03</v>
      </c>
      <c r="C2332" t="n">
        <v>4722.83</v>
      </c>
      <c r="D2332" t="n">
        <v>3484.12</v>
      </c>
      <c r="E2332" t="n">
        <v>4875.77</v>
      </c>
      <c r="F2332" t="n">
        <v>6700.75</v>
      </c>
    </row>
    <row r="2333">
      <c r="A2333" s="3" t="n">
        <v>41864</v>
      </c>
      <c r="B2333" t="n">
        <v>7157.67</v>
      </c>
      <c r="C2333" t="n">
        <v>4745.98</v>
      </c>
      <c r="D2333" t="n">
        <v>3350.14</v>
      </c>
      <c r="E2333" t="n">
        <v>4867.59</v>
      </c>
      <c r="F2333" t="n">
        <v>6596.4</v>
      </c>
    </row>
    <row r="2334">
      <c r="A2334" s="3" t="n">
        <v>41865</v>
      </c>
      <c r="B2334" t="n">
        <v>7214.72</v>
      </c>
      <c r="C2334" t="n">
        <v>4759.13</v>
      </c>
      <c r="D2334" t="n">
        <v>3411.4</v>
      </c>
      <c r="E2334" t="n">
        <v>4898.82</v>
      </c>
      <c r="F2334" t="n">
        <v>6657.15</v>
      </c>
    </row>
    <row r="2335">
      <c r="A2335" s="3" t="n">
        <v>41869</v>
      </c>
      <c r="B2335" t="n">
        <v>7343.61</v>
      </c>
      <c r="C2335" t="n">
        <v>4795.53</v>
      </c>
      <c r="D2335" t="n">
        <v>3512.91</v>
      </c>
      <c r="E2335" t="n">
        <v>4961.54</v>
      </c>
      <c r="F2335" t="n">
        <v>6785.16</v>
      </c>
    </row>
    <row r="2336">
      <c r="A2336" s="3" t="n">
        <v>41870</v>
      </c>
      <c r="B2336" t="n">
        <v>7389.54</v>
      </c>
      <c r="C2336" t="n">
        <v>4824.88</v>
      </c>
      <c r="D2336" t="n">
        <v>3577.45</v>
      </c>
      <c r="E2336" t="n">
        <v>4999.87</v>
      </c>
      <c r="F2336" t="n">
        <v>6867.02</v>
      </c>
    </row>
    <row r="2337">
      <c r="A2337" s="3" t="n">
        <v>41871</v>
      </c>
      <c r="B2337" t="n">
        <v>7447.79</v>
      </c>
      <c r="C2337" t="n">
        <v>4837.18</v>
      </c>
      <c r="D2337" t="n">
        <v>3557.56</v>
      </c>
      <c r="E2337" t="n">
        <v>5009.64</v>
      </c>
      <c r="F2337" t="n">
        <v>6884.32</v>
      </c>
    </row>
    <row r="2338">
      <c r="A2338" s="3" t="n">
        <v>41872</v>
      </c>
      <c r="B2338" t="n">
        <v>7478.58</v>
      </c>
      <c r="C2338" t="n">
        <v>4861.43</v>
      </c>
      <c r="D2338" t="n">
        <v>3571.44</v>
      </c>
      <c r="E2338" t="n">
        <v>5024.8</v>
      </c>
      <c r="F2338" t="n">
        <v>6894.09</v>
      </c>
    </row>
    <row r="2339">
      <c r="A2339" s="3" t="n">
        <v>41873</v>
      </c>
      <c r="B2339" t="n">
        <v>7504.15</v>
      </c>
      <c r="C2339" t="n">
        <v>4866.06</v>
      </c>
      <c r="D2339" t="n">
        <v>3565.04</v>
      </c>
      <c r="E2339" t="n">
        <v>5029.75</v>
      </c>
      <c r="F2339" t="n">
        <v>6897.01</v>
      </c>
    </row>
    <row r="2340">
      <c r="A2340" s="3" t="n">
        <v>41876</v>
      </c>
      <c r="B2340" t="n">
        <v>7517.9</v>
      </c>
      <c r="C2340" t="n">
        <v>4883.94</v>
      </c>
      <c r="D2340" t="n">
        <v>3514.24</v>
      </c>
      <c r="E2340" t="n">
        <v>5036.5</v>
      </c>
      <c r="F2340" t="n">
        <v>6887.36</v>
      </c>
    </row>
    <row r="2341">
      <c r="A2341" s="3" t="n">
        <v>41877</v>
      </c>
      <c r="B2341" t="n">
        <v>7564.15</v>
      </c>
      <c r="C2341" t="n">
        <v>4927.4</v>
      </c>
      <c r="D2341" t="n">
        <v>3486.5</v>
      </c>
      <c r="E2341" t="n">
        <v>5039.51</v>
      </c>
      <c r="F2341" t="n">
        <v>6904.49</v>
      </c>
    </row>
    <row r="2342">
      <c r="A2342" s="3" t="n">
        <v>41878</v>
      </c>
      <c r="B2342" t="n">
        <v>7623.85</v>
      </c>
      <c r="C2342" t="n">
        <v>4966.86</v>
      </c>
      <c r="D2342" t="n">
        <v>3502.17</v>
      </c>
      <c r="E2342" t="n">
        <v>5081.06</v>
      </c>
      <c r="F2342" t="n">
        <v>6963.09</v>
      </c>
    </row>
    <row r="2343">
      <c r="A2343" s="3" t="n">
        <v>41879</v>
      </c>
      <c r="B2343" t="n">
        <v>7599.76</v>
      </c>
      <c r="C2343" t="n">
        <v>4961.65</v>
      </c>
      <c r="D2343" t="n">
        <v>3481.88</v>
      </c>
      <c r="E2343" t="n">
        <v>5076.44</v>
      </c>
      <c r="F2343" t="n">
        <v>6969.89</v>
      </c>
    </row>
    <row r="2344">
      <c r="A2344" s="3" t="n">
        <v>41883</v>
      </c>
      <c r="B2344" t="n">
        <v>7706.25</v>
      </c>
      <c r="C2344" t="n">
        <v>4998.46</v>
      </c>
      <c r="D2344" t="n">
        <v>3566.25</v>
      </c>
      <c r="E2344" t="n">
        <v>5142.28</v>
      </c>
      <c r="F2344" t="n">
        <v>7075.29</v>
      </c>
    </row>
    <row r="2345">
      <c r="A2345" s="3" t="n">
        <v>41884</v>
      </c>
      <c r="B2345" t="n">
        <v>7803.3</v>
      </c>
      <c r="C2345" t="n">
        <v>5035.24</v>
      </c>
      <c r="D2345" t="n">
        <v>3597.71</v>
      </c>
      <c r="E2345" t="n">
        <v>5200.93</v>
      </c>
      <c r="F2345" t="n">
        <v>7184.31</v>
      </c>
    </row>
    <row r="2346">
      <c r="A2346" s="3" t="n">
        <v>41885</v>
      </c>
      <c r="B2346" t="n">
        <v>7960.8</v>
      </c>
      <c r="C2346" t="n">
        <v>5065.13</v>
      </c>
      <c r="D2346" t="n">
        <v>3627.22</v>
      </c>
      <c r="E2346" t="n">
        <v>5201.18</v>
      </c>
      <c r="F2346" t="n">
        <v>7291.5</v>
      </c>
    </row>
    <row r="2347">
      <c r="A2347" s="3" t="n">
        <v>41886</v>
      </c>
      <c r="B2347" t="n">
        <v>8009.66</v>
      </c>
      <c r="C2347" t="n">
        <v>5072.66</v>
      </c>
      <c r="D2347" t="n">
        <v>3570.58</v>
      </c>
      <c r="E2347" t="n">
        <v>5214.37</v>
      </c>
      <c r="F2347" t="n">
        <v>7372.44</v>
      </c>
    </row>
    <row r="2348">
      <c r="A2348" s="3" t="n">
        <v>41887</v>
      </c>
      <c r="B2348" t="n">
        <v>8054.65</v>
      </c>
      <c r="C2348" t="n">
        <v>5086.19</v>
      </c>
      <c r="D2348" t="n">
        <v>3569.81</v>
      </c>
      <c r="E2348" t="n">
        <v>5233.87</v>
      </c>
      <c r="F2348" t="n">
        <v>7401.35</v>
      </c>
    </row>
    <row r="2349">
      <c r="A2349" s="3" t="n">
        <v>41890</v>
      </c>
      <c r="B2349" t="n">
        <v>8170.91</v>
      </c>
      <c r="C2349" t="n">
        <v>5139.23</v>
      </c>
      <c r="D2349" t="n">
        <v>3632.33</v>
      </c>
      <c r="E2349" t="n">
        <v>5295.02</v>
      </c>
      <c r="F2349" t="n">
        <v>7515.08</v>
      </c>
    </row>
    <row r="2350">
      <c r="A2350" s="3" t="n">
        <v>41891</v>
      </c>
      <c r="B2350" t="n">
        <v>8234.309999999999</v>
      </c>
      <c r="C2350" t="n">
        <v>5131.35</v>
      </c>
      <c r="D2350" t="n">
        <v>3638.59</v>
      </c>
      <c r="E2350" t="n">
        <v>5294.27</v>
      </c>
      <c r="F2350" t="n">
        <v>7582.77</v>
      </c>
    </row>
    <row r="2351">
      <c r="A2351" s="3" t="n">
        <v>41892</v>
      </c>
      <c r="B2351" t="n">
        <v>8243.620000000001</v>
      </c>
      <c r="C2351" t="n">
        <v>5102.73</v>
      </c>
      <c r="D2351" t="n">
        <v>3623.96</v>
      </c>
      <c r="E2351" t="n">
        <v>5271.72</v>
      </c>
      <c r="F2351" t="n">
        <v>7598.59</v>
      </c>
    </row>
    <row r="2352">
      <c r="A2352" s="3" t="n">
        <v>41893</v>
      </c>
      <c r="B2352" t="n">
        <v>8341.42</v>
      </c>
      <c r="C2352" t="n">
        <v>5125.67</v>
      </c>
      <c r="D2352" t="n">
        <v>3709.1</v>
      </c>
      <c r="E2352" t="n">
        <v>5290.56</v>
      </c>
      <c r="F2352" t="n">
        <v>7690.91</v>
      </c>
    </row>
    <row r="2353">
      <c r="A2353" s="3" t="n">
        <v>41894</v>
      </c>
      <c r="B2353" t="n">
        <v>8403.17</v>
      </c>
      <c r="C2353" t="n">
        <v>5174.33</v>
      </c>
      <c r="D2353" t="n">
        <v>3725.08</v>
      </c>
      <c r="E2353" t="n">
        <v>5341.04</v>
      </c>
      <c r="F2353" t="n">
        <v>7744.61</v>
      </c>
    </row>
    <row r="2354">
      <c r="A2354" s="3" t="n">
        <v>41897</v>
      </c>
      <c r="B2354" t="n">
        <v>8431.700000000001</v>
      </c>
      <c r="C2354" t="n">
        <v>5170.91</v>
      </c>
      <c r="D2354" t="n">
        <v>3768.84</v>
      </c>
      <c r="E2354" t="n">
        <v>5360.26</v>
      </c>
      <c r="F2354" t="n">
        <v>7720.7</v>
      </c>
    </row>
    <row r="2355">
      <c r="A2355" s="3" t="n">
        <v>41898</v>
      </c>
      <c r="B2355" t="n">
        <v>8129.07</v>
      </c>
      <c r="C2355" t="n">
        <v>5104.8</v>
      </c>
      <c r="D2355" t="n">
        <v>3592.45</v>
      </c>
      <c r="E2355" t="n">
        <v>5277.51</v>
      </c>
      <c r="F2355" t="n">
        <v>7429.91</v>
      </c>
    </row>
    <row r="2356">
      <c r="A2356" s="3" t="n">
        <v>41899</v>
      </c>
      <c r="B2356" t="n">
        <v>8190.46</v>
      </c>
      <c r="C2356" t="n">
        <v>5112.96</v>
      </c>
      <c r="D2356" t="n">
        <v>3579.03</v>
      </c>
      <c r="E2356" t="n">
        <v>5302.21</v>
      </c>
      <c r="F2356" t="n">
        <v>7467.59</v>
      </c>
    </row>
    <row r="2357">
      <c r="A2357" s="3" t="n">
        <v>41900</v>
      </c>
      <c r="B2357" t="n">
        <v>8313.459999999999</v>
      </c>
      <c r="C2357" t="n">
        <v>5192.2</v>
      </c>
      <c r="D2357" t="n">
        <v>3692.53</v>
      </c>
      <c r="E2357" t="n">
        <v>5379.41</v>
      </c>
      <c r="F2357" t="n">
        <v>7617.24</v>
      </c>
    </row>
    <row r="2358">
      <c r="A2358" s="3" t="n">
        <v>41901</v>
      </c>
      <c r="B2358" t="n">
        <v>8329.59</v>
      </c>
      <c r="C2358" t="n">
        <v>5216.02</v>
      </c>
      <c r="D2358" t="n">
        <v>3678.49</v>
      </c>
      <c r="E2358" t="n">
        <v>5404.13</v>
      </c>
      <c r="F2358" t="n">
        <v>7637.49</v>
      </c>
    </row>
    <row r="2359">
      <c r="A2359" s="3" t="n">
        <v>41904</v>
      </c>
      <c r="B2359" t="n">
        <v>8337.959999999999</v>
      </c>
      <c r="C2359" t="n">
        <v>5203.23</v>
      </c>
      <c r="D2359" t="n">
        <v>3681.57</v>
      </c>
      <c r="E2359" t="n">
        <v>5389.96</v>
      </c>
      <c r="F2359" t="n">
        <v>7591.51</v>
      </c>
    </row>
    <row r="2360">
      <c r="A2360" s="3" t="n">
        <v>41905</v>
      </c>
      <c r="B2360" t="n">
        <v>8162.32</v>
      </c>
      <c r="C2360" t="n">
        <v>5140.32</v>
      </c>
      <c r="D2360" t="n">
        <v>3568.46</v>
      </c>
      <c r="E2360" t="n">
        <v>5315.06</v>
      </c>
      <c r="F2360" t="n">
        <v>7423.39</v>
      </c>
    </row>
    <row r="2361">
      <c r="A2361" s="3" t="n">
        <v>41906</v>
      </c>
      <c r="B2361" t="n">
        <v>8004.72</v>
      </c>
      <c r="C2361" t="n">
        <v>5152.58</v>
      </c>
      <c r="D2361" t="n">
        <v>3490.21</v>
      </c>
      <c r="E2361" t="n">
        <v>5328.1</v>
      </c>
      <c r="F2361" t="n">
        <v>7313.4</v>
      </c>
    </row>
    <row r="2362">
      <c r="A2362" s="3" t="n">
        <v>41907</v>
      </c>
      <c r="B2362" t="n">
        <v>7878.1</v>
      </c>
      <c r="C2362" t="n">
        <v>5118.23</v>
      </c>
      <c r="D2362" t="n">
        <v>3308.29</v>
      </c>
      <c r="E2362" t="n">
        <v>5297.54</v>
      </c>
      <c r="F2362" t="n">
        <v>7210.92</v>
      </c>
    </row>
    <row r="2363">
      <c r="A2363" s="3" t="n">
        <v>41908</v>
      </c>
      <c r="B2363" t="n">
        <v>7970.26</v>
      </c>
      <c r="C2363" t="n">
        <v>5149.2</v>
      </c>
      <c r="D2363" t="n">
        <v>3366.08</v>
      </c>
      <c r="E2363" t="n">
        <v>5317.33</v>
      </c>
      <c r="F2363" t="n">
        <v>7268.52</v>
      </c>
    </row>
    <row r="2364">
      <c r="A2364" s="3" t="n">
        <v>41911</v>
      </c>
      <c r="B2364" t="n">
        <v>8196.76</v>
      </c>
      <c r="C2364" t="n">
        <v>5182.55</v>
      </c>
      <c r="D2364" t="n">
        <v>3422.66</v>
      </c>
      <c r="E2364" t="n">
        <v>5348.49</v>
      </c>
      <c r="F2364" t="n">
        <v>7386.42</v>
      </c>
    </row>
    <row r="2365">
      <c r="A2365" s="3" t="n">
        <v>41912</v>
      </c>
      <c r="B2365" t="n">
        <v>8252.73</v>
      </c>
      <c r="C2365" t="n">
        <v>5199.75</v>
      </c>
      <c r="D2365" t="n">
        <v>3420.2</v>
      </c>
      <c r="E2365" t="n">
        <v>5376.55</v>
      </c>
      <c r="F2365" t="n">
        <v>7418.6</v>
      </c>
    </row>
    <row r="2366">
      <c r="A2366" s="3" t="n">
        <v>41913</v>
      </c>
      <c r="B2366" t="n">
        <v>8206.51</v>
      </c>
      <c r="C2366" t="n">
        <v>5228.16</v>
      </c>
      <c r="D2366" t="n">
        <v>3402.55</v>
      </c>
      <c r="E2366" t="n">
        <v>5384.02</v>
      </c>
      <c r="F2366" t="n">
        <v>7417.13</v>
      </c>
    </row>
    <row r="2367">
      <c r="A2367" s="3" t="n">
        <v>41919</v>
      </c>
      <c r="B2367" t="n">
        <v>8149.96</v>
      </c>
      <c r="C2367" t="n">
        <v>5167.7</v>
      </c>
      <c r="D2367" t="n">
        <v>3381.09</v>
      </c>
      <c r="E2367" t="n">
        <v>5305.62</v>
      </c>
      <c r="F2367" t="n">
        <v>7366.95</v>
      </c>
    </row>
    <row r="2368">
      <c r="A2368" s="3" t="n">
        <v>41920</v>
      </c>
      <c r="B2368" t="n">
        <v>8101.49</v>
      </c>
      <c r="C2368" t="n">
        <v>5088.69</v>
      </c>
      <c r="D2368" t="n">
        <v>3421.59</v>
      </c>
      <c r="E2368" t="n">
        <v>5242.22</v>
      </c>
      <c r="F2368" t="n">
        <v>7281.87</v>
      </c>
    </row>
    <row r="2369">
      <c r="A2369" s="3" t="n">
        <v>41921</v>
      </c>
      <c r="B2369" t="n">
        <v>8270.16</v>
      </c>
      <c r="C2369" t="n">
        <v>5144.77</v>
      </c>
      <c r="D2369" t="n">
        <v>3491.42</v>
      </c>
      <c r="E2369" t="n">
        <v>5288.75</v>
      </c>
      <c r="F2369" t="n">
        <v>7399</v>
      </c>
    </row>
    <row r="2370">
      <c r="A2370" s="3" t="n">
        <v>41922</v>
      </c>
      <c r="B2370" t="n">
        <v>8105.33</v>
      </c>
      <c r="C2370" t="n">
        <v>5126.58</v>
      </c>
      <c r="D2370" t="n">
        <v>3445.32</v>
      </c>
      <c r="E2370" t="n">
        <v>5255.88</v>
      </c>
      <c r="F2370" t="n">
        <v>7290.35</v>
      </c>
    </row>
    <row r="2371">
      <c r="A2371" s="3" t="n">
        <v>41925</v>
      </c>
      <c r="B2371" t="n">
        <v>8174.22</v>
      </c>
      <c r="C2371" t="n">
        <v>5142.23</v>
      </c>
      <c r="D2371" t="n">
        <v>3491.47</v>
      </c>
      <c r="E2371" t="n">
        <v>5246.39</v>
      </c>
      <c r="F2371" t="n">
        <v>7312.59</v>
      </c>
    </row>
    <row r="2372">
      <c r="A2372" s="3" t="n">
        <v>41926</v>
      </c>
      <c r="B2372" t="n">
        <v>8176.54</v>
      </c>
      <c r="C2372" t="n">
        <v>5134.15</v>
      </c>
      <c r="D2372" t="n">
        <v>3468.83</v>
      </c>
      <c r="E2372" t="n">
        <v>5241.1</v>
      </c>
      <c r="F2372" t="n">
        <v>7277.27</v>
      </c>
    </row>
    <row r="2373">
      <c r="A2373" s="3" t="n">
        <v>41928</v>
      </c>
      <c r="B2373" t="n">
        <v>7892.13</v>
      </c>
      <c r="C2373" t="n">
        <v>5058.96</v>
      </c>
      <c r="D2373" t="n">
        <v>3370.98</v>
      </c>
      <c r="E2373" t="n">
        <v>5150.36</v>
      </c>
      <c r="F2373" t="n">
        <v>7031.69</v>
      </c>
    </row>
    <row r="2374">
      <c r="A2374" s="3" t="n">
        <v>41929</v>
      </c>
      <c r="B2374" t="n">
        <v>7921.63</v>
      </c>
      <c r="C2374" t="n">
        <v>5032.23</v>
      </c>
      <c r="D2374" t="n">
        <v>3403.27</v>
      </c>
      <c r="E2374" t="n">
        <v>5149.01</v>
      </c>
      <c r="F2374" t="n">
        <v>7028.17</v>
      </c>
    </row>
    <row r="2375">
      <c r="A2375" s="3" t="n">
        <v>41932</v>
      </c>
      <c r="B2375" t="n">
        <v>8049.55</v>
      </c>
      <c r="C2375" t="n">
        <v>5078.73</v>
      </c>
      <c r="D2375" t="n">
        <v>3464.18</v>
      </c>
      <c r="E2375" t="n">
        <v>5191.11</v>
      </c>
      <c r="F2375" t="n">
        <v>7119.35</v>
      </c>
    </row>
    <row r="2376">
      <c r="A2376" s="3" t="n">
        <v>41933</v>
      </c>
      <c r="B2376" t="n">
        <v>8159.04</v>
      </c>
      <c r="C2376" t="n">
        <v>5124.55</v>
      </c>
      <c r="D2376" t="n">
        <v>3457.44</v>
      </c>
      <c r="E2376" t="n">
        <v>5210.11</v>
      </c>
      <c r="F2376" t="n">
        <v>7237.52</v>
      </c>
    </row>
    <row r="2377">
      <c r="A2377" s="3" t="n">
        <v>41934</v>
      </c>
      <c r="B2377" t="n">
        <v>8252.84</v>
      </c>
      <c r="C2377" t="n">
        <v>5185.96</v>
      </c>
      <c r="D2377" t="n">
        <v>3468.57</v>
      </c>
      <c r="E2377" t="n">
        <v>5285.87</v>
      </c>
      <c r="F2377" t="n">
        <v>7334.58</v>
      </c>
    </row>
    <row r="2378">
      <c r="A2378" s="3" t="n">
        <v>41935</v>
      </c>
      <c r="B2378" t="n">
        <v>8317.950000000001</v>
      </c>
      <c r="C2378" t="n">
        <v>5209.22</v>
      </c>
      <c r="D2378" t="n">
        <v>3507.43</v>
      </c>
      <c r="E2378" t="n">
        <v>5307.55</v>
      </c>
      <c r="F2378" t="n">
        <v>7393.83</v>
      </c>
    </row>
    <row r="2379">
      <c r="A2379" s="3" t="n">
        <v>41939</v>
      </c>
      <c r="B2379" t="n">
        <v>8287.030000000001</v>
      </c>
      <c r="C2379" t="n">
        <v>5182.8</v>
      </c>
      <c r="D2379" t="n">
        <v>3499.59</v>
      </c>
      <c r="E2379" t="n">
        <v>5276.36</v>
      </c>
      <c r="F2379" t="n">
        <v>7335.44</v>
      </c>
    </row>
    <row r="2380">
      <c r="A2380" s="3" t="n">
        <v>41940</v>
      </c>
      <c r="B2380" t="n">
        <v>8301.35</v>
      </c>
      <c r="C2380" t="n">
        <v>5195.21</v>
      </c>
      <c r="D2380" t="n">
        <v>3523.87</v>
      </c>
      <c r="E2380" t="n">
        <v>5292.46</v>
      </c>
      <c r="F2380" t="n">
        <v>7348.63</v>
      </c>
    </row>
    <row r="2381">
      <c r="A2381" s="3" t="n">
        <v>41941</v>
      </c>
      <c r="B2381" t="n">
        <v>8368.450000000001</v>
      </c>
      <c r="C2381" t="n">
        <v>5223.15</v>
      </c>
      <c r="D2381" t="n">
        <v>3548.36</v>
      </c>
      <c r="E2381" t="n">
        <v>5333.66</v>
      </c>
      <c r="F2381" t="n">
        <v>7431.47</v>
      </c>
    </row>
    <row r="2382">
      <c r="A2382" s="3" t="n">
        <v>41942</v>
      </c>
      <c r="B2382" t="n">
        <v>8480.309999999999</v>
      </c>
      <c r="C2382" t="n">
        <v>5276.81</v>
      </c>
      <c r="D2382" t="n">
        <v>3571.86</v>
      </c>
      <c r="E2382" t="n">
        <v>5370.43</v>
      </c>
      <c r="F2382" t="n">
        <v>7509.16</v>
      </c>
    </row>
    <row r="2383">
      <c r="A2383" s="3" t="n">
        <v>41943</v>
      </c>
      <c r="B2383" t="n">
        <v>8615.41</v>
      </c>
      <c r="C2383" t="n">
        <v>5343.46</v>
      </c>
      <c r="D2383" t="n">
        <v>3672.29</v>
      </c>
      <c r="E2383" t="n">
        <v>5461.09</v>
      </c>
      <c r="F2383" t="n">
        <v>7622.94</v>
      </c>
    </row>
    <row r="2384">
      <c r="A2384" s="3" t="n">
        <v>41946</v>
      </c>
      <c r="B2384" t="n">
        <v>8728.030000000001</v>
      </c>
      <c r="C2384" t="n">
        <v>5335.1</v>
      </c>
      <c r="D2384" t="n">
        <v>3720.45</v>
      </c>
      <c r="E2384" t="n">
        <v>5466.62</v>
      </c>
      <c r="F2384" t="n">
        <v>7714.76</v>
      </c>
    </row>
    <row r="2385">
      <c r="A2385" s="3" t="n">
        <v>41948</v>
      </c>
      <c r="B2385" t="n">
        <v>8764.879999999999</v>
      </c>
      <c r="C2385" t="n">
        <v>5344.08</v>
      </c>
      <c r="D2385" t="n">
        <v>3734.61</v>
      </c>
      <c r="E2385" t="n">
        <v>5464.44</v>
      </c>
      <c r="F2385" t="n">
        <v>7759.7</v>
      </c>
    </row>
    <row r="2386">
      <c r="A2386" s="3" t="n">
        <v>41950</v>
      </c>
      <c r="B2386" t="n">
        <v>8797.85</v>
      </c>
      <c r="C2386" t="n">
        <v>5387.7</v>
      </c>
      <c r="D2386" t="n">
        <v>3729.87</v>
      </c>
      <c r="E2386" t="n">
        <v>5500.25</v>
      </c>
      <c r="F2386" t="n">
        <v>7785.17</v>
      </c>
    </row>
    <row r="2387">
      <c r="A2387" s="3" t="n">
        <v>41953</v>
      </c>
      <c r="B2387" t="n">
        <v>8862.709999999999</v>
      </c>
      <c r="C2387" t="n">
        <v>5424.47</v>
      </c>
      <c r="D2387" t="n">
        <v>3752.34</v>
      </c>
      <c r="E2387" t="n">
        <v>5529.39</v>
      </c>
      <c r="F2387" t="n">
        <v>7823.71</v>
      </c>
    </row>
    <row r="2388">
      <c r="A2388" s="3" t="n">
        <v>41954</v>
      </c>
      <c r="B2388" t="n">
        <v>8933.52</v>
      </c>
      <c r="C2388" t="n">
        <v>5424.77</v>
      </c>
      <c r="D2388" t="n">
        <v>3805.87</v>
      </c>
      <c r="E2388" t="n">
        <v>5538.69</v>
      </c>
      <c r="F2388" t="n">
        <v>7898.61</v>
      </c>
    </row>
    <row r="2389">
      <c r="A2389" s="3" t="n">
        <v>41955</v>
      </c>
      <c r="B2389" t="n">
        <v>9011.07</v>
      </c>
      <c r="C2389" t="n">
        <v>5460.58</v>
      </c>
      <c r="D2389" t="n">
        <v>3787.62</v>
      </c>
      <c r="E2389" t="n">
        <v>5538.84</v>
      </c>
      <c r="F2389" t="n">
        <v>7954.48</v>
      </c>
    </row>
    <row r="2390">
      <c r="A2390" s="3" t="n">
        <v>41956</v>
      </c>
      <c r="B2390" t="n">
        <v>9028.49</v>
      </c>
      <c r="C2390" t="n">
        <v>5484.98</v>
      </c>
      <c r="D2390" t="n">
        <v>3733.99</v>
      </c>
      <c r="E2390" t="n">
        <v>5542.02</v>
      </c>
      <c r="F2390" t="n">
        <v>7964.58</v>
      </c>
    </row>
    <row r="2391">
      <c r="A2391" s="3" t="n">
        <v>41957</v>
      </c>
      <c r="B2391" t="n">
        <v>9065.360000000001</v>
      </c>
      <c r="C2391" t="n">
        <v>5501.04</v>
      </c>
      <c r="D2391" t="n">
        <v>3783.14</v>
      </c>
      <c r="E2391" t="n">
        <v>5548.54</v>
      </c>
      <c r="F2391" t="n">
        <v>7971.46</v>
      </c>
    </row>
    <row r="2392">
      <c r="A2392" s="3" t="n">
        <v>41960</v>
      </c>
      <c r="B2392" t="n">
        <v>9149.889999999999</v>
      </c>
      <c r="C2392" t="n">
        <v>5535.61</v>
      </c>
      <c r="D2392" t="n">
        <v>3828.23</v>
      </c>
      <c r="E2392" t="n">
        <v>5570.15</v>
      </c>
      <c r="F2392" t="n">
        <v>8001.49</v>
      </c>
    </row>
    <row r="2393">
      <c r="A2393" s="3" t="n">
        <v>41961</v>
      </c>
      <c r="B2393" t="n">
        <v>9224.780000000001</v>
      </c>
      <c r="C2393" t="n">
        <v>5538.51</v>
      </c>
      <c r="D2393" t="n">
        <v>3846.09</v>
      </c>
      <c r="E2393" t="n">
        <v>5561.53</v>
      </c>
      <c r="F2393" t="n">
        <v>8048.68</v>
      </c>
    </row>
    <row r="2394">
      <c r="A2394" s="3" t="n">
        <v>41962</v>
      </c>
      <c r="B2394" t="n">
        <v>9158.15</v>
      </c>
      <c r="C2394" t="n">
        <v>5546.91</v>
      </c>
      <c r="D2394" t="n">
        <v>3782.65</v>
      </c>
      <c r="E2394" t="n">
        <v>5550.14</v>
      </c>
      <c r="F2394" t="n">
        <v>8075.47</v>
      </c>
    </row>
    <row r="2395">
      <c r="A2395" s="3" t="n">
        <v>41963</v>
      </c>
      <c r="B2395" t="n">
        <v>9139.43</v>
      </c>
      <c r="C2395" t="n">
        <v>5549.81</v>
      </c>
      <c r="D2395" t="n">
        <v>3754.76</v>
      </c>
      <c r="E2395" t="n">
        <v>5575.41</v>
      </c>
      <c r="F2395" t="n">
        <v>8080.33</v>
      </c>
    </row>
    <row r="2396">
      <c r="A2396" s="3" t="n">
        <v>41964</v>
      </c>
      <c r="B2396" t="n">
        <v>9056.85</v>
      </c>
      <c r="C2396" t="n">
        <v>5539.69</v>
      </c>
      <c r="D2396" t="n">
        <v>3761.22</v>
      </c>
      <c r="E2396" t="n">
        <v>5575.56</v>
      </c>
      <c r="F2396" t="n">
        <v>8006.82</v>
      </c>
    </row>
    <row r="2397">
      <c r="A2397" s="3" t="n">
        <v>41967</v>
      </c>
      <c r="B2397" t="n">
        <v>9040.389999999999</v>
      </c>
      <c r="C2397" t="n">
        <v>5557.81</v>
      </c>
      <c r="D2397" t="n">
        <v>3769.58</v>
      </c>
      <c r="E2397" t="n">
        <v>5582.27</v>
      </c>
      <c r="F2397" t="n">
        <v>8035.27</v>
      </c>
    </row>
    <row r="2398">
      <c r="A2398" s="3" t="n">
        <v>41968</v>
      </c>
      <c r="B2398" t="n">
        <v>8945.780000000001</v>
      </c>
      <c r="C2398" t="n">
        <v>5532.74</v>
      </c>
      <c r="D2398" t="n">
        <v>3663.03</v>
      </c>
      <c r="E2398" t="n">
        <v>5571.77</v>
      </c>
      <c r="F2398" t="n">
        <v>7963.58</v>
      </c>
    </row>
    <row r="2399">
      <c r="A2399" s="3" t="n">
        <v>41969</v>
      </c>
      <c r="B2399" t="n">
        <v>8967.290000000001</v>
      </c>
      <c r="C2399" t="n">
        <v>5535.07</v>
      </c>
      <c r="D2399" t="n">
        <v>3708.45</v>
      </c>
      <c r="E2399" t="n">
        <v>5586.68</v>
      </c>
      <c r="F2399" t="n">
        <v>7981.53</v>
      </c>
    </row>
    <row r="2400">
      <c r="A2400" s="3" t="n">
        <v>41970</v>
      </c>
      <c r="B2400" t="n">
        <v>8997.469999999999</v>
      </c>
      <c r="C2400" t="n">
        <v>5576.15</v>
      </c>
      <c r="D2400" t="n">
        <v>3747.53</v>
      </c>
      <c r="E2400" t="n">
        <v>5622.12</v>
      </c>
      <c r="F2400" t="n">
        <v>8005.61</v>
      </c>
    </row>
    <row r="2401">
      <c r="A2401" s="3" t="n">
        <v>41971</v>
      </c>
      <c r="B2401" t="n">
        <v>9022.450000000001</v>
      </c>
      <c r="C2401" t="n">
        <v>5606.51</v>
      </c>
      <c r="D2401" t="n">
        <v>3863.14</v>
      </c>
      <c r="E2401" t="n">
        <v>5643.83</v>
      </c>
      <c r="F2401" t="n">
        <v>8037.93</v>
      </c>
    </row>
    <row r="2402">
      <c r="A2402" s="3" t="n">
        <v>41974</v>
      </c>
      <c r="B2402" t="n">
        <v>9004.889999999999</v>
      </c>
      <c r="C2402" t="n">
        <v>5669.9</v>
      </c>
      <c r="D2402" t="n">
        <v>3848.4</v>
      </c>
      <c r="E2402" t="n">
        <v>5665.29</v>
      </c>
      <c r="F2402" t="n">
        <v>7998.57</v>
      </c>
    </row>
    <row r="2403">
      <c r="A2403" s="3" t="n">
        <v>41975</v>
      </c>
      <c r="B2403" t="n">
        <v>9066.49</v>
      </c>
      <c r="C2403" t="n">
        <v>5655.71</v>
      </c>
      <c r="D2403" t="n">
        <v>3877.56</v>
      </c>
      <c r="E2403" t="n">
        <v>5648.19</v>
      </c>
      <c r="F2403" t="n">
        <v>8062.37</v>
      </c>
    </row>
    <row r="2404">
      <c r="A2404" s="3" t="n">
        <v>41976</v>
      </c>
      <c r="B2404" t="n">
        <v>9182.67</v>
      </c>
      <c r="C2404" t="n">
        <v>5695.89</v>
      </c>
      <c r="D2404" t="n">
        <v>3920.74</v>
      </c>
      <c r="E2404" t="n">
        <v>5678.61</v>
      </c>
      <c r="F2404" t="n">
        <v>8235.93</v>
      </c>
    </row>
    <row r="2405">
      <c r="A2405" s="3" t="n">
        <v>41977</v>
      </c>
      <c r="B2405" t="n">
        <v>9218.07</v>
      </c>
      <c r="C2405" t="n">
        <v>5697.51</v>
      </c>
      <c r="D2405" t="n">
        <v>3962.41</v>
      </c>
      <c r="E2405" t="n">
        <v>5684.87</v>
      </c>
      <c r="F2405" t="n">
        <v>8282.48</v>
      </c>
    </row>
    <row r="2406">
      <c r="A2406" s="3" t="n">
        <v>41978</v>
      </c>
      <c r="B2406" t="n">
        <v>9223.940000000001</v>
      </c>
      <c r="C2406" t="n">
        <v>5641.69</v>
      </c>
      <c r="D2406" t="n">
        <v>3981.23</v>
      </c>
      <c r="E2406" t="n">
        <v>5640.54</v>
      </c>
      <c r="F2406" t="n">
        <v>8253.209999999999</v>
      </c>
    </row>
    <row r="2407">
      <c r="A2407" s="3" t="n">
        <v>41981</v>
      </c>
      <c r="B2407" t="n">
        <v>9126.459999999999</v>
      </c>
      <c r="C2407" t="n">
        <v>5586.89</v>
      </c>
      <c r="D2407" t="n">
        <v>3931.59</v>
      </c>
      <c r="E2407" t="n">
        <v>5583.33</v>
      </c>
      <c r="F2407" t="n">
        <v>8161.28</v>
      </c>
    </row>
    <row r="2408">
      <c r="A2408" s="3" t="n">
        <v>41982</v>
      </c>
      <c r="B2408" t="n">
        <v>8993.459999999999</v>
      </c>
      <c r="C2408" t="n">
        <v>5534.21</v>
      </c>
      <c r="D2408" t="n">
        <v>3851.73</v>
      </c>
      <c r="E2408" t="n">
        <v>5540.58</v>
      </c>
      <c r="F2408" t="n">
        <v>8044.39</v>
      </c>
    </row>
    <row r="2409">
      <c r="A2409" s="3" t="n">
        <v>41983</v>
      </c>
      <c r="B2409" t="n">
        <v>9085.290000000001</v>
      </c>
      <c r="C2409" t="n">
        <v>5540.5</v>
      </c>
      <c r="D2409" t="n">
        <v>3918.2</v>
      </c>
      <c r="E2409" t="n">
        <v>5539.11</v>
      </c>
      <c r="F2409" t="n">
        <v>8146.66</v>
      </c>
    </row>
    <row r="2410">
      <c r="A2410" s="3" t="n">
        <v>41984</v>
      </c>
      <c r="B2410" t="n">
        <v>8989.01</v>
      </c>
      <c r="C2410" t="n">
        <v>5510.65</v>
      </c>
      <c r="D2410" t="n">
        <v>3891.37</v>
      </c>
      <c r="E2410" t="n">
        <v>5511.21</v>
      </c>
      <c r="F2410" t="n">
        <v>8057.28</v>
      </c>
    </row>
    <row r="2411">
      <c r="A2411" s="3" t="n">
        <v>41985</v>
      </c>
      <c r="B2411" t="n">
        <v>8880.370000000001</v>
      </c>
      <c r="C2411" t="n">
        <v>5494.47</v>
      </c>
      <c r="D2411" t="n">
        <v>3813.81</v>
      </c>
      <c r="E2411" t="n">
        <v>5476.8</v>
      </c>
      <c r="F2411" t="n">
        <v>7987.08</v>
      </c>
    </row>
    <row r="2412">
      <c r="A2412" s="3" t="n">
        <v>41988</v>
      </c>
      <c r="B2412" t="n">
        <v>8856.27</v>
      </c>
      <c r="C2412" t="n">
        <v>5463.8</v>
      </c>
      <c r="D2412" t="n">
        <v>3756.39</v>
      </c>
      <c r="E2412" t="n">
        <v>5463.23</v>
      </c>
      <c r="F2412" t="n">
        <v>7921.82</v>
      </c>
    </row>
    <row r="2413">
      <c r="A2413" s="3" t="n">
        <v>41989</v>
      </c>
      <c r="B2413" t="n">
        <v>8560.99</v>
      </c>
      <c r="C2413" t="n">
        <v>5371.61</v>
      </c>
      <c r="D2413" t="n">
        <v>3625.71</v>
      </c>
      <c r="E2413" t="n">
        <v>5372.88</v>
      </c>
      <c r="F2413" t="n">
        <v>7700.74</v>
      </c>
    </row>
    <row r="2414">
      <c r="A2414" s="3" t="n">
        <v>41990</v>
      </c>
      <c r="B2414" t="n">
        <v>8455.23</v>
      </c>
      <c r="C2414" t="n">
        <v>5329.98</v>
      </c>
      <c r="D2414" t="n">
        <v>3597.44</v>
      </c>
      <c r="E2414" t="n">
        <v>5323.9</v>
      </c>
      <c r="F2414" t="n">
        <v>7598.28</v>
      </c>
    </row>
    <row r="2415">
      <c r="A2415" s="3" t="n">
        <v>41991</v>
      </c>
      <c r="B2415" t="n">
        <v>8749.790000000001</v>
      </c>
      <c r="C2415" t="n">
        <v>5442.51</v>
      </c>
      <c r="D2415" t="n">
        <v>3745.68</v>
      </c>
      <c r="E2415" t="n">
        <v>5402.19</v>
      </c>
      <c r="F2415" t="n">
        <v>7872.04</v>
      </c>
    </row>
    <row r="2416">
      <c r="A2416" s="3" t="n">
        <v>41992</v>
      </c>
      <c r="B2416" t="n">
        <v>8854.959999999999</v>
      </c>
      <c r="C2416" t="n">
        <v>5465.29</v>
      </c>
      <c r="D2416" t="n">
        <v>3761.99</v>
      </c>
      <c r="E2416" t="n">
        <v>5428.74</v>
      </c>
      <c r="F2416" t="n">
        <v>7969.55</v>
      </c>
    </row>
    <row r="2417">
      <c r="A2417" s="3" t="n">
        <v>41995</v>
      </c>
      <c r="B2417" t="n">
        <v>8868.709999999999</v>
      </c>
      <c r="C2417" t="n">
        <v>5528.35</v>
      </c>
      <c r="D2417" t="n">
        <v>3797.88</v>
      </c>
      <c r="E2417" t="n">
        <v>5487.21</v>
      </c>
      <c r="F2417" t="n">
        <v>8016.47</v>
      </c>
    </row>
    <row r="2418">
      <c r="A2418" s="3" t="n">
        <v>41996</v>
      </c>
      <c r="B2418" t="n">
        <v>8821.049999999999</v>
      </c>
      <c r="C2418" t="n">
        <v>5506.42</v>
      </c>
      <c r="D2418" t="n">
        <v>3761.48</v>
      </c>
      <c r="E2418" t="n">
        <v>5486.24</v>
      </c>
      <c r="F2418" t="n">
        <v>7990.21</v>
      </c>
    </row>
    <row r="2419">
      <c r="A2419" s="3" t="n">
        <v>41997</v>
      </c>
      <c r="B2419" t="n">
        <v>8801.610000000001</v>
      </c>
      <c r="C2419" t="n">
        <v>5449.02</v>
      </c>
      <c r="D2419" t="n">
        <v>3757.95</v>
      </c>
      <c r="E2419" t="n">
        <v>5418.8</v>
      </c>
      <c r="F2419" t="n">
        <v>7972.32</v>
      </c>
    </row>
    <row r="2420">
      <c r="A2420" s="3" t="n">
        <v>41999</v>
      </c>
      <c r="B2420" t="n">
        <v>8818.57</v>
      </c>
      <c r="C2420" t="n">
        <v>5477.89</v>
      </c>
      <c r="D2420" t="n">
        <v>3782.58</v>
      </c>
      <c r="E2420" t="n">
        <v>5435.08</v>
      </c>
      <c r="F2420" t="n">
        <v>8015.47</v>
      </c>
    </row>
    <row r="2421">
      <c r="A2421" s="3" t="n">
        <v>42002</v>
      </c>
      <c r="B2421" t="n">
        <v>8933.23</v>
      </c>
      <c r="C2421" t="n">
        <v>5527.75</v>
      </c>
      <c r="D2421" t="n">
        <v>3792.54</v>
      </c>
      <c r="E2421" t="n">
        <v>5476.03</v>
      </c>
      <c r="F2421" t="n">
        <v>8120.92</v>
      </c>
    </row>
    <row r="2422">
      <c r="A2422" s="3" t="n">
        <v>42003</v>
      </c>
      <c r="B2422" t="n">
        <v>9002.74</v>
      </c>
      <c r="C2422" t="n">
        <v>5540.15</v>
      </c>
      <c r="D2422" t="n">
        <v>3813.23</v>
      </c>
      <c r="E2422" t="n">
        <v>5473.15</v>
      </c>
      <c r="F2422" t="n">
        <v>8166.79</v>
      </c>
    </row>
    <row r="2423">
      <c r="A2423" s="3" t="n">
        <v>42004</v>
      </c>
      <c r="B2423" t="n">
        <v>9165.309999999999</v>
      </c>
      <c r="C2423" t="n">
        <v>5575.54</v>
      </c>
      <c r="D2423" t="n">
        <v>3852.46</v>
      </c>
      <c r="E2423" t="n">
        <v>5503.07</v>
      </c>
      <c r="F2423" t="n">
        <v>8283.309999999999</v>
      </c>
    </row>
    <row r="2424">
      <c r="A2424" s="3" t="n">
        <v>42005</v>
      </c>
      <c r="B2424" t="n">
        <v>9191.08</v>
      </c>
      <c r="C2424" t="n">
        <v>5588.37</v>
      </c>
      <c r="D2424" t="n">
        <v>3890.64</v>
      </c>
      <c r="E2424" t="n">
        <v>5500.63</v>
      </c>
      <c r="F2424" t="n">
        <v>8319.42</v>
      </c>
    </row>
    <row r="2425">
      <c r="A2425" s="3" t="n">
        <v>42006</v>
      </c>
      <c r="B2425" t="n">
        <v>9320.290000000001</v>
      </c>
      <c r="C2425" t="n">
        <v>5638.93</v>
      </c>
      <c r="D2425" t="n">
        <v>3902.23</v>
      </c>
      <c r="E2425" t="n">
        <v>5560.83</v>
      </c>
      <c r="F2425" t="n">
        <v>8413.83</v>
      </c>
    </row>
    <row r="2426">
      <c r="A2426" s="3" t="n">
        <v>42009</v>
      </c>
      <c r="B2426" t="n">
        <v>9369.67</v>
      </c>
      <c r="C2426" t="n">
        <v>5618.42</v>
      </c>
      <c r="D2426" t="n">
        <v>3900.21</v>
      </c>
      <c r="E2426" t="n">
        <v>5542.39</v>
      </c>
      <c r="F2426" t="n">
        <v>8402.639999999999</v>
      </c>
    </row>
    <row r="2427">
      <c r="A2427" s="3" t="n">
        <v>42010</v>
      </c>
      <c r="B2427" t="n">
        <v>9080.26</v>
      </c>
      <c r="C2427" t="n">
        <v>5482.57</v>
      </c>
      <c r="D2427" t="n">
        <v>3759.57</v>
      </c>
      <c r="E2427" t="n">
        <v>5409.7</v>
      </c>
      <c r="F2427" t="n">
        <v>8145.13</v>
      </c>
    </row>
    <row r="2428">
      <c r="A2428" s="3" t="n">
        <v>42011</v>
      </c>
      <c r="B2428" t="n">
        <v>9109.41</v>
      </c>
      <c r="C2428" t="n">
        <v>5483.66</v>
      </c>
      <c r="D2428" t="n">
        <v>3761</v>
      </c>
      <c r="E2428" t="n">
        <v>5423.75</v>
      </c>
      <c r="F2428" t="n">
        <v>8191.78</v>
      </c>
    </row>
    <row r="2429">
      <c r="A2429" s="3" t="n">
        <v>42012</v>
      </c>
      <c r="B2429" t="n">
        <v>9339.32</v>
      </c>
      <c r="C2429" t="n">
        <v>5551.94</v>
      </c>
      <c r="D2429" t="n">
        <v>3855.15</v>
      </c>
      <c r="E2429" t="n">
        <v>5490.49</v>
      </c>
      <c r="F2429" t="n">
        <v>8343.389999999999</v>
      </c>
    </row>
    <row r="2430">
      <c r="A2430" s="3" t="n">
        <v>42013</v>
      </c>
      <c r="B2430" t="n">
        <v>9327.65</v>
      </c>
      <c r="C2430" t="n">
        <v>5610.39</v>
      </c>
      <c r="D2430" t="n">
        <v>3830.63</v>
      </c>
      <c r="E2430" t="n">
        <v>5557.51</v>
      </c>
      <c r="F2430" t="n">
        <v>8379.459999999999</v>
      </c>
    </row>
    <row r="2431">
      <c r="A2431" s="3" t="n">
        <v>42016</v>
      </c>
      <c r="B2431" t="n">
        <v>9449.889999999999</v>
      </c>
      <c r="C2431" t="n">
        <v>5643.14</v>
      </c>
      <c r="D2431" t="n">
        <v>3859.22</v>
      </c>
      <c r="E2431" t="n">
        <v>5571.88</v>
      </c>
      <c r="F2431" t="n">
        <v>8426.75</v>
      </c>
    </row>
    <row r="2432">
      <c r="A2432" s="3" t="n">
        <v>42017</v>
      </c>
      <c r="B2432" t="n">
        <v>9465.559999999999</v>
      </c>
      <c r="C2432" t="n">
        <v>5651.95</v>
      </c>
      <c r="D2432" t="n">
        <v>3824.34</v>
      </c>
      <c r="E2432" t="n">
        <v>5586.2</v>
      </c>
      <c r="F2432" t="n">
        <v>8466.889999999999</v>
      </c>
    </row>
    <row r="2433">
      <c r="A2433" s="3" t="n">
        <v>42018</v>
      </c>
      <c r="B2433" t="n">
        <v>9434.57</v>
      </c>
      <c r="C2433" t="n">
        <v>5686.76</v>
      </c>
      <c r="D2433" t="n">
        <v>3776.45</v>
      </c>
      <c r="E2433" t="n">
        <v>5614.15</v>
      </c>
      <c r="F2433" t="n">
        <v>8460.280000000001</v>
      </c>
    </row>
    <row r="2434">
      <c r="A2434" s="3" t="n">
        <v>42019</v>
      </c>
      <c r="B2434" t="n">
        <v>9549.65</v>
      </c>
      <c r="C2434" t="n">
        <v>5732.14</v>
      </c>
      <c r="D2434" t="n">
        <v>3868.67</v>
      </c>
      <c r="E2434" t="n">
        <v>5695.19</v>
      </c>
      <c r="F2434" t="n">
        <v>8524.879999999999</v>
      </c>
    </row>
    <row r="2435">
      <c r="A2435" s="3" t="n">
        <v>42020</v>
      </c>
      <c r="B2435" t="n">
        <v>9617.75</v>
      </c>
      <c r="C2435" t="n">
        <v>5771.53</v>
      </c>
      <c r="D2435" t="n">
        <v>3859.15</v>
      </c>
      <c r="E2435" t="n">
        <v>5725.27</v>
      </c>
      <c r="F2435" t="n">
        <v>8580.309999999999</v>
      </c>
    </row>
    <row r="2436">
      <c r="A2436" s="3" t="n">
        <v>42023</v>
      </c>
      <c r="B2436" t="n">
        <v>9634.02</v>
      </c>
      <c r="C2436" t="n">
        <v>5778.99</v>
      </c>
      <c r="D2436" t="n">
        <v>3895.78</v>
      </c>
      <c r="E2436" t="n">
        <v>5736.02</v>
      </c>
      <c r="F2436" t="n">
        <v>8604.92</v>
      </c>
    </row>
    <row r="2437">
      <c r="A2437" s="3" t="n">
        <v>42024</v>
      </c>
      <c r="B2437" t="n">
        <v>9675.68</v>
      </c>
      <c r="C2437" t="n">
        <v>5791.54</v>
      </c>
      <c r="D2437" t="n">
        <v>3904.78</v>
      </c>
      <c r="E2437" t="n">
        <v>5775.34</v>
      </c>
      <c r="F2437" t="n">
        <v>8631.959999999999</v>
      </c>
    </row>
    <row r="2438">
      <c r="A2438" s="3" t="n">
        <v>42025</v>
      </c>
      <c r="B2438" t="n">
        <v>9685.610000000001</v>
      </c>
      <c r="C2438" t="n">
        <v>5836.14</v>
      </c>
      <c r="D2438" t="n">
        <v>3893.7</v>
      </c>
      <c r="E2438" t="n">
        <v>5813.81</v>
      </c>
      <c r="F2438" t="n">
        <v>8573.93</v>
      </c>
    </row>
    <row r="2439">
      <c r="A2439" s="3" t="n">
        <v>42026</v>
      </c>
      <c r="B2439" t="n">
        <v>9719.5</v>
      </c>
      <c r="C2439" t="n">
        <v>5857.05</v>
      </c>
      <c r="D2439" t="n">
        <v>3896.3</v>
      </c>
      <c r="E2439" t="n">
        <v>5843.15</v>
      </c>
      <c r="F2439" t="n">
        <v>8614.34</v>
      </c>
    </row>
    <row r="2440">
      <c r="A2440" s="3" t="n">
        <v>42027</v>
      </c>
      <c r="B2440" t="n">
        <v>9667.48</v>
      </c>
      <c r="C2440" t="n">
        <v>5867.78</v>
      </c>
      <c r="D2440" t="n">
        <v>3905.59</v>
      </c>
      <c r="E2440" t="n">
        <v>5874.96</v>
      </c>
      <c r="F2440" t="n">
        <v>8564.709999999999</v>
      </c>
    </row>
    <row r="2441">
      <c r="A2441" s="3" t="n">
        <v>42031</v>
      </c>
      <c r="B2441" t="n">
        <v>9747.65</v>
      </c>
      <c r="C2441" t="n">
        <v>5858.17</v>
      </c>
      <c r="D2441" t="n">
        <v>3914.97</v>
      </c>
      <c r="E2441" t="n">
        <v>5871.15</v>
      </c>
      <c r="F2441" t="n">
        <v>8651.280000000001</v>
      </c>
    </row>
    <row r="2442">
      <c r="A2442" s="3" t="n">
        <v>42032</v>
      </c>
      <c r="B2442" t="n">
        <v>9869.73</v>
      </c>
      <c r="C2442" t="n">
        <v>5906.19</v>
      </c>
      <c r="D2442" t="n">
        <v>3911.69</v>
      </c>
      <c r="E2442" t="n">
        <v>5907.12</v>
      </c>
      <c r="F2442" t="n">
        <v>8701.870000000001</v>
      </c>
    </row>
    <row r="2443">
      <c r="A2443" s="3" t="n">
        <v>42033</v>
      </c>
      <c r="B2443" t="n">
        <v>9846.709999999999</v>
      </c>
      <c r="C2443" t="n">
        <v>5897.43</v>
      </c>
      <c r="D2443" t="n">
        <v>3922.97</v>
      </c>
      <c r="E2443" t="n">
        <v>5916.06</v>
      </c>
      <c r="F2443" t="n">
        <v>8646.49</v>
      </c>
    </row>
    <row r="2444">
      <c r="A2444" s="3" t="n">
        <v>42034</v>
      </c>
      <c r="B2444" t="n">
        <v>9842.73</v>
      </c>
      <c r="C2444" t="n">
        <v>5860.33</v>
      </c>
      <c r="D2444" t="n">
        <v>3932.46</v>
      </c>
      <c r="E2444" t="n">
        <v>5853.76</v>
      </c>
      <c r="F2444" t="n">
        <v>8583.719999999999</v>
      </c>
    </row>
    <row r="2445">
      <c r="A2445" s="3" t="n">
        <v>42037</v>
      </c>
      <c r="B2445" t="n">
        <v>9917.6</v>
      </c>
      <c r="C2445" t="n">
        <v>5855.72</v>
      </c>
      <c r="D2445" t="n">
        <v>3936.28</v>
      </c>
      <c r="E2445" t="n">
        <v>5822.02</v>
      </c>
      <c r="F2445" t="n">
        <v>8660.540000000001</v>
      </c>
    </row>
    <row r="2446">
      <c r="A2446" s="3" t="n">
        <v>42038</v>
      </c>
      <c r="B2446" t="n">
        <v>9903.379999999999</v>
      </c>
      <c r="C2446" t="n">
        <v>5843.15</v>
      </c>
      <c r="D2446" t="n">
        <v>3860.71</v>
      </c>
      <c r="E2446" t="n">
        <v>5811.97</v>
      </c>
      <c r="F2446" t="n">
        <v>8648.33</v>
      </c>
    </row>
    <row r="2447">
      <c r="A2447" s="3" t="n">
        <v>42039</v>
      </c>
      <c r="B2447" t="n">
        <v>9861.5</v>
      </c>
      <c r="C2447" t="n">
        <v>5824.83</v>
      </c>
      <c r="D2447" t="n">
        <v>3870.18</v>
      </c>
      <c r="E2447" t="n">
        <v>5804.8</v>
      </c>
      <c r="F2447" t="n">
        <v>8634</v>
      </c>
    </row>
    <row r="2448">
      <c r="A2448" s="3" t="n">
        <v>42040</v>
      </c>
      <c r="B2448" t="n">
        <v>9718.110000000001</v>
      </c>
      <c r="C2448" t="n">
        <v>5839.07</v>
      </c>
      <c r="D2448" t="n">
        <v>3790.16</v>
      </c>
      <c r="E2448" t="n">
        <v>5798.31</v>
      </c>
      <c r="F2448" t="n">
        <v>8553.690000000001</v>
      </c>
    </row>
    <row r="2449">
      <c r="A2449" s="3" t="n">
        <v>42041</v>
      </c>
      <c r="B2449" t="n">
        <v>9546.52</v>
      </c>
      <c r="C2449" t="n">
        <v>5808.55</v>
      </c>
      <c r="D2449" t="n">
        <v>3748.94</v>
      </c>
      <c r="E2449" t="n">
        <v>5771.83</v>
      </c>
      <c r="F2449" t="n">
        <v>8407.83</v>
      </c>
    </row>
    <row r="2450">
      <c r="A2450" s="3" t="n">
        <v>42044</v>
      </c>
      <c r="B2450" t="n">
        <v>9332.040000000001</v>
      </c>
      <c r="C2450" t="n">
        <v>5768.45</v>
      </c>
      <c r="D2450" t="n">
        <v>3660.62</v>
      </c>
      <c r="E2450" t="n">
        <v>5725.52</v>
      </c>
      <c r="F2450" t="n">
        <v>8246.940000000001</v>
      </c>
    </row>
    <row r="2451">
      <c r="A2451" s="3" t="n">
        <v>42045</v>
      </c>
      <c r="B2451" t="n">
        <v>9450.34</v>
      </c>
      <c r="C2451" t="n">
        <v>5791.43</v>
      </c>
      <c r="D2451" t="n">
        <v>3633.34</v>
      </c>
      <c r="E2451" t="n">
        <v>5733.4</v>
      </c>
      <c r="F2451" t="n">
        <v>8324.309999999999</v>
      </c>
    </row>
    <row r="2452">
      <c r="A2452" s="3" t="n">
        <v>42046</v>
      </c>
      <c r="B2452" t="n">
        <v>9690.530000000001</v>
      </c>
      <c r="C2452" t="n">
        <v>5851.45</v>
      </c>
      <c r="D2452" t="n">
        <v>3730.09</v>
      </c>
      <c r="E2452" t="n">
        <v>5783.79</v>
      </c>
      <c r="F2452" t="n">
        <v>8517.24</v>
      </c>
    </row>
    <row r="2453">
      <c r="A2453" s="3" t="n">
        <v>42047</v>
      </c>
      <c r="B2453" t="n">
        <v>9836.51</v>
      </c>
      <c r="C2453" t="n">
        <v>5892.25</v>
      </c>
      <c r="D2453" t="n">
        <v>3762.99</v>
      </c>
      <c r="E2453" t="n">
        <v>5843.79</v>
      </c>
      <c r="F2453" t="n">
        <v>8644.66</v>
      </c>
    </row>
    <row r="2454">
      <c r="A2454" s="3" t="n">
        <v>42048</v>
      </c>
      <c r="B2454" t="n">
        <v>9910.76</v>
      </c>
      <c r="C2454" t="n">
        <v>5952.21</v>
      </c>
      <c r="D2454" t="n">
        <v>3790.28</v>
      </c>
      <c r="E2454" t="n">
        <v>5914.06</v>
      </c>
      <c r="F2454" t="n">
        <v>8726.27</v>
      </c>
    </row>
    <row r="2455">
      <c r="A2455" s="3" t="n">
        <v>42051</v>
      </c>
      <c r="B2455" t="n">
        <v>9894.379999999999</v>
      </c>
      <c r="C2455" t="n">
        <v>5946.44</v>
      </c>
      <c r="D2455" t="n">
        <v>3786.24</v>
      </c>
      <c r="E2455" t="n">
        <v>5908.18</v>
      </c>
      <c r="F2455" t="n">
        <v>8732.129999999999</v>
      </c>
    </row>
    <row r="2456">
      <c r="A2456" s="3" t="n">
        <v>42053</v>
      </c>
      <c r="B2456" t="n">
        <v>10000.44</v>
      </c>
      <c r="C2456" t="n">
        <v>5953.77</v>
      </c>
      <c r="D2456" t="n">
        <v>3839.29</v>
      </c>
      <c r="E2456" t="n">
        <v>5944.16</v>
      </c>
      <c r="F2456" t="n">
        <v>8838.639999999999</v>
      </c>
    </row>
    <row r="2457">
      <c r="A2457" s="3" t="n">
        <v>42054</v>
      </c>
      <c r="B2457" t="n">
        <v>9976.780000000001</v>
      </c>
      <c r="C2457" t="n">
        <v>5943.46</v>
      </c>
      <c r="D2457" t="n">
        <v>3849.63</v>
      </c>
      <c r="E2457" t="n">
        <v>5945.43</v>
      </c>
      <c r="F2457" t="n">
        <v>8815.459999999999</v>
      </c>
    </row>
    <row r="2458">
      <c r="A2458" s="3" t="n">
        <v>42055</v>
      </c>
      <c r="B2458" t="n">
        <v>9978.370000000001</v>
      </c>
      <c r="C2458" t="n">
        <v>5931.32</v>
      </c>
      <c r="D2458" t="n">
        <v>3852.53</v>
      </c>
      <c r="E2458" t="n">
        <v>5918.29</v>
      </c>
      <c r="F2458" t="n">
        <v>8793.6</v>
      </c>
    </row>
    <row r="2459">
      <c r="A2459" s="3" t="n">
        <v>42058</v>
      </c>
      <c r="B2459" t="n">
        <v>9888.42</v>
      </c>
      <c r="C2459" t="n">
        <v>5884.7</v>
      </c>
      <c r="D2459" t="n">
        <v>3810.01</v>
      </c>
      <c r="E2459" t="n">
        <v>5876.44</v>
      </c>
      <c r="F2459" t="n">
        <v>8721.26</v>
      </c>
    </row>
    <row r="2460">
      <c r="A2460" s="3" t="n">
        <v>42059</v>
      </c>
      <c r="B2460" t="n">
        <v>9825.280000000001</v>
      </c>
      <c r="C2460" t="n">
        <v>5900.7</v>
      </c>
      <c r="D2460" t="n">
        <v>3811.02</v>
      </c>
      <c r="E2460" t="n">
        <v>5885.86</v>
      </c>
      <c r="F2460" t="n">
        <v>8706.57</v>
      </c>
    </row>
    <row r="2461">
      <c r="A2461" s="3" t="n">
        <v>42060</v>
      </c>
      <c r="B2461" t="n">
        <v>9888.76</v>
      </c>
      <c r="C2461" t="n">
        <v>5883.1</v>
      </c>
      <c r="D2461" t="n">
        <v>3791.26</v>
      </c>
      <c r="E2461" t="n">
        <v>5880.22</v>
      </c>
      <c r="F2461" t="n">
        <v>8693.440000000001</v>
      </c>
    </row>
    <row r="2462">
      <c r="A2462" s="3" t="n">
        <v>42061</v>
      </c>
      <c r="B2462" t="n">
        <v>9769.68</v>
      </c>
      <c r="C2462" t="n">
        <v>5824.97</v>
      </c>
      <c r="D2462" t="n">
        <v>3745.8</v>
      </c>
      <c r="E2462" t="n">
        <v>5814.47</v>
      </c>
      <c r="F2462" t="n">
        <v>8568.780000000001</v>
      </c>
    </row>
    <row r="2463">
      <c r="A2463" s="3" t="n">
        <v>42062</v>
      </c>
      <c r="B2463" t="n">
        <v>9955.120000000001</v>
      </c>
      <c r="C2463" t="n">
        <v>5907.05</v>
      </c>
      <c r="D2463" t="n">
        <v>3855.19</v>
      </c>
      <c r="E2463" t="n">
        <v>5888.4</v>
      </c>
      <c r="F2463" t="n">
        <v>8715.139999999999</v>
      </c>
    </row>
    <row r="2464">
      <c r="A2464" s="3" t="n">
        <v>42063</v>
      </c>
      <c r="B2464" t="n">
        <v>9959.15</v>
      </c>
      <c r="C2464" t="n">
        <v>5962.15</v>
      </c>
      <c r="D2464" t="n">
        <v>3843.6</v>
      </c>
      <c r="E2464" t="n">
        <v>5941.61</v>
      </c>
      <c r="F2464" t="n">
        <v>8721.860000000001</v>
      </c>
    </row>
    <row r="2465">
      <c r="A2465" s="3" t="n">
        <v>42065</v>
      </c>
      <c r="B2465" t="n">
        <v>10220</v>
      </c>
      <c r="C2465" t="n">
        <v>6020.05</v>
      </c>
      <c r="D2465" t="n">
        <v>3922.6</v>
      </c>
      <c r="E2465" t="n">
        <v>6010.51</v>
      </c>
      <c r="F2465" t="n">
        <v>8890.379999999999</v>
      </c>
    </row>
    <row r="2466">
      <c r="A2466" s="3" t="n">
        <v>42066</v>
      </c>
      <c r="B2466" t="n">
        <v>10391.4</v>
      </c>
      <c r="C2466" t="n">
        <v>6071.2</v>
      </c>
      <c r="D2466" t="n">
        <v>3967.96</v>
      </c>
      <c r="E2466" t="n">
        <v>6073.24</v>
      </c>
      <c r="F2466" t="n">
        <v>9021.120000000001</v>
      </c>
    </row>
    <row r="2467">
      <c r="A2467" s="3" t="n">
        <v>42067</v>
      </c>
      <c r="B2467" t="n">
        <v>10272.88</v>
      </c>
      <c r="C2467" t="n">
        <v>6036.9</v>
      </c>
      <c r="D2467" t="n">
        <v>3862.84</v>
      </c>
      <c r="E2467" t="n">
        <v>6035.95</v>
      </c>
      <c r="F2467" t="n">
        <v>8923.059999999999</v>
      </c>
    </row>
    <row r="2468">
      <c r="A2468" s="3" t="n">
        <v>42068</v>
      </c>
      <c r="B2468" t="n">
        <v>10390.45</v>
      </c>
      <c r="C2468" t="n">
        <v>6092.95</v>
      </c>
      <c r="D2468" t="n">
        <v>3914.63</v>
      </c>
      <c r="E2468" t="n">
        <v>6074.63</v>
      </c>
      <c r="F2468" t="n">
        <v>9047.26</v>
      </c>
    </row>
    <row r="2469">
      <c r="A2469" s="3" t="n">
        <v>42072</v>
      </c>
      <c r="B2469" t="n">
        <v>10243.28</v>
      </c>
      <c r="C2469" t="n">
        <v>6064.92</v>
      </c>
      <c r="D2469" t="n">
        <v>3852.25</v>
      </c>
      <c r="E2469" t="n">
        <v>6029.24</v>
      </c>
      <c r="F2469" t="n">
        <v>8945.559999999999</v>
      </c>
    </row>
    <row r="2470">
      <c r="A2470" s="3" t="n">
        <v>42073</v>
      </c>
      <c r="B2470" t="n">
        <v>10281.99</v>
      </c>
      <c r="C2470" t="n">
        <v>6055.76</v>
      </c>
      <c r="D2470" t="n">
        <v>3850.1</v>
      </c>
      <c r="E2470" t="n">
        <v>5993.18</v>
      </c>
      <c r="F2470" t="n">
        <v>8963.690000000001</v>
      </c>
    </row>
    <row r="2471">
      <c r="A2471" s="3" t="n">
        <v>42074</v>
      </c>
      <c r="B2471" t="n">
        <v>10226.72</v>
      </c>
      <c r="C2471" t="n">
        <v>6042.22</v>
      </c>
      <c r="D2471" t="n">
        <v>3838.17</v>
      </c>
      <c r="E2471" t="n">
        <v>5985.97</v>
      </c>
      <c r="F2471" t="n">
        <v>8966.51</v>
      </c>
    </row>
    <row r="2472">
      <c r="A2472" s="3" t="n">
        <v>42075</v>
      </c>
      <c r="B2472" t="n">
        <v>10442.26</v>
      </c>
      <c r="C2472" t="n">
        <v>6093.27</v>
      </c>
      <c r="D2472" t="n">
        <v>3908.98</v>
      </c>
      <c r="E2472" t="n">
        <v>6021.67</v>
      </c>
      <c r="F2472" t="n">
        <v>9111.549999999999</v>
      </c>
    </row>
    <row r="2473">
      <c r="A2473" s="3" t="n">
        <v>42076</v>
      </c>
      <c r="B2473" t="n">
        <v>10275.71</v>
      </c>
      <c r="C2473" t="n">
        <v>5999.94</v>
      </c>
      <c r="D2473" t="n">
        <v>3857.5</v>
      </c>
      <c r="E2473" t="n">
        <v>5935.57</v>
      </c>
      <c r="F2473" t="n">
        <v>9007.67</v>
      </c>
    </row>
    <row r="2474">
      <c r="A2474" s="3" t="n">
        <v>42079</v>
      </c>
      <c r="B2474" t="n">
        <v>10305.75</v>
      </c>
      <c r="C2474" t="n">
        <v>6013.59</v>
      </c>
      <c r="D2474" t="n">
        <v>3867.34</v>
      </c>
      <c r="E2474" t="n">
        <v>5922.11</v>
      </c>
      <c r="F2474" t="n">
        <v>9057.690000000001</v>
      </c>
    </row>
    <row r="2475">
      <c r="A2475" s="3" t="n">
        <v>42080</v>
      </c>
      <c r="B2475" t="n">
        <v>10411.69</v>
      </c>
      <c r="C2475" t="n">
        <v>6067.62</v>
      </c>
      <c r="D2475" t="n">
        <v>3897.39</v>
      </c>
      <c r="E2475" t="n">
        <v>5985.02</v>
      </c>
      <c r="F2475" t="n">
        <v>9182.58</v>
      </c>
    </row>
    <row r="2476">
      <c r="A2476" s="3" t="n">
        <v>42081</v>
      </c>
      <c r="B2476" t="n">
        <v>10409.41</v>
      </c>
      <c r="C2476" t="n">
        <v>6052.52</v>
      </c>
      <c r="D2476" t="n">
        <v>3926.77</v>
      </c>
      <c r="E2476" t="n">
        <v>5953.64</v>
      </c>
      <c r="F2476" t="n">
        <v>9181.809999999999</v>
      </c>
    </row>
    <row r="2477">
      <c r="A2477" s="3" t="n">
        <v>42082</v>
      </c>
      <c r="B2477" t="n">
        <v>10337.14</v>
      </c>
      <c r="C2477" t="n">
        <v>6053.4</v>
      </c>
      <c r="D2477" t="n">
        <v>3870.68</v>
      </c>
      <c r="E2477" t="n">
        <v>5954.07</v>
      </c>
      <c r="F2477" t="n">
        <v>9142.57</v>
      </c>
    </row>
    <row r="2478">
      <c r="A2478" s="3" t="n">
        <v>42083</v>
      </c>
      <c r="B2478" t="n">
        <v>10147.19</v>
      </c>
      <c r="C2478" t="n">
        <v>5995.1</v>
      </c>
      <c r="D2478" t="n">
        <v>3769.83</v>
      </c>
      <c r="E2478" t="n">
        <v>5912.54</v>
      </c>
      <c r="F2478" t="n">
        <v>8992.27</v>
      </c>
    </row>
    <row r="2479">
      <c r="A2479" s="3" t="n">
        <v>42086</v>
      </c>
      <c r="B2479" t="n">
        <v>10102.1</v>
      </c>
      <c r="C2479" t="n">
        <v>5973.37</v>
      </c>
      <c r="D2479" t="n">
        <v>3711.39</v>
      </c>
      <c r="E2479" t="n">
        <v>5891.86</v>
      </c>
      <c r="F2479" t="n">
        <v>8924.24</v>
      </c>
    </row>
    <row r="2480">
      <c r="A2480" s="3" t="n">
        <v>42087</v>
      </c>
      <c r="B2480" t="n">
        <v>10076.53</v>
      </c>
      <c r="C2480" t="n">
        <v>5968.52</v>
      </c>
      <c r="D2480" t="n">
        <v>3716.12</v>
      </c>
      <c r="E2480" t="n">
        <v>5905.12</v>
      </c>
      <c r="F2480" t="n">
        <v>8867.24</v>
      </c>
    </row>
    <row r="2481">
      <c r="A2481" s="3" t="n">
        <v>42088</v>
      </c>
      <c r="B2481" t="n">
        <v>10004.2</v>
      </c>
      <c r="C2481" t="n">
        <v>5974.2</v>
      </c>
      <c r="D2481" t="n">
        <v>3684.94</v>
      </c>
      <c r="E2481" t="n">
        <v>5911.5</v>
      </c>
      <c r="F2481" t="n">
        <v>8833.07</v>
      </c>
    </row>
    <row r="2482">
      <c r="A2482" s="3" t="n">
        <v>42089</v>
      </c>
      <c r="B2482" t="n">
        <v>9874.969999999999</v>
      </c>
      <c r="C2482" t="n">
        <v>5884.09</v>
      </c>
      <c r="D2482" t="n">
        <v>3649.95</v>
      </c>
      <c r="E2482" t="n">
        <v>5815.44</v>
      </c>
      <c r="F2482" t="n">
        <v>8751.6</v>
      </c>
    </row>
    <row r="2483">
      <c r="A2483" s="3" t="n">
        <v>42090</v>
      </c>
      <c r="B2483" t="n">
        <v>9886.57</v>
      </c>
      <c r="C2483" t="n">
        <v>5867.92</v>
      </c>
      <c r="D2483" t="n">
        <v>3640.23</v>
      </c>
      <c r="E2483" t="n">
        <v>5786.39</v>
      </c>
      <c r="F2483" t="n">
        <v>8784.83</v>
      </c>
    </row>
    <row r="2484">
      <c r="A2484" s="3" t="n">
        <v>42093</v>
      </c>
      <c r="B2484" t="n">
        <v>10159.54</v>
      </c>
      <c r="C2484" t="n">
        <v>5930.58</v>
      </c>
      <c r="D2484" t="n">
        <v>3708.15</v>
      </c>
      <c r="E2484" t="n">
        <v>5861.85</v>
      </c>
      <c r="F2484" t="n">
        <v>8956.58</v>
      </c>
    </row>
    <row r="2485">
      <c r="A2485" s="3" t="n">
        <v>42094</v>
      </c>
      <c r="B2485" t="n">
        <v>10217.87</v>
      </c>
      <c r="C2485" t="n">
        <v>5947.02</v>
      </c>
      <c r="D2485" t="n">
        <v>3730.58</v>
      </c>
      <c r="E2485" t="n">
        <v>5878.52</v>
      </c>
      <c r="F2485" t="n">
        <v>9041.870000000001</v>
      </c>
    </row>
    <row r="2486">
      <c r="A2486" s="3" t="n">
        <v>42095</v>
      </c>
      <c r="B2486" t="n">
        <v>10423.96</v>
      </c>
      <c r="C2486" t="n">
        <v>5998.65</v>
      </c>
      <c r="D2486" t="n">
        <v>3795.95</v>
      </c>
      <c r="E2486" t="n">
        <v>5939.5</v>
      </c>
      <c r="F2486" t="n">
        <v>9184.549999999999</v>
      </c>
    </row>
    <row r="2487">
      <c r="A2487" s="3" t="n">
        <v>42100</v>
      </c>
      <c r="B2487" t="n">
        <v>10542.68</v>
      </c>
      <c r="C2487" t="n">
        <v>6087.75</v>
      </c>
      <c r="D2487" t="n">
        <v>3832.41</v>
      </c>
      <c r="E2487" t="n">
        <v>6009.03</v>
      </c>
      <c r="F2487" t="n">
        <v>9294.73</v>
      </c>
    </row>
    <row r="2488">
      <c r="A2488" s="3" t="n">
        <v>42101</v>
      </c>
      <c r="B2488" t="n">
        <v>10541.4</v>
      </c>
      <c r="C2488" t="n">
        <v>6110.2</v>
      </c>
      <c r="D2488" t="n">
        <v>3866.67</v>
      </c>
      <c r="E2488" t="n">
        <v>6032.66</v>
      </c>
      <c r="F2488" t="n">
        <v>9361.73</v>
      </c>
    </row>
    <row r="2489">
      <c r="A2489" s="3" t="n">
        <v>42102</v>
      </c>
      <c r="B2489" t="n">
        <v>10704.21</v>
      </c>
      <c r="C2489" t="n">
        <v>6179.21</v>
      </c>
      <c r="D2489" t="n">
        <v>3900.61</v>
      </c>
      <c r="E2489" t="n">
        <v>6069.88</v>
      </c>
      <c r="F2489" t="n">
        <v>9418.379999999999</v>
      </c>
    </row>
    <row r="2490">
      <c r="A2490" s="3" t="n">
        <v>42103</v>
      </c>
      <c r="B2490" t="n">
        <v>10695.18</v>
      </c>
      <c r="C2490" t="n">
        <v>6190.33</v>
      </c>
      <c r="D2490" t="n">
        <v>3925.71</v>
      </c>
      <c r="E2490" t="n">
        <v>6092.65</v>
      </c>
      <c r="F2490" t="n">
        <v>9407.870000000001</v>
      </c>
    </row>
    <row r="2491">
      <c r="A2491" s="3" t="n">
        <v>42104</v>
      </c>
      <c r="B2491" t="n">
        <v>10699.52</v>
      </c>
      <c r="C2491" t="n">
        <v>6202.12</v>
      </c>
      <c r="D2491" t="n">
        <v>3961.86</v>
      </c>
      <c r="E2491" t="n">
        <v>6097.49</v>
      </c>
      <c r="F2491" t="n">
        <v>9413.540000000001</v>
      </c>
    </row>
    <row r="2492">
      <c r="A2492" s="3" t="n">
        <v>42107</v>
      </c>
      <c r="B2492" t="n">
        <v>10649.88</v>
      </c>
      <c r="C2492" t="n">
        <v>6232.95</v>
      </c>
      <c r="D2492" t="n">
        <v>3991.61</v>
      </c>
      <c r="E2492" t="n">
        <v>6138.68</v>
      </c>
      <c r="F2492" t="n">
        <v>9424.59</v>
      </c>
    </row>
    <row r="2493">
      <c r="A2493" s="3" t="n">
        <v>42109</v>
      </c>
      <c r="B2493" t="n">
        <v>10545.29</v>
      </c>
      <c r="C2493" t="n">
        <v>6155.94</v>
      </c>
      <c r="D2493" t="n">
        <v>3976.64</v>
      </c>
      <c r="E2493" t="n">
        <v>6068.03</v>
      </c>
      <c r="F2493" t="n">
        <v>9385.23</v>
      </c>
    </row>
    <row r="2494">
      <c r="A2494" s="3" t="n">
        <v>42110</v>
      </c>
      <c r="B2494" t="n">
        <v>10453.34</v>
      </c>
      <c r="C2494" t="n">
        <v>6101.99</v>
      </c>
      <c r="D2494" t="n">
        <v>3938.23</v>
      </c>
      <c r="E2494" t="n">
        <v>6023.9</v>
      </c>
      <c r="F2494" t="n">
        <v>9314.1</v>
      </c>
    </row>
    <row r="2495">
      <c r="A2495" s="3" t="n">
        <v>42111</v>
      </c>
      <c r="B2495" t="n">
        <v>10211.18</v>
      </c>
      <c r="C2495" t="n">
        <v>5977.03</v>
      </c>
      <c r="D2495" t="n">
        <v>3933.24</v>
      </c>
      <c r="E2495" t="n">
        <v>5924.07</v>
      </c>
      <c r="F2495" t="n">
        <v>9175.879999999999</v>
      </c>
    </row>
    <row r="2496">
      <c r="A2496" s="3" t="n">
        <v>42114</v>
      </c>
      <c r="B2496" t="n">
        <v>10001</v>
      </c>
      <c r="C2496" t="n">
        <v>5870.57</v>
      </c>
      <c r="D2496" t="n">
        <v>3849.99</v>
      </c>
      <c r="E2496" t="n">
        <v>5816.45</v>
      </c>
      <c r="F2496" t="n">
        <v>9011.469999999999</v>
      </c>
    </row>
    <row r="2497">
      <c r="A2497" s="3" t="n">
        <v>42115</v>
      </c>
      <c r="B2497" t="n">
        <v>9996.200000000001</v>
      </c>
      <c r="C2497" t="n">
        <v>5798.6</v>
      </c>
      <c r="D2497" t="n">
        <v>3850.41</v>
      </c>
      <c r="E2497" t="n">
        <v>5737.38</v>
      </c>
      <c r="F2497" t="n">
        <v>8975.799999999999</v>
      </c>
    </row>
    <row r="2498">
      <c r="A2498" s="3" t="n">
        <v>42116</v>
      </c>
      <c r="B2498" t="n">
        <v>9929.33</v>
      </c>
      <c r="C2498" t="n">
        <v>5820.29</v>
      </c>
      <c r="D2498" t="n">
        <v>3876.44</v>
      </c>
      <c r="E2498" t="n">
        <v>5758.39</v>
      </c>
      <c r="F2498" t="n">
        <v>8926.620000000001</v>
      </c>
    </row>
    <row r="2499">
      <c r="A2499" s="3" t="n">
        <v>42117</v>
      </c>
      <c r="B2499" t="n">
        <v>9888.92</v>
      </c>
      <c r="C2499" t="n">
        <v>5820.08</v>
      </c>
      <c r="D2499" t="n">
        <v>3879.48</v>
      </c>
      <c r="E2499" t="n">
        <v>5741.72</v>
      </c>
      <c r="F2499" t="n">
        <v>8893.42</v>
      </c>
    </row>
    <row r="2500">
      <c r="A2500" s="3" t="n">
        <v>42118</v>
      </c>
      <c r="B2500" t="n">
        <v>9557.940000000001</v>
      </c>
      <c r="C2500" t="n">
        <v>5740.49</v>
      </c>
      <c r="D2500" t="n">
        <v>3777.96</v>
      </c>
      <c r="E2500" t="n">
        <v>5675.74</v>
      </c>
      <c r="F2500" t="n">
        <v>8650.799999999999</v>
      </c>
    </row>
    <row r="2501">
      <c r="A2501" s="3" t="n">
        <v>42121</v>
      </c>
      <c r="B2501" t="n">
        <v>9215.18</v>
      </c>
      <c r="C2501" t="n">
        <v>5643.29</v>
      </c>
      <c r="D2501" t="n">
        <v>3674.33</v>
      </c>
      <c r="E2501" t="n">
        <v>5594.94</v>
      </c>
      <c r="F2501" t="n">
        <v>8332.540000000001</v>
      </c>
    </row>
    <row r="2502">
      <c r="A2502" s="3" t="n">
        <v>42122</v>
      </c>
      <c r="B2502" t="n">
        <v>9403.98</v>
      </c>
      <c r="C2502" t="n">
        <v>5665.2</v>
      </c>
      <c r="D2502" t="n">
        <v>3727.73</v>
      </c>
      <c r="E2502" t="n">
        <v>5657.56</v>
      </c>
      <c r="F2502" t="n">
        <v>8459.629999999999</v>
      </c>
    </row>
    <row r="2503">
      <c r="A2503" s="3" t="n">
        <v>42123</v>
      </c>
      <c r="B2503" t="n">
        <v>9546.41</v>
      </c>
      <c r="C2503" t="n">
        <v>5693.78</v>
      </c>
      <c r="D2503" t="n">
        <v>3731.83</v>
      </c>
      <c r="E2503" t="n">
        <v>5642.67</v>
      </c>
      <c r="F2503" t="n">
        <v>8619.469999999999</v>
      </c>
    </row>
    <row r="2504">
      <c r="A2504" s="3" t="n">
        <v>42124</v>
      </c>
      <c r="B2504" t="n">
        <v>9576.030000000001</v>
      </c>
      <c r="C2504" t="n">
        <v>5659.73</v>
      </c>
      <c r="D2504" t="n">
        <v>3743.86</v>
      </c>
      <c r="E2504" t="n">
        <v>5608.26</v>
      </c>
      <c r="F2504" t="n">
        <v>8627.15</v>
      </c>
    </row>
    <row r="2505">
      <c r="A2505" s="3" t="n">
        <v>42128</v>
      </c>
      <c r="B2505" t="n">
        <v>9814.83</v>
      </c>
      <c r="C2505" t="n">
        <v>5763.02</v>
      </c>
      <c r="D2505" t="n">
        <v>3834.26</v>
      </c>
      <c r="E2505" t="n">
        <v>5730.33</v>
      </c>
      <c r="F2505" t="n">
        <v>8805.299999999999</v>
      </c>
    </row>
    <row r="2506">
      <c r="A2506" s="3" t="n">
        <v>42129</v>
      </c>
      <c r="B2506" t="n">
        <v>9838.309999999999</v>
      </c>
      <c r="C2506" t="n">
        <v>5791.08</v>
      </c>
      <c r="D2506" t="n">
        <v>3850.99</v>
      </c>
      <c r="E2506" t="n">
        <v>5730.13</v>
      </c>
      <c r="F2506" t="n">
        <v>8872.299999999999</v>
      </c>
    </row>
    <row r="2507">
      <c r="A2507" s="3" t="n">
        <v>42130</v>
      </c>
      <c r="B2507" t="n">
        <v>9456.68</v>
      </c>
      <c r="C2507" t="n">
        <v>5665.4</v>
      </c>
      <c r="D2507" t="n">
        <v>3680.77</v>
      </c>
      <c r="E2507" t="n">
        <v>5589.05</v>
      </c>
      <c r="F2507" t="n">
        <v>8536.610000000001</v>
      </c>
    </row>
    <row r="2508">
      <c r="A2508" s="3" t="n">
        <v>42131</v>
      </c>
      <c r="B2508" t="n">
        <v>9165.83</v>
      </c>
      <c r="C2508" t="n">
        <v>5656.72</v>
      </c>
      <c r="D2508" t="n">
        <v>3603.16</v>
      </c>
      <c r="E2508" t="n">
        <v>5573.96</v>
      </c>
      <c r="F2508" t="n">
        <v>8331.879999999999</v>
      </c>
    </row>
    <row r="2509">
      <c r="A2509" s="3" t="n">
        <v>42132</v>
      </c>
      <c r="B2509" t="n">
        <v>9405.9</v>
      </c>
      <c r="C2509" t="n">
        <v>5705.7</v>
      </c>
      <c r="D2509" t="n">
        <v>3643.77</v>
      </c>
      <c r="E2509" t="n">
        <v>5657.51</v>
      </c>
      <c r="F2509" t="n">
        <v>8458.129999999999</v>
      </c>
    </row>
    <row r="2510">
      <c r="A2510" s="3" t="n">
        <v>42135</v>
      </c>
      <c r="B2510" t="n">
        <v>9609.110000000001</v>
      </c>
      <c r="C2510" t="n">
        <v>5776.94</v>
      </c>
      <c r="D2510" t="n">
        <v>3714.78</v>
      </c>
      <c r="E2510" t="n">
        <v>5730.93</v>
      </c>
      <c r="F2510" t="n">
        <v>8622.610000000001</v>
      </c>
    </row>
    <row r="2511">
      <c r="A2511" s="3" t="n">
        <v>42136</v>
      </c>
      <c r="B2511" t="n">
        <v>9386.969999999999</v>
      </c>
      <c r="C2511" t="n">
        <v>5709.01</v>
      </c>
      <c r="D2511" t="n">
        <v>3585.88</v>
      </c>
      <c r="E2511" t="n">
        <v>5634.29</v>
      </c>
      <c r="F2511" t="n">
        <v>8433.219999999999</v>
      </c>
    </row>
    <row r="2512">
      <c r="A2512" s="3" t="n">
        <v>42137</v>
      </c>
      <c r="B2512" t="n">
        <v>9534.67</v>
      </c>
      <c r="C2512" t="n">
        <v>5744.24</v>
      </c>
      <c r="D2512" t="n">
        <v>3628.77</v>
      </c>
      <c r="E2512" t="n">
        <v>5675.42</v>
      </c>
      <c r="F2512" t="n">
        <v>8568.75</v>
      </c>
    </row>
    <row r="2513">
      <c r="A2513" s="3" t="n">
        <v>42138</v>
      </c>
      <c r="B2513" t="n">
        <v>9662.799999999999</v>
      </c>
      <c r="C2513" t="n">
        <v>5771.09</v>
      </c>
      <c r="D2513" t="n">
        <v>3684.55</v>
      </c>
      <c r="E2513" t="n">
        <v>5678.6</v>
      </c>
      <c r="F2513" t="n">
        <v>8679.940000000001</v>
      </c>
    </row>
    <row r="2514">
      <c r="A2514" s="3" t="n">
        <v>42139</v>
      </c>
      <c r="B2514" t="n">
        <v>9700.18</v>
      </c>
      <c r="C2514" t="n">
        <v>5796.52</v>
      </c>
      <c r="D2514" t="n">
        <v>3676.4</v>
      </c>
      <c r="E2514" t="n">
        <v>5706.66</v>
      </c>
      <c r="F2514" t="n">
        <v>8764.98</v>
      </c>
    </row>
    <row r="2515">
      <c r="A2515" s="3" t="n">
        <v>42142</v>
      </c>
      <c r="B2515" t="n">
        <v>9818.559999999999</v>
      </c>
      <c r="C2515" t="n">
        <v>5847.87</v>
      </c>
      <c r="D2515" t="n">
        <v>3697.8</v>
      </c>
      <c r="E2515" t="n">
        <v>5772</v>
      </c>
      <c r="F2515" t="n">
        <v>8858.92</v>
      </c>
    </row>
    <row r="2516">
      <c r="A2516" s="3" t="n">
        <v>42143</v>
      </c>
      <c r="B2516" t="n">
        <v>9816.09</v>
      </c>
      <c r="C2516" t="n">
        <v>5863.14</v>
      </c>
      <c r="D2516" t="n">
        <v>3700.1</v>
      </c>
      <c r="E2516" t="n">
        <v>5772.26</v>
      </c>
      <c r="F2516" t="n">
        <v>8902.559999999999</v>
      </c>
    </row>
    <row r="2517">
      <c r="A2517" s="3" t="n">
        <v>42144</v>
      </c>
      <c r="B2517" t="n">
        <v>9843.52</v>
      </c>
      <c r="C2517" t="n">
        <v>5882.98</v>
      </c>
      <c r="D2517" t="n">
        <v>3692.31</v>
      </c>
      <c r="E2517" t="n">
        <v>5806.77</v>
      </c>
      <c r="F2517" t="n">
        <v>8897.799999999999</v>
      </c>
    </row>
    <row r="2518">
      <c r="A2518" s="3" t="n">
        <v>42145</v>
      </c>
      <c r="B2518" t="n">
        <v>9838.870000000001</v>
      </c>
      <c r="C2518" t="n">
        <v>5917.58</v>
      </c>
      <c r="D2518" t="n">
        <v>3688.68</v>
      </c>
      <c r="E2518" t="n">
        <v>5814.99</v>
      </c>
      <c r="F2518" t="n">
        <v>8879.99</v>
      </c>
    </row>
    <row r="2519">
      <c r="A2519" s="3" t="n">
        <v>42146</v>
      </c>
      <c r="B2519" t="n">
        <v>9884.15</v>
      </c>
      <c r="C2519" t="n">
        <v>5952.11</v>
      </c>
      <c r="D2519" t="n">
        <v>3680.19</v>
      </c>
      <c r="E2519" t="n">
        <v>5844.64</v>
      </c>
      <c r="F2519" t="n">
        <v>8897.110000000001</v>
      </c>
    </row>
    <row r="2520">
      <c r="A2520" s="3" t="n">
        <v>42149</v>
      </c>
      <c r="B2520" t="n">
        <v>9896.91</v>
      </c>
      <c r="C2520" t="n">
        <v>5913.19</v>
      </c>
      <c r="D2520" t="n">
        <v>3662.19</v>
      </c>
      <c r="E2520" t="n">
        <v>5799.83</v>
      </c>
      <c r="F2520" t="n">
        <v>8915.52</v>
      </c>
    </row>
    <row r="2521">
      <c r="A2521" s="3" t="n">
        <v>42150</v>
      </c>
      <c r="B2521" t="n">
        <v>9876.76</v>
      </c>
      <c r="C2521" t="n">
        <v>5912.55</v>
      </c>
      <c r="D2521" t="n">
        <v>3651.52</v>
      </c>
      <c r="E2521" t="n">
        <v>5784.96</v>
      </c>
      <c r="F2521" t="n">
        <v>8926.08</v>
      </c>
    </row>
    <row r="2522">
      <c r="A2522" s="3" t="n">
        <v>42151</v>
      </c>
      <c r="B2522" t="n">
        <v>9883.99</v>
      </c>
      <c r="C2522" t="n">
        <v>5874.2</v>
      </c>
      <c r="D2522" t="n">
        <v>3683.56</v>
      </c>
      <c r="E2522" t="n">
        <v>5741.6</v>
      </c>
      <c r="F2522" t="n">
        <v>8940.25</v>
      </c>
    </row>
    <row r="2523">
      <c r="A2523" s="3" t="n">
        <v>42152</v>
      </c>
      <c r="B2523" t="n">
        <v>9830.32</v>
      </c>
      <c r="C2523" t="n">
        <v>5878.09</v>
      </c>
      <c r="D2523" t="n">
        <v>3690.78</v>
      </c>
      <c r="E2523" t="n">
        <v>5725.8</v>
      </c>
      <c r="F2523" t="n">
        <v>8896.07</v>
      </c>
    </row>
    <row r="2524">
      <c r="A2524" s="3" t="n">
        <v>42153</v>
      </c>
      <c r="B2524" t="n">
        <v>10028.31</v>
      </c>
      <c r="C2524" t="n">
        <v>5973.2</v>
      </c>
      <c r="D2524" t="n">
        <v>3728.55</v>
      </c>
      <c r="E2524" t="n">
        <v>5809.79</v>
      </c>
      <c r="F2524" t="n">
        <v>9101.99</v>
      </c>
    </row>
    <row r="2525">
      <c r="A2525" s="3" t="n">
        <v>42156</v>
      </c>
      <c r="B2525" t="n">
        <v>10052.43</v>
      </c>
      <c r="C2525" t="n">
        <v>5950.26</v>
      </c>
      <c r="D2525" t="n">
        <v>3730.38</v>
      </c>
      <c r="E2525" t="n">
        <v>5819.8</v>
      </c>
      <c r="F2525" t="n">
        <v>9127.629999999999</v>
      </c>
    </row>
    <row r="2526">
      <c r="A2526" s="3" t="n">
        <v>42157</v>
      </c>
      <c r="B2526" t="n">
        <v>9767.58</v>
      </c>
      <c r="C2526" t="n">
        <v>5820.75</v>
      </c>
      <c r="D2526" t="n">
        <v>3633.97</v>
      </c>
      <c r="E2526" t="n">
        <v>5704.71</v>
      </c>
      <c r="F2526" t="n">
        <v>8909.059999999999</v>
      </c>
    </row>
    <row r="2527">
      <c r="A2527" s="3" t="n">
        <v>42158</v>
      </c>
      <c r="B2527" t="n">
        <v>9590.360000000001</v>
      </c>
      <c r="C2527" t="n">
        <v>5767.91</v>
      </c>
      <c r="D2527" t="n">
        <v>3530.57</v>
      </c>
      <c r="E2527" t="n">
        <v>5651.45</v>
      </c>
      <c r="F2527" t="n">
        <v>8703.389999999999</v>
      </c>
    </row>
    <row r="2528">
      <c r="A2528" s="3" t="n">
        <v>42159</v>
      </c>
      <c r="B2528" t="n">
        <v>9588.049999999999</v>
      </c>
      <c r="C2528" t="n">
        <v>5753.46</v>
      </c>
      <c r="D2528" t="n">
        <v>3503.81</v>
      </c>
      <c r="E2528" t="n">
        <v>5649.3</v>
      </c>
      <c r="F2528" t="n">
        <v>8736.4</v>
      </c>
    </row>
    <row r="2529">
      <c r="A2529" s="3" t="n">
        <v>42160</v>
      </c>
      <c r="B2529" t="n">
        <v>9615.67</v>
      </c>
      <c r="C2529" t="n">
        <v>5769.04</v>
      </c>
      <c r="D2529" t="n">
        <v>3512.49</v>
      </c>
      <c r="E2529" t="n">
        <v>5626.57</v>
      </c>
      <c r="F2529" t="n">
        <v>8753.41</v>
      </c>
    </row>
    <row r="2530">
      <c r="A2530" s="3" t="n">
        <v>42163</v>
      </c>
      <c r="B2530" t="n">
        <v>9447.27</v>
      </c>
      <c r="C2530" t="n">
        <v>5693.5</v>
      </c>
      <c r="D2530" t="n">
        <v>3442.19</v>
      </c>
      <c r="E2530" t="n">
        <v>5577.06</v>
      </c>
      <c r="F2530" t="n">
        <v>8606.860000000001</v>
      </c>
    </row>
    <row r="2531">
      <c r="A2531" s="3" t="n">
        <v>42164</v>
      </c>
      <c r="B2531" t="n">
        <v>9333.83</v>
      </c>
      <c r="C2531" t="n">
        <v>5662.05</v>
      </c>
      <c r="D2531" t="n">
        <v>3442.28</v>
      </c>
      <c r="E2531" t="n">
        <v>5547.6</v>
      </c>
      <c r="F2531" t="n">
        <v>8526.9</v>
      </c>
    </row>
    <row r="2532">
      <c r="A2532" s="3" t="n">
        <v>42165</v>
      </c>
      <c r="B2532" t="n">
        <v>9508.09</v>
      </c>
      <c r="C2532" t="n">
        <v>5725.82</v>
      </c>
      <c r="D2532" t="n">
        <v>3461.53</v>
      </c>
      <c r="E2532" t="n">
        <v>5609.37</v>
      </c>
      <c r="F2532" t="n">
        <v>8644.370000000001</v>
      </c>
    </row>
    <row r="2533">
      <c r="A2533" s="3" t="n">
        <v>42166</v>
      </c>
      <c r="B2533" t="n">
        <v>9319.27</v>
      </c>
      <c r="C2533" t="n">
        <v>5625.99</v>
      </c>
      <c r="D2533" t="n">
        <v>3388.32</v>
      </c>
      <c r="E2533" t="n">
        <v>5510.87</v>
      </c>
      <c r="F2533" t="n">
        <v>8512.690000000001</v>
      </c>
    </row>
    <row r="2534">
      <c r="A2534" s="3" t="n">
        <v>42167</v>
      </c>
      <c r="B2534" t="n">
        <v>9259.860000000001</v>
      </c>
      <c r="C2534" t="n">
        <v>5594.31</v>
      </c>
      <c r="D2534" t="n">
        <v>3379.82</v>
      </c>
      <c r="E2534" t="n">
        <v>5532.1</v>
      </c>
      <c r="F2534" t="n">
        <v>8481.09</v>
      </c>
    </row>
    <row r="2535">
      <c r="A2535" s="3" t="n">
        <v>42170</v>
      </c>
      <c r="B2535" t="n">
        <v>9309.139999999999</v>
      </c>
      <c r="C2535" t="n">
        <v>5619.57</v>
      </c>
      <c r="D2535" t="n">
        <v>3380.89</v>
      </c>
      <c r="E2535" t="n">
        <v>5551.72</v>
      </c>
      <c r="F2535" t="n">
        <v>8514.07</v>
      </c>
    </row>
    <row r="2536">
      <c r="A2536" s="3" t="n">
        <v>42171</v>
      </c>
      <c r="B2536" t="n">
        <v>9383.59</v>
      </c>
      <c r="C2536" t="n">
        <v>5649.23</v>
      </c>
      <c r="D2536" t="n">
        <v>3396.79</v>
      </c>
      <c r="E2536" t="n">
        <v>5579.87</v>
      </c>
      <c r="F2536" t="n">
        <v>8576.940000000001</v>
      </c>
    </row>
    <row r="2537">
      <c r="A2537" s="3" t="n">
        <v>42172</v>
      </c>
      <c r="B2537" t="n">
        <v>9580.9</v>
      </c>
      <c r="C2537" t="n">
        <v>5703.57</v>
      </c>
      <c r="D2537" t="n">
        <v>3405.39</v>
      </c>
      <c r="E2537" t="n">
        <v>5630.5</v>
      </c>
      <c r="F2537" t="n">
        <v>8752.540000000001</v>
      </c>
    </row>
    <row r="2538">
      <c r="A2538" s="3" t="n">
        <v>42173</v>
      </c>
      <c r="B2538" t="n">
        <v>9740.07</v>
      </c>
      <c r="C2538" t="n">
        <v>5758.55</v>
      </c>
      <c r="D2538" t="n">
        <v>3437.14</v>
      </c>
      <c r="E2538" t="n">
        <v>5685.53</v>
      </c>
      <c r="F2538" t="n">
        <v>8858.610000000001</v>
      </c>
    </row>
    <row r="2539">
      <c r="A2539" s="3" t="n">
        <v>42174</v>
      </c>
      <c r="B2539" t="n">
        <v>9820.309999999999</v>
      </c>
      <c r="C2539" t="n">
        <v>5780.89</v>
      </c>
      <c r="D2539" t="n">
        <v>3459.01</v>
      </c>
      <c r="E2539" t="n">
        <v>5728.05</v>
      </c>
      <c r="F2539" t="n">
        <v>8866.16</v>
      </c>
    </row>
    <row r="2540">
      <c r="A2540" s="3" t="n">
        <v>42177</v>
      </c>
      <c r="B2540" t="n">
        <v>9957.190000000001</v>
      </c>
      <c r="C2540" t="n">
        <v>5840.27</v>
      </c>
      <c r="D2540" t="n">
        <v>3548.6</v>
      </c>
      <c r="E2540" t="n">
        <v>5784.83</v>
      </c>
      <c r="F2540" t="n">
        <v>8999.99</v>
      </c>
    </row>
    <row r="2541">
      <c r="A2541" s="3" t="n">
        <v>42178</v>
      </c>
      <c r="B2541" t="n">
        <v>9978.530000000001</v>
      </c>
      <c r="C2541" t="n">
        <v>5839.39</v>
      </c>
      <c r="D2541" t="n">
        <v>3577.41</v>
      </c>
      <c r="E2541" t="n">
        <v>5795.62</v>
      </c>
      <c r="F2541" t="n">
        <v>9025.41</v>
      </c>
    </row>
    <row r="2542">
      <c r="A2542" s="3" t="n">
        <v>42179</v>
      </c>
      <c r="B2542" t="n">
        <v>9894.690000000001</v>
      </c>
      <c r="C2542" t="n">
        <v>5851.33</v>
      </c>
      <c r="D2542" t="n">
        <v>3521.69</v>
      </c>
      <c r="E2542" t="n">
        <v>5793.15</v>
      </c>
      <c r="F2542" t="n">
        <v>8983.290000000001</v>
      </c>
    </row>
    <row r="2543">
      <c r="A2543" s="3" t="n">
        <v>42180</v>
      </c>
      <c r="B2543" t="n">
        <v>9942.809999999999</v>
      </c>
      <c r="C2543" t="n">
        <v>5836.96</v>
      </c>
      <c r="D2543" t="n">
        <v>3543.19</v>
      </c>
      <c r="E2543" t="n">
        <v>5812.62</v>
      </c>
      <c r="F2543" t="n">
        <v>8990.16</v>
      </c>
    </row>
    <row r="2544">
      <c r="A2544" s="3" t="n">
        <v>42181</v>
      </c>
      <c r="B2544" t="n">
        <v>9982.110000000001</v>
      </c>
      <c r="C2544" t="n">
        <v>5877.02</v>
      </c>
      <c r="D2544" t="n">
        <v>3522.47</v>
      </c>
      <c r="E2544" t="n">
        <v>5819.44</v>
      </c>
      <c r="F2544" t="n">
        <v>9025.709999999999</v>
      </c>
    </row>
    <row r="2545">
      <c r="A2545" s="3" t="n">
        <v>42184</v>
      </c>
      <c r="B2545" t="n">
        <v>9808.23</v>
      </c>
      <c r="C2545" t="n">
        <v>5809.16</v>
      </c>
      <c r="D2545" t="n">
        <v>3468.55</v>
      </c>
      <c r="E2545" t="n">
        <v>5771.61</v>
      </c>
      <c r="F2545" t="n">
        <v>8858.32</v>
      </c>
    </row>
    <row r="2546">
      <c r="A2546" s="3" t="n">
        <v>42185</v>
      </c>
      <c r="B2546" t="n">
        <v>9952.889999999999</v>
      </c>
      <c r="C2546" t="n">
        <v>5861.18</v>
      </c>
      <c r="D2546" t="n">
        <v>3506.43</v>
      </c>
      <c r="E2546" t="n">
        <v>5811.09</v>
      </c>
      <c r="F2546" t="n">
        <v>8975.139999999999</v>
      </c>
    </row>
    <row r="2547">
      <c r="A2547" s="3" t="n">
        <v>42186</v>
      </c>
      <c r="B2547" t="n">
        <v>10123.74</v>
      </c>
      <c r="C2547" t="n">
        <v>5912.84</v>
      </c>
      <c r="D2547" t="n">
        <v>3591.39</v>
      </c>
      <c r="E2547" t="n">
        <v>5864.56</v>
      </c>
      <c r="F2547" t="n">
        <v>9111.15</v>
      </c>
    </row>
    <row r="2548">
      <c r="A2548" s="3" t="n">
        <v>42187</v>
      </c>
      <c r="B2548" t="n">
        <v>10247.41</v>
      </c>
      <c r="C2548" t="n">
        <v>5905.62</v>
      </c>
      <c r="D2548" t="n">
        <v>3626.29</v>
      </c>
      <c r="E2548" t="n">
        <v>5868.15</v>
      </c>
      <c r="F2548" t="n">
        <v>9224.889999999999</v>
      </c>
    </row>
    <row r="2549">
      <c r="A2549" s="3" t="n">
        <v>42188</v>
      </c>
      <c r="B2549" t="n">
        <v>10187.11</v>
      </c>
      <c r="C2549" t="n">
        <v>5929.6</v>
      </c>
      <c r="D2549" t="n">
        <v>3621.99</v>
      </c>
      <c r="E2549" t="n">
        <v>5896.93</v>
      </c>
      <c r="F2549" t="n">
        <v>9181.5</v>
      </c>
    </row>
    <row r="2550">
      <c r="A2550" s="3" t="n">
        <v>42191</v>
      </c>
      <c r="B2550" t="n">
        <v>10281.55</v>
      </c>
      <c r="C2550" t="n">
        <v>5966.58</v>
      </c>
      <c r="D2550" t="n">
        <v>3668.72</v>
      </c>
      <c r="E2550" t="n">
        <v>5932.05</v>
      </c>
      <c r="F2550" t="n">
        <v>9258.77</v>
      </c>
    </row>
    <row r="2551">
      <c r="A2551" s="3" t="n">
        <v>42192</v>
      </c>
      <c r="B2551" t="n">
        <v>10312.53</v>
      </c>
      <c r="C2551" t="n">
        <v>5989.93</v>
      </c>
      <c r="D2551" t="n">
        <v>3688.2</v>
      </c>
      <c r="E2551" t="n">
        <v>5938.26</v>
      </c>
      <c r="F2551" t="n">
        <v>9327.030000000001</v>
      </c>
    </row>
    <row r="2552">
      <c r="A2552" s="3" t="n">
        <v>42193</v>
      </c>
      <c r="B2552" t="n">
        <v>10112.14</v>
      </c>
      <c r="C2552" t="n">
        <v>5910.76</v>
      </c>
      <c r="D2552" t="n">
        <v>3606.83</v>
      </c>
      <c r="E2552" t="n">
        <v>5865.94</v>
      </c>
      <c r="F2552" t="n">
        <v>9181.93</v>
      </c>
    </row>
    <row r="2553">
      <c r="A2553" s="3" t="n">
        <v>42194</v>
      </c>
      <c r="B2553" t="n">
        <v>10072.3</v>
      </c>
      <c r="C2553" t="n">
        <v>5870.6</v>
      </c>
      <c r="D2553" t="n">
        <v>3594.81</v>
      </c>
      <c r="E2553" t="n">
        <v>5835.26</v>
      </c>
      <c r="F2553" t="n">
        <v>9165.110000000001</v>
      </c>
    </row>
    <row r="2554">
      <c r="A2554" s="3" t="n">
        <v>42195</v>
      </c>
      <c r="B2554" t="n">
        <v>10118.37</v>
      </c>
      <c r="C2554" t="n">
        <v>5858.05</v>
      </c>
      <c r="D2554" t="n">
        <v>3614.77</v>
      </c>
      <c r="E2554" t="n">
        <v>5828.69</v>
      </c>
      <c r="F2554" t="n">
        <v>9193.530000000001</v>
      </c>
    </row>
    <row r="2555">
      <c r="A2555" s="3" t="n">
        <v>42198</v>
      </c>
      <c r="B2555" t="n">
        <v>10256.52</v>
      </c>
      <c r="C2555" t="n">
        <v>5927.05</v>
      </c>
      <c r="D2555" t="n">
        <v>3657.97</v>
      </c>
      <c r="E2555" t="n">
        <v>5910.74</v>
      </c>
      <c r="F2555" t="n">
        <v>9322.33</v>
      </c>
    </row>
    <row r="2556">
      <c r="A2556" s="3" t="n">
        <v>42199</v>
      </c>
      <c r="B2556" t="n">
        <v>10259.85</v>
      </c>
      <c r="C2556" t="n">
        <v>5974.23</v>
      </c>
      <c r="D2556" t="n">
        <v>3675.09</v>
      </c>
      <c r="E2556" t="n">
        <v>5928.35</v>
      </c>
      <c r="F2556" t="n">
        <v>9382.030000000001</v>
      </c>
    </row>
    <row r="2557">
      <c r="A2557" s="3" t="n">
        <v>42200</v>
      </c>
      <c r="B2557" t="n">
        <v>10306.05</v>
      </c>
      <c r="C2557" t="n">
        <v>6006.62</v>
      </c>
      <c r="D2557" t="n">
        <v>3662.69</v>
      </c>
      <c r="E2557" t="n">
        <v>5985.52</v>
      </c>
      <c r="F2557" t="n">
        <v>9421.280000000001</v>
      </c>
    </row>
    <row r="2558">
      <c r="A2558" s="3" t="n">
        <v>42201</v>
      </c>
      <c r="B2558" t="n">
        <v>10460.13</v>
      </c>
      <c r="C2558" t="n">
        <v>6051.87</v>
      </c>
      <c r="D2558" t="n">
        <v>3733.14</v>
      </c>
      <c r="E2558" t="n">
        <v>6033.38</v>
      </c>
      <c r="F2558" t="n">
        <v>9547.559999999999</v>
      </c>
    </row>
    <row r="2559">
      <c r="A2559" s="3" t="n">
        <v>42202</v>
      </c>
      <c r="B2559" t="n">
        <v>10517.37</v>
      </c>
      <c r="C2559" t="n">
        <v>6051.71</v>
      </c>
      <c r="D2559" t="n">
        <v>3762.93</v>
      </c>
      <c r="E2559" t="n">
        <v>6039.1</v>
      </c>
      <c r="F2559" t="n">
        <v>9616.26</v>
      </c>
    </row>
    <row r="2560">
      <c r="A2560" s="3" t="n">
        <v>42205</v>
      </c>
      <c r="B2560" t="n">
        <v>10589.97</v>
      </c>
      <c r="C2560" t="n">
        <v>6064.02</v>
      </c>
      <c r="D2560" t="n">
        <v>3753.5</v>
      </c>
      <c r="E2560" t="n">
        <v>6056.72</v>
      </c>
      <c r="F2560" t="n">
        <v>9659.32</v>
      </c>
    </row>
    <row r="2561">
      <c r="A2561" s="3" t="n">
        <v>42206</v>
      </c>
      <c r="B2561" t="n">
        <v>10426.38</v>
      </c>
      <c r="C2561" t="n">
        <v>6010.23</v>
      </c>
      <c r="D2561" t="n">
        <v>3675.58</v>
      </c>
      <c r="E2561" t="n">
        <v>6001.97</v>
      </c>
      <c r="F2561" t="n">
        <v>9436.969999999999</v>
      </c>
    </row>
    <row r="2562">
      <c r="A2562" s="3" t="n">
        <v>42207</v>
      </c>
      <c r="B2562" t="n">
        <v>10538.09</v>
      </c>
      <c r="C2562" t="n">
        <v>6053.24</v>
      </c>
      <c r="D2562" t="n">
        <v>3749.83</v>
      </c>
      <c r="E2562" t="n">
        <v>6072.06</v>
      </c>
      <c r="F2562" t="n">
        <v>9485.51</v>
      </c>
    </row>
    <row r="2563">
      <c r="A2563" s="3" t="n">
        <v>42208</v>
      </c>
      <c r="B2563" t="n">
        <v>10571.09</v>
      </c>
      <c r="C2563" t="n">
        <v>6018.55</v>
      </c>
      <c r="D2563" t="n">
        <v>3785.49</v>
      </c>
      <c r="E2563" t="n">
        <v>6040.21</v>
      </c>
      <c r="F2563" t="n">
        <v>9470.870000000001</v>
      </c>
    </row>
    <row r="2564">
      <c r="A2564" s="3" t="n">
        <v>42209</v>
      </c>
      <c r="B2564" t="n">
        <v>10520.94</v>
      </c>
      <c r="C2564" t="n">
        <v>5983.92</v>
      </c>
      <c r="D2564" t="n">
        <v>3758.13</v>
      </c>
      <c r="E2564" t="n">
        <v>6005.37</v>
      </c>
      <c r="F2564" t="n">
        <v>9420.530000000001</v>
      </c>
    </row>
    <row r="2565">
      <c r="A2565" s="3" t="n">
        <v>42212</v>
      </c>
      <c r="B2565" t="n">
        <v>10393.58</v>
      </c>
      <c r="C2565" t="n">
        <v>5917.13</v>
      </c>
      <c r="D2565" t="n">
        <v>3695.54</v>
      </c>
      <c r="E2565" t="n">
        <v>5918.73</v>
      </c>
      <c r="F2565" t="n">
        <v>9328.75</v>
      </c>
    </row>
    <row r="2566">
      <c r="A2566" s="3" t="n">
        <v>42213</v>
      </c>
      <c r="B2566" t="n">
        <v>10415.51</v>
      </c>
      <c r="C2566" t="n">
        <v>5881.3</v>
      </c>
      <c r="D2566" t="n">
        <v>3673.88</v>
      </c>
      <c r="E2566" t="n">
        <v>5888.45</v>
      </c>
      <c r="F2566" t="n">
        <v>9339.129999999999</v>
      </c>
    </row>
    <row r="2567">
      <c r="A2567" s="3" t="n">
        <v>42214</v>
      </c>
      <c r="B2567" t="n">
        <v>10549.99</v>
      </c>
      <c r="C2567" t="n">
        <v>5940.31</v>
      </c>
      <c r="D2567" t="n">
        <v>3639.95</v>
      </c>
      <c r="E2567" t="n">
        <v>5924.33</v>
      </c>
      <c r="F2567" t="n">
        <v>9406.950000000001</v>
      </c>
    </row>
    <row r="2568">
      <c r="A2568" s="3" t="n">
        <v>42215</v>
      </c>
      <c r="B2568" t="n">
        <v>10607.58</v>
      </c>
      <c r="C2568" t="n">
        <v>5967.82</v>
      </c>
      <c r="D2568" t="n">
        <v>3688.43</v>
      </c>
      <c r="E2568" t="n">
        <v>5955.84</v>
      </c>
      <c r="F2568" t="n">
        <v>9485.719999999999</v>
      </c>
    </row>
    <row r="2569">
      <c r="A2569" s="3" t="n">
        <v>42216</v>
      </c>
      <c r="B2569" t="n">
        <v>10720.14</v>
      </c>
      <c r="C2569" t="n">
        <v>6045.17</v>
      </c>
      <c r="D2569" t="n">
        <v>3738.61</v>
      </c>
      <c r="E2569" t="n">
        <v>6016.6</v>
      </c>
      <c r="F2569" t="n">
        <v>9591.690000000001</v>
      </c>
    </row>
    <row r="2570">
      <c r="A2570" s="3" t="n">
        <v>42219</v>
      </c>
      <c r="B2570" t="n">
        <v>10810.73</v>
      </c>
      <c r="C2570" t="n">
        <v>6032.63</v>
      </c>
      <c r="D2570" t="n">
        <v>3807.05</v>
      </c>
      <c r="E2570" t="n">
        <v>6026.48</v>
      </c>
      <c r="F2570" t="n">
        <v>9670.620000000001</v>
      </c>
    </row>
    <row r="2571">
      <c r="A2571" s="3" t="n">
        <v>42220</v>
      </c>
      <c r="B2571" t="n">
        <v>11008.76</v>
      </c>
      <c r="C2571" t="n">
        <v>6045.62</v>
      </c>
      <c r="D2571" t="n">
        <v>3848.65</v>
      </c>
      <c r="E2571" t="n">
        <v>6020.54</v>
      </c>
      <c r="F2571" t="n">
        <v>9762.59</v>
      </c>
    </row>
    <row r="2572">
      <c r="A2572" s="3" t="n">
        <v>42221</v>
      </c>
      <c r="B2572" t="n">
        <v>11109.33</v>
      </c>
      <c r="C2572" t="n">
        <v>6119.37</v>
      </c>
      <c r="D2572" t="n">
        <v>3879.08</v>
      </c>
      <c r="E2572" t="n">
        <v>6082</v>
      </c>
      <c r="F2572" t="n">
        <v>9808.84</v>
      </c>
    </row>
    <row r="2573">
      <c r="A2573" s="3" t="n">
        <v>42222</v>
      </c>
      <c r="B2573" t="n">
        <v>11052.35</v>
      </c>
      <c r="C2573" t="n">
        <v>6152.41</v>
      </c>
      <c r="D2573" t="n">
        <v>3919.71</v>
      </c>
      <c r="E2573" t="n">
        <v>6101.76</v>
      </c>
      <c r="F2573" t="n">
        <v>9802.35</v>
      </c>
    </row>
    <row r="2574">
      <c r="A2574" s="3" t="n">
        <v>42223</v>
      </c>
      <c r="B2574" t="n">
        <v>11018.61</v>
      </c>
      <c r="C2574" t="n">
        <v>6139.59</v>
      </c>
      <c r="D2574" t="n">
        <v>3934.87</v>
      </c>
      <c r="E2574" t="n">
        <v>6083.84</v>
      </c>
      <c r="F2574" t="n">
        <v>9797.799999999999</v>
      </c>
    </row>
    <row r="2575">
      <c r="A2575" s="3" t="n">
        <v>42226</v>
      </c>
      <c r="B2575" t="n">
        <v>10999.02</v>
      </c>
      <c r="C2575" t="n">
        <v>6140.95</v>
      </c>
      <c r="D2575" t="n">
        <v>3907.17</v>
      </c>
      <c r="E2575" t="n">
        <v>6070.57</v>
      </c>
      <c r="F2575" t="n">
        <v>9787.27</v>
      </c>
    </row>
    <row r="2576">
      <c r="A2576" s="3" t="n">
        <v>42227</v>
      </c>
      <c r="B2576" t="n">
        <v>10868.33</v>
      </c>
      <c r="C2576" t="n">
        <v>6120.96</v>
      </c>
      <c r="D2576" t="n">
        <v>3832.87</v>
      </c>
      <c r="E2576" t="n">
        <v>6044.11</v>
      </c>
      <c r="F2576" t="n">
        <v>9711.690000000001</v>
      </c>
    </row>
    <row r="2577">
      <c r="A2577" s="3" t="n">
        <v>42228</v>
      </c>
      <c r="B2577" t="n">
        <v>10595.86</v>
      </c>
      <c r="C2577" t="n">
        <v>6084.96</v>
      </c>
      <c r="D2577" t="n">
        <v>3718.61</v>
      </c>
      <c r="E2577" t="n">
        <v>5985.13</v>
      </c>
      <c r="F2577" t="n">
        <v>9534.110000000001</v>
      </c>
    </row>
    <row r="2578">
      <c r="A2578" s="3" t="n">
        <v>42229</v>
      </c>
      <c r="B2578" t="n">
        <v>10520.37</v>
      </c>
      <c r="C2578" t="n">
        <v>6077.47</v>
      </c>
      <c r="D2578" t="n">
        <v>3664.93</v>
      </c>
      <c r="E2578" t="n">
        <v>5993.47</v>
      </c>
      <c r="F2578" t="n">
        <v>9498.15</v>
      </c>
    </row>
    <row r="2579">
      <c r="A2579" s="3" t="n">
        <v>42230</v>
      </c>
      <c r="B2579" t="n">
        <v>10750.77</v>
      </c>
      <c r="C2579" t="n">
        <v>6161.7</v>
      </c>
      <c r="D2579" t="n">
        <v>3752.05</v>
      </c>
      <c r="E2579" t="n">
        <v>6102.44</v>
      </c>
      <c r="F2579" t="n">
        <v>9592.35</v>
      </c>
    </row>
    <row r="2580">
      <c r="A2580" s="3" t="n">
        <v>42233</v>
      </c>
      <c r="B2580" t="n">
        <v>10767.13</v>
      </c>
      <c r="C2580" t="n">
        <v>6168.27</v>
      </c>
      <c r="D2580" t="n">
        <v>3784.31</v>
      </c>
      <c r="E2580" t="n">
        <v>6068.31</v>
      </c>
      <c r="F2580" t="n">
        <v>9656</v>
      </c>
    </row>
    <row r="2581">
      <c r="A2581" s="3" t="n">
        <v>42234</v>
      </c>
      <c r="B2581" t="n">
        <v>10965.69</v>
      </c>
      <c r="C2581" t="n">
        <v>6178.26</v>
      </c>
      <c r="D2581" t="n">
        <v>3817.77</v>
      </c>
      <c r="E2581" t="n">
        <v>6078.49</v>
      </c>
      <c r="F2581" t="n">
        <v>9817.110000000001</v>
      </c>
    </row>
    <row r="2582">
      <c r="A2582" s="3" t="n">
        <v>42235</v>
      </c>
      <c r="B2582" t="n">
        <v>11017.06</v>
      </c>
      <c r="C2582" t="n">
        <v>6227.5</v>
      </c>
      <c r="D2582" t="n">
        <v>3773.22</v>
      </c>
      <c r="E2582" t="n">
        <v>6120.07</v>
      </c>
      <c r="F2582" t="n">
        <v>9921.889999999999</v>
      </c>
    </row>
    <row r="2583">
      <c r="A2583" s="3" t="n">
        <v>42236</v>
      </c>
      <c r="B2583" t="n">
        <v>10841.46</v>
      </c>
      <c r="C2583" t="n">
        <v>6153.46</v>
      </c>
      <c r="D2583" t="n">
        <v>3657.42</v>
      </c>
      <c r="E2583" t="n">
        <v>6038.78</v>
      </c>
      <c r="F2583" t="n">
        <v>9763.25</v>
      </c>
    </row>
    <row r="2584">
      <c r="A2584" s="3" t="n">
        <v>42237</v>
      </c>
      <c r="B2584" t="n">
        <v>10701.46</v>
      </c>
      <c r="C2584" t="n">
        <v>6143.91</v>
      </c>
      <c r="D2584" t="n">
        <v>3626.98</v>
      </c>
      <c r="E2584" t="n">
        <v>5996.51</v>
      </c>
      <c r="F2584" t="n">
        <v>9686.02</v>
      </c>
    </row>
    <row r="2585">
      <c r="A2585" s="3" t="n">
        <v>42240</v>
      </c>
      <c r="B2585" t="n">
        <v>9693.190000000001</v>
      </c>
      <c r="C2585" t="n">
        <v>5765.02</v>
      </c>
      <c r="D2585" t="n">
        <v>3227.99</v>
      </c>
      <c r="E2585" t="n">
        <v>5632.81</v>
      </c>
      <c r="F2585" t="n">
        <v>8751.84</v>
      </c>
    </row>
    <row r="2586">
      <c r="A2586" s="3" t="n">
        <v>42241</v>
      </c>
      <c r="B2586" t="n">
        <v>9848.870000000001</v>
      </c>
      <c r="C2586" t="n">
        <v>5833.61</v>
      </c>
      <c r="D2586" t="n">
        <v>3314.45</v>
      </c>
      <c r="E2586" t="n">
        <v>5671.52</v>
      </c>
      <c r="F2586" t="n">
        <v>8929.74</v>
      </c>
    </row>
    <row r="2587">
      <c r="A2587" s="3" t="n">
        <v>42242</v>
      </c>
      <c r="B2587" t="n">
        <v>9863.98</v>
      </c>
      <c r="C2587" t="n">
        <v>5816.19</v>
      </c>
      <c r="D2587" t="n">
        <v>3285.31</v>
      </c>
      <c r="E2587" t="n">
        <v>5621.24</v>
      </c>
      <c r="F2587" t="n">
        <v>8937.83</v>
      </c>
    </row>
    <row r="2588">
      <c r="A2588" s="3" t="n">
        <v>42243</v>
      </c>
      <c r="B2588" t="n">
        <v>10125.43</v>
      </c>
      <c r="C2588" t="n">
        <v>5917.12</v>
      </c>
      <c r="D2588" t="n">
        <v>3401.95</v>
      </c>
      <c r="E2588" t="n">
        <v>5724.88</v>
      </c>
      <c r="F2588" t="n">
        <v>9186.77</v>
      </c>
    </row>
    <row r="2589">
      <c r="A2589" s="3" t="n">
        <v>42244</v>
      </c>
      <c r="B2589" t="n">
        <v>10171.8</v>
      </c>
      <c r="C2589" t="n">
        <v>5937.14</v>
      </c>
      <c r="D2589" t="n">
        <v>3399.02</v>
      </c>
      <c r="E2589" t="n">
        <v>5758.93</v>
      </c>
      <c r="F2589" t="n">
        <v>9212.719999999999</v>
      </c>
    </row>
    <row r="2590">
      <c r="A2590" s="3" t="n">
        <v>42247</v>
      </c>
      <c r="B2590" t="n">
        <v>10085.77</v>
      </c>
      <c r="C2590" t="n">
        <v>5966.52</v>
      </c>
      <c r="D2590" t="n">
        <v>3418.25</v>
      </c>
      <c r="E2590" t="n">
        <v>5751.8</v>
      </c>
      <c r="F2590" t="n">
        <v>9185.35</v>
      </c>
    </row>
    <row r="2591">
      <c r="A2591" s="3" t="n">
        <v>42248</v>
      </c>
      <c r="B2591" t="n">
        <v>9824.719999999999</v>
      </c>
      <c r="C2591" t="n">
        <v>5882.42</v>
      </c>
      <c r="D2591" t="n">
        <v>3290.39</v>
      </c>
      <c r="E2591" t="n">
        <v>5649.15</v>
      </c>
      <c r="F2591" t="n">
        <v>8999.969999999999</v>
      </c>
    </row>
    <row r="2592">
      <c r="A2592" s="3" t="n">
        <v>42249</v>
      </c>
      <c r="B2592" t="n">
        <v>9790.66</v>
      </c>
      <c r="C2592" t="n">
        <v>5867.32</v>
      </c>
      <c r="D2592" t="n">
        <v>3252.75</v>
      </c>
      <c r="E2592" t="n">
        <v>5616.63</v>
      </c>
      <c r="F2592" t="n">
        <v>9003.83</v>
      </c>
    </row>
    <row r="2593">
      <c r="A2593" s="3" t="n">
        <v>42250</v>
      </c>
      <c r="B2593" t="n">
        <v>9898.290000000001</v>
      </c>
      <c r="C2593" t="n">
        <v>5907.98</v>
      </c>
      <c r="D2593" t="n">
        <v>3306.46</v>
      </c>
      <c r="E2593" t="n">
        <v>5680.31</v>
      </c>
      <c r="F2593" t="n">
        <v>9135.25</v>
      </c>
    </row>
    <row r="2594">
      <c r="A2594" s="3" t="n">
        <v>42251</v>
      </c>
      <c r="B2594" t="n">
        <v>9653.49</v>
      </c>
      <c r="C2594" t="n">
        <v>5806.54</v>
      </c>
      <c r="D2594" t="n">
        <v>3224.39</v>
      </c>
      <c r="E2594" t="n">
        <v>5566.14</v>
      </c>
      <c r="F2594" t="n">
        <v>8913.360000000001</v>
      </c>
    </row>
    <row r="2595">
      <c r="A2595" s="3" t="n">
        <v>42254</v>
      </c>
      <c r="B2595" t="n">
        <v>9409.4</v>
      </c>
      <c r="C2595" t="n">
        <v>5697.02</v>
      </c>
      <c r="D2595" t="n">
        <v>3158.35</v>
      </c>
      <c r="E2595" t="n">
        <v>5497.16</v>
      </c>
      <c r="F2595" t="n">
        <v>8679.780000000001</v>
      </c>
    </row>
    <row r="2596">
      <c r="A2596" s="3" t="n">
        <v>42255</v>
      </c>
      <c r="B2596" t="n">
        <v>9476.6</v>
      </c>
      <c r="C2596" t="n">
        <v>5708.25</v>
      </c>
      <c r="D2596" t="n">
        <v>3195.41</v>
      </c>
      <c r="E2596" t="n">
        <v>5551.5</v>
      </c>
      <c r="F2596" t="n">
        <v>8711.360000000001</v>
      </c>
    </row>
    <row r="2597">
      <c r="A2597" s="3" t="n">
        <v>42256</v>
      </c>
      <c r="B2597" t="n">
        <v>9683.34</v>
      </c>
      <c r="C2597" t="n">
        <v>5786.91</v>
      </c>
      <c r="D2597" t="n">
        <v>3277.49</v>
      </c>
      <c r="E2597" t="n">
        <v>5646.47</v>
      </c>
      <c r="F2597" t="n">
        <v>8852.92</v>
      </c>
    </row>
    <row r="2598">
      <c r="A2598" s="3" t="n">
        <v>42257</v>
      </c>
      <c r="B2598" t="n">
        <v>9694.809999999999</v>
      </c>
      <c r="C2598" t="n">
        <v>5756.33</v>
      </c>
      <c r="D2598" t="n">
        <v>3254.47</v>
      </c>
      <c r="E2598" t="n">
        <v>5630.24</v>
      </c>
      <c r="F2598" t="n">
        <v>8821.25</v>
      </c>
    </row>
    <row r="2599">
      <c r="A2599" s="3" t="n">
        <v>42258</v>
      </c>
      <c r="B2599" t="n">
        <v>9793.709999999999</v>
      </c>
      <c r="C2599" t="n">
        <v>5770.45</v>
      </c>
      <c r="D2599" t="n">
        <v>3258.17</v>
      </c>
      <c r="E2599" t="n">
        <v>5636.2</v>
      </c>
      <c r="F2599" t="n">
        <v>8882.6</v>
      </c>
    </row>
    <row r="2600">
      <c r="A2600" s="3" t="n">
        <v>42261</v>
      </c>
      <c r="B2600" t="n">
        <v>9863.559999999999</v>
      </c>
      <c r="C2600" t="n">
        <v>5830.27</v>
      </c>
      <c r="D2600" t="n">
        <v>3322.12</v>
      </c>
      <c r="E2600" t="n">
        <v>5691.66</v>
      </c>
      <c r="F2600" t="n">
        <v>8941.35</v>
      </c>
    </row>
    <row r="2601">
      <c r="A2601" s="3" t="n">
        <v>42262</v>
      </c>
      <c r="B2601" t="n">
        <v>9785.83</v>
      </c>
      <c r="C2601" t="n">
        <v>5829.57</v>
      </c>
      <c r="D2601" t="n">
        <v>3268.87</v>
      </c>
      <c r="E2601" t="n">
        <v>5681.56</v>
      </c>
      <c r="F2601" t="n">
        <v>8915.790000000001</v>
      </c>
    </row>
    <row r="2602">
      <c r="A2602" s="3" t="n">
        <v>42263</v>
      </c>
      <c r="B2602" t="n">
        <v>9688.35</v>
      </c>
      <c r="C2602" t="n">
        <v>5843.31</v>
      </c>
      <c r="D2602" t="n">
        <v>3231.68</v>
      </c>
      <c r="E2602" t="n">
        <v>5723.59</v>
      </c>
      <c r="F2602" t="n">
        <v>8833.99</v>
      </c>
    </row>
    <row r="2603">
      <c r="A2603" s="3" t="n">
        <v>42265</v>
      </c>
      <c r="B2603" t="n">
        <v>9739.200000000001</v>
      </c>
      <c r="C2603" t="n">
        <v>5890.66</v>
      </c>
      <c r="D2603" t="n">
        <v>3289.87</v>
      </c>
      <c r="E2603" t="n">
        <v>5782.67</v>
      </c>
      <c r="F2603" t="n">
        <v>8854.9</v>
      </c>
    </row>
    <row r="2604">
      <c r="A2604" s="3" t="n">
        <v>42268</v>
      </c>
      <c r="B2604" t="n">
        <v>9790.83</v>
      </c>
      <c r="C2604" t="n">
        <v>5897.23</v>
      </c>
      <c r="D2604" t="n">
        <v>3354.22</v>
      </c>
      <c r="E2604" t="n">
        <v>5781.64</v>
      </c>
      <c r="F2604" t="n">
        <v>8898.91</v>
      </c>
    </row>
    <row r="2605">
      <c r="A2605" s="3" t="n">
        <v>42269</v>
      </c>
      <c r="B2605" t="n">
        <v>9692.639999999999</v>
      </c>
      <c r="C2605" t="n">
        <v>5829.4</v>
      </c>
      <c r="D2605" t="n">
        <v>3305.98</v>
      </c>
      <c r="E2605" t="n">
        <v>5695.15</v>
      </c>
      <c r="F2605" t="n">
        <v>8836.1</v>
      </c>
    </row>
    <row r="2606">
      <c r="A2606" s="3" t="n">
        <v>42270</v>
      </c>
      <c r="B2606" t="n">
        <v>9776.4</v>
      </c>
      <c r="C2606" t="n">
        <v>5826.19</v>
      </c>
      <c r="D2606" t="n">
        <v>3367.52</v>
      </c>
      <c r="E2606" t="n">
        <v>5702.03</v>
      </c>
      <c r="F2606" t="n">
        <v>8907.870000000001</v>
      </c>
    </row>
    <row r="2607">
      <c r="A2607" s="3" t="n">
        <v>42271</v>
      </c>
      <c r="B2607" t="n">
        <v>9794.93</v>
      </c>
      <c r="C2607" t="n">
        <v>5880.54</v>
      </c>
      <c r="D2607" t="n">
        <v>3381.57</v>
      </c>
      <c r="E2607" t="n">
        <v>5741.92</v>
      </c>
      <c r="F2607" t="n">
        <v>8954.23</v>
      </c>
    </row>
    <row r="2608">
      <c r="A2608" s="3" t="n">
        <v>42275</v>
      </c>
      <c r="B2608" t="n">
        <v>9855.15</v>
      </c>
      <c r="C2608" t="n">
        <v>5862.92</v>
      </c>
      <c r="D2608" t="n">
        <v>3363.04</v>
      </c>
      <c r="E2608" t="n">
        <v>5709.73</v>
      </c>
      <c r="F2608" t="n">
        <v>8971.51</v>
      </c>
    </row>
    <row r="2609">
      <c r="A2609" s="3" t="n">
        <v>42276</v>
      </c>
      <c r="B2609" t="n">
        <v>9846</v>
      </c>
      <c r="C2609" t="n">
        <v>5861.16</v>
      </c>
      <c r="D2609" t="n">
        <v>3332.03</v>
      </c>
      <c r="E2609" t="n">
        <v>5730.56</v>
      </c>
      <c r="F2609" t="n">
        <v>8983.719999999999</v>
      </c>
    </row>
    <row r="2610">
      <c r="A2610" s="3" t="n">
        <v>42277</v>
      </c>
      <c r="B2610" t="n">
        <v>10072.91</v>
      </c>
      <c r="C2610" t="n">
        <v>5975.3</v>
      </c>
      <c r="D2610" t="n">
        <v>3373.5</v>
      </c>
      <c r="E2610" t="n">
        <v>5811.73</v>
      </c>
      <c r="F2610" t="n">
        <v>9153.48</v>
      </c>
    </row>
    <row r="2611">
      <c r="A2611" s="3" t="n">
        <v>42278</v>
      </c>
      <c r="B2611" t="n">
        <v>10112.18</v>
      </c>
      <c r="C2611" t="n">
        <v>5985.02</v>
      </c>
      <c r="D2611" t="n">
        <v>3365.31</v>
      </c>
      <c r="E2611" t="n">
        <v>5834.23</v>
      </c>
      <c r="F2611" t="n">
        <v>9222.200000000001</v>
      </c>
    </row>
    <row r="2612">
      <c r="A2612" s="3" t="n">
        <v>42282</v>
      </c>
      <c r="B2612" t="n">
        <v>10272.81</v>
      </c>
      <c r="C2612" t="n">
        <v>6055.9</v>
      </c>
      <c r="D2612" t="n">
        <v>3451.96</v>
      </c>
      <c r="E2612" t="n">
        <v>5915.36</v>
      </c>
      <c r="F2612" t="n">
        <v>9394.74</v>
      </c>
    </row>
    <row r="2613">
      <c r="A2613" s="3" t="n">
        <v>42283</v>
      </c>
      <c r="B2613" t="n">
        <v>10397.44</v>
      </c>
      <c r="C2613" t="n">
        <v>6085.45</v>
      </c>
      <c r="D2613" t="n">
        <v>3482.35</v>
      </c>
      <c r="E2613" t="n">
        <v>5930.44</v>
      </c>
      <c r="F2613" t="n">
        <v>9471.440000000001</v>
      </c>
    </row>
    <row r="2614">
      <c r="A2614" s="3" t="n">
        <v>42284</v>
      </c>
      <c r="B2614" t="n">
        <v>10340.82</v>
      </c>
      <c r="C2614" t="n">
        <v>6054.02</v>
      </c>
      <c r="D2614" t="n">
        <v>3538.44</v>
      </c>
      <c r="E2614" t="n">
        <v>5935.31</v>
      </c>
      <c r="F2614" t="n">
        <v>9459.01</v>
      </c>
    </row>
    <row r="2615">
      <c r="A2615" s="3" t="n">
        <v>42285</v>
      </c>
      <c r="B2615" t="n">
        <v>10246.06</v>
      </c>
      <c r="C2615" t="n">
        <v>6018.57</v>
      </c>
      <c r="D2615" t="n">
        <v>3537.48</v>
      </c>
      <c r="E2615" t="n">
        <v>5897.91</v>
      </c>
      <c r="F2615" t="n">
        <v>9391.549999999999</v>
      </c>
    </row>
    <row r="2616">
      <c r="A2616" s="3" t="n">
        <v>42286</v>
      </c>
      <c r="B2616" t="n">
        <v>10219.76</v>
      </c>
      <c r="C2616" t="n">
        <v>6037.3</v>
      </c>
      <c r="D2616" t="n">
        <v>3565.74</v>
      </c>
      <c r="E2616" t="n">
        <v>5925.91</v>
      </c>
      <c r="F2616" t="n">
        <v>9371.549999999999</v>
      </c>
    </row>
    <row r="2617">
      <c r="A2617" s="3" t="n">
        <v>42289</v>
      </c>
      <c r="B2617" t="n">
        <v>10204.56</v>
      </c>
      <c r="C2617" t="n">
        <v>6004.23</v>
      </c>
      <c r="D2617" t="n">
        <v>3595.61</v>
      </c>
      <c r="E2617" t="n">
        <v>5890.69</v>
      </c>
      <c r="F2617" t="n">
        <v>9341.799999999999</v>
      </c>
    </row>
    <row r="2618">
      <c r="A2618" s="3" t="n">
        <v>42290</v>
      </c>
      <c r="B2618" t="n">
        <v>10156.15</v>
      </c>
      <c r="C2618" t="n">
        <v>6000.19</v>
      </c>
      <c r="D2618" t="n">
        <v>3600.05</v>
      </c>
      <c r="E2618" t="n">
        <v>5891.49</v>
      </c>
      <c r="F2618" t="n">
        <v>9333.35</v>
      </c>
    </row>
    <row r="2619">
      <c r="A2619" s="3" t="n">
        <v>42291</v>
      </c>
      <c r="B2619" t="n">
        <v>10231.19</v>
      </c>
      <c r="C2619" t="n">
        <v>5980.62</v>
      </c>
      <c r="D2619" t="n">
        <v>3593.57</v>
      </c>
      <c r="E2619" t="n">
        <v>5868.18</v>
      </c>
      <c r="F2619" t="n">
        <v>9399.629999999999</v>
      </c>
    </row>
    <row r="2620">
      <c r="A2620" s="3" t="n">
        <v>42292</v>
      </c>
      <c r="B2620" t="n">
        <v>10200.86</v>
      </c>
      <c r="C2620" t="n">
        <v>6000.98</v>
      </c>
      <c r="D2620" t="n">
        <v>3636.94</v>
      </c>
      <c r="E2620" t="n">
        <v>5896.36</v>
      </c>
      <c r="F2620" t="n">
        <v>9416.07</v>
      </c>
    </row>
    <row r="2621">
      <c r="A2621" s="3" t="n">
        <v>42293</v>
      </c>
      <c r="B2621" t="n">
        <v>10225.32</v>
      </c>
      <c r="C2621" t="n">
        <v>6014.67</v>
      </c>
      <c r="D2621" t="n">
        <v>3652.33</v>
      </c>
      <c r="E2621" t="n">
        <v>5934.22</v>
      </c>
      <c r="F2621" t="n">
        <v>9434.280000000001</v>
      </c>
    </row>
    <row r="2622">
      <c r="A2622" s="3" t="n">
        <v>42296</v>
      </c>
      <c r="B2622" t="n">
        <v>10325.88</v>
      </c>
      <c r="C2622" t="n">
        <v>6062.54</v>
      </c>
      <c r="D2622" t="n">
        <v>3664.97</v>
      </c>
      <c r="E2622" t="n">
        <v>5975.52</v>
      </c>
      <c r="F2622" t="n">
        <v>9517.23</v>
      </c>
    </row>
    <row r="2623">
      <c r="A2623" s="3" t="n">
        <v>42297</v>
      </c>
      <c r="B2623" t="n">
        <v>10343.94</v>
      </c>
      <c r="C2623" t="n">
        <v>6062.79</v>
      </c>
      <c r="D2623" t="n">
        <v>3632.44</v>
      </c>
      <c r="E2623" t="n">
        <v>5963.9</v>
      </c>
      <c r="F2623" t="n">
        <v>9565.620000000001</v>
      </c>
    </row>
    <row r="2624">
      <c r="A2624" s="3" t="n">
        <v>42298</v>
      </c>
      <c r="B2624" t="n">
        <v>10347.13</v>
      </c>
      <c r="C2624" t="n">
        <v>6060.91</v>
      </c>
      <c r="D2624" t="n">
        <v>3624.62</v>
      </c>
      <c r="E2624" t="n">
        <v>5966.31</v>
      </c>
      <c r="F2624" t="n">
        <v>9550.540000000001</v>
      </c>
    </row>
    <row r="2625">
      <c r="A2625" s="3" t="n">
        <v>42300</v>
      </c>
      <c r="B2625" t="n">
        <v>10326.18</v>
      </c>
      <c r="C2625" t="n">
        <v>6067.55</v>
      </c>
      <c r="D2625" t="n">
        <v>3624.22</v>
      </c>
      <c r="E2625" t="n">
        <v>5971.59</v>
      </c>
      <c r="F2625" t="n">
        <v>9496.42</v>
      </c>
    </row>
    <row r="2626">
      <c r="A2626" s="3" t="n">
        <v>42303</v>
      </c>
      <c r="B2626" t="n">
        <v>10240.07</v>
      </c>
      <c r="C2626" t="n">
        <v>6051.33</v>
      </c>
      <c r="D2626" t="n">
        <v>3598.19</v>
      </c>
      <c r="E2626" t="n">
        <v>5952.76</v>
      </c>
      <c r="F2626" t="n">
        <v>9463.309999999999</v>
      </c>
    </row>
    <row r="2627">
      <c r="A2627" s="3" t="n">
        <v>42304</v>
      </c>
      <c r="B2627" t="n">
        <v>10233.7</v>
      </c>
      <c r="C2627" t="n">
        <v>6053.49</v>
      </c>
      <c r="D2627" t="n">
        <v>3596.8</v>
      </c>
      <c r="E2627" t="n">
        <v>5937.88</v>
      </c>
      <c r="F2627" t="n">
        <v>9444.280000000001</v>
      </c>
    </row>
    <row r="2628">
      <c r="A2628" s="3" t="n">
        <v>42305</v>
      </c>
      <c r="B2628" t="n">
        <v>10204.6</v>
      </c>
      <c r="C2628" t="n">
        <v>6048.75</v>
      </c>
      <c r="D2628" t="n">
        <v>3585.38</v>
      </c>
      <c r="E2628" t="n">
        <v>5924.05</v>
      </c>
      <c r="F2628" t="n">
        <v>9422.84</v>
      </c>
    </row>
    <row r="2629">
      <c r="A2629" s="3" t="n">
        <v>42306</v>
      </c>
      <c r="B2629" t="n">
        <v>10174.81</v>
      </c>
      <c r="C2629" t="n">
        <v>6028.94</v>
      </c>
      <c r="D2629" t="n">
        <v>3556.45</v>
      </c>
      <c r="E2629" t="n">
        <v>5904.04</v>
      </c>
      <c r="F2629" t="n">
        <v>9396.879999999999</v>
      </c>
    </row>
    <row r="2630">
      <c r="A2630" s="3" t="n">
        <v>42307</v>
      </c>
      <c r="B2630" t="n">
        <v>10169.37</v>
      </c>
      <c r="C2630" t="n">
        <v>6003.98</v>
      </c>
      <c r="D2630" t="n">
        <v>3540.36</v>
      </c>
      <c r="E2630" t="n">
        <v>5872.04</v>
      </c>
      <c r="F2630" t="n">
        <v>9341.23</v>
      </c>
    </row>
    <row r="2631">
      <c r="A2631" s="3" t="n">
        <v>42310</v>
      </c>
      <c r="B2631" t="n">
        <v>10156.26</v>
      </c>
      <c r="C2631" t="n">
        <v>5986.48</v>
      </c>
      <c r="D2631" t="n">
        <v>3510.22</v>
      </c>
      <c r="E2631" t="n">
        <v>5873.3</v>
      </c>
      <c r="F2631" t="n">
        <v>9316.99</v>
      </c>
    </row>
    <row r="2632">
      <c r="A2632" s="3" t="n">
        <v>42311</v>
      </c>
      <c r="B2632" t="n">
        <v>10215.64</v>
      </c>
      <c r="C2632" t="n">
        <v>6002.01</v>
      </c>
      <c r="D2632" t="n">
        <v>3532.71</v>
      </c>
      <c r="E2632" t="n">
        <v>5886.72</v>
      </c>
      <c r="F2632" t="n">
        <v>9326.200000000001</v>
      </c>
    </row>
    <row r="2633">
      <c r="A2633" s="3" t="n">
        <v>42312</v>
      </c>
      <c r="B2633" t="n">
        <v>10175.3</v>
      </c>
      <c r="C2633" t="n">
        <v>5991.48</v>
      </c>
      <c r="D2633" t="n">
        <v>3537.88</v>
      </c>
      <c r="E2633" t="n">
        <v>5862.23</v>
      </c>
      <c r="F2633" t="n">
        <v>9292.870000000001</v>
      </c>
    </row>
    <row r="2634">
      <c r="A2634" s="3" t="n">
        <v>42313</v>
      </c>
      <c r="B2634" t="n">
        <v>10011.64</v>
      </c>
      <c r="C2634" t="n">
        <v>5945.97</v>
      </c>
      <c r="D2634" t="n">
        <v>3480.51</v>
      </c>
      <c r="E2634" t="n">
        <v>5807.31</v>
      </c>
      <c r="F2634" t="n">
        <v>9118.52</v>
      </c>
    </row>
    <row r="2635">
      <c r="A2635" s="3" t="n">
        <v>42314</v>
      </c>
      <c r="B2635" t="n">
        <v>9866.700000000001</v>
      </c>
      <c r="C2635" t="n">
        <v>5892.59</v>
      </c>
      <c r="D2635" t="n">
        <v>3439.99</v>
      </c>
      <c r="E2635" t="n">
        <v>5784.75</v>
      </c>
      <c r="F2635" t="n">
        <v>9090.59</v>
      </c>
    </row>
    <row r="2636">
      <c r="A2636" s="3" t="n">
        <v>42317</v>
      </c>
      <c r="B2636" t="n">
        <v>9919.48</v>
      </c>
      <c r="C2636" t="n">
        <v>5899.31</v>
      </c>
      <c r="D2636" t="n">
        <v>3443.07</v>
      </c>
      <c r="E2636" t="n">
        <v>5774.59</v>
      </c>
      <c r="F2636" t="n">
        <v>9200.459999999999</v>
      </c>
    </row>
    <row r="2637">
      <c r="A2637" s="3" t="n">
        <v>42318</v>
      </c>
      <c r="B2637" t="n">
        <v>9773.48</v>
      </c>
      <c r="C2637" t="n">
        <v>5815.5</v>
      </c>
      <c r="D2637" t="n">
        <v>3367.44</v>
      </c>
      <c r="E2637" t="n">
        <v>5698.37</v>
      </c>
      <c r="F2637" t="n">
        <v>9078.75</v>
      </c>
    </row>
    <row r="2638">
      <c r="A2638" s="3" t="n">
        <v>42319</v>
      </c>
      <c r="B2638" t="n">
        <v>9866.530000000001</v>
      </c>
      <c r="C2638" t="n">
        <v>5850.61</v>
      </c>
      <c r="D2638" t="n">
        <v>3410.06</v>
      </c>
      <c r="E2638" t="n">
        <v>5729.71</v>
      </c>
      <c r="F2638" t="n">
        <v>9158.08</v>
      </c>
    </row>
    <row r="2639">
      <c r="A2639" s="3" t="n">
        <v>42321</v>
      </c>
      <c r="B2639" t="n">
        <v>9731.280000000001</v>
      </c>
      <c r="C2639" t="n">
        <v>5789.1</v>
      </c>
      <c r="D2639" t="n">
        <v>3389.81</v>
      </c>
      <c r="E2639" t="n">
        <v>5671.69</v>
      </c>
      <c r="F2639" t="n">
        <v>9029.85</v>
      </c>
    </row>
    <row r="2640">
      <c r="A2640" s="3" t="n">
        <v>42324</v>
      </c>
      <c r="B2640" t="n">
        <v>9722.42</v>
      </c>
      <c r="C2640" t="n">
        <v>5787.33</v>
      </c>
      <c r="D2640" t="n">
        <v>3439.07</v>
      </c>
      <c r="E2640" t="n">
        <v>5701.01</v>
      </c>
      <c r="F2640" t="n">
        <v>9016.799999999999</v>
      </c>
    </row>
    <row r="2641">
      <c r="A2641" s="3" t="n">
        <v>42325</v>
      </c>
      <c r="B2641" t="n">
        <v>9723.93</v>
      </c>
      <c r="C2641" t="n">
        <v>5821.55</v>
      </c>
      <c r="D2641" t="n">
        <v>3466.47</v>
      </c>
      <c r="E2641" t="n">
        <v>5718.59</v>
      </c>
      <c r="F2641" t="n">
        <v>9072.51</v>
      </c>
    </row>
    <row r="2642">
      <c r="A2642" s="3" t="n">
        <v>42326</v>
      </c>
      <c r="B2642" t="n">
        <v>9679.620000000001</v>
      </c>
      <c r="C2642" t="n">
        <v>5784.43</v>
      </c>
      <c r="D2642" t="n">
        <v>3400.22</v>
      </c>
      <c r="E2642" t="n">
        <v>5661.27</v>
      </c>
      <c r="F2642" t="n">
        <v>9007.309999999999</v>
      </c>
    </row>
    <row r="2643">
      <c r="A2643" s="3" t="n">
        <v>42327</v>
      </c>
      <c r="B2643" t="n">
        <v>9798.290000000001</v>
      </c>
      <c r="C2643" t="n">
        <v>5850.76</v>
      </c>
      <c r="D2643" t="n">
        <v>3449.39</v>
      </c>
      <c r="E2643" t="n">
        <v>5736.89</v>
      </c>
      <c r="F2643" t="n">
        <v>9125.75</v>
      </c>
    </row>
    <row r="2644">
      <c r="A2644" s="3" t="n">
        <v>42328</v>
      </c>
      <c r="B2644" t="n">
        <v>9886.780000000001</v>
      </c>
      <c r="C2644" t="n">
        <v>5881.49</v>
      </c>
      <c r="D2644" t="n">
        <v>3458.21</v>
      </c>
      <c r="E2644" t="n">
        <v>5769.02</v>
      </c>
      <c r="F2644" t="n">
        <v>9187.309999999999</v>
      </c>
    </row>
    <row r="2645">
      <c r="A2645" s="3" t="n">
        <v>42331</v>
      </c>
      <c r="B2645" t="n">
        <v>9979.719999999999</v>
      </c>
      <c r="C2645" t="n">
        <v>5906.68</v>
      </c>
      <c r="D2645" t="n">
        <v>3436.27</v>
      </c>
      <c r="E2645" t="n">
        <v>5776.18</v>
      </c>
      <c r="F2645" t="n">
        <v>9232.639999999999</v>
      </c>
    </row>
    <row r="2646">
      <c r="A2646" s="3" t="n">
        <v>42332</v>
      </c>
      <c r="B2646" t="n">
        <v>9987.01</v>
      </c>
      <c r="C2646" t="n">
        <v>5900.73</v>
      </c>
      <c r="D2646" t="n">
        <v>3442.37</v>
      </c>
      <c r="E2646" t="n">
        <v>5764.34</v>
      </c>
      <c r="F2646" t="n">
        <v>9255.809999999999</v>
      </c>
    </row>
    <row r="2647">
      <c r="A2647" s="3" t="n">
        <v>42334</v>
      </c>
      <c r="B2647" t="n">
        <v>9912.59</v>
      </c>
      <c r="C2647" t="n">
        <v>5895.25</v>
      </c>
      <c r="D2647" t="n">
        <v>3459.45</v>
      </c>
      <c r="E2647" t="n">
        <v>5775.31</v>
      </c>
      <c r="F2647" t="n">
        <v>9235.139999999999</v>
      </c>
    </row>
    <row r="2648">
      <c r="A2648" s="3" t="n">
        <v>42335</v>
      </c>
      <c r="B2648" t="n">
        <v>9969.02</v>
      </c>
      <c r="C2648" t="n">
        <v>5913.31</v>
      </c>
      <c r="D2648" t="n">
        <v>3493.38</v>
      </c>
      <c r="E2648" t="n">
        <v>5797.69</v>
      </c>
      <c r="F2648" t="n">
        <v>9278.51</v>
      </c>
    </row>
    <row r="2649">
      <c r="A2649" s="3" t="n">
        <v>42338</v>
      </c>
      <c r="B2649" t="n">
        <v>10011.36</v>
      </c>
      <c r="C2649" t="n">
        <v>5907.75</v>
      </c>
      <c r="D2649" t="n">
        <v>3514.35</v>
      </c>
      <c r="E2649" t="n">
        <v>5789.01</v>
      </c>
      <c r="F2649" t="n">
        <v>9333.620000000001</v>
      </c>
    </row>
    <row r="2650">
      <c r="A2650" s="3" t="n">
        <v>42339</v>
      </c>
      <c r="B2650" t="n">
        <v>10080.49</v>
      </c>
      <c r="C2650" t="n">
        <v>5957.97</v>
      </c>
      <c r="D2650" t="n">
        <v>3561.37</v>
      </c>
      <c r="E2650" t="n">
        <v>5815.7</v>
      </c>
      <c r="F2650" t="n">
        <v>9426.83</v>
      </c>
    </row>
    <row r="2651">
      <c r="A2651" s="3" t="n">
        <v>42340</v>
      </c>
      <c r="B2651" t="n">
        <v>10072.28</v>
      </c>
      <c r="C2651" t="n">
        <v>5955.05</v>
      </c>
      <c r="D2651" t="n">
        <v>3552.55</v>
      </c>
      <c r="E2651" t="n">
        <v>5821.08</v>
      </c>
      <c r="F2651" t="n">
        <v>9411.110000000001</v>
      </c>
    </row>
    <row r="2652">
      <c r="A2652" s="3" t="n">
        <v>42341</v>
      </c>
      <c r="B2652" t="n">
        <v>9991.870000000001</v>
      </c>
      <c r="C2652" t="n">
        <v>5902.83</v>
      </c>
      <c r="D2652" t="n">
        <v>3524.46</v>
      </c>
      <c r="E2652" t="n">
        <v>5770.96</v>
      </c>
      <c r="F2652" t="n">
        <v>9342.969999999999</v>
      </c>
    </row>
    <row r="2653">
      <c r="A2653" s="3" t="n">
        <v>42342</v>
      </c>
      <c r="B2653" t="n">
        <v>9921.459999999999</v>
      </c>
      <c r="C2653" t="n">
        <v>5858.85</v>
      </c>
      <c r="D2653" t="n">
        <v>3493.56</v>
      </c>
      <c r="E2653" t="n">
        <v>5718.39</v>
      </c>
      <c r="F2653" t="n">
        <v>9280.059999999999</v>
      </c>
    </row>
    <row r="2654">
      <c r="A2654" s="3" t="n">
        <v>42345</v>
      </c>
      <c r="B2654" t="n">
        <v>9902.139999999999</v>
      </c>
      <c r="C2654" t="n">
        <v>5850.72</v>
      </c>
      <c r="D2654" t="n">
        <v>3487.03</v>
      </c>
      <c r="E2654" t="n">
        <v>5718.22</v>
      </c>
      <c r="F2654" t="n">
        <v>9260.040000000001</v>
      </c>
    </row>
    <row r="2655">
      <c r="A2655" s="3" t="n">
        <v>42346</v>
      </c>
      <c r="B2655" t="n">
        <v>9803.52</v>
      </c>
      <c r="C2655" t="n">
        <v>5803.09</v>
      </c>
      <c r="D2655" t="n">
        <v>3400.7</v>
      </c>
      <c r="E2655" t="n">
        <v>5676.25</v>
      </c>
      <c r="F2655" t="n">
        <v>9170.389999999999</v>
      </c>
    </row>
    <row r="2656">
      <c r="A2656" s="3" t="n">
        <v>42347</v>
      </c>
      <c r="B2656" t="n">
        <v>9593.209999999999</v>
      </c>
      <c r="C2656" t="n">
        <v>5718.76</v>
      </c>
      <c r="D2656" t="n">
        <v>3329.73</v>
      </c>
      <c r="E2656" t="n">
        <v>5604.96</v>
      </c>
      <c r="F2656" t="n">
        <v>8960.85</v>
      </c>
    </row>
    <row r="2657">
      <c r="A2657" s="3" t="n">
        <v>42348</v>
      </c>
      <c r="B2657" t="n">
        <v>9688.4</v>
      </c>
      <c r="C2657" t="n">
        <v>5764.06</v>
      </c>
      <c r="D2657" t="n">
        <v>3359.64</v>
      </c>
      <c r="E2657" t="n">
        <v>5654.52</v>
      </c>
      <c r="F2657" t="n">
        <v>9071.76</v>
      </c>
    </row>
    <row r="2658">
      <c r="A2658" s="3" t="n">
        <v>42349</v>
      </c>
      <c r="B2658" t="n">
        <v>9624.27</v>
      </c>
      <c r="C2658" t="n">
        <v>5739.78</v>
      </c>
      <c r="D2658" t="n">
        <v>3330.09</v>
      </c>
      <c r="E2658" t="n">
        <v>5622.95</v>
      </c>
      <c r="F2658" t="n">
        <v>9002.84</v>
      </c>
    </row>
    <row r="2659">
      <c r="A2659" s="3" t="n">
        <v>42352</v>
      </c>
      <c r="B2659" t="n">
        <v>9643.75</v>
      </c>
      <c r="C2659" t="n">
        <v>5789.62</v>
      </c>
      <c r="D2659" t="n">
        <v>3338.08</v>
      </c>
      <c r="E2659" t="n">
        <v>5658.51</v>
      </c>
      <c r="F2659" t="n">
        <v>9037.76</v>
      </c>
    </row>
    <row r="2660">
      <c r="A2660" s="3" t="n">
        <v>42353</v>
      </c>
      <c r="B2660" t="n">
        <v>9719.639999999999</v>
      </c>
      <c r="C2660" t="n">
        <v>5823.77</v>
      </c>
      <c r="D2660" t="n">
        <v>3346.66</v>
      </c>
      <c r="E2660" t="n">
        <v>5693.66</v>
      </c>
      <c r="F2660" t="n">
        <v>9104.530000000001</v>
      </c>
    </row>
    <row r="2661">
      <c r="A2661" s="3" t="n">
        <v>42354</v>
      </c>
      <c r="B2661" t="n">
        <v>9756.459999999999</v>
      </c>
      <c r="C2661" t="n">
        <v>5835.05</v>
      </c>
      <c r="D2661" t="n">
        <v>3367.11</v>
      </c>
      <c r="E2661" t="n">
        <v>5711.9</v>
      </c>
      <c r="F2661" t="n">
        <v>9121.77</v>
      </c>
    </row>
    <row r="2662">
      <c r="A2662" s="3" t="n">
        <v>42355</v>
      </c>
      <c r="B2662" t="n">
        <v>9946.299999999999</v>
      </c>
      <c r="C2662" t="n">
        <v>5926.81</v>
      </c>
      <c r="D2662" t="n">
        <v>3443.46</v>
      </c>
      <c r="E2662" t="n">
        <v>5788.43</v>
      </c>
      <c r="F2662" t="n">
        <v>9323.139999999999</v>
      </c>
    </row>
    <row r="2663">
      <c r="A2663" s="3" t="n">
        <v>42356</v>
      </c>
      <c r="B2663" t="n">
        <v>9930.17</v>
      </c>
      <c r="C2663" t="n">
        <v>5889.45</v>
      </c>
      <c r="D2663" t="n">
        <v>3429.73</v>
      </c>
      <c r="E2663" t="n">
        <v>5736.83</v>
      </c>
      <c r="F2663" t="n">
        <v>9304.389999999999</v>
      </c>
    </row>
    <row r="2664">
      <c r="A2664" s="3" t="n">
        <v>42359</v>
      </c>
      <c r="B2664" t="n">
        <v>9993.08</v>
      </c>
      <c r="C2664" t="n">
        <v>5920.53</v>
      </c>
      <c r="D2664" t="n">
        <v>3474.2</v>
      </c>
      <c r="E2664" t="n">
        <v>5791.04</v>
      </c>
      <c r="F2664" t="n">
        <v>9373.17</v>
      </c>
    </row>
    <row r="2665">
      <c r="A2665" s="3" t="n">
        <v>42360</v>
      </c>
      <c r="B2665" t="n">
        <v>9989.549999999999</v>
      </c>
      <c r="C2665" t="n">
        <v>5884.52</v>
      </c>
      <c r="D2665" t="n">
        <v>3445.1</v>
      </c>
      <c r="E2665" t="n">
        <v>5755.15</v>
      </c>
      <c r="F2665" t="n">
        <v>9374.23</v>
      </c>
    </row>
    <row r="2666">
      <c r="A2666" s="3" t="n">
        <v>42361</v>
      </c>
      <c r="B2666" t="n">
        <v>10055.24</v>
      </c>
      <c r="C2666" t="n">
        <v>5928.86</v>
      </c>
      <c r="D2666" t="n">
        <v>3478.18</v>
      </c>
      <c r="E2666" t="n">
        <v>5795.86</v>
      </c>
      <c r="F2666" t="n">
        <v>9433.77</v>
      </c>
    </row>
    <row r="2667">
      <c r="A2667" s="3" t="n">
        <v>42362</v>
      </c>
      <c r="B2667" t="n">
        <v>10053.09</v>
      </c>
      <c r="C2667" t="n">
        <v>5939.47</v>
      </c>
      <c r="D2667" t="n">
        <v>3498.11</v>
      </c>
      <c r="E2667" t="n">
        <v>5797.99</v>
      </c>
      <c r="F2667" t="n">
        <v>9446.83</v>
      </c>
    </row>
    <row r="2668">
      <c r="A2668" s="3" t="n">
        <v>42366</v>
      </c>
      <c r="B2668" t="n">
        <v>10089.61</v>
      </c>
      <c r="C2668" t="n">
        <v>5969.23</v>
      </c>
      <c r="D2668" t="n">
        <v>3493.99</v>
      </c>
      <c r="E2668" t="n">
        <v>5836.14</v>
      </c>
      <c r="F2668" t="n">
        <v>9466.65</v>
      </c>
    </row>
    <row r="2669">
      <c r="A2669" s="3" t="n">
        <v>42367</v>
      </c>
      <c r="B2669" t="n">
        <v>10144.01</v>
      </c>
      <c r="C2669" t="n">
        <v>5967.09</v>
      </c>
      <c r="D2669" t="n">
        <v>3486.81</v>
      </c>
      <c r="E2669" t="n">
        <v>5843.02</v>
      </c>
      <c r="F2669" t="n">
        <v>9500.139999999999</v>
      </c>
    </row>
    <row r="2670">
      <c r="A2670" s="3" t="n">
        <v>42368</v>
      </c>
      <c r="B2670" t="n">
        <v>10120.83</v>
      </c>
      <c r="C2670" t="n">
        <v>5942.67</v>
      </c>
      <c r="D2670" t="n">
        <v>3480.84</v>
      </c>
      <c r="E2670" t="n">
        <v>5824.1</v>
      </c>
      <c r="F2670" t="n">
        <v>9497.059999999999</v>
      </c>
    </row>
    <row r="2671">
      <c r="A2671" s="3" t="n">
        <v>42369</v>
      </c>
      <c r="B2671" t="n">
        <v>10132.96</v>
      </c>
      <c r="C2671" t="n">
        <v>5971.81</v>
      </c>
      <c r="D2671" t="n">
        <v>3496.94</v>
      </c>
      <c r="E2671" t="n">
        <v>5854.1</v>
      </c>
      <c r="F2671" t="n">
        <v>9502.57</v>
      </c>
    </row>
    <row r="2672">
      <c r="A2672" s="3" t="n">
        <v>42370</v>
      </c>
      <c r="B2672" t="n">
        <v>10205.31</v>
      </c>
      <c r="C2672" t="n">
        <v>5985.82</v>
      </c>
      <c r="D2672" t="n">
        <v>3547.23</v>
      </c>
      <c r="E2672" t="n">
        <v>5860.16</v>
      </c>
      <c r="F2672" t="n">
        <v>9568.620000000001</v>
      </c>
    </row>
    <row r="2673">
      <c r="A2673" s="3" t="n">
        <v>42373</v>
      </c>
      <c r="B2673" t="n">
        <v>10114.01</v>
      </c>
      <c r="C2673" t="n">
        <v>5919.75</v>
      </c>
      <c r="D2673" t="n">
        <v>3492.23</v>
      </c>
      <c r="E2673" t="n">
        <v>5766.3</v>
      </c>
      <c r="F2673" t="n">
        <v>9477.799999999999</v>
      </c>
    </row>
    <row r="2674">
      <c r="A2674" s="3" t="n">
        <v>42374</v>
      </c>
      <c r="B2674" t="n">
        <v>10171.99</v>
      </c>
      <c r="C2674" t="n">
        <v>5934.81</v>
      </c>
      <c r="D2674" t="n">
        <v>3554.45</v>
      </c>
      <c r="E2674" t="n">
        <v>5768.76</v>
      </c>
      <c r="F2674" t="n">
        <v>9511.32</v>
      </c>
    </row>
    <row r="2675">
      <c r="A2675" s="3" t="n">
        <v>42375</v>
      </c>
      <c r="B2675" t="n">
        <v>10185.58</v>
      </c>
      <c r="C2675" t="n">
        <v>5901.55</v>
      </c>
      <c r="D2675" t="n">
        <v>3528.52</v>
      </c>
      <c r="E2675" t="n">
        <v>5736.52</v>
      </c>
      <c r="F2675" t="n">
        <v>9494.620000000001</v>
      </c>
    </row>
    <row r="2676">
      <c r="A2676" s="3" t="n">
        <v>42376</v>
      </c>
      <c r="B2676" t="n">
        <v>9958.75</v>
      </c>
      <c r="C2676" t="n">
        <v>5784.83</v>
      </c>
      <c r="D2676" t="n">
        <v>3367.97</v>
      </c>
      <c r="E2676" t="n">
        <v>5616.86</v>
      </c>
      <c r="F2676" t="n">
        <v>9267.82</v>
      </c>
    </row>
    <row r="2677">
      <c r="A2677" s="3" t="n">
        <v>42377</v>
      </c>
      <c r="B2677" t="n">
        <v>10010.66</v>
      </c>
      <c r="C2677" t="n">
        <v>5811.38</v>
      </c>
      <c r="D2677" t="n">
        <v>3414.3</v>
      </c>
      <c r="E2677" t="n">
        <v>5635.09</v>
      </c>
      <c r="F2677" t="n">
        <v>9329.219999999999</v>
      </c>
    </row>
    <row r="2678">
      <c r="A2678" s="3" t="n">
        <v>42380</v>
      </c>
      <c r="B2678" t="n">
        <v>9932.84</v>
      </c>
      <c r="C2678" t="n">
        <v>5759.19</v>
      </c>
      <c r="D2678" t="n">
        <v>3398.67</v>
      </c>
      <c r="E2678" t="n">
        <v>5602.79</v>
      </c>
      <c r="F2678" t="n">
        <v>9269.190000000001</v>
      </c>
    </row>
    <row r="2679">
      <c r="A2679" s="3" t="n">
        <v>42381</v>
      </c>
      <c r="B2679" t="n">
        <v>9914.76</v>
      </c>
      <c r="C2679" t="n">
        <v>5741.6</v>
      </c>
      <c r="D2679" t="n">
        <v>3347.31</v>
      </c>
      <c r="E2679" t="n">
        <v>5578.35</v>
      </c>
      <c r="F2679" t="n">
        <v>9254.940000000001</v>
      </c>
    </row>
    <row r="2680">
      <c r="A2680" s="3" t="n">
        <v>42382</v>
      </c>
      <c r="B2680" t="n">
        <v>9781.299999999999</v>
      </c>
      <c r="C2680" t="n">
        <v>5732.92</v>
      </c>
      <c r="D2680" t="n">
        <v>3303.73</v>
      </c>
      <c r="E2680" t="n">
        <v>5587.75</v>
      </c>
      <c r="F2680" t="n">
        <v>9111.93</v>
      </c>
    </row>
    <row r="2681">
      <c r="A2681" s="3" t="n">
        <v>42383</v>
      </c>
      <c r="B2681" t="n">
        <v>9690.52</v>
      </c>
      <c r="C2681" t="n">
        <v>5744.3</v>
      </c>
      <c r="D2681" t="n">
        <v>3259.28</v>
      </c>
      <c r="E2681" t="n">
        <v>5577.24</v>
      </c>
      <c r="F2681" t="n">
        <v>8994.469999999999</v>
      </c>
    </row>
    <row r="2682">
      <c r="A2682" s="3" t="n">
        <v>42384</v>
      </c>
      <c r="B2682" t="n">
        <v>9418.620000000001</v>
      </c>
      <c r="C2682" t="n">
        <v>5656.27</v>
      </c>
      <c r="D2682" t="n">
        <v>3130.54</v>
      </c>
      <c r="E2682" t="n">
        <v>5514.38</v>
      </c>
      <c r="F2682" t="n">
        <v>8677.91</v>
      </c>
    </row>
    <row r="2683">
      <c r="A2683" s="3" t="n">
        <v>42387</v>
      </c>
      <c r="B2683" t="n">
        <v>9083.25</v>
      </c>
      <c r="C2683" t="n">
        <v>5576.76</v>
      </c>
      <c r="D2683" t="n">
        <v>3030.63</v>
      </c>
      <c r="E2683" t="n">
        <v>5439.92</v>
      </c>
      <c r="F2683" t="n">
        <v>8258.950000000001</v>
      </c>
    </row>
    <row r="2684">
      <c r="A2684" s="3" t="n">
        <v>42388</v>
      </c>
      <c r="B2684" t="n">
        <v>9246.559999999999</v>
      </c>
      <c r="C2684" t="n">
        <v>5605.38</v>
      </c>
      <c r="D2684" t="n">
        <v>3063.54</v>
      </c>
      <c r="E2684" t="n">
        <v>5479.05</v>
      </c>
      <c r="F2684" t="n">
        <v>8436.469999999999</v>
      </c>
    </row>
    <row r="2685">
      <c r="A2685" s="3" t="n">
        <v>42389</v>
      </c>
      <c r="B2685" t="n">
        <v>9090.379999999999</v>
      </c>
      <c r="C2685" t="n">
        <v>5531.25</v>
      </c>
      <c r="D2685" t="n">
        <v>2972.14</v>
      </c>
      <c r="E2685" t="n">
        <v>5404.79</v>
      </c>
      <c r="F2685" t="n">
        <v>8283.799999999999</v>
      </c>
    </row>
    <row r="2686">
      <c r="A2686" s="3" t="n">
        <v>42390</v>
      </c>
      <c r="B2686" t="n">
        <v>9072.41</v>
      </c>
      <c r="C2686" t="n">
        <v>5500.91</v>
      </c>
      <c r="D2686" t="n">
        <v>2964.2</v>
      </c>
      <c r="E2686" t="n">
        <v>5373.31</v>
      </c>
      <c r="F2686" t="n">
        <v>8334.129999999999</v>
      </c>
    </row>
    <row r="2687">
      <c r="A2687" s="3" t="n">
        <v>42391</v>
      </c>
      <c r="B2687" t="n">
        <v>9298.870000000001</v>
      </c>
      <c r="C2687" t="n">
        <v>5593.42</v>
      </c>
      <c r="D2687" t="n">
        <v>3063.16</v>
      </c>
      <c r="E2687" t="n">
        <v>5478.83</v>
      </c>
      <c r="F2687" t="n">
        <v>8505.129999999999</v>
      </c>
    </row>
    <row r="2688">
      <c r="A2688" s="3" t="n">
        <v>42394</v>
      </c>
      <c r="B2688" t="n">
        <v>9340.209999999999</v>
      </c>
      <c r="C2688" t="n">
        <v>5613.9</v>
      </c>
      <c r="D2688" t="n">
        <v>3071.93</v>
      </c>
      <c r="E2688" t="n">
        <v>5481.38</v>
      </c>
      <c r="F2688" t="n">
        <v>8566.780000000001</v>
      </c>
    </row>
    <row r="2689">
      <c r="A2689" s="3" t="n">
        <v>42396</v>
      </c>
      <c r="B2689" t="n">
        <v>9371.18</v>
      </c>
      <c r="C2689" t="n">
        <v>5605.77</v>
      </c>
      <c r="D2689" t="n">
        <v>3089.62</v>
      </c>
      <c r="E2689" t="n">
        <v>5480.43</v>
      </c>
      <c r="F2689" t="n">
        <v>8634.33</v>
      </c>
    </row>
    <row r="2690">
      <c r="A2690" s="3" t="n">
        <v>42397</v>
      </c>
      <c r="B2690" t="n">
        <v>9383.85</v>
      </c>
      <c r="C2690" t="n">
        <v>5612.41</v>
      </c>
      <c r="D2690" t="n">
        <v>3079.58</v>
      </c>
      <c r="E2690" t="n">
        <v>5470.57</v>
      </c>
      <c r="F2690" t="n">
        <v>8696.059999999999</v>
      </c>
    </row>
    <row r="2691">
      <c r="A2691" s="3" t="n">
        <v>42398</v>
      </c>
      <c r="B2691" t="n">
        <v>9549.75</v>
      </c>
      <c r="C2691" t="n">
        <v>5751.93</v>
      </c>
      <c r="D2691" t="n">
        <v>3118.87</v>
      </c>
      <c r="E2691" t="n">
        <v>5563.41</v>
      </c>
      <c r="F2691" t="n">
        <v>8835.370000000001</v>
      </c>
    </row>
    <row r="2692">
      <c r="A2692" s="3" t="n">
        <v>42401</v>
      </c>
      <c r="B2692" t="n">
        <v>9640.059999999999</v>
      </c>
      <c r="C2692" t="n">
        <v>5790.43</v>
      </c>
      <c r="D2692" t="n">
        <v>3100.56</v>
      </c>
      <c r="E2692" t="n">
        <v>5557.51</v>
      </c>
      <c r="F2692" t="n">
        <v>8948.08</v>
      </c>
    </row>
    <row r="2693">
      <c r="A2693" s="3" t="n">
        <v>42402</v>
      </c>
      <c r="B2693" t="n">
        <v>9536.120000000001</v>
      </c>
      <c r="C2693" t="n">
        <v>5749</v>
      </c>
      <c r="D2693" t="n">
        <v>3014.11</v>
      </c>
      <c r="E2693" t="n">
        <v>5498.04</v>
      </c>
      <c r="F2693" t="n">
        <v>8821.92</v>
      </c>
    </row>
    <row r="2694">
      <c r="A2694" s="3" t="n">
        <v>42403</v>
      </c>
      <c r="B2694" t="n">
        <v>9391.540000000001</v>
      </c>
      <c r="C2694" t="n">
        <v>5710.65</v>
      </c>
      <c r="D2694" t="n">
        <v>2937.61</v>
      </c>
      <c r="E2694" t="n">
        <v>5434.22</v>
      </c>
      <c r="F2694" t="n">
        <v>8674.719999999999</v>
      </c>
    </row>
    <row r="2695">
      <c r="A2695" s="3" t="n">
        <v>42404</v>
      </c>
      <c r="B2695" t="n">
        <v>9281.440000000001</v>
      </c>
      <c r="C2695" t="n">
        <v>5725.92</v>
      </c>
      <c r="D2695" t="n">
        <v>2941.56</v>
      </c>
      <c r="E2695" t="n">
        <v>5452.9</v>
      </c>
      <c r="F2695" t="n">
        <v>8530.370000000001</v>
      </c>
    </row>
    <row r="2696">
      <c r="A2696" s="3" t="n">
        <v>42405</v>
      </c>
      <c r="B2696" t="n">
        <v>9458.99</v>
      </c>
      <c r="C2696" t="n">
        <v>5814.41</v>
      </c>
      <c r="D2696" t="n">
        <v>3039.64</v>
      </c>
      <c r="E2696" t="n">
        <v>5512.68</v>
      </c>
      <c r="F2696" t="n">
        <v>8698.9</v>
      </c>
    </row>
    <row r="2697">
      <c r="A2697" s="3" t="n">
        <v>42408</v>
      </c>
      <c r="B2697" t="n">
        <v>9400.610000000001</v>
      </c>
      <c r="C2697" t="n">
        <v>5757.14</v>
      </c>
      <c r="D2697" t="n">
        <v>3024.54</v>
      </c>
      <c r="E2697" t="n">
        <v>5450.33</v>
      </c>
      <c r="F2697" t="n">
        <v>8698.530000000001</v>
      </c>
    </row>
    <row r="2698">
      <c r="A2698" s="3" t="n">
        <v>42409</v>
      </c>
      <c r="B2698" t="n">
        <v>9233.01</v>
      </c>
      <c r="C2698" t="n">
        <v>5670.21</v>
      </c>
      <c r="D2698" t="n">
        <v>2972.33</v>
      </c>
      <c r="E2698" t="n">
        <v>5395.9</v>
      </c>
      <c r="F2698" t="n">
        <v>8551.360000000001</v>
      </c>
    </row>
    <row r="2699">
      <c r="A2699" s="3" t="n">
        <v>42410</v>
      </c>
      <c r="B2699" t="n">
        <v>9088.01</v>
      </c>
      <c r="C2699" t="n">
        <v>5616.49</v>
      </c>
      <c r="D2699" t="n">
        <v>2903.78</v>
      </c>
      <c r="E2699" t="n">
        <v>5341.47</v>
      </c>
      <c r="F2699" t="n">
        <v>8430.389999999999</v>
      </c>
    </row>
    <row r="2700">
      <c r="A2700" s="3" t="n">
        <v>42411</v>
      </c>
      <c r="B2700" t="n">
        <v>8707.35</v>
      </c>
      <c r="C2700" t="n">
        <v>5449.42</v>
      </c>
      <c r="D2700" t="n">
        <v>2768.59</v>
      </c>
      <c r="E2700" t="n">
        <v>5187.42</v>
      </c>
      <c r="F2700" t="n">
        <v>7973.47</v>
      </c>
    </row>
    <row r="2701">
      <c r="A2701" s="3" t="n">
        <v>42412</v>
      </c>
      <c r="B2701" t="n">
        <v>8646.280000000001</v>
      </c>
      <c r="C2701" t="n">
        <v>5431.86</v>
      </c>
      <c r="D2701" t="n">
        <v>2722.62</v>
      </c>
      <c r="E2701" t="n">
        <v>5184.65</v>
      </c>
      <c r="F2701" t="n">
        <v>7910.98</v>
      </c>
    </row>
    <row r="2702">
      <c r="A2702" s="3" t="n">
        <v>42415</v>
      </c>
      <c r="B2702" t="n">
        <v>8943.73</v>
      </c>
      <c r="C2702" t="n">
        <v>5545.85</v>
      </c>
      <c r="D2702" t="n">
        <v>2890.84</v>
      </c>
      <c r="E2702" t="n">
        <v>5284.47</v>
      </c>
      <c r="F2702" t="n">
        <v>8160.47</v>
      </c>
    </row>
    <row r="2703">
      <c r="A2703" s="3" t="n">
        <v>42416</v>
      </c>
      <c r="B2703" t="n">
        <v>8766.690000000001</v>
      </c>
      <c r="C2703" t="n">
        <v>5452.29</v>
      </c>
      <c r="D2703" t="n">
        <v>2799.58</v>
      </c>
      <c r="E2703" t="n">
        <v>5216.9</v>
      </c>
      <c r="F2703" t="n">
        <v>7971.91</v>
      </c>
    </row>
    <row r="2704">
      <c r="A2704" s="3" t="n">
        <v>42417</v>
      </c>
      <c r="B2704" t="n">
        <v>8895.110000000001</v>
      </c>
      <c r="C2704" t="n">
        <v>5471.03</v>
      </c>
      <c r="D2704" t="n">
        <v>2834.43</v>
      </c>
      <c r="E2704" t="n">
        <v>5248.6</v>
      </c>
      <c r="F2704" t="n">
        <v>8054.96</v>
      </c>
    </row>
    <row r="2705">
      <c r="A2705" s="3" t="n">
        <v>42418</v>
      </c>
      <c r="B2705" t="n">
        <v>8925.75</v>
      </c>
      <c r="C2705" t="n">
        <v>5543.5</v>
      </c>
      <c r="D2705" t="n">
        <v>2851.69</v>
      </c>
      <c r="E2705" t="n">
        <v>5308.56</v>
      </c>
      <c r="F2705" t="n">
        <v>8082.64</v>
      </c>
    </row>
    <row r="2706">
      <c r="A2706" s="3" t="n">
        <v>42419</v>
      </c>
      <c r="B2706" t="n">
        <v>8896.34</v>
      </c>
      <c r="C2706" t="n">
        <v>5559.49</v>
      </c>
      <c r="D2706" t="n">
        <v>2851.27</v>
      </c>
      <c r="E2706" t="n">
        <v>5326.23</v>
      </c>
      <c r="F2706" t="n">
        <v>8106.78</v>
      </c>
    </row>
    <row r="2707">
      <c r="A2707" s="3" t="n">
        <v>42422</v>
      </c>
      <c r="B2707" t="n">
        <v>8948.35</v>
      </c>
      <c r="C2707" t="n">
        <v>5593.6</v>
      </c>
      <c r="D2707" t="n">
        <v>2863.45</v>
      </c>
      <c r="E2707" t="n">
        <v>5346.88</v>
      </c>
      <c r="F2707" t="n">
        <v>8118.46</v>
      </c>
    </row>
    <row r="2708">
      <c r="A2708" s="3" t="n">
        <v>42423</v>
      </c>
      <c r="B2708" t="n">
        <v>8814.83</v>
      </c>
      <c r="C2708" t="n">
        <v>5511.82</v>
      </c>
      <c r="D2708" t="n">
        <v>2809.86</v>
      </c>
      <c r="E2708" t="n">
        <v>5261.4</v>
      </c>
      <c r="F2708" t="n">
        <v>8019.52</v>
      </c>
    </row>
    <row r="2709">
      <c r="A2709" s="3" t="n">
        <v>42424</v>
      </c>
      <c r="B2709" t="n">
        <v>8675.879999999999</v>
      </c>
      <c r="C2709" t="n">
        <v>5440.05</v>
      </c>
      <c r="D2709" t="n">
        <v>2788.31</v>
      </c>
      <c r="E2709" t="n">
        <v>5201.64</v>
      </c>
      <c r="F2709" t="n">
        <v>7915.5</v>
      </c>
    </row>
    <row r="2710">
      <c r="A2710" s="3" t="n">
        <v>42425</v>
      </c>
      <c r="B2710" t="n">
        <v>8584.139999999999</v>
      </c>
      <c r="C2710" t="n">
        <v>5406.89</v>
      </c>
      <c r="D2710" t="n">
        <v>2767.36</v>
      </c>
      <c r="E2710" t="n">
        <v>5163.7</v>
      </c>
      <c r="F2710" t="n">
        <v>7825.36</v>
      </c>
    </row>
    <row r="2711">
      <c r="A2711" s="3" t="n">
        <v>42426</v>
      </c>
      <c r="B2711" t="n">
        <v>8565.58</v>
      </c>
      <c r="C2711" t="n">
        <v>5420.19</v>
      </c>
      <c r="D2711" t="n">
        <v>2785.39</v>
      </c>
      <c r="E2711" t="n">
        <v>5179.07</v>
      </c>
      <c r="F2711" t="n">
        <v>7736.91</v>
      </c>
    </row>
    <row r="2712">
      <c r="A2712" s="3" t="n">
        <v>42429</v>
      </c>
      <c r="B2712" t="n">
        <v>8649.540000000001</v>
      </c>
      <c r="C2712" t="n">
        <v>5395.93</v>
      </c>
      <c r="D2712" t="n">
        <v>2790.45</v>
      </c>
      <c r="E2712" t="n">
        <v>5148.64</v>
      </c>
      <c r="F2712" t="n">
        <v>7756.04</v>
      </c>
    </row>
    <row r="2713">
      <c r="A2713" s="3" t="n">
        <v>42430</v>
      </c>
      <c r="B2713" t="n">
        <v>8916.18</v>
      </c>
      <c r="C2713" t="n">
        <v>5558.28</v>
      </c>
      <c r="D2713" t="n">
        <v>2883.38</v>
      </c>
      <c r="E2713" t="n">
        <v>5312.83</v>
      </c>
      <c r="F2713" t="n">
        <v>8051.05</v>
      </c>
    </row>
    <row r="2714">
      <c r="A2714" s="3" t="n">
        <v>42431</v>
      </c>
      <c r="B2714" t="n">
        <v>9050.76</v>
      </c>
      <c r="C2714" t="n">
        <v>5634.12</v>
      </c>
      <c r="D2714" t="n">
        <v>2982.39</v>
      </c>
      <c r="E2714" t="n">
        <v>5398.95</v>
      </c>
      <c r="F2714" t="n">
        <v>8246.27</v>
      </c>
    </row>
    <row r="2715">
      <c r="A2715" s="3" t="n">
        <v>42432</v>
      </c>
      <c r="B2715" t="n">
        <v>9182.83</v>
      </c>
      <c r="C2715" t="n">
        <v>5695.31</v>
      </c>
      <c r="D2715" t="n">
        <v>3060.32</v>
      </c>
      <c r="E2715" t="n">
        <v>5466.33</v>
      </c>
      <c r="F2715" t="n">
        <v>8392.959999999999</v>
      </c>
    </row>
    <row r="2716">
      <c r="A2716" s="3" t="n">
        <v>42433</v>
      </c>
      <c r="B2716" t="n">
        <v>9284.16</v>
      </c>
      <c r="C2716" t="n">
        <v>5707.9</v>
      </c>
      <c r="D2716" t="n">
        <v>3109.24</v>
      </c>
      <c r="E2716" t="n">
        <v>5469.78</v>
      </c>
      <c r="F2716" t="n">
        <v>8466.9</v>
      </c>
    </row>
    <row r="2717">
      <c r="A2717" s="3" t="n">
        <v>42437</v>
      </c>
      <c r="B2717" t="n">
        <v>9298.709999999999</v>
      </c>
      <c r="C2717" t="n">
        <v>5702.72</v>
      </c>
      <c r="D2717" t="n">
        <v>3170.48</v>
      </c>
      <c r="E2717" t="n">
        <v>5467.57</v>
      </c>
      <c r="F2717" t="n">
        <v>8535.76</v>
      </c>
    </row>
    <row r="2718">
      <c r="A2718" s="3" t="n">
        <v>42438</v>
      </c>
      <c r="B2718" t="n">
        <v>9345.57</v>
      </c>
      <c r="C2718" t="n">
        <v>5720.63</v>
      </c>
      <c r="D2718" t="n">
        <v>3170.59</v>
      </c>
      <c r="E2718" t="n">
        <v>5498.94</v>
      </c>
      <c r="F2718" t="n">
        <v>8566.74</v>
      </c>
    </row>
    <row r="2719">
      <c r="A2719" s="3" t="n">
        <v>42439</v>
      </c>
      <c r="B2719" t="n">
        <v>9324.17</v>
      </c>
      <c r="C2719" t="n">
        <v>5700.52</v>
      </c>
      <c r="D2719" t="n">
        <v>3156.21</v>
      </c>
      <c r="E2719" t="n">
        <v>5469.13</v>
      </c>
      <c r="F2719" t="n">
        <v>8509.049999999999</v>
      </c>
    </row>
    <row r="2720">
      <c r="A2720" s="3" t="n">
        <v>42440</v>
      </c>
      <c r="B2720" t="n">
        <v>9334.23</v>
      </c>
      <c r="C2720" t="n">
        <v>5728.03</v>
      </c>
      <c r="D2720" t="n">
        <v>3155.43</v>
      </c>
      <c r="E2720" t="n">
        <v>5481.15</v>
      </c>
      <c r="F2720" t="n">
        <v>8529.879999999999</v>
      </c>
    </row>
    <row r="2721">
      <c r="A2721" s="3" t="n">
        <v>42443</v>
      </c>
      <c r="B2721" t="n">
        <v>9382.120000000001</v>
      </c>
      <c r="C2721" t="n">
        <v>5747.87</v>
      </c>
      <c r="D2721" t="n">
        <v>3174.11</v>
      </c>
      <c r="E2721" t="n">
        <v>5501.06</v>
      </c>
      <c r="F2721" t="n">
        <v>8598.370000000001</v>
      </c>
    </row>
    <row r="2722">
      <c r="A2722" s="3" t="n">
        <v>42444</v>
      </c>
      <c r="B2722" t="n">
        <v>9229.360000000001</v>
      </c>
      <c r="C2722" t="n">
        <v>5655.36</v>
      </c>
      <c r="D2722" t="n">
        <v>3184.55</v>
      </c>
      <c r="E2722" t="n">
        <v>5439.02</v>
      </c>
      <c r="F2722" t="n">
        <v>8482.52</v>
      </c>
    </row>
    <row r="2723">
      <c r="A2723" s="3" t="n">
        <v>42445</v>
      </c>
      <c r="B2723" t="n">
        <v>9106.200000000001</v>
      </c>
      <c r="C2723" t="n">
        <v>5655.22</v>
      </c>
      <c r="D2723" t="n">
        <v>3164.44</v>
      </c>
      <c r="E2723" t="n">
        <v>5462.38</v>
      </c>
      <c r="F2723" t="n">
        <v>8394.77</v>
      </c>
    </row>
    <row r="2724">
      <c r="A2724" s="3" t="n">
        <v>42446</v>
      </c>
      <c r="B2724" t="n">
        <v>9079.41</v>
      </c>
      <c r="C2724" t="n">
        <v>5671.61</v>
      </c>
      <c r="D2724" t="n">
        <v>3189.56</v>
      </c>
      <c r="E2724" t="n">
        <v>5478.35</v>
      </c>
      <c r="F2724" t="n">
        <v>8406.34</v>
      </c>
    </row>
    <row r="2725">
      <c r="A2725" s="3" t="n">
        <v>42447</v>
      </c>
      <c r="B2725" t="n">
        <v>9143.200000000001</v>
      </c>
      <c r="C2725" t="n">
        <v>5701.39</v>
      </c>
      <c r="D2725" t="n">
        <v>3229.96</v>
      </c>
      <c r="E2725" t="n">
        <v>5535.39</v>
      </c>
      <c r="F2725" t="n">
        <v>8459.610000000001</v>
      </c>
    </row>
    <row r="2726">
      <c r="A2726" s="3" t="n">
        <v>42450</v>
      </c>
      <c r="B2726" t="n">
        <v>9329.43</v>
      </c>
      <c r="C2726" t="n">
        <v>5735.85</v>
      </c>
      <c r="D2726" t="n">
        <v>3266.95</v>
      </c>
      <c r="E2726" t="n">
        <v>5592.4</v>
      </c>
      <c r="F2726" t="n">
        <v>8628.940000000001</v>
      </c>
    </row>
    <row r="2727">
      <c r="A2727" s="3" t="n">
        <v>42451</v>
      </c>
      <c r="B2727" t="n">
        <v>9337.83</v>
      </c>
      <c r="C2727" t="n">
        <v>5730.73</v>
      </c>
      <c r="D2727" t="n">
        <v>3290.09</v>
      </c>
      <c r="E2727" t="n">
        <v>5595.53</v>
      </c>
      <c r="F2727" t="n">
        <v>8614.299999999999</v>
      </c>
    </row>
    <row r="2728">
      <c r="A2728" s="3" t="n">
        <v>42452</v>
      </c>
      <c r="B2728" t="n">
        <v>9355.049999999999</v>
      </c>
      <c r="C2728" t="n">
        <v>5726.77</v>
      </c>
      <c r="D2728" t="n">
        <v>3308.36</v>
      </c>
      <c r="E2728" t="n">
        <v>5600.6</v>
      </c>
      <c r="F2728" t="n">
        <v>8668.65</v>
      </c>
    </row>
    <row r="2729">
      <c r="A2729" s="3" t="n">
        <v>42457</v>
      </c>
      <c r="B2729" t="n">
        <v>9208.889999999999</v>
      </c>
      <c r="C2729" t="n">
        <v>5656.66</v>
      </c>
      <c r="D2729" t="n">
        <v>3200.54</v>
      </c>
      <c r="E2729" t="n">
        <v>5547.9</v>
      </c>
      <c r="F2729" t="n">
        <v>8454.9</v>
      </c>
    </row>
    <row r="2730">
      <c r="A2730" s="3" t="n">
        <v>42458</v>
      </c>
      <c r="B2730" t="n">
        <v>9124.639999999999</v>
      </c>
      <c r="C2730" t="n">
        <v>5627.72</v>
      </c>
      <c r="D2730" t="n">
        <v>3201.58</v>
      </c>
      <c r="E2730" t="n">
        <v>5534.33</v>
      </c>
      <c r="F2730" t="n">
        <v>8352.870000000001</v>
      </c>
    </row>
    <row r="2731">
      <c r="A2731" s="3" t="n">
        <v>42459</v>
      </c>
      <c r="B2731" t="n">
        <v>9276.5</v>
      </c>
      <c r="C2731" t="n">
        <v>5722.4</v>
      </c>
      <c r="D2731" t="n">
        <v>3299.32</v>
      </c>
      <c r="E2731" t="n">
        <v>5611.34</v>
      </c>
      <c r="F2731" t="n">
        <v>8527.290000000001</v>
      </c>
    </row>
    <row r="2732">
      <c r="A2732" s="3" t="n">
        <v>42460</v>
      </c>
      <c r="B2732" t="n">
        <v>9397.040000000001</v>
      </c>
      <c r="C2732" t="n">
        <v>5746.94</v>
      </c>
      <c r="D2732" t="n">
        <v>3299.13</v>
      </c>
      <c r="E2732" t="n">
        <v>5616.96</v>
      </c>
      <c r="F2732" t="n">
        <v>8620.5</v>
      </c>
    </row>
    <row r="2733">
      <c r="A2733" s="3" t="n">
        <v>42461</v>
      </c>
      <c r="B2733" t="n">
        <v>9407.17</v>
      </c>
      <c r="C2733" t="n">
        <v>5741.66</v>
      </c>
      <c r="D2733" t="n">
        <v>3328.13</v>
      </c>
      <c r="E2733" t="n">
        <v>5615.86</v>
      </c>
      <c r="F2733" t="n">
        <v>8622.219999999999</v>
      </c>
    </row>
    <row r="2734">
      <c r="A2734" s="3" t="n">
        <v>42464</v>
      </c>
      <c r="B2734" t="n">
        <v>9426.91</v>
      </c>
      <c r="C2734" t="n">
        <v>5786.84</v>
      </c>
      <c r="D2734" t="n">
        <v>3338.9</v>
      </c>
      <c r="E2734" t="n">
        <v>5643.56</v>
      </c>
      <c r="F2734" t="n">
        <v>8633.35</v>
      </c>
    </row>
    <row r="2735">
      <c r="A2735" s="3" t="n">
        <v>42465</v>
      </c>
      <c r="B2735" t="n">
        <v>9323.76</v>
      </c>
      <c r="C2735" t="n">
        <v>5732.17</v>
      </c>
      <c r="D2735" t="n">
        <v>3251.56</v>
      </c>
      <c r="E2735" t="n">
        <v>5566.9</v>
      </c>
      <c r="F2735" t="n">
        <v>8505.530000000001</v>
      </c>
    </row>
    <row r="2736">
      <c r="A2736" s="3" t="n">
        <v>42466</v>
      </c>
      <c r="B2736" t="n">
        <v>9407.6</v>
      </c>
      <c r="C2736" t="n">
        <v>5747.63</v>
      </c>
      <c r="D2736" t="n">
        <v>3296.61</v>
      </c>
      <c r="E2736" t="n">
        <v>5586.31</v>
      </c>
      <c r="F2736" t="n">
        <v>8530.73</v>
      </c>
    </row>
    <row r="2737">
      <c r="A2737" s="3" t="n">
        <v>42467</v>
      </c>
      <c r="B2737" t="n">
        <v>9339</v>
      </c>
      <c r="C2737" t="n">
        <v>5718.61</v>
      </c>
      <c r="D2737" t="n">
        <v>3277.96</v>
      </c>
      <c r="E2737" t="n">
        <v>5531.83</v>
      </c>
      <c r="F2737" t="n">
        <v>8479.120000000001</v>
      </c>
    </row>
    <row r="2738">
      <c r="A2738" s="3" t="n">
        <v>42468</v>
      </c>
      <c r="B2738" t="n">
        <v>9399.09</v>
      </c>
      <c r="C2738" t="n">
        <v>5739.3</v>
      </c>
      <c r="D2738" t="n">
        <v>3299.87</v>
      </c>
      <c r="E2738" t="n">
        <v>5539.55</v>
      </c>
      <c r="F2738" t="n">
        <v>8497.200000000001</v>
      </c>
    </row>
    <row r="2739">
      <c r="A2739" s="3" t="n">
        <v>42471</v>
      </c>
      <c r="B2739" t="n">
        <v>9479.25</v>
      </c>
      <c r="C2739" t="n">
        <v>5802.55</v>
      </c>
      <c r="D2739" t="n">
        <v>3357.59</v>
      </c>
      <c r="E2739" t="n">
        <v>5610.86</v>
      </c>
      <c r="F2739" t="n">
        <v>8597.75</v>
      </c>
    </row>
    <row r="2740">
      <c r="A2740" s="3" t="n">
        <v>42472</v>
      </c>
      <c r="B2740" t="n">
        <v>9562.17</v>
      </c>
      <c r="C2740" t="n">
        <v>5838.23</v>
      </c>
      <c r="D2740" t="n">
        <v>3358.45</v>
      </c>
      <c r="E2740" t="n">
        <v>5645.44</v>
      </c>
      <c r="F2740" t="n">
        <v>8656.690000000001</v>
      </c>
    </row>
    <row r="2741">
      <c r="A2741" s="3" t="n">
        <v>42473</v>
      </c>
      <c r="B2741" t="n">
        <v>9630.42</v>
      </c>
      <c r="C2741" t="n">
        <v>5908.18</v>
      </c>
      <c r="D2741" t="n">
        <v>3412.85</v>
      </c>
      <c r="E2741" t="n">
        <v>5748.52</v>
      </c>
      <c r="F2741" t="n">
        <v>8714.67</v>
      </c>
    </row>
    <row r="2742">
      <c r="A2742" s="3" t="n">
        <v>42478</v>
      </c>
      <c r="B2742" t="n">
        <v>9750.559999999999</v>
      </c>
      <c r="C2742" t="n">
        <v>5960.77</v>
      </c>
      <c r="D2742" t="n">
        <v>3444.55</v>
      </c>
      <c r="E2742" t="n">
        <v>5794.34</v>
      </c>
      <c r="F2742" t="n">
        <v>8798.85</v>
      </c>
    </row>
    <row r="2743">
      <c r="A2743" s="3" t="n">
        <v>42480</v>
      </c>
      <c r="B2743" t="n">
        <v>9719.25</v>
      </c>
      <c r="C2743" t="n">
        <v>5968.09</v>
      </c>
      <c r="D2743" t="n">
        <v>3490.23</v>
      </c>
      <c r="E2743" t="n">
        <v>5789.17</v>
      </c>
      <c r="F2743" t="n">
        <v>8842.870000000001</v>
      </c>
    </row>
    <row r="2744">
      <c r="A2744" s="3" t="n">
        <v>42481</v>
      </c>
      <c r="B2744" t="n">
        <v>9663.540000000001</v>
      </c>
      <c r="C2744" t="n">
        <v>5937.96</v>
      </c>
      <c r="D2744" t="n">
        <v>3508.21</v>
      </c>
      <c r="E2744" t="n">
        <v>5739.7</v>
      </c>
      <c r="F2744" t="n">
        <v>8782.17</v>
      </c>
    </row>
    <row r="2745">
      <c r="A2745" s="3" t="n">
        <v>42482</v>
      </c>
      <c r="B2745" t="n">
        <v>9629.969999999999</v>
      </c>
      <c r="C2745" t="n">
        <v>5925.14</v>
      </c>
      <c r="D2745" t="n">
        <v>3514.96</v>
      </c>
      <c r="E2745" t="n">
        <v>5726.45</v>
      </c>
      <c r="F2745" t="n">
        <v>8766.030000000001</v>
      </c>
    </row>
    <row r="2746">
      <c r="A2746" s="3" t="n">
        <v>42485</v>
      </c>
      <c r="B2746" t="n">
        <v>9566.809999999999</v>
      </c>
      <c r="C2746" t="n">
        <v>5891.83</v>
      </c>
      <c r="D2746" t="n">
        <v>3475.53</v>
      </c>
      <c r="E2746" t="n">
        <v>5698.68</v>
      </c>
      <c r="F2746" t="n">
        <v>8727.5</v>
      </c>
    </row>
    <row r="2747">
      <c r="A2747" s="3" t="n">
        <v>42486</v>
      </c>
      <c r="B2747" t="n">
        <v>9588.889999999999</v>
      </c>
      <c r="C2747" t="n">
        <v>5943.51</v>
      </c>
      <c r="D2747" t="n">
        <v>3529.89</v>
      </c>
      <c r="E2747" t="n">
        <v>5756.73</v>
      </c>
      <c r="F2747" t="n">
        <v>8846.76</v>
      </c>
    </row>
    <row r="2748">
      <c r="A2748" s="3" t="n">
        <v>42487</v>
      </c>
      <c r="B2748" t="n">
        <v>9618.309999999999</v>
      </c>
      <c r="C2748" t="n">
        <v>5963.06</v>
      </c>
      <c r="D2748" t="n">
        <v>3524.59</v>
      </c>
      <c r="E2748" t="n">
        <v>5789.73</v>
      </c>
      <c r="F2748" t="n">
        <v>8900.35</v>
      </c>
    </row>
    <row r="2749">
      <c r="A2749" s="3" t="n">
        <v>42488</v>
      </c>
      <c r="B2749" t="n">
        <v>9508.49</v>
      </c>
      <c r="C2749" t="n">
        <v>5884.24</v>
      </c>
      <c r="D2749" t="n">
        <v>3455.85</v>
      </c>
      <c r="E2749" t="n">
        <v>5705.41</v>
      </c>
      <c r="F2749" t="n">
        <v>8768.58</v>
      </c>
    </row>
    <row r="2750">
      <c r="A2750" s="3" t="n">
        <v>42489</v>
      </c>
      <c r="B2750" t="n">
        <v>9545.120000000001</v>
      </c>
      <c r="C2750" t="n">
        <v>5882.44</v>
      </c>
      <c r="D2750" t="n">
        <v>3473.26</v>
      </c>
      <c r="E2750" t="n">
        <v>5712.37</v>
      </c>
      <c r="F2750" t="n">
        <v>8788.799999999999</v>
      </c>
    </row>
    <row r="2751">
      <c r="A2751" s="3" t="n">
        <v>42492</v>
      </c>
      <c r="B2751" t="n">
        <v>9590.18</v>
      </c>
      <c r="C2751" t="n">
        <v>5890.8</v>
      </c>
      <c r="D2751" t="n">
        <v>3487.38</v>
      </c>
      <c r="E2751" t="n">
        <v>5719.98</v>
      </c>
      <c r="F2751" t="n">
        <v>8837.870000000001</v>
      </c>
    </row>
    <row r="2752">
      <c r="A2752" s="3" t="n">
        <v>42493</v>
      </c>
      <c r="B2752" t="n">
        <v>9530.1</v>
      </c>
      <c r="C2752" t="n">
        <v>5828.02</v>
      </c>
      <c r="D2752" t="n">
        <v>3453.02</v>
      </c>
      <c r="E2752" t="n">
        <v>5681.97</v>
      </c>
      <c r="F2752" t="n">
        <v>8779.879999999999</v>
      </c>
    </row>
    <row r="2753">
      <c r="A2753" s="3" t="n">
        <v>42494</v>
      </c>
      <c r="B2753" t="n">
        <v>9443.15</v>
      </c>
      <c r="C2753" t="n">
        <v>5792.8</v>
      </c>
      <c r="D2753" t="n">
        <v>3343.8</v>
      </c>
      <c r="E2753" t="n">
        <v>5669.64</v>
      </c>
      <c r="F2753" t="n">
        <v>8572.200000000001</v>
      </c>
    </row>
    <row r="2754">
      <c r="A2754" s="3" t="n">
        <v>42495</v>
      </c>
      <c r="B2754" t="n">
        <v>9429.42</v>
      </c>
      <c r="C2754" t="n">
        <v>5806.82</v>
      </c>
      <c r="D2754" t="n">
        <v>3325.19</v>
      </c>
      <c r="E2754" t="n">
        <v>5684.72</v>
      </c>
      <c r="F2754" t="n">
        <v>8571.030000000001</v>
      </c>
    </row>
    <row r="2755">
      <c r="A2755" s="3" t="n">
        <v>42496</v>
      </c>
      <c r="B2755" t="n">
        <v>9439.25</v>
      </c>
      <c r="C2755" t="n">
        <v>5811.57</v>
      </c>
      <c r="D2755" t="n">
        <v>3350.99</v>
      </c>
      <c r="E2755" t="n">
        <v>5690.86</v>
      </c>
      <c r="F2755" t="n">
        <v>8556.93</v>
      </c>
    </row>
    <row r="2756">
      <c r="A2756" s="3" t="n">
        <v>42499</v>
      </c>
      <c r="B2756" t="n">
        <v>9553.299999999999</v>
      </c>
      <c r="C2756" t="n">
        <v>5866.39</v>
      </c>
      <c r="D2756" t="n">
        <v>3388.12</v>
      </c>
      <c r="E2756" t="n">
        <v>5762.82</v>
      </c>
      <c r="F2756" t="n">
        <v>8690.9</v>
      </c>
    </row>
    <row r="2757">
      <c r="A2757" s="3" t="n">
        <v>42500</v>
      </c>
      <c r="B2757" t="n">
        <v>9528.85</v>
      </c>
      <c r="C2757" t="n">
        <v>5892.54</v>
      </c>
      <c r="D2757" t="n">
        <v>3363.09</v>
      </c>
      <c r="E2757" t="n">
        <v>5784.04</v>
      </c>
      <c r="F2757" t="n">
        <v>8657.190000000001</v>
      </c>
    </row>
    <row r="2758">
      <c r="A2758" s="3" t="n">
        <v>42501</v>
      </c>
      <c r="B2758" t="n">
        <v>9501.24</v>
      </c>
      <c r="C2758" t="n">
        <v>5869.53</v>
      </c>
      <c r="D2758" t="n">
        <v>3337.18</v>
      </c>
      <c r="E2758" t="n">
        <v>5774.28</v>
      </c>
      <c r="F2758" t="n">
        <v>8639.07</v>
      </c>
    </row>
    <row r="2759">
      <c r="A2759" s="3" t="n">
        <v>42502</v>
      </c>
      <c r="B2759" t="n">
        <v>9596.91</v>
      </c>
      <c r="C2759" t="n">
        <v>5910.42</v>
      </c>
      <c r="D2759" t="n">
        <v>3362.03</v>
      </c>
      <c r="E2759" t="n">
        <v>5791.61</v>
      </c>
      <c r="F2759" t="n">
        <v>8730.309999999999</v>
      </c>
    </row>
    <row r="2760">
      <c r="A2760" s="3" t="n">
        <v>42503</v>
      </c>
      <c r="B2760" t="n">
        <v>9554.639999999999</v>
      </c>
      <c r="C2760" t="n">
        <v>5884.26</v>
      </c>
      <c r="D2760" t="n">
        <v>3332.01</v>
      </c>
      <c r="E2760" t="n">
        <v>5738.41</v>
      </c>
      <c r="F2760" t="n">
        <v>8653.379999999999</v>
      </c>
    </row>
    <row r="2761">
      <c r="A2761" s="3" t="n">
        <v>42506</v>
      </c>
      <c r="B2761" t="n">
        <v>9536.940000000001</v>
      </c>
      <c r="C2761" t="n">
        <v>5903.46</v>
      </c>
      <c r="D2761" t="n">
        <v>3330.24</v>
      </c>
      <c r="E2761" t="n">
        <v>5760.41</v>
      </c>
      <c r="F2761" t="n">
        <v>8626.27</v>
      </c>
    </row>
    <row r="2762">
      <c r="A2762" s="3" t="n">
        <v>42507</v>
      </c>
      <c r="B2762" t="n">
        <v>9548.809999999999</v>
      </c>
      <c r="C2762" t="n">
        <v>5918.3</v>
      </c>
      <c r="D2762" t="n">
        <v>3336.64</v>
      </c>
      <c r="E2762" t="n">
        <v>5778.58</v>
      </c>
      <c r="F2762" t="n">
        <v>8687.030000000001</v>
      </c>
    </row>
    <row r="2763">
      <c r="A2763" s="3" t="n">
        <v>42508</v>
      </c>
      <c r="B2763" t="n">
        <v>9550.02</v>
      </c>
      <c r="C2763" t="n">
        <v>5911.25</v>
      </c>
      <c r="D2763" t="n">
        <v>3359.69</v>
      </c>
      <c r="E2763" t="n">
        <v>5755.82</v>
      </c>
      <c r="F2763" t="n">
        <v>8728.07</v>
      </c>
    </row>
    <row r="2764">
      <c r="A2764" s="3" t="n">
        <v>42509</v>
      </c>
      <c r="B2764" t="n">
        <v>9415.879999999999</v>
      </c>
      <c r="C2764" t="n">
        <v>5856.83</v>
      </c>
      <c r="D2764" t="n">
        <v>3305.15</v>
      </c>
      <c r="E2764" t="n">
        <v>5702.78</v>
      </c>
      <c r="F2764" t="n">
        <v>8576.57</v>
      </c>
    </row>
    <row r="2765">
      <c r="A2765" s="3" t="n">
        <v>42510</v>
      </c>
      <c r="B2765" t="n">
        <v>9313.040000000001</v>
      </c>
      <c r="C2765" t="n">
        <v>5814.76</v>
      </c>
      <c r="D2765" t="n">
        <v>3274.94</v>
      </c>
      <c r="E2765" t="n">
        <v>5685.13</v>
      </c>
      <c r="F2765" t="n">
        <v>8489.68</v>
      </c>
    </row>
    <row r="2766">
      <c r="A2766" s="3" t="n">
        <v>42513</v>
      </c>
      <c r="B2766" t="n">
        <v>9256.1</v>
      </c>
      <c r="C2766" t="n">
        <v>5787.08</v>
      </c>
      <c r="D2766" t="n">
        <v>3251.8</v>
      </c>
      <c r="E2766" t="n">
        <v>5681.84</v>
      </c>
      <c r="F2766" t="n">
        <v>8449.66</v>
      </c>
    </row>
    <row r="2767">
      <c r="A2767" s="3" t="n">
        <v>42514</v>
      </c>
      <c r="B2767" t="n">
        <v>9179.879999999999</v>
      </c>
      <c r="C2767" t="n">
        <v>5772.85</v>
      </c>
      <c r="D2767" t="n">
        <v>3238.29</v>
      </c>
      <c r="E2767" t="n">
        <v>5692.14</v>
      </c>
      <c r="F2767" t="n">
        <v>8369.219999999999</v>
      </c>
    </row>
    <row r="2768">
      <c r="A2768" s="3" t="n">
        <v>42515</v>
      </c>
      <c r="B2768" t="n">
        <v>9230.629999999999</v>
      </c>
      <c r="C2768" t="n">
        <v>5860.27</v>
      </c>
      <c r="D2768" t="n">
        <v>3296.48</v>
      </c>
      <c r="E2768" t="n">
        <v>5806.81</v>
      </c>
      <c r="F2768" t="n">
        <v>8419.92</v>
      </c>
    </row>
    <row r="2769">
      <c r="A2769" s="3" t="n">
        <v>42516</v>
      </c>
      <c r="B2769" t="n">
        <v>9313.74</v>
      </c>
      <c r="C2769" t="n">
        <v>5903.4</v>
      </c>
      <c r="D2769" t="n">
        <v>3339.05</v>
      </c>
      <c r="E2769" t="n">
        <v>5894.54</v>
      </c>
      <c r="F2769" t="n">
        <v>8504.059999999999</v>
      </c>
    </row>
    <row r="2770">
      <c r="A2770" s="3" t="n">
        <v>42517</v>
      </c>
      <c r="B2770" t="n">
        <v>9381.120000000001</v>
      </c>
      <c r="C2770" t="n">
        <v>5939.79</v>
      </c>
      <c r="D2770" t="n">
        <v>3406.35</v>
      </c>
      <c r="E2770" t="n">
        <v>5940.62</v>
      </c>
      <c r="F2770" t="n">
        <v>8607.809999999999</v>
      </c>
    </row>
    <row r="2771">
      <c r="A2771" s="3" t="n">
        <v>42520</v>
      </c>
      <c r="B2771" t="n">
        <v>9413.690000000001</v>
      </c>
      <c r="C2771" t="n">
        <v>5980.25</v>
      </c>
      <c r="D2771" t="n">
        <v>3428.93</v>
      </c>
      <c r="E2771" t="n">
        <v>5964.34</v>
      </c>
      <c r="F2771" t="n">
        <v>8627.34</v>
      </c>
    </row>
    <row r="2772">
      <c r="A2772" s="3" t="n">
        <v>42521</v>
      </c>
      <c r="B2772" t="n">
        <v>9420.41</v>
      </c>
      <c r="C2772" t="n">
        <v>5946.36</v>
      </c>
      <c r="D2772" t="n">
        <v>3439.97</v>
      </c>
      <c r="E2772" t="n">
        <v>5933.93</v>
      </c>
      <c r="F2772" t="n">
        <v>8640.030000000001</v>
      </c>
    </row>
    <row r="2773">
      <c r="A2773" s="3" t="n">
        <v>42522</v>
      </c>
      <c r="B2773" t="n">
        <v>9451.92</v>
      </c>
      <c r="C2773" t="n">
        <v>5994.75</v>
      </c>
      <c r="D2773" t="n">
        <v>3415.47</v>
      </c>
      <c r="E2773" t="n">
        <v>5972.19</v>
      </c>
      <c r="F2773" t="n">
        <v>8633.1</v>
      </c>
    </row>
    <row r="2774">
      <c r="A2774" s="3" t="n">
        <v>42523</v>
      </c>
      <c r="B2774" t="n">
        <v>9496.9</v>
      </c>
      <c r="C2774" t="n">
        <v>6012.81</v>
      </c>
      <c r="D2774" t="n">
        <v>3435.43</v>
      </c>
      <c r="E2774" t="n">
        <v>6000.89</v>
      </c>
      <c r="F2774" t="n">
        <v>8647.52</v>
      </c>
    </row>
    <row r="2775">
      <c r="A2775" s="3" t="n">
        <v>42524</v>
      </c>
      <c r="B2775" t="n">
        <v>9453.790000000001</v>
      </c>
      <c r="C2775" t="n">
        <v>6015.65</v>
      </c>
      <c r="D2775" t="n">
        <v>3421.76</v>
      </c>
      <c r="E2775" t="n">
        <v>6012.1</v>
      </c>
      <c r="F2775" t="n">
        <v>8547.379999999999</v>
      </c>
    </row>
    <row r="2776">
      <c r="A2776" s="3" t="n">
        <v>42527</v>
      </c>
      <c r="B2776" t="n">
        <v>9451.75</v>
      </c>
      <c r="C2776" t="n">
        <v>5995.68</v>
      </c>
      <c r="D2776" t="n">
        <v>3423.87</v>
      </c>
      <c r="E2776" t="n">
        <v>5991.2</v>
      </c>
      <c r="F2776" t="n">
        <v>8524.719999999999</v>
      </c>
    </row>
    <row r="2777">
      <c r="A2777" s="3" t="n">
        <v>42528</v>
      </c>
      <c r="B2777" t="n">
        <v>9485.34</v>
      </c>
      <c r="C2777" t="n">
        <v>6028.68</v>
      </c>
      <c r="D2777" t="n">
        <v>3452.2</v>
      </c>
      <c r="E2777" t="n">
        <v>6026.34</v>
      </c>
      <c r="F2777" t="n">
        <v>8578.34</v>
      </c>
    </row>
    <row r="2778">
      <c r="A2778" s="3" t="n">
        <v>42529</v>
      </c>
      <c r="B2778" t="n">
        <v>9480.450000000001</v>
      </c>
      <c r="C2778" t="n">
        <v>6029.6</v>
      </c>
      <c r="D2778" t="n">
        <v>3470.83</v>
      </c>
      <c r="E2778" t="n">
        <v>6038.58</v>
      </c>
      <c r="F2778" t="n">
        <v>8625.68</v>
      </c>
    </row>
    <row r="2779">
      <c r="A2779" s="3" t="n">
        <v>42530</v>
      </c>
      <c r="B2779" t="n">
        <v>9460.889999999999</v>
      </c>
      <c r="C2779" t="n">
        <v>5966.13</v>
      </c>
      <c r="D2779" t="n">
        <v>3494.17</v>
      </c>
      <c r="E2779" t="n">
        <v>5984.85</v>
      </c>
      <c r="F2779" t="n">
        <v>8594.18</v>
      </c>
    </row>
    <row r="2780">
      <c r="A2780" s="3" t="n">
        <v>42531</v>
      </c>
      <c r="B2780" t="n">
        <v>9468.76</v>
      </c>
      <c r="C2780" t="n">
        <v>5951.39</v>
      </c>
      <c r="D2780" t="n">
        <v>3500</v>
      </c>
      <c r="E2780" t="n">
        <v>5973.49</v>
      </c>
      <c r="F2780" t="n">
        <v>8602.65</v>
      </c>
    </row>
    <row r="2781">
      <c r="A2781" s="3" t="n">
        <v>42534</v>
      </c>
      <c r="B2781" t="n">
        <v>9417.08</v>
      </c>
      <c r="C2781" t="n">
        <v>5941.32</v>
      </c>
      <c r="D2781" t="n">
        <v>3470.64</v>
      </c>
      <c r="E2781" t="n">
        <v>5943.49</v>
      </c>
      <c r="F2781" t="n">
        <v>8570.860000000001</v>
      </c>
    </row>
    <row r="2782">
      <c r="A2782" s="3" t="n">
        <v>42535</v>
      </c>
      <c r="B2782" t="n">
        <v>9454.49</v>
      </c>
      <c r="C2782" t="n">
        <v>5938.69</v>
      </c>
      <c r="D2782" t="n">
        <v>3517.93</v>
      </c>
      <c r="E2782" t="n">
        <v>5932.87</v>
      </c>
      <c r="F2782" t="n">
        <v>8601.65</v>
      </c>
    </row>
    <row r="2783">
      <c r="A2783" s="3" t="n">
        <v>42536</v>
      </c>
      <c r="B2783" t="n">
        <v>9473.440000000001</v>
      </c>
      <c r="C2783" t="n">
        <v>5975.16</v>
      </c>
      <c r="D2783" t="n">
        <v>3554.18</v>
      </c>
      <c r="E2783" t="n">
        <v>6012.68</v>
      </c>
      <c r="F2783" t="n">
        <v>8605.1</v>
      </c>
    </row>
    <row r="2784">
      <c r="A2784" s="3" t="n">
        <v>42537</v>
      </c>
      <c r="B2784" t="n">
        <v>9430.16</v>
      </c>
      <c r="C2784" t="n">
        <v>5960.41</v>
      </c>
      <c r="D2784" t="n">
        <v>3567.11</v>
      </c>
      <c r="E2784" t="n">
        <v>5976.88</v>
      </c>
      <c r="F2784" t="n">
        <v>8524.5</v>
      </c>
    </row>
    <row r="2785">
      <c r="A2785" s="3" t="n">
        <v>42538</v>
      </c>
      <c r="B2785" t="n">
        <v>9427.530000000001</v>
      </c>
      <c r="C2785" t="n">
        <v>5972.74</v>
      </c>
      <c r="D2785" t="n">
        <v>3577.87</v>
      </c>
      <c r="E2785" t="n">
        <v>6005.08</v>
      </c>
      <c r="F2785" t="n">
        <v>8564.530000000001</v>
      </c>
    </row>
    <row r="2786">
      <c r="A2786" s="3" t="n">
        <v>42541</v>
      </c>
      <c r="B2786" t="n">
        <v>9439.49</v>
      </c>
      <c r="C2786" t="n">
        <v>6010.18</v>
      </c>
      <c r="D2786" t="n">
        <v>3616.01</v>
      </c>
      <c r="E2786" t="n">
        <v>6047.28</v>
      </c>
      <c r="F2786" t="n">
        <v>8602.299999999999</v>
      </c>
    </row>
    <row r="2787">
      <c r="A2787" s="3" t="n">
        <v>42542</v>
      </c>
      <c r="B2787" t="n">
        <v>9480.59</v>
      </c>
      <c r="C2787" t="n">
        <v>6004.22</v>
      </c>
      <c r="D2787" t="n">
        <v>3624.17</v>
      </c>
      <c r="E2787" t="n">
        <v>6036.79</v>
      </c>
      <c r="F2787" t="n">
        <v>8619.629999999999</v>
      </c>
    </row>
    <row r="2788">
      <c r="A2788" s="3" t="n">
        <v>42543</v>
      </c>
      <c r="B2788" t="n">
        <v>9476.26</v>
      </c>
      <c r="C2788" t="n">
        <v>6010.38</v>
      </c>
      <c r="D2788" t="n">
        <v>3602.72</v>
      </c>
      <c r="E2788" t="n">
        <v>6027.59</v>
      </c>
      <c r="F2788" t="n">
        <v>8545.940000000001</v>
      </c>
    </row>
    <row r="2789">
      <c r="A2789" s="3" t="n">
        <v>42544</v>
      </c>
      <c r="B2789" t="n">
        <v>9451.6</v>
      </c>
      <c r="C2789" t="n">
        <v>6026.31</v>
      </c>
      <c r="D2789" t="n">
        <v>3618.82</v>
      </c>
      <c r="E2789" t="n">
        <v>6045.82</v>
      </c>
      <c r="F2789" t="n">
        <v>8515.51</v>
      </c>
    </row>
    <row r="2790">
      <c r="A2790" s="3" t="n">
        <v>42545</v>
      </c>
      <c r="B2790" t="n">
        <v>9366.370000000001</v>
      </c>
      <c r="C2790" t="n">
        <v>5959.41</v>
      </c>
      <c r="D2790" t="n">
        <v>3515.95</v>
      </c>
      <c r="E2790" t="n">
        <v>5972.07</v>
      </c>
      <c r="F2790" t="n">
        <v>8345.34</v>
      </c>
    </row>
    <row r="2791">
      <c r="A2791" s="3" t="n">
        <v>42548</v>
      </c>
      <c r="B2791" t="n">
        <v>9460.77</v>
      </c>
      <c r="C2791" t="n">
        <v>5968.42</v>
      </c>
      <c r="D2791" t="n">
        <v>3580.78</v>
      </c>
      <c r="E2791" t="n">
        <v>5972.39</v>
      </c>
      <c r="F2791" t="n">
        <v>8445.27</v>
      </c>
    </row>
    <row r="2792">
      <c r="A2792" s="3" t="n">
        <v>42549</v>
      </c>
      <c r="B2792" t="n">
        <v>9519.299999999999</v>
      </c>
      <c r="C2792" t="n">
        <v>6004.92</v>
      </c>
      <c r="D2792" t="n">
        <v>3613.29</v>
      </c>
      <c r="E2792" t="n">
        <v>6001.93</v>
      </c>
      <c r="F2792" t="n">
        <v>8531.629999999999</v>
      </c>
    </row>
    <row r="2793">
      <c r="A2793" s="3" t="n">
        <v>42550</v>
      </c>
      <c r="B2793" t="n">
        <v>9583.870000000001</v>
      </c>
      <c r="C2793" t="n">
        <v>6053.44</v>
      </c>
      <c r="D2793" t="n">
        <v>3667.38</v>
      </c>
      <c r="E2793" t="n">
        <v>6067.6</v>
      </c>
      <c r="F2793" t="n">
        <v>8605.379999999999</v>
      </c>
    </row>
    <row r="2794">
      <c r="A2794" s="3" t="n">
        <v>42551</v>
      </c>
      <c r="B2794" t="n">
        <v>9668.969999999999</v>
      </c>
      <c r="C2794" t="n">
        <v>6108.85</v>
      </c>
      <c r="D2794" t="n">
        <v>3732.71</v>
      </c>
      <c r="E2794" t="n">
        <v>6126.93</v>
      </c>
      <c r="F2794" t="n">
        <v>8685.620000000001</v>
      </c>
    </row>
    <row r="2795">
      <c r="A2795" s="3" t="n">
        <v>42552</v>
      </c>
      <c r="B2795" t="n">
        <v>9741.77</v>
      </c>
      <c r="C2795" t="n">
        <v>6148.18</v>
      </c>
      <c r="D2795" t="n">
        <v>3795.65</v>
      </c>
      <c r="E2795" t="n">
        <v>6158.35</v>
      </c>
      <c r="F2795" t="n">
        <v>8748.950000000001</v>
      </c>
    </row>
    <row r="2796">
      <c r="A2796" s="3" t="n">
        <v>42555</v>
      </c>
      <c r="B2796" t="n">
        <v>9826.209999999999</v>
      </c>
      <c r="C2796" t="n">
        <v>6164.61</v>
      </c>
      <c r="D2796" t="n">
        <v>3867.03</v>
      </c>
      <c r="E2796" t="n">
        <v>6166.65</v>
      </c>
      <c r="F2796" t="n">
        <v>8814.58</v>
      </c>
    </row>
    <row r="2797">
      <c r="A2797" s="3" t="n">
        <v>42556</v>
      </c>
      <c r="B2797" t="n">
        <v>9786.84</v>
      </c>
      <c r="C2797" t="n">
        <v>6152.06</v>
      </c>
      <c r="D2797" t="n">
        <v>3884.62</v>
      </c>
      <c r="E2797" t="n">
        <v>6142.53</v>
      </c>
      <c r="F2797" t="n">
        <v>8802.950000000001</v>
      </c>
    </row>
    <row r="2798">
      <c r="A2798" s="3" t="n">
        <v>42558</v>
      </c>
      <c r="B2798" t="n">
        <v>9811.57</v>
      </c>
      <c r="C2798" t="n">
        <v>6141.83</v>
      </c>
      <c r="D2798" t="n">
        <v>3909.74</v>
      </c>
      <c r="E2798" t="n">
        <v>6147.87</v>
      </c>
      <c r="F2798" t="n">
        <v>8830.98</v>
      </c>
    </row>
    <row r="2799">
      <c r="A2799" s="3" t="n">
        <v>42559</v>
      </c>
      <c r="B2799" t="n">
        <v>9813.74</v>
      </c>
      <c r="C2799" t="n">
        <v>6150.14</v>
      </c>
      <c r="D2799" t="n">
        <v>3890.45</v>
      </c>
      <c r="E2799" t="n">
        <v>6147.7</v>
      </c>
      <c r="F2799" t="n">
        <v>8826.389999999999</v>
      </c>
    </row>
    <row r="2800">
      <c r="A2800" s="3" t="n">
        <v>42562</v>
      </c>
      <c r="B2800" t="n">
        <v>9909.469999999999</v>
      </c>
      <c r="C2800" t="n">
        <v>6224.27</v>
      </c>
      <c r="D2800" t="n">
        <v>3978.53</v>
      </c>
      <c r="E2800" t="n">
        <v>6227.82</v>
      </c>
      <c r="F2800" t="n">
        <v>8945.27</v>
      </c>
    </row>
    <row r="2801">
      <c r="A2801" s="3" t="n">
        <v>42563</v>
      </c>
      <c r="B2801" t="n">
        <v>9941.34</v>
      </c>
      <c r="C2801" t="n">
        <v>6215.86</v>
      </c>
      <c r="D2801" t="n">
        <v>4045.88</v>
      </c>
      <c r="E2801" t="n">
        <v>6245.04</v>
      </c>
      <c r="F2801" t="n">
        <v>8996.99</v>
      </c>
    </row>
    <row r="2802">
      <c r="A2802" s="3" t="n">
        <v>42564</v>
      </c>
      <c r="B2802" t="n">
        <v>9916.02</v>
      </c>
      <c r="C2802" t="n">
        <v>6218.55</v>
      </c>
      <c r="D2802" t="n">
        <v>4033.28</v>
      </c>
      <c r="E2802" t="n">
        <v>6231.3</v>
      </c>
      <c r="F2802" t="n">
        <v>8934.969999999999</v>
      </c>
    </row>
    <row r="2803">
      <c r="A2803" s="3" t="n">
        <v>42565</v>
      </c>
      <c r="B2803" t="n">
        <v>9952.57</v>
      </c>
      <c r="C2803" t="n">
        <v>6248.33</v>
      </c>
      <c r="D2803" t="n">
        <v>4091.07</v>
      </c>
      <c r="E2803" t="n">
        <v>6262.61</v>
      </c>
      <c r="F2803" t="n">
        <v>8941.93</v>
      </c>
    </row>
    <row r="2804">
      <c r="A2804" s="3" t="n">
        <v>42566</v>
      </c>
      <c r="B2804" t="n">
        <v>9896.959999999999</v>
      </c>
      <c r="C2804" t="n">
        <v>6183.73</v>
      </c>
      <c r="D2804" t="n">
        <v>4079.55</v>
      </c>
      <c r="E2804" t="n">
        <v>6243.97</v>
      </c>
      <c r="F2804" t="n">
        <v>8878.33</v>
      </c>
    </row>
    <row r="2805">
      <c r="A2805" s="3" t="n">
        <v>42569</v>
      </c>
      <c r="B2805" t="n">
        <v>9863.07</v>
      </c>
      <c r="C2805" t="n">
        <v>6171.59</v>
      </c>
      <c r="D2805" t="n">
        <v>4033.01</v>
      </c>
      <c r="E2805" t="n">
        <v>6221.93</v>
      </c>
      <c r="F2805" t="n">
        <v>8805.959999999999</v>
      </c>
    </row>
    <row r="2806">
      <c r="A2806" s="3" t="n">
        <v>42570</v>
      </c>
      <c r="B2806" t="n">
        <v>9844.9</v>
      </c>
      <c r="C2806" t="n">
        <v>6174.08</v>
      </c>
      <c r="D2806" t="n">
        <v>4074.33</v>
      </c>
      <c r="E2806" t="n">
        <v>6226.98</v>
      </c>
      <c r="F2806" t="n">
        <v>8818.5</v>
      </c>
    </row>
    <row r="2807">
      <c r="A2807" s="3" t="n">
        <v>42571</v>
      </c>
      <c r="B2807" t="n">
        <v>9931.719999999999</v>
      </c>
      <c r="C2807" t="n">
        <v>6230.59</v>
      </c>
      <c r="D2807" t="n">
        <v>4101.26</v>
      </c>
      <c r="E2807" t="n">
        <v>6252.83</v>
      </c>
      <c r="F2807" t="n">
        <v>8934.82</v>
      </c>
    </row>
    <row r="2808">
      <c r="A2808" s="3" t="n">
        <v>42572</v>
      </c>
      <c r="B2808" t="n">
        <v>9922.26</v>
      </c>
      <c r="C2808" t="n">
        <v>6232.72</v>
      </c>
      <c r="D2808" t="n">
        <v>4068.99</v>
      </c>
      <c r="E2808" t="n">
        <v>6247.15</v>
      </c>
      <c r="F2808" t="n">
        <v>8934.99</v>
      </c>
    </row>
    <row r="2809">
      <c r="A2809" s="3" t="n">
        <v>42573</v>
      </c>
      <c r="B2809" t="n">
        <v>9971.209999999999</v>
      </c>
      <c r="C2809" t="n">
        <v>6242.16</v>
      </c>
      <c r="D2809" t="n">
        <v>4128.2</v>
      </c>
      <c r="E2809" t="n">
        <v>6262.89</v>
      </c>
      <c r="F2809" t="n">
        <v>9022.719999999999</v>
      </c>
    </row>
    <row r="2810">
      <c r="A2810" s="3" t="n">
        <v>42576</v>
      </c>
      <c r="B2810" t="n">
        <v>10054.28</v>
      </c>
      <c r="C2810" t="n">
        <v>6276.89</v>
      </c>
      <c r="D2810" t="n">
        <v>4206.47</v>
      </c>
      <c r="E2810" t="n">
        <v>6323.76</v>
      </c>
      <c r="F2810" t="n">
        <v>9109.530000000001</v>
      </c>
    </row>
    <row r="2811">
      <c r="A2811" s="3" t="n">
        <v>42577</v>
      </c>
      <c r="B2811" t="n">
        <v>10062.22</v>
      </c>
      <c r="C2811" t="n">
        <v>6234.33</v>
      </c>
      <c r="D2811" t="n">
        <v>4172.84</v>
      </c>
      <c r="E2811" t="n">
        <v>6300.23</v>
      </c>
      <c r="F2811" t="n">
        <v>9106</v>
      </c>
    </row>
    <row r="2812">
      <c r="A2812" s="3" t="n">
        <v>42578</v>
      </c>
      <c r="B2812" t="n">
        <v>10076.11</v>
      </c>
      <c r="C2812" t="n">
        <v>6217.38</v>
      </c>
      <c r="D2812" t="n">
        <v>4191.47</v>
      </c>
      <c r="E2812" t="n">
        <v>6317.21</v>
      </c>
      <c r="F2812" t="n">
        <v>9193.629999999999</v>
      </c>
    </row>
    <row r="2813">
      <c r="A2813" s="3" t="n">
        <v>42579</v>
      </c>
      <c r="B2813" t="n">
        <v>10192.09</v>
      </c>
      <c r="C2813" t="n">
        <v>6262.81</v>
      </c>
      <c r="D2813" t="n">
        <v>4193.03</v>
      </c>
      <c r="E2813" t="n">
        <v>6373.93</v>
      </c>
      <c r="F2813" t="n">
        <v>9283.57</v>
      </c>
    </row>
    <row r="2814">
      <c r="A2814" s="3" t="n">
        <v>42580</v>
      </c>
      <c r="B2814" t="n">
        <v>10289.39</v>
      </c>
      <c r="C2814" t="n">
        <v>6284.98</v>
      </c>
      <c r="D2814" t="n">
        <v>4180.28</v>
      </c>
      <c r="E2814" t="n">
        <v>6360.26</v>
      </c>
      <c r="F2814" t="n">
        <v>9342.65</v>
      </c>
    </row>
    <row r="2815">
      <c r="A2815" s="3" t="n">
        <v>42583</v>
      </c>
      <c r="B2815" t="n">
        <v>10360.83</v>
      </c>
      <c r="C2815" t="n">
        <v>6328.99</v>
      </c>
      <c r="D2815" t="n">
        <v>4182.38</v>
      </c>
      <c r="E2815" t="n">
        <v>6378.43</v>
      </c>
      <c r="F2815" t="n">
        <v>9404.57</v>
      </c>
    </row>
    <row r="2816">
      <c r="A2816" s="3" t="n">
        <v>42584</v>
      </c>
      <c r="B2816" t="n">
        <v>10311.14</v>
      </c>
      <c r="C2816" t="n">
        <v>6344.25</v>
      </c>
      <c r="D2816" t="n">
        <v>4144.53</v>
      </c>
      <c r="E2816" t="n">
        <v>6385.12</v>
      </c>
      <c r="F2816" t="n">
        <v>9291.469999999999</v>
      </c>
    </row>
    <row r="2817">
      <c r="A2817" s="3" t="n">
        <v>42585</v>
      </c>
      <c r="B2817" t="n">
        <v>10150.64</v>
      </c>
      <c r="C2817" t="n">
        <v>6284.95</v>
      </c>
      <c r="D2817" t="n">
        <v>4108.36</v>
      </c>
      <c r="E2817" t="n">
        <v>6317.92</v>
      </c>
      <c r="F2817" t="n">
        <v>9146.59</v>
      </c>
    </row>
    <row r="2818">
      <c r="A2818" s="3" t="n">
        <v>42586</v>
      </c>
      <c r="B2818" t="n">
        <v>10182.26</v>
      </c>
      <c r="C2818" t="n">
        <v>6283.43</v>
      </c>
      <c r="D2818" t="n">
        <v>4152.69</v>
      </c>
      <c r="E2818" t="n">
        <v>6313.96</v>
      </c>
      <c r="F2818" t="n">
        <v>9200.9</v>
      </c>
    </row>
    <row r="2819">
      <c r="A2819" s="3" t="n">
        <v>42587</v>
      </c>
      <c r="B2819" t="n">
        <v>10296.85</v>
      </c>
      <c r="C2819" t="n">
        <v>6353.92</v>
      </c>
      <c r="D2819" t="n">
        <v>4258.23</v>
      </c>
      <c r="E2819" t="n">
        <v>6400.75</v>
      </c>
      <c r="F2819" t="n">
        <v>9343.07</v>
      </c>
    </row>
    <row r="2820">
      <c r="A2820" s="3" t="n">
        <v>42590</v>
      </c>
      <c r="B2820" t="n">
        <v>10420.81</v>
      </c>
      <c r="C2820" t="n">
        <v>6414.74</v>
      </c>
      <c r="D2820" t="n">
        <v>4287.28</v>
      </c>
      <c r="E2820" t="n">
        <v>6431.98</v>
      </c>
      <c r="F2820" t="n">
        <v>9421.6</v>
      </c>
    </row>
    <row r="2821">
      <c r="A2821" s="3" t="n">
        <v>42591</v>
      </c>
      <c r="B2821" t="n">
        <v>10390.27</v>
      </c>
      <c r="C2821" t="n">
        <v>6379.21</v>
      </c>
      <c r="D2821" t="n">
        <v>4242.48</v>
      </c>
      <c r="E2821" t="n">
        <v>6396.13</v>
      </c>
      <c r="F2821" t="n">
        <v>9307.73</v>
      </c>
    </row>
    <row r="2822">
      <c r="A2822" s="3" t="n">
        <v>42592</v>
      </c>
      <c r="B2822" t="n">
        <v>10307.89</v>
      </c>
      <c r="C2822" t="n">
        <v>6307.78</v>
      </c>
      <c r="D2822" t="n">
        <v>4162.7</v>
      </c>
      <c r="E2822" t="n">
        <v>6312.99</v>
      </c>
      <c r="F2822" t="n">
        <v>9220.780000000001</v>
      </c>
    </row>
    <row r="2823">
      <c r="A2823" s="3" t="n">
        <v>42593</v>
      </c>
      <c r="B2823" t="n">
        <v>10356.08</v>
      </c>
      <c r="C2823" t="n">
        <v>6356.41</v>
      </c>
      <c r="D2823" t="n">
        <v>4144.69</v>
      </c>
      <c r="E2823" t="n">
        <v>6340.84</v>
      </c>
      <c r="F2823" t="n">
        <v>9144.959999999999</v>
      </c>
    </row>
    <row r="2824">
      <c r="A2824" s="3" t="n">
        <v>42594</v>
      </c>
      <c r="B2824" t="n">
        <v>10385.31</v>
      </c>
      <c r="C2824" t="n">
        <v>6367.03</v>
      </c>
      <c r="D2824" t="n">
        <v>4180.08</v>
      </c>
      <c r="E2824" t="n">
        <v>6382.07</v>
      </c>
      <c r="F2824" t="n">
        <v>9203.610000000001</v>
      </c>
    </row>
    <row r="2825">
      <c r="A2825" s="3" t="n">
        <v>42598</v>
      </c>
      <c r="B2825" t="n">
        <v>10368.28</v>
      </c>
      <c r="C2825" t="n">
        <v>6355.15</v>
      </c>
      <c r="D2825" t="n">
        <v>4210.21</v>
      </c>
      <c r="E2825" t="n">
        <v>6379.7</v>
      </c>
      <c r="F2825" t="n">
        <v>9198.780000000001</v>
      </c>
    </row>
    <row r="2826">
      <c r="A2826" s="3" t="n">
        <v>42599</v>
      </c>
      <c r="B2826" t="n">
        <v>10405.55</v>
      </c>
      <c r="C2826" t="n">
        <v>6372.67</v>
      </c>
      <c r="D2826" t="n">
        <v>4236.55</v>
      </c>
      <c r="E2826" t="n">
        <v>6361.16</v>
      </c>
      <c r="F2826" t="n">
        <v>9251.459999999999</v>
      </c>
    </row>
    <row r="2827">
      <c r="A2827" s="3" t="n">
        <v>42600</v>
      </c>
      <c r="B2827" t="n">
        <v>10494.33</v>
      </c>
      <c r="C2827" t="n">
        <v>6374.28</v>
      </c>
      <c r="D2827" t="n">
        <v>4270.46</v>
      </c>
      <c r="E2827" t="n">
        <v>6395.73</v>
      </c>
      <c r="F2827" t="n">
        <v>9418.629999999999</v>
      </c>
    </row>
    <row r="2828">
      <c r="A2828" s="3" t="n">
        <v>42601</v>
      </c>
      <c r="B2828" t="n">
        <v>10562.82</v>
      </c>
      <c r="C2828" t="n">
        <v>6372.44</v>
      </c>
      <c r="D2828" t="n">
        <v>4325.14</v>
      </c>
      <c r="E2828" t="n">
        <v>6389.54</v>
      </c>
      <c r="F2828" t="n">
        <v>9475.219999999999</v>
      </c>
    </row>
    <row r="2829">
      <c r="A2829" s="3" t="n">
        <v>42604</v>
      </c>
      <c r="B2829" t="n">
        <v>10489.1</v>
      </c>
      <c r="C2829" t="n">
        <v>6347.59</v>
      </c>
      <c r="D2829" t="n">
        <v>4289.17</v>
      </c>
      <c r="E2829" t="n">
        <v>6371.18</v>
      </c>
      <c r="F2829" t="n">
        <v>9380.379999999999</v>
      </c>
    </row>
    <row r="2830">
      <c r="A2830" s="3" t="n">
        <v>42605</v>
      </c>
      <c r="B2830" t="n">
        <v>10423.63</v>
      </c>
      <c r="C2830" t="n">
        <v>6356.43</v>
      </c>
      <c r="D2830" t="n">
        <v>4258.97</v>
      </c>
      <c r="E2830" t="n">
        <v>6368.73</v>
      </c>
      <c r="F2830" t="n">
        <v>9292.969999999999</v>
      </c>
    </row>
    <row r="2831">
      <c r="A2831" s="3" t="n">
        <v>42606</v>
      </c>
      <c r="B2831" t="n">
        <v>10486.94</v>
      </c>
      <c r="C2831" t="n">
        <v>6388.07</v>
      </c>
      <c r="D2831" t="n">
        <v>4288.17</v>
      </c>
      <c r="E2831" t="n">
        <v>6386.25</v>
      </c>
      <c r="F2831" t="n">
        <v>9312.07</v>
      </c>
    </row>
    <row r="2832">
      <c r="A2832" s="3" t="n">
        <v>42607</v>
      </c>
      <c r="B2832" t="n">
        <v>10489.07</v>
      </c>
      <c r="C2832" t="n">
        <v>6356.26</v>
      </c>
      <c r="D2832" t="n">
        <v>4250.42</v>
      </c>
      <c r="E2832" t="n">
        <v>6339.6</v>
      </c>
      <c r="F2832" t="n">
        <v>9252.309999999999</v>
      </c>
    </row>
    <row r="2833">
      <c r="A2833" s="3" t="n">
        <v>42608</v>
      </c>
      <c r="B2833" t="n">
        <v>10515.37</v>
      </c>
      <c r="C2833" t="n">
        <v>6355.29</v>
      </c>
      <c r="D2833" t="n">
        <v>4220.04</v>
      </c>
      <c r="E2833" t="n">
        <v>6325.65</v>
      </c>
      <c r="F2833" t="n">
        <v>9249.370000000001</v>
      </c>
    </row>
    <row r="2834">
      <c r="A2834" s="3" t="n">
        <v>42611</v>
      </c>
      <c r="B2834" t="n">
        <v>10530.4</v>
      </c>
      <c r="C2834" t="n">
        <v>6326.91</v>
      </c>
      <c r="D2834" t="n">
        <v>4243.33</v>
      </c>
      <c r="E2834" t="n">
        <v>6329.48</v>
      </c>
      <c r="F2834" t="n">
        <v>9258.32</v>
      </c>
    </row>
    <row r="2835">
      <c r="A2835" s="3" t="n">
        <v>42612</v>
      </c>
      <c r="B2835" t="n">
        <v>10616.91</v>
      </c>
      <c r="C2835" t="n">
        <v>6413.45</v>
      </c>
      <c r="D2835" t="n">
        <v>4301.73</v>
      </c>
      <c r="E2835" t="n">
        <v>6421.29</v>
      </c>
      <c r="F2835" t="n">
        <v>9359.780000000001</v>
      </c>
    </row>
    <row r="2836">
      <c r="A2836" s="3" t="n">
        <v>42613</v>
      </c>
      <c r="B2836" t="n">
        <v>10666.27</v>
      </c>
      <c r="C2836" t="n">
        <v>6433.22</v>
      </c>
      <c r="D2836" t="n">
        <v>4308.32</v>
      </c>
      <c r="E2836" t="n">
        <v>6460.7</v>
      </c>
      <c r="F2836" t="n">
        <v>9374.27</v>
      </c>
    </row>
    <row r="2837">
      <c r="A2837" s="3" t="n">
        <v>42614</v>
      </c>
      <c r="B2837" t="n">
        <v>10613.79</v>
      </c>
      <c r="C2837" t="n">
        <v>6443.97</v>
      </c>
      <c r="D2837" t="n">
        <v>4255.6</v>
      </c>
      <c r="E2837" t="n">
        <v>6452.82</v>
      </c>
      <c r="F2837" t="n">
        <v>9309.870000000001</v>
      </c>
    </row>
    <row r="2838">
      <c r="A2838" s="3" t="n">
        <v>42615</v>
      </c>
      <c r="B2838" t="n">
        <v>10623.81</v>
      </c>
      <c r="C2838" t="n">
        <v>6450.03</v>
      </c>
      <c r="D2838" t="n">
        <v>4287.65</v>
      </c>
      <c r="E2838" t="n">
        <v>6473.94</v>
      </c>
      <c r="F2838" t="n">
        <v>9361.23</v>
      </c>
    </row>
    <row r="2839">
      <c r="A2839" s="3" t="n">
        <v>42619</v>
      </c>
      <c r="B2839" t="n">
        <v>10816.9</v>
      </c>
      <c r="C2839" t="n">
        <v>6520.7</v>
      </c>
      <c r="D2839" t="n">
        <v>4347.37</v>
      </c>
      <c r="E2839" t="n">
        <v>6545.71</v>
      </c>
      <c r="F2839" t="n">
        <v>9514.309999999999</v>
      </c>
    </row>
    <row r="2840">
      <c r="A2840" s="3" t="n">
        <v>42620</v>
      </c>
      <c r="B2840" t="n">
        <v>10830.88</v>
      </c>
      <c r="C2840" t="n">
        <v>6503.18</v>
      </c>
      <c r="D2840" t="n">
        <v>4396.45</v>
      </c>
      <c r="E2840" t="n">
        <v>6509.7</v>
      </c>
      <c r="F2840" t="n">
        <v>9561.4</v>
      </c>
    </row>
    <row r="2841">
      <c r="A2841" s="3" t="n">
        <v>42621</v>
      </c>
      <c r="B2841" t="n">
        <v>10899.64</v>
      </c>
      <c r="C2841" t="n">
        <v>6522.71</v>
      </c>
      <c r="D2841" t="n">
        <v>4444.33</v>
      </c>
      <c r="E2841" t="n">
        <v>6547.97</v>
      </c>
      <c r="F2841" t="n">
        <v>9652.09</v>
      </c>
    </row>
    <row r="2842">
      <c r="A2842" s="3" t="n">
        <v>42622</v>
      </c>
      <c r="B2842" t="n">
        <v>10812.61</v>
      </c>
      <c r="C2842" t="n">
        <v>6473.91</v>
      </c>
      <c r="D2842" t="n">
        <v>4399.86</v>
      </c>
      <c r="E2842" t="n">
        <v>6477.42</v>
      </c>
      <c r="F2842" t="n">
        <v>9580.99</v>
      </c>
    </row>
    <row r="2843">
      <c r="A2843" s="3" t="n">
        <v>42625</v>
      </c>
      <c r="B2843" t="n">
        <v>10593.04</v>
      </c>
      <c r="C2843" t="n">
        <v>6376.87</v>
      </c>
      <c r="D2843" t="n">
        <v>4201.06</v>
      </c>
      <c r="E2843" t="n">
        <v>6379.05</v>
      </c>
      <c r="F2843" t="n">
        <v>9295.77</v>
      </c>
    </row>
    <row r="2844">
      <c r="A2844" s="3" t="n">
        <v>42627</v>
      </c>
      <c r="B2844" t="n">
        <v>10704.37</v>
      </c>
      <c r="C2844" t="n">
        <v>6395.76</v>
      </c>
      <c r="D2844" t="n">
        <v>4277.23</v>
      </c>
      <c r="E2844" t="n">
        <v>6390.51</v>
      </c>
      <c r="F2844" t="n">
        <v>9412.219999999999</v>
      </c>
    </row>
    <row r="2845">
      <c r="A2845" s="3" t="n">
        <v>42628</v>
      </c>
      <c r="B2845" t="n">
        <v>10729.32</v>
      </c>
      <c r="C2845" t="n">
        <v>6400.14</v>
      </c>
      <c r="D2845" t="n">
        <v>4255.98</v>
      </c>
      <c r="E2845" t="n">
        <v>6391.63</v>
      </c>
      <c r="F2845" t="n">
        <v>9480.65</v>
      </c>
    </row>
    <row r="2846">
      <c r="A2846" s="3" t="n">
        <v>42629</v>
      </c>
      <c r="B2846" t="n">
        <v>10776.63</v>
      </c>
      <c r="C2846" t="n">
        <v>6429.12</v>
      </c>
      <c r="D2846" t="n">
        <v>4224.68</v>
      </c>
      <c r="E2846" t="n">
        <v>6424.23</v>
      </c>
      <c r="F2846" t="n">
        <v>9495.5</v>
      </c>
    </row>
    <row r="2847">
      <c r="A2847" s="3" t="n">
        <v>42632</v>
      </c>
      <c r="B2847" t="n">
        <v>10789.08</v>
      </c>
      <c r="C2847" t="n">
        <v>6440.13</v>
      </c>
      <c r="D2847" t="n">
        <v>4267.85</v>
      </c>
      <c r="E2847" t="n">
        <v>6441.8</v>
      </c>
      <c r="F2847" t="n">
        <v>9570.040000000001</v>
      </c>
    </row>
    <row r="2848">
      <c r="A2848" s="3" t="n">
        <v>42633</v>
      </c>
      <c r="B2848" t="n">
        <v>10762.82</v>
      </c>
      <c r="C2848" t="n">
        <v>6420.23</v>
      </c>
      <c r="D2848" t="n">
        <v>4264.62</v>
      </c>
      <c r="E2848" t="n">
        <v>6409.86</v>
      </c>
      <c r="F2848" t="n">
        <v>9547.76</v>
      </c>
    </row>
    <row r="2849">
      <c r="A2849" s="3" t="n">
        <v>42634</v>
      </c>
      <c r="B2849" t="n">
        <v>10800.6</v>
      </c>
      <c r="C2849" t="n">
        <v>6422.23</v>
      </c>
      <c r="D2849" t="n">
        <v>4269.21</v>
      </c>
      <c r="E2849" t="n">
        <v>6403</v>
      </c>
      <c r="F2849" t="n">
        <v>9575.02</v>
      </c>
    </row>
    <row r="2850">
      <c r="A2850" s="3" t="n">
        <v>42635</v>
      </c>
      <c r="B2850" t="n">
        <v>10906.41</v>
      </c>
      <c r="C2850" t="n">
        <v>6462.48</v>
      </c>
      <c r="D2850" t="n">
        <v>4347.83</v>
      </c>
      <c r="E2850" t="n">
        <v>6465.03</v>
      </c>
      <c r="F2850" t="n">
        <v>9709.68</v>
      </c>
    </row>
    <row r="2851">
      <c r="A2851" s="3" t="n">
        <v>42636</v>
      </c>
      <c r="B2851" t="n">
        <v>10902.1</v>
      </c>
      <c r="C2851" t="n">
        <v>6456.35</v>
      </c>
      <c r="D2851" t="n">
        <v>4350.74</v>
      </c>
      <c r="E2851" t="n">
        <v>6449.04</v>
      </c>
      <c r="F2851" t="n">
        <v>9730.120000000001</v>
      </c>
    </row>
    <row r="2852">
      <c r="A2852" s="3" t="n">
        <v>42639</v>
      </c>
      <c r="B2852" t="n">
        <v>10877.6</v>
      </c>
      <c r="C2852" t="n">
        <v>6423.19</v>
      </c>
      <c r="D2852" t="n">
        <v>4334.64</v>
      </c>
      <c r="E2852" t="n">
        <v>6382.65</v>
      </c>
      <c r="F2852" t="n">
        <v>9682.41</v>
      </c>
    </row>
    <row r="2853">
      <c r="A2853" s="3" t="n">
        <v>42640</v>
      </c>
      <c r="B2853" t="n">
        <v>10858.46</v>
      </c>
      <c r="C2853" t="n">
        <v>6438.97</v>
      </c>
      <c r="D2853" t="n">
        <v>4302.16</v>
      </c>
      <c r="E2853" t="n">
        <v>6382.2</v>
      </c>
      <c r="F2853" t="n">
        <v>9679.469999999999</v>
      </c>
    </row>
    <row r="2854">
      <c r="A2854" s="3" t="n">
        <v>42641</v>
      </c>
      <c r="B2854" t="n">
        <v>10917.5</v>
      </c>
      <c r="C2854" t="n">
        <v>6455.49</v>
      </c>
      <c r="D2854" t="n">
        <v>4404.58</v>
      </c>
      <c r="E2854" t="n">
        <v>6394.58</v>
      </c>
      <c r="F2854" t="n">
        <v>9733.139999999999</v>
      </c>
    </row>
    <row r="2855">
      <c r="A2855" s="3" t="n">
        <v>42642</v>
      </c>
      <c r="B2855" t="n">
        <v>10508</v>
      </c>
      <c r="C2855" t="n">
        <v>6325.83</v>
      </c>
      <c r="D2855" t="n">
        <v>4196.36</v>
      </c>
      <c r="E2855" t="n">
        <v>6285.23</v>
      </c>
      <c r="F2855" t="n">
        <v>9257.309999999999</v>
      </c>
    </row>
    <row r="2856">
      <c r="A2856" s="3" t="n">
        <v>42643</v>
      </c>
      <c r="B2856" t="n">
        <v>10683.9</v>
      </c>
      <c r="C2856" t="n">
        <v>6356.95</v>
      </c>
      <c r="D2856" t="n">
        <v>4301.45</v>
      </c>
      <c r="E2856" t="n">
        <v>6304.57</v>
      </c>
      <c r="F2856" t="n">
        <v>9463.610000000001</v>
      </c>
    </row>
    <row r="2857">
      <c r="A2857" s="3" t="n">
        <v>42646</v>
      </c>
      <c r="B2857" t="n">
        <v>10977.15</v>
      </c>
      <c r="C2857" t="n">
        <v>6462.15</v>
      </c>
      <c r="D2857" t="n">
        <v>4434.07</v>
      </c>
      <c r="E2857" t="n">
        <v>6409.42</v>
      </c>
      <c r="F2857" t="n">
        <v>9722.25</v>
      </c>
    </row>
    <row r="2858">
      <c r="A2858" s="3" t="n">
        <v>42647</v>
      </c>
      <c r="B2858" t="n">
        <v>11067.94</v>
      </c>
      <c r="C2858" t="n">
        <v>6475.82</v>
      </c>
      <c r="D2858" t="n">
        <v>4502.71</v>
      </c>
      <c r="E2858" t="n">
        <v>6429.65</v>
      </c>
      <c r="F2858" t="n">
        <v>9766.309999999999</v>
      </c>
    </row>
    <row r="2859">
      <c r="A2859" s="3" t="n">
        <v>42648</v>
      </c>
      <c r="B2859" t="n">
        <v>11098.75</v>
      </c>
      <c r="C2859" t="n">
        <v>6477.6</v>
      </c>
      <c r="D2859" t="n">
        <v>4530.42</v>
      </c>
      <c r="E2859" t="n">
        <v>6425.37</v>
      </c>
      <c r="F2859" t="n">
        <v>9789.49</v>
      </c>
    </row>
    <row r="2860">
      <c r="A2860" s="3" t="n">
        <v>42649</v>
      </c>
      <c r="B2860" t="n">
        <v>11094.87</v>
      </c>
      <c r="C2860" t="n">
        <v>6441.14</v>
      </c>
      <c r="D2860" t="n">
        <v>4535.43</v>
      </c>
      <c r="E2860" t="n">
        <v>6408.29</v>
      </c>
      <c r="F2860" t="n">
        <v>9722.309999999999</v>
      </c>
    </row>
    <row r="2861">
      <c r="A2861" s="3" t="n">
        <v>42650</v>
      </c>
      <c r="B2861" t="n">
        <v>11088.11</v>
      </c>
      <c r="C2861" t="n">
        <v>6420.79</v>
      </c>
      <c r="D2861" t="n">
        <v>4546.63</v>
      </c>
      <c r="E2861" t="n">
        <v>6380.45</v>
      </c>
      <c r="F2861" t="n">
        <v>9715.049999999999</v>
      </c>
    </row>
    <row r="2862">
      <c r="A2862" s="3" t="n">
        <v>42653</v>
      </c>
      <c r="B2862" t="n">
        <v>11083.8</v>
      </c>
      <c r="C2862" t="n">
        <v>6449.63</v>
      </c>
      <c r="D2862" t="n">
        <v>4544.27</v>
      </c>
      <c r="E2862" t="n">
        <v>6396.09</v>
      </c>
      <c r="F2862" t="n">
        <v>9726.219999999999</v>
      </c>
    </row>
    <row r="2863">
      <c r="A2863" s="3" t="n">
        <v>42656</v>
      </c>
      <c r="B2863" t="n">
        <v>10952.44</v>
      </c>
      <c r="C2863" t="n">
        <v>6386.63</v>
      </c>
      <c r="D2863" t="n">
        <v>4463.56</v>
      </c>
      <c r="E2863" t="n">
        <v>6325.22</v>
      </c>
      <c r="F2863" t="n">
        <v>9619.33</v>
      </c>
    </row>
    <row r="2864">
      <c r="A2864" s="3" t="n">
        <v>42657</v>
      </c>
      <c r="B2864" t="n">
        <v>11081.64</v>
      </c>
      <c r="C2864" t="n">
        <v>6363.1</v>
      </c>
      <c r="D2864" t="n">
        <v>4488.44</v>
      </c>
      <c r="E2864" t="n">
        <v>6321.08</v>
      </c>
      <c r="F2864" t="n">
        <v>9708.84</v>
      </c>
    </row>
    <row r="2865">
      <c r="A2865" s="3" t="n">
        <v>42660</v>
      </c>
      <c r="B2865" t="n">
        <v>11066.31</v>
      </c>
      <c r="C2865" t="n">
        <v>6312.29</v>
      </c>
      <c r="D2865" t="n">
        <v>4452.67</v>
      </c>
      <c r="E2865" t="n">
        <v>6251.13</v>
      </c>
      <c r="F2865" t="n">
        <v>9695.059999999999</v>
      </c>
    </row>
    <row r="2866">
      <c r="A2866" s="3" t="n">
        <v>42661</v>
      </c>
      <c r="B2866" t="n">
        <v>11218.45</v>
      </c>
      <c r="C2866" t="n">
        <v>6402.02</v>
      </c>
      <c r="D2866" t="n">
        <v>4513.64</v>
      </c>
      <c r="E2866" t="n">
        <v>6334.16</v>
      </c>
      <c r="F2866" t="n">
        <v>9886.870000000001</v>
      </c>
    </row>
    <row r="2867">
      <c r="A2867" s="3" t="n">
        <v>42662</v>
      </c>
      <c r="B2867" t="n">
        <v>11258.28</v>
      </c>
      <c r="C2867" t="n">
        <v>6389.01</v>
      </c>
      <c r="D2867" t="n">
        <v>4543.79</v>
      </c>
      <c r="E2867" t="n">
        <v>6330.01</v>
      </c>
      <c r="F2867" t="n">
        <v>9872.99</v>
      </c>
    </row>
    <row r="2868">
      <c r="A2868" s="3" t="n">
        <v>42663</v>
      </c>
      <c r="B2868" t="n">
        <v>11296.41</v>
      </c>
      <c r="C2868" t="n">
        <v>6382.69</v>
      </c>
      <c r="D2868" t="n">
        <v>4587.84</v>
      </c>
      <c r="E2868" t="n">
        <v>6324.25</v>
      </c>
      <c r="F2868" t="n">
        <v>9914.68</v>
      </c>
    </row>
    <row r="2869">
      <c r="A2869" s="3" t="n">
        <v>42664</v>
      </c>
      <c r="B2869" t="n">
        <v>11282.97</v>
      </c>
      <c r="C2869" t="n">
        <v>6403.27</v>
      </c>
      <c r="D2869" t="n">
        <v>4603.85</v>
      </c>
      <c r="E2869" t="n">
        <v>6315.18</v>
      </c>
      <c r="F2869" t="n">
        <v>9928</v>
      </c>
    </row>
    <row r="2870">
      <c r="A2870" s="3" t="n">
        <v>42667</v>
      </c>
      <c r="B2870" t="n">
        <v>11295.14</v>
      </c>
      <c r="C2870" t="n">
        <v>6385.38</v>
      </c>
      <c r="D2870" t="n">
        <v>4630.5</v>
      </c>
      <c r="E2870" t="n">
        <v>6301.88</v>
      </c>
      <c r="F2870" t="n">
        <v>9907.299999999999</v>
      </c>
    </row>
    <row r="2871">
      <c r="A2871" s="3" t="n">
        <v>42668</v>
      </c>
      <c r="B2871" t="n">
        <v>11321.84</v>
      </c>
      <c r="C2871" t="n">
        <v>6389.45</v>
      </c>
      <c r="D2871" t="n">
        <v>4598.59</v>
      </c>
      <c r="E2871" t="n">
        <v>6286.43</v>
      </c>
      <c r="F2871" t="n">
        <v>9920.67</v>
      </c>
    </row>
    <row r="2872">
      <c r="A2872" s="3" t="n">
        <v>42669</v>
      </c>
      <c r="B2872" t="n">
        <v>11219.35</v>
      </c>
      <c r="C2872" t="n">
        <v>6359.03</v>
      </c>
      <c r="D2872" t="n">
        <v>4548.2</v>
      </c>
      <c r="E2872" t="n">
        <v>6278.47</v>
      </c>
      <c r="F2872" t="n">
        <v>9825.91</v>
      </c>
    </row>
    <row r="2873">
      <c r="A2873" s="3" t="n">
        <v>42670</v>
      </c>
      <c r="B2873" t="n">
        <v>11083.6</v>
      </c>
      <c r="C2873" t="n">
        <v>6282.58</v>
      </c>
      <c r="D2873" t="n">
        <v>4519.98</v>
      </c>
      <c r="E2873" t="n">
        <v>6246.4</v>
      </c>
      <c r="F2873" t="n">
        <v>9707.98</v>
      </c>
    </row>
    <row r="2874">
      <c r="A2874" s="3" t="n">
        <v>42671</v>
      </c>
      <c r="B2874" t="n">
        <v>11222.74</v>
      </c>
      <c r="C2874" t="n">
        <v>6337.53</v>
      </c>
      <c r="D2874" t="n">
        <v>4580.93</v>
      </c>
      <c r="E2874" t="n">
        <v>6279.79</v>
      </c>
      <c r="F2874" t="n">
        <v>9807.82</v>
      </c>
    </row>
    <row r="2875">
      <c r="A2875" s="3" t="n">
        <v>42673</v>
      </c>
      <c r="B2875" t="n">
        <v>11273.19</v>
      </c>
      <c r="C2875" t="n">
        <v>6350.52</v>
      </c>
      <c r="D2875" t="n">
        <v>4594.16</v>
      </c>
      <c r="E2875" t="n">
        <v>6284.58</v>
      </c>
      <c r="F2875" t="n">
        <v>9851.530000000001</v>
      </c>
    </row>
    <row r="2876">
      <c r="A2876" s="3" t="n">
        <v>42675</v>
      </c>
      <c r="B2876" t="n">
        <v>11304.32</v>
      </c>
      <c r="C2876" t="n">
        <v>6329.18</v>
      </c>
      <c r="D2876" t="n">
        <v>4648.48</v>
      </c>
      <c r="E2876" t="n">
        <v>6274.65</v>
      </c>
      <c r="F2876" t="n">
        <v>9875.74</v>
      </c>
    </row>
    <row r="2877">
      <c r="A2877" s="3" t="n">
        <v>42676</v>
      </c>
      <c r="B2877" t="n">
        <v>11061.31</v>
      </c>
      <c r="C2877" t="n">
        <v>6251.84</v>
      </c>
      <c r="D2877" t="n">
        <v>4537.62</v>
      </c>
      <c r="E2877" t="n">
        <v>6209.02</v>
      </c>
      <c r="F2877" t="n">
        <v>9664.129999999999</v>
      </c>
    </row>
    <row r="2878">
      <c r="A2878" s="3" t="n">
        <v>42677</v>
      </c>
      <c r="B2878" t="n">
        <v>10958.13</v>
      </c>
      <c r="C2878" t="n">
        <v>6216.54</v>
      </c>
      <c r="D2878" t="n">
        <v>4465.1</v>
      </c>
      <c r="E2878" t="n">
        <v>6187.71</v>
      </c>
      <c r="F2878" t="n">
        <v>9571.690000000001</v>
      </c>
    </row>
    <row r="2879">
      <c r="A2879" s="3" t="n">
        <v>42678</v>
      </c>
      <c r="B2879" t="n">
        <v>10787.08</v>
      </c>
      <c r="C2879" t="n">
        <v>6192.2</v>
      </c>
      <c r="D2879" t="n">
        <v>4381.01</v>
      </c>
      <c r="E2879" t="n">
        <v>6161.16</v>
      </c>
      <c r="F2879" t="n">
        <v>9383.459999999999</v>
      </c>
    </row>
    <row r="2880">
      <c r="A2880" s="3" t="n">
        <v>42681</v>
      </c>
      <c r="B2880" t="n">
        <v>10892.65</v>
      </c>
      <c r="C2880" t="n">
        <v>6234.5</v>
      </c>
      <c r="D2880" t="n">
        <v>4451.02</v>
      </c>
      <c r="E2880" t="n">
        <v>6179.54</v>
      </c>
      <c r="F2880" t="n">
        <v>9516.35</v>
      </c>
    </row>
    <row r="2881">
      <c r="A2881" s="3" t="n">
        <v>42682</v>
      </c>
      <c r="B2881" t="n">
        <v>10973.24</v>
      </c>
      <c r="C2881" t="n">
        <v>6242.78</v>
      </c>
      <c r="D2881" t="n">
        <v>4459.3</v>
      </c>
      <c r="E2881" t="n">
        <v>6196.18</v>
      </c>
      <c r="F2881" t="n">
        <v>9566.15</v>
      </c>
    </row>
    <row r="2882">
      <c r="A2882" s="3" t="n">
        <v>42683</v>
      </c>
      <c r="B2882" t="n">
        <v>10707.27</v>
      </c>
      <c r="C2882" t="n">
        <v>6135.06</v>
      </c>
      <c r="D2882" t="n">
        <v>4356.21</v>
      </c>
      <c r="E2882" t="n">
        <v>6083.91</v>
      </c>
      <c r="F2882" t="n">
        <v>9284.059999999999</v>
      </c>
    </row>
    <row r="2883">
      <c r="A2883" s="3" t="n">
        <v>42684</v>
      </c>
      <c r="B2883" t="n">
        <v>10934.91</v>
      </c>
      <c r="C2883" t="n">
        <v>6150.97</v>
      </c>
      <c r="D2883" t="n">
        <v>4525.7</v>
      </c>
      <c r="E2883" t="n">
        <v>6091.59</v>
      </c>
      <c r="F2883" t="n">
        <v>9452.940000000001</v>
      </c>
    </row>
    <row r="2884">
      <c r="A2884" s="3" t="n">
        <v>42685</v>
      </c>
      <c r="B2884" t="n">
        <v>10445.79</v>
      </c>
      <c r="C2884" t="n">
        <v>5946.23</v>
      </c>
      <c r="D2884" t="n">
        <v>4412.75</v>
      </c>
      <c r="E2884" t="n">
        <v>5928.53</v>
      </c>
      <c r="F2884" t="n">
        <v>8999.57</v>
      </c>
    </row>
    <row r="2885">
      <c r="A2885" s="3" t="n">
        <v>42689</v>
      </c>
      <c r="B2885" t="n">
        <v>9809.860000000001</v>
      </c>
      <c r="C2885" t="n">
        <v>5779.11</v>
      </c>
      <c r="D2885" t="n">
        <v>4252.11</v>
      </c>
      <c r="E2885" t="n">
        <v>5763.28</v>
      </c>
      <c r="F2885" t="n">
        <v>8433.32</v>
      </c>
    </row>
    <row r="2886">
      <c r="A2886" s="3" t="n">
        <v>42690</v>
      </c>
      <c r="B2886" t="n">
        <v>9870.26</v>
      </c>
      <c r="C2886" t="n">
        <v>5816.35</v>
      </c>
      <c r="D2886" t="n">
        <v>4221.42</v>
      </c>
      <c r="E2886" t="n">
        <v>5788.96</v>
      </c>
      <c r="F2886" t="n">
        <v>8451.719999999999</v>
      </c>
    </row>
    <row r="2887">
      <c r="A2887" s="3" t="n">
        <v>42691</v>
      </c>
      <c r="B2887" t="n">
        <v>9901.35</v>
      </c>
      <c r="C2887" t="n">
        <v>5776.01</v>
      </c>
      <c r="D2887" t="n">
        <v>4243.72</v>
      </c>
      <c r="E2887" t="n">
        <v>5754.92</v>
      </c>
      <c r="F2887" t="n">
        <v>8455.209999999999</v>
      </c>
    </row>
    <row r="2888">
      <c r="A2888" s="3" t="n">
        <v>42692</v>
      </c>
      <c r="B2888" t="n">
        <v>9918.18</v>
      </c>
      <c r="C2888" t="n">
        <v>5771.06</v>
      </c>
      <c r="D2888" t="n">
        <v>4266.99</v>
      </c>
      <c r="E2888" t="n">
        <v>5772.1</v>
      </c>
      <c r="F2888" t="n">
        <v>8460.02</v>
      </c>
    </row>
    <row r="2889">
      <c r="A2889" s="3" t="n">
        <v>42695</v>
      </c>
      <c r="B2889" t="n">
        <v>9573.719999999999</v>
      </c>
      <c r="C2889" t="n">
        <v>5706.37</v>
      </c>
      <c r="D2889" t="n">
        <v>4125.3</v>
      </c>
      <c r="E2889" t="n">
        <v>5678.8</v>
      </c>
      <c r="F2889" t="n">
        <v>8145.92</v>
      </c>
    </row>
    <row r="2890">
      <c r="A2890" s="3" t="n">
        <v>42696</v>
      </c>
      <c r="B2890" t="n">
        <v>9811.91</v>
      </c>
      <c r="C2890" t="n">
        <v>5777.79</v>
      </c>
      <c r="D2890" t="n">
        <v>4194.27</v>
      </c>
      <c r="E2890" t="n">
        <v>5743.07</v>
      </c>
      <c r="F2890" t="n">
        <v>8335.469999999999</v>
      </c>
    </row>
    <row r="2891">
      <c r="A2891" s="3" t="n">
        <v>42697</v>
      </c>
      <c r="B2891" t="n">
        <v>10023.01</v>
      </c>
      <c r="C2891" t="n">
        <v>5834.22</v>
      </c>
      <c r="D2891" t="n">
        <v>4255.46</v>
      </c>
      <c r="E2891" t="n">
        <v>5773.05</v>
      </c>
      <c r="F2891" t="n">
        <v>8559</v>
      </c>
    </row>
    <row r="2892">
      <c r="A2892" s="3" t="n">
        <v>42698</v>
      </c>
      <c r="B2892" t="n">
        <v>9986.440000000001</v>
      </c>
      <c r="C2892" t="n">
        <v>5826.84</v>
      </c>
      <c r="D2892" t="n">
        <v>4266.5</v>
      </c>
      <c r="E2892" t="n">
        <v>5756.4</v>
      </c>
      <c r="F2892" t="n">
        <v>8512.209999999999</v>
      </c>
    </row>
    <row r="2893">
      <c r="A2893" s="3" t="n">
        <v>42699</v>
      </c>
      <c r="B2893" t="n">
        <v>10190.53</v>
      </c>
      <c r="C2893" t="n">
        <v>5952.08</v>
      </c>
      <c r="D2893" t="n">
        <v>4351.09</v>
      </c>
      <c r="E2893" t="n">
        <v>5860.66</v>
      </c>
      <c r="F2893" t="n">
        <v>8692.59</v>
      </c>
    </row>
    <row r="2894">
      <c r="A2894" s="3" t="n">
        <v>42702</v>
      </c>
      <c r="B2894" t="n">
        <v>10246.38</v>
      </c>
      <c r="C2894" t="n">
        <v>5973.84</v>
      </c>
      <c r="D2894" t="n">
        <v>4382.9</v>
      </c>
      <c r="E2894" t="n">
        <v>5881.32</v>
      </c>
      <c r="F2894" t="n">
        <v>8732.74</v>
      </c>
    </row>
    <row r="2895">
      <c r="A2895" s="3" t="n">
        <v>42703</v>
      </c>
      <c r="B2895" t="n">
        <v>10337.16</v>
      </c>
      <c r="C2895" t="n">
        <v>5981.39</v>
      </c>
      <c r="D2895" t="n">
        <v>4386.44</v>
      </c>
      <c r="E2895" t="n">
        <v>5906.17</v>
      </c>
      <c r="F2895" t="n">
        <v>8855.83</v>
      </c>
    </row>
    <row r="2896">
      <c r="A2896" s="3" t="n">
        <v>42704</v>
      </c>
      <c r="B2896" t="n">
        <v>10431.48</v>
      </c>
      <c r="C2896" t="n">
        <v>6027.31</v>
      </c>
      <c r="D2896" t="n">
        <v>4456.42</v>
      </c>
      <c r="E2896" t="n">
        <v>5960.41</v>
      </c>
      <c r="F2896" t="n">
        <v>8943.860000000001</v>
      </c>
    </row>
    <row r="2897">
      <c r="A2897" s="3" t="n">
        <v>42705</v>
      </c>
      <c r="B2897" t="n">
        <v>10251.22</v>
      </c>
      <c r="C2897" t="n">
        <v>5997.63</v>
      </c>
      <c r="D2897" t="n">
        <v>4379.41</v>
      </c>
      <c r="E2897" t="n">
        <v>5935.92</v>
      </c>
      <c r="F2897" t="n">
        <v>8817.67</v>
      </c>
    </row>
    <row r="2898">
      <c r="A2898" s="3" t="n">
        <v>42706</v>
      </c>
      <c r="B2898" t="n">
        <v>10091.95</v>
      </c>
      <c r="C2898" t="n">
        <v>5919.95</v>
      </c>
      <c r="D2898" t="n">
        <v>4322.39</v>
      </c>
      <c r="E2898" t="n">
        <v>5865.27</v>
      </c>
      <c r="F2898" t="n">
        <v>8643.82</v>
      </c>
    </row>
    <row r="2899">
      <c r="A2899" s="3" t="n">
        <v>42709</v>
      </c>
      <c r="B2899" t="n">
        <v>10146.54</v>
      </c>
      <c r="C2899" t="n">
        <v>5957.71</v>
      </c>
      <c r="D2899" t="n">
        <v>4356.2</v>
      </c>
      <c r="E2899" t="n">
        <v>5903.52</v>
      </c>
      <c r="F2899" t="n">
        <v>8679.08</v>
      </c>
    </row>
    <row r="2900">
      <c r="A2900" s="3" t="n">
        <v>42710</v>
      </c>
      <c r="B2900" t="n">
        <v>10225.5</v>
      </c>
      <c r="C2900" t="n">
        <v>5951.11</v>
      </c>
      <c r="D2900" t="n">
        <v>4389.15</v>
      </c>
      <c r="E2900" t="n">
        <v>5904.6</v>
      </c>
      <c r="F2900" t="n">
        <v>8724.959999999999</v>
      </c>
    </row>
    <row r="2901">
      <c r="A2901" s="3" t="n">
        <v>42711</v>
      </c>
      <c r="B2901" t="n">
        <v>10212.57</v>
      </c>
      <c r="C2901" t="n">
        <v>5931.76</v>
      </c>
      <c r="D2901" t="n">
        <v>4384.78</v>
      </c>
      <c r="E2901" t="n">
        <v>5878.03</v>
      </c>
      <c r="F2901" t="n">
        <v>8716.639999999999</v>
      </c>
    </row>
    <row r="2902">
      <c r="A2902" s="3" t="n">
        <v>42712</v>
      </c>
      <c r="B2902" t="n">
        <v>10390.46</v>
      </c>
      <c r="C2902" t="n">
        <v>6018.98</v>
      </c>
      <c r="D2902" t="n">
        <v>4470.74</v>
      </c>
      <c r="E2902" t="n">
        <v>5971.72</v>
      </c>
      <c r="F2902" t="n">
        <v>8867.93</v>
      </c>
    </row>
    <row r="2903">
      <c r="A2903" s="3" t="n">
        <v>42713</v>
      </c>
      <c r="B2903" t="n">
        <v>10417.72</v>
      </c>
      <c r="C2903" t="n">
        <v>6021.52</v>
      </c>
      <c r="D2903" t="n">
        <v>4485.17</v>
      </c>
      <c r="E2903" t="n">
        <v>5970.41</v>
      </c>
      <c r="F2903" t="n">
        <v>8895.1</v>
      </c>
    </row>
    <row r="2904">
      <c r="A2904" s="3" t="n">
        <v>42716</v>
      </c>
      <c r="B2904" t="n">
        <v>10224.55</v>
      </c>
      <c r="C2904" t="n">
        <v>5952.81</v>
      </c>
      <c r="D2904" t="n">
        <v>4442.67</v>
      </c>
      <c r="E2904" t="n">
        <v>5897.14</v>
      </c>
      <c r="F2904" t="n">
        <v>8740.370000000001</v>
      </c>
    </row>
    <row r="2905">
      <c r="A2905" s="3" t="n">
        <v>42717</v>
      </c>
      <c r="B2905" t="n">
        <v>10132.41</v>
      </c>
      <c r="C2905" t="n">
        <v>5962.94</v>
      </c>
      <c r="D2905" t="n">
        <v>4435.08</v>
      </c>
      <c r="E2905" t="n">
        <v>5920.65</v>
      </c>
      <c r="F2905" t="n">
        <v>8650.24</v>
      </c>
    </row>
    <row r="2906">
      <c r="A2906" s="3" t="n">
        <v>42718</v>
      </c>
      <c r="B2906" t="n">
        <v>10039.78</v>
      </c>
      <c r="C2906" t="n">
        <v>5943.06</v>
      </c>
      <c r="D2906" t="n">
        <v>4384.15</v>
      </c>
      <c r="E2906" t="n">
        <v>5889.53</v>
      </c>
      <c r="F2906" t="n">
        <v>8584.83</v>
      </c>
    </row>
    <row r="2907">
      <c r="A2907" s="3" t="n">
        <v>42719</v>
      </c>
      <c r="B2907" t="n">
        <v>10014.39</v>
      </c>
      <c r="C2907" t="n">
        <v>5934.35</v>
      </c>
      <c r="D2907" t="n">
        <v>4394.71</v>
      </c>
      <c r="E2907" t="n">
        <v>5869.2</v>
      </c>
      <c r="F2907" t="n">
        <v>8591.01</v>
      </c>
    </row>
    <row r="2908">
      <c r="A2908" s="3" t="n">
        <v>42720</v>
      </c>
      <c r="B2908" t="n">
        <v>9977.059999999999</v>
      </c>
      <c r="C2908" t="n">
        <v>5926.6</v>
      </c>
      <c r="D2908" t="n">
        <v>4353.73</v>
      </c>
      <c r="E2908" t="n">
        <v>5863.95</v>
      </c>
      <c r="F2908" t="n">
        <v>8542.51</v>
      </c>
    </row>
    <row r="2909">
      <c r="A2909" s="3" t="n">
        <v>42723</v>
      </c>
      <c r="B2909" t="n">
        <v>9882.83</v>
      </c>
      <c r="C2909" t="n">
        <v>5903.55</v>
      </c>
      <c r="D2909" t="n">
        <v>4357.99</v>
      </c>
      <c r="E2909" t="n">
        <v>5832.74</v>
      </c>
      <c r="F2909" t="n">
        <v>8460.66</v>
      </c>
    </row>
    <row r="2910">
      <c r="A2910" s="3" t="n">
        <v>42724</v>
      </c>
      <c r="B2910" t="n">
        <v>9774.15</v>
      </c>
      <c r="C2910" t="n">
        <v>5880.28</v>
      </c>
      <c r="D2910" t="n">
        <v>4309.08</v>
      </c>
      <c r="E2910" t="n">
        <v>5820.41</v>
      </c>
      <c r="F2910" t="n">
        <v>8363.73</v>
      </c>
    </row>
    <row r="2911">
      <c r="A2911" s="3" t="n">
        <v>42725</v>
      </c>
      <c r="B2911" t="n">
        <v>9757.129999999999</v>
      </c>
      <c r="C2911" t="n">
        <v>5861.87</v>
      </c>
      <c r="D2911" t="n">
        <v>4332.56</v>
      </c>
      <c r="E2911" t="n">
        <v>5807.32</v>
      </c>
      <c r="F2911" t="n">
        <v>8375.030000000001</v>
      </c>
    </row>
    <row r="2912">
      <c r="A2912" s="3" t="n">
        <v>42726</v>
      </c>
      <c r="B2912" t="n">
        <v>9573.049999999999</v>
      </c>
      <c r="C2912" t="n">
        <v>5804.14</v>
      </c>
      <c r="D2912" t="n">
        <v>4247.03</v>
      </c>
      <c r="E2912" t="n">
        <v>5750.3</v>
      </c>
      <c r="F2912" t="n">
        <v>8244.41</v>
      </c>
    </row>
    <row r="2913">
      <c r="A2913" s="3" t="n">
        <v>42727</v>
      </c>
      <c r="B2913" t="n">
        <v>9601.799999999999</v>
      </c>
      <c r="C2913" t="n">
        <v>5761.97</v>
      </c>
      <c r="D2913" t="n">
        <v>4221.15</v>
      </c>
      <c r="E2913" t="n">
        <v>5747.74</v>
      </c>
      <c r="F2913" t="n">
        <v>8253.92</v>
      </c>
    </row>
    <row r="2914">
      <c r="A2914" s="3" t="n">
        <v>42730</v>
      </c>
      <c r="B2914" t="n">
        <v>9370.01</v>
      </c>
      <c r="C2914" t="n">
        <v>5688.78</v>
      </c>
      <c r="D2914" t="n">
        <v>4104.07</v>
      </c>
      <c r="E2914" t="n">
        <v>5689.3</v>
      </c>
      <c r="F2914" t="n">
        <v>8028.79</v>
      </c>
    </row>
    <row r="2915">
      <c r="A2915" s="3" t="n">
        <v>42731</v>
      </c>
      <c r="B2915" t="n">
        <v>9583.540000000001</v>
      </c>
      <c r="C2915" t="n">
        <v>5771.14</v>
      </c>
      <c r="D2915" t="n">
        <v>4178.81</v>
      </c>
      <c r="E2915" t="n">
        <v>5763.9</v>
      </c>
      <c r="F2915" t="n">
        <v>8230.950000000001</v>
      </c>
    </row>
    <row r="2916">
      <c r="A2916" s="3" t="n">
        <v>42732</v>
      </c>
      <c r="B2916" t="n">
        <v>9649.09</v>
      </c>
      <c r="C2916" t="n">
        <v>5809.07</v>
      </c>
      <c r="D2916" t="n">
        <v>4183.94</v>
      </c>
      <c r="E2916" t="n">
        <v>5777.21</v>
      </c>
      <c r="F2916" t="n">
        <v>8318.58</v>
      </c>
    </row>
    <row r="2917">
      <c r="A2917" s="3" t="n">
        <v>42733</v>
      </c>
      <c r="B2917" t="n">
        <v>9808.16</v>
      </c>
      <c r="C2917" t="n">
        <v>5854.35</v>
      </c>
      <c r="D2917" t="n">
        <v>4248.11</v>
      </c>
      <c r="E2917" t="n">
        <v>5825.95</v>
      </c>
      <c r="F2917" t="n">
        <v>8461.049999999999</v>
      </c>
    </row>
    <row r="2918">
      <c r="A2918" s="3" t="n">
        <v>42734</v>
      </c>
      <c r="B2918" t="n">
        <v>9921.73</v>
      </c>
      <c r="C2918" t="n">
        <v>5908.44</v>
      </c>
      <c r="D2918" t="n">
        <v>4286.33</v>
      </c>
      <c r="E2918" t="n">
        <v>5891.89</v>
      </c>
      <c r="F2918" t="n">
        <v>8536.01</v>
      </c>
    </row>
    <row r="2919">
      <c r="A2919" s="3" t="n">
        <v>42737</v>
      </c>
      <c r="B2919" t="n">
        <v>10061.04</v>
      </c>
      <c r="C2919" t="n">
        <v>5923.8</v>
      </c>
      <c r="D2919" t="n">
        <v>4356.15</v>
      </c>
      <c r="E2919" t="n">
        <v>5905.56</v>
      </c>
      <c r="F2919" t="n">
        <v>8694.190000000001</v>
      </c>
    </row>
    <row r="2920">
      <c r="A2920" s="3" t="n">
        <v>42738</v>
      </c>
      <c r="B2920" t="n">
        <v>10172.32</v>
      </c>
      <c r="C2920" t="n">
        <v>5938.38</v>
      </c>
      <c r="D2920" t="n">
        <v>4405.25</v>
      </c>
      <c r="E2920" t="n">
        <v>5918.6</v>
      </c>
      <c r="F2920" t="n">
        <v>8795.92</v>
      </c>
    </row>
    <row r="2921">
      <c r="A2921" s="3" t="n">
        <v>42739</v>
      </c>
      <c r="B2921" t="n">
        <v>10156.51</v>
      </c>
      <c r="C2921" t="n">
        <v>5966.99</v>
      </c>
      <c r="D2921" t="n">
        <v>4418.53</v>
      </c>
      <c r="E2921" t="n">
        <v>5917.14</v>
      </c>
      <c r="F2921" t="n">
        <v>8796.16</v>
      </c>
    </row>
    <row r="2922">
      <c r="A2922" s="3" t="n">
        <v>42740</v>
      </c>
      <c r="B2922" t="n">
        <v>10336.94</v>
      </c>
      <c r="C2922" t="n">
        <v>5991.83</v>
      </c>
      <c r="D2922" t="n">
        <v>4518.34</v>
      </c>
      <c r="E2922" t="n">
        <v>5968.14</v>
      </c>
      <c r="F2922" t="n">
        <v>8931.66</v>
      </c>
    </row>
    <row r="2923">
      <c r="A2923" s="3" t="n">
        <v>42741</v>
      </c>
      <c r="B2923" t="n">
        <v>10345.22</v>
      </c>
      <c r="C2923" t="n">
        <v>5944.34</v>
      </c>
      <c r="D2923" t="n">
        <v>4509.48</v>
      </c>
      <c r="E2923" t="n">
        <v>5937.39</v>
      </c>
      <c r="F2923" t="n">
        <v>8917.98</v>
      </c>
    </row>
    <row r="2924">
      <c r="A2924" s="3" t="n">
        <v>42744</v>
      </c>
      <c r="B2924" t="n">
        <v>10383.3</v>
      </c>
      <c r="C2924" t="n">
        <v>5930.22</v>
      </c>
      <c r="D2924" t="n">
        <v>4509.13</v>
      </c>
      <c r="E2924" t="n">
        <v>5927.96</v>
      </c>
      <c r="F2924" t="n">
        <v>8958.68</v>
      </c>
    </row>
    <row r="2925">
      <c r="A2925" s="3" t="n">
        <v>42745</v>
      </c>
      <c r="B2925" t="n">
        <v>10494.87</v>
      </c>
      <c r="C2925" t="n">
        <v>5966</v>
      </c>
      <c r="D2925" t="n">
        <v>4555.78</v>
      </c>
      <c r="E2925" t="n">
        <v>5958.82</v>
      </c>
      <c r="F2925" t="n">
        <v>9048.969999999999</v>
      </c>
    </row>
    <row r="2926">
      <c r="A2926" s="3" t="n">
        <v>42746</v>
      </c>
      <c r="B2926" t="n">
        <v>10709.87</v>
      </c>
      <c r="C2926" t="n">
        <v>6003.34</v>
      </c>
      <c r="D2926" t="n">
        <v>4646.28</v>
      </c>
      <c r="E2926" t="n">
        <v>6019.3</v>
      </c>
      <c r="F2926" t="n">
        <v>9243.68</v>
      </c>
    </row>
    <row r="2927">
      <c r="A2927" s="3" t="n">
        <v>42747</v>
      </c>
      <c r="B2927" t="n">
        <v>10749.74</v>
      </c>
      <c r="C2927" t="n">
        <v>6013.27</v>
      </c>
      <c r="D2927" t="n">
        <v>4663.75</v>
      </c>
      <c r="E2927" t="n">
        <v>6037.38</v>
      </c>
      <c r="F2927" t="n">
        <v>9266.549999999999</v>
      </c>
    </row>
    <row r="2928">
      <c r="A2928" s="3" t="n">
        <v>42748</v>
      </c>
      <c r="B2928" t="n">
        <v>10709.08</v>
      </c>
      <c r="C2928" t="n">
        <v>6006.43</v>
      </c>
      <c r="D2928" t="n">
        <v>4661.53</v>
      </c>
      <c r="E2928" t="n">
        <v>6018.46</v>
      </c>
      <c r="F2928" t="n">
        <v>9251.41</v>
      </c>
    </row>
    <row r="2929">
      <c r="A2929" s="3" t="n">
        <v>42751</v>
      </c>
      <c r="B2929" t="n">
        <v>10791.31</v>
      </c>
      <c r="C2929" t="n">
        <v>5998.72</v>
      </c>
      <c r="D2929" t="n">
        <v>4706.22</v>
      </c>
      <c r="E2929" t="n">
        <v>6014.83</v>
      </c>
      <c r="F2929" t="n">
        <v>9346.450000000001</v>
      </c>
    </row>
    <row r="2930">
      <c r="A2930" s="3" t="n">
        <v>42752</v>
      </c>
      <c r="B2930" t="n">
        <v>10778.76</v>
      </c>
      <c r="C2930" t="n">
        <v>6020.97</v>
      </c>
      <c r="D2930" t="n">
        <v>4684.31</v>
      </c>
      <c r="E2930" t="n">
        <v>6018.14</v>
      </c>
      <c r="F2930" t="n">
        <v>9361.17</v>
      </c>
    </row>
    <row r="2931">
      <c r="A2931" s="3" t="n">
        <v>42753</v>
      </c>
      <c r="B2931" t="n">
        <v>10925.35</v>
      </c>
      <c r="C2931" t="n">
        <v>6060.71</v>
      </c>
      <c r="D2931" t="n">
        <v>4712.87</v>
      </c>
      <c r="E2931" t="n">
        <v>6033.76</v>
      </c>
      <c r="F2931" t="n">
        <v>9500.57</v>
      </c>
    </row>
    <row r="2932">
      <c r="A2932" s="3" t="n">
        <v>42754</v>
      </c>
      <c r="B2932" t="n">
        <v>10946.51</v>
      </c>
      <c r="C2932" t="n">
        <v>6072.37</v>
      </c>
      <c r="D2932" t="n">
        <v>4747.57</v>
      </c>
      <c r="E2932" t="n">
        <v>6034.26</v>
      </c>
      <c r="F2932" t="n">
        <v>9505.059999999999</v>
      </c>
    </row>
    <row r="2933">
      <c r="A2933" s="3" t="n">
        <v>42755</v>
      </c>
      <c r="B2933" t="n">
        <v>10765.47</v>
      </c>
      <c r="C2933" t="n">
        <v>6017.71</v>
      </c>
      <c r="D2933" t="n">
        <v>4646.01</v>
      </c>
      <c r="E2933" t="n">
        <v>5995.43</v>
      </c>
      <c r="F2933" t="n">
        <v>9325.07</v>
      </c>
    </row>
    <row r="2934">
      <c r="A2934" s="3" t="n">
        <v>42758</v>
      </c>
      <c r="B2934" t="n">
        <v>10884.75</v>
      </c>
      <c r="C2934" t="n">
        <v>6034.44</v>
      </c>
      <c r="D2934" t="n">
        <v>4716.97</v>
      </c>
      <c r="E2934" t="n">
        <v>6028.74</v>
      </c>
      <c r="F2934" t="n">
        <v>9448.26</v>
      </c>
    </row>
    <row r="2935">
      <c r="A2935" s="3" t="n">
        <v>42759</v>
      </c>
      <c r="B2935" t="n">
        <v>11065.7</v>
      </c>
      <c r="C2935" t="n">
        <v>6077.33</v>
      </c>
      <c r="D2935" t="n">
        <v>4764.76</v>
      </c>
      <c r="E2935" t="n">
        <v>6093.18</v>
      </c>
      <c r="F2935" t="n">
        <v>9581.52</v>
      </c>
    </row>
    <row r="2936">
      <c r="A2936" s="3" t="n">
        <v>42760</v>
      </c>
      <c r="B2936" t="n">
        <v>11320.65</v>
      </c>
      <c r="C2936" t="n">
        <v>6114.73</v>
      </c>
      <c r="D2936" t="n">
        <v>4839.69</v>
      </c>
      <c r="E2936" t="n">
        <v>6167.11</v>
      </c>
      <c r="F2936" t="n">
        <v>9778.629999999999</v>
      </c>
    </row>
    <row r="2937">
      <c r="A2937" s="3" t="n">
        <v>42762</v>
      </c>
      <c r="B2937" t="n">
        <v>11348.81</v>
      </c>
      <c r="C2937" t="n">
        <v>6117.02</v>
      </c>
      <c r="D2937" t="n">
        <v>4866.08</v>
      </c>
      <c r="E2937" t="n">
        <v>6181.83</v>
      </c>
      <c r="F2937" t="n">
        <v>9802.450000000001</v>
      </c>
    </row>
    <row r="2938">
      <c r="A2938" s="3" t="n">
        <v>42765</v>
      </c>
      <c r="B2938" t="n">
        <v>11350.74</v>
      </c>
      <c r="C2938" t="n">
        <v>6117.23</v>
      </c>
      <c r="D2938" t="n">
        <v>4849.64</v>
      </c>
      <c r="E2938" t="n">
        <v>6187.9</v>
      </c>
      <c r="F2938" t="n">
        <v>9801.01</v>
      </c>
    </row>
    <row r="2939">
      <c r="A2939" s="3" t="n">
        <v>42766</v>
      </c>
      <c r="B2939" t="n">
        <v>11256.55</v>
      </c>
      <c r="C2939" t="n">
        <v>6036.22</v>
      </c>
      <c r="D2939" t="n">
        <v>4761.32</v>
      </c>
      <c r="E2939" t="n">
        <v>6134.11</v>
      </c>
      <c r="F2939" t="n">
        <v>9695.190000000001</v>
      </c>
    </row>
    <row r="2940">
      <c r="A2940" s="3" t="n">
        <v>42767</v>
      </c>
      <c r="B2940" t="n">
        <v>11555.59</v>
      </c>
      <c r="C2940" t="n">
        <v>6084.02</v>
      </c>
      <c r="D2940" t="n">
        <v>4873.56</v>
      </c>
      <c r="E2940" t="n">
        <v>6213.98</v>
      </c>
      <c r="F2940" t="n">
        <v>9946.32</v>
      </c>
    </row>
    <row r="2941">
      <c r="A2941" s="3" t="n">
        <v>42768</v>
      </c>
      <c r="B2941" t="n">
        <v>11640.04</v>
      </c>
      <c r="C2941" t="n">
        <v>6141.66</v>
      </c>
      <c r="D2941" t="n">
        <v>4913.88</v>
      </c>
      <c r="E2941" t="n">
        <v>6229.66</v>
      </c>
      <c r="F2941" t="n">
        <v>10047.14</v>
      </c>
    </row>
    <row r="2942">
      <c r="A2942" s="3" t="n">
        <v>42769</v>
      </c>
      <c r="B2942" t="n">
        <v>11650.24</v>
      </c>
      <c r="C2942" t="n">
        <v>6185.97</v>
      </c>
      <c r="D2942" t="n">
        <v>4958.86</v>
      </c>
      <c r="E2942" t="n">
        <v>6233.31</v>
      </c>
      <c r="F2942" t="n">
        <v>10086.64</v>
      </c>
    </row>
    <row r="2943">
      <c r="A2943" s="3" t="n">
        <v>42772</v>
      </c>
      <c r="B2943" t="n">
        <v>11821.89</v>
      </c>
      <c r="C2943" t="n">
        <v>6218.6</v>
      </c>
      <c r="D2943" t="n">
        <v>4973.08</v>
      </c>
      <c r="E2943" t="n">
        <v>6281.7</v>
      </c>
      <c r="F2943" t="n">
        <v>10176.09</v>
      </c>
    </row>
    <row r="2944">
      <c r="A2944" s="3" t="n">
        <v>42773</v>
      </c>
      <c r="B2944" t="n">
        <v>11739.31</v>
      </c>
      <c r="C2944" t="n">
        <v>6194.89</v>
      </c>
      <c r="D2944" t="n">
        <v>4935</v>
      </c>
      <c r="E2944" t="n">
        <v>6268.87</v>
      </c>
      <c r="F2944" t="n">
        <v>10133.05</v>
      </c>
    </row>
    <row r="2945">
      <c r="A2945" s="3" t="n">
        <v>42774</v>
      </c>
      <c r="B2945" t="n">
        <v>11782.92</v>
      </c>
      <c r="C2945" t="n">
        <v>6202.17</v>
      </c>
      <c r="D2945" t="n">
        <v>4978.81</v>
      </c>
      <c r="E2945" t="n">
        <v>6281.71</v>
      </c>
      <c r="F2945" t="n">
        <v>10171.06</v>
      </c>
    </row>
    <row r="2946">
      <c r="A2946" s="3" t="n">
        <v>42775</v>
      </c>
      <c r="B2946" t="n">
        <v>11768.54</v>
      </c>
      <c r="C2946" t="n">
        <v>6237.67</v>
      </c>
      <c r="D2946" t="n">
        <v>4964.35</v>
      </c>
      <c r="E2946" t="n">
        <v>6296.42</v>
      </c>
      <c r="F2946" t="n">
        <v>10201.61</v>
      </c>
    </row>
    <row r="2947">
      <c r="A2947" s="3" t="n">
        <v>42776</v>
      </c>
      <c r="B2947" t="n">
        <v>11784.99</v>
      </c>
      <c r="C2947" t="n">
        <v>6257.41</v>
      </c>
      <c r="D2947" t="n">
        <v>4944.27</v>
      </c>
      <c r="E2947" t="n">
        <v>6319.95</v>
      </c>
      <c r="F2947" t="n">
        <v>10192.4</v>
      </c>
    </row>
    <row r="2948">
      <c r="A2948" s="3" t="n">
        <v>42779</v>
      </c>
      <c r="B2948" t="n">
        <v>11785.91</v>
      </c>
      <c r="C2948" t="n">
        <v>6250.05</v>
      </c>
      <c r="D2948" t="n">
        <v>4920.38</v>
      </c>
      <c r="E2948" t="n">
        <v>6331.72</v>
      </c>
      <c r="F2948" t="n">
        <v>10139.47</v>
      </c>
    </row>
    <row r="2949">
      <c r="A2949" s="3" t="n">
        <v>42780</v>
      </c>
      <c r="B2949" t="n">
        <v>11692.36</v>
      </c>
      <c r="C2949" t="n">
        <v>6229.48</v>
      </c>
      <c r="D2949" t="n">
        <v>4872.59</v>
      </c>
      <c r="E2949" t="n">
        <v>6319.34</v>
      </c>
      <c r="F2949" t="n">
        <v>10083.15</v>
      </c>
    </row>
    <row r="2950">
      <c r="A2950" s="3" t="n">
        <v>42781</v>
      </c>
      <c r="B2950" t="n">
        <v>11523.07</v>
      </c>
      <c r="C2950" t="n">
        <v>6191.16</v>
      </c>
      <c r="D2950" t="n">
        <v>4779.82</v>
      </c>
      <c r="E2950" t="n">
        <v>6283.6</v>
      </c>
      <c r="F2950" t="n">
        <v>9960.84</v>
      </c>
    </row>
    <row r="2951">
      <c r="A2951" s="3" t="n">
        <v>42782</v>
      </c>
      <c r="B2951" t="n">
        <v>11748.23</v>
      </c>
      <c r="C2951" t="n">
        <v>6254.5</v>
      </c>
      <c r="D2951" t="n">
        <v>4845.61</v>
      </c>
      <c r="E2951" t="n">
        <v>6335.35</v>
      </c>
      <c r="F2951" t="n">
        <v>10182.64</v>
      </c>
    </row>
    <row r="2952">
      <c r="A2952" s="3" t="n">
        <v>42783</v>
      </c>
      <c r="B2952" t="n">
        <v>11803.19</v>
      </c>
      <c r="C2952" t="n">
        <v>6253.39</v>
      </c>
      <c r="D2952" t="n">
        <v>4877.93</v>
      </c>
      <c r="E2952" t="n">
        <v>6349.39</v>
      </c>
      <c r="F2952" t="n">
        <v>10231.73</v>
      </c>
    </row>
    <row r="2953">
      <c r="A2953" s="3" t="n">
        <v>42786</v>
      </c>
      <c r="B2953" t="n">
        <v>11876.36</v>
      </c>
      <c r="C2953" t="n">
        <v>6297.54</v>
      </c>
      <c r="D2953" t="n">
        <v>4958.1</v>
      </c>
      <c r="E2953" t="n">
        <v>6388.85</v>
      </c>
      <c r="F2953" t="n">
        <v>10286.15</v>
      </c>
    </row>
    <row r="2954">
      <c r="A2954" s="3" t="n">
        <v>42787</v>
      </c>
      <c r="B2954" t="n">
        <v>11917.93</v>
      </c>
      <c r="C2954" t="n">
        <v>6327.58</v>
      </c>
      <c r="D2954" t="n">
        <v>5003.6</v>
      </c>
      <c r="E2954" t="n">
        <v>6406.19</v>
      </c>
      <c r="F2954" t="n">
        <v>10326.23</v>
      </c>
    </row>
    <row r="2955">
      <c r="A2955" s="3" t="n">
        <v>42788</v>
      </c>
      <c r="B2955" t="n">
        <v>11885.12</v>
      </c>
      <c r="C2955" t="n">
        <v>6288.55</v>
      </c>
      <c r="D2955" t="n">
        <v>4993.61</v>
      </c>
      <c r="E2955" t="n">
        <v>6397.12</v>
      </c>
      <c r="F2955" t="n">
        <v>10249.49</v>
      </c>
    </row>
    <row r="2956">
      <c r="A2956" s="3" t="n">
        <v>42789</v>
      </c>
      <c r="B2956" t="n">
        <v>11939.03</v>
      </c>
      <c r="C2956" t="n">
        <v>6296.98</v>
      </c>
      <c r="D2956" t="n">
        <v>5006.23</v>
      </c>
      <c r="E2956" t="n">
        <v>6403.41</v>
      </c>
      <c r="F2956" t="n">
        <v>10273.49</v>
      </c>
    </row>
    <row r="2957">
      <c r="A2957" s="3" t="n">
        <v>42793</v>
      </c>
      <c r="B2957" t="n">
        <v>11898.15</v>
      </c>
      <c r="C2957" t="n">
        <v>6326.57</v>
      </c>
      <c r="D2957" t="n">
        <v>4977.4</v>
      </c>
      <c r="E2957" t="n">
        <v>6392.63</v>
      </c>
      <c r="F2957" t="n">
        <v>10294.57</v>
      </c>
    </row>
    <row r="2958">
      <c r="A2958" s="3" t="n">
        <v>42794</v>
      </c>
      <c r="B2958" t="n">
        <v>11932.61</v>
      </c>
      <c r="C2958" t="n">
        <v>6324.95</v>
      </c>
      <c r="D2958" t="n">
        <v>4999.75</v>
      </c>
      <c r="E2958" t="n">
        <v>6387.43</v>
      </c>
      <c r="F2958" t="n">
        <v>10352.45</v>
      </c>
    </row>
    <row r="2959">
      <c r="A2959" s="3" t="n">
        <v>42795</v>
      </c>
      <c r="B2959" t="n">
        <v>11958.56</v>
      </c>
      <c r="C2959" t="n">
        <v>6346.51</v>
      </c>
      <c r="D2959" t="n">
        <v>5023.89</v>
      </c>
      <c r="E2959" t="n">
        <v>6433.54</v>
      </c>
      <c r="F2959" t="n">
        <v>10405.05</v>
      </c>
    </row>
    <row r="2960">
      <c r="A2960" s="3" t="n">
        <v>42796</v>
      </c>
      <c r="B2960" t="n">
        <v>11819.82</v>
      </c>
      <c r="C2960" t="n">
        <v>6321.79</v>
      </c>
      <c r="D2960" t="n">
        <v>4940.27</v>
      </c>
      <c r="E2960" t="n">
        <v>6404.26</v>
      </c>
      <c r="F2960" t="n">
        <v>10305.62</v>
      </c>
    </row>
    <row r="2961">
      <c r="A2961" s="3" t="n">
        <v>42797</v>
      </c>
      <c r="B2961" t="n">
        <v>11889.68</v>
      </c>
      <c r="C2961" t="n">
        <v>6340.21</v>
      </c>
      <c r="D2961" t="n">
        <v>4971.42</v>
      </c>
      <c r="E2961" t="n">
        <v>6414.3</v>
      </c>
      <c r="F2961" t="n">
        <v>10381.74</v>
      </c>
    </row>
    <row r="2962">
      <c r="A2962" s="3" t="n">
        <v>42800</v>
      </c>
      <c r="B2962" t="n">
        <v>11954.22</v>
      </c>
      <c r="C2962" t="n">
        <v>6360.54</v>
      </c>
      <c r="D2962" t="n">
        <v>4999.06</v>
      </c>
      <c r="E2962" t="n">
        <v>6449.16</v>
      </c>
      <c r="F2962" t="n">
        <v>10407</v>
      </c>
    </row>
    <row r="2963">
      <c r="A2963" s="3" t="n">
        <v>42801</v>
      </c>
      <c r="B2963" t="n">
        <v>11919.53</v>
      </c>
      <c r="C2963" t="n">
        <v>6358.84</v>
      </c>
      <c r="D2963" t="n">
        <v>4973.25</v>
      </c>
      <c r="E2963" t="n">
        <v>6444.81</v>
      </c>
      <c r="F2963" t="n">
        <v>10370.4</v>
      </c>
    </row>
    <row r="2964">
      <c r="A2964" s="3" t="n">
        <v>42802</v>
      </c>
      <c r="B2964" t="n">
        <v>11882.46</v>
      </c>
      <c r="C2964" t="n">
        <v>6355.41</v>
      </c>
      <c r="D2964" t="n">
        <v>4892.91</v>
      </c>
      <c r="E2964" t="n">
        <v>6436.89</v>
      </c>
      <c r="F2964" t="n">
        <v>10316.99</v>
      </c>
    </row>
    <row r="2965">
      <c r="A2965" s="3" t="n">
        <v>42803</v>
      </c>
      <c r="B2965" t="n">
        <v>11855.32</v>
      </c>
      <c r="C2965" t="n">
        <v>6364.64</v>
      </c>
      <c r="D2965" t="n">
        <v>4871.88</v>
      </c>
      <c r="E2965" t="n">
        <v>6447.4</v>
      </c>
      <c r="F2965" t="n">
        <v>10286.87</v>
      </c>
    </row>
    <row r="2966">
      <c r="A2966" s="3" t="n">
        <v>42804</v>
      </c>
      <c r="B2966" t="n">
        <v>11803.58</v>
      </c>
      <c r="C2966" t="n">
        <v>6372.18</v>
      </c>
      <c r="D2966" t="n">
        <v>4858.2</v>
      </c>
      <c r="E2966" t="n">
        <v>6454.91</v>
      </c>
      <c r="F2966" t="n">
        <v>10235.61</v>
      </c>
    </row>
    <row r="2967">
      <c r="A2967" s="3" t="n">
        <v>42808</v>
      </c>
      <c r="B2967" t="n">
        <v>12036.78</v>
      </c>
      <c r="C2967" t="n">
        <v>6436.58</v>
      </c>
      <c r="D2967" t="n">
        <v>4925.15</v>
      </c>
      <c r="E2967" t="n">
        <v>6562.29</v>
      </c>
      <c r="F2967" t="n">
        <v>10440.8</v>
      </c>
    </row>
    <row r="2968">
      <c r="A2968" s="3" t="n">
        <v>42809</v>
      </c>
      <c r="B2968" t="n">
        <v>12070.17</v>
      </c>
      <c r="C2968" t="n">
        <v>6441.81</v>
      </c>
      <c r="D2968" t="n">
        <v>4954.33</v>
      </c>
      <c r="E2968" t="n">
        <v>6559.61</v>
      </c>
      <c r="F2968" t="n">
        <v>10481.15</v>
      </c>
    </row>
    <row r="2969">
      <c r="A2969" s="3" t="n">
        <v>42810</v>
      </c>
      <c r="B2969" t="n">
        <v>12234.07</v>
      </c>
      <c r="C2969" t="n">
        <v>6492.14</v>
      </c>
      <c r="D2969" t="n">
        <v>5056.84</v>
      </c>
      <c r="E2969" t="n">
        <v>6614.99</v>
      </c>
      <c r="F2969" t="n">
        <v>10618.17</v>
      </c>
    </row>
    <row r="2970">
      <c r="A2970" s="3" t="n">
        <v>42811</v>
      </c>
      <c r="B2970" t="n">
        <v>12151.56</v>
      </c>
      <c r="C2970" t="n">
        <v>6532.9</v>
      </c>
      <c r="D2970" t="n">
        <v>5056.26</v>
      </c>
      <c r="E2970" t="n">
        <v>6624.18</v>
      </c>
      <c r="F2970" t="n">
        <v>10570.08</v>
      </c>
    </row>
    <row r="2971">
      <c r="A2971" s="3" t="n">
        <v>42814</v>
      </c>
      <c r="B2971" t="n">
        <v>12144.87</v>
      </c>
      <c r="C2971" t="n">
        <v>6521.99</v>
      </c>
      <c r="D2971" t="n">
        <v>5067.26</v>
      </c>
      <c r="E2971" t="n">
        <v>6612.27</v>
      </c>
      <c r="F2971" t="n">
        <v>10583.59</v>
      </c>
    </row>
    <row r="2972">
      <c r="A2972" s="3" t="n">
        <v>42815</v>
      </c>
      <c r="B2972" t="n">
        <v>12148.3</v>
      </c>
      <c r="C2972" t="n">
        <v>6504.48</v>
      </c>
      <c r="D2972" t="n">
        <v>5050.25</v>
      </c>
      <c r="E2972" t="n">
        <v>6613.12</v>
      </c>
      <c r="F2972" t="n">
        <v>10563.57</v>
      </c>
    </row>
    <row r="2973">
      <c r="A2973" s="3" t="n">
        <v>42816</v>
      </c>
      <c r="B2973" t="n">
        <v>12050.11</v>
      </c>
      <c r="C2973" t="n">
        <v>6462.27</v>
      </c>
      <c r="D2973" t="n">
        <v>4986.47</v>
      </c>
      <c r="E2973" t="n">
        <v>6556.58</v>
      </c>
      <c r="F2973" t="n">
        <v>10447.2</v>
      </c>
    </row>
    <row r="2974">
      <c r="A2974" s="3" t="n">
        <v>42817</v>
      </c>
      <c r="B2974" t="n">
        <v>12193.37</v>
      </c>
      <c r="C2974" t="n">
        <v>6493.33</v>
      </c>
      <c r="D2974" t="n">
        <v>5048.36</v>
      </c>
      <c r="E2974" t="n">
        <v>6590.75</v>
      </c>
      <c r="F2974" t="n">
        <v>10578.72</v>
      </c>
    </row>
    <row r="2975">
      <c r="A2975" s="3" t="n">
        <v>42818</v>
      </c>
      <c r="B2975" t="n">
        <v>12223.34</v>
      </c>
      <c r="C2975" t="n">
        <v>6489.15</v>
      </c>
      <c r="D2975" t="n">
        <v>5090.14</v>
      </c>
      <c r="E2975" t="n">
        <v>6584.97</v>
      </c>
      <c r="F2975" t="n">
        <v>10599.34</v>
      </c>
    </row>
    <row r="2976">
      <c r="A2976" s="3" t="n">
        <v>42821</v>
      </c>
      <c r="B2976" t="n">
        <v>12196.79</v>
      </c>
      <c r="C2976" t="n">
        <v>6440.64</v>
      </c>
      <c r="D2976" t="n">
        <v>5059.02</v>
      </c>
      <c r="E2976" t="n">
        <v>6554.62</v>
      </c>
      <c r="F2976" t="n">
        <v>10559.06</v>
      </c>
    </row>
    <row r="2977">
      <c r="A2977" s="3" t="n">
        <v>42822</v>
      </c>
      <c r="B2977" t="n">
        <v>12313.1</v>
      </c>
      <c r="C2977" t="n">
        <v>6475.7</v>
      </c>
      <c r="D2977" t="n">
        <v>5068.29</v>
      </c>
      <c r="E2977" t="n">
        <v>6580.99</v>
      </c>
      <c r="F2977" t="n">
        <v>10657.13</v>
      </c>
    </row>
    <row r="2978">
      <c r="A2978" s="3" t="n">
        <v>42823</v>
      </c>
      <c r="B2978" t="n">
        <v>12382.96</v>
      </c>
      <c r="C2978" t="n">
        <v>6507.89</v>
      </c>
      <c r="D2978" t="n">
        <v>5083.15</v>
      </c>
      <c r="E2978" t="n">
        <v>6591.72</v>
      </c>
      <c r="F2978" t="n">
        <v>10681.34</v>
      </c>
    </row>
    <row r="2979">
      <c r="A2979" s="3" t="n">
        <v>42824</v>
      </c>
      <c r="B2979" t="n">
        <v>12414.23</v>
      </c>
      <c r="C2979" t="n">
        <v>6517.67</v>
      </c>
      <c r="D2979" t="n">
        <v>5097.24</v>
      </c>
      <c r="E2979" t="n">
        <v>6619.1</v>
      </c>
      <c r="F2979" t="n">
        <v>10719.05</v>
      </c>
    </row>
    <row r="2980">
      <c r="A2980" s="3" t="n">
        <v>42825</v>
      </c>
      <c r="B2980" t="n">
        <v>12547.75</v>
      </c>
      <c r="C2980" t="n">
        <v>6532.45</v>
      </c>
      <c r="D2980" t="n">
        <v>5160.36</v>
      </c>
      <c r="E2980" t="n">
        <v>6645.55</v>
      </c>
      <c r="F2980" t="n">
        <v>10803.04</v>
      </c>
    </row>
    <row r="2981">
      <c r="A2981" s="3" t="n">
        <v>42828</v>
      </c>
      <c r="B2981" t="n">
        <v>12598.75</v>
      </c>
      <c r="C2981" t="n">
        <v>6528.64</v>
      </c>
      <c r="D2981" t="n">
        <v>5168.39</v>
      </c>
      <c r="E2981" t="n">
        <v>6673.87</v>
      </c>
      <c r="F2981" t="n">
        <v>10889.23</v>
      </c>
    </row>
    <row r="2982">
      <c r="A2982" s="3" t="n">
        <v>42830</v>
      </c>
      <c r="B2982" t="n">
        <v>12678.22</v>
      </c>
      <c r="C2982" t="n">
        <v>6528.13</v>
      </c>
      <c r="D2982" t="n">
        <v>5228.55</v>
      </c>
      <c r="E2982" t="n">
        <v>6694.5</v>
      </c>
      <c r="F2982" t="n">
        <v>10964.38</v>
      </c>
    </row>
    <row r="2983">
      <c r="A2983" s="3" t="n">
        <v>42831</v>
      </c>
      <c r="B2983" t="n">
        <v>12643.07</v>
      </c>
      <c r="C2983" t="n">
        <v>6521.26</v>
      </c>
      <c r="D2983" t="n">
        <v>5223.13</v>
      </c>
      <c r="E2983" t="n">
        <v>6708.12</v>
      </c>
      <c r="F2983" t="n">
        <v>10918.36</v>
      </c>
    </row>
    <row r="2984">
      <c r="A2984" s="3" t="n">
        <v>42832</v>
      </c>
      <c r="B2984" t="n">
        <v>12645.25</v>
      </c>
      <c r="C2984" t="n">
        <v>6497</v>
      </c>
      <c r="D2984" t="n">
        <v>5195.42</v>
      </c>
      <c r="E2984" t="n">
        <v>6666.94</v>
      </c>
      <c r="F2984" t="n">
        <v>10925.06</v>
      </c>
    </row>
    <row r="2985">
      <c r="A2985" s="3" t="n">
        <v>42835</v>
      </c>
      <c r="B2985" t="n">
        <v>12725.64</v>
      </c>
      <c r="C2985" t="n">
        <v>6490.99</v>
      </c>
      <c r="D2985" t="n">
        <v>5236.26</v>
      </c>
      <c r="E2985" t="n">
        <v>6646.73</v>
      </c>
      <c r="F2985" t="n">
        <v>11022.95</v>
      </c>
    </row>
    <row r="2986">
      <c r="A2986" s="3" t="n">
        <v>42836</v>
      </c>
      <c r="B2986" t="n">
        <v>12761.56</v>
      </c>
      <c r="C2986" t="n">
        <v>6524.85</v>
      </c>
      <c r="D2986" t="n">
        <v>5323.5</v>
      </c>
      <c r="E2986" t="n">
        <v>6673.8</v>
      </c>
      <c r="F2986" t="n">
        <v>11075.02</v>
      </c>
    </row>
    <row r="2987">
      <c r="A2987" s="3" t="n">
        <v>42837</v>
      </c>
      <c r="B2987" t="n">
        <v>12758.82</v>
      </c>
      <c r="C2987" t="n">
        <v>6508.56</v>
      </c>
      <c r="D2987" t="n">
        <v>5296.32</v>
      </c>
      <c r="E2987" t="n">
        <v>6659</v>
      </c>
      <c r="F2987" t="n">
        <v>11089.92</v>
      </c>
    </row>
    <row r="2988">
      <c r="A2988" s="3" t="n">
        <v>42838</v>
      </c>
      <c r="B2988" t="n">
        <v>12699.56</v>
      </c>
      <c r="C2988" t="n">
        <v>6467.62</v>
      </c>
      <c r="D2988" t="n">
        <v>5294.8</v>
      </c>
      <c r="E2988" t="n">
        <v>6631.8</v>
      </c>
      <c r="F2988" t="n">
        <v>11048.26</v>
      </c>
    </row>
    <row r="2989">
      <c r="A2989" s="3" t="n">
        <v>42842</v>
      </c>
      <c r="B2989" t="n">
        <v>12716.7</v>
      </c>
      <c r="C2989" t="n">
        <v>6428.66</v>
      </c>
      <c r="D2989" t="n">
        <v>5303.27</v>
      </c>
      <c r="E2989" t="n">
        <v>6617.67</v>
      </c>
      <c r="F2989" t="n">
        <v>11031.49</v>
      </c>
    </row>
    <row r="2990">
      <c r="A2990" s="3" t="n">
        <v>42843</v>
      </c>
      <c r="B2990" t="n">
        <v>12690.79</v>
      </c>
      <c r="C2990" t="n">
        <v>6398.29</v>
      </c>
      <c r="D2990" t="n">
        <v>5257.27</v>
      </c>
      <c r="E2990" t="n">
        <v>6583.27</v>
      </c>
      <c r="F2990" t="n">
        <v>10961.19</v>
      </c>
    </row>
    <row r="2991">
      <c r="A2991" s="3" t="n">
        <v>42844</v>
      </c>
      <c r="B2991" t="n">
        <v>12736.29</v>
      </c>
      <c r="C2991" t="n">
        <v>6412.92</v>
      </c>
      <c r="D2991" t="n">
        <v>5278.17</v>
      </c>
      <c r="E2991" t="n">
        <v>6595.68</v>
      </c>
      <c r="F2991" t="n">
        <v>10997.58</v>
      </c>
    </row>
    <row r="2992">
      <c r="A2992" s="3" t="n">
        <v>42845</v>
      </c>
      <c r="B2992" t="n">
        <v>12873.13</v>
      </c>
      <c r="C2992" t="n">
        <v>6449.95</v>
      </c>
      <c r="D2992" t="n">
        <v>5337.9</v>
      </c>
      <c r="E2992" t="n">
        <v>6625.81</v>
      </c>
      <c r="F2992" t="n">
        <v>11141.16</v>
      </c>
    </row>
    <row r="2993">
      <c r="A2993" s="3" t="n">
        <v>42846</v>
      </c>
      <c r="B2993" t="n">
        <v>12853.47</v>
      </c>
      <c r="C2993" t="n">
        <v>6454.27</v>
      </c>
      <c r="D2993" t="n">
        <v>5352.22</v>
      </c>
      <c r="E2993" t="n">
        <v>6609.47</v>
      </c>
      <c r="F2993" t="n">
        <v>11087.51</v>
      </c>
    </row>
    <row r="2994">
      <c r="A2994" s="3" t="n">
        <v>42849</v>
      </c>
      <c r="B2994" t="n">
        <v>12944.2</v>
      </c>
      <c r="C2994" t="n">
        <v>6485.36</v>
      </c>
      <c r="D2994" t="n">
        <v>5396.21</v>
      </c>
      <c r="E2994" t="n">
        <v>6658.16</v>
      </c>
      <c r="F2994" t="n">
        <v>11189.82</v>
      </c>
    </row>
    <row r="2995">
      <c r="A2995" s="3" t="n">
        <v>42850</v>
      </c>
      <c r="B2995" t="n">
        <v>13122.67</v>
      </c>
      <c r="C2995" t="n">
        <v>6540.21</v>
      </c>
      <c r="D2995" t="n">
        <v>5448.43</v>
      </c>
      <c r="E2995" t="n">
        <v>6715.86</v>
      </c>
      <c r="F2995" t="n">
        <v>11348.99</v>
      </c>
    </row>
    <row r="2996">
      <c r="A2996" s="3" t="n">
        <v>42851</v>
      </c>
      <c r="B2996" t="n">
        <v>13049.93</v>
      </c>
      <c r="C2996" t="n">
        <v>6535.95</v>
      </c>
      <c r="D2996" t="n">
        <v>5376.95</v>
      </c>
      <c r="E2996" t="n">
        <v>6724.64</v>
      </c>
      <c r="F2996" t="n">
        <v>11305.96</v>
      </c>
    </row>
    <row r="2997">
      <c r="A2997" s="3" t="n">
        <v>42852</v>
      </c>
      <c r="B2997" t="n">
        <v>13041.98</v>
      </c>
      <c r="C2997" t="n">
        <v>6519.37</v>
      </c>
      <c r="D2997" t="n">
        <v>5379.05</v>
      </c>
      <c r="E2997" t="n">
        <v>6722.21</v>
      </c>
      <c r="F2997" t="n">
        <v>11297.69</v>
      </c>
    </row>
    <row r="2998">
      <c r="A2998" s="3" t="n">
        <v>42853</v>
      </c>
      <c r="B2998" t="n">
        <v>13122.04</v>
      </c>
      <c r="C2998" t="n">
        <v>6510.04</v>
      </c>
      <c r="D2998" t="n">
        <v>5421.64</v>
      </c>
      <c r="E2998" t="n">
        <v>6707.59</v>
      </c>
      <c r="F2998" t="n">
        <v>11346.23</v>
      </c>
    </row>
    <row r="2999">
      <c r="A2999" s="3" t="n">
        <v>42857</v>
      </c>
      <c r="B2999" t="n">
        <v>13228.3</v>
      </c>
      <c r="C2999" t="n">
        <v>6515.19</v>
      </c>
      <c r="D2999" t="n">
        <v>5493.84</v>
      </c>
      <c r="E2999" t="n">
        <v>6727.17</v>
      </c>
      <c r="F2999" t="n">
        <v>11409.72</v>
      </c>
    </row>
    <row r="3000">
      <c r="A3000" s="3" t="n">
        <v>42858</v>
      </c>
      <c r="B3000" t="n">
        <v>13157.38</v>
      </c>
      <c r="C3000" t="n">
        <v>6529.99</v>
      </c>
      <c r="D3000" t="n">
        <v>5486.38</v>
      </c>
      <c r="E3000" t="n">
        <v>6748.01</v>
      </c>
      <c r="F3000" t="n">
        <v>11392.42</v>
      </c>
    </row>
    <row r="3001">
      <c r="A3001" s="3" t="n">
        <v>42859</v>
      </c>
      <c r="B3001" t="n">
        <v>13174.54</v>
      </c>
      <c r="C3001" t="n">
        <v>6553.35</v>
      </c>
      <c r="D3001" t="n">
        <v>5512.4</v>
      </c>
      <c r="E3001" t="n">
        <v>6747.25</v>
      </c>
      <c r="F3001" t="n">
        <v>11441.38</v>
      </c>
    </row>
    <row r="3002">
      <c r="A3002" s="3" t="n">
        <v>42860</v>
      </c>
      <c r="B3002" t="n">
        <v>12978.55</v>
      </c>
      <c r="C3002" t="n">
        <v>6514.49</v>
      </c>
      <c r="D3002" t="n">
        <v>5444.4</v>
      </c>
      <c r="E3002" t="n">
        <v>6702.1</v>
      </c>
      <c r="F3002" t="n">
        <v>11299.2</v>
      </c>
    </row>
    <row r="3003">
      <c r="A3003" s="3" t="n">
        <v>42863</v>
      </c>
      <c r="B3003" t="n">
        <v>13038.57</v>
      </c>
      <c r="C3003" t="n">
        <v>6549.96</v>
      </c>
      <c r="D3003" t="n">
        <v>5503.85</v>
      </c>
      <c r="E3003" t="n">
        <v>6733.58</v>
      </c>
      <c r="F3003" t="n">
        <v>11372.32</v>
      </c>
    </row>
    <row r="3004">
      <c r="A3004" s="3" t="n">
        <v>42864</v>
      </c>
      <c r="B3004" t="n">
        <v>13110.74</v>
      </c>
      <c r="C3004" t="n">
        <v>6559.34</v>
      </c>
      <c r="D3004" t="n">
        <v>5539.59</v>
      </c>
      <c r="E3004" t="n">
        <v>6743.44</v>
      </c>
      <c r="F3004" t="n">
        <v>11454.35</v>
      </c>
    </row>
    <row r="3005">
      <c r="A3005" s="3" t="n">
        <v>42865</v>
      </c>
      <c r="B3005" t="n">
        <v>13176.7</v>
      </c>
      <c r="C3005" t="n">
        <v>6626.11</v>
      </c>
      <c r="D3005" t="n">
        <v>5566.72</v>
      </c>
      <c r="E3005" t="n">
        <v>6821.99</v>
      </c>
      <c r="F3005" t="n">
        <v>11569.14</v>
      </c>
    </row>
    <row r="3006">
      <c r="A3006" s="3" t="n">
        <v>42866</v>
      </c>
      <c r="B3006" t="n">
        <v>13233.96</v>
      </c>
      <c r="C3006" t="n">
        <v>6670.36</v>
      </c>
      <c r="D3006" t="n">
        <v>5518.65</v>
      </c>
      <c r="E3006" t="n">
        <v>6818.02</v>
      </c>
      <c r="F3006" t="n">
        <v>11578.99</v>
      </c>
    </row>
    <row r="3007">
      <c r="A3007" s="3" t="n">
        <v>42867</v>
      </c>
      <c r="B3007" t="n">
        <v>13118.12</v>
      </c>
      <c r="C3007" t="n">
        <v>6665.33</v>
      </c>
      <c r="D3007" t="n">
        <v>5509.79</v>
      </c>
      <c r="E3007" t="n">
        <v>6805.51</v>
      </c>
      <c r="F3007" t="n">
        <v>11480.59</v>
      </c>
    </row>
    <row r="3008">
      <c r="A3008" s="3" t="n">
        <v>42870</v>
      </c>
      <c r="B3008" t="n">
        <v>13330.07</v>
      </c>
      <c r="C3008" t="n">
        <v>6674.23</v>
      </c>
      <c r="D3008" t="n">
        <v>5563.07</v>
      </c>
      <c r="E3008" t="n">
        <v>6829.77</v>
      </c>
      <c r="F3008" t="n">
        <v>11662.09</v>
      </c>
    </row>
    <row r="3009">
      <c r="A3009" s="3" t="n">
        <v>42871</v>
      </c>
      <c r="B3009" t="n">
        <v>13362.65</v>
      </c>
      <c r="C3009" t="n">
        <v>6706.12</v>
      </c>
      <c r="D3009" t="n">
        <v>5586.35</v>
      </c>
      <c r="E3009" t="n">
        <v>6866.27</v>
      </c>
      <c r="F3009" t="n">
        <v>11693.24</v>
      </c>
    </row>
    <row r="3010">
      <c r="A3010" s="3" t="n">
        <v>42872</v>
      </c>
      <c r="B3010" t="n">
        <v>13326.27</v>
      </c>
      <c r="C3010" t="n">
        <v>6687.69</v>
      </c>
      <c r="D3010" t="n">
        <v>5600.95</v>
      </c>
      <c r="E3010" t="n">
        <v>6854.3</v>
      </c>
      <c r="F3010" t="n">
        <v>11657.83</v>
      </c>
    </row>
    <row r="3011">
      <c r="A3011" s="3" t="n">
        <v>42873</v>
      </c>
      <c r="B3011" t="n">
        <v>13051.78</v>
      </c>
      <c r="C3011" t="n">
        <v>6634.18</v>
      </c>
      <c r="D3011" t="n">
        <v>5486.4</v>
      </c>
      <c r="E3011" t="n">
        <v>6800.58</v>
      </c>
      <c r="F3011" t="n">
        <v>11404.63</v>
      </c>
    </row>
    <row r="3012">
      <c r="A3012" s="3" t="n">
        <v>42874</v>
      </c>
      <c r="B3012" t="n">
        <v>12886.66</v>
      </c>
      <c r="C3012" t="n">
        <v>6591.17</v>
      </c>
      <c r="D3012" t="n">
        <v>5437.26</v>
      </c>
      <c r="E3012" t="n">
        <v>6767.39</v>
      </c>
      <c r="F3012" t="n">
        <v>11308.44</v>
      </c>
    </row>
    <row r="3013">
      <c r="A3013" s="3" t="n">
        <v>42877</v>
      </c>
      <c r="B3013" t="n">
        <v>12624.04</v>
      </c>
      <c r="C3013" t="n">
        <v>6558.42</v>
      </c>
      <c r="D3013" t="n">
        <v>5354.77</v>
      </c>
      <c r="E3013" t="n">
        <v>6734.34</v>
      </c>
      <c r="F3013" t="n">
        <v>11120.68</v>
      </c>
    </row>
    <row r="3014">
      <c r="A3014" s="3" t="n">
        <v>42878</v>
      </c>
      <c r="B3014" t="n">
        <v>12465.78</v>
      </c>
      <c r="C3014" t="n">
        <v>6492.07</v>
      </c>
      <c r="D3014" t="n">
        <v>5281.26</v>
      </c>
      <c r="E3014" t="n">
        <v>6693.06</v>
      </c>
      <c r="F3014" t="n">
        <v>10984.04</v>
      </c>
    </row>
    <row r="3015">
      <c r="A3015" s="3" t="n">
        <v>42879</v>
      </c>
      <c r="B3015" t="n">
        <v>12305.41</v>
      </c>
      <c r="C3015" t="n">
        <v>6433.78</v>
      </c>
      <c r="D3015" t="n">
        <v>5200.44</v>
      </c>
      <c r="E3015" t="n">
        <v>6649.76</v>
      </c>
      <c r="F3015" t="n">
        <v>10847.55</v>
      </c>
    </row>
    <row r="3016">
      <c r="A3016" s="3" t="n">
        <v>42880</v>
      </c>
      <c r="B3016" t="n">
        <v>12569.67</v>
      </c>
      <c r="C3016" t="n">
        <v>6494.08</v>
      </c>
      <c r="D3016" t="n">
        <v>5263.88</v>
      </c>
      <c r="E3016" t="n">
        <v>6713.62</v>
      </c>
      <c r="F3016" t="n">
        <v>11073.46</v>
      </c>
    </row>
    <row r="3017">
      <c r="A3017" s="3" t="n">
        <v>42881</v>
      </c>
      <c r="B3017" t="n">
        <v>12830.93</v>
      </c>
      <c r="C3017" t="n">
        <v>6542.06</v>
      </c>
      <c r="D3017" t="n">
        <v>5372.34</v>
      </c>
      <c r="E3017" t="n">
        <v>6754.04</v>
      </c>
      <c r="F3017" t="n">
        <v>11282.1</v>
      </c>
    </row>
    <row r="3018">
      <c r="A3018" s="3" t="n">
        <v>42884</v>
      </c>
      <c r="B3018" t="n">
        <v>12675.39</v>
      </c>
      <c r="C3018" t="n">
        <v>6522.64</v>
      </c>
      <c r="D3018" t="n">
        <v>5261.75</v>
      </c>
      <c r="E3018" t="n">
        <v>6777.9</v>
      </c>
      <c r="F3018" t="n">
        <v>11114.75</v>
      </c>
    </row>
    <row r="3019">
      <c r="A3019" s="3" t="n">
        <v>42885</v>
      </c>
      <c r="B3019" t="n">
        <v>12801.74</v>
      </c>
      <c r="C3019" t="n">
        <v>6573.3</v>
      </c>
      <c r="D3019" t="n">
        <v>5304.37</v>
      </c>
      <c r="E3019" t="n">
        <v>6793.94</v>
      </c>
      <c r="F3019" t="n">
        <v>11252.86</v>
      </c>
    </row>
    <row r="3020">
      <c r="A3020" s="3" t="n">
        <v>42886</v>
      </c>
      <c r="B3020" t="n">
        <v>12924.05</v>
      </c>
      <c r="C3020" t="n">
        <v>6583.21</v>
      </c>
      <c r="D3020" t="n">
        <v>5324.38</v>
      </c>
      <c r="E3020" t="n">
        <v>6794.02</v>
      </c>
      <c r="F3020" t="n">
        <v>11331.68</v>
      </c>
    </row>
    <row r="3021">
      <c r="A3021" s="3" t="n">
        <v>42887</v>
      </c>
      <c r="B3021" t="n">
        <v>12950.58</v>
      </c>
      <c r="C3021" t="n">
        <v>6630.36</v>
      </c>
      <c r="D3021" t="n">
        <v>5312.78</v>
      </c>
      <c r="E3021" t="n">
        <v>6812.04</v>
      </c>
      <c r="F3021" t="n">
        <v>11421.91</v>
      </c>
    </row>
    <row r="3022">
      <c r="A3022" s="3" t="n">
        <v>42888</v>
      </c>
      <c r="B3022" t="n">
        <v>13005.43</v>
      </c>
      <c r="C3022" t="n">
        <v>6683.64</v>
      </c>
      <c r="D3022" t="n">
        <v>5316.78</v>
      </c>
      <c r="E3022" t="n">
        <v>6850.41</v>
      </c>
      <c r="F3022" t="n">
        <v>11484.7</v>
      </c>
    </row>
    <row r="3023">
      <c r="A3023" s="3" t="n">
        <v>42891</v>
      </c>
      <c r="B3023" t="n">
        <v>13084.11</v>
      </c>
      <c r="C3023" t="n">
        <v>6745.82</v>
      </c>
      <c r="D3023" t="n">
        <v>5343.4</v>
      </c>
      <c r="E3023" t="n">
        <v>6863.61</v>
      </c>
      <c r="F3023" t="n">
        <v>11573.26</v>
      </c>
    </row>
    <row r="3024">
      <c r="A3024" s="3" t="n">
        <v>42892</v>
      </c>
      <c r="B3024" t="n">
        <v>13035.62</v>
      </c>
      <c r="C3024" t="n">
        <v>6752.91</v>
      </c>
      <c r="D3024" t="n">
        <v>5306.94</v>
      </c>
      <c r="E3024" t="n">
        <v>6846.8</v>
      </c>
      <c r="F3024" t="n">
        <v>11502.57</v>
      </c>
    </row>
    <row r="3025">
      <c r="A3025" s="3" t="n">
        <v>42893</v>
      </c>
      <c r="B3025" t="n">
        <v>13124.55</v>
      </c>
      <c r="C3025" t="n">
        <v>6776.57</v>
      </c>
      <c r="D3025" t="n">
        <v>5329.41</v>
      </c>
      <c r="E3025" t="n">
        <v>6863.71</v>
      </c>
      <c r="F3025" t="n">
        <v>11619.83</v>
      </c>
    </row>
    <row r="3026">
      <c r="A3026" s="3" t="n">
        <v>42894</v>
      </c>
      <c r="B3026" t="n">
        <v>13153.74</v>
      </c>
      <c r="C3026" t="n">
        <v>6755.5</v>
      </c>
      <c r="D3026" t="n">
        <v>5328.89</v>
      </c>
      <c r="E3026" t="n">
        <v>6857.96</v>
      </c>
      <c r="F3026" t="n">
        <v>11664.12</v>
      </c>
    </row>
    <row r="3027">
      <c r="A3027" s="3" t="n">
        <v>42895</v>
      </c>
      <c r="B3027" t="n">
        <v>13236.82</v>
      </c>
      <c r="C3027" t="n">
        <v>6745.77</v>
      </c>
      <c r="D3027" t="n">
        <v>5352.87</v>
      </c>
      <c r="E3027" t="n">
        <v>6856.13</v>
      </c>
      <c r="F3027" t="n">
        <v>11786.89</v>
      </c>
    </row>
    <row r="3028">
      <c r="A3028" s="3" t="n">
        <v>42898</v>
      </c>
      <c r="B3028" t="n">
        <v>13159.44</v>
      </c>
      <c r="C3028" t="n">
        <v>6735.58</v>
      </c>
      <c r="D3028" t="n">
        <v>5339.82</v>
      </c>
      <c r="E3028" t="n">
        <v>6827.23</v>
      </c>
      <c r="F3028" t="n">
        <v>11705.81</v>
      </c>
    </row>
    <row r="3029">
      <c r="A3029" s="3" t="n">
        <v>42899</v>
      </c>
      <c r="B3029" t="n">
        <v>13144.65</v>
      </c>
      <c r="C3029" t="n">
        <v>6716.43</v>
      </c>
      <c r="D3029" t="n">
        <v>5332.33</v>
      </c>
      <c r="E3029" t="n">
        <v>6827.89</v>
      </c>
      <c r="F3029" t="n">
        <v>11734.39</v>
      </c>
    </row>
    <row r="3030">
      <c r="A3030" s="3" t="n">
        <v>42900</v>
      </c>
      <c r="B3030" t="n">
        <v>13134.12</v>
      </c>
      <c r="C3030" t="n">
        <v>6723.8</v>
      </c>
      <c r="D3030" t="n">
        <v>5354.44</v>
      </c>
      <c r="E3030" t="n">
        <v>6841.05</v>
      </c>
      <c r="F3030" t="n">
        <v>11734.41</v>
      </c>
    </row>
    <row r="3031">
      <c r="A3031" s="3" t="n">
        <v>42901</v>
      </c>
      <c r="B3031" t="n">
        <v>13084.73</v>
      </c>
      <c r="C3031" t="n">
        <v>6718.35</v>
      </c>
      <c r="D3031" t="n">
        <v>5335.11</v>
      </c>
      <c r="E3031" t="n">
        <v>6823.74</v>
      </c>
      <c r="F3031" t="n">
        <v>11755.45</v>
      </c>
    </row>
    <row r="3032">
      <c r="A3032" s="3" t="n">
        <v>42902</v>
      </c>
      <c r="B3032" t="n">
        <v>13116.09</v>
      </c>
      <c r="C3032" t="n">
        <v>6704.54</v>
      </c>
      <c r="D3032" t="n">
        <v>5348.17</v>
      </c>
      <c r="E3032" t="n">
        <v>6826.21</v>
      </c>
      <c r="F3032" t="n">
        <v>11757.31</v>
      </c>
    </row>
    <row r="3033">
      <c r="A3033" s="3" t="n">
        <v>42905</v>
      </c>
      <c r="B3033" t="n">
        <v>13156.73</v>
      </c>
      <c r="C3033" t="n">
        <v>6710.3</v>
      </c>
      <c r="D3033" t="n">
        <v>5366.56</v>
      </c>
      <c r="E3033" t="n">
        <v>6845.74</v>
      </c>
      <c r="F3033" t="n">
        <v>11789.7</v>
      </c>
    </row>
    <row r="3034">
      <c r="A3034" s="3" t="n">
        <v>42906</v>
      </c>
      <c r="B3034" t="n">
        <v>13171.9</v>
      </c>
      <c r="C3034" t="n">
        <v>6707.32</v>
      </c>
      <c r="D3034" t="n">
        <v>5378.76</v>
      </c>
      <c r="E3034" t="n">
        <v>6842.62</v>
      </c>
      <c r="F3034" t="n">
        <v>11811.2</v>
      </c>
    </row>
    <row r="3035">
      <c r="A3035" s="3" t="n">
        <v>42907</v>
      </c>
      <c r="B3035" t="n">
        <v>13128.87</v>
      </c>
      <c r="C3035" t="n">
        <v>6716.87</v>
      </c>
      <c r="D3035" t="n">
        <v>5353.23</v>
      </c>
      <c r="E3035" t="n">
        <v>6841.17</v>
      </c>
      <c r="F3035" t="n">
        <v>11801.24</v>
      </c>
    </row>
    <row r="3036">
      <c r="A3036" s="3" t="n">
        <v>42908</v>
      </c>
      <c r="B3036" t="n">
        <v>12962.62</v>
      </c>
      <c r="C3036" t="n">
        <v>6693.52</v>
      </c>
      <c r="D3036" t="n">
        <v>5268</v>
      </c>
      <c r="E3036" t="n">
        <v>6827.68</v>
      </c>
      <c r="F3036" t="n">
        <v>11676.78</v>
      </c>
    </row>
    <row r="3037">
      <c r="A3037" s="3" t="n">
        <v>42909</v>
      </c>
      <c r="B3037" t="n">
        <v>12737.92</v>
      </c>
      <c r="C3037" t="n">
        <v>6656.79</v>
      </c>
      <c r="D3037" t="n">
        <v>5184.38</v>
      </c>
      <c r="E3037" t="n">
        <v>6799.33</v>
      </c>
      <c r="F3037" t="n">
        <v>11480.69</v>
      </c>
    </row>
    <row r="3038">
      <c r="A3038" s="3" t="n">
        <v>42913</v>
      </c>
      <c r="B3038" t="n">
        <v>12545.98</v>
      </c>
      <c r="C3038" t="n">
        <v>6598.22</v>
      </c>
      <c r="D3038" t="n">
        <v>5131.55</v>
      </c>
      <c r="E3038" t="n">
        <v>6752.15</v>
      </c>
      <c r="F3038" t="n">
        <v>11271.82</v>
      </c>
    </row>
    <row r="3039">
      <c r="A3039" s="3" t="n">
        <v>42914</v>
      </c>
      <c r="B3039" t="n">
        <v>12661.01</v>
      </c>
      <c r="C3039" t="n">
        <v>6605.55</v>
      </c>
      <c r="D3039" t="n">
        <v>5186.27</v>
      </c>
      <c r="E3039" t="n">
        <v>6739.47</v>
      </c>
      <c r="F3039" t="n">
        <v>11331.04</v>
      </c>
    </row>
    <row r="3040">
      <c r="A3040" s="3" t="n">
        <v>42915</v>
      </c>
      <c r="B3040" t="n">
        <v>12749.85</v>
      </c>
      <c r="C3040" t="n">
        <v>6621.05</v>
      </c>
      <c r="D3040" t="n">
        <v>5216.99</v>
      </c>
      <c r="E3040" t="n">
        <v>6735.7</v>
      </c>
      <c r="F3040" t="n">
        <v>11407.7</v>
      </c>
    </row>
    <row r="3041">
      <c r="A3041" s="3" t="n">
        <v>42916</v>
      </c>
      <c r="B3041" t="n">
        <v>12783.97</v>
      </c>
      <c r="C3041" t="n">
        <v>6659.52</v>
      </c>
      <c r="D3041" t="n">
        <v>5198.3</v>
      </c>
      <c r="E3041" t="n">
        <v>6752.85</v>
      </c>
      <c r="F3041" t="n">
        <v>11462.19</v>
      </c>
    </row>
    <row r="3042">
      <c r="A3042" s="3" t="n">
        <v>42919</v>
      </c>
      <c r="B3042" t="n">
        <v>12961.1</v>
      </c>
      <c r="C3042" t="n">
        <v>6723.01</v>
      </c>
      <c r="D3042" t="n">
        <v>5271.21</v>
      </c>
      <c r="E3042" t="n">
        <v>6795.24</v>
      </c>
      <c r="F3042" t="n">
        <v>11625.13</v>
      </c>
    </row>
    <row r="3043">
      <c r="A3043" s="3" t="n">
        <v>42920</v>
      </c>
      <c r="B3043" t="n">
        <v>12952.13</v>
      </c>
      <c r="C3043" t="n">
        <v>6703.81</v>
      </c>
      <c r="D3043" t="n">
        <v>5240.01</v>
      </c>
      <c r="E3043" t="n">
        <v>6807.32</v>
      </c>
      <c r="F3043" t="n">
        <v>11587.9</v>
      </c>
    </row>
    <row r="3044">
      <c r="A3044" s="3" t="n">
        <v>42921</v>
      </c>
      <c r="B3044" t="n">
        <v>13057.33</v>
      </c>
      <c r="C3044" t="n">
        <v>6725.84</v>
      </c>
      <c r="D3044" t="n">
        <v>5301.48</v>
      </c>
      <c r="E3044" t="n">
        <v>6836.72</v>
      </c>
      <c r="F3044" t="n">
        <v>11684.83</v>
      </c>
    </row>
    <row r="3045">
      <c r="A3045" s="3" t="n">
        <v>42922</v>
      </c>
      <c r="B3045" t="n">
        <v>13072.03</v>
      </c>
      <c r="C3045" t="n">
        <v>6724.53</v>
      </c>
      <c r="D3045" t="n">
        <v>5333.22</v>
      </c>
      <c r="E3045" t="n">
        <v>6841.98</v>
      </c>
      <c r="F3045" t="n">
        <v>11744.9</v>
      </c>
    </row>
    <row r="3046">
      <c r="A3046" s="3" t="n">
        <v>42923</v>
      </c>
      <c r="B3046" t="n">
        <v>13024.93</v>
      </c>
      <c r="C3046" t="n">
        <v>6708.41</v>
      </c>
      <c r="D3046" t="n">
        <v>5341.02</v>
      </c>
      <c r="E3046" t="n">
        <v>6837.31</v>
      </c>
      <c r="F3046" t="n">
        <v>11722.51</v>
      </c>
    </row>
    <row r="3047">
      <c r="A3047" s="3" t="n">
        <v>42926</v>
      </c>
      <c r="B3047" t="n">
        <v>13085.4</v>
      </c>
      <c r="C3047" t="n">
        <v>6790.66</v>
      </c>
      <c r="D3047" t="n">
        <v>5408.32</v>
      </c>
      <c r="E3047" t="n">
        <v>6916.94</v>
      </c>
      <c r="F3047" t="n">
        <v>11791.14</v>
      </c>
    </row>
    <row r="3048">
      <c r="A3048" s="3" t="n">
        <v>42927</v>
      </c>
      <c r="B3048" t="n">
        <v>13043.29</v>
      </c>
      <c r="C3048" t="n">
        <v>6789.92</v>
      </c>
      <c r="D3048" t="n">
        <v>5373.64</v>
      </c>
      <c r="E3048" t="n">
        <v>6922.49</v>
      </c>
      <c r="F3048" t="n">
        <v>11727.41</v>
      </c>
    </row>
    <row r="3049">
      <c r="A3049" s="3" t="n">
        <v>42928</v>
      </c>
      <c r="B3049" t="n">
        <v>13239.3</v>
      </c>
      <c r="C3049" t="n">
        <v>6808.53</v>
      </c>
      <c r="D3049" t="n">
        <v>5443.16</v>
      </c>
      <c r="E3049" t="n">
        <v>6947.21</v>
      </c>
      <c r="F3049" t="n">
        <v>11858.44</v>
      </c>
    </row>
    <row r="3050">
      <c r="A3050" s="3" t="n">
        <v>42929</v>
      </c>
      <c r="B3050" t="n">
        <v>13333.92</v>
      </c>
      <c r="C3050" t="n">
        <v>6821.57</v>
      </c>
      <c r="D3050" t="n">
        <v>5467.6</v>
      </c>
      <c r="E3050" t="n">
        <v>6972.89</v>
      </c>
      <c r="F3050" t="n">
        <v>11914.77</v>
      </c>
    </row>
    <row r="3051">
      <c r="A3051" s="3" t="n">
        <v>42930</v>
      </c>
      <c r="B3051" t="n">
        <v>13426.85</v>
      </c>
      <c r="C3051" t="n">
        <v>6811.11</v>
      </c>
      <c r="D3051" t="n">
        <v>5453.61</v>
      </c>
      <c r="E3051" t="n">
        <v>6969.48</v>
      </c>
      <c r="F3051" t="n">
        <v>11939.63</v>
      </c>
    </row>
    <row r="3052">
      <c r="A3052" s="3" t="n">
        <v>42933</v>
      </c>
      <c r="B3052" t="n">
        <v>13450.22</v>
      </c>
      <c r="C3052" t="n">
        <v>6838.19</v>
      </c>
      <c r="D3052" t="n">
        <v>5488.56</v>
      </c>
      <c r="E3052" t="n">
        <v>7015.32</v>
      </c>
      <c r="F3052" t="n">
        <v>11982.37</v>
      </c>
    </row>
    <row r="3053">
      <c r="A3053" s="3" t="n">
        <v>42934</v>
      </c>
      <c r="B3053" t="n">
        <v>13334.04</v>
      </c>
      <c r="C3053" t="n">
        <v>6838.42</v>
      </c>
      <c r="D3053" t="n">
        <v>5454.43</v>
      </c>
      <c r="E3053" t="n">
        <v>7016.31</v>
      </c>
      <c r="F3053" t="n">
        <v>11927.91</v>
      </c>
    </row>
    <row r="3054">
      <c r="A3054" s="3" t="n">
        <v>42935</v>
      </c>
      <c r="B3054" t="n">
        <v>13515.58</v>
      </c>
      <c r="C3054" t="n">
        <v>6890.12</v>
      </c>
      <c r="D3054" t="n">
        <v>5519.21</v>
      </c>
      <c r="E3054" t="n">
        <v>7062.71</v>
      </c>
      <c r="F3054" t="n">
        <v>12085.53</v>
      </c>
    </row>
    <row r="3055">
      <c r="A3055" s="3" t="n">
        <v>42936</v>
      </c>
      <c r="B3055" t="n">
        <v>13498.87</v>
      </c>
      <c r="C3055" t="n">
        <v>6843.59</v>
      </c>
      <c r="D3055" t="n">
        <v>5515.57</v>
      </c>
      <c r="E3055" t="n">
        <v>7028.5</v>
      </c>
      <c r="F3055" t="n">
        <v>12090.49</v>
      </c>
    </row>
    <row r="3056">
      <c r="A3056" s="3" t="n">
        <v>42937</v>
      </c>
      <c r="B3056" t="n">
        <v>13517.46</v>
      </c>
      <c r="C3056" t="n">
        <v>6880.69</v>
      </c>
      <c r="D3056" t="n">
        <v>5518.53</v>
      </c>
      <c r="E3056" t="n">
        <v>7077.56</v>
      </c>
      <c r="F3056" t="n">
        <v>12079.96</v>
      </c>
    </row>
    <row r="3057">
      <c r="A3057" s="3" t="n">
        <v>42940</v>
      </c>
      <c r="B3057" t="n">
        <v>13534.72</v>
      </c>
      <c r="C3057" t="n">
        <v>6897.12</v>
      </c>
      <c r="D3057" t="n">
        <v>5517.98</v>
      </c>
      <c r="E3057" t="n">
        <v>7099.64</v>
      </c>
      <c r="F3057" t="n">
        <v>12068.99</v>
      </c>
    </row>
    <row r="3058">
      <c r="A3058" s="3" t="n">
        <v>42941</v>
      </c>
      <c r="B3058" t="n">
        <v>13609.69</v>
      </c>
      <c r="C3058" t="n">
        <v>6888.54</v>
      </c>
      <c r="D3058" t="n">
        <v>5543.9</v>
      </c>
      <c r="E3058" t="n">
        <v>7084.3</v>
      </c>
      <c r="F3058" t="n">
        <v>12144</v>
      </c>
    </row>
    <row r="3059">
      <c r="A3059" s="3" t="n">
        <v>42942</v>
      </c>
      <c r="B3059" t="n">
        <v>13681.98</v>
      </c>
      <c r="C3059" t="n">
        <v>6896.02</v>
      </c>
      <c r="D3059" t="n">
        <v>5566.54</v>
      </c>
      <c r="E3059" t="n">
        <v>7105.48</v>
      </c>
      <c r="F3059" t="n">
        <v>12165.02</v>
      </c>
    </row>
    <row r="3060">
      <c r="A3060" s="3" t="n">
        <v>42943</v>
      </c>
      <c r="B3060" t="n">
        <v>13601.18</v>
      </c>
      <c r="C3060" t="n">
        <v>6870.34</v>
      </c>
      <c r="D3060" t="n">
        <v>5519.14</v>
      </c>
      <c r="E3060" t="n">
        <v>7097.65</v>
      </c>
      <c r="F3060" t="n">
        <v>12080.9</v>
      </c>
    </row>
    <row r="3061">
      <c r="A3061" s="3" t="n">
        <v>42944</v>
      </c>
      <c r="B3061" t="n">
        <v>13617.47</v>
      </c>
      <c r="C3061" t="n">
        <v>6873.54</v>
      </c>
      <c r="D3061" t="n">
        <v>5544.92</v>
      </c>
      <c r="E3061" t="n">
        <v>7105.9</v>
      </c>
      <c r="F3061" t="n">
        <v>12106.54</v>
      </c>
    </row>
    <row r="3062">
      <c r="A3062" s="3" t="n">
        <v>42947</v>
      </c>
      <c r="B3062" t="n">
        <v>13690.13</v>
      </c>
      <c r="C3062" t="n">
        <v>6879.23</v>
      </c>
      <c r="D3062" t="n">
        <v>5583.9</v>
      </c>
      <c r="E3062" t="n">
        <v>7139.8</v>
      </c>
      <c r="F3062" t="n">
        <v>12141.47</v>
      </c>
    </row>
    <row r="3063">
      <c r="A3063" s="3" t="n">
        <v>42948</v>
      </c>
      <c r="B3063" t="n">
        <v>13692.89</v>
      </c>
      <c r="C3063" t="n">
        <v>6900.18</v>
      </c>
      <c r="D3063" t="n">
        <v>5607.81</v>
      </c>
      <c r="E3063" t="n">
        <v>7149.1</v>
      </c>
      <c r="F3063" t="n">
        <v>12192.66</v>
      </c>
    </row>
    <row r="3064">
      <c r="A3064" s="3" t="n">
        <v>42949</v>
      </c>
      <c r="B3064" t="n">
        <v>13748.86</v>
      </c>
      <c r="C3064" t="n">
        <v>6887.9</v>
      </c>
      <c r="D3064" t="n">
        <v>5589.47</v>
      </c>
      <c r="E3064" t="n">
        <v>7135.82</v>
      </c>
      <c r="F3064" t="n">
        <v>12200.83</v>
      </c>
    </row>
    <row r="3065">
      <c r="A3065" s="3" t="n">
        <v>42950</v>
      </c>
      <c r="B3065" t="n">
        <v>13704.36</v>
      </c>
      <c r="C3065" t="n">
        <v>6862.63</v>
      </c>
      <c r="D3065" t="n">
        <v>5547.15</v>
      </c>
      <c r="E3065" t="n">
        <v>7123.49</v>
      </c>
      <c r="F3065" t="n">
        <v>12144.7</v>
      </c>
    </row>
    <row r="3066">
      <c r="A3066" s="3" t="n">
        <v>42951</v>
      </c>
      <c r="B3066" t="n">
        <v>13858.44</v>
      </c>
      <c r="C3066" t="n">
        <v>6920.78</v>
      </c>
      <c r="D3066" t="n">
        <v>5660.66</v>
      </c>
      <c r="E3066" t="n">
        <v>7147.47</v>
      </c>
      <c r="F3066" t="n">
        <v>12234.44</v>
      </c>
    </row>
    <row r="3067">
      <c r="A3067" s="3" t="n">
        <v>42954</v>
      </c>
      <c r="B3067" t="n">
        <v>14008.85</v>
      </c>
      <c r="C3067" t="n">
        <v>6952.99</v>
      </c>
      <c r="D3067" t="n">
        <v>5751.33</v>
      </c>
      <c r="E3067" t="n">
        <v>7137.64</v>
      </c>
      <c r="F3067" t="n">
        <v>12400.79</v>
      </c>
    </row>
    <row r="3068">
      <c r="A3068" s="3" t="n">
        <v>42955</v>
      </c>
      <c r="B3068" t="n">
        <v>13902.44</v>
      </c>
      <c r="C3068" t="n">
        <v>6901.31</v>
      </c>
      <c r="D3068" t="n">
        <v>5658.68</v>
      </c>
      <c r="E3068" t="n">
        <v>7094.51</v>
      </c>
      <c r="F3068" t="n">
        <v>12265.65</v>
      </c>
    </row>
    <row r="3069">
      <c r="A3069" s="3" t="n">
        <v>42956</v>
      </c>
      <c r="B3069" t="n">
        <v>13707.21</v>
      </c>
      <c r="C3069" t="n">
        <v>6810.15</v>
      </c>
      <c r="D3069" t="n">
        <v>5587.64</v>
      </c>
      <c r="E3069" t="n">
        <v>7055.48</v>
      </c>
      <c r="F3069" t="n">
        <v>12061.58</v>
      </c>
    </row>
    <row r="3070">
      <c r="A3070" s="3" t="n">
        <v>42957</v>
      </c>
      <c r="B3070" t="n">
        <v>13218.99</v>
      </c>
      <c r="C3070" t="n">
        <v>6727.35</v>
      </c>
      <c r="D3070" t="n">
        <v>5399.16</v>
      </c>
      <c r="E3070" t="n">
        <v>6985.62</v>
      </c>
      <c r="F3070" t="n">
        <v>11541.56</v>
      </c>
    </row>
    <row r="3071">
      <c r="A3071" s="3" t="n">
        <v>42958</v>
      </c>
      <c r="B3071" t="n">
        <v>13178.64</v>
      </c>
      <c r="C3071" t="n">
        <v>6695.91</v>
      </c>
      <c r="D3071" t="n">
        <v>5335.84</v>
      </c>
      <c r="E3071" t="n">
        <v>6926.09</v>
      </c>
      <c r="F3071" t="n">
        <v>11520.47</v>
      </c>
    </row>
    <row r="3072">
      <c r="A3072" s="3" t="n">
        <v>42961</v>
      </c>
      <c r="B3072" t="n">
        <v>13560.95</v>
      </c>
      <c r="C3072" t="n">
        <v>6775.8</v>
      </c>
      <c r="D3072" t="n">
        <v>5471.5</v>
      </c>
      <c r="E3072" t="n">
        <v>6990.96</v>
      </c>
      <c r="F3072" t="n">
        <v>11845.45</v>
      </c>
    </row>
    <row r="3073">
      <c r="A3073" s="3" t="n">
        <v>42963</v>
      </c>
      <c r="B3073" t="n">
        <v>13733.84</v>
      </c>
      <c r="C3073" t="n">
        <v>6849.69</v>
      </c>
      <c r="D3073" t="n">
        <v>5530.49</v>
      </c>
      <c r="E3073" t="n">
        <v>7048.01</v>
      </c>
      <c r="F3073" t="n">
        <v>12009.93</v>
      </c>
    </row>
    <row r="3074">
      <c r="A3074" s="3" t="n">
        <v>42964</v>
      </c>
      <c r="B3074" t="n">
        <v>13808.29</v>
      </c>
      <c r="C3074" t="n">
        <v>6846.74</v>
      </c>
      <c r="D3074" t="n">
        <v>5589.13</v>
      </c>
      <c r="E3074" t="n">
        <v>7055.83</v>
      </c>
      <c r="F3074" t="n">
        <v>12033.54</v>
      </c>
    </row>
    <row r="3075">
      <c r="A3075" s="3" t="n">
        <v>42965</v>
      </c>
      <c r="B3075" t="n">
        <v>13745.38</v>
      </c>
      <c r="C3075" t="n">
        <v>6829.28</v>
      </c>
      <c r="D3075" t="n">
        <v>5557.88</v>
      </c>
      <c r="E3075" t="n">
        <v>7028.04</v>
      </c>
      <c r="F3075" t="n">
        <v>11955.06</v>
      </c>
    </row>
    <row r="3076">
      <c r="A3076" s="3" t="n">
        <v>42968</v>
      </c>
      <c r="B3076" t="n">
        <v>13553.3</v>
      </c>
      <c r="C3076" t="n">
        <v>6765.5</v>
      </c>
      <c r="D3076" t="n">
        <v>5455.44</v>
      </c>
      <c r="E3076" t="n">
        <v>6959.08</v>
      </c>
      <c r="F3076" t="n">
        <v>11762.23</v>
      </c>
    </row>
    <row r="3077">
      <c r="A3077" s="3" t="n">
        <v>42969</v>
      </c>
      <c r="B3077" t="n">
        <v>13531.47</v>
      </c>
      <c r="C3077" t="n">
        <v>6742.71</v>
      </c>
      <c r="D3077" t="n">
        <v>5441.19</v>
      </c>
      <c r="E3077" t="n">
        <v>6958.02</v>
      </c>
      <c r="F3077" t="n">
        <v>11714.07</v>
      </c>
    </row>
    <row r="3078">
      <c r="A3078" s="3" t="n">
        <v>42970</v>
      </c>
      <c r="B3078" t="n">
        <v>13732.88</v>
      </c>
      <c r="C3078" t="n">
        <v>6758.43</v>
      </c>
      <c r="D3078" t="n">
        <v>5533.43</v>
      </c>
      <c r="E3078" t="n">
        <v>6991.74</v>
      </c>
      <c r="F3078" t="n">
        <v>11930.33</v>
      </c>
    </row>
    <row r="3079">
      <c r="A3079" s="3" t="n">
        <v>42971</v>
      </c>
      <c r="B3079" t="n">
        <v>13811.43</v>
      </c>
      <c r="C3079" t="n">
        <v>6787.07</v>
      </c>
      <c r="D3079" t="n">
        <v>5552.85</v>
      </c>
      <c r="E3079" t="n">
        <v>7003.47</v>
      </c>
      <c r="F3079" t="n">
        <v>11972.28</v>
      </c>
    </row>
    <row r="3080">
      <c r="A3080" s="3" t="n">
        <v>42975</v>
      </c>
      <c r="B3080" t="n">
        <v>13976.75</v>
      </c>
      <c r="C3080" t="n">
        <v>6858.79</v>
      </c>
      <c r="D3080" t="n">
        <v>5598.67</v>
      </c>
      <c r="E3080" t="n">
        <v>7053</v>
      </c>
      <c r="F3080" t="n">
        <v>12089.58</v>
      </c>
    </row>
    <row r="3081">
      <c r="A3081" s="3" t="n">
        <v>42976</v>
      </c>
      <c r="B3081" t="n">
        <v>13849.78</v>
      </c>
      <c r="C3081" t="n">
        <v>6799.55</v>
      </c>
      <c r="D3081" t="n">
        <v>5527.66</v>
      </c>
      <c r="E3081" t="n">
        <v>6973.46</v>
      </c>
      <c r="F3081" t="n">
        <v>11945.67</v>
      </c>
    </row>
    <row r="3082">
      <c r="A3082" s="3" t="n">
        <v>42977</v>
      </c>
      <c r="B3082" t="n">
        <v>14100.03</v>
      </c>
      <c r="C3082" t="n">
        <v>6853.29</v>
      </c>
      <c r="D3082" t="n">
        <v>5653.03</v>
      </c>
      <c r="E3082" t="n">
        <v>7027.36</v>
      </c>
      <c r="F3082" t="n">
        <v>12148.43</v>
      </c>
    </row>
    <row r="3083">
      <c r="A3083" s="3" t="n">
        <v>42978</v>
      </c>
      <c r="B3083" t="n">
        <v>14217.86</v>
      </c>
      <c r="C3083" t="n">
        <v>6884.81</v>
      </c>
      <c r="D3083" t="n">
        <v>5686.47</v>
      </c>
      <c r="E3083" t="n">
        <v>7066.46</v>
      </c>
      <c r="F3083" t="n">
        <v>12296.68</v>
      </c>
    </row>
    <row r="3084">
      <c r="A3084" s="3" t="n">
        <v>42979</v>
      </c>
      <c r="B3084" t="n">
        <v>14357.16</v>
      </c>
      <c r="C3084" t="n">
        <v>6936.23</v>
      </c>
      <c r="D3084" t="n">
        <v>5768.03</v>
      </c>
      <c r="E3084" t="n">
        <v>7114.8</v>
      </c>
      <c r="F3084" t="n">
        <v>12438.66</v>
      </c>
    </row>
    <row r="3085">
      <c r="A3085" s="3" t="n">
        <v>42982</v>
      </c>
      <c r="B3085" t="n">
        <v>14237.91</v>
      </c>
      <c r="C3085" t="n">
        <v>6909.17</v>
      </c>
      <c r="D3085" t="n">
        <v>5713.01</v>
      </c>
      <c r="E3085" t="n">
        <v>7081.54</v>
      </c>
      <c r="F3085" t="n">
        <v>12317.66</v>
      </c>
    </row>
    <row r="3086">
      <c r="A3086" s="3" t="n">
        <v>42983</v>
      </c>
      <c r="B3086" t="n">
        <v>14431.01</v>
      </c>
      <c r="C3086" t="n">
        <v>6956.33</v>
      </c>
      <c r="D3086" t="n">
        <v>5763.24</v>
      </c>
      <c r="E3086" t="n">
        <v>7114.41</v>
      </c>
      <c r="F3086" t="n">
        <v>12488.81</v>
      </c>
    </row>
    <row r="3087">
      <c r="A3087" s="3" t="n">
        <v>42984</v>
      </c>
      <c r="B3087" t="n">
        <v>14481.57</v>
      </c>
      <c r="C3087" t="n">
        <v>6929.04</v>
      </c>
      <c r="D3087" t="n">
        <v>5767.61</v>
      </c>
      <c r="E3087" t="n">
        <v>7102.78</v>
      </c>
      <c r="F3087" t="n">
        <v>12551.78</v>
      </c>
    </row>
    <row r="3088">
      <c r="A3088" s="3" t="n">
        <v>42985</v>
      </c>
      <c r="B3088" t="n">
        <v>14623.78</v>
      </c>
      <c r="C3088" t="n">
        <v>6968.61</v>
      </c>
      <c r="D3088" t="n">
        <v>5791.63</v>
      </c>
      <c r="E3088" t="n">
        <v>7120.2</v>
      </c>
      <c r="F3088" t="n">
        <v>12627.23</v>
      </c>
    </row>
    <row r="3089">
      <c r="A3089" s="3" t="n">
        <v>42986</v>
      </c>
      <c r="B3089" t="n">
        <v>14573.46</v>
      </c>
      <c r="C3089" t="n">
        <v>6963.43</v>
      </c>
      <c r="D3089" t="n">
        <v>5749.87</v>
      </c>
      <c r="E3089" t="n">
        <v>7108.27</v>
      </c>
      <c r="F3089" t="n">
        <v>12569.98</v>
      </c>
    </row>
    <row r="3090">
      <c r="A3090" s="3" t="n">
        <v>42989</v>
      </c>
      <c r="B3090" t="n">
        <v>14721.9</v>
      </c>
      <c r="C3090" t="n">
        <v>6967.01</v>
      </c>
      <c r="D3090" t="n">
        <v>5780.14</v>
      </c>
      <c r="E3090" t="n">
        <v>7150.94</v>
      </c>
      <c r="F3090" t="n">
        <v>12667.59</v>
      </c>
    </row>
    <row r="3091">
      <c r="A3091" s="3" t="n">
        <v>42990</v>
      </c>
      <c r="B3091" t="n">
        <v>14848.62</v>
      </c>
      <c r="C3091" t="n">
        <v>7022.68</v>
      </c>
      <c r="D3091" t="n">
        <v>5850.91</v>
      </c>
      <c r="E3091" t="n">
        <v>7203.08</v>
      </c>
      <c r="F3091" t="n">
        <v>12787.94</v>
      </c>
    </row>
    <row r="3092">
      <c r="A3092" s="3" t="n">
        <v>42991</v>
      </c>
      <c r="B3092" t="n">
        <v>14660.53</v>
      </c>
      <c r="C3092" t="n">
        <v>7016</v>
      </c>
      <c r="D3092" t="n">
        <v>5772.74</v>
      </c>
      <c r="E3092" t="n">
        <v>7203.41</v>
      </c>
      <c r="F3092" t="n">
        <v>12681.93</v>
      </c>
    </row>
    <row r="3093">
      <c r="A3093" s="3" t="n">
        <v>42992</v>
      </c>
      <c r="B3093" t="n">
        <v>14688.76</v>
      </c>
      <c r="C3093" t="n">
        <v>7029.27</v>
      </c>
      <c r="D3093" t="n">
        <v>5775.75</v>
      </c>
      <c r="E3093" t="n">
        <v>7194.31</v>
      </c>
      <c r="F3093" t="n">
        <v>12768.48</v>
      </c>
    </row>
    <row r="3094">
      <c r="A3094" s="3" t="n">
        <v>42993</v>
      </c>
      <c r="B3094" t="n">
        <v>14738.48</v>
      </c>
      <c r="C3094" t="n">
        <v>7051.19</v>
      </c>
      <c r="D3094" t="n">
        <v>5776.95</v>
      </c>
      <c r="E3094" t="n">
        <v>7209.63</v>
      </c>
      <c r="F3094" t="n">
        <v>12817.55</v>
      </c>
    </row>
    <row r="3095">
      <c r="A3095" s="3" t="n">
        <v>42996</v>
      </c>
      <c r="B3095" t="n">
        <v>14846.69</v>
      </c>
      <c r="C3095" t="n">
        <v>7115.13</v>
      </c>
      <c r="D3095" t="n">
        <v>5793.6</v>
      </c>
      <c r="E3095" t="n">
        <v>7268.47</v>
      </c>
      <c r="F3095" t="n">
        <v>12947.6</v>
      </c>
    </row>
    <row r="3096">
      <c r="A3096" s="3" t="n">
        <v>42997</v>
      </c>
      <c r="B3096" t="n">
        <v>14917.52</v>
      </c>
      <c r="C3096" t="n">
        <v>7114.5</v>
      </c>
      <c r="D3096" t="n">
        <v>5820.56</v>
      </c>
      <c r="E3096" t="n">
        <v>7268.18</v>
      </c>
      <c r="F3096" t="n">
        <v>12988.57</v>
      </c>
    </row>
    <row r="3097">
      <c r="A3097" s="3" t="n">
        <v>42998</v>
      </c>
      <c r="B3097" t="n">
        <v>14785.35</v>
      </c>
      <c r="C3097" t="n">
        <v>7088.86</v>
      </c>
      <c r="D3097" t="n">
        <v>5806.69</v>
      </c>
      <c r="E3097" t="n">
        <v>7244.07</v>
      </c>
      <c r="F3097" t="n">
        <v>12884.39</v>
      </c>
    </row>
    <row r="3098">
      <c r="A3098" s="3" t="n">
        <v>42999</v>
      </c>
      <c r="B3098" t="n">
        <v>14740.93</v>
      </c>
      <c r="C3098" t="n">
        <v>7091.12</v>
      </c>
      <c r="D3098" t="n">
        <v>5757.27</v>
      </c>
      <c r="E3098" t="n">
        <v>7242</v>
      </c>
      <c r="F3098" t="n">
        <v>12809.09</v>
      </c>
    </row>
    <row r="3099">
      <c r="A3099" s="3" t="n">
        <v>43000</v>
      </c>
      <c r="B3099" t="n">
        <v>14234.69</v>
      </c>
      <c r="C3099" t="n">
        <v>6986.04</v>
      </c>
      <c r="D3099" t="n">
        <v>5562.56</v>
      </c>
      <c r="E3099" t="n">
        <v>7146.45</v>
      </c>
      <c r="F3099" t="n">
        <v>12329.05</v>
      </c>
    </row>
    <row r="3100">
      <c r="A3100" s="3" t="n">
        <v>43003</v>
      </c>
      <c r="B3100" t="n">
        <v>14000.97</v>
      </c>
      <c r="C3100" t="n">
        <v>6910.47</v>
      </c>
      <c r="D3100" t="n">
        <v>5470.09</v>
      </c>
      <c r="E3100" t="n">
        <v>7096.9</v>
      </c>
      <c r="F3100" t="n">
        <v>11999.57</v>
      </c>
    </row>
    <row r="3101">
      <c r="A3101" s="3" t="n">
        <v>43004</v>
      </c>
      <c r="B3101" t="n">
        <v>14148.49</v>
      </c>
      <c r="C3101" t="n">
        <v>6900.26</v>
      </c>
      <c r="D3101" t="n">
        <v>5508.98</v>
      </c>
      <c r="E3101" t="n">
        <v>7079.67</v>
      </c>
      <c r="F3101" t="n">
        <v>12152.5</v>
      </c>
    </row>
    <row r="3102">
      <c r="A3102" s="3" t="n">
        <v>43005</v>
      </c>
      <c r="B3102" t="n">
        <v>13857.49</v>
      </c>
      <c r="C3102" t="n">
        <v>6810.28</v>
      </c>
      <c r="D3102" t="n">
        <v>5409.91</v>
      </c>
      <c r="E3102" t="n">
        <v>6990.74</v>
      </c>
      <c r="F3102" t="n">
        <v>11866.97</v>
      </c>
    </row>
    <row r="3103">
      <c r="A3103" s="3" t="n">
        <v>43006</v>
      </c>
      <c r="B3103" t="n">
        <v>13911.11</v>
      </c>
      <c r="C3103" t="n">
        <v>6809.37</v>
      </c>
      <c r="D3103" t="n">
        <v>5436.81</v>
      </c>
      <c r="E3103" t="n">
        <v>7024.18</v>
      </c>
      <c r="F3103" t="n">
        <v>11953.97</v>
      </c>
    </row>
    <row r="3104">
      <c r="A3104" s="3" t="n">
        <v>43007</v>
      </c>
      <c r="B3104" t="n">
        <v>14134.68</v>
      </c>
      <c r="C3104" t="n">
        <v>6832.65</v>
      </c>
      <c r="D3104" t="n">
        <v>5499.07</v>
      </c>
      <c r="E3104" t="n">
        <v>7028.73</v>
      </c>
      <c r="F3104" t="n">
        <v>12229.89</v>
      </c>
    </row>
    <row r="3105">
      <c r="A3105" s="3" t="n">
        <v>43011</v>
      </c>
      <c r="B3105" t="n">
        <v>14317.46</v>
      </c>
      <c r="C3105" t="n">
        <v>6879.13</v>
      </c>
      <c r="D3105" t="n">
        <v>5532.41</v>
      </c>
      <c r="E3105" t="n">
        <v>7059.92</v>
      </c>
      <c r="F3105" t="n">
        <v>12373.64</v>
      </c>
    </row>
    <row r="3106">
      <c r="A3106" s="3" t="n">
        <v>43012</v>
      </c>
      <c r="B3106" t="n">
        <v>14414.98</v>
      </c>
      <c r="C3106" t="n">
        <v>6901.92</v>
      </c>
      <c r="D3106" t="n">
        <v>5570.2</v>
      </c>
      <c r="E3106" t="n">
        <v>7103.11</v>
      </c>
      <c r="F3106" t="n">
        <v>12480.63</v>
      </c>
    </row>
    <row r="3107">
      <c r="A3107" s="3" t="n">
        <v>43013</v>
      </c>
      <c r="B3107" t="n">
        <v>14466.68</v>
      </c>
      <c r="C3107" t="n">
        <v>6900.19</v>
      </c>
      <c r="D3107" t="n">
        <v>5576.26</v>
      </c>
      <c r="E3107" t="n">
        <v>7106.72</v>
      </c>
      <c r="F3107" t="n">
        <v>12555.29</v>
      </c>
    </row>
    <row r="3108">
      <c r="A3108" s="3" t="n">
        <v>43014</v>
      </c>
      <c r="B3108" t="n">
        <v>14730.8</v>
      </c>
      <c r="C3108" t="n">
        <v>6943.06</v>
      </c>
      <c r="D3108" t="n">
        <v>5664.64</v>
      </c>
      <c r="E3108" t="n">
        <v>7162.28</v>
      </c>
      <c r="F3108" t="n">
        <v>12699.1</v>
      </c>
    </row>
    <row r="3109">
      <c r="A3109" s="3" t="n">
        <v>43017</v>
      </c>
      <c r="B3109" t="n">
        <v>14732.66</v>
      </c>
      <c r="C3109" t="n">
        <v>6959.43</v>
      </c>
      <c r="D3109" t="n">
        <v>5646.23</v>
      </c>
      <c r="E3109" t="n">
        <v>7167.39</v>
      </c>
      <c r="F3109" t="n">
        <v>12819.49</v>
      </c>
    </row>
    <row r="3110">
      <c r="A3110" s="3" t="n">
        <v>43018</v>
      </c>
      <c r="B3110" t="n">
        <v>14865.38</v>
      </c>
      <c r="C3110" t="n">
        <v>6988.87</v>
      </c>
      <c r="D3110" t="n">
        <v>5661.67</v>
      </c>
      <c r="E3110" t="n">
        <v>7197.28</v>
      </c>
      <c r="F3110" t="n">
        <v>13117.13</v>
      </c>
    </row>
    <row r="3111">
      <c r="A3111" s="3" t="n">
        <v>43019</v>
      </c>
      <c r="B3111" t="n">
        <v>14756.9</v>
      </c>
      <c r="C3111" t="n">
        <v>6977.15</v>
      </c>
      <c r="D3111" t="n">
        <v>5630.3</v>
      </c>
      <c r="E3111" t="n">
        <v>7191.18</v>
      </c>
      <c r="F3111" t="n">
        <v>13019.11</v>
      </c>
    </row>
    <row r="3112">
      <c r="A3112" s="3" t="n">
        <v>43020</v>
      </c>
      <c r="B3112" t="n">
        <v>14992.28</v>
      </c>
      <c r="C3112" t="n">
        <v>7056.66</v>
      </c>
      <c r="D3112" t="n">
        <v>5681.76</v>
      </c>
      <c r="E3112" t="n">
        <v>7262.33</v>
      </c>
      <c r="F3112" t="n">
        <v>13246.15</v>
      </c>
    </row>
    <row r="3113">
      <c r="A3113" s="3" t="n">
        <v>43021</v>
      </c>
      <c r="B3113" t="n">
        <v>15043.86</v>
      </c>
      <c r="C3113" t="n">
        <v>7074.21</v>
      </c>
      <c r="D3113" t="n">
        <v>5714.36</v>
      </c>
      <c r="E3113" t="n">
        <v>7299.85</v>
      </c>
      <c r="F3113" t="n">
        <v>13238.24</v>
      </c>
    </row>
    <row r="3114">
      <c r="A3114" s="3" t="n">
        <v>43024</v>
      </c>
      <c r="B3114" t="n">
        <v>15146.23</v>
      </c>
      <c r="C3114" t="n">
        <v>7106.64</v>
      </c>
      <c r="D3114" t="n">
        <v>5723.8</v>
      </c>
      <c r="E3114" t="n">
        <v>7343.78</v>
      </c>
      <c r="F3114" t="n">
        <v>13275.02</v>
      </c>
    </row>
    <row r="3115">
      <c r="A3115" s="3" t="n">
        <v>43025</v>
      </c>
      <c r="B3115" t="n">
        <v>15221.33</v>
      </c>
      <c r="C3115" t="n">
        <v>7141.51</v>
      </c>
      <c r="D3115" t="n">
        <v>5780.81</v>
      </c>
      <c r="E3115" t="n">
        <v>7347.46</v>
      </c>
      <c r="F3115" t="n">
        <v>13448.08</v>
      </c>
    </row>
    <row r="3116">
      <c r="A3116" s="3" t="n">
        <v>43026</v>
      </c>
      <c r="B3116" t="n">
        <v>15229.19</v>
      </c>
      <c r="C3116" t="n">
        <v>7121.52</v>
      </c>
      <c r="D3116" t="n">
        <v>5790</v>
      </c>
      <c r="E3116" t="n">
        <v>7366.59</v>
      </c>
      <c r="F3116" t="n">
        <v>13441.67</v>
      </c>
    </row>
    <row r="3117">
      <c r="A3117" s="3" t="n">
        <v>43027</v>
      </c>
      <c r="B3117" t="n">
        <v>15187.41</v>
      </c>
      <c r="C3117" t="n">
        <v>7092.47</v>
      </c>
      <c r="D3117" t="n">
        <v>5762.87</v>
      </c>
      <c r="E3117" t="n">
        <v>7330</v>
      </c>
      <c r="F3117" t="n">
        <v>13353.8</v>
      </c>
    </row>
    <row r="3118">
      <c r="A3118" s="3" t="n">
        <v>43031</v>
      </c>
      <c r="B3118" t="n">
        <v>15294.88</v>
      </c>
      <c r="C3118" t="n">
        <v>7118.44</v>
      </c>
      <c r="D3118" t="n">
        <v>5766.35</v>
      </c>
      <c r="E3118" t="n">
        <v>7370.47</v>
      </c>
      <c r="F3118" t="n">
        <v>13394.06</v>
      </c>
    </row>
    <row r="3119">
      <c r="A3119" s="3" t="n">
        <v>43032</v>
      </c>
      <c r="B3119" t="n">
        <v>15368.92</v>
      </c>
      <c r="C3119" t="n">
        <v>7118.82</v>
      </c>
      <c r="D3119" t="n">
        <v>5802.54</v>
      </c>
      <c r="E3119" t="n">
        <v>7379.81</v>
      </c>
      <c r="F3119" t="n">
        <v>13401.34</v>
      </c>
    </row>
    <row r="3120">
      <c r="A3120" s="3" t="n">
        <v>43033</v>
      </c>
      <c r="B3120" t="n">
        <v>15259.1</v>
      </c>
      <c r="C3120" t="n">
        <v>7134.24</v>
      </c>
      <c r="D3120" t="n">
        <v>5877.87</v>
      </c>
      <c r="E3120" t="n">
        <v>7359</v>
      </c>
      <c r="F3120" t="n">
        <v>13216.07</v>
      </c>
    </row>
    <row r="3121">
      <c r="A3121" s="3" t="n">
        <v>43034</v>
      </c>
      <c r="B3121" t="n">
        <v>15417.76</v>
      </c>
      <c r="C3121" t="n">
        <v>7119.06</v>
      </c>
      <c r="D3121" t="n">
        <v>5969.78</v>
      </c>
      <c r="E3121" t="n">
        <v>7387.52</v>
      </c>
      <c r="F3121" t="n">
        <v>13312.85</v>
      </c>
    </row>
    <row r="3122">
      <c r="A3122" s="3" t="n">
        <v>43035</v>
      </c>
      <c r="B3122" t="n">
        <v>15379.69</v>
      </c>
      <c r="C3122" t="n">
        <v>7129.95</v>
      </c>
      <c r="D3122" t="n">
        <v>5952.81</v>
      </c>
      <c r="E3122" t="n">
        <v>7398.79</v>
      </c>
      <c r="F3122" t="n">
        <v>13358.54</v>
      </c>
    </row>
    <row r="3123">
      <c r="A3123" s="3" t="n">
        <v>43038</v>
      </c>
      <c r="B3123" t="n">
        <v>15545.5</v>
      </c>
      <c r="C3123" t="n">
        <v>7167.55</v>
      </c>
      <c r="D3123" t="n">
        <v>6011.14</v>
      </c>
      <c r="E3123" t="n">
        <v>7428.75</v>
      </c>
      <c r="F3123" t="n">
        <v>13453.63</v>
      </c>
    </row>
    <row r="3124">
      <c r="A3124" s="3" t="n">
        <v>43039</v>
      </c>
      <c r="B3124" t="n">
        <v>15531.85</v>
      </c>
      <c r="C3124" t="n">
        <v>7182.36</v>
      </c>
      <c r="D3124" t="n">
        <v>5995.66</v>
      </c>
      <c r="E3124" t="n">
        <v>7426.6</v>
      </c>
      <c r="F3124" t="n">
        <v>13481.66</v>
      </c>
    </row>
    <row r="3125">
      <c r="A3125" s="3" t="n">
        <v>43040</v>
      </c>
      <c r="B3125" t="n">
        <v>15617.5</v>
      </c>
      <c r="C3125" t="n">
        <v>7189.97</v>
      </c>
      <c r="D3125" t="n">
        <v>6044.2</v>
      </c>
      <c r="E3125" t="n">
        <v>7464.33</v>
      </c>
      <c r="F3125" t="n">
        <v>13576.86</v>
      </c>
    </row>
    <row r="3126">
      <c r="A3126" s="3" t="n">
        <v>43041</v>
      </c>
      <c r="B3126" t="n">
        <v>15678.78</v>
      </c>
      <c r="C3126" t="n">
        <v>7229.34</v>
      </c>
      <c r="D3126" t="n">
        <v>6042.82</v>
      </c>
      <c r="E3126" t="n">
        <v>7461.28</v>
      </c>
      <c r="F3126" t="n">
        <v>13631.08</v>
      </c>
    </row>
    <row r="3127">
      <c r="A3127" s="3" t="n">
        <v>43042</v>
      </c>
      <c r="B3127" t="n">
        <v>15734.17</v>
      </c>
      <c r="C3127" t="n">
        <v>7210.32</v>
      </c>
      <c r="D3127" t="n">
        <v>6049.68</v>
      </c>
      <c r="E3127" t="n">
        <v>7458.68</v>
      </c>
      <c r="F3127" t="n">
        <v>13659.35</v>
      </c>
    </row>
    <row r="3128">
      <c r="A3128" s="3" t="n">
        <v>43045</v>
      </c>
      <c r="B3128" t="n">
        <v>15758.79</v>
      </c>
      <c r="C3128" t="n">
        <v>7275.8</v>
      </c>
      <c r="D3128" t="n">
        <v>6042.62</v>
      </c>
      <c r="E3128" t="n">
        <v>7472.21</v>
      </c>
      <c r="F3128" t="n">
        <v>13626.11</v>
      </c>
    </row>
    <row r="3129">
      <c r="A3129" s="3" t="n">
        <v>43046</v>
      </c>
      <c r="B3129" t="n">
        <v>15557.32</v>
      </c>
      <c r="C3129" t="n">
        <v>7253.08</v>
      </c>
      <c r="D3129" t="n">
        <v>5941.57</v>
      </c>
      <c r="E3129" t="n">
        <v>7412.25</v>
      </c>
      <c r="F3129" t="n">
        <v>13475.21</v>
      </c>
    </row>
    <row r="3130">
      <c r="A3130" s="3" t="n">
        <v>43047</v>
      </c>
      <c r="B3130" t="n">
        <v>15343.72</v>
      </c>
      <c r="C3130" t="n">
        <v>7260.33</v>
      </c>
      <c r="D3130" t="n">
        <v>5894.43</v>
      </c>
      <c r="E3130" t="n">
        <v>7395.96</v>
      </c>
      <c r="F3130" t="n">
        <v>13285.01</v>
      </c>
    </row>
    <row r="3131">
      <c r="A3131" s="3" t="n">
        <v>43048</v>
      </c>
      <c r="B3131" t="n">
        <v>15391.49</v>
      </c>
      <c r="C3131" t="n">
        <v>7344.32</v>
      </c>
      <c r="D3131" t="n">
        <v>5917.08</v>
      </c>
      <c r="E3131" t="n">
        <v>7418.74</v>
      </c>
      <c r="F3131" t="n">
        <v>13351.39</v>
      </c>
    </row>
    <row r="3132">
      <c r="A3132" s="3" t="n">
        <v>43049</v>
      </c>
      <c r="B3132" t="n">
        <v>15390.5</v>
      </c>
      <c r="C3132" t="n">
        <v>7354.77</v>
      </c>
      <c r="D3132" t="n">
        <v>5887.77</v>
      </c>
      <c r="E3132" t="n">
        <v>7419.39</v>
      </c>
      <c r="F3132" t="n">
        <v>13365.59</v>
      </c>
    </row>
    <row r="3133">
      <c r="A3133" s="3" t="n">
        <v>43052</v>
      </c>
      <c r="B3133" t="n">
        <v>15264.19</v>
      </c>
      <c r="C3133" t="n">
        <v>7326.58</v>
      </c>
      <c r="D3133" t="n">
        <v>5818</v>
      </c>
      <c r="E3133" t="n">
        <v>7367.38</v>
      </c>
      <c r="F3133" t="n">
        <v>13320.34</v>
      </c>
    </row>
    <row r="3134">
      <c r="A3134" s="3" t="n">
        <v>43053</v>
      </c>
      <c r="B3134" t="n">
        <v>15244.43</v>
      </c>
      <c r="C3134" t="n">
        <v>7319.97</v>
      </c>
      <c r="D3134" t="n">
        <v>5775.62</v>
      </c>
      <c r="E3134" t="n">
        <v>7349.91</v>
      </c>
      <c r="F3134" t="n">
        <v>13276.16</v>
      </c>
    </row>
    <row r="3135">
      <c r="A3135" s="3" t="n">
        <v>43054</v>
      </c>
      <c r="B3135" t="n">
        <v>15042.69</v>
      </c>
      <c r="C3135" t="n">
        <v>7283.48</v>
      </c>
      <c r="D3135" t="n">
        <v>5672.35</v>
      </c>
      <c r="E3135" t="n">
        <v>7292.71</v>
      </c>
      <c r="F3135" t="n">
        <v>13000.81</v>
      </c>
    </row>
    <row r="3136">
      <c r="A3136" s="3" t="n">
        <v>43055</v>
      </c>
      <c r="B3136" t="n">
        <v>15186.46</v>
      </c>
      <c r="C3136" t="n">
        <v>7343.52</v>
      </c>
      <c r="D3136" t="n">
        <v>5725.25</v>
      </c>
      <c r="E3136" t="n">
        <v>7348.76</v>
      </c>
      <c r="F3136" t="n">
        <v>13153.05</v>
      </c>
    </row>
    <row r="3137">
      <c r="A3137" s="3" t="n">
        <v>43056</v>
      </c>
      <c r="B3137" t="n">
        <v>15347.09</v>
      </c>
      <c r="C3137" t="n">
        <v>7342.51</v>
      </c>
      <c r="D3137" t="n">
        <v>5791.42</v>
      </c>
      <c r="E3137" t="n">
        <v>7373.69</v>
      </c>
      <c r="F3137" t="n">
        <v>13328.55</v>
      </c>
    </row>
    <row r="3138">
      <c r="A3138" s="3" t="n">
        <v>43059</v>
      </c>
      <c r="B3138" t="n">
        <v>15439.68</v>
      </c>
      <c r="C3138" t="n">
        <v>7363.85</v>
      </c>
      <c r="D3138" t="n">
        <v>5849.5</v>
      </c>
      <c r="E3138" t="n">
        <v>7383.45</v>
      </c>
      <c r="F3138" t="n">
        <v>13414.94</v>
      </c>
    </row>
    <row r="3139">
      <c r="A3139" s="3" t="n">
        <v>43060</v>
      </c>
      <c r="B3139" t="n">
        <v>15411.28</v>
      </c>
      <c r="C3139" t="n">
        <v>7396.24</v>
      </c>
      <c r="D3139" t="n">
        <v>5848.71</v>
      </c>
      <c r="E3139" t="n">
        <v>7409.72</v>
      </c>
      <c r="F3139" t="n">
        <v>13393.01</v>
      </c>
    </row>
    <row r="3140">
      <c r="A3140" s="3" t="n">
        <v>43061</v>
      </c>
      <c r="B3140" t="n">
        <v>15384.73</v>
      </c>
      <c r="C3140" t="n">
        <v>7377.88</v>
      </c>
      <c r="D3140" t="n">
        <v>5835.19</v>
      </c>
      <c r="E3140" t="n">
        <v>7416.27</v>
      </c>
      <c r="F3140" t="n">
        <v>13353.97</v>
      </c>
    </row>
    <row r="3141">
      <c r="A3141" s="3" t="n">
        <v>43062</v>
      </c>
      <c r="B3141" t="n">
        <v>15425.09</v>
      </c>
      <c r="C3141" t="n">
        <v>7391.17</v>
      </c>
      <c r="D3141" t="n">
        <v>5840.5</v>
      </c>
      <c r="E3141" t="n">
        <v>7427.77</v>
      </c>
      <c r="F3141" t="n">
        <v>13393.26</v>
      </c>
    </row>
    <row r="3142">
      <c r="A3142" s="3" t="n">
        <v>43063</v>
      </c>
      <c r="B3142" t="n">
        <v>15471.03</v>
      </c>
      <c r="C3142" t="n">
        <v>7438.65</v>
      </c>
      <c r="D3142" t="n">
        <v>5840.42</v>
      </c>
      <c r="E3142" t="n">
        <v>7458.96</v>
      </c>
      <c r="F3142" t="n">
        <v>13423.34</v>
      </c>
    </row>
    <row r="3143">
      <c r="A3143" s="3" t="n">
        <v>43066</v>
      </c>
      <c r="B3143" t="n">
        <v>15498.53</v>
      </c>
      <c r="C3143" t="n">
        <v>7462.71</v>
      </c>
      <c r="D3143" t="n">
        <v>5828.8</v>
      </c>
      <c r="E3143" t="n">
        <v>7465.37</v>
      </c>
      <c r="F3143" t="n">
        <v>13453.13</v>
      </c>
    </row>
    <row r="3144">
      <c r="A3144" s="3" t="n">
        <v>43067</v>
      </c>
      <c r="B3144" t="n">
        <v>15511.24</v>
      </c>
      <c r="C3144" t="n">
        <v>7471.79</v>
      </c>
      <c r="D3144" t="n">
        <v>5815.9</v>
      </c>
      <c r="E3144" t="n">
        <v>7469.85</v>
      </c>
      <c r="F3144" t="n">
        <v>13419.22</v>
      </c>
    </row>
    <row r="3145">
      <c r="A3145" s="3" t="n">
        <v>43068</v>
      </c>
      <c r="B3145" t="n">
        <v>15439.93</v>
      </c>
      <c r="C3145" t="n">
        <v>7462.79</v>
      </c>
      <c r="D3145" t="n">
        <v>5808.96</v>
      </c>
      <c r="E3145" t="n">
        <v>7464.76</v>
      </c>
      <c r="F3145" t="n">
        <v>13352</v>
      </c>
    </row>
    <row r="3146">
      <c r="A3146" s="3" t="n">
        <v>43069</v>
      </c>
      <c r="B3146" t="n">
        <v>15445.57</v>
      </c>
      <c r="C3146" t="n">
        <v>7419.77</v>
      </c>
      <c r="D3146" t="n">
        <v>5757.84</v>
      </c>
      <c r="E3146" t="n">
        <v>7392.73</v>
      </c>
      <c r="F3146" t="n">
        <v>13298.81</v>
      </c>
    </row>
    <row r="3147">
      <c r="A3147" s="3" t="n">
        <v>43070</v>
      </c>
      <c r="B3147" t="n">
        <v>15210.87</v>
      </c>
      <c r="C3147" t="n">
        <v>7335.59</v>
      </c>
      <c r="D3147" t="n">
        <v>5676.9</v>
      </c>
      <c r="E3147" t="n">
        <v>7322.7</v>
      </c>
      <c r="F3147" t="n">
        <v>13097.12</v>
      </c>
    </row>
    <row r="3148">
      <c r="A3148" s="3" t="n">
        <v>43073</v>
      </c>
      <c r="B3148" t="n">
        <v>15302.81</v>
      </c>
      <c r="C3148" t="n">
        <v>7358.21</v>
      </c>
      <c r="D3148" t="n">
        <v>5691.19</v>
      </c>
      <c r="E3148" t="n">
        <v>7323.15</v>
      </c>
      <c r="F3148" t="n">
        <v>13046.76</v>
      </c>
    </row>
    <row r="3149">
      <c r="A3149" s="3" t="n">
        <v>43074</v>
      </c>
      <c r="B3149" t="n">
        <v>15318.32</v>
      </c>
      <c r="C3149" t="n">
        <v>7320.57</v>
      </c>
      <c r="D3149" t="n">
        <v>5666.69</v>
      </c>
      <c r="E3149" t="n">
        <v>7304.19</v>
      </c>
      <c r="F3149" t="n">
        <v>13069.26</v>
      </c>
    </row>
    <row r="3150">
      <c r="A3150" s="3" t="n">
        <v>43075</v>
      </c>
      <c r="B3150" t="n">
        <v>15176.01</v>
      </c>
      <c r="C3150" t="n">
        <v>7293.96</v>
      </c>
      <c r="D3150" t="n">
        <v>5589.85</v>
      </c>
      <c r="E3150" t="n">
        <v>7275.68</v>
      </c>
      <c r="F3150" t="n">
        <v>12954.69</v>
      </c>
    </row>
    <row r="3151">
      <c r="A3151" s="3" t="n">
        <v>43076</v>
      </c>
      <c r="B3151" t="n">
        <v>15464.03</v>
      </c>
      <c r="C3151" t="n">
        <v>7392.19</v>
      </c>
      <c r="D3151" t="n">
        <v>5662.18</v>
      </c>
      <c r="E3151" t="n">
        <v>7351.5</v>
      </c>
      <c r="F3151" t="n">
        <v>13197.71</v>
      </c>
    </row>
    <row r="3152">
      <c r="A3152" s="3" t="n">
        <v>43077</v>
      </c>
      <c r="B3152" t="n">
        <v>15628.16</v>
      </c>
      <c r="C3152" t="n">
        <v>7451.61</v>
      </c>
      <c r="D3152" t="n">
        <v>5759.37</v>
      </c>
      <c r="E3152" t="n">
        <v>7414.04</v>
      </c>
      <c r="F3152" t="n">
        <v>13435.11</v>
      </c>
    </row>
    <row r="3153">
      <c r="A3153" s="3" t="n">
        <v>43080</v>
      </c>
      <c r="B3153" t="n">
        <v>15690.21</v>
      </c>
      <c r="C3153" t="n">
        <v>7502.87</v>
      </c>
      <c r="D3153" t="n">
        <v>5777.02</v>
      </c>
      <c r="E3153" t="n">
        <v>7456.55</v>
      </c>
      <c r="F3153" t="n">
        <v>13442.04</v>
      </c>
    </row>
    <row r="3154">
      <c r="A3154" s="3" t="n">
        <v>43081</v>
      </c>
      <c r="B3154" t="n">
        <v>15543.31</v>
      </c>
      <c r="C3154" t="n">
        <v>7458.32</v>
      </c>
      <c r="D3154" t="n">
        <v>5698.87</v>
      </c>
      <c r="E3154" t="n">
        <v>7407.26</v>
      </c>
      <c r="F3154" t="n">
        <v>13293.45</v>
      </c>
    </row>
    <row r="3155">
      <c r="A3155" s="3" t="n">
        <v>43082</v>
      </c>
      <c r="B3155" t="n">
        <v>15439.39</v>
      </c>
      <c r="C3155" t="n">
        <v>7421.02</v>
      </c>
      <c r="D3155" t="n">
        <v>5650.58</v>
      </c>
      <c r="E3155" t="n">
        <v>7387.9</v>
      </c>
      <c r="F3155" t="n">
        <v>13206.47</v>
      </c>
    </row>
    <row r="3156">
      <c r="A3156" s="3" t="n">
        <v>43083</v>
      </c>
      <c r="B3156" t="n">
        <v>15494.76</v>
      </c>
      <c r="C3156" t="n">
        <v>7415.86</v>
      </c>
      <c r="D3156" t="n">
        <v>5677.72</v>
      </c>
      <c r="E3156" t="n">
        <v>7405.74</v>
      </c>
      <c r="F3156" t="n">
        <v>13199.35</v>
      </c>
    </row>
    <row r="3157">
      <c r="A3157" s="3" t="n">
        <v>43084</v>
      </c>
      <c r="B3157" t="n">
        <v>15789.48</v>
      </c>
      <c r="C3157" t="n">
        <v>7466.36</v>
      </c>
      <c r="D3157" t="n">
        <v>5745.2</v>
      </c>
      <c r="E3157" t="n">
        <v>7446.42</v>
      </c>
      <c r="F3157" t="n">
        <v>13470.48</v>
      </c>
    </row>
    <row r="3158">
      <c r="A3158" s="3" t="n">
        <v>43087</v>
      </c>
      <c r="B3158" t="n">
        <v>15928.8</v>
      </c>
      <c r="C3158" t="n">
        <v>7535.36</v>
      </c>
      <c r="D3158" t="n">
        <v>5778.24</v>
      </c>
      <c r="E3158" t="n">
        <v>7495.55</v>
      </c>
      <c r="F3158" t="n">
        <v>13515.96</v>
      </c>
    </row>
    <row r="3159">
      <c r="A3159" s="3" t="n">
        <v>43088</v>
      </c>
      <c r="B3159" t="n">
        <v>16147.23</v>
      </c>
      <c r="C3159" t="n">
        <v>7615.75</v>
      </c>
      <c r="D3159" t="n">
        <v>5850.03</v>
      </c>
      <c r="E3159" t="n">
        <v>7559.84</v>
      </c>
      <c r="F3159" t="n">
        <v>13735.1</v>
      </c>
    </row>
    <row r="3160">
      <c r="A3160" s="3" t="n">
        <v>43089</v>
      </c>
      <c r="B3160" t="n">
        <v>16247.31</v>
      </c>
      <c r="C3160" t="n">
        <v>7626.61</v>
      </c>
      <c r="D3160" t="n">
        <v>5897.45</v>
      </c>
      <c r="E3160" t="n">
        <v>7562.58</v>
      </c>
      <c r="F3160" t="n">
        <v>13815.7</v>
      </c>
    </row>
    <row r="3161">
      <c r="A3161" s="3" t="n">
        <v>43090</v>
      </c>
      <c r="B3161" t="n">
        <v>16398.22</v>
      </c>
      <c r="C3161" t="n">
        <v>7659.85</v>
      </c>
      <c r="D3161" t="n">
        <v>5946.82</v>
      </c>
      <c r="E3161" t="n">
        <v>7566.7</v>
      </c>
      <c r="F3161" t="n">
        <v>14009.78</v>
      </c>
    </row>
    <row r="3162">
      <c r="A3162" s="3" t="n">
        <v>43091</v>
      </c>
      <c r="B3162" t="n">
        <v>16457.62</v>
      </c>
      <c r="C3162" t="n">
        <v>7702.22</v>
      </c>
      <c r="D3162" t="n">
        <v>5973.34</v>
      </c>
      <c r="E3162" t="n">
        <v>7601.58</v>
      </c>
      <c r="F3162" t="n">
        <v>14069.42</v>
      </c>
    </row>
    <row r="3163">
      <c r="A3163" s="3" t="n">
        <v>43095</v>
      </c>
      <c r="B3163" t="n">
        <v>16533.41</v>
      </c>
      <c r="C3163" t="n">
        <v>7733.13</v>
      </c>
      <c r="D3163" t="n">
        <v>6042.01</v>
      </c>
      <c r="E3163" t="n">
        <v>7627.15</v>
      </c>
      <c r="F3163" t="n">
        <v>14153.36</v>
      </c>
    </row>
    <row r="3164">
      <c r="A3164" s="3" t="n">
        <v>43096</v>
      </c>
      <c r="B3164" t="n">
        <v>16436.92</v>
      </c>
      <c r="C3164" t="n">
        <v>7718.18</v>
      </c>
      <c r="D3164" t="n">
        <v>6030.89</v>
      </c>
      <c r="E3164" t="n">
        <v>7615.16</v>
      </c>
      <c r="F3164" t="n">
        <v>14064.98</v>
      </c>
    </row>
    <row r="3165">
      <c r="A3165" s="3" t="n">
        <v>43097</v>
      </c>
      <c r="B3165" t="n">
        <v>16477.1</v>
      </c>
      <c r="C3165" t="n">
        <v>7697.46</v>
      </c>
      <c r="D3165" t="n">
        <v>6067.42</v>
      </c>
      <c r="E3165" t="n">
        <v>7599.38</v>
      </c>
      <c r="F3165" t="n">
        <v>14106.25</v>
      </c>
    </row>
    <row r="3166">
      <c r="A3166" s="3" t="n">
        <v>43098</v>
      </c>
      <c r="B3166" t="n">
        <v>16585.63</v>
      </c>
      <c r="C3166" t="n">
        <v>7775.83</v>
      </c>
      <c r="D3166" t="n">
        <v>6102</v>
      </c>
      <c r="E3166" t="n">
        <v>7664.35</v>
      </c>
      <c r="F3166" t="n">
        <v>14257.54</v>
      </c>
    </row>
    <row r="3167">
      <c r="A3167" s="3" t="n">
        <v>43101</v>
      </c>
      <c r="B3167" t="n">
        <v>16625.05</v>
      </c>
      <c r="C3167" t="n">
        <v>7746.98</v>
      </c>
      <c r="D3167" t="n">
        <v>6122.43</v>
      </c>
      <c r="E3167" t="n">
        <v>7615.68</v>
      </c>
      <c r="F3167" t="n">
        <v>14231.23</v>
      </c>
    </row>
    <row r="3168">
      <c r="A3168" s="3" t="n">
        <v>43102</v>
      </c>
      <c r="B3168" t="n">
        <v>16474.39</v>
      </c>
      <c r="C3168" t="n">
        <v>7698.68</v>
      </c>
      <c r="D3168" t="n">
        <v>6081.78</v>
      </c>
      <c r="E3168" t="n">
        <v>7630.68</v>
      </c>
      <c r="F3168" t="n">
        <v>14128.92</v>
      </c>
    </row>
    <row r="3169">
      <c r="A3169" s="3" t="n">
        <v>43103</v>
      </c>
      <c r="B3169" t="n">
        <v>16650.42</v>
      </c>
      <c r="C3169" t="n">
        <v>7712.76</v>
      </c>
      <c r="D3169" t="n">
        <v>6111.01</v>
      </c>
      <c r="E3169" t="n">
        <v>7634.84</v>
      </c>
      <c r="F3169" t="n">
        <v>14325.16</v>
      </c>
    </row>
    <row r="3170">
      <c r="A3170" s="3" t="n">
        <v>43104</v>
      </c>
      <c r="B3170" t="n">
        <v>16765.74</v>
      </c>
      <c r="C3170" t="n">
        <v>7737.62</v>
      </c>
      <c r="D3170" t="n">
        <v>6193.3</v>
      </c>
      <c r="E3170" t="n">
        <v>7675.29</v>
      </c>
      <c r="F3170" t="n">
        <v>14488.8</v>
      </c>
    </row>
    <row r="3171">
      <c r="A3171" s="3" t="n">
        <v>43105</v>
      </c>
      <c r="B3171" t="n">
        <v>16875.46</v>
      </c>
      <c r="C3171" t="n">
        <v>7798.53</v>
      </c>
      <c r="D3171" t="n">
        <v>6215.78</v>
      </c>
      <c r="E3171" t="n">
        <v>7713.26</v>
      </c>
      <c r="F3171" t="n">
        <v>14624.23</v>
      </c>
    </row>
    <row r="3172">
      <c r="A3172" s="3" t="n">
        <v>43108</v>
      </c>
      <c r="B3172" t="n">
        <v>17168.51</v>
      </c>
      <c r="C3172" t="n">
        <v>7863.5</v>
      </c>
      <c r="D3172" t="n">
        <v>6265.55</v>
      </c>
      <c r="E3172" t="n">
        <v>7759.87</v>
      </c>
      <c r="F3172" t="n">
        <v>14867.84</v>
      </c>
    </row>
    <row r="3173">
      <c r="A3173" s="3" t="n">
        <v>43109</v>
      </c>
      <c r="B3173" t="n">
        <v>17187.97</v>
      </c>
      <c r="C3173" t="n">
        <v>7868.65</v>
      </c>
      <c r="D3173" t="n">
        <v>6253.3</v>
      </c>
      <c r="E3173" t="n">
        <v>7762.94</v>
      </c>
      <c r="F3173" t="n">
        <v>14894.3</v>
      </c>
    </row>
    <row r="3174">
      <c r="A3174" s="3" t="n">
        <v>43110</v>
      </c>
      <c r="B3174" t="n">
        <v>17157.29</v>
      </c>
      <c r="C3174" t="n">
        <v>7875.06</v>
      </c>
      <c r="D3174" t="n">
        <v>6233.66</v>
      </c>
      <c r="E3174" t="n">
        <v>7775.11</v>
      </c>
      <c r="F3174" t="n">
        <v>14901.53</v>
      </c>
    </row>
    <row r="3175">
      <c r="A3175" s="3" t="n">
        <v>43111</v>
      </c>
      <c r="B3175" t="n">
        <v>17220.02</v>
      </c>
      <c r="C3175" t="n">
        <v>7923.49</v>
      </c>
      <c r="D3175" t="n">
        <v>6249.55</v>
      </c>
      <c r="E3175" t="n">
        <v>7779.73</v>
      </c>
      <c r="F3175" t="n">
        <v>14935.32</v>
      </c>
    </row>
    <row r="3176">
      <c r="A3176" s="3" t="n">
        <v>43112</v>
      </c>
      <c r="B3176" t="n">
        <v>17227.23</v>
      </c>
      <c r="C3176" t="n">
        <v>7913.93</v>
      </c>
      <c r="D3176" t="n">
        <v>6253.56</v>
      </c>
      <c r="E3176" t="n">
        <v>7797.01</v>
      </c>
      <c r="F3176" t="n">
        <v>14953.02</v>
      </c>
    </row>
    <row r="3177">
      <c r="A3177" s="3" t="n">
        <v>43115</v>
      </c>
      <c r="B3177" t="n">
        <v>17247.64</v>
      </c>
      <c r="C3177" t="n">
        <v>7892.16</v>
      </c>
      <c r="D3177" t="n">
        <v>6235.61</v>
      </c>
      <c r="E3177" t="n">
        <v>7807.59</v>
      </c>
      <c r="F3177" t="n">
        <v>14948.61</v>
      </c>
    </row>
    <row r="3178">
      <c r="A3178" s="3" t="n">
        <v>43116</v>
      </c>
      <c r="B3178" t="n">
        <v>16866.33</v>
      </c>
      <c r="C3178" t="n">
        <v>7868.7</v>
      </c>
      <c r="D3178" t="n">
        <v>6066.54</v>
      </c>
      <c r="E3178" t="n">
        <v>7797.84</v>
      </c>
      <c r="F3178" t="n">
        <v>14600.53</v>
      </c>
    </row>
    <row r="3179">
      <c r="A3179" s="3" t="n">
        <v>43117</v>
      </c>
      <c r="B3179" t="n">
        <v>17069.07</v>
      </c>
      <c r="C3179" t="n">
        <v>7909.46</v>
      </c>
      <c r="D3179" t="n">
        <v>6146.91</v>
      </c>
      <c r="E3179" t="n">
        <v>7825.72</v>
      </c>
      <c r="F3179" t="n">
        <v>14782.04</v>
      </c>
    </row>
    <row r="3180">
      <c r="A3180" s="3" t="n">
        <v>43118</v>
      </c>
      <c r="B3180" t="n">
        <v>16755.01</v>
      </c>
      <c r="C3180" t="n">
        <v>7891.46</v>
      </c>
      <c r="D3180" t="n">
        <v>5982.45</v>
      </c>
      <c r="E3180" t="n">
        <v>7817.26</v>
      </c>
      <c r="F3180" t="n">
        <v>14478.41</v>
      </c>
    </row>
    <row r="3181">
      <c r="A3181" s="3" t="n">
        <v>43119</v>
      </c>
      <c r="B3181" t="n">
        <v>17021.06</v>
      </c>
      <c r="C3181" t="n">
        <v>7960.48</v>
      </c>
      <c r="D3181" t="n">
        <v>6045.86</v>
      </c>
      <c r="E3181" t="n">
        <v>7838.78</v>
      </c>
      <c r="F3181" t="n">
        <v>14710.81</v>
      </c>
    </row>
    <row r="3182">
      <c r="A3182" s="3" t="n">
        <v>43122</v>
      </c>
      <c r="B3182" t="n">
        <v>17335.65</v>
      </c>
      <c r="C3182" t="n">
        <v>8009.43</v>
      </c>
      <c r="D3182" t="n">
        <v>6034.02</v>
      </c>
      <c r="E3182" t="n">
        <v>7895.19</v>
      </c>
      <c r="F3182" t="n">
        <v>14901.61</v>
      </c>
    </row>
    <row r="3183">
      <c r="A3183" s="3" t="n">
        <v>43123</v>
      </c>
      <c r="B3183" t="n">
        <v>17463.32</v>
      </c>
      <c r="C3183" t="n">
        <v>8062.74</v>
      </c>
      <c r="D3183" t="n">
        <v>6144.73</v>
      </c>
      <c r="E3183" t="n">
        <v>7945.6</v>
      </c>
      <c r="F3183" t="n">
        <v>15055.73</v>
      </c>
    </row>
    <row r="3184">
      <c r="A3184" s="3" t="n">
        <v>43124</v>
      </c>
      <c r="B3184" t="n">
        <v>17205.54</v>
      </c>
      <c r="C3184" t="n">
        <v>8073.9</v>
      </c>
      <c r="D3184" t="n">
        <v>6130.2</v>
      </c>
      <c r="E3184" t="n">
        <v>7944.6</v>
      </c>
      <c r="F3184" t="n">
        <v>14781.25</v>
      </c>
    </row>
    <row r="3185">
      <c r="A3185" s="3" t="n">
        <v>43125</v>
      </c>
      <c r="B3185" t="n">
        <v>17078</v>
      </c>
      <c r="C3185" t="n">
        <v>8023.92</v>
      </c>
      <c r="D3185" t="n">
        <v>6076.06</v>
      </c>
      <c r="E3185" t="n">
        <v>7913.73</v>
      </c>
      <c r="F3185" t="n">
        <v>14687.35</v>
      </c>
    </row>
    <row r="3186">
      <c r="A3186" s="3" t="n">
        <v>43129</v>
      </c>
      <c r="B3186" t="n">
        <v>16901.13</v>
      </c>
      <c r="C3186" t="n">
        <v>8037.2</v>
      </c>
      <c r="D3186" t="n">
        <v>6019.04</v>
      </c>
      <c r="E3186" t="n">
        <v>7988.26</v>
      </c>
      <c r="F3186" t="n">
        <v>14472.67</v>
      </c>
    </row>
    <row r="3187">
      <c r="A3187" s="3" t="n">
        <v>43130</v>
      </c>
      <c r="B3187" t="n">
        <v>16590.28</v>
      </c>
      <c r="C3187" t="n">
        <v>7976.76</v>
      </c>
      <c r="D3187" t="n">
        <v>6041.8</v>
      </c>
      <c r="E3187" t="n">
        <v>7937.57</v>
      </c>
      <c r="F3187" t="n">
        <v>14199.9</v>
      </c>
    </row>
    <row r="3188">
      <c r="A3188" s="3" t="n">
        <v>43131</v>
      </c>
      <c r="B3188" t="n">
        <v>16134.58</v>
      </c>
      <c r="C3188" t="n">
        <v>7868.98</v>
      </c>
      <c r="D3188" t="n">
        <v>6006.23</v>
      </c>
      <c r="E3188" t="n">
        <v>7906.06</v>
      </c>
      <c r="F3188" t="n">
        <v>13876.97</v>
      </c>
    </row>
    <row r="3189">
      <c r="A3189" s="3" t="n">
        <v>43132</v>
      </c>
      <c r="B3189" t="n">
        <v>16008.25</v>
      </c>
      <c r="C3189" t="n">
        <v>7847.72</v>
      </c>
      <c r="D3189" t="n">
        <v>5937.2</v>
      </c>
      <c r="E3189" t="n">
        <v>7940.3</v>
      </c>
      <c r="F3189" t="n">
        <v>13868.03</v>
      </c>
    </row>
    <row r="3190">
      <c r="A3190" s="3" t="n">
        <v>43133</v>
      </c>
      <c r="B3190" t="n">
        <v>15085.69</v>
      </c>
      <c r="C3190" t="n">
        <v>7686.2</v>
      </c>
      <c r="D3190" t="n">
        <v>5690.19</v>
      </c>
      <c r="E3190" t="n">
        <v>7765.58</v>
      </c>
      <c r="F3190" t="n">
        <v>12972.39</v>
      </c>
    </row>
    <row r="3191">
      <c r="A3191" s="3" t="n">
        <v>43136</v>
      </c>
      <c r="B3191" t="n">
        <v>14994.34</v>
      </c>
      <c r="C3191" t="n">
        <v>7618.2</v>
      </c>
      <c r="D3191" t="n">
        <v>5696.86</v>
      </c>
      <c r="E3191" t="n">
        <v>7692.27</v>
      </c>
      <c r="F3191" t="n">
        <v>12996.7</v>
      </c>
    </row>
    <row r="3192">
      <c r="A3192" s="3" t="n">
        <v>43137</v>
      </c>
      <c r="B3192" t="n">
        <v>14625.04</v>
      </c>
      <c r="C3192" t="n">
        <v>7471.56</v>
      </c>
      <c r="D3192" t="n">
        <v>5587.27</v>
      </c>
      <c r="E3192" t="n">
        <v>7557.77</v>
      </c>
      <c r="F3192" t="n">
        <v>12692.75</v>
      </c>
    </row>
    <row r="3193">
      <c r="A3193" s="3" t="n">
        <v>43138</v>
      </c>
      <c r="B3193" t="n">
        <v>14817.58</v>
      </c>
      <c r="C3193" t="n">
        <v>7506.22</v>
      </c>
      <c r="D3193" t="n">
        <v>5656.32</v>
      </c>
      <c r="E3193" t="n">
        <v>7553.73</v>
      </c>
      <c r="F3193" t="n">
        <v>12952.1</v>
      </c>
    </row>
    <row r="3194">
      <c r="A3194" s="3" t="n">
        <v>43139</v>
      </c>
      <c r="B3194" t="n">
        <v>15215.6</v>
      </c>
      <c r="C3194" t="n">
        <v>7599.84</v>
      </c>
      <c r="D3194" t="n">
        <v>5699.11</v>
      </c>
      <c r="E3194" t="n">
        <v>7641.93</v>
      </c>
      <c r="F3194" t="n">
        <v>13264.9</v>
      </c>
    </row>
    <row r="3195">
      <c r="A3195" s="3" t="n">
        <v>43140</v>
      </c>
      <c r="B3195" t="n">
        <v>15263.83</v>
      </c>
      <c r="C3195" t="n">
        <v>7577.94</v>
      </c>
      <c r="D3195" t="n">
        <v>5700.6</v>
      </c>
      <c r="E3195" t="n">
        <v>7592.77</v>
      </c>
      <c r="F3195" t="n">
        <v>13291.45</v>
      </c>
    </row>
    <row r="3196">
      <c r="A3196" s="3" t="n">
        <v>43143</v>
      </c>
      <c r="B3196" t="n">
        <v>15675.12</v>
      </c>
      <c r="C3196" t="n">
        <v>7650.92</v>
      </c>
      <c r="D3196" t="n">
        <v>5775.76</v>
      </c>
      <c r="E3196" t="n">
        <v>7674.12</v>
      </c>
      <c r="F3196" t="n">
        <v>13583.95</v>
      </c>
    </row>
    <row r="3197">
      <c r="A3197" s="3" t="n">
        <v>43145</v>
      </c>
      <c r="B3197" t="n">
        <v>15804.38</v>
      </c>
      <c r="C3197" t="n">
        <v>7670.53</v>
      </c>
      <c r="D3197" t="n">
        <v>5727.77</v>
      </c>
      <c r="E3197" t="n">
        <v>7667.52</v>
      </c>
      <c r="F3197" t="n">
        <v>13619.1</v>
      </c>
    </row>
    <row r="3198">
      <c r="A3198" s="3" t="n">
        <v>43146</v>
      </c>
      <c r="B3198" t="n">
        <v>15728.53</v>
      </c>
      <c r="C3198" t="n">
        <v>7650.48</v>
      </c>
      <c r="D3198" t="n">
        <v>5702.8</v>
      </c>
      <c r="E3198" t="n">
        <v>7665.27</v>
      </c>
      <c r="F3198" t="n">
        <v>13505.4</v>
      </c>
    </row>
    <row r="3199">
      <c r="A3199" s="3" t="n">
        <v>43147</v>
      </c>
      <c r="B3199" t="n">
        <v>15529.98</v>
      </c>
      <c r="C3199" t="n">
        <v>7606.11</v>
      </c>
      <c r="D3199" t="n">
        <v>5631.84</v>
      </c>
      <c r="E3199" t="n">
        <v>7627.95</v>
      </c>
      <c r="F3199" t="n">
        <v>13326.45</v>
      </c>
    </row>
    <row r="3200">
      <c r="A3200" s="3" t="n">
        <v>43150</v>
      </c>
      <c r="B3200" t="n">
        <v>15377.53</v>
      </c>
      <c r="C3200" t="n">
        <v>7518.8</v>
      </c>
      <c r="D3200" t="n">
        <v>5555.24</v>
      </c>
      <c r="E3200" t="n">
        <v>7564.39</v>
      </c>
      <c r="F3200" t="n">
        <v>13174.9</v>
      </c>
    </row>
    <row r="3201">
      <c r="A3201" s="3" t="n">
        <v>43151</v>
      </c>
      <c r="B3201" t="n">
        <v>15375.4</v>
      </c>
      <c r="C3201" t="n">
        <v>7513.24</v>
      </c>
      <c r="D3201" t="n">
        <v>5574.52</v>
      </c>
      <c r="E3201" t="n">
        <v>7569.61</v>
      </c>
      <c r="F3201" t="n">
        <v>13167.4</v>
      </c>
    </row>
    <row r="3202">
      <c r="A3202" s="3" t="n">
        <v>43152</v>
      </c>
      <c r="B3202" t="n">
        <v>15434.39</v>
      </c>
      <c r="C3202" t="n">
        <v>7573.42</v>
      </c>
      <c r="D3202" t="n">
        <v>5554.48</v>
      </c>
      <c r="E3202" t="n">
        <v>7593.38</v>
      </c>
      <c r="F3202" t="n">
        <v>13223.85</v>
      </c>
    </row>
    <row r="3203">
      <c r="A3203" s="3" t="n">
        <v>43153</v>
      </c>
      <c r="B3203" t="n">
        <v>15320.96</v>
      </c>
      <c r="C3203" t="n">
        <v>7531.41</v>
      </c>
      <c r="D3203" t="n">
        <v>5502.88</v>
      </c>
      <c r="E3203" t="n">
        <v>7565.5</v>
      </c>
      <c r="F3203" t="n">
        <v>13139.2</v>
      </c>
    </row>
    <row r="3204">
      <c r="A3204" s="3" t="n">
        <v>43154</v>
      </c>
      <c r="B3204" t="n">
        <v>15597.36</v>
      </c>
      <c r="C3204" t="n">
        <v>7616.18</v>
      </c>
      <c r="D3204" t="n">
        <v>5600.43</v>
      </c>
      <c r="E3204" t="n">
        <v>7622.43</v>
      </c>
      <c r="F3204" t="n">
        <v>13400.75</v>
      </c>
    </row>
    <row r="3205">
      <c r="A3205" s="3" t="n">
        <v>43157</v>
      </c>
      <c r="B3205" t="n">
        <v>15660.46</v>
      </c>
      <c r="C3205" t="n">
        <v>7626.7</v>
      </c>
      <c r="D3205" t="n">
        <v>5659.43</v>
      </c>
      <c r="E3205" t="n">
        <v>7684.19</v>
      </c>
      <c r="F3205" t="n">
        <v>13518.5</v>
      </c>
    </row>
    <row r="3206">
      <c r="A3206" s="3" t="n">
        <v>43158</v>
      </c>
      <c r="B3206" t="n">
        <v>15574.46</v>
      </c>
      <c r="C3206" t="n">
        <v>7636.56</v>
      </c>
      <c r="D3206" t="n">
        <v>5581.61</v>
      </c>
      <c r="E3206" t="n">
        <v>7678.59</v>
      </c>
      <c r="F3206" t="n">
        <v>13408.2</v>
      </c>
    </row>
    <row r="3207">
      <c r="A3207" s="3" t="n">
        <v>43159</v>
      </c>
      <c r="B3207" t="n">
        <v>15458.03</v>
      </c>
      <c r="C3207" t="n">
        <v>7618.61</v>
      </c>
      <c r="D3207" t="n">
        <v>5579.03</v>
      </c>
      <c r="E3207" t="n">
        <v>7660.41</v>
      </c>
      <c r="F3207" t="n">
        <v>13309.95</v>
      </c>
    </row>
    <row r="3208">
      <c r="A3208" s="3" t="n">
        <v>43160</v>
      </c>
      <c r="B3208" t="n">
        <v>15386.35</v>
      </c>
      <c r="C3208" t="n">
        <v>7614.39</v>
      </c>
      <c r="D3208" t="n">
        <v>5539.49</v>
      </c>
      <c r="E3208" t="n">
        <v>7656.23</v>
      </c>
      <c r="F3208" t="n">
        <v>13202</v>
      </c>
    </row>
    <row r="3209">
      <c r="A3209" s="3" t="n">
        <v>43164</v>
      </c>
      <c r="B3209" t="n">
        <v>15259.19</v>
      </c>
      <c r="C3209" t="n">
        <v>7579.42</v>
      </c>
      <c r="D3209" t="n">
        <v>5428.45</v>
      </c>
      <c r="E3209" t="n">
        <v>7592.53</v>
      </c>
      <c r="F3209" t="n">
        <v>13082.75</v>
      </c>
    </row>
    <row r="3210">
      <c r="A3210" s="3" t="n">
        <v>43165</v>
      </c>
      <c r="B3210" t="n">
        <v>15106.46</v>
      </c>
      <c r="C3210" t="n">
        <v>7527.8</v>
      </c>
      <c r="D3210" t="n">
        <v>5368.5</v>
      </c>
      <c r="E3210" t="n">
        <v>7533.14</v>
      </c>
      <c r="F3210" t="n">
        <v>12866.1</v>
      </c>
    </row>
    <row r="3211">
      <c r="A3211" s="3" t="n">
        <v>43166</v>
      </c>
      <c r="B3211" t="n">
        <v>14864.45</v>
      </c>
      <c r="C3211" t="n">
        <v>7485.41</v>
      </c>
      <c r="D3211" t="n">
        <v>5268.04</v>
      </c>
      <c r="E3211" t="n">
        <v>7493.44</v>
      </c>
      <c r="F3211" t="n">
        <v>12656.8</v>
      </c>
    </row>
    <row r="3212">
      <c r="A3212" s="3" t="n">
        <v>43167</v>
      </c>
      <c r="B3212" t="n">
        <v>15002.13</v>
      </c>
      <c r="C3212" t="n">
        <v>7508.55</v>
      </c>
      <c r="D3212" t="n">
        <v>5242.37</v>
      </c>
      <c r="E3212" t="n">
        <v>7535.77</v>
      </c>
      <c r="F3212" t="n">
        <v>12772.65</v>
      </c>
    </row>
    <row r="3213">
      <c r="A3213" s="3" t="n">
        <v>43168</v>
      </c>
      <c r="B3213" t="n">
        <v>15047.21</v>
      </c>
      <c r="C3213" t="n">
        <v>7533.69</v>
      </c>
      <c r="D3213" t="n">
        <v>5194.61</v>
      </c>
      <c r="E3213" t="n">
        <v>7534.44</v>
      </c>
      <c r="F3213" t="n">
        <v>12818.4</v>
      </c>
    </row>
    <row r="3214">
      <c r="A3214" s="3" t="n">
        <v>43171</v>
      </c>
      <c r="B3214" t="n">
        <v>15242.06</v>
      </c>
      <c r="C3214" t="n">
        <v>7609.29</v>
      </c>
      <c r="D3214" t="n">
        <v>5249.82</v>
      </c>
      <c r="E3214" t="n">
        <v>7642.98</v>
      </c>
      <c r="F3214" t="n">
        <v>12973.25</v>
      </c>
    </row>
    <row r="3215">
      <c r="A3215" s="3" t="n">
        <v>43172</v>
      </c>
      <c r="B3215" t="n">
        <v>15447.22</v>
      </c>
      <c r="C3215" t="n">
        <v>7612.34</v>
      </c>
      <c r="D3215" t="n">
        <v>5341.66</v>
      </c>
      <c r="E3215" t="n">
        <v>7617.06</v>
      </c>
      <c r="F3215" t="n">
        <v>13189.5</v>
      </c>
    </row>
    <row r="3216">
      <c r="A3216" s="3" t="n">
        <v>43173</v>
      </c>
      <c r="B3216" t="n">
        <v>15344.39</v>
      </c>
      <c r="C3216" t="n">
        <v>7608.64</v>
      </c>
      <c r="D3216" t="n">
        <v>5325.14</v>
      </c>
      <c r="E3216" t="n">
        <v>7594.85</v>
      </c>
      <c r="F3216" t="n">
        <v>13117.45</v>
      </c>
    </row>
    <row r="3217">
      <c r="A3217" s="3" t="n">
        <v>43174</v>
      </c>
      <c r="B3217" t="n">
        <v>15414.26</v>
      </c>
      <c r="C3217" t="n">
        <v>7624.3</v>
      </c>
      <c r="D3217" t="n">
        <v>5334.91</v>
      </c>
      <c r="E3217" t="n">
        <v>7578.25</v>
      </c>
      <c r="F3217" t="n">
        <v>13164.85</v>
      </c>
    </row>
    <row r="3218">
      <c r="A3218" s="3" t="n">
        <v>43175</v>
      </c>
      <c r="B3218" t="n">
        <v>15273.09</v>
      </c>
      <c r="C3218" t="n">
        <v>7524.96</v>
      </c>
      <c r="D3218" t="n">
        <v>5237.64</v>
      </c>
      <c r="E3218" t="n">
        <v>7475.95</v>
      </c>
      <c r="F3218" t="n">
        <v>13067.35</v>
      </c>
    </row>
    <row r="3219">
      <c r="A3219" s="3" t="n">
        <v>43178</v>
      </c>
      <c r="B3219" t="n">
        <v>15000.66</v>
      </c>
      <c r="C3219" t="n">
        <v>7419.77</v>
      </c>
      <c r="D3219" t="n">
        <v>5112.91</v>
      </c>
      <c r="E3219" t="n">
        <v>7416.86</v>
      </c>
      <c r="F3219" t="n">
        <v>12767.85</v>
      </c>
    </row>
    <row r="3220">
      <c r="A3220" s="3" t="n">
        <v>43179</v>
      </c>
      <c r="B3220" t="n">
        <v>15064.31</v>
      </c>
      <c r="C3220" t="n">
        <v>7469.34</v>
      </c>
      <c r="D3220" t="n">
        <v>5098.57</v>
      </c>
      <c r="E3220" t="n">
        <v>7446.35</v>
      </c>
      <c r="F3220" t="n">
        <v>12863</v>
      </c>
    </row>
    <row r="3221">
      <c r="A3221" s="3" t="n">
        <v>43180</v>
      </c>
      <c r="B3221" t="n">
        <v>15183.26</v>
      </c>
      <c r="C3221" t="n">
        <v>7480.62</v>
      </c>
      <c r="D3221" t="n">
        <v>5120.18</v>
      </c>
      <c r="E3221" t="n">
        <v>7470.94</v>
      </c>
      <c r="F3221" t="n">
        <v>12929.2</v>
      </c>
    </row>
    <row r="3222">
      <c r="A3222" s="3" t="n">
        <v>43181</v>
      </c>
      <c r="B3222" t="n">
        <v>15051.31</v>
      </c>
      <c r="C3222" t="n">
        <v>7427.14</v>
      </c>
      <c r="D3222" t="n">
        <v>5070.21</v>
      </c>
      <c r="E3222" t="n">
        <v>7434.01</v>
      </c>
      <c r="F3222" t="n">
        <v>12795.9</v>
      </c>
    </row>
    <row r="3223">
      <c r="A3223" s="3" t="n">
        <v>43182</v>
      </c>
      <c r="B3223" t="n">
        <v>14810.18</v>
      </c>
      <c r="C3223" t="n">
        <v>7385.41</v>
      </c>
      <c r="D3223" t="n">
        <v>4956.46</v>
      </c>
      <c r="E3223" t="n">
        <v>7391.8</v>
      </c>
      <c r="F3223" t="n">
        <v>12545.5</v>
      </c>
    </row>
    <row r="3224">
      <c r="A3224" s="3" t="n">
        <v>43185</v>
      </c>
      <c r="B3224" t="n">
        <v>14924.59</v>
      </c>
      <c r="C3224" t="n">
        <v>7435.49</v>
      </c>
      <c r="D3224" t="n">
        <v>5014.17</v>
      </c>
      <c r="E3224" t="n">
        <v>7446.67</v>
      </c>
      <c r="F3224" t="n">
        <v>12634.15</v>
      </c>
    </row>
    <row r="3225">
      <c r="A3225" s="3" t="n">
        <v>43186</v>
      </c>
      <c r="B3225" t="n">
        <v>15095.4</v>
      </c>
      <c r="C3225" t="n">
        <v>7488.99</v>
      </c>
      <c r="D3225" t="n">
        <v>5094.85</v>
      </c>
      <c r="E3225" t="n">
        <v>7482.18</v>
      </c>
      <c r="F3225" t="n">
        <v>12746.1</v>
      </c>
    </row>
    <row r="3226">
      <c r="A3226" s="3" t="n">
        <v>43187</v>
      </c>
      <c r="B3226" t="n">
        <v>14947.9</v>
      </c>
      <c r="C3226" t="n">
        <v>7477.85</v>
      </c>
      <c r="D3226" t="n">
        <v>5033.43</v>
      </c>
      <c r="E3226" t="n">
        <v>7462.89</v>
      </c>
      <c r="F3226" t="n">
        <v>12558.6</v>
      </c>
    </row>
    <row r="3227">
      <c r="A3227" s="3" t="n">
        <v>43192</v>
      </c>
      <c r="B3227" t="n">
        <v>15299.75</v>
      </c>
      <c r="C3227" t="n">
        <v>7579.66</v>
      </c>
      <c r="D3227" t="n">
        <v>5086.82</v>
      </c>
      <c r="E3227" t="n">
        <v>7587.64</v>
      </c>
      <c r="F3227" t="n">
        <v>12938.5</v>
      </c>
    </row>
    <row r="3228">
      <c r="A3228" s="3" t="n">
        <v>43193</v>
      </c>
      <c r="B3228" t="n">
        <v>15418.28</v>
      </c>
      <c r="C3228" t="n">
        <v>7596.21</v>
      </c>
      <c r="D3228" t="n">
        <v>5139.4</v>
      </c>
      <c r="E3228" t="n">
        <v>7607.66</v>
      </c>
      <c r="F3228" t="n">
        <v>13042.75</v>
      </c>
    </row>
    <row r="3229">
      <c r="A3229" s="3" t="n">
        <v>43194</v>
      </c>
      <c r="B3229" t="n">
        <v>15220.12</v>
      </c>
      <c r="C3229" t="n">
        <v>7558.78</v>
      </c>
      <c r="D3229" t="n">
        <v>5058.38</v>
      </c>
      <c r="E3229" t="n">
        <v>7536.28</v>
      </c>
      <c r="F3229" t="n">
        <v>12701.6</v>
      </c>
    </row>
    <row r="3230">
      <c r="A3230" s="3" t="n">
        <v>43195</v>
      </c>
      <c r="B3230" t="n">
        <v>15590.65</v>
      </c>
      <c r="C3230" t="n">
        <v>7681.25</v>
      </c>
      <c r="D3230" t="n">
        <v>5182.75</v>
      </c>
      <c r="E3230" t="n">
        <v>7640.16</v>
      </c>
      <c r="F3230" t="n">
        <v>12974.15</v>
      </c>
    </row>
    <row r="3231">
      <c r="A3231" s="3" t="n">
        <v>43196</v>
      </c>
      <c r="B3231" t="n">
        <v>15695.59</v>
      </c>
      <c r="C3231" t="n">
        <v>7689.65</v>
      </c>
      <c r="D3231" t="n">
        <v>5210.55</v>
      </c>
      <c r="E3231" t="n">
        <v>7637.1</v>
      </c>
      <c r="F3231" t="n">
        <v>13089.4</v>
      </c>
    </row>
    <row r="3232">
      <c r="A3232" s="3" t="n">
        <v>43199</v>
      </c>
      <c r="B3232" t="n">
        <v>15780.62</v>
      </c>
      <c r="C3232" t="n">
        <v>7707.54</v>
      </c>
      <c r="D3232" t="n">
        <v>5250.61</v>
      </c>
      <c r="E3232" t="n">
        <v>7659.15</v>
      </c>
      <c r="F3232" t="n">
        <v>13063.95</v>
      </c>
    </row>
    <row r="3233">
      <c r="A3233" s="3" t="n">
        <v>43200</v>
      </c>
      <c r="B3233" t="n">
        <v>15750.24</v>
      </c>
      <c r="C3233" t="n">
        <v>7703.78</v>
      </c>
      <c r="D3233" t="n">
        <v>5270.59</v>
      </c>
      <c r="E3233" t="n">
        <v>7648.42</v>
      </c>
      <c r="F3233" t="n">
        <v>13026.5</v>
      </c>
    </row>
    <row r="3234">
      <c r="A3234" s="3" t="n">
        <v>43201</v>
      </c>
      <c r="B3234" t="n">
        <v>15755.49</v>
      </c>
      <c r="C3234" t="n">
        <v>7739.27</v>
      </c>
      <c r="D3234" t="n">
        <v>5227.43</v>
      </c>
      <c r="E3234" t="n">
        <v>7693.06</v>
      </c>
      <c r="F3234" t="n">
        <v>13041.15</v>
      </c>
    </row>
    <row r="3235">
      <c r="A3235" s="3" t="n">
        <v>43202</v>
      </c>
      <c r="B3235" t="n">
        <v>15632.85</v>
      </c>
      <c r="C3235" t="n">
        <v>7781.04</v>
      </c>
      <c r="D3235" t="n">
        <v>5199.18</v>
      </c>
      <c r="E3235" t="n">
        <v>7739.72</v>
      </c>
      <c r="F3235" t="n">
        <v>12935.45</v>
      </c>
    </row>
    <row r="3236">
      <c r="A3236" s="3" t="n">
        <v>43203</v>
      </c>
      <c r="B3236" t="n">
        <v>15789.57</v>
      </c>
      <c r="C3236" t="n">
        <v>7808.53</v>
      </c>
      <c r="D3236" t="n">
        <v>5212.29</v>
      </c>
      <c r="E3236" t="n">
        <v>7755.72</v>
      </c>
      <c r="F3236" t="n">
        <v>13086.75</v>
      </c>
    </row>
    <row r="3237">
      <c r="A3237" s="3" t="n">
        <v>43206</v>
      </c>
      <c r="B3237" t="n">
        <v>16104.58</v>
      </c>
      <c r="C3237" t="n">
        <v>7856.59</v>
      </c>
      <c r="D3237" t="n">
        <v>5208.2</v>
      </c>
      <c r="E3237" t="n">
        <v>7811.15</v>
      </c>
      <c r="F3237" t="n">
        <v>13422.95</v>
      </c>
    </row>
    <row r="3238">
      <c r="A3238" s="3" t="n">
        <v>43207</v>
      </c>
      <c r="B3238" t="n">
        <v>16132.36</v>
      </c>
      <c r="C3238" t="n">
        <v>7872.11</v>
      </c>
      <c r="D3238" t="n">
        <v>5211.92</v>
      </c>
      <c r="E3238" t="n">
        <v>7826.96</v>
      </c>
      <c r="F3238" t="n">
        <v>13387.15</v>
      </c>
    </row>
    <row r="3239">
      <c r="A3239" s="3" t="n">
        <v>43208</v>
      </c>
      <c r="B3239" t="n">
        <v>16164.53</v>
      </c>
      <c r="C3239" t="n">
        <v>7882.46</v>
      </c>
      <c r="D3239" t="n">
        <v>5193.22</v>
      </c>
      <c r="E3239" t="n">
        <v>7818.74</v>
      </c>
      <c r="F3239" t="n">
        <v>13429.65</v>
      </c>
    </row>
    <row r="3240">
      <c r="A3240" s="3" t="n">
        <v>43209</v>
      </c>
      <c r="B3240" t="n">
        <v>16302.62</v>
      </c>
      <c r="C3240" t="n">
        <v>7932.21</v>
      </c>
      <c r="D3240" t="n">
        <v>5234.66</v>
      </c>
      <c r="E3240" t="n">
        <v>7845.53</v>
      </c>
      <c r="F3240" t="n">
        <v>13465.8</v>
      </c>
    </row>
    <row r="3241">
      <c r="A3241" s="3" t="n">
        <v>43210</v>
      </c>
      <c r="B3241" t="n">
        <v>16270.59</v>
      </c>
      <c r="C3241" t="n">
        <v>8025.62</v>
      </c>
      <c r="D3241" t="n">
        <v>5224.55</v>
      </c>
      <c r="E3241" t="n">
        <v>7874.71</v>
      </c>
      <c r="F3241" t="n">
        <v>13585.35</v>
      </c>
    </row>
    <row r="3242">
      <c r="A3242" s="3" t="n">
        <v>43213</v>
      </c>
      <c r="B3242" t="n">
        <v>16292.69</v>
      </c>
      <c r="C3242" t="n">
        <v>8038.24</v>
      </c>
      <c r="D3242" t="n">
        <v>5221.36</v>
      </c>
      <c r="E3242" t="n">
        <v>7920.26</v>
      </c>
      <c r="F3242" t="n">
        <v>13620.1</v>
      </c>
    </row>
    <row r="3243">
      <c r="A3243" s="3" t="n">
        <v>43214</v>
      </c>
      <c r="B3243" t="n">
        <v>16431.76</v>
      </c>
      <c r="C3243" t="n">
        <v>8007.1</v>
      </c>
      <c r="D3243" t="n">
        <v>5159.8</v>
      </c>
      <c r="E3243" t="n">
        <v>7921</v>
      </c>
      <c r="F3243" t="n">
        <v>13688.15</v>
      </c>
    </row>
    <row r="3244">
      <c r="A3244" s="3" t="n">
        <v>43215</v>
      </c>
      <c r="B3244" t="n">
        <v>16418.49</v>
      </c>
      <c r="C3244" t="n">
        <v>8005.71</v>
      </c>
      <c r="D3244" t="n">
        <v>5116.02</v>
      </c>
      <c r="E3244" t="n">
        <v>7934.03</v>
      </c>
      <c r="F3244" t="n">
        <v>13823.8</v>
      </c>
    </row>
    <row r="3245">
      <c r="A3245" s="3" t="n">
        <v>43216</v>
      </c>
      <c r="B3245" t="n">
        <v>16393.21</v>
      </c>
      <c r="C3245" t="n">
        <v>8039.77</v>
      </c>
      <c r="D3245" t="n">
        <v>5118.68</v>
      </c>
      <c r="E3245" t="n">
        <v>7960.21</v>
      </c>
      <c r="F3245" t="n">
        <v>13835</v>
      </c>
    </row>
    <row r="3246">
      <c r="A3246" s="3" t="n">
        <v>43217</v>
      </c>
      <c r="B3246" t="n">
        <v>16423.65</v>
      </c>
      <c r="C3246" t="n">
        <v>8026.11</v>
      </c>
      <c r="D3246" t="n">
        <v>5178.47</v>
      </c>
      <c r="E3246" t="n">
        <v>7965.6</v>
      </c>
      <c r="F3246" t="n">
        <v>13848.05</v>
      </c>
    </row>
    <row r="3247">
      <c r="A3247" s="3" t="n">
        <v>43220</v>
      </c>
      <c r="B3247" t="n">
        <v>16601.04</v>
      </c>
      <c r="C3247" t="n">
        <v>8092.71</v>
      </c>
      <c r="D3247" t="n">
        <v>5205.08</v>
      </c>
      <c r="E3247" t="n">
        <v>8039.99</v>
      </c>
      <c r="F3247" t="n">
        <v>14120.65</v>
      </c>
    </row>
    <row r="3248">
      <c r="A3248" s="3" t="n">
        <v>43222</v>
      </c>
      <c r="B3248" t="n">
        <v>16422.03</v>
      </c>
      <c r="C3248" t="n">
        <v>8018.34</v>
      </c>
      <c r="D3248" t="n">
        <v>5084.23</v>
      </c>
      <c r="E3248" t="n">
        <v>7996.24</v>
      </c>
      <c r="F3248" t="n">
        <v>14053.75</v>
      </c>
    </row>
    <row r="3249">
      <c r="A3249" s="3" t="n">
        <v>43223</v>
      </c>
      <c r="B3249" t="n">
        <v>16250.18</v>
      </c>
      <c r="C3249" t="n">
        <v>7885.74</v>
      </c>
      <c r="D3249" t="n">
        <v>5067.9</v>
      </c>
      <c r="E3249" t="n">
        <v>7925.07</v>
      </c>
      <c r="F3249" t="n">
        <v>13868</v>
      </c>
    </row>
    <row r="3250">
      <c r="A3250" s="3" t="n">
        <v>43224</v>
      </c>
      <c r="B3250" t="n">
        <v>16290.29</v>
      </c>
      <c r="C3250" t="n">
        <v>7834.53</v>
      </c>
      <c r="D3250" t="n">
        <v>5017.59</v>
      </c>
      <c r="E3250" t="n">
        <v>7881.64</v>
      </c>
      <c r="F3250" t="n">
        <v>13867.6</v>
      </c>
    </row>
    <row r="3251">
      <c r="A3251" s="3" t="n">
        <v>43227</v>
      </c>
      <c r="B3251" t="n">
        <v>16484.89</v>
      </c>
      <c r="C3251" t="n">
        <v>7864.22</v>
      </c>
      <c r="D3251" t="n">
        <v>5076.89</v>
      </c>
      <c r="E3251" t="n">
        <v>7934.24</v>
      </c>
      <c r="F3251" t="n">
        <v>14055</v>
      </c>
    </row>
    <row r="3252">
      <c r="A3252" s="3" t="n">
        <v>43228</v>
      </c>
      <c r="B3252" t="n">
        <v>16528.13</v>
      </c>
      <c r="C3252" t="n">
        <v>7875.77</v>
      </c>
      <c r="D3252" t="n">
        <v>5090.89</v>
      </c>
      <c r="E3252" t="n">
        <v>7901.74</v>
      </c>
      <c r="F3252" t="n">
        <v>14110</v>
      </c>
    </row>
    <row r="3253">
      <c r="A3253" s="3" t="n">
        <v>43229</v>
      </c>
      <c r="B3253" t="n">
        <v>16586.82</v>
      </c>
      <c r="C3253" t="n">
        <v>7857.69</v>
      </c>
      <c r="D3253" t="n">
        <v>5070.41</v>
      </c>
      <c r="E3253" t="n">
        <v>7901.8</v>
      </c>
      <c r="F3253" t="n">
        <v>14287.3</v>
      </c>
    </row>
    <row r="3254">
      <c r="A3254" s="3" t="n">
        <v>43230</v>
      </c>
      <c r="B3254" t="n">
        <v>16308.48</v>
      </c>
      <c r="C3254" t="n">
        <v>7813.15</v>
      </c>
      <c r="D3254" t="n">
        <v>5011.7</v>
      </c>
      <c r="E3254" t="n">
        <v>7872.29</v>
      </c>
      <c r="F3254" t="n">
        <v>14022</v>
      </c>
    </row>
    <row r="3255">
      <c r="A3255" s="3" t="n">
        <v>43231</v>
      </c>
      <c r="B3255" t="n">
        <v>16101.53</v>
      </c>
      <c r="C3255" t="n">
        <v>7860.88</v>
      </c>
      <c r="D3255" t="n">
        <v>5032.84</v>
      </c>
      <c r="E3255" t="n">
        <v>7932.55</v>
      </c>
      <c r="F3255" t="n">
        <v>13826.15</v>
      </c>
    </row>
    <row r="3256">
      <c r="A3256" s="3" t="n">
        <v>43234</v>
      </c>
      <c r="B3256" t="n">
        <v>15788.51</v>
      </c>
      <c r="C3256" t="n">
        <v>7847.02</v>
      </c>
      <c r="D3256" t="n">
        <v>4993.84</v>
      </c>
      <c r="E3256" t="n">
        <v>7939.7</v>
      </c>
      <c r="F3256" t="n">
        <v>13651.6</v>
      </c>
    </row>
    <row r="3257">
      <c r="A3257" s="3" t="n">
        <v>43235</v>
      </c>
      <c r="B3257" t="n">
        <v>15592.7</v>
      </c>
      <c r="C3257" t="n">
        <v>7834.1</v>
      </c>
      <c r="D3257" t="n">
        <v>4947.36</v>
      </c>
      <c r="E3257" t="n">
        <v>7940.07</v>
      </c>
      <c r="F3257" t="n">
        <v>13535.5</v>
      </c>
    </row>
    <row r="3258">
      <c r="A3258" s="3" t="n">
        <v>43236</v>
      </c>
      <c r="B3258" t="n">
        <v>15591.99</v>
      </c>
      <c r="C3258" t="n">
        <v>7852.37</v>
      </c>
      <c r="D3258" t="n">
        <v>4904.06</v>
      </c>
      <c r="E3258" t="n">
        <v>7934.04</v>
      </c>
      <c r="F3258" t="n">
        <v>13654.8</v>
      </c>
    </row>
    <row r="3259">
      <c r="A3259" s="3" t="n">
        <v>43237</v>
      </c>
      <c r="B3259" t="n">
        <v>15721.24</v>
      </c>
      <c r="C3259" t="n">
        <v>7829.35</v>
      </c>
      <c r="D3259" t="n">
        <v>4915.26</v>
      </c>
      <c r="E3259" t="n">
        <v>7905.82</v>
      </c>
      <c r="F3259" t="n">
        <v>13823.35</v>
      </c>
    </row>
    <row r="3260">
      <c r="A3260" s="3" t="n">
        <v>43238</v>
      </c>
      <c r="B3260" t="n">
        <v>15528.74</v>
      </c>
      <c r="C3260" t="n">
        <v>7807.52</v>
      </c>
      <c r="D3260" t="n">
        <v>4822.51</v>
      </c>
      <c r="E3260" t="n">
        <v>7862.85</v>
      </c>
      <c r="F3260" t="n">
        <v>13512.9</v>
      </c>
    </row>
    <row r="3261">
      <c r="A3261" s="3" t="n">
        <v>43241</v>
      </c>
      <c r="B3261" t="n">
        <v>15133.1</v>
      </c>
      <c r="C3261" t="n">
        <v>7726.81</v>
      </c>
      <c r="D3261" t="n">
        <v>4778.36</v>
      </c>
      <c r="E3261" t="n">
        <v>7800.89</v>
      </c>
      <c r="F3261" t="n">
        <v>13134.5</v>
      </c>
    </row>
    <row r="3262">
      <c r="A3262" s="3" t="n">
        <v>43242</v>
      </c>
      <c r="B3262" t="n">
        <v>15219.36</v>
      </c>
      <c r="C3262" t="n">
        <v>7761.27</v>
      </c>
      <c r="D3262" t="n">
        <v>4819.9</v>
      </c>
      <c r="E3262" t="n">
        <v>7813.2</v>
      </c>
      <c r="F3262" t="n">
        <v>13271.5</v>
      </c>
    </row>
    <row r="3263">
      <c r="A3263" s="3" t="n">
        <v>43243</v>
      </c>
      <c r="B3263" t="n">
        <v>15227.38</v>
      </c>
      <c r="C3263" t="n">
        <v>7724.47</v>
      </c>
      <c r="D3263" t="n">
        <v>4697.05</v>
      </c>
      <c r="E3263" t="n">
        <v>7767.86</v>
      </c>
      <c r="F3263" t="n">
        <v>13181.6</v>
      </c>
    </row>
    <row r="3264">
      <c r="A3264" s="3" t="n">
        <v>43244</v>
      </c>
      <c r="B3264" t="n">
        <v>15216.13</v>
      </c>
      <c r="C3264" t="n">
        <v>7774.52</v>
      </c>
      <c r="D3264" t="n">
        <v>4715.54</v>
      </c>
      <c r="E3264" t="n">
        <v>7808.34</v>
      </c>
      <c r="F3264" t="n">
        <v>13102</v>
      </c>
    </row>
    <row r="3265">
      <c r="A3265" s="3" t="n">
        <v>43245</v>
      </c>
      <c r="B3265" t="n">
        <v>15472.86</v>
      </c>
      <c r="C3265" t="n">
        <v>7858.03</v>
      </c>
      <c r="D3265" t="n">
        <v>4807.04</v>
      </c>
      <c r="E3265" t="n">
        <v>7887.3</v>
      </c>
      <c r="F3265" t="n">
        <v>13306.95</v>
      </c>
    </row>
    <row r="3266">
      <c r="A3266" s="3" t="n">
        <v>43248</v>
      </c>
      <c r="B3266" t="n">
        <v>15698.76</v>
      </c>
      <c r="C3266" t="n">
        <v>7883.78</v>
      </c>
      <c r="D3266" t="n">
        <v>4937.15</v>
      </c>
      <c r="E3266" t="n">
        <v>7911.91</v>
      </c>
      <c r="F3266" t="n">
        <v>13530.35</v>
      </c>
    </row>
    <row r="3267">
      <c r="A3267" s="3" t="n">
        <v>43249</v>
      </c>
      <c r="B3267" t="n">
        <v>15711.5</v>
      </c>
      <c r="C3267" t="n">
        <v>7863.83</v>
      </c>
      <c r="D3267" t="n">
        <v>4932.83</v>
      </c>
      <c r="E3267" t="n">
        <v>7903.17</v>
      </c>
      <c r="F3267" t="n">
        <v>13660.75</v>
      </c>
    </row>
    <row r="3268">
      <c r="A3268" s="3" t="n">
        <v>43250</v>
      </c>
      <c r="B3268" t="n">
        <v>15602.35</v>
      </c>
      <c r="C3268" t="n">
        <v>7853.75</v>
      </c>
      <c r="D3268" t="n">
        <v>4907.75</v>
      </c>
      <c r="E3268" t="n">
        <v>7896.17</v>
      </c>
      <c r="F3268" t="n">
        <v>13605.05</v>
      </c>
    </row>
    <row r="3269">
      <c r="A3269" s="3" t="n">
        <v>43251</v>
      </c>
      <c r="B3269" t="n">
        <v>15555.54</v>
      </c>
      <c r="C3269" t="n">
        <v>7892.07</v>
      </c>
      <c r="D3269" t="n">
        <v>4935.14</v>
      </c>
      <c r="E3269" t="n">
        <v>7956.6</v>
      </c>
      <c r="F3269" t="n">
        <v>13583.45</v>
      </c>
    </row>
    <row r="3270">
      <c r="A3270" s="3" t="n">
        <v>43252</v>
      </c>
      <c r="B3270" t="n">
        <v>15230.38</v>
      </c>
      <c r="C3270" t="n">
        <v>7823.21</v>
      </c>
      <c r="D3270" t="n">
        <v>4879.72</v>
      </c>
      <c r="E3270" t="n">
        <v>7919.36</v>
      </c>
      <c r="F3270" t="n">
        <v>13235.85</v>
      </c>
    </row>
    <row r="3271">
      <c r="A3271" s="3" t="n">
        <v>43255</v>
      </c>
      <c r="B3271" t="n">
        <v>14950.72</v>
      </c>
      <c r="C3271" t="n">
        <v>7769.35</v>
      </c>
      <c r="D3271" t="n">
        <v>4826.36</v>
      </c>
      <c r="E3271" t="n">
        <v>7881.22</v>
      </c>
      <c r="F3271" t="n">
        <v>12886.8</v>
      </c>
    </row>
    <row r="3272">
      <c r="A3272" s="3" t="n">
        <v>43256</v>
      </c>
      <c r="B3272" t="n">
        <v>14595.16</v>
      </c>
      <c r="C3272" t="n">
        <v>7668.15</v>
      </c>
      <c r="D3272" t="n">
        <v>4744</v>
      </c>
      <c r="E3272" t="n">
        <v>7836.32</v>
      </c>
      <c r="F3272" t="n">
        <v>12448.7</v>
      </c>
    </row>
    <row r="3273">
      <c r="A3273" s="3" t="n">
        <v>43257</v>
      </c>
      <c r="B3273" t="n">
        <v>14881.29</v>
      </c>
      <c r="C3273" t="n">
        <v>7753.49</v>
      </c>
      <c r="D3273" t="n">
        <v>4823.24</v>
      </c>
      <c r="E3273" t="n">
        <v>7903.42</v>
      </c>
      <c r="F3273" t="n">
        <v>12757.45</v>
      </c>
    </row>
    <row r="3274">
      <c r="A3274" s="3" t="n">
        <v>43258</v>
      </c>
      <c r="B3274" t="n">
        <v>15279.39</v>
      </c>
      <c r="C3274" t="n">
        <v>7847.73</v>
      </c>
      <c r="D3274" t="n">
        <v>4912.01</v>
      </c>
      <c r="E3274" t="n">
        <v>7967.52</v>
      </c>
      <c r="F3274" t="n">
        <v>13192.45</v>
      </c>
    </row>
    <row r="3275">
      <c r="A3275" s="3" t="n">
        <v>43259</v>
      </c>
      <c r="B3275" t="n">
        <v>15365.41</v>
      </c>
      <c r="C3275" t="n">
        <v>7863.1</v>
      </c>
      <c r="D3275" t="n">
        <v>4918.4</v>
      </c>
      <c r="E3275" t="n">
        <v>7953.95</v>
      </c>
      <c r="F3275" t="n">
        <v>13321.65</v>
      </c>
    </row>
    <row r="3276">
      <c r="A3276" s="3" t="n">
        <v>43262</v>
      </c>
      <c r="B3276" t="n">
        <v>15413.86</v>
      </c>
      <c r="C3276" t="n">
        <v>7856.1</v>
      </c>
      <c r="D3276" t="n">
        <v>4934.1</v>
      </c>
      <c r="E3276" t="n">
        <v>7965.87</v>
      </c>
      <c r="F3276" t="n">
        <v>13381.9</v>
      </c>
    </row>
    <row r="3277">
      <c r="A3277" s="3" t="n">
        <v>43263</v>
      </c>
      <c r="B3277" t="n">
        <v>15545.64</v>
      </c>
      <c r="C3277" t="n">
        <v>7902.03</v>
      </c>
      <c r="D3277" t="n">
        <v>4942.23</v>
      </c>
      <c r="E3277" t="n">
        <v>8013.72</v>
      </c>
      <c r="F3277" t="n">
        <v>13498.1</v>
      </c>
    </row>
    <row r="3278">
      <c r="A3278" s="3" t="n">
        <v>43264</v>
      </c>
      <c r="B3278" t="n">
        <v>15630.58</v>
      </c>
      <c r="C3278" t="n">
        <v>7916.69</v>
      </c>
      <c r="D3278" t="n">
        <v>4937.78</v>
      </c>
      <c r="E3278" t="n">
        <v>8026.69</v>
      </c>
      <c r="F3278" t="n">
        <v>13537.75</v>
      </c>
    </row>
    <row r="3279">
      <c r="A3279" s="3" t="n">
        <v>43265</v>
      </c>
      <c r="B3279" t="n">
        <v>15726.57</v>
      </c>
      <c r="C3279" t="n">
        <v>7896.52</v>
      </c>
      <c r="D3279" t="n">
        <v>4907.86</v>
      </c>
      <c r="E3279" t="n">
        <v>8002.02</v>
      </c>
      <c r="F3279" t="n">
        <v>13573.65</v>
      </c>
    </row>
    <row r="3280">
      <c r="A3280" s="3" t="n">
        <v>43266</v>
      </c>
      <c r="B3280" t="n">
        <v>15646.93</v>
      </c>
      <c r="C3280" t="n">
        <v>7931.49</v>
      </c>
      <c r="D3280" t="n">
        <v>4845.41</v>
      </c>
      <c r="E3280" t="n">
        <v>8021.23</v>
      </c>
      <c r="F3280" t="n">
        <v>13447.7</v>
      </c>
    </row>
    <row r="3281">
      <c r="A3281" s="3" t="n">
        <v>43269</v>
      </c>
      <c r="B3281" t="n">
        <v>15573.23</v>
      </c>
      <c r="C3281" t="n">
        <v>7898.91</v>
      </c>
      <c r="D3281" t="n">
        <v>4831.27</v>
      </c>
      <c r="E3281" t="n">
        <v>7982.88</v>
      </c>
      <c r="F3281" t="n">
        <v>13311.9</v>
      </c>
    </row>
    <row r="3282">
      <c r="A3282" s="3" t="n">
        <v>43270</v>
      </c>
      <c r="B3282" t="n">
        <v>15336.58</v>
      </c>
      <c r="C3282" t="n">
        <v>7809.71</v>
      </c>
      <c r="D3282" t="n">
        <v>4760.55</v>
      </c>
      <c r="E3282" t="n">
        <v>7902.41</v>
      </c>
      <c r="F3282" t="n">
        <v>13073.15</v>
      </c>
    </row>
    <row r="3283">
      <c r="A3283" s="3" t="n">
        <v>43271</v>
      </c>
      <c r="B3283" t="n">
        <v>15367.98</v>
      </c>
      <c r="C3283" t="n">
        <v>7810.96</v>
      </c>
      <c r="D3283" t="n">
        <v>4767.79</v>
      </c>
      <c r="E3283" t="n">
        <v>7930.14</v>
      </c>
      <c r="F3283" t="n">
        <v>13153.3</v>
      </c>
    </row>
    <row r="3284">
      <c r="A3284" s="3" t="n">
        <v>43272</v>
      </c>
      <c r="B3284" t="n">
        <v>15246.56</v>
      </c>
      <c r="C3284" t="n">
        <v>7769.29</v>
      </c>
      <c r="D3284" t="n">
        <v>4732.52</v>
      </c>
      <c r="E3284" t="n">
        <v>7889.04</v>
      </c>
      <c r="F3284" t="n">
        <v>13007.2</v>
      </c>
    </row>
    <row r="3285">
      <c r="A3285" s="3" t="n">
        <v>43273</v>
      </c>
      <c r="B3285" t="n">
        <v>15372.08</v>
      </c>
      <c r="C3285" t="n">
        <v>7786.75</v>
      </c>
      <c r="D3285" t="n">
        <v>4730.49</v>
      </c>
      <c r="E3285" t="n">
        <v>7922.24</v>
      </c>
      <c r="F3285" t="n">
        <v>13098.25</v>
      </c>
    </row>
    <row r="3286">
      <c r="A3286" s="3" t="n">
        <v>43276</v>
      </c>
      <c r="B3286" t="n">
        <v>15286.89</v>
      </c>
      <c r="C3286" t="n">
        <v>7769.68</v>
      </c>
      <c r="D3286" t="n">
        <v>4657.35</v>
      </c>
      <c r="E3286" t="n">
        <v>7898.19</v>
      </c>
      <c r="F3286" t="n">
        <v>13139.35</v>
      </c>
    </row>
    <row r="3287">
      <c r="A3287" s="3" t="n">
        <v>43277</v>
      </c>
      <c r="B3287" t="n">
        <v>15230.49</v>
      </c>
      <c r="C3287" t="n">
        <v>7800.67</v>
      </c>
      <c r="D3287" t="n">
        <v>4657.82</v>
      </c>
      <c r="E3287" t="n">
        <v>7928.56</v>
      </c>
      <c r="F3287" t="n">
        <v>13098.75</v>
      </c>
    </row>
    <row r="3288">
      <c r="A3288" s="3" t="n">
        <v>43278</v>
      </c>
      <c r="B3288" t="n">
        <v>14980.56</v>
      </c>
      <c r="C3288" t="n">
        <v>7770.55</v>
      </c>
      <c r="D3288" t="n">
        <v>4525.33</v>
      </c>
      <c r="E3288" t="n">
        <v>7862.3</v>
      </c>
      <c r="F3288" t="n">
        <v>12793.35</v>
      </c>
    </row>
    <row r="3289">
      <c r="A3289" s="3" t="n">
        <v>43279</v>
      </c>
      <c r="B3289" t="n">
        <v>14711.13</v>
      </c>
      <c r="C3289" t="n">
        <v>7674.54</v>
      </c>
      <c r="D3289" t="n">
        <v>4463.67</v>
      </c>
      <c r="E3289" t="n">
        <v>7818.78</v>
      </c>
      <c r="F3289" t="n">
        <v>12556</v>
      </c>
    </row>
    <row r="3290">
      <c r="A3290" s="3" t="n">
        <v>43280</v>
      </c>
      <c r="B3290" t="n">
        <v>15039.81</v>
      </c>
      <c r="C3290" t="n">
        <v>7748.44</v>
      </c>
      <c r="D3290" t="n">
        <v>4571.1</v>
      </c>
      <c r="E3290" t="n">
        <v>7919.46</v>
      </c>
      <c r="F3290" t="n">
        <v>12897.05</v>
      </c>
    </row>
    <row r="3291">
      <c r="A3291" s="3" t="n">
        <v>43283</v>
      </c>
      <c r="B3291" t="n">
        <v>15093.17</v>
      </c>
      <c r="C3291" t="n">
        <v>7742.54</v>
      </c>
      <c r="D3291" t="n">
        <v>4505.11</v>
      </c>
      <c r="E3291" t="n">
        <v>7885.68</v>
      </c>
      <c r="F3291" t="n">
        <v>12960.3</v>
      </c>
    </row>
    <row r="3292">
      <c r="A3292" s="3" t="n">
        <v>43284</v>
      </c>
      <c r="B3292" t="n">
        <v>15247.99</v>
      </c>
      <c r="C3292" t="n">
        <v>7772.03</v>
      </c>
      <c r="D3292" t="n">
        <v>4501.51</v>
      </c>
      <c r="E3292" t="n">
        <v>7924.1</v>
      </c>
      <c r="F3292" t="n">
        <v>13175.5</v>
      </c>
    </row>
    <row r="3293">
      <c r="A3293" s="3" t="n">
        <v>43285</v>
      </c>
      <c r="B3293" t="n">
        <v>15326.38</v>
      </c>
      <c r="C3293" t="n">
        <v>7792.24</v>
      </c>
      <c r="D3293" t="n">
        <v>4465.88</v>
      </c>
      <c r="E3293" t="n">
        <v>7976.25</v>
      </c>
      <c r="F3293" t="n">
        <v>13336.3</v>
      </c>
    </row>
    <row r="3294">
      <c r="A3294" s="3" t="n">
        <v>43286</v>
      </c>
      <c r="B3294" t="n">
        <v>15161.82</v>
      </c>
      <c r="C3294" t="n">
        <v>7777.61</v>
      </c>
      <c r="D3294" t="n">
        <v>4434.43</v>
      </c>
      <c r="E3294" t="n">
        <v>7979.91</v>
      </c>
      <c r="F3294" t="n">
        <v>13132.4</v>
      </c>
    </row>
    <row r="3295">
      <c r="A3295" s="3" t="n">
        <v>43287</v>
      </c>
      <c r="B3295" t="n">
        <v>15177.97</v>
      </c>
      <c r="C3295" t="n">
        <v>7806.62</v>
      </c>
      <c r="D3295" t="n">
        <v>4481.03</v>
      </c>
      <c r="E3295" t="n">
        <v>7996.21</v>
      </c>
      <c r="F3295" t="n">
        <v>13163.75</v>
      </c>
    </row>
    <row r="3296">
      <c r="A3296" s="3" t="n">
        <v>43290</v>
      </c>
      <c r="B3296" t="n">
        <v>15409.72</v>
      </c>
      <c r="C3296" t="n">
        <v>7885.95</v>
      </c>
      <c r="D3296" t="n">
        <v>4542.67</v>
      </c>
      <c r="E3296" t="n">
        <v>8056.11</v>
      </c>
      <c r="F3296" t="n">
        <v>13496.35</v>
      </c>
    </row>
    <row r="3297">
      <c r="A3297" s="3" t="n">
        <v>43291</v>
      </c>
      <c r="B3297" t="n">
        <v>15499.9</v>
      </c>
      <c r="C3297" t="n">
        <v>7932.88</v>
      </c>
      <c r="D3297" t="n">
        <v>4592.64</v>
      </c>
      <c r="E3297" t="n">
        <v>8101.77</v>
      </c>
      <c r="F3297" t="n">
        <v>13647.6</v>
      </c>
    </row>
    <row r="3298">
      <c r="A3298" s="3" t="n">
        <v>43292</v>
      </c>
      <c r="B3298" t="n">
        <v>15575</v>
      </c>
      <c r="C3298" t="n">
        <v>7934.81</v>
      </c>
      <c r="D3298" t="n">
        <v>4497</v>
      </c>
      <c r="E3298" t="n">
        <v>8106.89</v>
      </c>
      <c r="F3298" t="n">
        <v>13653.9</v>
      </c>
    </row>
    <row r="3299">
      <c r="A3299" s="3" t="n">
        <v>43293</v>
      </c>
      <c r="B3299" t="n">
        <v>15553.85</v>
      </c>
      <c r="C3299" t="n">
        <v>7937.66</v>
      </c>
      <c r="D3299" t="n">
        <v>4492.53</v>
      </c>
      <c r="E3299" t="n">
        <v>8136.5</v>
      </c>
      <c r="F3299" t="n">
        <v>13618.35</v>
      </c>
    </row>
    <row r="3300">
      <c r="A3300" s="3" t="n">
        <v>43294</v>
      </c>
      <c r="B3300" t="n">
        <v>15477.07</v>
      </c>
      <c r="C3300" t="n">
        <v>7928.72</v>
      </c>
      <c r="D3300" t="n">
        <v>4438.58</v>
      </c>
      <c r="E3300" t="n">
        <v>8139.62</v>
      </c>
      <c r="F3300" t="n">
        <v>13409.45</v>
      </c>
    </row>
    <row r="3301">
      <c r="A3301" s="3" t="n">
        <v>43297</v>
      </c>
      <c r="B3301" t="n">
        <v>15353.58</v>
      </c>
      <c r="C3301" t="n">
        <v>7859.14</v>
      </c>
      <c r="D3301" t="n">
        <v>4307.64</v>
      </c>
      <c r="E3301" t="n">
        <v>8084.64</v>
      </c>
      <c r="F3301" t="n">
        <v>13094.75</v>
      </c>
    </row>
    <row r="3302">
      <c r="A3302" s="3" t="n">
        <v>43298</v>
      </c>
      <c r="B3302" t="n">
        <v>15450</v>
      </c>
      <c r="C3302" t="n">
        <v>7889.78</v>
      </c>
      <c r="D3302" t="n">
        <v>4427.9</v>
      </c>
      <c r="E3302" t="n">
        <v>8106.37</v>
      </c>
      <c r="F3302" t="n">
        <v>13298.45</v>
      </c>
    </row>
    <row r="3303">
      <c r="A3303" s="3" t="n">
        <v>43299</v>
      </c>
      <c r="B3303" t="n">
        <v>15374.19</v>
      </c>
      <c r="C3303" t="n">
        <v>7885.25</v>
      </c>
      <c r="D3303" t="n">
        <v>4364.87</v>
      </c>
      <c r="E3303" t="n">
        <v>8088.42</v>
      </c>
      <c r="F3303" t="n">
        <v>13325.4</v>
      </c>
    </row>
    <row r="3304">
      <c r="A3304" s="3" t="n">
        <v>43300</v>
      </c>
      <c r="B3304" t="n">
        <v>15238.35</v>
      </c>
      <c r="C3304" t="n">
        <v>7847.18</v>
      </c>
      <c r="D3304" t="n">
        <v>4344</v>
      </c>
      <c r="E3304" t="n">
        <v>8046.17</v>
      </c>
      <c r="F3304" t="n">
        <v>13232.65</v>
      </c>
    </row>
    <row r="3305">
      <c r="A3305" s="3" t="n">
        <v>43301</v>
      </c>
      <c r="B3305" t="n">
        <v>15376.45</v>
      </c>
      <c r="C3305" t="n">
        <v>7896.02</v>
      </c>
      <c r="D3305" t="n">
        <v>4317</v>
      </c>
      <c r="E3305" t="n">
        <v>8051.43</v>
      </c>
      <c r="F3305" t="n">
        <v>13469.75</v>
      </c>
    </row>
    <row r="3306">
      <c r="A3306" s="3" t="n">
        <v>43304</v>
      </c>
      <c r="B3306" t="n">
        <v>15399.19</v>
      </c>
      <c r="C3306" t="n">
        <v>7946.55</v>
      </c>
      <c r="D3306" t="n">
        <v>4368.86</v>
      </c>
      <c r="E3306" t="n">
        <v>8091.21</v>
      </c>
      <c r="F3306" t="n">
        <v>13503.85</v>
      </c>
    </row>
    <row r="3307">
      <c r="A3307" s="3" t="n">
        <v>43305</v>
      </c>
      <c r="B3307" t="n">
        <v>15508.56</v>
      </c>
      <c r="C3307" t="n">
        <v>8001.99</v>
      </c>
      <c r="D3307" t="n">
        <v>4494.16</v>
      </c>
      <c r="E3307" t="n">
        <v>8138.85</v>
      </c>
      <c r="F3307" t="n">
        <v>13606</v>
      </c>
    </row>
    <row r="3308">
      <c r="A3308" s="3" t="n">
        <v>43306</v>
      </c>
      <c r="B3308" t="n">
        <v>15509.36</v>
      </c>
      <c r="C3308" t="n">
        <v>7989.32</v>
      </c>
      <c r="D3308" t="n">
        <v>4519.1</v>
      </c>
      <c r="E3308" t="n">
        <v>8117.97</v>
      </c>
      <c r="F3308" t="n">
        <v>13682.7</v>
      </c>
    </row>
    <row r="3309">
      <c r="A3309" s="3" t="n">
        <v>43307</v>
      </c>
      <c r="B3309" t="n">
        <v>15535.17</v>
      </c>
      <c r="C3309" t="n">
        <v>7974.51</v>
      </c>
      <c r="D3309" t="n">
        <v>4550.78</v>
      </c>
      <c r="E3309" t="n">
        <v>8122.73</v>
      </c>
      <c r="F3309" t="n">
        <v>13764.55</v>
      </c>
    </row>
    <row r="3310">
      <c r="A3310" s="3" t="n">
        <v>43308</v>
      </c>
      <c r="B3310" t="n">
        <v>15619.31</v>
      </c>
      <c r="C3310" t="n">
        <v>8031.52</v>
      </c>
      <c r="D3310" t="n">
        <v>4637.97</v>
      </c>
      <c r="E3310" t="n">
        <v>8161.19</v>
      </c>
      <c r="F3310" t="n">
        <v>13882.2</v>
      </c>
    </row>
    <row r="3311">
      <c r="A3311" s="3" t="n">
        <v>43311</v>
      </c>
      <c r="B3311" t="n">
        <v>15652.1</v>
      </c>
      <c r="C3311" t="n">
        <v>8034.28</v>
      </c>
      <c r="D3311" t="n">
        <v>4692.76</v>
      </c>
      <c r="E3311" t="n">
        <v>8181.13</v>
      </c>
      <c r="F3311" t="n">
        <v>13875.25</v>
      </c>
    </row>
    <row r="3312">
      <c r="A3312" s="3" t="n">
        <v>43312</v>
      </c>
      <c r="B3312" t="n">
        <v>15927.58</v>
      </c>
      <c r="C3312" t="n">
        <v>8081.75</v>
      </c>
      <c r="D3312" t="n">
        <v>4687.09</v>
      </c>
      <c r="E3312" t="n">
        <v>8254.389999999999</v>
      </c>
      <c r="F3312" t="n">
        <v>14151.8</v>
      </c>
    </row>
    <row r="3313">
      <c r="A3313" s="3" t="n">
        <v>43313</v>
      </c>
      <c r="B3313" t="n">
        <v>15992.93</v>
      </c>
      <c r="C3313" t="n">
        <v>8104.33</v>
      </c>
      <c r="D3313" t="n">
        <v>4695.28</v>
      </c>
      <c r="E3313" t="n">
        <v>8258.360000000001</v>
      </c>
      <c r="F3313" t="n">
        <v>14205.9</v>
      </c>
    </row>
    <row r="3314">
      <c r="A3314" s="3" t="n">
        <v>43314</v>
      </c>
      <c r="B3314" t="n">
        <v>15898</v>
      </c>
      <c r="C3314" t="n">
        <v>8070.97</v>
      </c>
      <c r="D3314" t="n">
        <v>4698.13</v>
      </c>
      <c r="E3314" t="n">
        <v>8192.09</v>
      </c>
      <c r="F3314" t="n">
        <v>14204.8</v>
      </c>
    </row>
    <row r="3315">
      <c r="A3315" s="3" t="n">
        <v>43315</v>
      </c>
      <c r="B3315" t="n">
        <v>16027.64</v>
      </c>
      <c r="C3315" t="n">
        <v>8154.01</v>
      </c>
      <c r="D3315" t="n">
        <v>4750.54</v>
      </c>
      <c r="E3315" t="n">
        <v>8256.370000000001</v>
      </c>
      <c r="F3315" t="n">
        <v>14354.1</v>
      </c>
    </row>
    <row r="3316">
      <c r="A3316" s="3" t="n">
        <v>43318</v>
      </c>
      <c r="B3316" t="n">
        <v>15967.58</v>
      </c>
      <c r="C3316" t="n">
        <v>8136.99</v>
      </c>
      <c r="D3316" t="n">
        <v>4799.09</v>
      </c>
      <c r="E3316" t="n">
        <v>8248.57</v>
      </c>
      <c r="F3316" t="n">
        <v>14338.1</v>
      </c>
    </row>
    <row r="3317">
      <c r="A3317" s="3" t="n">
        <v>43319</v>
      </c>
      <c r="B3317" t="n">
        <v>15931.12</v>
      </c>
      <c r="C3317" t="n">
        <v>8154.85</v>
      </c>
      <c r="D3317" t="n">
        <v>4793.33</v>
      </c>
      <c r="E3317" t="n">
        <v>8256.59</v>
      </c>
      <c r="F3317" t="n">
        <v>14185.65</v>
      </c>
    </row>
    <row r="3318">
      <c r="A3318" s="3" t="n">
        <v>43320</v>
      </c>
      <c r="B3318" t="n">
        <v>16070.86</v>
      </c>
      <c r="C3318" t="n">
        <v>8182.89</v>
      </c>
      <c r="D3318" t="n">
        <v>4771.98</v>
      </c>
      <c r="E3318" t="n">
        <v>8284.780000000001</v>
      </c>
      <c r="F3318" t="n">
        <v>14400.5</v>
      </c>
    </row>
    <row r="3319">
      <c r="A3319" s="3" t="n">
        <v>43321</v>
      </c>
      <c r="B3319" t="n">
        <v>16122.11</v>
      </c>
      <c r="C3319" t="n">
        <v>8193.139999999999</v>
      </c>
      <c r="D3319" t="n">
        <v>4841</v>
      </c>
      <c r="E3319" t="n">
        <v>8275.84</v>
      </c>
      <c r="F3319" t="n">
        <v>14478.5</v>
      </c>
    </row>
    <row r="3320">
      <c r="A3320" s="3" t="n">
        <v>43322</v>
      </c>
      <c r="B3320" t="n">
        <v>16118.77</v>
      </c>
      <c r="C3320" t="n">
        <v>8177.71</v>
      </c>
      <c r="D3320" t="n">
        <v>4793.41</v>
      </c>
      <c r="E3320" t="n">
        <v>8264.969999999999</v>
      </c>
      <c r="F3320" t="n">
        <v>14426.1</v>
      </c>
    </row>
    <row r="3321">
      <c r="A3321" s="3" t="n">
        <v>43325</v>
      </c>
      <c r="B3321" t="n">
        <v>16140.42</v>
      </c>
      <c r="C3321" t="n">
        <v>8121.26</v>
      </c>
      <c r="D3321" t="n">
        <v>4671.72</v>
      </c>
      <c r="E3321" t="n">
        <v>8241.379999999999</v>
      </c>
      <c r="F3321" t="n">
        <v>14337.4</v>
      </c>
    </row>
    <row r="3322">
      <c r="A3322" s="3" t="n">
        <v>43326</v>
      </c>
      <c r="B3322" t="n">
        <v>16295.86</v>
      </c>
      <c r="C3322" t="n">
        <v>8174.88</v>
      </c>
      <c r="D3322" t="n">
        <v>4667.58</v>
      </c>
      <c r="E3322" t="n">
        <v>8282.469999999999</v>
      </c>
      <c r="F3322" t="n">
        <v>14524.75</v>
      </c>
    </row>
    <row r="3323">
      <c r="A3323" s="3" t="n">
        <v>43328</v>
      </c>
      <c r="B3323" t="n">
        <v>16310.9</v>
      </c>
      <c r="C3323" t="n">
        <v>8170.47</v>
      </c>
      <c r="D3323" t="n">
        <v>4630.55</v>
      </c>
      <c r="E3323" t="n">
        <v>8243.41</v>
      </c>
      <c r="F3323" t="n">
        <v>14534.9</v>
      </c>
    </row>
    <row r="3324">
      <c r="A3324" s="3" t="n">
        <v>43329</v>
      </c>
      <c r="B3324" t="n">
        <v>16520.62</v>
      </c>
      <c r="C3324" t="n">
        <v>8228.08</v>
      </c>
      <c r="D3324" t="n">
        <v>4693.41</v>
      </c>
      <c r="E3324" t="n">
        <v>8289.059999999999</v>
      </c>
      <c r="F3324" t="n">
        <v>14687</v>
      </c>
    </row>
    <row r="3325">
      <c r="A3325" s="3" t="n">
        <v>43332</v>
      </c>
      <c r="B3325" t="n">
        <v>16516.78</v>
      </c>
      <c r="C3325" t="n">
        <v>8257.16</v>
      </c>
      <c r="D3325" t="n">
        <v>4770.27</v>
      </c>
      <c r="E3325" t="n">
        <v>8354.5</v>
      </c>
      <c r="F3325" t="n">
        <v>14607.2</v>
      </c>
    </row>
    <row r="3326">
      <c r="A3326" s="3" t="n">
        <v>43333</v>
      </c>
      <c r="B3326" t="n">
        <v>16570.51</v>
      </c>
      <c r="C3326" t="n">
        <v>8289.15</v>
      </c>
      <c r="D3326" t="n">
        <v>4759.85</v>
      </c>
      <c r="E3326" t="n">
        <v>8393.16</v>
      </c>
      <c r="F3326" t="n">
        <v>14703.4</v>
      </c>
    </row>
    <row r="3327">
      <c r="A3327" s="3" t="n">
        <v>43335</v>
      </c>
      <c r="B3327" t="n">
        <v>16594.17</v>
      </c>
      <c r="C3327" t="n">
        <v>8331.32</v>
      </c>
      <c r="D3327" t="n">
        <v>4693.36</v>
      </c>
      <c r="E3327" t="n">
        <v>8461.360000000001</v>
      </c>
      <c r="F3327" t="n">
        <v>14615</v>
      </c>
    </row>
    <row r="3328">
      <c r="A3328" s="3" t="n">
        <v>43336</v>
      </c>
      <c r="B3328" t="n">
        <v>16506.74</v>
      </c>
      <c r="C3328" t="n">
        <v>8273.370000000001</v>
      </c>
      <c r="D3328" t="n">
        <v>4705.68</v>
      </c>
      <c r="E3328" t="n">
        <v>8457.49</v>
      </c>
      <c r="F3328" t="n">
        <v>14491.7</v>
      </c>
    </row>
    <row r="3329">
      <c r="A3329" s="3" t="n">
        <v>43339</v>
      </c>
      <c r="B3329" t="n">
        <v>16747.99</v>
      </c>
      <c r="C3329" t="n">
        <v>8359.92</v>
      </c>
      <c r="D3329" t="n">
        <v>4781.29</v>
      </c>
      <c r="E3329" t="n">
        <v>8545.530000000001</v>
      </c>
      <c r="F3329" t="n">
        <v>14721.45</v>
      </c>
    </row>
    <row r="3330">
      <c r="A3330" s="3" t="n">
        <v>43340</v>
      </c>
      <c r="B3330" t="n">
        <v>16787.87</v>
      </c>
      <c r="C3330" t="n">
        <v>8358.120000000001</v>
      </c>
      <c r="D3330" t="n">
        <v>4755.5</v>
      </c>
      <c r="E3330" t="n">
        <v>8579.209999999999</v>
      </c>
      <c r="F3330" t="n">
        <v>14795.9</v>
      </c>
    </row>
    <row r="3331">
      <c r="A3331" s="3" t="n">
        <v>43341</v>
      </c>
      <c r="B3331" t="n">
        <v>16696.77</v>
      </c>
      <c r="C3331" t="n">
        <v>8324.719999999999</v>
      </c>
      <c r="D3331" t="n">
        <v>4794.55</v>
      </c>
      <c r="E3331" t="n">
        <v>8541.790000000001</v>
      </c>
      <c r="F3331" t="n">
        <v>14728.35</v>
      </c>
    </row>
    <row r="3332">
      <c r="A3332" s="3" t="n">
        <v>43342</v>
      </c>
      <c r="B3332" t="n">
        <v>16708.46</v>
      </c>
      <c r="C3332" t="n">
        <v>8294.120000000001</v>
      </c>
      <c r="D3332" t="n">
        <v>4830.14</v>
      </c>
      <c r="E3332" t="n">
        <v>8536.4</v>
      </c>
      <c r="F3332" t="n">
        <v>14751.6</v>
      </c>
    </row>
    <row r="3333">
      <c r="A3333" s="3" t="n">
        <v>43343</v>
      </c>
      <c r="B3333" t="n">
        <v>16913.56</v>
      </c>
      <c r="C3333" t="n">
        <v>8323.940000000001</v>
      </c>
      <c r="D3333" t="n">
        <v>4830.55</v>
      </c>
      <c r="E3333" t="n">
        <v>8574.65</v>
      </c>
      <c r="F3333" t="n">
        <v>14877.95</v>
      </c>
    </row>
    <row r="3334">
      <c r="A3334" s="3" t="n">
        <v>43346</v>
      </c>
      <c r="B3334" t="n">
        <v>16762.57</v>
      </c>
      <c r="C3334" t="n">
        <v>8251.42</v>
      </c>
      <c r="D3334" t="n">
        <v>4832.71</v>
      </c>
      <c r="E3334" t="n">
        <v>8482.209999999999</v>
      </c>
      <c r="F3334" t="n">
        <v>14803.15</v>
      </c>
    </row>
    <row r="3335">
      <c r="A3335" s="3" t="n">
        <v>43347</v>
      </c>
      <c r="B3335" t="n">
        <v>16525.81</v>
      </c>
      <c r="C3335" t="n">
        <v>8139.29</v>
      </c>
      <c r="D3335" t="n">
        <v>4693.85</v>
      </c>
      <c r="E3335" t="n">
        <v>8384.049999999999</v>
      </c>
      <c r="F3335" t="n">
        <v>14528.1</v>
      </c>
    </row>
    <row r="3336">
      <c r="A3336" s="3" t="n">
        <v>43348</v>
      </c>
      <c r="B3336" t="n">
        <v>16426.82</v>
      </c>
      <c r="C3336" t="n">
        <v>8109.67</v>
      </c>
      <c r="D3336" t="n">
        <v>4709.73</v>
      </c>
      <c r="E3336" t="n">
        <v>8338.15</v>
      </c>
      <c r="F3336" t="n">
        <v>14480.3</v>
      </c>
    </row>
    <row r="3337">
      <c r="A3337" s="3" t="n">
        <v>43349</v>
      </c>
      <c r="B3337" t="n">
        <v>16511.07</v>
      </c>
      <c r="C3337" t="n">
        <v>8113.75</v>
      </c>
      <c r="D3337" t="n">
        <v>4748.3</v>
      </c>
      <c r="E3337" t="n">
        <v>8393.799999999999</v>
      </c>
      <c r="F3337" t="n">
        <v>14564.65</v>
      </c>
    </row>
    <row r="3338">
      <c r="A3338" s="3" t="n">
        <v>43350</v>
      </c>
      <c r="B3338" t="n">
        <v>16627.54</v>
      </c>
      <c r="C3338" t="n">
        <v>8181.28</v>
      </c>
      <c r="D3338" t="n">
        <v>4785.73</v>
      </c>
      <c r="E3338" t="n">
        <v>8450.99</v>
      </c>
      <c r="F3338" t="n">
        <v>14641.45</v>
      </c>
    </row>
    <row r="3339">
      <c r="A3339" s="3" t="n">
        <v>43353</v>
      </c>
      <c r="B3339" t="n">
        <v>16390.88</v>
      </c>
      <c r="C3339" t="n">
        <v>8053.59</v>
      </c>
      <c r="D3339" t="n">
        <v>4719.9</v>
      </c>
      <c r="E3339" t="n">
        <v>8328.24</v>
      </c>
      <c r="F3339" t="n">
        <v>14445.15</v>
      </c>
    </row>
    <row r="3340">
      <c r="A3340" s="3" t="n">
        <v>43354</v>
      </c>
      <c r="B3340" t="n">
        <v>16186.81</v>
      </c>
      <c r="C3340" t="n">
        <v>7945.94</v>
      </c>
      <c r="D3340" t="n">
        <v>4628.75</v>
      </c>
      <c r="E3340" t="n">
        <v>8256.73</v>
      </c>
      <c r="F3340" t="n">
        <v>14230.55</v>
      </c>
    </row>
    <row r="3341">
      <c r="A3341" s="3" t="n">
        <v>43355</v>
      </c>
      <c r="B3341" t="n">
        <v>16243.17</v>
      </c>
      <c r="C3341" t="n">
        <v>7991.59</v>
      </c>
      <c r="D3341" t="n">
        <v>4622.53</v>
      </c>
      <c r="E3341" t="n">
        <v>8330.5</v>
      </c>
      <c r="F3341" t="n">
        <v>14247.1</v>
      </c>
    </row>
    <row r="3342">
      <c r="A3342" s="3" t="n">
        <v>43357</v>
      </c>
      <c r="B3342" t="n">
        <v>16436.95</v>
      </c>
      <c r="C3342" t="n">
        <v>8104.02</v>
      </c>
      <c r="D3342" t="n">
        <v>4743.4</v>
      </c>
      <c r="E3342" t="n">
        <v>8421.27</v>
      </c>
      <c r="F3342" t="n">
        <v>14394.75</v>
      </c>
    </row>
    <row r="3343">
      <c r="A3343" s="3" t="n">
        <v>43360</v>
      </c>
      <c r="B3343" t="n">
        <v>16342.6</v>
      </c>
      <c r="C3343" t="n">
        <v>8061.2</v>
      </c>
      <c r="D3343" t="n">
        <v>4765.73</v>
      </c>
      <c r="E3343" t="n">
        <v>8353.530000000001</v>
      </c>
      <c r="F3343" t="n">
        <v>14310.35</v>
      </c>
    </row>
    <row r="3344">
      <c r="A3344" s="3" t="n">
        <v>43361</v>
      </c>
      <c r="B3344" t="n">
        <v>16287.65</v>
      </c>
      <c r="C3344" t="n">
        <v>8003.11</v>
      </c>
      <c r="D3344" t="n">
        <v>4633.76</v>
      </c>
      <c r="E3344" t="n">
        <v>8303.870000000001</v>
      </c>
      <c r="F3344" t="n">
        <v>14210.4</v>
      </c>
    </row>
    <row r="3345">
      <c r="A3345" s="3" t="n">
        <v>43362</v>
      </c>
      <c r="B3345" t="n">
        <v>16168.36</v>
      </c>
      <c r="C3345" t="n">
        <v>7958.56</v>
      </c>
      <c r="D3345" t="n">
        <v>4640.01</v>
      </c>
      <c r="E3345" t="n">
        <v>8269.98</v>
      </c>
      <c r="F3345" t="n">
        <v>14060.65</v>
      </c>
    </row>
    <row r="3346">
      <c r="A3346" s="3" t="n">
        <v>43364</v>
      </c>
      <c r="B3346" t="n">
        <v>15943.59</v>
      </c>
      <c r="C3346" t="n">
        <v>7773.34</v>
      </c>
      <c r="D3346" t="n">
        <v>4551.93</v>
      </c>
      <c r="E3346" t="n">
        <v>8210.780000000001</v>
      </c>
      <c r="F3346" t="n">
        <v>13738.7</v>
      </c>
    </row>
    <row r="3347">
      <c r="A3347" s="3" t="n">
        <v>43367</v>
      </c>
      <c r="B3347" t="n">
        <v>15630.26</v>
      </c>
      <c r="C3347" t="n">
        <v>7613.47</v>
      </c>
      <c r="D3347" t="n">
        <v>4433.55</v>
      </c>
      <c r="E3347" t="n">
        <v>8073.58</v>
      </c>
      <c r="F3347" t="n">
        <v>13421.9</v>
      </c>
    </row>
    <row r="3348">
      <c r="A3348" s="3" t="n">
        <v>43368</v>
      </c>
      <c r="B3348" t="n">
        <v>15604.07</v>
      </c>
      <c r="C3348" t="n">
        <v>7636.91</v>
      </c>
      <c r="D3348" t="n">
        <v>4418.04</v>
      </c>
      <c r="E3348" t="n">
        <v>8145.21</v>
      </c>
      <c r="F3348" t="n">
        <v>13164.5</v>
      </c>
    </row>
    <row r="3349">
      <c r="A3349" s="3" t="n">
        <v>43369</v>
      </c>
      <c r="B3349" t="n">
        <v>15491.82</v>
      </c>
      <c r="C3349" t="n">
        <v>7603.44</v>
      </c>
      <c r="D3349" t="n">
        <v>4448.41</v>
      </c>
      <c r="E3349" t="n">
        <v>8107.52</v>
      </c>
      <c r="F3349" t="n">
        <v>13094.05</v>
      </c>
    </row>
    <row r="3350">
      <c r="A3350" s="3" t="n">
        <v>43370</v>
      </c>
      <c r="B3350" t="n">
        <v>15282.04</v>
      </c>
      <c r="C3350" t="n">
        <v>7523.07</v>
      </c>
      <c r="D3350" t="n">
        <v>4367.56</v>
      </c>
      <c r="E3350" t="n">
        <v>8063.27</v>
      </c>
      <c r="F3350" t="n">
        <v>12761.8</v>
      </c>
    </row>
    <row r="3351">
      <c r="A3351" s="3" t="n">
        <v>43371</v>
      </c>
      <c r="B3351" t="n">
        <v>15025.18</v>
      </c>
      <c r="C3351" t="n">
        <v>7394.1</v>
      </c>
      <c r="D3351" t="n">
        <v>4260.08</v>
      </c>
      <c r="E3351" t="n">
        <v>7995.21</v>
      </c>
      <c r="F3351" t="n">
        <v>12415.75</v>
      </c>
    </row>
    <row r="3352">
      <c r="A3352" s="3" t="n">
        <v>43374</v>
      </c>
      <c r="B3352" t="n">
        <v>15070.42</v>
      </c>
      <c r="C3352" t="n">
        <v>7501.46</v>
      </c>
      <c r="D3352" t="n">
        <v>4320.5</v>
      </c>
      <c r="E3352" t="n">
        <v>8029.23</v>
      </c>
      <c r="F3352" t="n">
        <v>12473.85</v>
      </c>
    </row>
    <row r="3353">
      <c r="A3353" s="3" t="n">
        <v>43376</v>
      </c>
      <c r="B3353" t="n">
        <v>14844.54</v>
      </c>
      <c r="C3353" t="n">
        <v>7405.09</v>
      </c>
      <c r="D3353" t="n">
        <v>4395.1</v>
      </c>
      <c r="E3353" t="n">
        <v>7897.39</v>
      </c>
      <c r="F3353" t="n">
        <v>12391.65</v>
      </c>
    </row>
    <row r="3354">
      <c r="A3354" s="3" t="n">
        <v>43377</v>
      </c>
      <c r="B3354" t="n">
        <v>14428.64</v>
      </c>
      <c r="C3354" t="n">
        <v>7213.93</v>
      </c>
      <c r="D3354" t="n">
        <v>4266.83</v>
      </c>
      <c r="E3354" t="n">
        <v>7730.47</v>
      </c>
      <c r="F3354" t="n">
        <v>11991.65</v>
      </c>
    </row>
    <row r="3355">
      <c r="A3355" s="3" t="n">
        <v>43378</v>
      </c>
      <c r="B3355" t="n">
        <v>14220.52</v>
      </c>
      <c r="C3355" t="n">
        <v>7091.96</v>
      </c>
      <c r="D3355" t="n">
        <v>4008.51</v>
      </c>
      <c r="E3355" t="n">
        <v>7575.06</v>
      </c>
      <c r="F3355" t="n">
        <v>11761.4</v>
      </c>
    </row>
    <row r="3356">
      <c r="A3356" s="3" t="n">
        <v>43381</v>
      </c>
      <c r="B3356" t="n">
        <v>14053.85</v>
      </c>
      <c r="C3356" t="n">
        <v>7055.85</v>
      </c>
      <c r="D3356" t="n">
        <v>3940.62</v>
      </c>
      <c r="E3356" t="n">
        <v>7596.54</v>
      </c>
      <c r="F3356" t="n">
        <v>11535.2</v>
      </c>
    </row>
    <row r="3357">
      <c r="A3357" s="3" t="n">
        <v>43382</v>
      </c>
      <c r="B3357" t="n">
        <v>13914.27</v>
      </c>
      <c r="C3357" t="n">
        <v>7028.25</v>
      </c>
      <c r="D3357" t="n">
        <v>3913.51</v>
      </c>
      <c r="E3357" t="n">
        <v>7545.63</v>
      </c>
      <c r="F3357" t="n">
        <v>11429.95</v>
      </c>
    </row>
    <row r="3358">
      <c r="A3358" s="3" t="n">
        <v>43383</v>
      </c>
      <c r="B3358" t="n">
        <v>14341.48</v>
      </c>
      <c r="C3358" t="n">
        <v>7218.71</v>
      </c>
      <c r="D3358" t="n">
        <v>4053.28</v>
      </c>
      <c r="E3358" t="n">
        <v>7637.14</v>
      </c>
      <c r="F3358" t="n">
        <v>11936.55</v>
      </c>
    </row>
    <row r="3359">
      <c r="A3359" s="3" t="n">
        <v>43384</v>
      </c>
      <c r="B3359" t="n">
        <v>14123.27</v>
      </c>
      <c r="C3359" t="n">
        <v>7069.68</v>
      </c>
      <c r="D3359" t="n">
        <v>4002.98</v>
      </c>
      <c r="E3359" t="n">
        <v>7503.46</v>
      </c>
      <c r="F3359" t="n">
        <v>11836.2</v>
      </c>
    </row>
    <row r="3360">
      <c r="A3360" s="3" t="n">
        <v>43385</v>
      </c>
      <c r="B3360" t="n">
        <v>14440.36</v>
      </c>
      <c r="C3360" t="n">
        <v>7217.54</v>
      </c>
      <c r="D3360" t="n">
        <v>4133.42</v>
      </c>
      <c r="E3360" t="n">
        <v>7676.58</v>
      </c>
      <c r="F3360" t="n">
        <v>12065.85</v>
      </c>
    </row>
    <row r="3361">
      <c r="A3361" s="3" t="n">
        <v>43388</v>
      </c>
      <c r="B3361" t="n">
        <v>14561.14</v>
      </c>
      <c r="C3361" t="n">
        <v>7236.17</v>
      </c>
      <c r="D3361" t="n">
        <v>4167.31</v>
      </c>
      <c r="E3361" t="n">
        <v>7665.06</v>
      </c>
      <c r="F3361" t="n">
        <v>12281.05</v>
      </c>
    </row>
    <row r="3362">
      <c r="A3362" s="3" t="n">
        <v>43389</v>
      </c>
      <c r="B3362" t="n">
        <v>14864.55</v>
      </c>
      <c r="C3362" t="n">
        <v>7292.75</v>
      </c>
      <c r="D3362" t="n">
        <v>4215.94</v>
      </c>
      <c r="E3362" t="n">
        <v>7722.69</v>
      </c>
      <c r="F3362" t="n">
        <v>12633.85</v>
      </c>
    </row>
    <row r="3363">
      <c r="A3363" s="3" t="n">
        <v>43390</v>
      </c>
      <c r="B3363" t="n">
        <v>14668.96</v>
      </c>
      <c r="C3363" t="n">
        <v>7141.84</v>
      </c>
      <c r="D3363" t="n">
        <v>4087.99</v>
      </c>
      <c r="E3363" t="n">
        <v>7654.29</v>
      </c>
      <c r="F3363" t="n">
        <v>12464.25</v>
      </c>
    </row>
    <row r="3364">
      <c r="A3364" s="3" t="n">
        <v>43392</v>
      </c>
      <c r="B3364" t="n">
        <v>14406.1</v>
      </c>
      <c r="C3364" t="n">
        <v>7013.75</v>
      </c>
      <c r="D3364" t="n">
        <v>4088.89</v>
      </c>
      <c r="E3364" t="n">
        <v>7537.64</v>
      </c>
      <c r="F3364" t="n">
        <v>12237.9</v>
      </c>
    </row>
    <row r="3365">
      <c r="A3365" s="3" t="n">
        <v>43395</v>
      </c>
      <c r="B3365" t="n">
        <v>14179.94</v>
      </c>
      <c r="C3365" t="n">
        <v>6989.76</v>
      </c>
      <c r="D3365" t="n">
        <v>4035.01</v>
      </c>
      <c r="E3365" t="n">
        <v>7461.9</v>
      </c>
      <c r="F3365" t="n">
        <v>11985.95</v>
      </c>
    </row>
    <row r="3366">
      <c r="A3366" s="3" t="n">
        <v>43396</v>
      </c>
      <c r="B3366" t="n">
        <v>13894.6</v>
      </c>
      <c r="C3366" t="n">
        <v>6886.87</v>
      </c>
      <c r="D3366" t="n">
        <v>4005.29</v>
      </c>
      <c r="E3366" t="n">
        <v>7377.69</v>
      </c>
      <c r="F3366" t="n">
        <v>11793.05</v>
      </c>
    </row>
    <row r="3367">
      <c r="A3367" s="3" t="n">
        <v>43397</v>
      </c>
      <c r="B3367" t="n">
        <v>13895.66</v>
      </c>
      <c r="C3367" t="n">
        <v>6959.44</v>
      </c>
      <c r="D3367" t="n">
        <v>4086.79</v>
      </c>
      <c r="E3367" t="n">
        <v>7422</v>
      </c>
      <c r="F3367" t="n">
        <v>11809.85</v>
      </c>
    </row>
    <row r="3368">
      <c r="A3368" s="3" t="n">
        <v>43398</v>
      </c>
      <c r="B3368" t="n">
        <v>13771.04</v>
      </c>
      <c r="C3368" t="n">
        <v>6913.17</v>
      </c>
      <c r="D3368" t="n">
        <v>4036.56</v>
      </c>
      <c r="E3368" t="n">
        <v>7393.57</v>
      </c>
      <c r="F3368" t="n">
        <v>11668.65</v>
      </c>
    </row>
    <row r="3369">
      <c r="A3369" s="3" t="n">
        <v>43399</v>
      </c>
      <c r="B3369" t="n">
        <v>13791.46</v>
      </c>
      <c r="C3369" t="n">
        <v>6865.19</v>
      </c>
      <c r="D3369" t="n">
        <v>4023.1</v>
      </c>
      <c r="E3369" t="n">
        <v>7343.84</v>
      </c>
      <c r="F3369" t="n">
        <v>11702.8</v>
      </c>
    </row>
    <row r="3370">
      <c r="A3370" s="3" t="n">
        <v>43402</v>
      </c>
      <c r="B3370" t="n">
        <v>14149.06</v>
      </c>
      <c r="C3370" t="n">
        <v>6997.92</v>
      </c>
      <c r="D3370" t="n">
        <v>4168.04</v>
      </c>
      <c r="E3370" t="n">
        <v>7458.25</v>
      </c>
      <c r="F3370" t="n">
        <v>12030.05</v>
      </c>
    </row>
    <row r="3371">
      <c r="A3371" s="3" t="n">
        <v>43403</v>
      </c>
      <c r="B3371" t="n">
        <v>14238.5</v>
      </c>
      <c r="C3371" t="n">
        <v>7012.98</v>
      </c>
      <c r="D3371" t="n">
        <v>4157.33</v>
      </c>
      <c r="E3371" t="n">
        <v>7441.32</v>
      </c>
      <c r="F3371" t="n">
        <v>12068.8</v>
      </c>
    </row>
    <row r="3372">
      <c r="A3372" s="3" t="n">
        <v>43404</v>
      </c>
      <c r="B3372" t="n">
        <v>14599.85</v>
      </c>
      <c r="C3372" t="n">
        <v>7190.42</v>
      </c>
      <c r="D3372" t="n">
        <v>4191.14</v>
      </c>
      <c r="E3372" t="n">
        <v>7564.43</v>
      </c>
      <c r="F3372" t="n">
        <v>12332.7</v>
      </c>
    </row>
    <row r="3373">
      <c r="A3373" s="3" t="n">
        <v>43405</v>
      </c>
      <c r="B3373" t="n">
        <v>14581.45</v>
      </c>
      <c r="C3373" t="n">
        <v>7196.09</v>
      </c>
      <c r="D3373" t="n">
        <v>4232.94</v>
      </c>
      <c r="E3373" t="n">
        <v>7547.46</v>
      </c>
      <c r="F3373" t="n">
        <v>12400.95</v>
      </c>
    </row>
    <row r="3374">
      <c r="A3374" s="3" t="n">
        <v>43406</v>
      </c>
      <c r="B3374" t="n">
        <v>14578.02</v>
      </c>
      <c r="C3374" t="n">
        <v>7254.63</v>
      </c>
      <c r="D3374" t="n">
        <v>4309.1</v>
      </c>
      <c r="E3374" t="n">
        <v>7669.07</v>
      </c>
      <c r="F3374" t="n">
        <v>12284.55</v>
      </c>
    </row>
    <row r="3375">
      <c r="A3375" s="3" t="n">
        <v>43409</v>
      </c>
      <c r="B3375" t="n">
        <v>14543.02</v>
      </c>
      <c r="C3375" t="n">
        <v>7239.2</v>
      </c>
      <c r="D3375" t="n">
        <v>4283.46</v>
      </c>
      <c r="E3375" t="n">
        <v>7645.84</v>
      </c>
      <c r="F3375" t="n">
        <v>12190.95</v>
      </c>
    </row>
    <row r="3376">
      <c r="A3376" s="3" t="n">
        <v>43410</v>
      </c>
      <c r="B3376" t="n">
        <v>14515.64</v>
      </c>
      <c r="C3376" t="n">
        <v>7229.86</v>
      </c>
      <c r="D3376" t="n">
        <v>4283.79</v>
      </c>
      <c r="E3376" t="n">
        <v>7648.24</v>
      </c>
      <c r="F3376" t="n">
        <v>12137.15</v>
      </c>
    </row>
    <row r="3377">
      <c r="A3377" s="3" t="n">
        <v>43411</v>
      </c>
      <c r="B3377" t="n">
        <v>14663.64</v>
      </c>
      <c r="C3377" t="n">
        <v>7283.25</v>
      </c>
      <c r="D3377" t="n">
        <v>4317.33</v>
      </c>
      <c r="E3377" t="n">
        <v>7705.09</v>
      </c>
      <c r="F3377" t="n">
        <v>12256.7</v>
      </c>
    </row>
    <row r="3378">
      <c r="A3378" s="3" t="n">
        <v>43413</v>
      </c>
      <c r="B3378" t="n">
        <v>14720.72</v>
      </c>
      <c r="C3378" t="n">
        <v>7340.72</v>
      </c>
      <c r="D3378" t="n">
        <v>4371.93</v>
      </c>
      <c r="E3378" t="n">
        <v>7730.72</v>
      </c>
      <c r="F3378" t="n">
        <v>12303.8</v>
      </c>
    </row>
    <row r="3379">
      <c r="A3379" s="3" t="n">
        <v>43416</v>
      </c>
      <c r="B3379" t="n">
        <v>14732.67</v>
      </c>
      <c r="C3379" t="n">
        <v>7262.48</v>
      </c>
      <c r="D3379" t="n">
        <v>4279.45</v>
      </c>
      <c r="E3379" t="n">
        <v>7664.57</v>
      </c>
      <c r="F3379" t="n">
        <v>12290.95</v>
      </c>
    </row>
    <row r="3380">
      <c r="A3380" s="3" t="n">
        <v>43417</v>
      </c>
      <c r="B3380" t="n">
        <v>14801.86</v>
      </c>
      <c r="C3380" t="n">
        <v>7275.37</v>
      </c>
      <c r="D3380" t="n">
        <v>4307.35</v>
      </c>
      <c r="E3380" t="n">
        <v>7726.03</v>
      </c>
      <c r="F3380" t="n">
        <v>12357.7</v>
      </c>
    </row>
    <row r="3381">
      <c r="A3381" s="3" t="n">
        <v>43418</v>
      </c>
      <c r="B3381" t="n">
        <v>14696.97</v>
      </c>
      <c r="C3381" t="n">
        <v>7274.31</v>
      </c>
      <c r="D3381" t="n">
        <v>4339.28</v>
      </c>
      <c r="E3381" t="n">
        <v>7737.71</v>
      </c>
      <c r="F3381" t="n">
        <v>12328.05</v>
      </c>
    </row>
    <row r="3382">
      <c r="A3382" s="3" t="n">
        <v>43419</v>
      </c>
      <c r="B3382" t="n">
        <v>14738.55</v>
      </c>
      <c r="C3382" t="n">
        <v>7268.3</v>
      </c>
      <c r="D3382" t="n">
        <v>4376.24</v>
      </c>
      <c r="E3382" t="n">
        <v>7765.22</v>
      </c>
      <c r="F3382" t="n">
        <v>12362.75</v>
      </c>
    </row>
    <row r="3383">
      <c r="A3383" s="3" t="n">
        <v>43420</v>
      </c>
      <c r="B3383" t="n">
        <v>14762.51</v>
      </c>
      <c r="C3383" t="n">
        <v>7281.45</v>
      </c>
      <c r="D3383" t="n">
        <v>4333.03</v>
      </c>
      <c r="E3383" t="n">
        <v>7811.93</v>
      </c>
      <c r="F3383" t="n">
        <v>12374.4</v>
      </c>
    </row>
    <row r="3384">
      <c r="A3384" s="3" t="n">
        <v>43423</v>
      </c>
      <c r="B3384" t="n">
        <v>14847.84</v>
      </c>
      <c r="C3384" t="n">
        <v>7318.04</v>
      </c>
      <c r="D3384" t="n">
        <v>4358.96</v>
      </c>
      <c r="E3384" t="n">
        <v>7865.75</v>
      </c>
      <c r="F3384" t="n">
        <v>12466.9</v>
      </c>
    </row>
    <row r="3385">
      <c r="A3385" s="3" t="n">
        <v>43424</v>
      </c>
      <c r="B3385" t="n">
        <v>14721.79</v>
      </c>
      <c r="C3385" t="n">
        <v>7238.54</v>
      </c>
      <c r="D3385" t="n">
        <v>4279.96</v>
      </c>
      <c r="E3385" t="n">
        <v>7795.73</v>
      </c>
      <c r="F3385" t="n">
        <v>12362.9</v>
      </c>
    </row>
    <row r="3386">
      <c r="A3386" s="3" t="n">
        <v>43425</v>
      </c>
      <c r="B3386" t="n">
        <v>14642.93</v>
      </c>
      <c r="C3386" t="n">
        <v>7217.07</v>
      </c>
      <c r="D3386" t="n">
        <v>4294.28</v>
      </c>
      <c r="E3386" t="n">
        <v>7749.9</v>
      </c>
      <c r="F3386" t="n">
        <v>12267.2</v>
      </c>
    </row>
    <row r="3387">
      <c r="A3387" s="3" t="n">
        <v>43426</v>
      </c>
      <c r="B3387" t="n">
        <v>14545.46</v>
      </c>
      <c r="C3387" t="n">
        <v>7167.05</v>
      </c>
      <c r="D3387" t="n">
        <v>4231.86</v>
      </c>
      <c r="E3387" t="n">
        <v>7707.08</v>
      </c>
      <c r="F3387" t="n">
        <v>12184.3</v>
      </c>
    </row>
    <row r="3388">
      <c r="A3388" s="3" t="n">
        <v>43430</v>
      </c>
      <c r="B3388" t="n">
        <v>14577.18</v>
      </c>
      <c r="C3388" t="n">
        <v>7243.56</v>
      </c>
      <c r="D3388" t="n">
        <v>4216.93</v>
      </c>
      <c r="E3388" t="n">
        <v>7796.4</v>
      </c>
      <c r="F3388" t="n">
        <v>12270.1</v>
      </c>
    </row>
    <row r="3389">
      <c r="A3389" s="3" t="n">
        <v>43431</v>
      </c>
      <c r="B3389" t="n">
        <v>14617.28</v>
      </c>
      <c r="C3389" t="n">
        <v>7281.05</v>
      </c>
      <c r="D3389" t="n">
        <v>4232.93</v>
      </c>
      <c r="E3389" t="n">
        <v>7841.05</v>
      </c>
      <c r="F3389" t="n">
        <v>12361.85</v>
      </c>
    </row>
    <row r="3390">
      <c r="A3390" s="3" t="n">
        <v>43432</v>
      </c>
      <c r="B3390" t="n">
        <v>14638.61</v>
      </c>
      <c r="C3390" t="n">
        <v>7284.44</v>
      </c>
      <c r="D3390" t="n">
        <v>4137.11</v>
      </c>
      <c r="E3390" t="n">
        <v>7859.17</v>
      </c>
      <c r="F3390" t="n">
        <v>12298.1</v>
      </c>
    </row>
    <row r="3391">
      <c r="A3391" s="3" t="n">
        <v>43433</v>
      </c>
      <c r="B3391" t="n">
        <v>14667.11</v>
      </c>
      <c r="C3391" t="n">
        <v>7327.78</v>
      </c>
      <c r="D3391" t="n">
        <v>4149.28</v>
      </c>
      <c r="E3391" t="n">
        <v>7926.71</v>
      </c>
      <c r="F3391" t="n">
        <v>12286.65</v>
      </c>
    </row>
    <row r="3392">
      <c r="A3392" s="3" t="n">
        <v>43434</v>
      </c>
      <c r="B3392" t="n">
        <v>14856.41</v>
      </c>
      <c r="C3392" t="n">
        <v>7374.36</v>
      </c>
      <c r="D3392" t="n">
        <v>4111.16</v>
      </c>
      <c r="E3392" t="n">
        <v>7963.63</v>
      </c>
      <c r="F3392" t="n">
        <v>12445.75</v>
      </c>
    </row>
    <row r="3393">
      <c r="A3393" s="3" t="n">
        <v>43437</v>
      </c>
      <c r="B3393" t="n">
        <v>14877.92</v>
      </c>
      <c r="C3393" t="n">
        <v>7432.42</v>
      </c>
      <c r="D3393" t="n">
        <v>4197.63</v>
      </c>
      <c r="E3393" t="n">
        <v>8011.47</v>
      </c>
      <c r="F3393" t="n">
        <v>12466.55</v>
      </c>
    </row>
    <row r="3394">
      <c r="A3394" s="3" t="n">
        <v>43438</v>
      </c>
      <c r="B3394" t="n">
        <v>14879.25</v>
      </c>
      <c r="C3394" t="n">
        <v>7449.83</v>
      </c>
      <c r="D3394" t="n">
        <v>4227.89</v>
      </c>
      <c r="E3394" t="n">
        <v>7997.21</v>
      </c>
      <c r="F3394" t="n">
        <v>12440.4</v>
      </c>
    </row>
    <row r="3395">
      <c r="A3395" s="3" t="n">
        <v>43439</v>
      </c>
      <c r="B3395" t="n">
        <v>14790.03</v>
      </c>
      <c r="C3395" t="n">
        <v>7392.36</v>
      </c>
      <c r="D3395" t="n">
        <v>4122.12</v>
      </c>
      <c r="E3395" t="n">
        <v>7948.31</v>
      </c>
      <c r="F3395" t="n">
        <v>12300.85</v>
      </c>
    </row>
    <row r="3396">
      <c r="A3396" s="3" t="n">
        <v>43440</v>
      </c>
      <c r="B3396" t="n">
        <v>14513.63</v>
      </c>
      <c r="C3396" t="n">
        <v>7231.48</v>
      </c>
      <c r="D3396" t="n">
        <v>4057.24</v>
      </c>
      <c r="E3396" t="n">
        <v>7805.12</v>
      </c>
      <c r="F3396" t="n">
        <v>12071.25</v>
      </c>
    </row>
    <row r="3397">
      <c r="A3397" s="3" t="n">
        <v>43441</v>
      </c>
      <c r="B3397" t="n">
        <v>14622.35</v>
      </c>
      <c r="C3397" t="n">
        <v>7269.06</v>
      </c>
      <c r="D3397" t="n">
        <v>4050.67</v>
      </c>
      <c r="E3397" t="n">
        <v>7888.87</v>
      </c>
      <c r="F3397" t="n">
        <v>12097.35</v>
      </c>
    </row>
    <row r="3398">
      <c r="A3398" s="3" t="n">
        <v>43444</v>
      </c>
      <c r="B3398" t="n">
        <v>14358.75</v>
      </c>
      <c r="C3398" t="n">
        <v>7140.16</v>
      </c>
      <c r="D3398" t="n">
        <v>3981.57</v>
      </c>
      <c r="E3398" t="n">
        <v>7736.37</v>
      </c>
      <c r="F3398" t="n">
        <v>11835.45</v>
      </c>
    </row>
    <row r="3399">
      <c r="A3399" s="3" t="n">
        <v>43445</v>
      </c>
      <c r="B3399" t="n">
        <v>14512.4</v>
      </c>
      <c r="C3399" t="n">
        <v>7226.49</v>
      </c>
      <c r="D3399" t="n">
        <v>4015.36</v>
      </c>
      <c r="E3399" t="n">
        <v>7819.93</v>
      </c>
      <c r="F3399" t="n">
        <v>12028.15</v>
      </c>
    </row>
    <row r="3400">
      <c r="A3400" s="3" t="n">
        <v>43446</v>
      </c>
      <c r="B3400" t="n">
        <v>14808.66</v>
      </c>
      <c r="C3400" t="n">
        <v>7408.8</v>
      </c>
      <c r="D3400" t="n">
        <v>4101.48</v>
      </c>
      <c r="E3400" t="n">
        <v>7982.29</v>
      </c>
      <c r="F3400" t="n">
        <v>12335.95</v>
      </c>
    </row>
    <row r="3401">
      <c r="A3401" s="3" t="n">
        <v>43447</v>
      </c>
      <c r="B3401" t="n">
        <v>14952.77</v>
      </c>
      <c r="C3401" t="n">
        <v>7452.53</v>
      </c>
      <c r="D3401" t="n">
        <v>4117.57</v>
      </c>
      <c r="E3401" t="n">
        <v>8049.68</v>
      </c>
      <c r="F3401" t="n">
        <v>12446.5</v>
      </c>
    </row>
    <row r="3402">
      <c r="A3402" s="3" t="n">
        <v>43448</v>
      </c>
      <c r="B3402" t="n">
        <v>14950.81</v>
      </c>
      <c r="C3402" t="n">
        <v>7475.44</v>
      </c>
      <c r="D3402" t="n">
        <v>4165.49</v>
      </c>
      <c r="E3402" t="n">
        <v>8056.5</v>
      </c>
      <c r="F3402" t="n">
        <v>12449.65</v>
      </c>
    </row>
    <row r="3403">
      <c r="A3403" s="3" t="n">
        <v>43451</v>
      </c>
      <c r="B3403" t="n">
        <v>14940.03</v>
      </c>
      <c r="C3403" t="n">
        <v>7494.65</v>
      </c>
      <c r="D3403" t="n">
        <v>4200.65</v>
      </c>
      <c r="E3403" t="n">
        <v>8089.39</v>
      </c>
      <c r="F3403" t="n">
        <v>12446.95</v>
      </c>
    </row>
    <row r="3404">
      <c r="A3404" s="3" t="n">
        <v>43452</v>
      </c>
      <c r="B3404" t="n">
        <v>14954.92</v>
      </c>
      <c r="C3404" t="n">
        <v>7500.25</v>
      </c>
      <c r="D3404" t="n">
        <v>4254.11</v>
      </c>
      <c r="E3404" t="n">
        <v>8112.04</v>
      </c>
      <c r="F3404" t="n">
        <v>12474.7</v>
      </c>
    </row>
    <row r="3405">
      <c r="A3405" s="3" t="n">
        <v>43453</v>
      </c>
      <c r="B3405" t="n">
        <v>14984.22</v>
      </c>
      <c r="C3405" t="n">
        <v>7578.3</v>
      </c>
      <c r="D3405" t="n">
        <v>4295.14</v>
      </c>
      <c r="E3405" t="n">
        <v>8170.61</v>
      </c>
      <c r="F3405" t="n">
        <v>12508.3</v>
      </c>
    </row>
    <row r="3406">
      <c r="A3406" s="3" t="n">
        <v>43454</v>
      </c>
      <c r="B3406" t="n">
        <v>14941.2</v>
      </c>
      <c r="C3406" t="n">
        <v>7576.36</v>
      </c>
      <c r="D3406" t="n">
        <v>4317.33</v>
      </c>
      <c r="E3406" t="n">
        <v>8152.08</v>
      </c>
      <c r="F3406" t="n">
        <v>12440.35</v>
      </c>
    </row>
    <row r="3407">
      <c r="A3407" s="3" t="n">
        <v>43455</v>
      </c>
      <c r="B3407" t="n">
        <v>14661.54</v>
      </c>
      <c r="C3407" t="n">
        <v>7448.05</v>
      </c>
      <c r="D3407" t="n">
        <v>4289.05</v>
      </c>
      <c r="E3407" t="n">
        <v>8009.58</v>
      </c>
      <c r="F3407" t="n">
        <v>12225.55</v>
      </c>
    </row>
    <row r="3408">
      <c r="A3408" s="3" t="n">
        <v>43458</v>
      </c>
      <c r="B3408" t="n">
        <v>14441.84</v>
      </c>
      <c r="C3408" t="n">
        <v>7372.28</v>
      </c>
      <c r="D3408" t="n">
        <v>4254.4</v>
      </c>
      <c r="E3408" t="n">
        <v>7928.54</v>
      </c>
      <c r="F3408" t="n">
        <v>11992.8</v>
      </c>
    </row>
    <row r="3409">
      <c r="A3409" s="3" t="n">
        <v>43460</v>
      </c>
      <c r="B3409" t="n">
        <v>14418.51</v>
      </c>
      <c r="C3409" t="n">
        <v>7350.71</v>
      </c>
      <c r="D3409" t="n">
        <v>4262.75</v>
      </c>
      <c r="E3409" t="n">
        <v>7947.1</v>
      </c>
      <c r="F3409" t="n">
        <v>11951.5</v>
      </c>
    </row>
    <row r="3410">
      <c r="A3410" s="3" t="n">
        <v>43461</v>
      </c>
      <c r="B3410" t="n">
        <v>14521.26</v>
      </c>
      <c r="C3410" t="n">
        <v>7413.49</v>
      </c>
      <c r="D3410" t="n">
        <v>4273.79</v>
      </c>
      <c r="E3410" t="n">
        <v>7998.82</v>
      </c>
      <c r="F3410" t="n">
        <v>12051.8</v>
      </c>
    </row>
    <row r="3411">
      <c r="A3411" s="3" t="n">
        <v>43462</v>
      </c>
      <c r="B3411" t="n">
        <v>14639.88</v>
      </c>
      <c r="C3411" t="n">
        <v>7445.3</v>
      </c>
      <c r="D3411" t="n">
        <v>4337.44</v>
      </c>
      <c r="E3411" t="n">
        <v>8032.36</v>
      </c>
      <c r="F3411" t="n">
        <v>12141.25</v>
      </c>
    </row>
    <row r="3412">
      <c r="A3412" s="3" t="n">
        <v>43465</v>
      </c>
      <c r="B3412" t="n">
        <v>14671.71</v>
      </c>
      <c r="C3412" t="n">
        <v>7461.32</v>
      </c>
      <c r="D3412" t="n">
        <v>4358.52</v>
      </c>
      <c r="E3412" t="n">
        <v>8042.42</v>
      </c>
      <c r="F3412" t="n">
        <v>12191.25</v>
      </c>
    </row>
    <row r="3413">
      <c r="A3413" s="3" t="n">
        <v>43466</v>
      </c>
      <c r="B3413" t="n">
        <v>14664.4</v>
      </c>
      <c r="C3413" t="n">
        <v>7458.44</v>
      </c>
      <c r="D3413" t="n">
        <v>4367.24</v>
      </c>
      <c r="E3413" t="n">
        <v>8043.56</v>
      </c>
      <c r="F3413" t="n">
        <v>12184.85</v>
      </c>
    </row>
    <row r="3414">
      <c r="A3414" s="3" t="n">
        <v>43467</v>
      </c>
      <c r="B3414" t="n">
        <v>14577.46</v>
      </c>
      <c r="C3414" t="n">
        <v>7390.89</v>
      </c>
      <c r="D3414" t="n">
        <v>4283.16</v>
      </c>
      <c r="E3414" t="n">
        <v>7970.86</v>
      </c>
      <c r="F3414" t="n">
        <v>12108.15</v>
      </c>
    </row>
    <row r="3415">
      <c r="A3415" s="3" t="n">
        <v>43468</v>
      </c>
      <c r="B3415" t="n">
        <v>14468.16</v>
      </c>
      <c r="C3415" t="n">
        <v>7333.04</v>
      </c>
      <c r="D3415" t="n">
        <v>4223.38</v>
      </c>
      <c r="E3415" t="n">
        <v>7911.73</v>
      </c>
      <c r="F3415" t="n">
        <v>11993.65</v>
      </c>
    </row>
    <row r="3416">
      <c r="A3416" s="3" t="n">
        <v>43469</v>
      </c>
      <c r="B3416" t="n">
        <v>14449.57</v>
      </c>
      <c r="C3416" t="n">
        <v>7319.59</v>
      </c>
      <c r="D3416" t="n">
        <v>4277.9</v>
      </c>
      <c r="E3416" t="n">
        <v>7924.97</v>
      </c>
      <c r="F3416" t="n">
        <v>11945.25</v>
      </c>
    </row>
    <row r="3417">
      <c r="A3417" s="3" t="n">
        <v>43472</v>
      </c>
      <c r="B3417" t="n">
        <v>14530.81</v>
      </c>
      <c r="C3417" t="n">
        <v>7318.89</v>
      </c>
      <c r="D3417" t="n">
        <v>4279.87</v>
      </c>
      <c r="E3417" t="n">
        <v>7958.92</v>
      </c>
      <c r="F3417" t="n">
        <v>11982.1</v>
      </c>
    </row>
    <row r="3418">
      <c r="A3418" s="3" t="n">
        <v>43473</v>
      </c>
      <c r="B3418" t="n">
        <v>14566.12</v>
      </c>
      <c r="C3418" t="n">
        <v>7339.13</v>
      </c>
      <c r="D3418" t="n">
        <v>4305.01</v>
      </c>
      <c r="E3418" t="n">
        <v>7940.52</v>
      </c>
      <c r="F3418" t="n">
        <v>11948.9</v>
      </c>
    </row>
    <row r="3419">
      <c r="A3419" s="3" t="n">
        <v>43474</v>
      </c>
      <c r="B3419" t="n">
        <v>14655.81</v>
      </c>
      <c r="C3419" t="n">
        <v>7338.47</v>
      </c>
      <c r="D3419" t="n">
        <v>4257.21</v>
      </c>
      <c r="E3419" t="n">
        <v>7976.08</v>
      </c>
      <c r="F3419" t="n">
        <v>11995.55</v>
      </c>
    </row>
    <row r="3420">
      <c r="A3420" s="3" t="n">
        <v>43475</v>
      </c>
      <c r="B3420" t="n">
        <v>14682.98</v>
      </c>
      <c r="C3420" t="n">
        <v>7355.01</v>
      </c>
      <c r="D3420" t="n">
        <v>4251.64</v>
      </c>
      <c r="E3420" t="n">
        <v>7967.27</v>
      </c>
      <c r="F3420" t="n">
        <v>12015.3</v>
      </c>
    </row>
    <row r="3421">
      <c r="A3421" s="3" t="n">
        <v>43476</v>
      </c>
      <c r="B3421" t="n">
        <v>14653.12</v>
      </c>
      <c r="C3421" t="n">
        <v>7353.12</v>
      </c>
      <c r="D3421" t="n">
        <v>4247.1</v>
      </c>
      <c r="E3421" t="n">
        <v>7942.97</v>
      </c>
      <c r="F3421" t="n">
        <v>12020.1</v>
      </c>
    </row>
    <row r="3422">
      <c r="A3422" s="3" t="n">
        <v>43479</v>
      </c>
      <c r="B3422" t="n">
        <v>14581.9</v>
      </c>
      <c r="C3422" t="n">
        <v>7358.42</v>
      </c>
      <c r="D3422" t="n">
        <v>4237.15</v>
      </c>
      <c r="E3422" t="n">
        <v>7901.35</v>
      </c>
      <c r="F3422" t="n">
        <v>11983.35</v>
      </c>
    </row>
    <row r="3423">
      <c r="A3423" s="3" t="n">
        <v>43480</v>
      </c>
      <c r="B3423" t="n">
        <v>14799.08</v>
      </c>
      <c r="C3423" t="n">
        <v>7469.22</v>
      </c>
      <c r="D3423" t="n">
        <v>4296.1</v>
      </c>
      <c r="E3423" t="n">
        <v>7994.43</v>
      </c>
      <c r="F3423" t="n">
        <v>12074.35</v>
      </c>
    </row>
    <row r="3424">
      <c r="A3424" s="3" t="n">
        <v>43481</v>
      </c>
      <c r="B3424" t="n">
        <v>14821.74</v>
      </c>
      <c r="C3424" t="n">
        <v>7460.3</v>
      </c>
      <c r="D3424" t="n">
        <v>4306.66</v>
      </c>
      <c r="E3424" t="n">
        <v>7988.82</v>
      </c>
      <c r="F3424" t="n">
        <v>12118.8</v>
      </c>
    </row>
    <row r="3425">
      <c r="A3425" s="3" t="n">
        <v>43482</v>
      </c>
      <c r="B3425" t="n">
        <v>14824.04</v>
      </c>
      <c r="C3425" t="n">
        <v>7453.97</v>
      </c>
      <c r="D3425" t="n">
        <v>4309.22</v>
      </c>
      <c r="E3425" t="n">
        <v>8003.92</v>
      </c>
      <c r="F3425" t="n">
        <v>12103.35</v>
      </c>
    </row>
    <row r="3426">
      <c r="A3426" s="3" t="n">
        <v>43483</v>
      </c>
      <c r="B3426" t="n">
        <v>14817.96</v>
      </c>
      <c r="C3426" t="n">
        <v>7422.98</v>
      </c>
      <c r="D3426" t="n">
        <v>4276.01</v>
      </c>
      <c r="E3426" t="n">
        <v>8015.09</v>
      </c>
      <c r="F3426" t="n">
        <v>12048.15</v>
      </c>
    </row>
    <row r="3427">
      <c r="A3427" s="3" t="n">
        <v>43486</v>
      </c>
      <c r="B3427" t="n">
        <v>14847.66</v>
      </c>
      <c r="C3427" t="n">
        <v>7405.18</v>
      </c>
      <c r="D3427" t="n">
        <v>4217.34</v>
      </c>
      <c r="E3427" t="n">
        <v>8036.45</v>
      </c>
      <c r="F3427" t="n">
        <v>12024.9</v>
      </c>
    </row>
    <row r="3428">
      <c r="A3428" s="3" t="n">
        <v>43487</v>
      </c>
      <c r="B3428" t="n">
        <v>14899.14</v>
      </c>
      <c r="C3428" t="n">
        <v>7387.42</v>
      </c>
      <c r="D3428" t="n">
        <v>4176.32</v>
      </c>
      <c r="E3428" t="n">
        <v>8012.61</v>
      </c>
      <c r="F3428" t="n">
        <v>12056.65</v>
      </c>
    </row>
    <row r="3429">
      <c r="A3429" s="3" t="n">
        <v>43488</v>
      </c>
      <c r="B3429" t="n">
        <v>14906.09</v>
      </c>
      <c r="C3429" t="n">
        <v>7366.29</v>
      </c>
      <c r="D3429" t="n">
        <v>4177.85</v>
      </c>
      <c r="E3429" t="n">
        <v>7954.57</v>
      </c>
      <c r="F3429" t="n">
        <v>12056.25</v>
      </c>
    </row>
    <row r="3430">
      <c r="A3430" s="3" t="n">
        <v>43489</v>
      </c>
      <c r="B3430" t="n">
        <v>14933.38</v>
      </c>
      <c r="C3430" t="n">
        <v>7380.12</v>
      </c>
      <c r="D3430" t="n">
        <v>4165.98</v>
      </c>
      <c r="E3430" t="n">
        <v>7955.47</v>
      </c>
      <c r="F3430" t="n">
        <v>11984.7</v>
      </c>
    </row>
    <row r="3431">
      <c r="A3431" s="3" t="n">
        <v>43490</v>
      </c>
      <c r="B3431" t="n">
        <v>14880.63</v>
      </c>
      <c r="C3431" t="n">
        <v>7316.46</v>
      </c>
      <c r="D3431" t="n">
        <v>4124.38</v>
      </c>
      <c r="E3431" t="n">
        <v>7888.19</v>
      </c>
      <c r="F3431" t="n">
        <v>11822.8</v>
      </c>
    </row>
    <row r="3432">
      <c r="A3432" s="3" t="n">
        <v>43493</v>
      </c>
      <c r="B3432" t="n">
        <v>14675.89</v>
      </c>
      <c r="C3432" t="n">
        <v>7200.64</v>
      </c>
      <c r="D3432" t="n">
        <v>4061.12</v>
      </c>
      <c r="E3432" t="n">
        <v>7831.62</v>
      </c>
      <c r="F3432" t="n">
        <v>11542.15</v>
      </c>
    </row>
    <row r="3433">
      <c r="A3433" s="3" t="n">
        <v>43494</v>
      </c>
      <c r="B3433" t="n">
        <v>14766.53</v>
      </c>
      <c r="C3433" t="n">
        <v>7192.92</v>
      </c>
      <c r="D3433" t="n">
        <v>4068.58</v>
      </c>
      <c r="E3433" t="n">
        <v>7831.76</v>
      </c>
      <c r="F3433" t="n">
        <v>11527.75</v>
      </c>
    </row>
    <row r="3434">
      <c r="A3434" s="3" t="n">
        <v>43495</v>
      </c>
      <c r="B3434" t="n">
        <v>14916.21</v>
      </c>
      <c r="C3434" t="n">
        <v>7205.17</v>
      </c>
      <c r="D3434" t="n">
        <v>4095.89</v>
      </c>
      <c r="E3434" t="n">
        <v>7825.5</v>
      </c>
      <c r="F3434" t="n">
        <v>11611.6</v>
      </c>
    </row>
    <row r="3435">
      <c r="A3435" s="3" t="n">
        <v>43496</v>
      </c>
      <c r="B3435" t="n">
        <v>15110.36</v>
      </c>
      <c r="C3435" t="n">
        <v>7269.75</v>
      </c>
      <c r="D3435" t="n">
        <v>4129.44</v>
      </c>
      <c r="E3435" t="n">
        <v>7933.76</v>
      </c>
      <c r="F3435" t="n">
        <v>11781.55</v>
      </c>
    </row>
    <row r="3436">
      <c r="A3436" s="3" t="n">
        <v>43497</v>
      </c>
      <c r="B3436" t="n">
        <v>15314.05</v>
      </c>
      <c r="C3436" t="n">
        <v>7377.97</v>
      </c>
      <c r="D3436" t="n">
        <v>4075.48</v>
      </c>
      <c r="E3436" t="n">
        <v>8038.35</v>
      </c>
      <c r="F3436" t="n">
        <v>11969.35</v>
      </c>
    </row>
    <row r="3437">
      <c r="A3437" s="3" t="n">
        <v>43500</v>
      </c>
      <c r="B3437" t="n">
        <v>15302.61</v>
      </c>
      <c r="C3437" t="n">
        <v>7330.57</v>
      </c>
      <c r="D3437" t="n">
        <v>3990.8</v>
      </c>
      <c r="E3437" t="n">
        <v>8023.39</v>
      </c>
      <c r="F3437" t="n">
        <v>11916</v>
      </c>
    </row>
    <row r="3438">
      <c r="A3438" s="3" t="n">
        <v>43501</v>
      </c>
      <c r="B3438" t="n">
        <v>15285.26</v>
      </c>
      <c r="C3438" t="n">
        <v>7316.5</v>
      </c>
      <c r="D3438" t="n">
        <v>3921.91</v>
      </c>
      <c r="E3438" t="n">
        <v>8029.71</v>
      </c>
      <c r="F3438" t="n">
        <v>11911.65</v>
      </c>
    </row>
    <row r="3439">
      <c r="A3439" s="3" t="n">
        <v>43502</v>
      </c>
      <c r="B3439" t="n">
        <v>15486.38</v>
      </c>
      <c r="C3439" t="n">
        <v>7407.67</v>
      </c>
      <c r="D3439" t="n">
        <v>3973.68</v>
      </c>
      <c r="E3439" t="n">
        <v>8079.9</v>
      </c>
      <c r="F3439" t="n">
        <v>12047.85</v>
      </c>
    </row>
    <row r="3440">
      <c r="A3440" s="3" t="n">
        <v>43503</v>
      </c>
      <c r="B3440" t="n">
        <v>15529.73</v>
      </c>
      <c r="C3440" t="n">
        <v>7467.98</v>
      </c>
      <c r="D3440" t="n">
        <v>4002.2</v>
      </c>
      <c r="E3440" t="n">
        <v>8092.58</v>
      </c>
      <c r="F3440" t="n">
        <v>12073.85</v>
      </c>
    </row>
    <row r="3441">
      <c r="A3441" s="3" t="n">
        <v>43504</v>
      </c>
      <c r="B3441" t="n">
        <v>15405.97</v>
      </c>
      <c r="C3441" t="n">
        <v>7360.74</v>
      </c>
      <c r="D3441" t="n">
        <v>3873.8</v>
      </c>
      <c r="E3441" t="n">
        <v>8005.74</v>
      </c>
      <c r="F3441" t="n">
        <v>11955.65</v>
      </c>
    </row>
    <row r="3442">
      <c r="A3442" s="3" t="n">
        <v>43507</v>
      </c>
      <c r="B3442" t="n">
        <v>15222.37</v>
      </c>
      <c r="C3442" t="n">
        <v>7325.6</v>
      </c>
      <c r="D3442" t="n">
        <v>3837.23</v>
      </c>
      <c r="E3442" t="n">
        <v>7967.52</v>
      </c>
      <c r="F3442" t="n">
        <v>11739.7</v>
      </c>
    </row>
    <row r="3443">
      <c r="A3443" s="3" t="n">
        <v>43508</v>
      </c>
      <c r="B3443" t="n">
        <v>15125.4</v>
      </c>
      <c r="C3443" t="n">
        <v>7295.49</v>
      </c>
      <c r="D3443" t="n">
        <v>3848.69</v>
      </c>
      <c r="E3443" t="n">
        <v>7928.15</v>
      </c>
      <c r="F3443" t="n">
        <v>11706.15</v>
      </c>
    </row>
    <row r="3444">
      <c r="A3444" s="3" t="n">
        <v>43509</v>
      </c>
      <c r="B3444" t="n">
        <v>15074.13</v>
      </c>
      <c r="C3444" t="n">
        <v>7245.98</v>
      </c>
      <c r="D3444" t="n">
        <v>3803.02</v>
      </c>
      <c r="E3444" t="n">
        <v>7890.85</v>
      </c>
      <c r="F3444" t="n">
        <v>11663.9</v>
      </c>
    </row>
    <row r="3445">
      <c r="A3445" s="3" t="n">
        <v>43510</v>
      </c>
      <c r="B3445" t="n">
        <v>15040.3</v>
      </c>
      <c r="C3445" t="n">
        <v>7280.26</v>
      </c>
      <c r="D3445" t="n">
        <v>3800.74</v>
      </c>
      <c r="E3445" t="n">
        <v>7840.38</v>
      </c>
      <c r="F3445" t="n">
        <v>11692.6</v>
      </c>
    </row>
    <row r="3446">
      <c r="A3446" s="3" t="n">
        <v>43511</v>
      </c>
      <c r="B3446" t="n">
        <v>14874.94</v>
      </c>
      <c r="C3446" t="n">
        <v>7193.32</v>
      </c>
      <c r="D3446" t="n">
        <v>3793.21</v>
      </c>
      <c r="E3446" t="n">
        <v>7833.38</v>
      </c>
      <c r="F3446" t="n">
        <v>11558.45</v>
      </c>
    </row>
    <row r="3447">
      <c r="A3447" s="3" t="n">
        <v>43514</v>
      </c>
      <c r="B3447" t="n">
        <v>14775.09</v>
      </c>
      <c r="C3447" t="n">
        <v>7122.32</v>
      </c>
      <c r="D3447" t="n">
        <v>3769.98</v>
      </c>
      <c r="E3447" t="n">
        <v>7776.25</v>
      </c>
      <c r="F3447" t="n">
        <v>11426.15</v>
      </c>
    </row>
    <row r="3448">
      <c r="A3448" s="3" t="n">
        <v>43515</v>
      </c>
      <c r="B3448" t="n">
        <v>14650.19</v>
      </c>
      <c r="C3448" t="n">
        <v>7078.95</v>
      </c>
      <c r="D3448" t="n">
        <v>3813.83</v>
      </c>
      <c r="E3448" t="n">
        <v>7724.11</v>
      </c>
      <c r="F3448" t="n">
        <v>11379.6</v>
      </c>
    </row>
    <row r="3449">
      <c r="A3449" s="3" t="n">
        <v>43516</v>
      </c>
      <c r="B3449" t="n">
        <v>14802.2</v>
      </c>
      <c r="C3449" t="n">
        <v>7161.26</v>
      </c>
      <c r="D3449" t="n">
        <v>3891.65</v>
      </c>
      <c r="E3449" t="n">
        <v>7796.5</v>
      </c>
      <c r="F3449" t="n">
        <v>11499.4</v>
      </c>
    </row>
    <row r="3450">
      <c r="A3450" s="3" t="n">
        <v>43517</v>
      </c>
      <c r="B3450" t="n">
        <v>14901.09</v>
      </c>
      <c r="C3450" t="n">
        <v>7207.02</v>
      </c>
      <c r="D3450" t="n">
        <v>3932.83</v>
      </c>
      <c r="E3450" t="n">
        <v>7814.77</v>
      </c>
      <c r="F3450" t="n">
        <v>11568.75</v>
      </c>
    </row>
    <row r="3451">
      <c r="A3451" s="3" t="n">
        <v>43518</v>
      </c>
      <c r="B3451" t="n">
        <v>14956.72</v>
      </c>
      <c r="C3451" t="n">
        <v>7248.26</v>
      </c>
      <c r="D3451" t="n">
        <v>4001.68</v>
      </c>
      <c r="E3451" t="n">
        <v>7820.16</v>
      </c>
      <c r="F3451" t="n">
        <v>11586.7</v>
      </c>
    </row>
    <row r="3452">
      <c r="A3452" s="3" t="n">
        <v>43521</v>
      </c>
      <c r="B3452" t="n">
        <v>15086.54</v>
      </c>
      <c r="C3452" t="n">
        <v>7306.88</v>
      </c>
      <c r="D3452" t="n">
        <v>3997.63</v>
      </c>
      <c r="E3452" t="n">
        <v>7886.23</v>
      </c>
      <c r="F3452" t="n">
        <v>11658.05</v>
      </c>
    </row>
    <row r="3453">
      <c r="A3453" s="3" t="n">
        <v>43522</v>
      </c>
      <c r="B3453" t="n">
        <v>15078.26</v>
      </c>
      <c r="C3453" t="n">
        <v>7302.72</v>
      </c>
      <c r="D3453" t="n">
        <v>4004.55</v>
      </c>
      <c r="E3453" t="n">
        <v>7867.06</v>
      </c>
      <c r="F3453" t="n">
        <v>11624.9</v>
      </c>
    </row>
    <row r="3454">
      <c r="A3454" s="3" t="n">
        <v>43523</v>
      </c>
      <c r="B3454" t="n">
        <v>15053.58</v>
      </c>
      <c r="C3454" t="n">
        <v>7301.4</v>
      </c>
      <c r="D3454" t="n">
        <v>3995.01</v>
      </c>
      <c r="E3454" t="n">
        <v>7857.34</v>
      </c>
      <c r="F3454" t="n">
        <v>11611.3</v>
      </c>
    </row>
    <row r="3455">
      <c r="A3455" s="3" t="n">
        <v>43524</v>
      </c>
      <c r="B3455" t="n">
        <v>15041.27</v>
      </c>
      <c r="C3455" t="n">
        <v>7310.56</v>
      </c>
      <c r="D3455" t="n">
        <v>4036.59</v>
      </c>
      <c r="E3455" t="n">
        <v>7845.51</v>
      </c>
      <c r="F3455" t="n">
        <v>11655.2</v>
      </c>
    </row>
    <row r="3456">
      <c r="A3456" s="3" t="n">
        <v>43525</v>
      </c>
      <c r="B3456" t="n">
        <v>15120.11</v>
      </c>
      <c r="C3456" t="n">
        <v>7367.91</v>
      </c>
      <c r="D3456" t="n">
        <v>4129.26</v>
      </c>
      <c r="E3456" t="n">
        <v>7896.68</v>
      </c>
      <c r="F3456" t="n">
        <v>11754.6</v>
      </c>
    </row>
    <row r="3457">
      <c r="A3457" s="3" t="n">
        <v>43529</v>
      </c>
      <c r="B3457" t="n">
        <v>15170.78</v>
      </c>
      <c r="C3457" t="n">
        <v>7481.45</v>
      </c>
      <c r="D3457" t="n">
        <v>4299.98</v>
      </c>
      <c r="E3457" t="n">
        <v>7946.7</v>
      </c>
      <c r="F3457" t="n">
        <v>11856.5</v>
      </c>
    </row>
    <row r="3458">
      <c r="A3458" s="3" t="n">
        <v>43530</v>
      </c>
      <c r="B3458" t="n">
        <v>15247.53</v>
      </c>
      <c r="C3458" t="n">
        <v>7500.04</v>
      </c>
      <c r="D3458" t="n">
        <v>4322.47</v>
      </c>
      <c r="E3458" t="n">
        <v>7978.2</v>
      </c>
      <c r="F3458" t="n">
        <v>11880.2</v>
      </c>
    </row>
    <row r="3459">
      <c r="A3459" s="3" t="n">
        <v>43531</v>
      </c>
      <c r="B3459" t="n">
        <v>15169.85</v>
      </c>
      <c r="C3459" t="n">
        <v>7474.64</v>
      </c>
      <c r="D3459" t="n">
        <v>4301.02</v>
      </c>
      <c r="E3459" t="n">
        <v>7970.71</v>
      </c>
      <c r="F3459" t="n">
        <v>11835.35</v>
      </c>
    </row>
    <row r="3460">
      <c r="A3460" s="3" t="n">
        <v>43532</v>
      </c>
      <c r="B3460" t="n">
        <v>15110.28</v>
      </c>
      <c r="C3460" t="n">
        <v>7465.22</v>
      </c>
      <c r="D3460" t="n">
        <v>4259.05</v>
      </c>
      <c r="E3460" t="n">
        <v>7959.5</v>
      </c>
      <c r="F3460" t="n">
        <v>11820.1</v>
      </c>
    </row>
    <row r="3461">
      <c r="A3461" s="3" t="n">
        <v>43535</v>
      </c>
      <c r="B3461" t="n">
        <v>15266.63</v>
      </c>
      <c r="C3461" t="n">
        <v>7589.28</v>
      </c>
      <c r="D3461" t="n">
        <v>4372.79</v>
      </c>
      <c r="E3461" t="n">
        <v>8048.4</v>
      </c>
      <c r="F3461" t="n">
        <v>11961.15</v>
      </c>
    </row>
    <row r="3462">
      <c r="A3462" s="3" t="n">
        <v>43536</v>
      </c>
      <c r="B3462" t="n">
        <v>15396.11</v>
      </c>
      <c r="C3462" t="n">
        <v>7610.36</v>
      </c>
      <c r="D3462" t="n">
        <v>4388.79</v>
      </c>
      <c r="E3462" t="n">
        <v>8119.04</v>
      </c>
      <c r="F3462" t="n">
        <v>12031.8</v>
      </c>
    </row>
    <row r="3463">
      <c r="A3463" s="3" t="n">
        <v>43537</v>
      </c>
      <c r="B3463" t="n">
        <v>15364.99</v>
      </c>
      <c r="C3463" t="n">
        <v>7607.45</v>
      </c>
      <c r="D3463" t="n">
        <v>4363</v>
      </c>
      <c r="E3463" t="n">
        <v>8123.98</v>
      </c>
      <c r="F3463" t="n">
        <v>11975.4</v>
      </c>
    </row>
    <row r="3464">
      <c r="A3464" s="3" t="n">
        <v>43538</v>
      </c>
      <c r="B3464" t="n">
        <v>15318.24</v>
      </c>
      <c r="C3464" t="n">
        <v>7596.64</v>
      </c>
      <c r="D3464" t="n">
        <v>4384.82</v>
      </c>
      <c r="E3464" t="n">
        <v>8130.39</v>
      </c>
      <c r="F3464" t="n">
        <v>11943.4</v>
      </c>
    </row>
    <row r="3465">
      <c r="A3465" s="3" t="n">
        <v>43539</v>
      </c>
      <c r="B3465" t="n">
        <v>15379.72</v>
      </c>
      <c r="C3465" t="n">
        <v>7585.81</v>
      </c>
      <c r="D3465" t="n">
        <v>4438.88</v>
      </c>
      <c r="E3465" t="n">
        <v>8174.39</v>
      </c>
      <c r="F3465" t="n">
        <v>11968.55</v>
      </c>
    </row>
    <row r="3466">
      <c r="A3466" s="3" t="n">
        <v>43542</v>
      </c>
      <c r="B3466" t="n">
        <v>15391.36</v>
      </c>
      <c r="C3466" t="n">
        <v>7580.34</v>
      </c>
      <c r="D3466" t="n">
        <v>4476.03</v>
      </c>
      <c r="E3466" t="n">
        <v>8179.08</v>
      </c>
      <c r="F3466" t="n">
        <v>11950.2</v>
      </c>
    </row>
    <row r="3467">
      <c r="A3467" s="3" t="n">
        <v>43543</v>
      </c>
      <c r="B3467" t="n">
        <v>15496.23</v>
      </c>
      <c r="C3467" t="n">
        <v>7596.72</v>
      </c>
      <c r="D3467" t="n">
        <v>4533.24</v>
      </c>
      <c r="E3467" t="n">
        <v>8214.26</v>
      </c>
      <c r="F3467" t="n">
        <v>12002</v>
      </c>
    </row>
    <row r="3468">
      <c r="A3468" s="3" t="n">
        <v>43544</v>
      </c>
      <c r="B3468" t="n">
        <v>15483.85</v>
      </c>
      <c r="C3468" t="n">
        <v>7588</v>
      </c>
      <c r="D3468" t="n">
        <v>4466.33</v>
      </c>
      <c r="E3468" t="n">
        <v>8200.690000000001</v>
      </c>
      <c r="F3468" t="n">
        <v>12012.95</v>
      </c>
    </row>
    <row r="3469">
      <c r="A3469" s="3" t="n">
        <v>43546</v>
      </c>
      <c r="B3469" t="n">
        <v>15423.42</v>
      </c>
      <c r="C3469" t="n">
        <v>7565.48</v>
      </c>
      <c r="D3469" t="n">
        <v>4404.45</v>
      </c>
      <c r="E3469" t="n">
        <v>8181.26</v>
      </c>
      <c r="F3469" t="n">
        <v>11954.6</v>
      </c>
    </row>
    <row r="3470">
      <c r="A3470" s="3" t="n">
        <v>43549</v>
      </c>
      <c r="B3470" t="n">
        <v>15323.96</v>
      </c>
      <c r="C3470" t="n">
        <v>7511.63</v>
      </c>
      <c r="D3470" t="n">
        <v>4431.36</v>
      </c>
      <c r="E3470" t="n">
        <v>8120.26</v>
      </c>
      <c r="F3470" t="n">
        <v>11834.1</v>
      </c>
    </row>
    <row r="3471">
      <c r="A3471" s="3" t="n">
        <v>43550</v>
      </c>
      <c r="B3471" t="n">
        <v>15466.95</v>
      </c>
      <c r="C3471" t="n">
        <v>7574</v>
      </c>
      <c r="D3471" t="n">
        <v>4471.26</v>
      </c>
      <c r="E3471" t="n">
        <v>8200.15</v>
      </c>
      <c r="F3471" t="n">
        <v>11932.85</v>
      </c>
    </row>
    <row r="3472">
      <c r="A3472" s="3" t="n">
        <v>43551</v>
      </c>
      <c r="B3472" t="n">
        <v>15421.18</v>
      </c>
      <c r="C3472" t="n">
        <v>7592.76</v>
      </c>
      <c r="D3472" t="n">
        <v>4456.55</v>
      </c>
      <c r="E3472" t="n">
        <v>8177.56</v>
      </c>
      <c r="F3472" t="n">
        <v>11917.2</v>
      </c>
    </row>
    <row r="3473">
      <c r="A3473" s="3" t="n">
        <v>43552</v>
      </c>
      <c r="B3473" t="n">
        <v>15569.35</v>
      </c>
      <c r="C3473" t="n">
        <v>7675.07</v>
      </c>
      <c r="D3473" t="n">
        <v>4480.33</v>
      </c>
      <c r="E3473" t="n">
        <v>8229.620000000001</v>
      </c>
      <c r="F3473" t="n">
        <v>12105.65</v>
      </c>
    </row>
    <row r="3474">
      <c r="A3474" s="3" t="n">
        <v>43553</v>
      </c>
      <c r="B3474" t="n">
        <v>15697.72</v>
      </c>
      <c r="C3474" t="n">
        <v>7712.62</v>
      </c>
      <c r="D3474" t="n">
        <v>4561.25</v>
      </c>
      <c r="E3474" t="n">
        <v>8259.530000000001</v>
      </c>
      <c r="F3474" t="n">
        <v>12187.9</v>
      </c>
    </row>
    <row r="3475">
      <c r="A3475" s="3" t="n">
        <v>43556</v>
      </c>
      <c r="B3475" t="n">
        <v>15792.73</v>
      </c>
      <c r="C3475" t="n">
        <v>7728.16</v>
      </c>
      <c r="D3475" t="n">
        <v>4590.9</v>
      </c>
      <c r="E3475" t="n">
        <v>8285.27</v>
      </c>
      <c r="F3475" t="n">
        <v>12210.65</v>
      </c>
    </row>
    <row r="3476">
      <c r="A3476" s="3" t="n">
        <v>43557</v>
      </c>
      <c r="B3476" t="n">
        <v>15792.53</v>
      </c>
      <c r="C3476" t="n">
        <v>7739.01</v>
      </c>
      <c r="D3476" t="n">
        <v>4600.69</v>
      </c>
      <c r="E3476" t="n">
        <v>8309.76</v>
      </c>
      <c r="F3476" t="n">
        <v>12220.65</v>
      </c>
    </row>
    <row r="3477">
      <c r="A3477" s="3" t="n">
        <v>43558</v>
      </c>
      <c r="B3477" t="n">
        <v>15720.74</v>
      </c>
      <c r="C3477" t="n">
        <v>7717.01</v>
      </c>
      <c r="D3477" t="n">
        <v>4532.54</v>
      </c>
      <c r="E3477" t="n">
        <v>8290.629999999999</v>
      </c>
      <c r="F3477" t="n">
        <v>12169.15</v>
      </c>
    </row>
    <row r="3478">
      <c r="A3478" s="3" t="n">
        <v>43559</v>
      </c>
      <c r="B3478" t="n">
        <v>15659.59</v>
      </c>
      <c r="C3478" t="n">
        <v>7705.5</v>
      </c>
      <c r="D3478" t="n">
        <v>4512.28</v>
      </c>
      <c r="E3478" t="n">
        <v>8265.610000000001</v>
      </c>
      <c r="F3478" t="n">
        <v>12135.55</v>
      </c>
    </row>
    <row r="3479">
      <c r="A3479" s="3" t="n">
        <v>43560</v>
      </c>
      <c r="B3479" t="n">
        <v>15702.85</v>
      </c>
      <c r="C3479" t="n">
        <v>7738.64</v>
      </c>
      <c r="D3479" t="n">
        <v>4573.48</v>
      </c>
      <c r="E3479" t="n">
        <v>8301.959999999999</v>
      </c>
      <c r="F3479" t="n">
        <v>12213.05</v>
      </c>
    </row>
    <row r="3480">
      <c r="A3480" s="3" t="n">
        <v>43563</v>
      </c>
      <c r="B3480" t="n">
        <v>15663.04</v>
      </c>
      <c r="C3480" t="n">
        <v>7702.82</v>
      </c>
      <c r="D3480" t="n">
        <v>4517.27</v>
      </c>
      <c r="E3480" t="n">
        <v>8291.68</v>
      </c>
      <c r="F3480" t="n">
        <v>12131.95</v>
      </c>
    </row>
    <row r="3481">
      <c r="A3481" s="3" t="n">
        <v>43564</v>
      </c>
      <c r="B3481" t="n">
        <v>15788.95</v>
      </c>
      <c r="C3481" t="n">
        <v>7717.51</v>
      </c>
      <c r="D3481" t="n">
        <v>4574.82</v>
      </c>
      <c r="E3481" t="n">
        <v>8318.889999999999</v>
      </c>
      <c r="F3481" t="n">
        <v>12173.5</v>
      </c>
    </row>
    <row r="3482">
      <c r="A3482" s="3" t="n">
        <v>43565</v>
      </c>
      <c r="B3482" t="n">
        <v>15780.36</v>
      </c>
      <c r="C3482" t="n">
        <v>7673.44</v>
      </c>
      <c r="D3482" t="n">
        <v>4573.89</v>
      </c>
      <c r="E3482" t="n">
        <v>8276.700000000001</v>
      </c>
      <c r="F3482" t="n">
        <v>12159.65</v>
      </c>
    </row>
    <row r="3483">
      <c r="A3483" s="3" t="n">
        <v>43566</v>
      </c>
      <c r="B3483" t="n">
        <v>15738.36</v>
      </c>
      <c r="C3483" t="n">
        <v>7696.26</v>
      </c>
      <c r="D3483" t="n">
        <v>4585.29</v>
      </c>
      <c r="E3483" t="n">
        <v>8285.98</v>
      </c>
      <c r="F3483" t="n">
        <v>12172.2</v>
      </c>
    </row>
    <row r="3484">
      <c r="A3484" s="3" t="n">
        <v>43567</v>
      </c>
      <c r="B3484" t="n">
        <v>15776.55</v>
      </c>
      <c r="C3484" t="n">
        <v>7727.92</v>
      </c>
      <c r="D3484" t="n">
        <v>4597.13</v>
      </c>
      <c r="E3484" t="n">
        <v>8324.57</v>
      </c>
      <c r="F3484" t="n">
        <v>12228.7</v>
      </c>
    </row>
    <row r="3485">
      <c r="A3485" s="3" t="n">
        <v>43570</v>
      </c>
      <c r="B3485" t="n">
        <v>15844.22</v>
      </c>
      <c r="C3485" t="n">
        <v>7777.23</v>
      </c>
      <c r="D3485" t="n">
        <v>4633.92</v>
      </c>
      <c r="E3485" t="n">
        <v>8372.6</v>
      </c>
      <c r="F3485" t="n">
        <v>12268</v>
      </c>
    </row>
    <row r="3486">
      <c r="A3486" s="3" t="n">
        <v>43571</v>
      </c>
      <c r="B3486" t="n">
        <v>15892.11</v>
      </c>
      <c r="C3486" t="n">
        <v>7807.11</v>
      </c>
      <c r="D3486" t="n">
        <v>4644.54</v>
      </c>
      <c r="E3486" t="n">
        <v>8422.889999999999</v>
      </c>
      <c r="F3486" t="n">
        <v>12306</v>
      </c>
    </row>
    <row r="3487">
      <c r="A3487" s="3" t="n">
        <v>43573</v>
      </c>
      <c r="B3487" t="n">
        <v>15875.4</v>
      </c>
      <c r="C3487" t="n">
        <v>7753.13</v>
      </c>
      <c r="D3487" t="n">
        <v>4602.18</v>
      </c>
      <c r="E3487" t="n">
        <v>8392.219999999999</v>
      </c>
      <c r="F3487" t="n">
        <v>12276.1</v>
      </c>
    </row>
    <row r="3488">
      <c r="A3488" s="3" t="n">
        <v>43577</v>
      </c>
      <c r="B3488" t="n">
        <v>15767.27</v>
      </c>
      <c r="C3488" t="n">
        <v>7640.69</v>
      </c>
      <c r="D3488" t="n">
        <v>4486.93</v>
      </c>
      <c r="E3488" t="n">
        <v>8326.17</v>
      </c>
      <c r="F3488" t="n">
        <v>12143.9</v>
      </c>
    </row>
    <row r="3489">
      <c r="A3489" s="3" t="n">
        <v>43578</v>
      </c>
      <c r="B3489" t="n">
        <v>15809.49</v>
      </c>
      <c r="C3489" t="n">
        <v>7629.04</v>
      </c>
      <c r="D3489" t="n">
        <v>4492.92</v>
      </c>
      <c r="E3489" t="n">
        <v>8299.309999999999</v>
      </c>
      <c r="F3489" t="n">
        <v>12154.45</v>
      </c>
    </row>
    <row r="3490">
      <c r="A3490" s="3" t="n">
        <v>43579</v>
      </c>
      <c r="B3490" t="n">
        <v>15986.23</v>
      </c>
      <c r="C3490" t="n">
        <v>7687.16</v>
      </c>
      <c r="D3490" t="n">
        <v>4549.34</v>
      </c>
      <c r="E3490" t="n">
        <v>8369.48</v>
      </c>
      <c r="F3490" t="n">
        <v>12296.1</v>
      </c>
    </row>
    <row r="3491">
      <c r="A3491" s="3" t="n">
        <v>43580</v>
      </c>
      <c r="B3491" t="n">
        <v>15930.13</v>
      </c>
      <c r="C3491" t="n">
        <v>7644.33</v>
      </c>
      <c r="D3491" t="n">
        <v>4535.3</v>
      </c>
      <c r="E3491" t="n">
        <v>8328.17</v>
      </c>
      <c r="F3491" t="n">
        <v>12234.25</v>
      </c>
    </row>
    <row r="3492">
      <c r="A3492" s="3" t="n">
        <v>43581</v>
      </c>
      <c r="B3492" t="n">
        <v>16044.25</v>
      </c>
      <c r="C3492" t="n">
        <v>7664.9</v>
      </c>
      <c r="D3492" t="n">
        <v>4529.45</v>
      </c>
      <c r="E3492" t="n">
        <v>8364.5</v>
      </c>
      <c r="F3492" t="n">
        <v>12243.75</v>
      </c>
    </row>
    <row r="3493">
      <c r="A3493" s="3" t="n">
        <v>43585</v>
      </c>
      <c r="B3493" t="n">
        <v>16135.83</v>
      </c>
      <c r="C3493" t="n">
        <v>7587.1</v>
      </c>
      <c r="D3493" t="n">
        <v>4522.62</v>
      </c>
      <c r="E3493" t="n">
        <v>8353.040000000001</v>
      </c>
      <c r="F3493" t="n">
        <v>12250.9</v>
      </c>
    </row>
    <row r="3494">
      <c r="A3494" s="3" t="n">
        <v>43587</v>
      </c>
      <c r="B3494" t="n">
        <v>15961.91</v>
      </c>
      <c r="C3494" t="n">
        <v>7530.9</v>
      </c>
      <c r="D3494" t="n">
        <v>4497.09</v>
      </c>
      <c r="E3494" t="n">
        <v>8324.01</v>
      </c>
      <c r="F3494" t="n">
        <v>12172.5</v>
      </c>
    </row>
    <row r="3495">
      <c r="A3495" s="3" t="n">
        <v>43588</v>
      </c>
      <c r="B3495" t="n">
        <v>15814.3</v>
      </c>
      <c r="C3495" t="n">
        <v>7469.15</v>
      </c>
      <c r="D3495" t="n">
        <v>4498.92</v>
      </c>
      <c r="E3495" t="n">
        <v>8292.25</v>
      </c>
      <c r="F3495" t="n">
        <v>12064.9</v>
      </c>
    </row>
    <row r="3496">
      <c r="A3496" s="3" t="n">
        <v>43591</v>
      </c>
      <c r="B3496" t="n">
        <v>15688.93</v>
      </c>
      <c r="C3496" t="n">
        <v>7396.84</v>
      </c>
      <c r="D3496" t="n">
        <v>4462.84</v>
      </c>
      <c r="E3496" t="n">
        <v>8234.879999999999</v>
      </c>
      <c r="F3496" t="n">
        <v>11919.45</v>
      </c>
    </row>
    <row r="3497">
      <c r="A3497" s="3" t="n">
        <v>43592</v>
      </c>
      <c r="B3497" t="n">
        <v>15627.02</v>
      </c>
      <c r="C3497" t="n">
        <v>7364.89</v>
      </c>
      <c r="D3497" t="n">
        <v>4390.12</v>
      </c>
      <c r="E3497" t="n">
        <v>8216.85</v>
      </c>
      <c r="F3497" t="n">
        <v>11816.5</v>
      </c>
    </row>
    <row r="3498">
      <c r="A3498" s="3" t="n">
        <v>43593</v>
      </c>
      <c r="B3498" t="n">
        <v>15458.61</v>
      </c>
      <c r="C3498" t="n">
        <v>7292.36</v>
      </c>
      <c r="D3498" t="n">
        <v>4324.46</v>
      </c>
      <c r="E3498" t="n">
        <v>8137.68</v>
      </c>
      <c r="F3498" t="n">
        <v>11679.3</v>
      </c>
    </row>
    <row r="3499">
      <c r="A3499" s="3" t="n">
        <v>43594</v>
      </c>
      <c r="B3499" t="n">
        <v>15453.83</v>
      </c>
      <c r="C3499" t="n">
        <v>7313.88</v>
      </c>
      <c r="D3499" t="n">
        <v>4299.57</v>
      </c>
      <c r="E3499" t="n">
        <v>8093.74</v>
      </c>
      <c r="F3499" t="n">
        <v>11665.85</v>
      </c>
    </row>
    <row r="3500">
      <c r="A3500" s="3" t="n">
        <v>43595</v>
      </c>
      <c r="B3500" t="n">
        <v>15383.35</v>
      </c>
      <c r="C3500" t="n">
        <v>7261.7</v>
      </c>
      <c r="D3500" t="n">
        <v>4275.39</v>
      </c>
      <c r="E3500" t="n">
        <v>8056.26</v>
      </c>
      <c r="F3500" t="n">
        <v>11688.55</v>
      </c>
    </row>
    <row r="3501">
      <c r="A3501" s="3" t="n">
        <v>43598</v>
      </c>
      <c r="B3501" t="n">
        <v>15251.44</v>
      </c>
      <c r="C3501" t="n">
        <v>7159.54</v>
      </c>
      <c r="D3501" t="n">
        <v>4153.5</v>
      </c>
      <c r="E3501" t="n">
        <v>7977.59</v>
      </c>
      <c r="F3501" t="n">
        <v>11566.85</v>
      </c>
    </row>
    <row r="3502">
      <c r="A3502" s="3" t="n">
        <v>43599</v>
      </c>
      <c r="B3502" t="n">
        <v>15178.46</v>
      </c>
      <c r="C3502" t="n">
        <v>7154.9</v>
      </c>
      <c r="D3502" t="n">
        <v>4194.34</v>
      </c>
      <c r="E3502" t="n">
        <v>7995.46</v>
      </c>
      <c r="F3502" t="n">
        <v>11560.9</v>
      </c>
    </row>
    <row r="3503">
      <c r="A3503" s="3" t="n">
        <v>43600</v>
      </c>
      <c r="B3503" t="n">
        <v>15178.4</v>
      </c>
      <c r="C3503" t="n">
        <v>7131.8</v>
      </c>
      <c r="D3503" t="n">
        <v>4126.72</v>
      </c>
      <c r="E3503" t="n">
        <v>7953.44</v>
      </c>
      <c r="F3503" t="n">
        <v>11553.2</v>
      </c>
    </row>
    <row r="3504">
      <c r="A3504" s="3" t="n">
        <v>43601</v>
      </c>
      <c r="B3504" t="n">
        <v>15310.16</v>
      </c>
      <c r="C3504" t="n">
        <v>7166.2</v>
      </c>
      <c r="D3504" t="n">
        <v>4195.91</v>
      </c>
      <c r="E3504" t="n">
        <v>8000.42</v>
      </c>
      <c r="F3504" t="n">
        <v>11663.9</v>
      </c>
    </row>
    <row r="3505">
      <c r="A3505" s="3" t="n">
        <v>43602</v>
      </c>
      <c r="B3505" t="n">
        <v>15378.54</v>
      </c>
      <c r="C3505" t="n">
        <v>7261.94</v>
      </c>
      <c r="D3505" t="n">
        <v>4198.62</v>
      </c>
      <c r="E3505" t="n">
        <v>8105.99</v>
      </c>
      <c r="F3505" t="n">
        <v>11794.15</v>
      </c>
    </row>
    <row r="3506">
      <c r="A3506" s="3" t="n">
        <v>43605</v>
      </c>
      <c r="B3506" t="n">
        <v>15616.54</v>
      </c>
      <c r="C3506" t="n">
        <v>7434.83</v>
      </c>
      <c r="D3506" t="n">
        <v>4406.63</v>
      </c>
      <c r="E3506" t="n">
        <v>8350.6</v>
      </c>
      <c r="F3506" t="n">
        <v>12129.4</v>
      </c>
    </row>
    <row r="3507">
      <c r="A3507" s="3" t="n">
        <v>43606</v>
      </c>
      <c r="B3507" t="n">
        <v>15571.02</v>
      </c>
      <c r="C3507" t="n">
        <v>7372.82</v>
      </c>
      <c r="D3507" t="n">
        <v>4297.6</v>
      </c>
      <c r="E3507" t="n">
        <v>8282.190000000001</v>
      </c>
      <c r="F3507" t="n">
        <v>12147.9</v>
      </c>
    </row>
    <row r="3508">
      <c r="A3508" s="3" t="n">
        <v>43607</v>
      </c>
      <c r="B3508" t="n">
        <v>15561.4</v>
      </c>
      <c r="C3508" t="n">
        <v>7361.81</v>
      </c>
      <c r="D3508" t="n">
        <v>4335.93</v>
      </c>
      <c r="E3508" t="n">
        <v>8296.57</v>
      </c>
      <c r="F3508" t="n">
        <v>12151.15</v>
      </c>
    </row>
    <row r="3509">
      <c r="A3509" s="3" t="n">
        <v>43608</v>
      </c>
      <c r="B3509" t="n">
        <v>15482.78</v>
      </c>
      <c r="C3509" t="n">
        <v>7307.57</v>
      </c>
      <c r="D3509" t="n">
        <v>4303.22</v>
      </c>
      <c r="E3509" t="n">
        <v>8271.33</v>
      </c>
      <c r="F3509" t="n">
        <v>12069.1</v>
      </c>
    </row>
    <row r="3510">
      <c r="A3510" s="3" t="n">
        <v>43609</v>
      </c>
      <c r="B3510" t="n">
        <v>15646.78</v>
      </c>
      <c r="C3510" t="n">
        <v>7402.19</v>
      </c>
      <c r="D3510" t="n">
        <v>4432.88</v>
      </c>
      <c r="E3510" t="n">
        <v>8367.92</v>
      </c>
      <c r="F3510" t="n">
        <v>12159.5</v>
      </c>
    </row>
    <row r="3511">
      <c r="A3511" s="3" t="n">
        <v>43612</v>
      </c>
      <c r="B3511" t="n">
        <v>15564.22</v>
      </c>
      <c r="C3511" t="n">
        <v>7428.71</v>
      </c>
      <c r="D3511" t="n">
        <v>4513.22</v>
      </c>
      <c r="E3511" t="n">
        <v>8429.639999999999</v>
      </c>
      <c r="F3511" t="n">
        <v>12153.95</v>
      </c>
    </row>
    <row r="3512">
      <c r="A3512" s="3" t="n">
        <v>43613</v>
      </c>
      <c r="B3512" t="n">
        <v>15665.4</v>
      </c>
      <c r="C3512" t="n">
        <v>7449.26</v>
      </c>
      <c r="D3512" t="n">
        <v>4502.8</v>
      </c>
      <c r="E3512" t="n">
        <v>8438.530000000001</v>
      </c>
      <c r="F3512" t="n">
        <v>12174.4</v>
      </c>
    </row>
    <row r="3513">
      <c r="A3513" s="3" t="n">
        <v>43614</v>
      </c>
      <c r="B3513" t="n">
        <v>15657.67</v>
      </c>
      <c r="C3513" t="n">
        <v>7437.4</v>
      </c>
      <c r="D3513" t="n">
        <v>4452.65</v>
      </c>
      <c r="E3513" t="n">
        <v>8411.209999999999</v>
      </c>
      <c r="F3513" t="n">
        <v>12157.75</v>
      </c>
    </row>
    <row r="3514">
      <c r="A3514" s="3" t="n">
        <v>43615</v>
      </c>
      <c r="B3514" t="n">
        <v>15747.34</v>
      </c>
      <c r="C3514" t="n">
        <v>7464.77</v>
      </c>
      <c r="D3514" t="n">
        <v>4458.02</v>
      </c>
      <c r="E3514" t="n">
        <v>8458.389999999999</v>
      </c>
      <c r="F3514" t="n">
        <v>12295.55</v>
      </c>
    </row>
    <row r="3515">
      <c r="A3515" s="3" t="n">
        <v>43616</v>
      </c>
      <c r="B3515" t="n">
        <v>15829.14</v>
      </c>
      <c r="C3515" t="n">
        <v>7503.44</v>
      </c>
      <c r="D3515" t="n">
        <v>4442.97</v>
      </c>
      <c r="E3515" t="n">
        <v>8456.18</v>
      </c>
      <c r="F3515" t="n">
        <v>12315.5</v>
      </c>
    </row>
    <row r="3516">
      <c r="A3516" s="3" t="n">
        <v>43619</v>
      </c>
      <c r="B3516" t="n">
        <v>16038.59</v>
      </c>
      <c r="C3516" t="n">
        <v>7608.45</v>
      </c>
      <c r="D3516" t="n">
        <v>4487.09</v>
      </c>
      <c r="E3516" t="n">
        <v>8582.459999999999</v>
      </c>
      <c r="F3516" t="n">
        <v>12504.35</v>
      </c>
    </row>
    <row r="3517">
      <c r="A3517" s="3" t="n">
        <v>43620</v>
      </c>
      <c r="B3517" t="n">
        <v>15918.74</v>
      </c>
      <c r="C3517" t="n">
        <v>7544.75</v>
      </c>
      <c r="D3517" t="n">
        <v>4465.01</v>
      </c>
      <c r="E3517" t="n">
        <v>8534.280000000001</v>
      </c>
      <c r="F3517" t="n">
        <v>12437.7</v>
      </c>
    </row>
    <row r="3518">
      <c r="A3518" s="3" t="n">
        <v>43622</v>
      </c>
      <c r="B3518" t="n">
        <v>15760.46</v>
      </c>
      <c r="C3518" t="n">
        <v>7462.31</v>
      </c>
      <c r="D3518" t="n">
        <v>4394</v>
      </c>
      <c r="E3518" t="n">
        <v>8452.690000000001</v>
      </c>
      <c r="F3518" t="n">
        <v>12337.8</v>
      </c>
    </row>
    <row r="3519">
      <c r="A3519" s="3" t="n">
        <v>43623</v>
      </c>
      <c r="B3519" t="n">
        <v>15771.42</v>
      </c>
      <c r="C3519" t="n">
        <v>7439.77</v>
      </c>
      <c r="D3519" t="n">
        <v>4392.38</v>
      </c>
      <c r="E3519" t="n">
        <v>8448.33</v>
      </c>
      <c r="F3519" t="n">
        <v>12359.4</v>
      </c>
    </row>
    <row r="3520">
      <c r="A3520" s="3" t="n">
        <v>43626</v>
      </c>
      <c r="B3520" t="n">
        <v>15922.18</v>
      </c>
      <c r="C3520" t="n">
        <v>7491.62</v>
      </c>
      <c r="D3520" t="n">
        <v>4338.4</v>
      </c>
      <c r="E3520" t="n">
        <v>8496.58</v>
      </c>
      <c r="F3520" t="n">
        <v>12469.85</v>
      </c>
    </row>
    <row r="3521">
      <c r="A3521" s="3" t="n">
        <v>43627</v>
      </c>
      <c r="B3521" t="n">
        <v>15957.39</v>
      </c>
      <c r="C3521" t="n">
        <v>7503.3</v>
      </c>
      <c r="D3521" t="n">
        <v>4383.7</v>
      </c>
      <c r="E3521" t="n">
        <v>8520.870000000001</v>
      </c>
      <c r="F3521" t="n">
        <v>12494.15</v>
      </c>
    </row>
    <row r="3522">
      <c r="A3522" s="3" t="n">
        <v>43628</v>
      </c>
      <c r="B3522" t="n">
        <v>15886.07</v>
      </c>
      <c r="C3522" t="n">
        <v>7443.5</v>
      </c>
      <c r="D3522" t="n">
        <v>4367.34</v>
      </c>
      <c r="E3522" t="n">
        <v>8475.92</v>
      </c>
      <c r="F3522" t="n">
        <v>12445.95</v>
      </c>
    </row>
    <row r="3523">
      <c r="A3523" s="3" t="n">
        <v>43629</v>
      </c>
      <c r="B3523" t="n">
        <v>15869.05</v>
      </c>
      <c r="C3523" t="n">
        <v>7428.16</v>
      </c>
      <c r="D3523" t="n">
        <v>4354.9</v>
      </c>
      <c r="E3523" t="n">
        <v>8468.73</v>
      </c>
      <c r="F3523" t="n">
        <v>12435.65</v>
      </c>
    </row>
    <row r="3524">
      <c r="A3524" s="3" t="n">
        <v>43630</v>
      </c>
      <c r="B3524" t="n">
        <v>15748.64</v>
      </c>
      <c r="C3524" t="n">
        <v>7352.12</v>
      </c>
      <c r="D3524" t="n">
        <v>4334.91</v>
      </c>
      <c r="E3524" t="n">
        <v>8396.790000000001</v>
      </c>
      <c r="F3524" t="n">
        <v>12330.85</v>
      </c>
    </row>
    <row r="3525">
      <c r="A3525" s="3" t="n">
        <v>43633</v>
      </c>
      <c r="B3525" t="n">
        <v>15601.9</v>
      </c>
      <c r="C3525" t="n">
        <v>7280.34</v>
      </c>
      <c r="D3525" t="n">
        <v>4224.36</v>
      </c>
      <c r="E3525" t="n">
        <v>8321.4</v>
      </c>
      <c r="F3525" t="n">
        <v>12217.85</v>
      </c>
    </row>
    <row r="3526">
      <c r="A3526" s="3" t="n">
        <v>43634</v>
      </c>
      <c r="B3526" t="n">
        <v>15641.23</v>
      </c>
      <c r="C3526" t="n">
        <v>7288.41</v>
      </c>
      <c r="D3526" t="n">
        <v>4237.21</v>
      </c>
      <c r="E3526" t="n">
        <v>8319.58</v>
      </c>
      <c r="F3526" t="n">
        <v>12189.5</v>
      </c>
    </row>
    <row r="3527">
      <c r="A3527" s="3" t="n">
        <v>43635</v>
      </c>
      <c r="B3527" t="n">
        <v>15579.42</v>
      </c>
      <c r="C3527" t="n">
        <v>7229.86</v>
      </c>
      <c r="D3527" t="n">
        <v>4205.56</v>
      </c>
      <c r="E3527" t="n">
        <v>8323.6</v>
      </c>
      <c r="F3527" t="n">
        <v>12119.4</v>
      </c>
    </row>
    <row r="3528">
      <c r="A3528" s="3" t="n">
        <v>43636</v>
      </c>
      <c r="B3528" t="n">
        <v>15671.6</v>
      </c>
      <c r="C3528" t="n">
        <v>7300</v>
      </c>
      <c r="D3528" t="n">
        <v>4287.52</v>
      </c>
      <c r="E3528" t="n">
        <v>8400.15</v>
      </c>
      <c r="F3528" t="n">
        <v>12222.8</v>
      </c>
    </row>
    <row r="3529">
      <c r="A3529" s="3" t="n">
        <v>43637</v>
      </c>
      <c r="B3529" t="n">
        <v>15578.31</v>
      </c>
      <c r="C3529" t="n">
        <v>7249.77</v>
      </c>
      <c r="D3529" t="n">
        <v>4288.21</v>
      </c>
      <c r="E3529" t="n">
        <v>8321.82</v>
      </c>
      <c r="F3529" t="n">
        <v>12199.85</v>
      </c>
    </row>
    <row r="3530">
      <c r="A3530" s="3" t="n">
        <v>43640</v>
      </c>
      <c r="B3530" t="n">
        <v>15538.3</v>
      </c>
      <c r="C3530" t="n">
        <v>7222.67</v>
      </c>
      <c r="D3530" t="n">
        <v>4271.02</v>
      </c>
      <c r="E3530" t="n">
        <v>8313.129999999999</v>
      </c>
      <c r="F3530" t="n">
        <v>12232.75</v>
      </c>
    </row>
    <row r="3531">
      <c r="A3531" s="3" t="n">
        <v>43641</v>
      </c>
      <c r="B3531" t="n">
        <v>15629.59</v>
      </c>
      <c r="C3531" t="n">
        <v>7248.52</v>
      </c>
      <c r="D3531" t="n">
        <v>4320.47</v>
      </c>
      <c r="E3531" t="n">
        <v>8357.01</v>
      </c>
      <c r="F3531" t="n">
        <v>12307.2</v>
      </c>
    </row>
    <row r="3532">
      <c r="A3532" s="3" t="n">
        <v>43642</v>
      </c>
      <c r="B3532" t="n">
        <v>15669.43</v>
      </c>
      <c r="C3532" t="n">
        <v>7244.47</v>
      </c>
      <c r="D3532" t="n">
        <v>4368.1</v>
      </c>
      <c r="E3532" t="n">
        <v>8380.450000000001</v>
      </c>
      <c r="F3532" t="n">
        <v>12327.1</v>
      </c>
    </row>
    <row r="3533">
      <c r="A3533" s="3" t="n">
        <v>43643</v>
      </c>
      <c r="B3533" t="n">
        <v>15647.28</v>
      </c>
      <c r="C3533" t="n">
        <v>7242.75</v>
      </c>
      <c r="D3533" t="n">
        <v>4370.95</v>
      </c>
      <c r="E3533" t="n">
        <v>8369.639999999999</v>
      </c>
      <c r="F3533" t="n">
        <v>12366.25</v>
      </c>
    </row>
    <row r="3534">
      <c r="A3534" s="3" t="n">
        <v>43644</v>
      </c>
      <c r="B3534" t="n">
        <v>15628.07</v>
      </c>
      <c r="C3534" t="n">
        <v>7217.57</v>
      </c>
      <c r="D3534" t="n">
        <v>4336.29</v>
      </c>
      <c r="E3534" t="n">
        <v>8352.030000000001</v>
      </c>
      <c r="F3534" t="n">
        <v>12373.9</v>
      </c>
    </row>
    <row r="3535">
      <c r="A3535" s="3" t="n">
        <v>43647</v>
      </c>
      <c r="B3535" t="n">
        <v>15674.82</v>
      </c>
      <c r="C3535" t="n">
        <v>7225.69</v>
      </c>
      <c r="D3535" t="n">
        <v>4317.43</v>
      </c>
      <c r="E3535" t="n">
        <v>8383.690000000001</v>
      </c>
      <c r="F3535" t="n">
        <v>12578.05</v>
      </c>
    </row>
    <row r="3536">
      <c r="A3536" s="3" t="n">
        <v>43648</v>
      </c>
      <c r="B3536" t="n">
        <v>15740.7</v>
      </c>
      <c r="C3536" t="n">
        <v>7275.6</v>
      </c>
      <c r="D3536" t="n">
        <v>4342.46</v>
      </c>
      <c r="E3536" t="n">
        <v>8423</v>
      </c>
      <c r="F3536" t="n">
        <v>12717.25</v>
      </c>
    </row>
    <row r="3537">
      <c r="A3537" s="3" t="n">
        <v>43649</v>
      </c>
      <c r="B3537" t="n">
        <v>15728.81</v>
      </c>
      <c r="C3537" t="n">
        <v>7272.77</v>
      </c>
      <c r="D3537" t="n">
        <v>4379.77</v>
      </c>
      <c r="E3537" t="n">
        <v>8423.51</v>
      </c>
      <c r="F3537" t="n">
        <v>12725.9</v>
      </c>
    </row>
    <row r="3538">
      <c r="A3538" s="3" t="n">
        <v>43650</v>
      </c>
      <c r="B3538" t="n">
        <v>15808.96</v>
      </c>
      <c r="C3538" t="n">
        <v>7283.4</v>
      </c>
      <c r="D3538" t="n">
        <v>4377.41</v>
      </c>
      <c r="E3538" t="n">
        <v>8446.09</v>
      </c>
      <c r="F3538" t="n">
        <v>12747.6</v>
      </c>
    </row>
    <row r="3539">
      <c r="A3539" s="3" t="n">
        <v>43651</v>
      </c>
      <c r="B3539" t="n">
        <v>15547.51</v>
      </c>
      <c r="C3539" t="n">
        <v>7203.92</v>
      </c>
      <c r="D3539" t="n">
        <v>4278.89</v>
      </c>
      <c r="E3539" t="n">
        <v>8347.370000000001</v>
      </c>
      <c r="F3539" t="n">
        <v>12552.1</v>
      </c>
    </row>
    <row r="3540">
      <c r="A3540" s="3" t="n">
        <v>43654</v>
      </c>
      <c r="B3540" t="n">
        <v>15151.7</v>
      </c>
      <c r="C3540" t="n">
        <v>7043.78</v>
      </c>
      <c r="D3540" t="n">
        <v>4135.19</v>
      </c>
      <c r="E3540" t="n">
        <v>8197.16</v>
      </c>
      <c r="F3540" t="n">
        <v>12265</v>
      </c>
    </row>
    <row r="3541">
      <c r="A3541" s="3" t="n">
        <v>43655</v>
      </c>
      <c r="B3541" t="n">
        <v>15101.95</v>
      </c>
      <c r="C3541" t="n">
        <v>7040.32</v>
      </c>
      <c r="D3541" t="n">
        <v>4123.66</v>
      </c>
      <c r="E3541" t="n">
        <v>8178.85</v>
      </c>
      <c r="F3541" t="n">
        <v>12393.4</v>
      </c>
    </row>
    <row r="3542">
      <c r="A3542" s="3" t="n">
        <v>43656</v>
      </c>
      <c r="B3542" t="n">
        <v>14928.53</v>
      </c>
      <c r="C3542" t="n">
        <v>6977.55</v>
      </c>
      <c r="D3542" t="n">
        <v>4080.89</v>
      </c>
      <c r="E3542" t="n">
        <v>8151.04</v>
      </c>
      <c r="F3542" t="n">
        <v>12213.05</v>
      </c>
    </row>
    <row r="3543">
      <c r="A3543" s="3" t="n">
        <v>43657</v>
      </c>
      <c r="B3543" t="n">
        <v>14977.2</v>
      </c>
      <c r="C3543" t="n">
        <v>7004.16</v>
      </c>
      <c r="D3543" t="n">
        <v>4117.67</v>
      </c>
      <c r="E3543" t="n">
        <v>8201.280000000001</v>
      </c>
      <c r="F3543" t="n">
        <v>12252.4</v>
      </c>
    </row>
    <row r="3544">
      <c r="A3544" s="3" t="n">
        <v>43658</v>
      </c>
      <c r="B3544" t="n">
        <v>14957.94</v>
      </c>
      <c r="C3544" t="n">
        <v>7011.51</v>
      </c>
      <c r="D3544" t="n">
        <v>4120.86</v>
      </c>
      <c r="E3544" t="n">
        <v>8183.87</v>
      </c>
      <c r="F3544" t="n">
        <v>12267.6</v>
      </c>
    </row>
    <row r="3545">
      <c r="A3545" s="3" t="n">
        <v>43661</v>
      </c>
      <c r="B3545" t="n">
        <v>15004.04</v>
      </c>
      <c r="C3545" t="n">
        <v>7020</v>
      </c>
      <c r="D3545" t="n">
        <v>4094.54</v>
      </c>
      <c r="E3545" t="n">
        <v>8209.77</v>
      </c>
      <c r="F3545" t="n">
        <v>12246.1</v>
      </c>
    </row>
    <row r="3546">
      <c r="A3546" s="3" t="n">
        <v>43662</v>
      </c>
      <c r="B3546" t="n">
        <v>15133.42</v>
      </c>
      <c r="C3546" t="n">
        <v>7068.33</v>
      </c>
      <c r="D3546" t="n">
        <v>4136.68</v>
      </c>
      <c r="E3546" t="n">
        <v>8252.969999999999</v>
      </c>
      <c r="F3546" t="n">
        <v>12388.4</v>
      </c>
    </row>
    <row r="3547">
      <c r="A3547" s="3" t="n">
        <v>43663</v>
      </c>
      <c r="B3547" t="n">
        <v>15147.15</v>
      </c>
      <c r="C3547" t="n">
        <v>7099.67</v>
      </c>
      <c r="D3547" t="n">
        <v>4140.6</v>
      </c>
      <c r="E3547" t="n">
        <v>8284.389999999999</v>
      </c>
      <c r="F3547" t="n">
        <v>12373.7</v>
      </c>
    </row>
    <row r="3548">
      <c r="A3548" s="3" t="n">
        <v>43664</v>
      </c>
      <c r="B3548" t="n">
        <v>15011.59</v>
      </c>
      <c r="C3548" t="n">
        <v>7029.87</v>
      </c>
      <c r="D3548" t="n">
        <v>4055.19</v>
      </c>
      <c r="E3548" t="n">
        <v>8228.18</v>
      </c>
      <c r="F3548" t="n">
        <v>12263.65</v>
      </c>
    </row>
    <row r="3549">
      <c r="A3549" s="3" t="n">
        <v>43665</v>
      </c>
      <c r="B3549" t="n">
        <v>14720.69</v>
      </c>
      <c r="C3549" t="n">
        <v>6912.69</v>
      </c>
      <c r="D3549" t="n">
        <v>4010.48</v>
      </c>
      <c r="E3549" t="n">
        <v>8117.91</v>
      </c>
      <c r="F3549" t="n">
        <v>12037.1</v>
      </c>
    </row>
    <row r="3550">
      <c r="A3550" s="3" t="n">
        <v>43668</v>
      </c>
      <c r="B3550" t="n">
        <v>14638</v>
      </c>
      <c r="C3550" t="n">
        <v>6876.67</v>
      </c>
      <c r="D3550" t="n">
        <v>4041.86</v>
      </c>
      <c r="E3550" t="n">
        <v>8071.57</v>
      </c>
      <c r="F3550" t="n">
        <v>11974.65</v>
      </c>
    </row>
    <row r="3551">
      <c r="A3551" s="3" t="n">
        <v>43669</v>
      </c>
      <c r="B3551" t="n">
        <v>14631.61</v>
      </c>
      <c r="C3551" t="n">
        <v>6881.51</v>
      </c>
      <c r="D3551" t="n">
        <v>4033.06</v>
      </c>
      <c r="E3551" t="n">
        <v>8090.58</v>
      </c>
      <c r="F3551" t="n">
        <v>11992.25</v>
      </c>
    </row>
    <row r="3552">
      <c r="A3552" s="3" t="n">
        <v>43670</v>
      </c>
      <c r="B3552" t="n">
        <v>14438.82</v>
      </c>
      <c r="C3552" t="n">
        <v>6798.26</v>
      </c>
      <c r="D3552" t="n">
        <v>3959.17</v>
      </c>
      <c r="E3552" t="n">
        <v>8080.75</v>
      </c>
      <c r="F3552" t="n">
        <v>11879.1</v>
      </c>
    </row>
    <row r="3553">
      <c r="A3553" s="3" t="n">
        <v>43671</v>
      </c>
      <c r="B3553" t="n">
        <v>14441.23</v>
      </c>
      <c r="C3553" t="n">
        <v>6805.67</v>
      </c>
      <c r="D3553" t="n">
        <v>3941.97</v>
      </c>
      <c r="E3553" t="n">
        <v>8087.71</v>
      </c>
      <c r="F3553" t="n">
        <v>11918.3</v>
      </c>
    </row>
    <row r="3554">
      <c r="A3554" s="3" t="n">
        <v>43672</v>
      </c>
      <c r="B3554" t="n">
        <v>14572.51</v>
      </c>
      <c r="C3554" t="n">
        <v>6851.96</v>
      </c>
      <c r="D3554" t="n">
        <v>3948.26</v>
      </c>
      <c r="E3554" t="n">
        <v>8107.28</v>
      </c>
      <c r="F3554" t="n">
        <v>12026.3</v>
      </c>
    </row>
    <row r="3555">
      <c r="A3555" s="3" t="n">
        <v>43675</v>
      </c>
      <c r="B3555" t="n">
        <v>14507.95</v>
      </c>
      <c r="C3555" t="n">
        <v>6789.36</v>
      </c>
      <c r="D3555" t="n">
        <v>3830.14</v>
      </c>
      <c r="E3555" t="n">
        <v>8038.41</v>
      </c>
      <c r="F3555" t="n">
        <v>11989.65</v>
      </c>
    </row>
    <row r="3556">
      <c r="A3556" s="3" t="n">
        <v>43676</v>
      </c>
      <c r="B3556" t="n">
        <v>14280.75</v>
      </c>
      <c r="C3556" t="n">
        <v>6724.79</v>
      </c>
      <c r="D3556" t="n">
        <v>3712.08</v>
      </c>
      <c r="E3556" t="n">
        <v>8011.46</v>
      </c>
      <c r="F3556" t="n">
        <v>11825.6</v>
      </c>
    </row>
    <row r="3557">
      <c r="A3557" s="3" t="n">
        <v>43677</v>
      </c>
      <c r="B3557" t="n">
        <v>14320.69</v>
      </c>
      <c r="C3557" t="n">
        <v>6782.15</v>
      </c>
      <c r="D3557" t="n">
        <v>3773.18</v>
      </c>
      <c r="E3557" t="n">
        <v>8048.18</v>
      </c>
      <c r="F3557" t="n">
        <v>11855.55</v>
      </c>
    </row>
    <row r="3558">
      <c r="A3558" s="3" t="n">
        <v>43678</v>
      </c>
      <c r="B3558" t="n">
        <v>14153.71</v>
      </c>
      <c r="C3558" t="n">
        <v>6713.32</v>
      </c>
      <c r="D3558" t="n">
        <v>3699.29</v>
      </c>
      <c r="E3558" t="n">
        <v>7980.72</v>
      </c>
      <c r="F3558" t="n">
        <v>11730.65</v>
      </c>
    </row>
    <row r="3559">
      <c r="A3559" s="3" t="n">
        <v>43679</v>
      </c>
      <c r="B3559" t="n">
        <v>14129.18</v>
      </c>
      <c r="C3559" t="n">
        <v>6732.34</v>
      </c>
      <c r="D3559" t="n">
        <v>3644.56</v>
      </c>
      <c r="E3559" t="n">
        <v>7998.46</v>
      </c>
      <c r="F3559" t="n">
        <v>11757.85</v>
      </c>
    </row>
    <row r="3560">
      <c r="A3560" s="3" t="n">
        <v>43682</v>
      </c>
      <c r="B3560" t="n">
        <v>13905.72</v>
      </c>
      <c r="C3560" t="n">
        <v>6703.26</v>
      </c>
      <c r="D3560" t="n">
        <v>3564.27</v>
      </c>
      <c r="E3560" t="n">
        <v>7932.91</v>
      </c>
      <c r="F3560" t="n">
        <v>11573.45</v>
      </c>
    </row>
    <row r="3561">
      <c r="A3561" s="3" t="n">
        <v>43683</v>
      </c>
      <c r="B3561" t="n">
        <v>14085.68</v>
      </c>
      <c r="C3561" t="n">
        <v>6796.63</v>
      </c>
      <c r="D3561" t="n">
        <v>3634.66</v>
      </c>
      <c r="E3561" t="n">
        <v>7979.49</v>
      </c>
      <c r="F3561" t="n">
        <v>11806.6</v>
      </c>
    </row>
    <row r="3562">
      <c r="A3562" s="3" t="n">
        <v>43684</v>
      </c>
      <c r="B3562" t="n">
        <v>13969.69</v>
      </c>
      <c r="C3562" t="n">
        <v>6788.34</v>
      </c>
      <c r="D3562" t="n">
        <v>3541.05</v>
      </c>
      <c r="E3562" t="n">
        <v>7965.81</v>
      </c>
      <c r="F3562" t="n">
        <v>11730.6</v>
      </c>
    </row>
    <row r="3563">
      <c r="A3563" s="3" t="n">
        <v>43685</v>
      </c>
      <c r="B3563" t="n">
        <v>14169.18</v>
      </c>
      <c r="C3563" t="n">
        <v>6889.75</v>
      </c>
      <c r="D3563" t="n">
        <v>3587.69</v>
      </c>
      <c r="E3563" t="n">
        <v>8081.51</v>
      </c>
      <c r="F3563" t="n">
        <v>11882.25</v>
      </c>
    </row>
    <row r="3564">
      <c r="A3564" s="3" t="n">
        <v>43686</v>
      </c>
      <c r="B3564" t="n">
        <v>14265.9</v>
      </c>
      <c r="C3564" t="n">
        <v>6940.12</v>
      </c>
      <c r="D3564" t="n">
        <v>3599.93</v>
      </c>
      <c r="E3564" t="n">
        <v>8126.97</v>
      </c>
      <c r="F3564" t="n">
        <v>11954.65</v>
      </c>
    </row>
    <row r="3565">
      <c r="A3565" s="3" t="n">
        <v>43690</v>
      </c>
      <c r="B3565" t="n">
        <v>13964.49</v>
      </c>
      <c r="C3565" t="n">
        <v>6797.55</v>
      </c>
      <c r="D3565" t="n">
        <v>3543.03</v>
      </c>
      <c r="E3565" t="n">
        <v>7996.95</v>
      </c>
      <c r="F3565" t="n">
        <v>11683.65</v>
      </c>
    </row>
    <row r="3566">
      <c r="A3566" s="3" t="n">
        <v>43691</v>
      </c>
      <c r="B3566" t="n">
        <v>14161.3</v>
      </c>
      <c r="C3566" t="n">
        <v>6828.31</v>
      </c>
      <c r="D3566" t="n">
        <v>3571.91</v>
      </c>
      <c r="E3566" t="n">
        <v>8028.68</v>
      </c>
      <c r="F3566" t="n">
        <v>11787.25</v>
      </c>
    </row>
    <row r="3567">
      <c r="A3567" s="3" t="n">
        <v>43693</v>
      </c>
      <c r="B3567" t="n">
        <v>14230.07</v>
      </c>
      <c r="C3567" t="n">
        <v>6847.26</v>
      </c>
      <c r="D3567" t="n">
        <v>3576.53</v>
      </c>
      <c r="E3567" t="n">
        <v>8040.39</v>
      </c>
      <c r="F3567" t="n">
        <v>11843.6</v>
      </c>
    </row>
    <row r="3568">
      <c r="A3568" s="3" t="n">
        <v>43696</v>
      </c>
      <c r="B3568" t="n">
        <v>14266.46</v>
      </c>
      <c r="C3568" t="n">
        <v>6840.57</v>
      </c>
      <c r="D3568" t="n">
        <v>3569.39</v>
      </c>
      <c r="E3568" t="n">
        <v>8041.74</v>
      </c>
      <c r="F3568" t="n">
        <v>11882.35</v>
      </c>
    </row>
    <row r="3569">
      <c r="A3569" s="3" t="n">
        <v>43697</v>
      </c>
      <c r="B3569" t="n">
        <v>14190.46</v>
      </c>
      <c r="C3569" t="n">
        <v>6834.17</v>
      </c>
      <c r="D3569" t="n">
        <v>3532.73</v>
      </c>
      <c r="E3569" t="n">
        <v>8052.12</v>
      </c>
      <c r="F3569" t="n">
        <v>11804.8</v>
      </c>
    </row>
    <row r="3570">
      <c r="A3570" s="3" t="n">
        <v>43698</v>
      </c>
      <c r="B3570" t="n">
        <v>14029.9</v>
      </c>
      <c r="C3570" t="n">
        <v>6773.09</v>
      </c>
      <c r="D3570" t="n">
        <v>3421.77</v>
      </c>
      <c r="E3570" t="n">
        <v>8004.51</v>
      </c>
      <c r="F3570" t="n">
        <v>11632.25</v>
      </c>
    </row>
    <row r="3571">
      <c r="A3571" s="3" t="n">
        <v>43699</v>
      </c>
      <c r="B3571" t="n">
        <v>13804.32</v>
      </c>
      <c r="C3571" t="n">
        <v>6710.7</v>
      </c>
      <c r="D3571" t="n">
        <v>3306.62</v>
      </c>
      <c r="E3571" t="n">
        <v>7939.46</v>
      </c>
      <c r="F3571" t="n">
        <v>11449.65</v>
      </c>
    </row>
    <row r="3572">
      <c r="A3572" s="3" t="n">
        <v>43700</v>
      </c>
      <c r="B3572" t="n">
        <v>13937.01</v>
      </c>
      <c r="C3572" t="n">
        <v>6764.51</v>
      </c>
      <c r="D3572" t="n">
        <v>3395.62</v>
      </c>
      <c r="E3572" t="n">
        <v>7980.37</v>
      </c>
      <c r="F3572" t="n">
        <v>11553.5</v>
      </c>
    </row>
    <row r="3573">
      <c r="A3573" s="3" t="n">
        <v>43703</v>
      </c>
      <c r="B3573" t="n">
        <v>14204.67</v>
      </c>
      <c r="C3573" t="n">
        <v>6849.64</v>
      </c>
      <c r="D3573" t="n">
        <v>3449.72</v>
      </c>
      <c r="E3573" t="n">
        <v>8091.05</v>
      </c>
      <c r="F3573" t="n">
        <v>11764.9</v>
      </c>
    </row>
    <row r="3574">
      <c r="A3574" s="3" t="n">
        <v>43704</v>
      </c>
      <c r="B3574" t="n">
        <v>14250.62</v>
      </c>
      <c r="C3574" t="n">
        <v>6879.59</v>
      </c>
      <c r="D3574" t="n">
        <v>3496.56</v>
      </c>
      <c r="E3574" t="n">
        <v>8136.15</v>
      </c>
      <c r="F3574" t="n">
        <v>11872.05</v>
      </c>
    </row>
    <row r="3575">
      <c r="A3575" s="3" t="n">
        <v>43705</v>
      </c>
      <c r="B3575" t="n">
        <v>14161.55</v>
      </c>
      <c r="C3575" t="n">
        <v>6872.32</v>
      </c>
      <c r="D3575" t="n">
        <v>3429.68</v>
      </c>
      <c r="E3575" t="n">
        <v>8099.52</v>
      </c>
      <c r="F3575" t="n">
        <v>11801.8</v>
      </c>
    </row>
    <row r="3576">
      <c r="A3576" s="3" t="n">
        <v>43706</v>
      </c>
      <c r="B3576" t="n">
        <v>14052</v>
      </c>
      <c r="C3576" t="n">
        <v>6871.9</v>
      </c>
      <c r="D3576" t="n">
        <v>3425.24</v>
      </c>
      <c r="E3576" t="n">
        <v>8066.87</v>
      </c>
      <c r="F3576" t="n">
        <v>11687.85</v>
      </c>
    </row>
    <row r="3577">
      <c r="A3577" s="3" t="n">
        <v>43707</v>
      </c>
      <c r="B3577" t="n">
        <v>14218.79</v>
      </c>
      <c r="C3577" t="n">
        <v>6933.27</v>
      </c>
      <c r="D3577" t="n">
        <v>3460.25</v>
      </c>
      <c r="E3577" t="n">
        <v>8122.27</v>
      </c>
      <c r="F3577" t="n">
        <v>11809.1</v>
      </c>
    </row>
    <row r="3578">
      <c r="A3578" s="3" t="n">
        <v>43711</v>
      </c>
      <c r="B3578" t="n">
        <v>13920.79</v>
      </c>
      <c r="C3578" t="n">
        <v>6854.43</v>
      </c>
      <c r="D3578" t="n">
        <v>3371.18</v>
      </c>
      <c r="E3578" t="n">
        <v>7994.68</v>
      </c>
      <c r="F3578" t="n">
        <v>11623.25</v>
      </c>
    </row>
    <row r="3579">
      <c r="A3579" s="3" t="n">
        <v>43712</v>
      </c>
      <c r="B3579" t="n">
        <v>13982.22</v>
      </c>
      <c r="C3579" t="n">
        <v>6844.59</v>
      </c>
      <c r="D3579" t="n">
        <v>3401.16</v>
      </c>
      <c r="E3579" t="n">
        <v>7995.36</v>
      </c>
      <c r="F3579" t="n">
        <v>11633.75</v>
      </c>
    </row>
    <row r="3580">
      <c r="A3580" s="3" t="n">
        <v>43713</v>
      </c>
      <c r="B3580" t="n">
        <v>14029.61</v>
      </c>
      <c r="C3580" t="n">
        <v>6874.29</v>
      </c>
      <c r="D3580" t="n">
        <v>3469.35</v>
      </c>
      <c r="E3580" t="n">
        <v>8017.34</v>
      </c>
      <c r="F3580" t="n">
        <v>11670.05</v>
      </c>
    </row>
    <row r="3581">
      <c r="A3581" s="3" t="n">
        <v>43714</v>
      </c>
      <c r="B3581" t="n">
        <v>14173.19</v>
      </c>
      <c r="C3581" t="n">
        <v>6905.05</v>
      </c>
      <c r="D3581" t="n">
        <v>3523.85</v>
      </c>
      <c r="E3581" t="n">
        <v>8072.54</v>
      </c>
      <c r="F3581" t="n">
        <v>11752.3</v>
      </c>
    </row>
    <row r="3582">
      <c r="A3582" s="3" t="n">
        <v>43717</v>
      </c>
      <c r="B3582" t="n">
        <v>14317.99</v>
      </c>
      <c r="C3582" t="n">
        <v>6931.54</v>
      </c>
      <c r="D3582" t="n">
        <v>3540.39</v>
      </c>
      <c r="E3582" t="n">
        <v>8109.75</v>
      </c>
      <c r="F3582" t="n">
        <v>11885.8</v>
      </c>
    </row>
    <row r="3583">
      <c r="A3583" s="3" t="n">
        <v>43719</v>
      </c>
      <c r="B3583" t="n">
        <v>14326.32</v>
      </c>
      <c r="C3583" t="n">
        <v>6938.75</v>
      </c>
      <c r="D3583" t="n">
        <v>3583.21</v>
      </c>
      <c r="E3583" t="n">
        <v>8110.11</v>
      </c>
      <c r="F3583" t="n">
        <v>11925.4</v>
      </c>
    </row>
    <row r="3584">
      <c r="A3584" s="3" t="n">
        <v>43720</v>
      </c>
      <c r="B3584" t="n">
        <v>14242.04</v>
      </c>
      <c r="C3584" t="n">
        <v>6921.73</v>
      </c>
      <c r="D3584" t="n">
        <v>3579.91</v>
      </c>
      <c r="E3584" t="n">
        <v>8055.74</v>
      </c>
      <c r="F3584" t="n">
        <v>11877.35</v>
      </c>
    </row>
    <row r="3585">
      <c r="A3585" s="3" t="n">
        <v>43721</v>
      </c>
      <c r="B3585" t="n">
        <v>14394.51</v>
      </c>
      <c r="C3585" t="n">
        <v>6960.41</v>
      </c>
      <c r="D3585" t="n">
        <v>3625.57</v>
      </c>
      <c r="E3585" t="n">
        <v>8105.58</v>
      </c>
      <c r="F3585" t="n">
        <v>11995.6</v>
      </c>
    </row>
    <row r="3586">
      <c r="A3586" s="3" t="n">
        <v>43724</v>
      </c>
      <c r="B3586" t="n">
        <v>14345.39</v>
      </c>
      <c r="C3586" t="n">
        <v>6977.24</v>
      </c>
      <c r="D3586" t="n">
        <v>3603.39</v>
      </c>
      <c r="E3586" t="n">
        <v>8081</v>
      </c>
      <c r="F3586" t="n">
        <v>12009.3</v>
      </c>
    </row>
    <row r="3587">
      <c r="A3587" s="3" t="n">
        <v>43725</v>
      </c>
      <c r="B3587" t="n">
        <v>14131.41</v>
      </c>
      <c r="C3587" t="n">
        <v>6898.12</v>
      </c>
      <c r="D3587" t="n">
        <v>3506.38</v>
      </c>
      <c r="E3587" t="n">
        <v>7980.82</v>
      </c>
      <c r="F3587" t="n">
        <v>11827.35</v>
      </c>
    </row>
    <row r="3588">
      <c r="A3588" s="3" t="n">
        <v>43726</v>
      </c>
      <c r="B3588" t="n">
        <v>14198.41</v>
      </c>
      <c r="C3588" t="n">
        <v>6911.84</v>
      </c>
      <c r="D3588" t="n">
        <v>3516.89</v>
      </c>
      <c r="E3588" t="n">
        <v>7994.02</v>
      </c>
      <c r="F3588" t="n">
        <v>11898.25</v>
      </c>
    </row>
    <row r="3589">
      <c r="A3589" s="3" t="n">
        <v>43727</v>
      </c>
      <c r="B3589" t="n">
        <v>13987.2</v>
      </c>
      <c r="C3589" t="n">
        <v>6840.58</v>
      </c>
      <c r="D3589" t="n">
        <v>3455.6</v>
      </c>
      <c r="E3589" t="n">
        <v>7933.48</v>
      </c>
      <c r="F3589" t="n">
        <v>11705.05</v>
      </c>
    </row>
    <row r="3590">
      <c r="A3590" s="3" t="n">
        <v>43728</v>
      </c>
      <c r="B3590" t="n">
        <v>14708.45</v>
      </c>
      <c r="C3590" t="n">
        <v>7181.34</v>
      </c>
      <c r="D3590" t="n">
        <v>3606.21</v>
      </c>
      <c r="E3590" t="n">
        <v>8283.25</v>
      </c>
      <c r="F3590" t="n">
        <v>12290.1</v>
      </c>
    </row>
    <row r="3591">
      <c r="A3591" s="3" t="n">
        <v>43731</v>
      </c>
      <c r="B3591" t="n">
        <v>15065.75</v>
      </c>
      <c r="C3591" t="n">
        <v>7342.77</v>
      </c>
      <c r="D3591" t="n">
        <v>3668</v>
      </c>
      <c r="E3591" t="n">
        <v>8476.42</v>
      </c>
      <c r="F3591" t="n">
        <v>12607.75</v>
      </c>
    </row>
    <row r="3592">
      <c r="A3592" s="3" t="n">
        <v>43732</v>
      </c>
      <c r="B3592" t="n">
        <v>15081.04</v>
      </c>
      <c r="C3592" t="n">
        <v>7357.01</v>
      </c>
      <c r="D3592" t="n">
        <v>3641.46</v>
      </c>
      <c r="E3592" t="n">
        <v>8486.059999999999</v>
      </c>
      <c r="F3592" t="n">
        <v>12639.2</v>
      </c>
    </row>
    <row r="3593">
      <c r="A3593" s="3" t="n">
        <v>43733</v>
      </c>
      <c r="B3593" t="n">
        <v>14883.58</v>
      </c>
      <c r="C3593" t="n">
        <v>7269.18</v>
      </c>
      <c r="D3593" t="n">
        <v>3569.26</v>
      </c>
      <c r="E3593" t="n">
        <v>8397.6</v>
      </c>
      <c r="F3593" t="n">
        <v>12496.5</v>
      </c>
    </row>
    <row r="3594">
      <c r="A3594" s="3" t="n">
        <v>43734</v>
      </c>
      <c r="B3594" t="n">
        <v>15027.36</v>
      </c>
      <c r="C3594" t="n">
        <v>7321.71</v>
      </c>
      <c r="D3594" t="n">
        <v>3637.6</v>
      </c>
      <c r="E3594" t="n">
        <v>8462.74</v>
      </c>
      <c r="F3594" t="n">
        <v>12541.2</v>
      </c>
    </row>
    <row r="3595">
      <c r="A3595" s="3" t="n">
        <v>43735</v>
      </c>
      <c r="B3595" t="n">
        <v>14995.71</v>
      </c>
      <c r="C3595" t="n">
        <v>7308.89</v>
      </c>
      <c r="D3595" t="n">
        <v>3558.75</v>
      </c>
      <c r="E3595" t="n">
        <v>8443.620000000001</v>
      </c>
      <c r="F3595" t="n">
        <v>12519.85</v>
      </c>
    </row>
    <row r="3596">
      <c r="A3596" s="3" t="n">
        <v>43738</v>
      </c>
      <c r="B3596" t="n">
        <v>14938.35</v>
      </c>
      <c r="C3596" t="n">
        <v>7282.15</v>
      </c>
      <c r="D3596" t="n">
        <v>3469.49</v>
      </c>
      <c r="E3596" t="n">
        <v>8439.809999999999</v>
      </c>
      <c r="F3596" t="n">
        <v>12401.8</v>
      </c>
    </row>
    <row r="3597">
      <c r="A3597" s="3" t="n">
        <v>43739</v>
      </c>
      <c r="B3597" t="n">
        <v>14703.61</v>
      </c>
      <c r="C3597" t="n">
        <v>7196.16</v>
      </c>
      <c r="D3597" t="n">
        <v>3427.53</v>
      </c>
      <c r="E3597" t="n">
        <v>8371.65</v>
      </c>
      <c r="F3597" t="n">
        <v>12198.65</v>
      </c>
    </row>
    <row r="3598">
      <c r="A3598" s="3" t="n">
        <v>43741</v>
      </c>
      <c r="B3598" t="n">
        <v>14688.27</v>
      </c>
      <c r="C3598" t="n">
        <v>7164.73</v>
      </c>
      <c r="D3598" t="n">
        <v>3420.67</v>
      </c>
      <c r="E3598" t="n">
        <v>8331.17</v>
      </c>
      <c r="F3598" t="n">
        <v>12167.3</v>
      </c>
    </row>
    <row r="3599">
      <c r="A3599" s="3" t="n">
        <v>43742</v>
      </c>
      <c r="B3599" t="n">
        <v>14550.21</v>
      </c>
      <c r="C3599" t="n">
        <v>7090.07</v>
      </c>
      <c r="D3599" t="n">
        <v>3385.17</v>
      </c>
      <c r="E3599" t="n">
        <v>8253.92</v>
      </c>
      <c r="F3599" t="n">
        <v>12025.25</v>
      </c>
    </row>
    <row r="3600">
      <c r="A3600" s="3" t="n">
        <v>43745</v>
      </c>
      <c r="B3600" t="n">
        <v>14519.86</v>
      </c>
      <c r="C3600" t="n">
        <v>7081.12</v>
      </c>
      <c r="D3600" t="n">
        <v>3325.98</v>
      </c>
      <c r="E3600" t="n">
        <v>8223.17</v>
      </c>
      <c r="F3600" t="n">
        <v>11978.8</v>
      </c>
    </row>
    <row r="3601">
      <c r="A3601" s="3" t="n">
        <v>43747</v>
      </c>
      <c r="B3601" t="n">
        <v>14716</v>
      </c>
      <c r="C3601" t="n">
        <v>7126.19</v>
      </c>
      <c r="D3601" t="n">
        <v>3367.88</v>
      </c>
      <c r="E3601" t="n">
        <v>8314.200000000001</v>
      </c>
      <c r="F3601" t="n">
        <v>12188.95</v>
      </c>
    </row>
    <row r="3602">
      <c r="A3602" s="3" t="n">
        <v>43748</v>
      </c>
      <c r="B3602" t="n">
        <v>14592.27</v>
      </c>
      <c r="C3602" t="n">
        <v>7097.84</v>
      </c>
      <c r="D3602" t="n">
        <v>3317.18</v>
      </c>
      <c r="E3602" t="n">
        <v>8293.85</v>
      </c>
      <c r="F3602" t="n">
        <v>12118.95</v>
      </c>
    </row>
    <row r="3603">
      <c r="A3603" s="3" t="n">
        <v>43749</v>
      </c>
      <c r="B3603" t="n">
        <v>14627.66</v>
      </c>
      <c r="C3603" t="n">
        <v>7176.38</v>
      </c>
      <c r="D3603" t="n">
        <v>3334.61</v>
      </c>
      <c r="E3603" t="n">
        <v>8354.68</v>
      </c>
      <c r="F3603" t="n">
        <v>12163.55</v>
      </c>
    </row>
    <row r="3604">
      <c r="A3604" s="3" t="n">
        <v>43752</v>
      </c>
      <c r="B3604" t="n">
        <v>14637.94</v>
      </c>
      <c r="C3604" t="n">
        <v>7187.19</v>
      </c>
      <c r="D3604" t="n">
        <v>3366.6</v>
      </c>
      <c r="E3604" t="n">
        <v>8377.790000000001</v>
      </c>
      <c r="F3604" t="n">
        <v>12176.05</v>
      </c>
    </row>
    <row r="3605">
      <c r="A3605" s="3" t="n">
        <v>43753</v>
      </c>
      <c r="B3605" t="n">
        <v>14667.89</v>
      </c>
      <c r="C3605" t="n">
        <v>7229.04</v>
      </c>
      <c r="D3605" t="n">
        <v>3387.73</v>
      </c>
      <c r="E3605" t="n">
        <v>8450.1</v>
      </c>
      <c r="F3605" t="n">
        <v>12186.1</v>
      </c>
    </row>
    <row r="3606">
      <c r="A3606" s="3" t="n">
        <v>43754</v>
      </c>
      <c r="B3606" t="n">
        <v>14717.86</v>
      </c>
      <c r="C3606" t="n">
        <v>7235.38</v>
      </c>
      <c r="D3606" t="n">
        <v>3386.66</v>
      </c>
      <c r="E3606" t="n">
        <v>8444.17</v>
      </c>
      <c r="F3606" t="n">
        <v>12196.2</v>
      </c>
    </row>
    <row r="3607">
      <c r="A3607" s="3" t="n">
        <v>43755</v>
      </c>
      <c r="B3607" t="n">
        <v>14894.27</v>
      </c>
      <c r="C3607" t="n">
        <v>7346.97</v>
      </c>
      <c r="D3607" t="n">
        <v>3436.68</v>
      </c>
      <c r="E3607" t="n">
        <v>8513.08</v>
      </c>
      <c r="F3607" t="n">
        <v>12306.7</v>
      </c>
    </row>
    <row r="3608">
      <c r="A3608" s="3" t="n">
        <v>43756</v>
      </c>
      <c r="B3608" t="n">
        <v>15027.46</v>
      </c>
      <c r="C3608" t="n">
        <v>7407.85</v>
      </c>
      <c r="D3608" t="n">
        <v>3524.9</v>
      </c>
      <c r="E3608" t="n">
        <v>8569.42</v>
      </c>
      <c r="F3608" t="n">
        <v>12527.35</v>
      </c>
    </row>
    <row r="3609">
      <c r="A3609" s="3" t="n">
        <v>43760</v>
      </c>
      <c r="B3609" t="n">
        <v>14985.25</v>
      </c>
      <c r="C3609" t="n">
        <v>7347.55</v>
      </c>
      <c r="D3609" t="n">
        <v>3541.21</v>
      </c>
      <c r="E3609" t="n">
        <v>8518.5</v>
      </c>
      <c r="F3609" t="n">
        <v>12564.85</v>
      </c>
    </row>
    <row r="3610">
      <c r="A3610" s="3" t="n">
        <v>43761</v>
      </c>
      <c r="B3610" t="n">
        <v>15017.13</v>
      </c>
      <c r="C3610" t="n">
        <v>7387.03</v>
      </c>
      <c r="D3610" t="n">
        <v>3542.09</v>
      </c>
      <c r="E3610" t="n">
        <v>8536.450000000001</v>
      </c>
      <c r="F3610" t="n">
        <v>12608.65</v>
      </c>
    </row>
    <row r="3611">
      <c r="A3611" s="3" t="n">
        <v>43762</v>
      </c>
      <c r="B3611" t="n">
        <v>15034.46</v>
      </c>
      <c r="C3611" t="n">
        <v>7417.2</v>
      </c>
      <c r="D3611" t="n">
        <v>3495.14</v>
      </c>
      <c r="E3611" t="n">
        <v>8552.98</v>
      </c>
      <c r="F3611" t="n">
        <v>12672.85</v>
      </c>
    </row>
    <row r="3612">
      <c r="A3612" s="3" t="n">
        <v>43763</v>
      </c>
      <c r="B3612" t="n">
        <v>14995.73</v>
      </c>
      <c r="C3612" t="n">
        <v>7405.35</v>
      </c>
      <c r="D3612" t="n">
        <v>3481.24</v>
      </c>
      <c r="E3612" t="n">
        <v>8533.17</v>
      </c>
      <c r="F3612" t="n">
        <v>12545</v>
      </c>
    </row>
    <row r="3613">
      <c r="A3613" s="3" t="n">
        <v>43765</v>
      </c>
      <c r="B3613" t="n">
        <v>15053.71</v>
      </c>
      <c r="C3613" t="n">
        <v>7426.78</v>
      </c>
      <c r="D3613" t="n">
        <v>3520.93</v>
      </c>
      <c r="E3613" t="n">
        <v>8566.74</v>
      </c>
      <c r="F3613" t="n">
        <v>12635.35</v>
      </c>
    </row>
    <row r="3614">
      <c r="A3614" s="3" t="n">
        <v>43767</v>
      </c>
      <c r="B3614" t="n">
        <v>15236.3</v>
      </c>
      <c r="C3614" t="n">
        <v>7517.87</v>
      </c>
      <c r="D3614" t="n">
        <v>3627.74</v>
      </c>
      <c r="E3614" t="n">
        <v>8654.379999999999</v>
      </c>
      <c r="F3614" t="n">
        <v>12705.7</v>
      </c>
    </row>
    <row r="3615">
      <c r="A3615" s="3" t="n">
        <v>43768</v>
      </c>
      <c r="B3615" t="n">
        <v>15294.21</v>
      </c>
      <c r="C3615" t="n">
        <v>7559.16</v>
      </c>
      <c r="D3615" t="n">
        <v>3652.1</v>
      </c>
      <c r="E3615" t="n">
        <v>8684</v>
      </c>
      <c r="F3615" t="n">
        <v>12698.4</v>
      </c>
    </row>
    <row r="3616">
      <c r="A3616" s="3" t="n">
        <v>43769</v>
      </c>
      <c r="B3616" t="n">
        <v>15463.55</v>
      </c>
      <c r="C3616" t="n">
        <v>7599.83</v>
      </c>
      <c r="D3616" t="n">
        <v>3684.5</v>
      </c>
      <c r="E3616" t="n">
        <v>8715.65</v>
      </c>
      <c r="F3616" t="n">
        <v>12777.25</v>
      </c>
    </row>
    <row r="3617">
      <c r="A3617" s="3" t="n">
        <v>43770</v>
      </c>
      <c r="B3617" t="n">
        <v>15460.78</v>
      </c>
      <c r="C3617" t="n">
        <v>7588.41</v>
      </c>
      <c r="D3617" t="n">
        <v>3715.21</v>
      </c>
      <c r="E3617" t="n">
        <v>8691.52</v>
      </c>
      <c r="F3617" t="n">
        <v>12810.3</v>
      </c>
    </row>
    <row r="3618">
      <c r="A3618" s="3" t="n">
        <v>43773</v>
      </c>
      <c r="B3618" t="n">
        <v>15523.15</v>
      </c>
      <c r="C3618" t="n">
        <v>7585.12</v>
      </c>
      <c r="D3618" t="n">
        <v>3741.67</v>
      </c>
      <c r="E3618" t="n">
        <v>8692.790000000001</v>
      </c>
      <c r="F3618" t="n">
        <v>12841.05</v>
      </c>
    </row>
    <row r="3619">
      <c r="A3619" s="3" t="n">
        <v>43774</v>
      </c>
      <c r="B3619" t="n">
        <v>15496.37</v>
      </c>
      <c r="C3619" t="n">
        <v>7579.97</v>
      </c>
      <c r="D3619" t="n">
        <v>3711.35</v>
      </c>
      <c r="E3619" t="n">
        <v>8667.08</v>
      </c>
      <c r="F3619" t="n">
        <v>12785.25</v>
      </c>
    </row>
    <row r="3620">
      <c r="A3620" s="3" t="n">
        <v>43775</v>
      </c>
      <c r="B3620" t="n">
        <v>15454.63</v>
      </c>
      <c r="C3620" t="n">
        <v>7585.59</v>
      </c>
      <c r="D3620" t="n">
        <v>3716.05</v>
      </c>
      <c r="E3620" t="n">
        <v>8689.440000000001</v>
      </c>
      <c r="F3620" t="n">
        <v>12801.4</v>
      </c>
    </row>
    <row r="3621">
      <c r="A3621" s="3" t="n">
        <v>43776</v>
      </c>
      <c r="B3621" t="n">
        <v>15513.1</v>
      </c>
      <c r="C3621" t="n">
        <v>7626.76</v>
      </c>
      <c r="D3621" t="n">
        <v>3732.55</v>
      </c>
      <c r="E3621" t="n">
        <v>8726.719999999999</v>
      </c>
      <c r="F3621" t="n">
        <v>12880.45</v>
      </c>
    </row>
    <row r="3622">
      <c r="A3622" s="3" t="n">
        <v>43777</v>
      </c>
      <c r="B3622" t="n">
        <v>15408.14</v>
      </c>
      <c r="C3622" t="n">
        <v>7545.12</v>
      </c>
      <c r="D3622" t="n">
        <v>3680.74</v>
      </c>
      <c r="E3622" t="n">
        <v>8637.66</v>
      </c>
      <c r="F3622" t="n">
        <v>12791.75</v>
      </c>
    </row>
    <row r="3623">
      <c r="A3623" s="3" t="n">
        <v>43780</v>
      </c>
      <c r="B3623" t="n">
        <v>15440.25</v>
      </c>
      <c r="C3623" t="n">
        <v>7522.29</v>
      </c>
      <c r="D3623" t="n">
        <v>3696.95</v>
      </c>
      <c r="E3623" t="n">
        <v>8621.02</v>
      </c>
      <c r="F3623" t="n">
        <v>12810.4</v>
      </c>
    </row>
    <row r="3624">
      <c r="A3624" s="3" t="n">
        <v>43782</v>
      </c>
      <c r="B3624" t="n">
        <v>15337.01</v>
      </c>
      <c r="C3624" t="n">
        <v>7457.4</v>
      </c>
      <c r="D3624" t="n">
        <v>3634.96</v>
      </c>
      <c r="E3624" t="n">
        <v>8604.92</v>
      </c>
      <c r="F3624" t="n">
        <v>12666.5</v>
      </c>
    </row>
    <row r="3625">
      <c r="A3625" s="3" t="n">
        <v>43783</v>
      </c>
      <c r="B3625" t="n">
        <v>15406.97</v>
      </c>
      <c r="C3625" t="n">
        <v>7478.02</v>
      </c>
      <c r="D3625" t="n">
        <v>3598.59</v>
      </c>
      <c r="E3625" t="n">
        <v>8601.690000000001</v>
      </c>
      <c r="F3625" t="n">
        <v>12750.15</v>
      </c>
    </row>
    <row r="3626">
      <c r="A3626" s="3" t="n">
        <v>43784</v>
      </c>
      <c r="B3626" t="n">
        <v>15428.36</v>
      </c>
      <c r="C3626" t="n">
        <v>7462.52</v>
      </c>
      <c r="D3626" t="n">
        <v>3588.37</v>
      </c>
      <c r="E3626" t="n">
        <v>8590.629999999999</v>
      </c>
      <c r="F3626" t="n">
        <v>12679.05</v>
      </c>
    </row>
    <row r="3627">
      <c r="A3627" s="3" t="n">
        <v>43787</v>
      </c>
      <c r="B3627" t="n">
        <v>15467.65</v>
      </c>
      <c r="C3627" t="n">
        <v>7426.33</v>
      </c>
      <c r="D3627" t="n">
        <v>3630.77</v>
      </c>
      <c r="E3627" t="n">
        <v>8566.51</v>
      </c>
      <c r="F3627" t="n">
        <v>12717.6</v>
      </c>
    </row>
    <row r="3628">
      <c r="A3628" s="3" t="n">
        <v>43788</v>
      </c>
      <c r="B3628" t="n">
        <v>15523.72</v>
      </c>
      <c r="C3628" t="n">
        <v>7414.78</v>
      </c>
      <c r="D3628" t="n">
        <v>3627.84</v>
      </c>
      <c r="E3628" t="n">
        <v>8571.700000000001</v>
      </c>
      <c r="F3628" t="n">
        <v>12751.05</v>
      </c>
    </row>
    <row r="3629">
      <c r="A3629" s="3" t="n">
        <v>43789</v>
      </c>
      <c r="B3629" t="n">
        <v>15585.55</v>
      </c>
      <c r="C3629" t="n">
        <v>7434.79</v>
      </c>
      <c r="D3629" t="n">
        <v>3632.22</v>
      </c>
      <c r="E3629" t="n">
        <v>8589.780000000001</v>
      </c>
      <c r="F3629" t="n">
        <v>12748.5</v>
      </c>
    </row>
    <row r="3630">
      <c r="A3630" s="3" t="n">
        <v>43790</v>
      </c>
      <c r="B3630" t="n">
        <v>15489.64</v>
      </c>
      <c r="C3630" t="n">
        <v>7392.32</v>
      </c>
      <c r="D3630" t="n">
        <v>3579.01</v>
      </c>
      <c r="E3630" t="n">
        <v>8568.75</v>
      </c>
      <c r="F3630" t="n">
        <v>12668.35</v>
      </c>
    </row>
    <row r="3631">
      <c r="A3631" s="3" t="n">
        <v>43791</v>
      </c>
      <c r="B3631" t="n">
        <v>15398.02</v>
      </c>
      <c r="C3631" t="n">
        <v>7328.22</v>
      </c>
      <c r="D3631" t="n">
        <v>3618.31</v>
      </c>
      <c r="E3631" t="n">
        <v>8515.940000000001</v>
      </c>
      <c r="F3631" t="n">
        <v>12598.95</v>
      </c>
    </row>
    <row r="3632">
      <c r="A3632" s="3" t="n">
        <v>43794</v>
      </c>
      <c r="B3632" t="n">
        <v>15587.3</v>
      </c>
      <c r="C3632" t="n">
        <v>7415.49</v>
      </c>
      <c r="D3632" t="n">
        <v>3675.32</v>
      </c>
      <c r="E3632" t="n">
        <v>8594.76</v>
      </c>
      <c r="F3632" t="n">
        <v>12701.5</v>
      </c>
    </row>
    <row r="3633">
      <c r="A3633" s="3" t="n">
        <v>43795</v>
      </c>
      <c r="B3633" t="n">
        <v>15519.49</v>
      </c>
      <c r="C3633" t="n">
        <v>7356.23</v>
      </c>
      <c r="D3633" t="n">
        <v>3618.57</v>
      </c>
      <c r="E3633" t="n">
        <v>8542.58</v>
      </c>
      <c r="F3633" t="n">
        <v>12638.35</v>
      </c>
    </row>
    <row r="3634">
      <c r="A3634" s="3" t="n">
        <v>43796</v>
      </c>
      <c r="B3634" t="n">
        <v>15619.11</v>
      </c>
      <c r="C3634" t="n">
        <v>7431.64</v>
      </c>
      <c r="D3634" t="n">
        <v>3633.16</v>
      </c>
      <c r="E3634" t="n">
        <v>8587.219999999999</v>
      </c>
      <c r="F3634" t="n">
        <v>12689.05</v>
      </c>
    </row>
    <row r="3635">
      <c r="A3635" s="3" t="n">
        <v>43797</v>
      </c>
      <c r="B3635" t="n">
        <v>15734.6</v>
      </c>
      <c r="C3635" t="n">
        <v>7458.49</v>
      </c>
      <c r="D3635" t="n">
        <v>3696.49</v>
      </c>
      <c r="E3635" t="n">
        <v>8601.889999999999</v>
      </c>
      <c r="F3635" t="n">
        <v>12768.6</v>
      </c>
    </row>
    <row r="3636">
      <c r="A3636" s="3" t="n">
        <v>43798</v>
      </c>
      <c r="B3636" t="n">
        <v>15637.93</v>
      </c>
      <c r="C3636" t="n">
        <v>7393.87</v>
      </c>
      <c r="D3636" t="n">
        <v>3655.73</v>
      </c>
      <c r="E3636" t="n">
        <v>8551.17</v>
      </c>
      <c r="F3636" t="n">
        <v>12771.4</v>
      </c>
    </row>
    <row r="3637">
      <c r="A3637" s="3" t="n">
        <v>43801</v>
      </c>
      <c r="B3637" t="n">
        <v>15578.14</v>
      </c>
      <c r="C3637" t="n">
        <v>7347.71</v>
      </c>
      <c r="D3637" t="n">
        <v>3628.9</v>
      </c>
      <c r="E3637" t="n">
        <v>8554.129999999999</v>
      </c>
      <c r="F3637" t="n">
        <v>12708.15</v>
      </c>
    </row>
    <row r="3638">
      <c r="A3638" s="3" t="n">
        <v>43802</v>
      </c>
      <c r="B3638" t="n">
        <v>15549.7</v>
      </c>
      <c r="C3638" t="n">
        <v>7333.47</v>
      </c>
      <c r="D3638" t="n">
        <v>3563.31</v>
      </c>
      <c r="E3638" t="n">
        <v>8531.15</v>
      </c>
      <c r="F3638" t="n">
        <v>12686.75</v>
      </c>
    </row>
    <row r="3639">
      <c r="A3639" s="3" t="n">
        <v>43803</v>
      </c>
      <c r="B3639" t="n">
        <v>15638.91</v>
      </c>
      <c r="C3639" t="n">
        <v>7362.32</v>
      </c>
      <c r="D3639" t="n">
        <v>3604.74</v>
      </c>
      <c r="E3639" t="n">
        <v>8538.459999999999</v>
      </c>
      <c r="F3639" t="n">
        <v>12729.15</v>
      </c>
    </row>
    <row r="3640">
      <c r="A3640" s="3" t="n">
        <v>43804</v>
      </c>
      <c r="B3640" t="n">
        <v>15612.16</v>
      </c>
      <c r="C3640" t="n">
        <v>7366.82</v>
      </c>
      <c r="D3640" t="n">
        <v>3568.46</v>
      </c>
      <c r="E3640" t="n">
        <v>8539.1</v>
      </c>
      <c r="F3640" t="n">
        <v>12719.05</v>
      </c>
    </row>
    <row r="3641">
      <c r="A3641" s="3" t="n">
        <v>43805</v>
      </c>
      <c r="B3641" t="n">
        <v>15458.47</v>
      </c>
      <c r="C3641" t="n">
        <v>7311.61</v>
      </c>
      <c r="D3641" t="n">
        <v>3511.67</v>
      </c>
      <c r="E3641" t="n">
        <v>8492.65</v>
      </c>
      <c r="F3641" t="n">
        <v>12615.7</v>
      </c>
    </row>
    <row r="3642">
      <c r="A3642" s="3" t="n">
        <v>43808</v>
      </c>
      <c r="B3642" t="n">
        <v>15488.32</v>
      </c>
      <c r="C3642" t="n">
        <v>7293.41</v>
      </c>
      <c r="D3642" t="n">
        <v>3510.92</v>
      </c>
      <c r="E3642" t="n">
        <v>8483.01</v>
      </c>
      <c r="F3642" t="n">
        <v>12552.05</v>
      </c>
    </row>
    <row r="3643">
      <c r="A3643" s="3" t="n">
        <v>43809</v>
      </c>
      <c r="B3643" t="n">
        <v>15393.03</v>
      </c>
      <c r="C3643" t="n">
        <v>7235.17</v>
      </c>
      <c r="D3643" t="n">
        <v>3474.31</v>
      </c>
      <c r="E3643" t="n">
        <v>8419.370000000001</v>
      </c>
      <c r="F3643" t="n">
        <v>12456.6</v>
      </c>
    </row>
    <row r="3644">
      <c r="A3644" s="3" t="n">
        <v>43810</v>
      </c>
      <c r="B3644" t="n">
        <v>15502.09</v>
      </c>
      <c r="C3644" t="n">
        <v>7265.75</v>
      </c>
      <c r="D3644" t="n">
        <v>3493.35</v>
      </c>
      <c r="E3644" t="n">
        <v>8452.040000000001</v>
      </c>
      <c r="F3644" t="n">
        <v>12619.65</v>
      </c>
    </row>
    <row r="3645">
      <c r="A3645" s="3" t="n">
        <v>43811</v>
      </c>
      <c r="B3645" t="n">
        <v>15563.8</v>
      </c>
      <c r="C3645" t="n">
        <v>7286.01</v>
      </c>
      <c r="D3645" t="n">
        <v>3564.83</v>
      </c>
      <c r="E3645" t="n">
        <v>8472.68</v>
      </c>
      <c r="F3645" t="n">
        <v>12671.15</v>
      </c>
    </row>
    <row r="3646">
      <c r="A3646" s="3" t="n">
        <v>43812</v>
      </c>
      <c r="B3646" t="n">
        <v>15712.27</v>
      </c>
      <c r="C3646" t="n">
        <v>7341.3</v>
      </c>
      <c r="D3646" t="n">
        <v>3621.79</v>
      </c>
      <c r="E3646" t="n">
        <v>8536.219999999999</v>
      </c>
      <c r="F3646" t="n">
        <v>12753.3</v>
      </c>
    </row>
    <row r="3647">
      <c r="A3647" s="3" t="n">
        <v>43815</v>
      </c>
      <c r="B3647" t="n">
        <v>15691.48</v>
      </c>
      <c r="C3647" t="n">
        <v>7315.26</v>
      </c>
      <c r="D3647" t="n">
        <v>3592.81</v>
      </c>
      <c r="E3647" t="n">
        <v>8509.200000000001</v>
      </c>
      <c r="F3647" t="n">
        <v>12736.8</v>
      </c>
    </row>
    <row r="3648">
      <c r="A3648" s="3" t="n">
        <v>43816</v>
      </c>
      <c r="B3648" t="n">
        <v>15767.4</v>
      </c>
      <c r="C3648" t="n">
        <v>7371.41</v>
      </c>
      <c r="D3648" t="n">
        <v>3634.73</v>
      </c>
      <c r="E3648" t="n">
        <v>8575.67</v>
      </c>
      <c r="F3648" t="n">
        <v>12806.6</v>
      </c>
    </row>
    <row r="3649">
      <c r="A3649" s="3" t="n">
        <v>43817</v>
      </c>
      <c r="B3649" t="n">
        <v>15770.09</v>
      </c>
      <c r="C3649" t="n">
        <v>7393.48</v>
      </c>
      <c r="D3649" t="n">
        <v>3618.87</v>
      </c>
      <c r="E3649" t="n">
        <v>8620.27</v>
      </c>
      <c r="F3649" t="n">
        <v>12798.7</v>
      </c>
    </row>
    <row r="3650">
      <c r="A3650" s="3" t="n">
        <v>43818</v>
      </c>
      <c r="B3650" t="n">
        <v>15808.24</v>
      </c>
      <c r="C3650" t="n">
        <v>7420.62</v>
      </c>
      <c r="D3650" t="n">
        <v>3619.66</v>
      </c>
      <c r="E3650" t="n">
        <v>8641.17</v>
      </c>
      <c r="F3650" t="n">
        <v>12825.55</v>
      </c>
    </row>
    <row r="3651">
      <c r="A3651" s="3" t="n">
        <v>43819</v>
      </c>
      <c r="B3651" t="n">
        <v>15930.11</v>
      </c>
      <c r="C3651" t="n">
        <v>7431.08</v>
      </c>
      <c r="D3651" t="n">
        <v>3620.46</v>
      </c>
      <c r="E3651" t="n">
        <v>8617.809999999999</v>
      </c>
      <c r="F3651" t="n">
        <v>12909.35</v>
      </c>
    </row>
    <row r="3652">
      <c r="A3652" s="3" t="n">
        <v>43822</v>
      </c>
      <c r="B3652" t="n">
        <v>15910.45</v>
      </c>
      <c r="C3652" t="n">
        <v>7431.47</v>
      </c>
      <c r="D3652" t="n">
        <v>3607.72</v>
      </c>
      <c r="E3652" t="n">
        <v>8622.66</v>
      </c>
      <c r="F3652" t="n">
        <v>12901.35</v>
      </c>
    </row>
    <row r="3653">
      <c r="A3653" s="3" t="n">
        <v>43823</v>
      </c>
      <c r="B3653" t="n">
        <v>15858.28</v>
      </c>
      <c r="C3653" t="n">
        <v>7416.17</v>
      </c>
      <c r="D3653" t="n">
        <v>3612.26</v>
      </c>
      <c r="E3653" t="n">
        <v>8598.58</v>
      </c>
      <c r="F3653" t="n">
        <v>12893.2</v>
      </c>
    </row>
    <row r="3654">
      <c r="A3654" s="3" t="n">
        <v>43825</v>
      </c>
      <c r="B3654" t="n">
        <v>15808.52</v>
      </c>
      <c r="C3654" t="n">
        <v>7414.72</v>
      </c>
      <c r="D3654" t="n">
        <v>3611.59</v>
      </c>
      <c r="E3654" t="n">
        <v>8555.41</v>
      </c>
      <c r="F3654" t="n">
        <v>12878.25</v>
      </c>
    </row>
    <row r="3655">
      <c r="A3655" s="3" t="n">
        <v>43826</v>
      </c>
      <c r="B3655" t="n">
        <v>15924.76</v>
      </c>
      <c r="C3655" t="n">
        <v>7464.62</v>
      </c>
      <c r="D3655" t="n">
        <v>3647.16</v>
      </c>
      <c r="E3655" t="n">
        <v>8601.49</v>
      </c>
      <c r="F3655" t="n">
        <v>12947.55</v>
      </c>
    </row>
    <row r="3656">
      <c r="A3656" s="3" t="n">
        <v>43829</v>
      </c>
      <c r="B3656" t="n">
        <v>15915.58</v>
      </c>
      <c r="C3656" t="n">
        <v>7494.71</v>
      </c>
      <c r="D3656" t="n">
        <v>3657.77</v>
      </c>
      <c r="E3656" t="n">
        <v>8620.76</v>
      </c>
      <c r="F3656" t="n">
        <v>13029.65</v>
      </c>
    </row>
    <row r="3657">
      <c r="A3657" s="3" t="n">
        <v>43830</v>
      </c>
      <c r="B3657" t="n">
        <v>15811.46</v>
      </c>
      <c r="C3657" t="n">
        <v>7464.89</v>
      </c>
      <c r="D3657" t="n">
        <v>3678.14</v>
      </c>
      <c r="E3657" t="n">
        <v>8571.77</v>
      </c>
      <c r="F3657" t="n">
        <v>13071.95</v>
      </c>
    </row>
    <row r="3658">
      <c r="A3658" s="3" t="n">
        <v>43831</v>
      </c>
      <c r="B3658" t="n">
        <v>15824.64</v>
      </c>
      <c r="C3658" t="n">
        <v>7480.48</v>
      </c>
      <c r="D3658" t="n">
        <v>3689.27</v>
      </c>
      <c r="E3658" t="n">
        <v>8611.9</v>
      </c>
      <c r="F3658" t="n">
        <v>13191.15</v>
      </c>
    </row>
    <row r="3659">
      <c r="A3659" s="3" t="n">
        <v>43832</v>
      </c>
      <c r="B3659" t="n">
        <v>15856.03</v>
      </c>
      <c r="C3659" t="n">
        <v>7483.99</v>
      </c>
      <c r="D3659" t="n">
        <v>3756.51</v>
      </c>
      <c r="E3659" t="n">
        <v>8643.02</v>
      </c>
      <c r="F3659" t="n">
        <v>13284.7</v>
      </c>
    </row>
    <row r="3660">
      <c r="A3660" s="3" t="n">
        <v>43833</v>
      </c>
      <c r="B3660" t="n">
        <v>15828.87</v>
      </c>
      <c r="C3660" t="n">
        <v>7478.71</v>
      </c>
      <c r="D3660" t="n">
        <v>3734.03</v>
      </c>
      <c r="E3660" t="n">
        <v>8621.24</v>
      </c>
      <c r="F3660" t="n">
        <v>13351.2</v>
      </c>
    </row>
    <row r="3661">
      <c r="A3661" s="3" t="n">
        <v>43836</v>
      </c>
      <c r="B3661" t="n">
        <v>15489.54</v>
      </c>
      <c r="C3661" t="n">
        <v>7359.84</v>
      </c>
      <c r="D3661" t="n">
        <v>3614.1</v>
      </c>
      <c r="E3661" t="n">
        <v>8526.77</v>
      </c>
      <c r="F3661" t="n">
        <v>13147.25</v>
      </c>
    </row>
    <row r="3662">
      <c r="A3662" s="3" t="n">
        <v>43837</v>
      </c>
      <c r="B3662" t="n">
        <v>15574.55</v>
      </c>
      <c r="C3662" t="n">
        <v>7381.83</v>
      </c>
      <c r="D3662" t="n">
        <v>3634.83</v>
      </c>
      <c r="E3662" t="n">
        <v>8576.639999999999</v>
      </c>
      <c r="F3662" t="n">
        <v>13313</v>
      </c>
    </row>
    <row r="3663">
      <c r="A3663" s="3" t="n">
        <v>43838</v>
      </c>
      <c r="B3663" t="n">
        <v>15629.5</v>
      </c>
      <c r="C3663" t="n">
        <v>7371.94</v>
      </c>
      <c r="D3663" t="n">
        <v>3612.05</v>
      </c>
      <c r="E3663" t="n">
        <v>8568.469999999999</v>
      </c>
      <c r="F3663" t="n">
        <v>13389.8</v>
      </c>
    </row>
    <row r="3664">
      <c r="A3664" s="3" t="n">
        <v>43839</v>
      </c>
      <c r="B3664" t="n">
        <v>15848.27</v>
      </c>
      <c r="C3664" t="n">
        <v>7435.86</v>
      </c>
      <c r="D3664" t="n">
        <v>3685.58</v>
      </c>
      <c r="E3664" t="n">
        <v>8643.879999999999</v>
      </c>
      <c r="F3664" t="n">
        <v>13632.05</v>
      </c>
    </row>
    <row r="3665">
      <c r="A3665" s="3" t="n">
        <v>43840</v>
      </c>
      <c r="B3665" t="n">
        <v>15841.09</v>
      </c>
      <c r="C3665" t="n">
        <v>7491.73</v>
      </c>
      <c r="D3665" t="n">
        <v>3705.53</v>
      </c>
      <c r="E3665" t="n">
        <v>8687.99</v>
      </c>
      <c r="F3665" t="n">
        <v>13552.95</v>
      </c>
    </row>
    <row r="3666">
      <c r="A3666" s="3" t="n">
        <v>43843</v>
      </c>
      <c r="B3666" t="n">
        <v>15914.48</v>
      </c>
      <c r="C3666" t="n">
        <v>7567.2</v>
      </c>
      <c r="D3666" t="n">
        <v>3742.08</v>
      </c>
      <c r="E3666" t="n">
        <v>8747.709999999999</v>
      </c>
      <c r="F3666" t="n">
        <v>13534.5</v>
      </c>
    </row>
    <row r="3667">
      <c r="A3667" s="3" t="n">
        <v>43844</v>
      </c>
      <c r="B3667" t="n">
        <v>16037.69</v>
      </c>
      <c r="C3667" t="n">
        <v>7640.87</v>
      </c>
      <c r="D3667" t="n">
        <v>3739.74</v>
      </c>
      <c r="E3667" t="n">
        <v>8796.209999999999</v>
      </c>
      <c r="F3667" t="n">
        <v>13551.1</v>
      </c>
    </row>
    <row r="3668">
      <c r="A3668" s="3" t="n">
        <v>43845</v>
      </c>
      <c r="B3668" t="n">
        <v>16106.22</v>
      </c>
      <c r="C3668" t="n">
        <v>7695.19</v>
      </c>
      <c r="D3668" t="n">
        <v>3763.57</v>
      </c>
      <c r="E3668" t="n">
        <v>8820.02</v>
      </c>
      <c r="F3668" t="n">
        <v>13580.6</v>
      </c>
    </row>
    <row r="3669">
      <c r="A3669" s="3" t="n">
        <v>43846</v>
      </c>
      <c r="B3669" t="n">
        <v>16205.28</v>
      </c>
      <c r="C3669" t="n">
        <v>7743.96</v>
      </c>
      <c r="D3669" t="n">
        <v>3739.04</v>
      </c>
      <c r="E3669" t="n">
        <v>8848.85</v>
      </c>
      <c r="F3669" t="n">
        <v>13628.35</v>
      </c>
    </row>
    <row r="3670">
      <c r="A3670" s="3" t="n">
        <v>43847</v>
      </c>
      <c r="B3670" t="n">
        <v>16297.43</v>
      </c>
      <c r="C3670" t="n">
        <v>7753.22</v>
      </c>
      <c r="D3670" t="n">
        <v>3708.39</v>
      </c>
      <c r="E3670" t="n">
        <v>8863.280000000001</v>
      </c>
      <c r="F3670" t="n">
        <v>13696.5</v>
      </c>
    </row>
    <row r="3671">
      <c r="A3671" s="3" t="n">
        <v>43850</v>
      </c>
      <c r="B3671" t="n">
        <v>16204.37</v>
      </c>
      <c r="C3671" t="n">
        <v>7697.15</v>
      </c>
      <c r="D3671" t="n">
        <v>3653.06</v>
      </c>
      <c r="E3671" t="n">
        <v>8820.780000000001</v>
      </c>
      <c r="F3671" t="n">
        <v>13699.8</v>
      </c>
    </row>
    <row r="3672">
      <c r="A3672" s="3" t="n">
        <v>43851</v>
      </c>
      <c r="B3672" t="n">
        <v>16129.81</v>
      </c>
      <c r="C3672" t="n">
        <v>7653.37</v>
      </c>
      <c r="D3672" t="n">
        <v>3631.93</v>
      </c>
      <c r="E3672" t="n">
        <v>8777.530000000001</v>
      </c>
      <c r="F3672" t="n">
        <v>13677.15</v>
      </c>
    </row>
    <row r="3673">
      <c r="A3673" s="3" t="n">
        <v>43852</v>
      </c>
      <c r="B3673" t="n">
        <v>16096.98</v>
      </c>
      <c r="C3673" t="n">
        <v>7642.48</v>
      </c>
      <c r="D3673" t="n">
        <v>3603.97</v>
      </c>
      <c r="E3673" t="n">
        <v>8749.5</v>
      </c>
      <c r="F3673" t="n">
        <v>13651.45</v>
      </c>
    </row>
    <row r="3674">
      <c r="A3674" s="3" t="n">
        <v>43853</v>
      </c>
      <c r="B3674" t="n">
        <v>16269.91</v>
      </c>
      <c r="C3674" t="n">
        <v>7693.58</v>
      </c>
      <c r="D3674" t="n">
        <v>3664.36</v>
      </c>
      <c r="E3674" t="n">
        <v>8790.26</v>
      </c>
      <c r="F3674" t="n">
        <v>13838.2</v>
      </c>
    </row>
    <row r="3675">
      <c r="A3675" s="3" t="n">
        <v>43854</v>
      </c>
      <c r="B3675" t="n">
        <v>16412.38</v>
      </c>
      <c r="C3675" t="n">
        <v>7757.53</v>
      </c>
      <c r="D3675" t="n">
        <v>3704.61</v>
      </c>
      <c r="E3675" t="n">
        <v>8852.9</v>
      </c>
      <c r="F3675" t="n">
        <v>13935.85</v>
      </c>
    </row>
    <row r="3676">
      <c r="A3676" s="3" t="n">
        <v>43857</v>
      </c>
      <c r="B3676" t="n">
        <v>16379.84</v>
      </c>
      <c r="C3676" t="n">
        <v>7731.23</v>
      </c>
      <c r="D3676" t="n">
        <v>3655.85</v>
      </c>
      <c r="E3676" t="n">
        <v>8813.040000000001</v>
      </c>
      <c r="F3676" t="n">
        <v>13953.75</v>
      </c>
    </row>
    <row r="3677">
      <c r="A3677" s="3" t="n">
        <v>43858</v>
      </c>
      <c r="B3677" t="n">
        <v>16369.63</v>
      </c>
      <c r="C3677" t="n">
        <v>7701.78</v>
      </c>
      <c r="D3677" t="n">
        <v>3619.73</v>
      </c>
      <c r="E3677" t="n">
        <v>8795.780000000001</v>
      </c>
      <c r="F3677" t="n">
        <v>13959.65</v>
      </c>
    </row>
    <row r="3678">
      <c r="A3678" s="3" t="n">
        <v>43859</v>
      </c>
      <c r="B3678" t="n">
        <v>16492.3</v>
      </c>
      <c r="C3678" t="n">
        <v>7758.66</v>
      </c>
      <c r="D3678" t="n">
        <v>3639.7</v>
      </c>
      <c r="E3678" t="n">
        <v>8846.33</v>
      </c>
      <c r="F3678" t="n">
        <v>14005.8</v>
      </c>
    </row>
    <row r="3679">
      <c r="A3679" s="3" t="n">
        <v>43860</v>
      </c>
      <c r="B3679" t="n">
        <v>16371.41</v>
      </c>
      <c r="C3679" t="n">
        <v>7671.72</v>
      </c>
      <c r="D3679" t="n">
        <v>3595.29</v>
      </c>
      <c r="E3679" t="n">
        <v>8777.309999999999</v>
      </c>
      <c r="F3679" t="n">
        <v>13841.7</v>
      </c>
    </row>
    <row r="3680">
      <c r="A3680" s="3" t="n">
        <v>43861</v>
      </c>
      <c r="B3680" t="n">
        <v>16286.26</v>
      </c>
      <c r="C3680" t="n">
        <v>7628.67</v>
      </c>
      <c r="D3680" t="n">
        <v>3528.42</v>
      </c>
      <c r="E3680" t="n">
        <v>8722.860000000001</v>
      </c>
      <c r="F3680" t="n">
        <v>13893.5</v>
      </c>
    </row>
    <row r="3681">
      <c r="A3681" s="3" t="n">
        <v>43862</v>
      </c>
      <c r="B3681" t="n">
        <v>15734.19</v>
      </c>
      <c r="C3681" t="n">
        <v>7523.53</v>
      </c>
      <c r="D3681" t="n">
        <v>3401.2</v>
      </c>
      <c r="E3681" t="n">
        <v>8581.16</v>
      </c>
      <c r="F3681" t="n">
        <v>13481.1</v>
      </c>
    </row>
    <row r="3682">
      <c r="A3682" s="3" t="n">
        <v>43864</v>
      </c>
      <c r="B3682" t="n">
        <v>16017.76</v>
      </c>
      <c r="C3682" t="n">
        <v>7601.99</v>
      </c>
      <c r="D3682" t="n">
        <v>3374.75</v>
      </c>
      <c r="E3682" t="n">
        <v>8653.65</v>
      </c>
      <c r="F3682" t="n">
        <v>13692.85</v>
      </c>
    </row>
    <row r="3683">
      <c r="A3683" s="3" t="n">
        <v>43865</v>
      </c>
      <c r="B3683" t="n">
        <v>16331.6</v>
      </c>
      <c r="C3683" t="n">
        <v>7704.48</v>
      </c>
      <c r="D3683" t="n">
        <v>3469.08</v>
      </c>
      <c r="E3683" t="n">
        <v>8769.16</v>
      </c>
      <c r="F3683" t="n">
        <v>13914.15</v>
      </c>
    </row>
    <row r="3684">
      <c r="A3684" s="3" t="n">
        <v>43866</v>
      </c>
      <c r="B3684" t="n">
        <v>16510.77</v>
      </c>
      <c r="C3684" t="n">
        <v>7708.85</v>
      </c>
      <c r="D3684" t="n">
        <v>3543.74</v>
      </c>
      <c r="E3684" t="n">
        <v>8807.73</v>
      </c>
      <c r="F3684" t="n">
        <v>13991.05</v>
      </c>
    </row>
    <row r="3685">
      <c r="A3685" s="3" t="n">
        <v>43867</v>
      </c>
      <c r="B3685" t="n">
        <v>16678.95</v>
      </c>
      <c r="C3685" t="n">
        <v>7746.88</v>
      </c>
      <c r="D3685" t="n">
        <v>3596.12</v>
      </c>
      <c r="E3685" t="n">
        <v>8809.629999999999</v>
      </c>
      <c r="F3685" t="n">
        <v>14118.7</v>
      </c>
    </row>
    <row r="3686">
      <c r="A3686" s="3" t="n">
        <v>43868</v>
      </c>
      <c r="B3686" t="n">
        <v>16703.81</v>
      </c>
      <c r="C3686" t="n">
        <v>7787.63</v>
      </c>
      <c r="D3686" t="n">
        <v>3622.11</v>
      </c>
      <c r="E3686" t="n">
        <v>8831.66</v>
      </c>
      <c r="F3686" t="n">
        <v>14279.85</v>
      </c>
    </row>
    <row r="3687">
      <c r="A3687" s="3" t="n">
        <v>43871</v>
      </c>
      <c r="B3687" t="n">
        <v>16724.48</v>
      </c>
      <c r="C3687" t="n">
        <v>7732.46</v>
      </c>
      <c r="D3687" t="n">
        <v>3551.52</v>
      </c>
      <c r="E3687" t="n">
        <v>8808.99</v>
      </c>
      <c r="F3687" t="n">
        <v>14251.75</v>
      </c>
    </row>
    <row r="3688">
      <c r="A3688" s="3" t="n">
        <v>43872</v>
      </c>
      <c r="B3688" t="n">
        <v>16702.52</v>
      </c>
      <c r="C3688" t="n">
        <v>7728.48</v>
      </c>
      <c r="D3688" t="n">
        <v>3578.73</v>
      </c>
      <c r="E3688" t="n">
        <v>8852.35</v>
      </c>
      <c r="F3688" t="n">
        <v>14253.45</v>
      </c>
    </row>
    <row r="3689">
      <c r="A3689" s="3" t="n">
        <v>43873</v>
      </c>
      <c r="B3689" t="n">
        <v>16751.44</v>
      </c>
      <c r="C3689" t="n">
        <v>7778.08</v>
      </c>
      <c r="D3689" t="n">
        <v>3539.85</v>
      </c>
      <c r="E3689" t="n">
        <v>8911</v>
      </c>
      <c r="F3689" t="n">
        <v>14304.3</v>
      </c>
    </row>
    <row r="3690">
      <c r="A3690" s="3" t="n">
        <v>43874</v>
      </c>
      <c r="B3690" t="n">
        <v>16695.78</v>
      </c>
      <c r="C3690" t="n">
        <v>7773.44</v>
      </c>
      <c r="D3690" t="n">
        <v>3520.6</v>
      </c>
      <c r="E3690" t="n">
        <v>8897.48</v>
      </c>
      <c r="F3690" t="n">
        <v>14225.9</v>
      </c>
    </row>
    <row r="3691">
      <c r="A3691" s="3" t="n">
        <v>43875</v>
      </c>
      <c r="B3691" t="n">
        <v>16684.22</v>
      </c>
      <c r="C3691" t="n">
        <v>7712.76</v>
      </c>
      <c r="D3691" t="n">
        <v>3482.39</v>
      </c>
      <c r="E3691" t="n">
        <v>8856.1</v>
      </c>
      <c r="F3691" t="n">
        <v>14268.65</v>
      </c>
    </row>
    <row r="3692">
      <c r="A3692" s="3" t="n">
        <v>43878</v>
      </c>
      <c r="B3692" t="n">
        <v>16528.62</v>
      </c>
      <c r="C3692" t="n">
        <v>7661.98</v>
      </c>
      <c r="D3692" t="n">
        <v>3416.4</v>
      </c>
      <c r="E3692" t="n">
        <v>8800.190000000001</v>
      </c>
      <c r="F3692" t="n">
        <v>14133</v>
      </c>
    </row>
    <row r="3693">
      <c r="A3693" s="3" t="n">
        <v>43879</v>
      </c>
      <c r="B3693" t="n">
        <v>16532.7</v>
      </c>
      <c r="C3693" t="n">
        <v>7652.64</v>
      </c>
      <c r="D3693" t="n">
        <v>3366.29</v>
      </c>
      <c r="E3693" t="n">
        <v>8780.809999999999</v>
      </c>
      <c r="F3693" t="n">
        <v>14100.3</v>
      </c>
    </row>
    <row r="3694">
      <c r="A3694" s="3" t="n">
        <v>43880</v>
      </c>
      <c r="B3694" t="n">
        <v>16807.86</v>
      </c>
      <c r="C3694" t="n">
        <v>7740.64</v>
      </c>
      <c r="D3694" t="n">
        <v>3429.3</v>
      </c>
      <c r="E3694" t="n">
        <v>8873.57</v>
      </c>
      <c r="F3694" t="n">
        <v>14429</v>
      </c>
    </row>
    <row r="3695">
      <c r="A3695" s="3" t="n">
        <v>43881</v>
      </c>
      <c r="B3695" t="n">
        <v>16779.6</v>
      </c>
      <c r="C3695" t="n">
        <v>7727.49</v>
      </c>
      <c r="D3695" t="n">
        <v>3448.71</v>
      </c>
      <c r="E3695" t="n">
        <v>8817.620000000001</v>
      </c>
      <c r="F3695" t="n">
        <v>14491.7</v>
      </c>
    </row>
    <row r="3696">
      <c r="A3696" s="3" t="n">
        <v>43885</v>
      </c>
      <c r="B3696" t="n">
        <v>16463.29</v>
      </c>
      <c r="C3696" t="n">
        <v>7611.82</v>
      </c>
      <c r="D3696" t="n">
        <v>3341.08</v>
      </c>
      <c r="E3696" t="n">
        <v>8681.889999999999</v>
      </c>
      <c r="F3696" t="n">
        <v>14213</v>
      </c>
    </row>
    <row r="3697">
      <c r="A3697" s="3" t="n">
        <v>43886</v>
      </c>
      <c r="B3697" t="n">
        <v>16409.61</v>
      </c>
      <c r="C3697" t="n">
        <v>7608.99</v>
      </c>
      <c r="D3697" t="n">
        <v>3322.8</v>
      </c>
      <c r="E3697" t="n">
        <v>8660.33</v>
      </c>
      <c r="F3697" t="n">
        <v>14091.65</v>
      </c>
    </row>
    <row r="3698">
      <c r="A3698" s="3" t="n">
        <v>43887</v>
      </c>
      <c r="B3698" t="n">
        <v>16277.67</v>
      </c>
      <c r="C3698" t="n">
        <v>7550.6</v>
      </c>
      <c r="D3698" t="n">
        <v>3280.9</v>
      </c>
      <c r="E3698" t="n">
        <v>8589.15</v>
      </c>
      <c r="F3698" t="n">
        <v>13935.65</v>
      </c>
    </row>
    <row r="3699">
      <c r="A3699" s="3" t="n">
        <v>43888</v>
      </c>
      <c r="B3699" t="n">
        <v>16228.41</v>
      </c>
      <c r="C3699" t="n">
        <v>7509.73</v>
      </c>
      <c r="D3699" t="n">
        <v>3256.03</v>
      </c>
      <c r="E3699" t="n">
        <v>8575.209999999999</v>
      </c>
      <c r="F3699" t="n">
        <v>13797.25</v>
      </c>
    </row>
    <row r="3700">
      <c r="A3700" s="3" t="n">
        <v>43889</v>
      </c>
      <c r="B3700" t="n">
        <v>15757.09</v>
      </c>
      <c r="C3700" t="n">
        <v>7225.33</v>
      </c>
      <c r="D3700" t="n">
        <v>3091.82</v>
      </c>
      <c r="E3700" t="n">
        <v>8320.77</v>
      </c>
      <c r="F3700" t="n">
        <v>13339.4</v>
      </c>
    </row>
    <row r="3701">
      <c r="A3701" s="3" t="n">
        <v>43892</v>
      </c>
      <c r="B3701" t="n">
        <v>15605.05</v>
      </c>
      <c r="C3701" t="n">
        <v>7221.41</v>
      </c>
      <c r="D3701" t="n">
        <v>3040.98</v>
      </c>
      <c r="E3701" t="n">
        <v>8286.57</v>
      </c>
      <c r="F3701" t="n">
        <v>13285.9</v>
      </c>
    </row>
    <row r="3702">
      <c r="A3702" s="3" t="n">
        <v>43893</v>
      </c>
      <c r="B3702" t="n">
        <v>15829.86</v>
      </c>
      <c r="C3702" t="n">
        <v>7356.28</v>
      </c>
      <c r="D3702" t="n">
        <v>3139.65</v>
      </c>
      <c r="E3702" t="n">
        <v>8422.92</v>
      </c>
      <c r="F3702" t="n">
        <v>13514.95</v>
      </c>
    </row>
    <row r="3703">
      <c r="A3703" s="3" t="n">
        <v>43894</v>
      </c>
      <c r="B3703" t="n">
        <v>15655.03</v>
      </c>
      <c r="C3703" t="n">
        <v>7344.79</v>
      </c>
      <c r="D3703" t="n">
        <v>3108.29</v>
      </c>
      <c r="E3703" t="n">
        <v>8435.25</v>
      </c>
      <c r="F3703" t="n">
        <v>13251.65</v>
      </c>
    </row>
    <row r="3704">
      <c r="A3704" s="3" t="n">
        <v>43895</v>
      </c>
      <c r="B3704" t="n">
        <v>15739.61</v>
      </c>
      <c r="C3704" t="n">
        <v>7399.68</v>
      </c>
      <c r="D3704" t="n">
        <v>3112.12</v>
      </c>
      <c r="E3704" t="n">
        <v>8486.76</v>
      </c>
      <c r="F3704" t="n">
        <v>13279.05</v>
      </c>
    </row>
    <row r="3705">
      <c r="A3705" s="3" t="n">
        <v>43896</v>
      </c>
      <c r="B3705" t="n">
        <v>15459.71</v>
      </c>
      <c r="C3705" t="n">
        <v>7285.24</v>
      </c>
      <c r="D3705" t="n">
        <v>2937.67</v>
      </c>
      <c r="E3705" t="n">
        <v>8361.440000000001</v>
      </c>
      <c r="F3705" t="n">
        <v>13013</v>
      </c>
    </row>
    <row r="3706">
      <c r="A3706" s="3" t="n">
        <v>43899</v>
      </c>
      <c r="B3706" t="n">
        <v>14848.73</v>
      </c>
      <c r="C3706" t="n">
        <v>6991.24</v>
      </c>
      <c r="D3706" t="n">
        <v>2790.6</v>
      </c>
      <c r="E3706" t="n">
        <v>8035.17</v>
      </c>
      <c r="F3706" t="n">
        <v>12433.5</v>
      </c>
    </row>
    <row r="3707">
      <c r="A3707" s="3" t="n">
        <v>43901</v>
      </c>
      <c r="B3707" t="n">
        <v>14802.74</v>
      </c>
      <c r="C3707" t="n">
        <v>6998.94</v>
      </c>
      <c r="D3707" t="n">
        <v>2778.25</v>
      </c>
      <c r="E3707" t="n">
        <v>8068.42</v>
      </c>
      <c r="F3707" t="n">
        <v>12364.95</v>
      </c>
    </row>
    <row r="3708">
      <c r="A3708" s="3" t="n">
        <v>43902</v>
      </c>
      <c r="B3708" t="n">
        <v>13667.27</v>
      </c>
      <c r="C3708" t="n">
        <v>6478.42</v>
      </c>
      <c r="D3708" t="n">
        <v>2503.08</v>
      </c>
      <c r="E3708" t="n">
        <v>7510.61</v>
      </c>
      <c r="F3708" t="n">
        <v>11362.45</v>
      </c>
    </row>
    <row r="3709">
      <c r="A3709" s="3" t="n">
        <v>43903</v>
      </c>
      <c r="B3709" t="n">
        <v>14146.35</v>
      </c>
      <c r="C3709" t="n">
        <v>6511.8</v>
      </c>
      <c r="D3709" t="n">
        <v>2616.23</v>
      </c>
      <c r="E3709" t="n">
        <v>7627.99</v>
      </c>
      <c r="F3709" t="n">
        <v>11643.45</v>
      </c>
    </row>
    <row r="3710">
      <c r="A3710" s="3" t="n">
        <v>43906</v>
      </c>
      <c r="B3710" t="n">
        <v>13369.79</v>
      </c>
      <c r="C3710" t="n">
        <v>6142.95</v>
      </c>
      <c r="D3710" t="n">
        <v>2494.14</v>
      </c>
      <c r="E3710" t="n">
        <v>7181.28</v>
      </c>
      <c r="F3710" t="n">
        <v>10992.15</v>
      </c>
    </row>
    <row r="3711">
      <c r="A3711" s="3" t="n">
        <v>43907</v>
      </c>
      <c r="B3711" t="n">
        <v>13020.96</v>
      </c>
      <c r="C3711" t="n">
        <v>6106.22</v>
      </c>
      <c r="D3711" t="n">
        <v>2518.45</v>
      </c>
      <c r="E3711" t="n">
        <v>7123.16</v>
      </c>
      <c r="F3711" t="n">
        <v>10758.4</v>
      </c>
    </row>
    <row r="3712">
      <c r="A3712" s="3" t="n">
        <v>43908</v>
      </c>
      <c r="B3712" t="n">
        <v>12135.43</v>
      </c>
      <c r="C3712" t="n">
        <v>5836.99</v>
      </c>
      <c r="D3712" t="n">
        <v>2433.16</v>
      </c>
      <c r="E3712" t="n">
        <v>6772.09</v>
      </c>
      <c r="F3712" t="n">
        <v>10100.2</v>
      </c>
    </row>
    <row r="3713">
      <c r="A3713" s="3" t="n">
        <v>43909</v>
      </c>
      <c r="B3713" t="n">
        <v>11746.08</v>
      </c>
      <c r="C3713" t="n">
        <v>5637.85</v>
      </c>
      <c r="D3713" t="n">
        <v>2258.62</v>
      </c>
      <c r="E3713" t="n">
        <v>6618.01</v>
      </c>
      <c r="F3713" t="n">
        <v>9773.299999999999</v>
      </c>
    </row>
    <row r="3714">
      <c r="A3714" s="3" t="n">
        <v>43910</v>
      </c>
      <c r="B3714" t="n">
        <v>12353.25</v>
      </c>
      <c r="C3714" t="n">
        <v>6000.16</v>
      </c>
      <c r="D3714" t="n">
        <v>2398.6</v>
      </c>
      <c r="E3714" t="n">
        <v>7040.82</v>
      </c>
      <c r="F3714" t="n">
        <v>10255</v>
      </c>
    </row>
    <row r="3715">
      <c r="A3715" s="3" t="n">
        <v>43913</v>
      </c>
      <c r="B3715" t="n">
        <v>10588.15</v>
      </c>
      <c r="C3715" t="n">
        <v>5319.3</v>
      </c>
      <c r="D3715" t="n">
        <v>2135.52</v>
      </c>
      <c r="E3715" t="n">
        <v>6296.71</v>
      </c>
      <c r="F3715" t="n">
        <v>8932.65</v>
      </c>
    </row>
    <row r="3716">
      <c r="A3716" s="3" t="n">
        <v>43914</v>
      </c>
      <c r="B3716" t="n">
        <v>10825.37</v>
      </c>
      <c r="C3716" t="n">
        <v>5483.13</v>
      </c>
      <c r="D3716" t="n">
        <v>2114.85</v>
      </c>
      <c r="E3716" t="n">
        <v>6434.78</v>
      </c>
      <c r="F3716" t="n">
        <v>9052.299999999999</v>
      </c>
    </row>
    <row r="3717">
      <c r="A3717" s="3" t="n">
        <v>43915</v>
      </c>
      <c r="B3717" t="n">
        <v>11534.12</v>
      </c>
      <c r="C3717" t="n">
        <v>5656.03</v>
      </c>
      <c r="D3717" t="n">
        <v>2179.16</v>
      </c>
      <c r="E3717" t="n">
        <v>6716.32</v>
      </c>
      <c r="F3717" t="n">
        <v>9559.35</v>
      </c>
    </row>
    <row r="3718">
      <c r="A3718" s="3" t="n">
        <v>43916</v>
      </c>
      <c r="B3718" t="n">
        <v>12095</v>
      </c>
      <c r="C3718" t="n">
        <v>5853.57</v>
      </c>
      <c r="D3718" t="n">
        <v>2230.7</v>
      </c>
      <c r="E3718" t="n">
        <v>6945.2</v>
      </c>
      <c r="F3718" t="n">
        <v>9974.549999999999</v>
      </c>
    </row>
    <row r="3719">
      <c r="A3719" s="3" t="n">
        <v>43917</v>
      </c>
      <c r="B3719" t="n">
        <v>11901.02</v>
      </c>
      <c r="C3719" t="n">
        <v>5810.7</v>
      </c>
      <c r="D3719" t="n">
        <v>2212.32</v>
      </c>
      <c r="E3719" t="n">
        <v>6949.69</v>
      </c>
      <c r="F3719" t="n">
        <v>9883.9</v>
      </c>
    </row>
    <row r="3720">
      <c r="A3720" s="3" t="n">
        <v>43920</v>
      </c>
      <c r="B3720" t="n">
        <v>11727.55</v>
      </c>
      <c r="C3720" t="n">
        <v>5729.4</v>
      </c>
      <c r="D3720" t="n">
        <v>2177.77</v>
      </c>
      <c r="E3720" t="n">
        <v>6836.86</v>
      </c>
      <c r="F3720" t="n">
        <v>9754.25</v>
      </c>
    </row>
    <row r="3721">
      <c r="A3721" s="3" t="n">
        <v>43921</v>
      </c>
      <c r="B3721" t="n">
        <v>12182.03</v>
      </c>
      <c r="C3721" t="n">
        <v>5961.85</v>
      </c>
      <c r="D3721" t="n">
        <v>2299.01</v>
      </c>
      <c r="E3721" t="n">
        <v>7100.53</v>
      </c>
      <c r="F3721" t="n">
        <v>10067.55</v>
      </c>
    </row>
    <row r="3722">
      <c r="A3722" s="3" t="n">
        <v>43922</v>
      </c>
      <c r="B3722" t="n">
        <v>11925.9</v>
      </c>
      <c r="C3722" t="n">
        <v>5792.07</v>
      </c>
      <c r="D3722" t="n">
        <v>2261.06</v>
      </c>
      <c r="E3722" t="n">
        <v>6844.9</v>
      </c>
      <c r="F3722" t="n">
        <v>9976.75</v>
      </c>
    </row>
    <row r="3723">
      <c r="A3723" s="3" t="n">
        <v>43924</v>
      </c>
      <c r="B3723" t="n">
        <v>11808.18</v>
      </c>
      <c r="C3723" t="n">
        <v>5696.77</v>
      </c>
      <c r="D3723" t="n">
        <v>2259.72</v>
      </c>
      <c r="E3723" t="n">
        <v>6793.73</v>
      </c>
      <c r="F3723" t="n">
        <v>9840.1</v>
      </c>
    </row>
    <row r="3724">
      <c r="A3724" s="3" t="n">
        <v>43928</v>
      </c>
      <c r="B3724" t="n">
        <v>12745.98</v>
      </c>
      <c r="C3724" t="n">
        <v>6123.11</v>
      </c>
      <c r="D3724" t="n">
        <v>2376.49</v>
      </c>
      <c r="E3724" t="n">
        <v>7273.83</v>
      </c>
      <c r="F3724" t="n">
        <v>10476.05</v>
      </c>
    </row>
    <row r="3725">
      <c r="A3725" s="3" t="n">
        <v>43929</v>
      </c>
      <c r="B3725" t="n">
        <v>12808.31</v>
      </c>
      <c r="C3725" t="n">
        <v>6178.17</v>
      </c>
      <c r="D3725" t="n">
        <v>2399.51</v>
      </c>
      <c r="E3725" t="n">
        <v>7316.93</v>
      </c>
      <c r="F3725" t="n">
        <v>10641</v>
      </c>
    </row>
    <row r="3726">
      <c r="A3726" s="3" t="n">
        <v>43930</v>
      </c>
      <c r="B3726" t="n">
        <v>13233.33</v>
      </c>
      <c r="C3726" t="n">
        <v>6333.64</v>
      </c>
      <c r="D3726" t="n">
        <v>2486.2</v>
      </c>
      <c r="E3726" t="n">
        <v>7502.8</v>
      </c>
      <c r="F3726" t="n">
        <v>10953.65</v>
      </c>
    </row>
    <row r="3727">
      <c r="A3727" s="3" t="n">
        <v>43934</v>
      </c>
      <c r="B3727" t="n">
        <v>13137.54</v>
      </c>
      <c r="C3727" t="n">
        <v>6241.64</v>
      </c>
      <c r="D3727" t="n">
        <v>2492.48</v>
      </c>
      <c r="E3727" t="n">
        <v>7442.06</v>
      </c>
      <c r="F3727" t="n">
        <v>10865.45</v>
      </c>
    </row>
    <row r="3728">
      <c r="A3728" s="3" t="n">
        <v>43936</v>
      </c>
      <c r="B3728" t="n">
        <v>13167</v>
      </c>
      <c r="C3728" t="n">
        <v>6366.73</v>
      </c>
      <c r="D3728" t="n">
        <v>2498.35</v>
      </c>
      <c r="E3728" t="n">
        <v>7507</v>
      </c>
      <c r="F3728" t="n">
        <v>10954.6</v>
      </c>
    </row>
    <row r="3729">
      <c r="A3729" s="3" t="n">
        <v>43937</v>
      </c>
      <c r="B3729" t="n">
        <v>13278.49</v>
      </c>
      <c r="C3729" t="n">
        <v>6382.46</v>
      </c>
      <c r="D3729" t="n">
        <v>2554.26</v>
      </c>
      <c r="E3729" t="n">
        <v>7553.1</v>
      </c>
      <c r="F3729" t="n">
        <v>11124.65</v>
      </c>
    </row>
    <row r="3730">
      <c r="A3730" s="3" t="n">
        <v>43938</v>
      </c>
      <c r="B3730" t="n">
        <v>13562.88</v>
      </c>
      <c r="C3730" t="n">
        <v>6412.61</v>
      </c>
      <c r="D3730" t="n">
        <v>2612.14</v>
      </c>
      <c r="E3730" t="n">
        <v>7616.57</v>
      </c>
      <c r="F3730" t="n">
        <v>11382.65</v>
      </c>
    </row>
    <row r="3731">
      <c r="A3731" s="3" t="n">
        <v>43941</v>
      </c>
      <c r="B3731" t="n">
        <v>13577.84</v>
      </c>
      <c r="C3731" t="n">
        <v>6395.06</v>
      </c>
      <c r="D3731" t="n">
        <v>2595.55</v>
      </c>
      <c r="E3731" t="n">
        <v>7594.86</v>
      </c>
      <c r="F3731" t="n">
        <v>11402.35</v>
      </c>
    </row>
    <row r="3732">
      <c r="A3732" s="3" t="n">
        <v>43942</v>
      </c>
      <c r="B3732" t="n">
        <v>13263.66</v>
      </c>
      <c r="C3732" t="n">
        <v>6286.75</v>
      </c>
      <c r="D3732" t="n">
        <v>2494.25</v>
      </c>
      <c r="E3732" t="n">
        <v>7484.82</v>
      </c>
      <c r="F3732" t="n">
        <v>11021.15</v>
      </c>
    </row>
    <row r="3733">
      <c r="A3733" s="3" t="n">
        <v>43943</v>
      </c>
      <c r="B3733" t="n">
        <v>13527.04</v>
      </c>
      <c r="C3733" t="n">
        <v>6420.14</v>
      </c>
      <c r="D3733" t="n">
        <v>2487.28</v>
      </c>
      <c r="E3733" t="n">
        <v>7620.22</v>
      </c>
      <c r="F3733" t="n">
        <v>11127.8</v>
      </c>
    </row>
    <row r="3734">
      <c r="A3734" s="3" t="n">
        <v>43944</v>
      </c>
      <c r="B3734" t="n">
        <v>13618.42</v>
      </c>
      <c r="C3734" t="n">
        <v>6493.27</v>
      </c>
      <c r="D3734" t="n">
        <v>2510.61</v>
      </c>
      <c r="E3734" t="n">
        <v>7649.52</v>
      </c>
      <c r="F3734" t="n">
        <v>11266.5</v>
      </c>
    </row>
    <row r="3735">
      <c r="A3735" s="3" t="n">
        <v>43945</v>
      </c>
      <c r="B3735" t="n">
        <v>13271.52</v>
      </c>
      <c r="C3735" t="n">
        <v>6415.72</v>
      </c>
      <c r="D3735" t="n">
        <v>2449.23</v>
      </c>
      <c r="E3735" t="n">
        <v>7612.93</v>
      </c>
      <c r="F3735" t="n">
        <v>10950.2</v>
      </c>
    </row>
    <row r="3736">
      <c r="A3736" s="3" t="n">
        <v>43948</v>
      </c>
      <c r="B3736" t="n">
        <v>13662.51</v>
      </c>
      <c r="C3736" t="n">
        <v>6534.6</v>
      </c>
      <c r="D3736" t="n">
        <v>2464.16</v>
      </c>
      <c r="E3736" t="n">
        <v>7705.77</v>
      </c>
      <c r="F3736" t="n">
        <v>11227.55</v>
      </c>
    </row>
    <row r="3737">
      <c r="A3737" s="3" t="n">
        <v>43949</v>
      </c>
      <c r="B3737" t="n">
        <v>13741.43</v>
      </c>
      <c r="C3737" t="n">
        <v>6524.16</v>
      </c>
      <c r="D3737" t="n">
        <v>2476.58</v>
      </c>
      <c r="E3737" t="n">
        <v>7706.71</v>
      </c>
      <c r="F3737" t="n">
        <v>11378.55</v>
      </c>
    </row>
    <row r="3738">
      <c r="A3738" s="3" t="n">
        <v>43950</v>
      </c>
      <c r="B3738" t="n">
        <v>13885.25</v>
      </c>
      <c r="C3738" t="n">
        <v>6572.94</v>
      </c>
      <c r="D3738" t="n">
        <v>2539.08</v>
      </c>
      <c r="E3738" t="n">
        <v>7755.69</v>
      </c>
      <c r="F3738" t="n">
        <v>11508.1</v>
      </c>
    </row>
    <row r="3739">
      <c r="A3739" s="3" t="n">
        <v>43951</v>
      </c>
      <c r="B3739" t="n">
        <v>14112.68</v>
      </c>
      <c r="C3739" t="n">
        <v>6713.32</v>
      </c>
      <c r="D3739" t="n">
        <v>2652.01</v>
      </c>
      <c r="E3739" t="n">
        <v>7912.49</v>
      </c>
      <c r="F3739" t="n">
        <v>11722.2</v>
      </c>
    </row>
    <row r="3740">
      <c r="A3740" s="3" t="n">
        <v>43955</v>
      </c>
      <c r="B3740" t="n">
        <v>13595.7</v>
      </c>
      <c r="C3740" t="n">
        <v>6399.74</v>
      </c>
      <c r="D3740" t="n">
        <v>2500.79</v>
      </c>
      <c r="E3740" t="n">
        <v>7612.36</v>
      </c>
      <c r="F3740" t="n">
        <v>11305</v>
      </c>
    </row>
    <row r="3741">
      <c r="A3741" s="3" t="n">
        <v>43956</v>
      </c>
      <c r="B3741" t="n">
        <v>13465.98</v>
      </c>
      <c r="C3741" t="n">
        <v>6322.14</v>
      </c>
      <c r="D3741" t="n">
        <v>2491.26</v>
      </c>
      <c r="E3741" t="n">
        <v>7536.54</v>
      </c>
      <c r="F3741" t="n">
        <v>11234.65</v>
      </c>
    </row>
    <row r="3742">
      <c r="A3742" s="3" t="n">
        <v>43957</v>
      </c>
      <c r="B3742" t="n">
        <v>13635.36</v>
      </c>
      <c r="C3742" t="n">
        <v>6327.39</v>
      </c>
      <c r="D3742" t="n">
        <v>2485.83</v>
      </c>
      <c r="E3742" t="n">
        <v>7553.96</v>
      </c>
      <c r="F3742" t="n">
        <v>11354.25</v>
      </c>
    </row>
    <row r="3743">
      <c r="A3743" s="3" t="n">
        <v>43958</v>
      </c>
      <c r="B3743" t="n">
        <v>13551.73</v>
      </c>
      <c r="C3743" t="n">
        <v>6259.01</v>
      </c>
      <c r="D3743" t="n">
        <v>2467.14</v>
      </c>
      <c r="E3743" t="n">
        <v>7460.94</v>
      </c>
      <c r="F3743" t="n">
        <v>11314.6</v>
      </c>
    </row>
    <row r="3744">
      <c r="A3744" s="3" t="n">
        <v>43959</v>
      </c>
      <c r="B3744" t="n">
        <v>13679.54</v>
      </c>
      <c r="C3744" t="n">
        <v>6310.24</v>
      </c>
      <c r="D3744" t="n">
        <v>2432.1</v>
      </c>
      <c r="E3744" t="n">
        <v>7531.16</v>
      </c>
      <c r="F3744" t="n">
        <v>11363.15</v>
      </c>
    </row>
    <row r="3745">
      <c r="A3745" s="3" t="n">
        <v>43962</v>
      </c>
      <c r="B3745" t="n">
        <v>13664.52</v>
      </c>
      <c r="C3745" t="n">
        <v>6357.42</v>
      </c>
      <c r="D3745" t="n">
        <v>2449.12</v>
      </c>
      <c r="E3745" t="n">
        <v>7530.67</v>
      </c>
      <c r="F3745" t="n">
        <v>11417.7</v>
      </c>
    </row>
    <row r="3746">
      <c r="A3746" s="3" t="n">
        <v>43963</v>
      </c>
      <c r="B3746" t="n">
        <v>13622.67</v>
      </c>
      <c r="C3746" t="n">
        <v>6350.11</v>
      </c>
      <c r="D3746" t="n">
        <v>2457.5</v>
      </c>
      <c r="E3746" t="n">
        <v>7473.04</v>
      </c>
      <c r="F3746" t="n">
        <v>11401.55</v>
      </c>
    </row>
    <row r="3747">
      <c r="A3747" s="3" t="n">
        <v>43964</v>
      </c>
      <c r="B3747" t="n">
        <v>13755.81</v>
      </c>
      <c r="C3747" t="n">
        <v>6406.45</v>
      </c>
      <c r="D3747" t="n">
        <v>2558.71</v>
      </c>
      <c r="E3747" t="n">
        <v>7548.07</v>
      </c>
      <c r="F3747" t="n">
        <v>11542</v>
      </c>
    </row>
    <row r="3748">
      <c r="A3748" s="3" t="n">
        <v>43965</v>
      </c>
      <c r="B3748" t="n">
        <v>13563.65</v>
      </c>
      <c r="C3748" t="n">
        <v>6355.58</v>
      </c>
      <c r="D3748" t="n">
        <v>2516.96</v>
      </c>
      <c r="E3748" t="n">
        <v>7448.38</v>
      </c>
      <c r="F3748" t="n">
        <v>11462.7</v>
      </c>
    </row>
    <row r="3749">
      <c r="A3749" s="3" t="n">
        <v>43966</v>
      </c>
      <c r="B3749" t="n">
        <v>13553.14</v>
      </c>
      <c r="C3749" t="n">
        <v>6334.53</v>
      </c>
      <c r="D3749" t="n">
        <v>2531.64</v>
      </c>
      <c r="E3749" t="n">
        <v>7444.8</v>
      </c>
      <c r="F3749" t="n">
        <v>11425.9</v>
      </c>
    </row>
    <row r="3750">
      <c r="A3750" s="3" t="n">
        <v>43969</v>
      </c>
      <c r="B3750" t="n">
        <v>13059.69</v>
      </c>
      <c r="C3750" t="n">
        <v>6185.37</v>
      </c>
      <c r="D3750" t="n">
        <v>2428.11</v>
      </c>
      <c r="E3750" t="n">
        <v>7282.2</v>
      </c>
      <c r="F3750" t="n">
        <v>11039.25</v>
      </c>
    </row>
    <row r="3751">
      <c r="A3751" s="3" t="n">
        <v>43970</v>
      </c>
      <c r="B3751" t="n">
        <v>13212.96</v>
      </c>
      <c r="C3751" t="n">
        <v>6214.5</v>
      </c>
      <c r="D3751" t="n">
        <v>2450.5</v>
      </c>
      <c r="E3751" t="n">
        <v>7299.83</v>
      </c>
      <c r="F3751" t="n">
        <v>11083.1</v>
      </c>
    </row>
    <row r="3752">
      <c r="A3752" s="3" t="n">
        <v>43971</v>
      </c>
      <c r="B3752" t="n">
        <v>13389.69</v>
      </c>
      <c r="C3752" t="n">
        <v>6295.81</v>
      </c>
      <c r="D3752" t="n">
        <v>2476.69</v>
      </c>
      <c r="E3752" t="n">
        <v>7429.95</v>
      </c>
      <c r="F3752" t="n">
        <v>11212.6</v>
      </c>
    </row>
    <row r="3753">
      <c r="A3753" s="3" t="n">
        <v>43972</v>
      </c>
      <c r="B3753" t="n">
        <v>13474.65</v>
      </c>
      <c r="C3753" t="n">
        <v>6363.69</v>
      </c>
      <c r="D3753" t="n">
        <v>2487.4</v>
      </c>
      <c r="E3753" t="n">
        <v>7483.79</v>
      </c>
      <c r="F3753" t="n">
        <v>11275.7</v>
      </c>
    </row>
    <row r="3754">
      <c r="A3754" s="3" t="n">
        <v>43973</v>
      </c>
      <c r="B3754" t="n">
        <v>13341.59</v>
      </c>
      <c r="C3754" t="n">
        <v>6359.68</v>
      </c>
      <c r="D3754" t="n">
        <v>2454.86</v>
      </c>
      <c r="E3754" t="n">
        <v>7467.57</v>
      </c>
      <c r="F3754" t="n">
        <v>11227.25</v>
      </c>
    </row>
    <row r="3755">
      <c r="A3755" s="3" t="n">
        <v>43977</v>
      </c>
      <c r="B3755" t="n">
        <v>13296.39</v>
      </c>
      <c r="C3755" t="n">
        <v>6375.44</v>
      </c>
      <c r="D3755" t="n">
        <v>2471.25</v>
      </c>
      <c r="E3755" t="n">
        <v>7478.22</v>
      </c>
      <c r="F3755" t="n">
        <v>11286.9</v>
      </c>
    </row>
    <row r="3756">
      <c r="A3756" s="3" t="n">
        <v>43978</v>
      </c>
      <c r="B3756" t="n">
        <v>13380.85</v>
      </c>
      <c r="C3756" t="n">
        <v>6435.06</v>
      </c>
      <c r="D3756" t="n">
        <v>2525.58</v>
      </c>
      <c r="E3756" t="n">
        <v>7573.2</v>
      </c>
      <c r="F3756" t="n">
        <v>11367.65</v>
      </c>
    </row>
    <row r="3757">
      <c r="A3757" s="3" t="n">
        <v>43979</v>
      </c>
      <c r="B3757" t="n">
        <v>13583.71</v>
      </c>
      <c r="C3757" t="n">
        <v>6541.09</v>
      </c>
      <c r="D3757" t="n">
        <v>2570.84</v>
      </c>
      <c r="E3757" t="n">
        <v>7673.76</v>
      </c>
      <c r="F3757" t="n">
        <v>11512.25</v>
      </c>
    </row>
    <row r="3758">
      <c r="A3758" s="3" t="n">
        <v>43980</v>
      </c>
      <c r="B3758" t="n">
        <v>13832.53</v>
      </c>
      <c r="C3758" t="n">
        <v>6661.14</v>
      </c>
      <c r="D3758" t="n">
        <v>2616.37</v>
      </c>
      <c r="E3758" t="n">
        <v>7812.96</v>
      </c>
      <c r="F3758" t="n">
        <v>11679.35</v>
      </c>
    </row>
    <row r="3759">
      <c r="A3759" s="3" t="n">
        <v>43983</v>
      </c>
      <c r="B3759" t="n">
        <v>14096.04</v>
      </c>
      <c r="C3759" t="n">
        <v>6788.07</v>
      </c>
      <c r="D3759" t="n">
        <v>2693.41</v>
      </c>
      <c r="E3759" t="n">
        <v>7937.53</v>
      </c>
      <c r="F3759" t="n">
        <v>12011.3</v>
      </c>
    </row>
    <row r="3760">
      <c r="A3760" s="3" t="n">
        <v>43984</v>
      </c>
      <c r="B3760" t="n">
        <v>14201.07</v>
      </c>
      <c r="C3760" t="n">
        <v>6827.95</v>
      </c>
      <c r="D3760" t="n">
        <v>2708.22</v>
      </c>
      <c r="E3760" t="n">
        <v>7996.84</v>
      </c>
      <c r="F3760" t="n">
        <v>12217.85</v>
      </c>
    </row>
    <row r="3761">
      <c r="A3761" s="3" t="n">
        <v>43985</v>
      </c>
      <c r="B3761" t="n">
        <v>14279.79</v>
      </c>
      <c r="C3761" t="n">
        <v>6856.18</v>
      </c>
      <c r="D3761" t="n">
        <v>2719.31</v>
      </c>
      <c r="E3761" t="n">
        <v>8051.17</v>
      </c>
      <c r="F3761" t="n">
        <v>12346.2</v>
      </c>
    </row>
    <row r="3762">
      <c r="A3762" s="3" t="n">
        <v>43986</v>
      </c>
      <c r="B3762" t="n">
        <v>14331.98</v>
      </c>
      <c r="C3762" t="n">
        <v>6858.11</v>
      </c>
      <c r="D3762" t="n">
        <v>2726.98</v>
      </c>
      <c r="E3762" t="n">
        <v>8052.04</v>
      </c>
      <c r="F3762" t="n">
        <v>12337.3</v>
      </c>
    </row>
    <row r="3763">
      <c r="A3763" s="3" t="n">
        <v>43987</v>
      </c>
      <c r="B3763" t="n">
        <v>14506.39</v>
      </c>
      <c r="C3763" t="n">
        <v>6875.51</v>
      </c>
      <c r="D3763" t="n">
        <v>2837.62</v>
      </c>
      <c r="E3763" t="n">
        <v>8077.54</v>
      </c>
      <c r="F3763" t="n">
        <v>12612.95</v>
      </c>
    </row>
    <row r="3764">
      <c r="A3764" s="3" t="n">
        <v>43990</v>
      </c>
      <c r="B3764" t="n">
        <v>14563.2</v>
      </c>
      <c r="C3764" t="n">
        <v>6894.92</v>
      </c>
      <c r="D3764" t="n">
        <v>2878.79</v>
      </c>
      <c r="E3764" t="n">
        <v>8066.31</v>
      </c>
      <c r="F3764" t="n">
        <v>12749.55</v>
      </c>
    </row>
    <row r="3765">
      <c r="A3765" s="3" t="n">
        <v>43991</v>
      </c>
      <c r="B3765" t="n">
        <v>14391.56</v>
      </c>
      <c r="C3765" t="n">
        <v>6862.88</v>
      </c>
      <c r="D3765" t="n">
        <v>2842.96</v>
      </c>
      <c r="E3765" t="n">
        <v>8024.59</v>
      </c>
      <c r="F3765" t="n">
        <v>12777.95</v>
      </c>
    </row>
    <row r="3766">
      <c r="A3766" s="3" t="n">
        <v>43992</v>
      </c>
      <c r="B3766" t="n">
        <v>14390.16</v>
      </c>
      <c r="C3766" t="n">
        <v>6864.64</v>
      </c>
      <c r="D3766" t="n">
        <v>2868.21</v>
      </c>
      <c r="E3766" t="n">
        <v>8052.06</v>
      </c>
      <c r="F3766" t="n">
        <v>12875</v>
      </c>
    </row>
    <row r="3767">
      <c r="A3767" s="3" t="n">
        <v>43993</v>
      </c>
      <c r="B3767" t="n">
        <v>14206.05</v>
      </c>
      <c r="C3767" t="n">
        <v>6760.39</v>
      </c>
      <c r="D3767" t="n">
        <v>2798.1</v>
      </c>
      <c r="E3767" t="n">
        <v>7949.94</v>
      </c>
      <c r="F3767" t="n">
        <v>12761.7</v>
      </c>
    </row>
    <row r="3768">
      <c r="A3768" s="3" t="n">
        <v>43994</v>
      </c>
      <c r="B3768" t="n">
        <v>14372</v>
      </c>
      <c r="C3768" t="n">
        <v>6775.41</v>
      </c>
      <c r="D3768" t="n">
        <v>2819.09</v>
      </c>
      <c r="E3768" t="n">
        <v>7950.51</v>
      </c>
      <c r="F3768" t="n">
        <v>12882.65</v>
      </c>
    </row>
    <row r="3769">
      <c r="A3769" s="3" t="n">
        <v>43997</v>
      </c>
      <c r="B3769" t="n">
        <v>14200.41</v>
      </c>
      <c r="C3769" t="n">
        <v>6686.25</v>
      </c>
      <c r="D3769" t="n">
        <v>2777.94</v>
      </c>
      <c r="E3769" t="n">
        <v>7879.62</v>
      </c>
      <c r="F3769" t="n">
        <v>12852.65</v>
      </c>
    </row>
    <row r="3770">
      <c r="A3770" s="3" t="n">
        <v>43998</v>
      </c>
      <c r="B3770" t="n">
        <v>14257.59</v>
      </c>
      <c r="C3770" t="n">
        <v>6708.09</v>
      </c>
      <c r="D3770" t="n">
        <v>2774.34</v>
      </c>
      <c r="E3770" t="n">
        <v>7901.73</v>
      </c>
      <c r="F3770" t="n">
        <v>13006.8</v>
      </c>
    </row>
    <row r="3771">
      <c r="A3771" s="3" t="n">
        <v>43999</v>
      </c>
      <c r="B3771" t="n">
        <v>14214.74</v>
      </c>
      <c r="C3771" t="n">
        <v>6699.19</v>
      </c>
      <c r="D3771" t="n">
        <v>2763.13</v>
      </c>
      <c r="E3771" t="n">
        <v>7864.78</v>
      </c>
      <c r="F3771" t="n">
        <v>13076.15</v>
      </c>
    </row>
    <row r="3772">
      <c r="A3772" s="3" t="n">
        <v>44000</v>
      </c>
      <c r="B3772" t="n">
        <v>14323.79</v>
      </c>
      <c r="C3772" t="n">
        <v>6764.93</v>
      </c>
      <c r="D3772" t="n">
        <v>2829.4</v>
      </c>
      <c r="E3772" t="n">
        <v>7944.18</v>
      </c>
      <c r="F3772" t="n">
        <v>13321.65</v>
      </c>
    </row>
    <row r="3773">
      <c r="A3773" s="3" t="n">
        <v>44001</v>
      </c>
      <c r="B3773" t="n">
        <v>14563.73</v>
      </c>
      <c r="C3773" t="n">
        <v>6809.96</v>
      </c>
      <c r="D3773" t="n">
        <v>2886.37</v>
      </c>
      <c r="E3773" t="n">
        <v>7992.68</v>
      </c>
      <c r="F3773" t="n">
        <v>13587.75</v>
      </c>
    </row>
    <row r="3774">
      <c r="A3774" s="3" t="n">
        <v>44004</v>
      </c>
      <c r="B3774" t="n">
        <v>14737.71</v>
      </c>
      <c r="C3774" t="n">
        <v>6906.3</v>
      </c>
      <c r="D3774" t="n">
        <v>2998.23</v>
      </c>
      <c r="E3774" t="n">
        <v>8065.62</v>
      </c>
      <c r="F3774" t="n">
        <v>13870.75</v>
      </c>
    </row>
    <row r="3775">
      <c r="A3775" s="3" t="n">
        <v>44005</v>
      </c>
      <c r="B3775" t="n">
        <v>14982.58</v>
      </c>
      <c r="C3775" t="n">
        <v>7012.37</v>
      </c>
      <c r="D3775" t="n">
        <v>3055.9</v>
      </c>
      <c r="E3775" t="n">
        <v>8203.32</v>
      </c>
      <c r="F3775" t="n">
        <v>14213.45</v>
      </c>
    </row>
    <row r="3776">
      <c r="A3776" s="3" t="n">
        <v>44006</v>
      </c>
      <c r="B3776" t="n">
        <v>14736.44</v>
      </c>
      <c r="C3776" t="n">
        <v>6989.86</v>
      </c>
      <c r="D3776" t="n">
        <v>2985.27</v>
      </c>
      <c r="E3776" t="n">
        <v>8127.52</v>
      </c>
      <c r="F3776" t="n">
        <v>13910.35</v>
      </c>
    </row>
    <row r="3777">
      <c r="A3777" s="3" t="n">
        <v>44007</v>
      </c>
      <c r="B3777" t="n">
        <v>14748.34</v>
      </c>
      <c r="C3777" t="n">
        <v>7008.81</v>
      </c>
      <c r="D3777" t="n">
        <v>2989.15</v>
      </c>
      <c r="E3777" t="n">
        <v>8151.32</v>
      </c>
      <c r="F3777" t="n">
        <v>13918.4</v>
      </c>
    </row>
    <row r="3778">
      <c r="A3778" s="3" t="n">
        <v>44008</v>
      </c>
      <c r="B3778" t="n">
        <v>14712.09</v>
      </c>
      <c r="C3778" t="n">
        <v>7051.46</v>
      </c>
      <c r="D3778" t="n">
        <v>3027.94</v>
      </c>
      <c r="E3778" t="n">
        <v>8184.88</v>
      </c>
      <c r="F3778" t="n">
        <v>13845.15</v>
      </c>
    </row>
    <row r="3779">
      <c r="A3779" s="3" t="n">
        <v>44011</v>
      </c>
      <c r="B3779" t="n">
        <v>14684.5</v>
      </c>
      <c r="C3779" t="n">
        <v>7011.35</v>
      </c>
      <c r="D3779" t="n">
        <v>2952.86</v>
      </c>
      <c r="E3779" t="n">
        <v>8162.37</v>
      </c>
      <c r="F3779" t="n">
        <v>13692.1</v>
      </c>
    </row>
    <row r="3780">
      <c r="A3780" s="3" t="n">
        <v>44012</v>
      </c>
      <c r="B3780" t="n">
        <v>14669.55</v>
      </c>
      <c r="C3780" t="n">
        <v>7019.06</v>
      </c>
      <c r="D3780" t="n">
        <v>2912.74</v>
      </c>
      <c r="E3780" t="n">
        <v>8157.29</v>
      </c>
      <c r="F3780" t="n">
        <v>13701.05</v>
      </c>
    </row>
    <row r="3781">
      <c r="A3781" s="3" t="n">
        <v>44013</v>
      </c>
      <c r="B3781" t="n">
        <v>14623.99</v>
      </c>
      <c r="C3781" t="n">
        <v>7037.91</v>
      </c>
      <c r="D3781" t="n">
        <v>2938.51</v>
      </c>
      <c r="E3781" t="n">
        <v>8136.23</v>
      </c>
      <c r="F3781" t="n">
        <v>13676.1</v>
      </c>
    </row>
    <row r="3782">
      <c r="A3782" s="3" t="n">
        <v>44014</v>
      </c>
      <c r="B3782" t="n">
        <v>14714.69</v>
      </c>
      <c r="C3782" t="n">
        <v>7098.23</v>
      </c>
      <c r="D3782" t="n">
        <v>2966.87</v>
      </c>
      <c r="E3782" t="n">
        <v>8201.059999999999</v>
      </c>
      <c r="F3782" t="n">
        <v>13795.2</v>
      </c>
    </row>
    <row r="3783">
      <c r="A3783" s="3" t="n">
        <v>44015</v>
      </c>
      <c r="B3783" t="n">
        <v>14810.95</v>
      </c>
      <c r="C3783" t="n">
        <v>7144.62</v>
      </c>
      <c r="D3783" t="n">
        <v>2978.83</v>
      </c>
      <c r="E3783" t="n">
        <v>8252.52</v>
      </c>
      <c r="F3783" t="n">
        <v>13940.55</v>
      </c>
    </row>
    <row r="3784">
      <c r="A3784" s="3" t="n">
        <v>44018</v>
      </c>
      <c r="B3784" t="n">
        <v>14868.56</v>
      </c>
      <c r="C3784" t="n">
        <v>7207.68</v>
      </c>
      <c r="D3784" t="n">
        <v>3037.07</v>
      </c>
      <c r="E3784" t="n">
        <v>8299.76</v>
      </c>
      <c r="F3784" t="n">
        <v>14102.9</v>
      </c>
    </row>
    <row r="3785">
      <c r="A3785" s="3" t="n">
        <v>44019</v>
      </c>
      <c r="B3785" t="n">
        <v>14890.79</v>
      </c>
      <c r="C3785" t="n">
        <v>7244.77</v>
      </c>
      <c r="D3785" t="n">
        <v>3007.26</v>
      </c>
      <c r="E3785" t="n">
        <v>8293.450000000001</v>
      </c>
      <c r="F3785" t="n">
        <v>14186.2</v>
      </c>
    </row>
    <row r="3786">
      <c r="A3786" s="3" t="n">
        <v>44020</v>
      </c>
      <c r="B3786" t="n">
        <v>14874.85</v>
      </c>
      <c r="C3786" t="n">
        <v>7160.27</v>
      </c>
      <c r="D3786" t="n">
        <v>3014.82</v>
      </c>
      <c r="E3786" t="n">
        <v>8247.77</v>
      </c>
      <c r="F3786" t="n">
        <v>14087</v>
      </c>
    </row>
    <row r="3787">
      <c r="A3787" s="3" t="n">
        <v>44021</v>
      </c>
      <c r="B3787" t="n">
        <v>14973.64</v>
      </c>
      <c r="C3787" t="n">
        <v>7189.52</v>
      </c>
      <c r="D3787" t="n">
        <v>3033.08</v>
      </c>
      <c r="E3787" t="n">
        <v>8266.959999999999</v>
      </c>
      <c r="F3787" t="n">
        <v>14146.7</v>
      </c>
    </row>
    <row r="3788">
      <c r="A3788" s="3" t="n">
        <v>44022</v>
      </c>
      <c r="B3788" t="n">
        <v>15028.12</v>
      </c>
      <c r="C3788" t="n">
        <v>7191.8</v>
      </c>
      <c r="D3788" t="n">
        <v>3007.99</v>
      </c>
      <c r="E3788" t="n">
        <v>8261.35</v>
      </c>
      <c r="F3788" t="n">
        <v>14178.3</v>
      </c>
    </row>
    <row r="3789">
      <c r="A3789" s="3" t="n">
        <v>44025</v>
      </c>
      <c r="B3789" t="n">
        <v>15047.47</v>
      </c>
      <c r="C3789" t="n">
        <v>7251.65</v>
      </c>
      <c r="D3789" t="n">
        <v>3022.77</v>
      </c>
      <c r="E3789" t="n">
        <v>8295.58</v>
      </c>
      <c r="F3789" t="n">
        <v>14217.2</v>
      </c>
    </row>
    <row r="3790">
      <c r="A3790" s="3" t="n">
        <v>44026</v>
      </c>
      <c r="B3790" t="n">
        <v>15056.03</v>
      </c>
      <c r="C3790" t="n">
        <v>7172.46</v>
      </c>
      <c r="D3790" t="n">
        <v>2945.22</v>
      </c>
      <c r="E3790" t="n">
        <v>8235.77</v>
      </c>
      <c r="F3790" t="n">
        <v>14119.85</v>
      </c>
    </row>
    <row r="3791">
      <c r="A3791" s="3" t="n">
        <v>44027</v>
      </c>
      <c r="B3791" t="n">
        <v>15047.09</v>
      </c>
      <c r="C3791" t="n">
        <v>7213.85</v>
      </c>
      <c r="D3791" t="n">
        <v>2913.9</v>
      </c>
      <c r="E3791" t="n">
        <v>8312.98</v>
      </c>
      <c r="F3791" t="n">
        <v>14162.4</v>
      </c>
    </row>
    <row r="3792">
      <c r="A3792" s="3" t="n">
        <v>44028</v>
      </c>
      <c r="B3792" t="n">
        <v>15175.27</v>
      </c>
      <c r="C3792" t="n">
        <v>7313.26</v>
      </c>
      <c r="D3792" t="n">
        <v>2932.58</v>
      </c>
      <c r="E3792" t="n">
        <v>8362.59</v>
      </c>
      <c r="F3792" t="n">
        <v>14204.75</v>
      </c>
    </row>
    <row r="3793">
      <c r="A3793" s="3" t="n">
        <v>44029</v>
      </c>
      <c r="B3793" t="n">
        <v>15359.07</v>
      </c>
      <c r="C3793" t="n">
        <v>7364.24</v>
      </c>
      <c r="D3793" t="n">
        <v>3014.25</v>
      </c>
      <c r="E3793" t="n">
        <v>8425.370000000001</v>
      </c>
      <c r="F3793" t="n">
        <v>14350.7</v>
      </c>
    </row>
    <row r="3794">
      <c r="A3794" s="3" t="n">
        <v>44032</v>
      </c>
      <c r="B3794" t="n">
        <v>15477.12</v>
      </c>
      <c r="C3794" t="n">
        <v>7476.59</v>
      </c>
      <c r="D3794" t="n">
        <v>3023.91</v>
      </c>
      <c r="E3794" t="n">
        <v>8499.51</v>
      </c>
      <c r="F3794" t="n">
        <v>14497.6</v>
      </c>
    </row>
    <row r="3795">
      <c r="A3795" s="3" t="n">
        <v>44033</v>
      </c>
      <c r="B3795" t="n">
        <v>15376.87</v>
      </c>
      <c r="C3795" t="n">
        <v>7444.52</v>
      </c>
      <c r="D3795" t="n">
        <v>3067.55</v>
      </c>
      <c r="E3795" t="n">
        <v>8488.75</v>
      </c>
      <c r="F3795" t="n">
        <v>14559.2</v>
      </c>
    </row>
    <row r="3796">
      <c r="A3796" s="3" t="n">
        <v>44034</v>
      </c>
      <c r="B3796" t="n">
        <v>15400.54</v>
      </c>
      <c r="C3796" t="n">
        <v>7406.08</v>
      </c>
      <c r="D3796" t="n">
        <v>3055.98</v>
      </c>
      <c r="E3796" t="n">
        <v>8443.030000000001</v>
      </c>
      <c r="F3796" t="n">
        <v>14596.35</v>
      </c>
    </row>
    <row r="3797">
      <c r="A3797" s="3" t="n">
        <v>44035</v>
      </c>
      <c r="B3797" t="n">
        <v>15548.92</v>
      </c>
      <c r="C3797" t="n">
        <v>7455</v>
      </c>
      <c r="D3797" t="n">
        <v>3076.64</v>
      </c>
      <c r="E3797" t="n">
        <v>8519.030000000001</v>
      </c>
      <c r="F3797" t="n">
        <v>14682.7</v>
      </c>
    </row>
    <row r="3798">
      <c r="A3798" s="3" t="n">
        <v>44036</v>
      </c>
      <c r="B3798" t="n">
        <v>15441.46</v>
      </c>
      <c r="C3798" t="n">
        <v>7452.46</v>
      </c>
      <c r="D3798" t="n">
        <v>3029.33</v>
      </c>
      <c r="E3798" t="n">
        <v>8510.27</v>
      </c>
      <c r="F3798" t="n">
        <v>14736.8</v>
      </c>
    </row>
    <row r="3799">
      <c r="A3799" s="3" t="n">
        <v>44039</v>
      </c>
      <c r="B3799" t="n">
        <v>15387.47</v>
      </c>
      <c r="C3799" t="n">
        <v>7480.72</v>
      </c>
      <c r="D3799" t="n">
        <v>3004.11</v>
      </c>
      <c r="E3799" t="n">
        <v>8487.23</v>
      </c>
      <c r="F3799" t="n">
        <v>14652.35</v>
      </c>
    </row>
    <row r="3800">
      <c r="A3800" s="3" t="n">
        <v>44040</v>
      </c>
      <c r="B3800" t="n">
        <v>15430.41</v>
      </c>
      <c r="C3800" t="n">
        <v>7538.08</v>
      </c>
      <c r="D3800" t="n">
        <v>3031.61</v>
      </c>
      <c r="E3800" t="n">
        <v>8547.9</v>
      </c>
      <c r="F3800" t="n">
        <v>14714.6</v>
      </c>
    </row>
    <row r="3801">
      <c r="A3801" s="3" t="n">
        <v>44041</v>
      </c>
      <c r="B3801" t="n">
        <v>15555.7</v>
      </c>
      <c r="C3801" t="n">
        <v>7536.76</v>
      </c>
      <c r="D3801" t="n">
        <v>3047.28</v>
      </c>
      <c r="E3801" t="n">
        <v>8578.49</v>
      </c>
      <c r="F3801" t="n">
        <v>14690.05</v>
      </c>
    </row>
    <row r="3802">
      <c r="A3802" s="3" t="n">
        <v>44042</v>
      </c>
      <c r="B3802" t="n">
        <v>15574.82</v>
      </c>
      <c r="C3802" t="n">
        <v>7498.6</v>
      </c>
      <c r="D3802" t="n">
        <v>2977.83</v>
      </c>
      <c r="E3802" t="n">
        <v>8589.719999999999</v>
      </c>
      <c r="F3802" t="n">
        <v>14633.25</v>
      </c>
    </row>
    <row r="3803">
      <c r="A3803" s="3" t="n">
        <v>44043</v>
      </c>
      <c r="B3803" t="n">
        <v>15760.74</v>
      </c>
      <c r="C3803" t="n">
        <v>7518.18</v>
      </c>
      <c r="D3803" t="n">
        <v>2967.28</v>
      </c>
      <c r="E3803" t="n">
        <v>8645.08</v>
      </c>
      <c r="F3803" t="n">
        <v>14805.65</v>
      </c>
    </row>
    <row r="3804">
      <c r="A3804" s="3" t="n">
        <v>44046</v>
      </c>
      <c r="B3804" t="n">
        <v>15804.64</v>
      </c>
      <c r="C3804" t="n">
        <v>7493.06</v>
      </c>
      <c r="D3804" t="n">
        <v>2955.76</v>
      </c>
      <c r="E3804" t="n">
        <v>8638.530000000001</v>
      </c>
      <c r="F3804" t="n">
        <v>14879.6</v>
      </c>
    </row>
    <row r="3805">
      <c r="A3805" s="3" t="n">
        <v>44047</v>
      </c>
      <c r="B3805" t="n">
        <v>15987.59</v>
      </c>
      <c r="C3805" t="n">
        <v>7521.58</v>
      </c>
      <c r="D3805" t="n">
        <v>2972.88</v>
      </c>
      <c r="E3805" t="n">
        <v>8687.209999999999</v>
      </c>
      <c r="F3805" t="n">
        <v>15064.2</v>
      </c>
    </row>
    <row r="3806">
      <c r="A3806" s="3" t="n">
        <v>44048</v>
      </c>
      <c r="B3806" t="n">
        <v>16020.15</v>
      </c>
      <c r="C3806" t="n">
        <v>7537.4</v>
      </c>
      <c r="D3806" t="n">
        <v>3015.6</v>
      </c>
      <c r="E3806" t="n">
        <v>8669.5</v>
      </c>
      <c r="F3806" t="n">
        <v>15160.85</v>
      </c>
    </row>
    <row r="3807">
      <c r="A3807" s="3" t="n">
        <v>44049</v>
      </c>
      <c r="B3807" t="n">
        <v>16176.26</v>
      </c>
      <c r="C3807" t="n">
        <v>7600.01</v>
      </c>
      <c r="D3807" t="n">
        <v>3047.46</v>
      </c>
      <c r="E3807" t="n">
        <v>8739.290000000001</v>
      </c>
      <c r="F3807" t="n">
        <v>15265.5</v>
      </c>
    </row>
    <row r="3808">
      <c r="A3808" s="3" t="n">
        <v>44050</v>
      </c>
      <c r="B3808" t="n">
        <v>16384.11</v>
      </c>
      <c r="C3808" t="n">
        <v>7654.07</v>
      </c>
      <c r="D3808" t="n">
        <v>3058.82</v>
      </c>
      <c r="E3808" t="n">
        <v>8774.379999999999</v>
      </c>
      <c r="F3808" t="n">
        <v>15411.6</v>
      </c>
    </row>
    <row r="3809">
      <c r="A3809" s="3" t="n">
        <v>44053</v>
      </c>
      <c r="B3809" t="n">
        <v>16765.16</v>
      </c>
      <c r="C3809" t="n">
        <v>7678.28</v>
      </c>
      <c r="D3809" t="n">
        <v>3099.98</v>
      </c>
      <c r="E3809" t="n">
        <v>8899.23</v>
      </c>
      <c r="F3809" t="n">
        <v>15665.8</v>
      </c>
    </row>
    <row r="3810">
      <c r="A3810" s="3" t="n">
        <v>44054</v>
      </c>
      <c r="B3810" t="n">
        <v>16621.36</v>
      </c>
      <c r="C3810" t="n">
        <v>7667.03</v>
      </c>
      <c r="D3810" t="n">
        <v>3124.17</v>
      </c>
      <c r="E3810" t="n">
        <v>8891.73</v>
      </c>
      <c r="F3810" t="n">
        <v>15438.45</v>
      </c>
    </row>
    <row r="3811">
      <c r="A3811" s="3" t="n">
        <v>44055</v>
      </c>
      <c r="B3811" t="n">
        <v>16467.22</v>
      </c>
      <c r="C3811" t="n">
        <v>7665.29</v>
      </c>
      <c r="D3811" t="n">
        <v>3129.74</v>
      </c>
      <c r="E3811" t="n">
        <v>8856.01</v>
      </c>
      <c r="F3811" t="n">
        <v>15395.9</v>
      </c>
    </row>
    <row r="3812">
      <c r="A3812" s="3" t="n">
        <v>44056</v>
      </c>
      <c r="B3812" t="n">
        <v>16447.96</v>
      </c>
      <c r="C3812" t="n">
        <v>7683.57</v>
      </c>
      <c r="D3812" t="n">
        <v>3172.1</v>
      </c>
      <c r="E3812" t="n">
        <v>8886.030000000001</v>
      </c>
      <c r="F3812" t="n">
        <v>15436.85</v>
      </c>
    </row>
    <row r="3813">
      <c r="A3813" s="3" t="n">
        <v>44057</v>
      </c>
      <c r="B3813" t="n">
        <v>16384.58</v>
      </c>
      <c r="C3813" t="n">
        <v>7607.34</v>
      </c>
      <c r="D3813" t="n">
        <v>3144.53</v>
      </c>
      <c r="E3813" t="n">
        <v>8847.25</v>
      </c>
      <c r="F3813" t="n">
        <v>15270.9</v>
      </c>
    </row>
    <row r="3814">
      <c r="A3814" s="3" t="n">
        <v>44060</v>
      </c>
      <c r="B3814" t="n">
        <v>16407.2</v>
      </c>
      <c r="C3814" t="n">
        <v>7696.62</v>
      </c>
      <c r="D3814" t="n">
        <v>3205.2</v>
      </c>
      <c r="E3814" t="n">
        <v>8923.02</v>
      </c>
      <c r="F3814" t="n">
        <v>15300.35</v>
      </c>
    </row>
    <row r="3815">
      <c r="A3815" s="3" t="n">
        <v>44061</v>
      </c>
      <c r="B3815" t="n">
        <v>16534.04</v>
      </c>
      <c r="C3815" t="n">
        <v>7755.71</v>
      </c>
      <c r="D3815" t="n">
        <v>3250.69</v>
      </c>
      <c r="E3815" t="n">
        <v>8977.85</v>
      </c>
      <c r="F3815" t="n">
        <v>15460</v>
      </c>
    </row>
    <row r="3816">
      <c r="A3816" s="3" t="n">
        <v>44062</v>
      </c>
      <c r="B3816" t="n">
        <v>16574.42</v>
      </c>
      <c r="C3816" t="n">
        <v>7743.12</v>
      </c>
      <c r="D3816" t="n">
        <v>3276.99</v>
      </c>
      <c r="E3816" t="n">
        <v>8963.290000000001</v>
      </c>
      <c r="F3816" t="n">
        <v>15519.4</v>
      </c>
    </row>
    <row r="3817">
      <c r="A3817" s="3" t="n">
        <v>44063</v>
      </c>
      <c r="B3817" t="n">
        <v>16520.89</v>
      </c>
      <c r="C3817" t="n">
        <v>7753.67</v>
      </c>
      <c r="D3817" t="n">
        <v>3340.06</v>
      </c>
      <c r="E3817" t="n">
        <v>8977.09</v>
      </c>
      <c r="F3817" t="n">
        <v>15531.3</v>
      </c>
    </row>
    <row r="3818">
      <c r="A3818" s="3" t="n">
        <v>44064</v>
      </c>
      <c r="B3818" t="n">
        <v>16648.36</v>
      </c>
      <c r="C3818" t="n">
        <v>7822.67</v>
      </c>
      <c r="D3818" t="n">
        <v>3347.07</v>
      </c>
      <c r="E3818" t="n">
        <v>9071.959999999999</v>
      </c>
      <c r="F3818" t="n">
        <v>15616.1</v>
      </c>
    </row>
    <row r="3819">
      <c r="A3819" s="3" t="n">
        <v>44067</v>
      </c>
      <c r="B3819" t="n">
        <v>16755.99</v>
      </c>
      <c r="C3819" t="n">
        <v>7865.04</v>
      </c>
      <c r="D3819" t="n">
        <v>3334.4</v>
      </c>
      <c r="E3819" t="n">
        <v>9077.34</v>
      </c>
      <c r="F3819" t="n">
        <v>15899.1</v>
      </c>
    </row>
    <row r="3820">
      <c r="A3820" s="3" t="n">
        <v>44068</v>
      </c>
      <c r="B3820" t="n">
        <v>16748.24</v>
      </c>
      <c r="C3820" t="n">
        <v>7864.95</v>
      </c>
      <c r="D3820" t="n">
        <v>3344.7</v>
      </c>
      <c r="E3820" t="n">
        <v>9054.709999999999</v>
      </c>
      <c r="F3820" t="n">
        <v>15965.05</v>
      </c>
    </row>
    <row r="3821">
      <c r="A3821" s="3" t="n">
        <v>44069</v>
      </c>
      <c r="B3821" t="n">
        <v>16693.28</v>
      </c>
      <c r="C3821" t="n">
        <v>7906.29</v>
      </c>
      <c r="D3821" t="n">
        <v>3361.85</v>
      </c>
      <c r="E3821" t="n">
        <v>9058.17</v>
      </c>
      <c r="F3821" t="n">
        <v>15979.2</v>
      </c>
    </row>
    <row r="3822">
      <c r="A3822" s="3" t="n">
        <v>44070</v>
      </c>
      <c r="B3822" t="n">
        <v>16705.98</v>
      </c>
      <c r="C3822" t="n">
        <v>7900.41</v>
      </c>
      <c r="D3822" t="n">
        <v>3362.45</v>
      </c>
      <c r="E3822" t="n">
        <v>9052</v>
      </c>
      <c r="F3822" t="n">
        <v>15974.95</v>
      </c>
    </row>
    <row r="3823">
      <c r="A3823" s="3" t="n">
        <v>44071</v>
      </c>
      <c r="B3823" t="n">
        <v>16676.07</v>
      </c>
      <c r="C3823" t="n">
        <v>7861.21</v>
      </c>
      <c r="D3823" t="n">
        <v>3378.87</v>
      </c>
      <c r="E3823" t="n">
        <v>9009.83</v>
      </c>
      <c r="F3823" t="n">
        <v>16019.3</v>
      </c>
    </row>
    <row r="3824">
      <c r="A3824" s="3" t="n">
        <v>44074</v>
      </c>
      <c r="B3824" t="n">
        <v>16032.06</v>
      </c>
      <c r="C3824" t="n">
        <v>7638.61</v>
      </c>
      <c r="D3824" t="n">
        <v>3235.02</v>
      </c>
      <c r="E3824" t="n">
        <v>8780.860000000001</v>
      </c>
      <c r="F3824" t="n">
        <v>15442.25</v>
      </c>
    </row>
    <row r="3825">
      <c r="A3825" s="3" t="n">
        <v>44075</v>
      </c>
      <c r="B3825" t="n">
        <v>16312.97</v>
      </c>
      <c r="C3825" t="n">
        <v>7698.58</v>
      </c>
      <c r="D3825" t="n">
        <v>3270.48</v>
      </c>
      <c r="E3825" t="n">
        <v>8871.58</v>
      </c>
      <c r="F3825" t="n">
        <v>15680.55</v>
      </c>
    </row>
    <row r="3826">
      <c r="A3826" s="3" t="n">
        <v>44076</v>
      </c>
      <c r="B3826" t="n">
        <v>16514.08</v>
      </c>
      <c r="C3826" t="n">
        <v>7746.43</v>
      </c>
      <c r="D3826" t="n">
        <v>3301.3</v>
      </c>
      <c r="E3826" t="n">
        <v>8937.610000000001</v>
      </c>
      <c r="F3826" t="n">
        <v>16022.3</v>
      </c>
    </row>
    <row r="3827">
      <c r="A3827" s="3" t="n">
        <v>44077</v>
      </c>
      <c r="B3827" t="n">
        <v>16663.95</v>
      </c>
      <c r="C3827" t="n">
        <v>7787.27</v>
      </c>
      <c r="D3827" t="n">
        <v>3303.06</v>
      </c>
      <c r="E3827" t="n">
        <v>8992.559999999999</v>
      </c>
      <c r="F3827" t="n">
        <v>16194.05</v>
      </c>
    </row>
    <row r="3828">
      <c r="A3828" s="3" t="n">
        <v>44078</v>
      </c>
      <c r="B3828" t="n">
        <v>16425.83</v>
      </c>
      <c r="C3828" t="n">
        <v>7687.6</v>
      </c>
      <c r="D3828" t="n">
        <v>3228.59</v>
      </c>
      <c r="E3828" t="n">
        <v>8866.889999999999</v>
      </c>
      <c r="F3828" t="n">
        <v>15989.5</v>
      </c>
    </row>
    <row r="3829">
      <c r="A3829" s="3" t="n">
        <v>44081</v>
      </c>
      <c r="B3829" t="n">
        <v>16368.01</v>
      </c>
      <c r="C3829" t="n">
        <v>7686.84</v>
      </c>
      <c r="D3829" t="n">
        <v>3216</v>
      </c>
      <c r="E3829" t="n">
        <v>8900.290000000001</v>
      </c>
      <c r="F3829" t="n">
        <v>15990.4</v>
      </c>
    </row>
    <row r="3830">
      <c r="A3830" s="3" t="n">
        <v>44082</v>
      </c>
      <c r="B3830" t="n">
        <v>16185.47</v>
      </c>
      <c r="C3830" t="n">
        <v>7670.52</v>
      </c>
      <c r="D3830" t="n">
        <v>3159.28</v>
      </c>
      <c r="E3830" t="n">
        <v>8852.440000000001</v>
      </c>
      <c r="F3830" t="n">
        <v>15954.5</v>
      </c>
    </row>
    <row r="3831">
      <c r="A3831" s="3" t="n">
        <v>44083</v>
      </c>
      <c r="B3831" t="n">
        <v>16281.47</v>
      </c>
      <c r="C3831" t="n">
        <v>7638.45</v>
      </c>
      <c r="D3831" t="n">
        <v>3138.24</v>
      </c>
      <c r="E3831" t="n">
        <v>8849.040000000001</v>
      </c>
      <c r="F3831" t="n">
        <v>15974.85</v>
      </c>
    </row>
    <row r="3832">
      <c r="A3832" s="3" t="n">
        <v>44084</v>
      </c>
      <c r="B3832" t="n">
        <v>16422.69</v>
      </c>
      <c r="C3832" t="n">
        <v>7710.23</v>
      </c>
      <c r="D3832" t="n">
        <v>3166.13</v>
      </c>
      <c r="E3832" t="n">
        <v>8902.110000000001</v>
      </c>
      <c r="F3832" t="n">
        <v>16088.7</v>
      </c>
    </row>
    <row r="3833">
      <c r="A3833" s="3" t="n">
        <v>44085</v>
      </c>
      <c r="B3833" t="n">
        <v>16462.25</v>
      </c>
      <c r="C3833" t="n">
        <v>7767.28</v>
      </c>
      <c r="D3833" t="n">
        <v>3176.15</v>
      </c>
      <c r="E3833" t="n">
        <v>8929.48</v>
      </c>
      <c r="F3833" t="n">
        <v>16199.2</v>
      </c>
    </row>
    <row r="3834">
      <c r="A3834" s="3" t="n">
        <v>44088</v>
      </c>
      <c r="B3834" t="n">
        <v>16629.53</v>
      </c>
      <c r="C3834" t="n">
        <v>7908.41</v>
      </c>
      <c r="D3834" t="n">
        <v>3185.73</v>
      </c>
      <c r="E3834" t="n">
        <v>9072.77</v>
      </c>
      <c r="F3834" t="n">
        <v>16677.8</v>
      </c>
    </row>
    <row r="3835">
      <c r="A3835" s="3" t="n">
        <v>44089</v>
      </c>
      <c r="B3835" t="n">
        <v>16820.05</v>
      </c>
      <c r="C3835" t="n">
        <v>7948.6</v>
      </c>
      <c r="D3835" t="n">
        <v>3205.9</v>
      </c>
      <c r="E3835" t="n">
        <v>9134.07</v>
      </c>
      <c r="F3835" t="n">
        <v>16952.85</v>
      </c>
    </row>
    <row r="3836">
      <c r="A3836" s="3" t="n">
        <v>44090</v>
      </c>
      <c r="B3836" t="n">
        <v>16943.82</v>
      </c>
      <c r="C3836" t="n">
        <v>7981.94</v>
      </c>
      <c r="D3836" t="n">
        <v>3205.58</v>
      </c>
      <c r="E3836" t="n">
        <v>9192.200000000001</v>
      </c>
      <c r="F3836" t="n">
        <v>17019.85</v>
      </c>
    </row>
    <row r="3837">
      <c r="A3837" s="3" t="n">
        <v>44091</v>
      </c>
      <c r="B3837" t="n">
        <v>16923.6</v>
      </c>
      <c r="C3837" t="n">
        <v>7952.61</v>
      </c>
      <c r="D3837" t="n">
        <v>3177.94</v>
      </c>
      <c r="E3837" t="n">
        <v>9169.559999999999</v>
      </c>
      <c r="F3837" t="n">
        <v>16942</v>
      </c>
    </row>
    <row r="3838">
      <c r="A3838" s="3" t="n">
        <v>44092</v>
      </c>
      <c r="B3838" t="n">
        <v>17170.97</v>
      </c>
      <c r="C3838" t="n">
        <v>7961.87</v>
      </c>
      <c r="D3838" t="n">
        <v>3186.94</v>
      </c>
      <c r="E3838" t="n">
        <v>9266.719999999999</v>
      </c>
      <c r="F3838" t="n">
        <v>16903.55</v>
      </c>
    </row>
    <row r="3839">
      <c r="A3839" s="3" t="n">
        <v>44095</v>
      </c>
      <c r="B3839" t="n">
        <v>16567.72</v>
      </c>
      <c r="C3839" t="n">
        <v>7772.62</v>
      </c>
      <c r="D3839" t="n">
        <v>3040.21</v>
      </c>
      <c r="E3839" t="n">
        <v>9054.129999999999</v>
      </c>
      <c r="F3839" t="n">
        <v>16359.8</v>
      </c>
    </row>
    <row r="3840">
      <c r="A3840" s="3" t="n">
        <v>44096</v>
      </c>
      <c r="B3840" t="n">
        <v>16445.66</v>
      </c>
      <c r="C3840" t="n">
        <v>7725.58</v>
      </c>
      <c r="D3840" t="n">
        <v>2991.69</v>
      </c>
      <c r="E3840" t="n">
        <v>9013.58</v>
      </c>
      <c r="F3840" t="n">
        <v>16124.25</v>
      </c>
    </row>
    <row r="3841">
      <c r="A3841" s="3" t="n">
        <v>44097</v>
      </c>
      <c r="B3841" t="n">
        <v>16314.15</v>
      </c>
      <c r="C3841" t="n">
        <v>7706.55</v>
      </c>
      <c r="D3841" t="n">
        <v>2973.5</v>
      </c>
      <c r="E3841" t="n">
        <v>8981.190000000001</v>
      </c>
      <c r="F3841" t="n">
        <v>16080.15</v>
      </c>
    </row>
    <row r="3842">
      <c r="A3842" s="3" t="n">
        <v>44098</v>
      </c>
      <c r="B3842" t="n">
        <v>16029.85</v>
      </c>
      <c r="C3842" t="n">
        <v>7525.73</v>
      </c>
      <c r="D3842" t="n">
        <v>2847.52</v>
      </c>
      <c r="E3842" t="n">
        <v>8801.629999999999</v>
      </c>
      <c r="F3842" t="n">
        <v>15935.25</v>
      </c>
    </row>
    <row r="3843">
      <c r="A3843" s="3" t="n">
        <v>44099</v>
      </c>
      <c r="B3843" t="n">
        <v>16393.62</v>
      </c>
      <c r="C3843" t="n">
        <v>7713.8</v>
      </c>
      <c r="D3843" t="n">
        <v>2946.37</v>
      </c>
      <c r="E3843" t="n">
        <v>8981.59</v>
      </c>
      <c r="F3843" t="n">
        <v>16411.2</v>
      </c>
    </row>
    <row r="3844">
      <c r="A3844" s="3" t="n">
        <v>44102</v>
      </c>
      <c r="B3844" t="n">
        <v>16680.2</v>
      </c>
      <c r="C3844" t="n">
        <v>7825.03</v>
      </c>
      <c r="D3844" t="n">
        <v>3024.23</v>
      </c>
      <c r="E3844" t="n">
        <v>9098.809999999999</v>
      </c>
      <c r="F3844" t="n">
        <v>16940.75</v>
      </c>
    </row>
    <row r="3845">
      <c r="A3845" s="3" t="n">
        <v>44103</v>
      </c>
      <c r="B3845" t="n">
        <v>16588.38</v>
      </c>
      <c r="C3845" t="n">
        <v>7813.65</v>
      </c>
      <c r="D3845" t="n">
        <v>3009.31</v>
      </c>
      <c r="E3845" t="n">
        <v>9045.799999999999</v>
      </c>
      <c r="F3845" t="n">
        <v>16918.3</v>
      </c>
    </row>
    <row r="3846">
      <c r="A3846" s="3" t="n">
        <v>44104</v>
      </c>
      <c r="B3846" t="n">
        <v>16599.42</v>
      </c>
      <c r="C3846" t="n">
        <v>7851.75</v>
      </c>
      <c r="D3846" t="n">
        <v>2979.26</v>
      </c>
      <c r="E3846" t="n">
        <v>9122.809999999999</v>
      </c>
      <c r="F3846" t="n">
        <v>16926.65</v>
      </c>
    </row>
    <row r="3847">
      <c r="A3847" s="3" t="n">
        <v>44105</v>
      </c>
      <c r="B3847" t="n">
        <v>16691.74</v>
      </c>
      <c r="C3847" t="n">
        <v>7920.92</v>
      </c>
      <c r="D3847" t="n">
        <v>2998.1</v>
      </c>
      <c r="E3847" t="n">
        <v>9167.459999999999</v>
      </c>
      <c r="F3847" t="n">
        <v>16957.45</v>
      </c>
    </row>
    <row r="3848">
      <c r="A3848" s="3" t="n">
        <v>44109</v>
      </c>
      <c r="B3848" t="n">
        <v>16715.64</v>
      </c>
      <c r="C3848" t="n">
        <v>7965.73</v>
      </c>
      <c r="D3848" t="n">
        <v>3005.33</v>
      </c>
      <c r="E3848" t="n">
        <v>9256.09</v>
      </c>
      <c r="F3848" t="n">
        <v>16984.95</v>
      </c>
    </row>
    <row r="3849">
      <c r="A3849" s="3" t="n">
        <v>44110</v>
      </c>
      <c r="B3849" t="n">
        <v>16780.94</v>
      </c>
      <c r="C3849" t="n">
        <v>8007.25</v>
      </c>
      <c r="D3849" t="n">
        <v>3005.73</v>
      </c>
      <c r="E3849" t="n">
        <v>9272.67</v>
      </c>
      <c r="F3849" t="n">
        <v>16990.4</v>
      </c>
    </row>
    <row r="3850">
      <c r="A3850" s="3" t="n">
        <v>44111</v>
      </c>
      <c r="B3850" t="n">
        <v>16732.82</v>
      </c>
      <c r="C3850" t="n">
        <v>8012.82</v>
      </c>
      <c r="D3850" t="n">
        <v>2977.02</v>
      </c>
      <c r="E3850" t="n">
        <v>9277.790000000001</v>
      </c>
      <c r="F3850" t="n">
        <v>16917.2</v>
      </c>
    </row>
    <row r="3851">
      <c r="A3851" s="3" t="n">
        <v>44112</v>
      </c>
      <c r="B3851" t="n">
        <v>16815.14</v>
      </c>
      <c r="C3851" t="n">
        <v>8072</v>
      </c>
      <c r="D3851" t="n">
        <v>2971.42</v>
      </c>
      <c r="E3851" t="n">
        <v>9383.700000000001</v>
      </c>
      <c r="F3851" t="n">
        <v>16824.25</v>
      </c>
    </row>
    <row r="3852">
      <c r="A3852" s="3" t="n">
        <v>44113</v>
      </c>
      <c r="B3852" t="n">
        <v>16643.02</v>
      </c>
      <c r="C3852" t="n">
        <v>8053.89</v>
      </c>
      <c r="D3852" t="n">
        <v>2976.36</v>
      </c>
      <c r="E3852" t="n">
        <v>9378.84</v>
      </c>
      <c r="F3852" t="n">
        <v>16691.4</v>
      </c>
    </row>
    <row r="3853">
      <c r="A3853" s="3" t="n">
        <v>44116</v>
      </c>
      <c r="B3853" t="n">
        <v>16691.84</v>
      </c>
      <c r="C3853" t="n">
        <v>8090.78</v>
      </c>
      <c r="D3853" t="n">
        <v>2936.14</v>
      </c>
      <c r="E3853" t="n">
        <v>9392.52</v>
      </c>
      <c r="F3853" t="n">
        <v>16748.75</v>
      </c>
    </row>
    <row r="3854">
      <c r="A3854" s="3" t="n">
        <v>44117</v>
      </c>
      <c r="B3854" t="n">
        <v>16581.49</v>
      </c>
      <c r="C3854" t="n">
        <v>8106.64</v>
      </c>
      <c r="D3854" t="n">
        <v>2926.62</v>
      </c>
      <c r="E3854" t="n">
        <v>9379.639999999999</v>
      </c>
      <c r="F3854" t="n">
        <v>16831.55</v>
      </c>
    </row>
    <row r="3855">
      <c r="A3855" s="3" t="n">
        <v>44118</v>
      </c>
      <c r="B3855" t="n">
        <v>16637.96</v>
      </c>
      <c r="C3855" t="n">
        <v>8102.71</v>
      </c>
      <c r="D3855" t="n">
        <v>2919.62</v>
      </c>
      <c r="E3855" t="n">
        <v>9310.559999999999</v>
      </c>
      <c r="F3855" t="n">
        <v>16860.25</v>
      </c>
    </row>
    <row r="3856">
      <c r="A3856" s="3" t="n">
        <v>44119</v>
      </c>
      <c r="B3856" t="n">
        <v>16401.99</v>
      </c>
      <c r="C3856" t="n">
        <v>8006.2</v>
      </c>
      <c r="D3856" t="n">
        <v>2885.6</v>
      </c>
      <c r="E3856" t="n">
        <v>9196.91</v>
      </c>
      <c r="F3856" t="n">
        <v>16548.95</v>
      </c>
    </row>
    <row r="3857">
      <c r="A3857" s="3" t="n">
        <v>44120</v>
      </c>
      <c r="B3857" t="n">
        <v>16557.15</v>
      </c>
      <c r="C3857" t="n">
        <v>8027.93</v>
      </c>
      <c r="D3857" t="n">
        <v>2942.87</v>
      </c>
      <c r="E3857" t="n">
        <v>9231.16</v>
      </c>
      <c r="F3857" t="n">
        <v>16688.6</v>
      </c>
    </row>
    <row r="3858">
      <c r="A3858" s="3" t="n">
        <v>44123</v>
      </c>
      <c r="B3858" t="n">
        <v>16542.2</v>
      </c>
      <c r="C3858" t="n">
        <v>8052.05</v>
      </c>
      <c r="D3858" t="n">
        <v>2990.64</v>
      </c>
      <c r="E3858" t="n">
        <v>9250.9</v>
      </c>
      <c r="F3858" t="n">
        <v>16724.6</v>
      </c>
    </row>
    <row r="3859">
      <c r="A3859" s="3" t="n">
        <v>44124</v>
      </c>
      <c r="B3859" t="n">
        <v>16599.12</v>
      </c>
      <c r="C3859" t="n">
        <v>8088.2</v>
      </c>
      <c r="D3859" t="n">
        <v>2978.1</v>
      </c>
      <c r="E3859" t="n">
        <v>9286.370000000001</v>
      </c>
      <c r="F3859" t="n">
        <v>16757.7</v>
      </c>
    </row>
    <row r="3860">
      <c r="A3860" s="3" t="n">
        <v>44125</v>
      </c>
      <c r="B3860" t="n">
        <v>16556.58</v>
      </c>
      <c r="C3860" t="n">
        <v>8029.49</v>
      </c>
      <c r="D3860" t="n">
        <v>3013.99</v>
      </c>
      <c r="E3860" t="n">
        <v>9259.950000000001</v>
      </c>
      <c r="F3860" t="n">
        <v>16758.85</v>
      </c>
    </row>
    <row r="3861">
      <c r="A3861" s="3" t="n">
        <v>44126</v>
      </c>
      <c r="B3861" t="n">
        <v>16521.83</v>
      </c>
      <c r="C3861" t="n">
        <v>8035.83</v>
      </c>
      <c r="D3861" t="n">
        <v>3047.47</v>
      </c>
      <c r="E3861" t="n">
        <v>9261</v>
      </c>
      <c r="F3861" t="n">
        <v>16872.85</v>
      </c>
    </row>
    <row r="3862">
      <c r="A3862" s="3" t="n">
        <v>44127</v>
      </c>
      <c r="B3862" t="n">
        <v>16574.29</v>
      </c>
      <c r="C3862" t="n">
        <v>8069.48</v>
      </c>
      <c r="D3862" t="n">
        <v>3065.88</v>
      </c>
      <c r="E3862" t="n">
        <v>9299.940000000001</v>
      </c>
      <c r="F3862" t="n">
        <v>16908.45</v>
      </c>
    </row>
    <row r="3863">
      <c r="A3863" s="3" t="n">
        <v>44130</v>
      </c>
      <c r="B3863" t="n">
        <v>16468.15</v>
      </c>
      <c r="C3863" t="n">
        <v>7986.16</v>
      </c>
      <c r="D3863" t="n">
        <v>3009.61</v>
      </c>
      <c r="E3863" t="n">
        <v>9237.52</v>
      </c>
      <c r="F3863" t="n">
        <v>16671</v>
      </c>
    </row>
    <row r="3864">
      <c r="A3864" s="3" t="n">
        <v>44131</v>
      </c>
      <c r="B3864" t="n">
        <v>16850.15</v>
      </c>
      <c r="C3864" t="n">
        <v>8089.97</v>
      </c>
      <c r="D3864" t="n">
        <v>3024.1</v>
      </c>
      <c r="E3864" t="n">
        <v>9363.51</v>
      </c>
      <c r="F3864" t="n">
        <v>16954.25</v>
      </c>
    </row>
    <row r="3865">
      <c r="A3865" s="3" t="n">
        <v>44132</v>
      </c>
      <c r="B3865" t="n">
        <v>16722.71</v>
      </c>
      <c r="C3865" t="n">
        <v>8026.94</v>
      </c>
      <c r="D3865" t="n">
        <v>2985.09</v>
      </c>
      <c r="E3865" t="n">
        <v>9284.139999999999</v>
      </c>
      <c r="F3865" t="n">
        <v>16954.1</v>
      </c>
    </row>
    <row r="3866">
      <c r="A3866" s="3" t="n">
        <v>44133</v>
      </c>
      <c r="B3866" t="n">
        <v>16724.44</v>
      </c>
      <c r="C3866" t="n">
        <v>8024.71</v>
      </c>
      <c r="D3866" t="n">
        <v>2964.24</v>
      </c>
      <c r="E3866" t="n">
        <v>9253.26</v>
      </c>
      <c r="F3866" t="n">
        <v>17056.95</v>
      </c>
    </row>
    <row r="3867">
      <c r="A3867" s="3" t="n">
        <v>44134</v>
      </c>
      <c r="B3867" t="n">
        <v>16711.23</v>
      </c>
      <c r="C3867" t="n">
        <v>7987.33</v>
      </c>
      <c r="D3867" t="n">
        <v>3000.87</v>
      </c>
      <c r="E3867" t="n">
        <v>9238.26</v>
      </c>
      <c r="F3867" t="n">
        <v>17165.85</v>
      </c>
    </row>
    <row r="3868">
      <c r="A3868" s="3" t="n">
        <v>44137</v>
      </c>
      <c r="B3868" t="n">
        <v>16645.04</v>
      </c>
      <c r="C3868" t="n">
        <v>7935.38</v>
      </c>
      <c r="D3868" t="n">
        <v>3003.56</v>
      </c>
      <c r="E3868" t="n">
        <v>9194.77</v>
      </c>
      <c r="F3868" t="n">
        <v>16985.65</v>
      </c>
    </row>
    <row r="3869">
      <c r="A3869" s="3" t="n">
        <v>44138</v>
      </c>
      <c r="B3869" t="n">
        <v>16724.88</v>
      </c>
      <c r="C3869" t="n">
        <v>7968.53</v>
      </c>
      <c r="D3869" t="n">
        <v>3025.11</v>
      </c>
      <c r="E3869" t="n">
        <v>9243.209999999999</v>
      </c>
      <c r="F3869" t="n">
        <v>16980.1</v>
      </c>
    </row>
    <row r="3870">
      <c r="A3870" s="3" t="n">
        <v>44139</v>
      </c>
      <c r="B3870" t="n">
        <v>16858.56</v>
      </c>
      <c r="C3870" t="n">
        <v>8036.85</v>
      </c>
      <c r="D3870" t="n">
        <v>3014.74</v>
      </c>
      <c r="E3870" t="n">
        <v>9305.99</v>
      </c>
      <c r="F3870" t="n">
        <v>17099.6</v>
      </c>
    </row>
    <row r="3871">
      <c r="A3871" s="3" t="n">
        <v>44140</v>
      </c>
      <c r="B3871" t="n">
        <v>17107.66</v>
      </c>
      <c r="C3871" t="n">
        <v>8188.37</v>
      </c>
      <c r="D3871" t="n">
        <v>3118.04</v>
      </c>
      <c r="E3871" t="n">
        <v>9427.309999999999</v>
      </c>
      <c r="F3871" t="n">
        <v>17384.4</v>
      </c>
    </row>
    <row r="3872">
      <c r="A3872" s="3" t="n">
        <v>44141</v>
      </c>
      <c r="B3872" t="n">
        <v>17109.22</v>
      </c>
      <c r="C3872" t="n">
        <v>8225.059999999999</v>
      </c>
      <c r="D3872" t="n">
        <v>3135.13</v>
      </c>
      <c r="E3872" t="n">
        <v>9449.639999999999</v>
      </c>
      <c r="F3872" t="n">
        <v>17481.45</v>
      </c>
    </row>
    <row r="3873">
      <c r="A3873" s="3" t="n">
        <v>44144</v>
      </c>
      <c r="B3873" t="n">
        <v>17235.42</v>
      </c>
      <c r="C3873" t="n">
        <v>8308.799999999999</v>
      </c>
      <c r="D3873" t="n">
        <v>3172.52</v>
      </c>
      <c r="E3873" t="n">
        <v>9542.059999999999</v>
      </c>
      <c r="F3873" t="n">
        <v>17643</v>
      </c>
    </row>
    <row r="3874">
      <c r="A3874" s="3" t="n">
        <v>44145</v>
      </c>
      <c r="B3874" t="n">
        <v>16793.41</v>
      </c>
      <c r="C3874" t="n">
        <v>8192.540000000001</v>
      </c>
      <c r="D3874" t="n">
        <v>3217.3</v>
      </c>
      <c r="E3874" t="n">
        <v>9400.120000000001</v>
      </c>
      <c r="F3874" t="n">
        <v>17237.8</v>
      </c>
    </row>
    <row r="3875">
      <c r="A3875" s="3" t="n">
        <v>44146</v>
      </c>
      <c r="B3875" t="n">
        <v>17056.88</v>
      </c>
      <c r="C3875" t="n">
        <v>8279.049999999999</v>
      </c>
      <c r="D3875" t="n">
        <v>3267.41</v>
      </c>
      <c r="E3875" t="n">
        <v>9496.200000000001</v>
      </c>
      <c r="F3875" t="n">
        <v>17470.15</v>
      </c>
    </row>
    <row r="3876">
      <c r="A3876" s="3" t="n">
        <v>44147</v>
      </c>
      <c r="B3876" t="n">
        <v>17147.28</v>
      </c>
      <c r="C3876" t="n">
        <v>8311.370000000001</v>
      </c>
      <c r="D3876" t="n">
        <v>3290.09</v>
      </c>
      <c r="E3876" t="n">
        <v>9510.360000000001</v>
      </c>
      <c r="F3876" t="n">
        <v>17705.05</v>
      </c>
    </row>
    <row r="3877">
      <c r="A3877" s="3" t="n">
        <v>44148</v>
      </c>
      <c r="B3877" t="n">
        <v>17299.16</v>
      </c>
      <c r="C3877" t="n">
        <v>8353.93</v>
      </c>
      <c r="D3877" t="n">
        <v>3328.48</v>
      </c>
      <c r="E3877" t="n">
        <v>9548.07</v>
      </c>
      <c r="F3877" t="n">
        <v>17958.25</v>
      </c>
    </row>
    <row r="3878">
      <c r="A3878" s="3" t="n">
        <v>44149</v>
      </c>
      <c r="B3878" t="n">
        <v>17381.67</v>
      </c>
      <c r="C3878" t="n">
        <v>8387.129999999999</v>
      </c>
      <c r="D3878" t="n">
        <v>3355.74</v>
      </c>
      <c r="E3878" t="n">
        <v>9593.809999999999</v>
      </c>
      <c r="F3878" t="n">
        <v>18080</v>
      </c>
    </row>
    <row r="3879">
      <c r="A3879" s="3" t="n">
        <v>44152</v>
      </c>
      <c r="B3879" t="n">
        <v>17416.2</v>
      </c>
      <c r="C3879" t="n">
        <v>8380.549999999999</v>
      </c>
      <c r="D3879" t="n">
        <v>3378.35</v>
      </c>
      <c r="E3879" t="n">
        <v>9597.559999999999</v>
      </c>
      <c r="F3879" t="n">
        <v>18242.15</v>
      </c>
    </row>
    <row r="3880">
      <c r="A3880" s="3" t="n">
        <v>44153</v>
      </c>
      <c r="B3880" t="n">
        <v>17390.4</v>
      </c>
      <c r="C3880" t="n">
        <v>8387.290000000001</v>
      </c>
      <c r="D3880" t="n">
        <v>3402.48</v>
      </c>
      <c r="E3880" t="n">
        <v>9541.48</v>
      </c>
      <c r="F3880" t="n">
        <v>18305.1</v>
      </c>
    </row>
    <row r="3881">
      <c r="A3881" s="3" t="n">
        <v>44154</v>
      </c>
      <c r="B3881" t="n">
        <v>17256.44</v>
      </c>
      <c r="C3881" t="n">
        <v>8346.25</v>
      </c>
      <c r="D3881" t="n">
        <v>3393.48</v>
      </c>
      <c r="E3881" t="n">
        <v>9539.700000000001</v>
      </c>
      <c r="F3881" t="n">
        <v>18157.3</v>
      </c>
    </row>
    <row r="3882">
      <c r="A3882" s="3" t="n">
        <v>44155</v>
      </c>
      <c r="B3882" t="n">
        <v>17401.81</v>
      </c>
      <c r="C3882" t="n">
        <v>8433.24</v>
      </c>
      <c r="D3882" t="n">
        <v>3403.75</v>
      </c>
      <c r="E3882" t="n">
        <v>9640.68</v>
      </c>
      <c r="F3882" t="n">
        <v>18466.65</v>
      </c>
    </row>
    <row r="3883">
      <c r="A3883" s="3" t="n">
        <v>44158</v>
      </c>
      <c r="B3883" t="n">
        <v>17603.59</v>
      </c>
      <c r="C3883" t="n">
        <v>8542.49</v>
      </c>
      <c r="D3883" t="n">
        <v>3472.06</v>
      </c>
      <c r="E3883" t="n">
        <v>9736.91</v>
      </c>
      <c r="F3883" t="n">
        <v>18875.05</v>
      </c>
    </row>
    <row r="3884">
      <c r="A3884" s="3" t="n">
        <v>44159</v>
      </c>
      <c r="B3884" t="n">
        <v>17730.41</v>
      </c>
      <c r="C3884" t="n">
        <v>8593.469999999999</v>
      </c>
      <c r="D3884" t="n">
        <v>3496.93</v>
      </c>
      <c r="E3884" t="n">
        <v>9810.219999999999</v>
      </c>
      <c r="F3884" t="n">
        <v>19019.5</v>
      </c>
    </row>
    <row r="3885">
      <c r="A3885" s="3" t="n">
        <v>44160</v>
      </c>
      <c r="B3885" t="n">
        <v>17420.95</v>
      </c>
      <c r="C3885" t="n">
        <v>8454.219999999999</v>
      </c>
      <c r="D3885" t="n">
        <v>3480.13</v>
      </c>
      <c r="E3885" t="n">
        <v>9674.860000000001</v>
      </c>
      <c r="F3885" t="n">
        <v>18610.55</v>
      </c>
    </row>
    <row r="3886">
      <c r="A3886" s="3" t="n">
        <v>44161</v>
      </c>
      <c r="B3886" t="n">
        <v>17552.32</v>
      </c>
      <c r="C3886" t="n">
        <v>8507.559999999999</v>
      </c>
      <c r="D3886" t="n">
        <v>3544.79</v>
      </c>
      <c r="E3886" t="n">
        <v>9751.41</v>
      </c>
      <c r="F3886" t="n">
        <v>18660.4</v>
      </c>
    </row>
    <row r="3887">
      <c r="A3887" s="3" t="n">
        <v>44162</v>
      </c>
      <c r="B3887" t="n">
        <v>17821.29</v>
      </c>
      <c r="C3887" t="n">
        <v>8602.219999999999</v>
      </c>
      <c r="D3887" t="n">
        <v>3562.19</v>
      </c>
      <c r="E3887" t="n">
        <v>9782.950000000001</v>
      </c>
      <c r="F3887" t="n">
        <v>19075.85</v>
      </c>
    </row>
    <row r="3888">
      <c r="A3888" s="3" t="n">
        <v>44166</v>
      </c>
      <c r="B3888" t="n">
        <v>17821.48</v>
      </c>
      <c r="C3888" t="n">
        <v>8661.120000000001</v>
      </c>
      <c r="D3888" t="n">
        <v>3618.49</v>
      </c>
      <c r="E3888" t="n">
        <v>9823.950000000001</v>
      </c>
      <c r="F3888" t="n">
        <v>19159.55</v>
      </c>
    </row>
    <row r="3889">
      <c r="A3889" s="3" t="n">
        <v>44167</v>
      </c>
      <c r="B3889" t="n">
        <v>17866.16</v>
      </c>
      <c r="C3889" t="n">
        <v>8714.709999999999</v>
      </c>
      <c r="D3889" t="n">
        <v>3668.29</v>
      </c>
      <c r="E3889" t="n">
        <v>9879.01</v>
      </c>
      <c r="F3889" t="n">
        <v>19205.3</v>
      </c>
    </row>
    <row r="3890">
      <c r="A3890" s="3" t="n">
        <v>44168</v>
      </c>
      <c r="B3890" t="n">
        <v>18036.61</v>
      </c>
      <c r="C3890" t="n">
        <v>8760.9</v>
      </c>
      <c r="D3890" t="n">
        <v>3767.69</v>
      </c>
      <c r="E3890" t="n">
        <v>9939.48</v>
      </c>
      <c r="F3890" t="n">
        <v>19220.05</v>
      </c>
    </row>
    <row r="3891">
      <c r="A3891" s="3" t="n">
        <v>44169</v>
      </c>
      <c r="B3891" t="n">
        <v>18153.23</v>
      </c>
      <c r="C3891" t="n">
        <v>8800.809999999999</v>
      </c>
      <c r="D3891" t="n">
        <v>3802.91</v>
      </c>
      <c r="E3891" t="n">
        <v>10002.8</v>
      </c>
      <c r="F3891" t="n">
        <v>19268.1</v>
      </c>
    </row>
    <row r="3892">
      <c r="A3892" s="3" t="n">
        <v>44172</v>
      </c>
      <c r="B3892" t="n">
        <v>18286.71</v>
      </c>
      <c r="C3892" t="n">
        <v>8859.280000000001</v>
      </c>
      <c r="D3892" t="n">
        <v>3851.08</v>
      </c>
      <c r="E3892" t="n">
        <v>10073.56</v>
      </c>
      <c r="F3892" t="n">
        <v>19236.2</v>
      </c>
    </row>
    <row r="3893">
      <c r="A3893" s="3" t="n">
        <v>44173</v>
      </c>
      <c r="B3893" t="n">
        <v>18197.93</v>
      </c>
      <c r="C3893" t="n">
        <v>8854.93</v>
      </c>
      <c r="D3893" t="n">
        <v>3827.49</v>
      </c>
      <c r="E3893" t="n">
        <v>10059.68</v>
      </c>
      <c r="F3893" t="n">
        <v>19214.1</v>
      </c>
    </row>
    <row r="3894">
      <c r="A3894" s="3" t="n">
        <v>44174</v>
      </c>
      <c r="B3894" t="n">
        <v>18309.37</v>
      </c>
      <c r="C3894" t="n">
        <v>8930.950000000001</v>
      </c>
      <c r="D3894" t="n">
        <v>3856.36</v>
      </c>
      <c r="E3894" t="n">
        <v>10119.55</v>
      </c>
      <c r="F3894" t="n">
        <v>19230.5</v>
      </c>
    </row>
    <row r="3895">
      <c r="A3895" s="3" t="n">
        <v>44175</v>
      </c>
      <c r="B3895" t="n">
        <v>18427.44</v>
      </c>
      <c r="C3895" t="n">
        <v>8957.719999999999</v>
      </c>
      <c r="D3895" t="n">
        <v>3821.96</v>
      </c>
      <c r="E3895" t="n">
        <v>10151.25</v>
      </c>
      <c r="F3895" t="n">
        <v>19211.35</v>
      </c>
    </row>
    <row r="3896">
      <c r="A3896" s="3" t="n">
        <v>44176</v>
      </c>
      <c r="B3896" t="n">
        <v>18357.8</v>
      </c>
      <c r="C3896" t="n">
        <v>8964.34</v>
      </c>
      <c r="D3896" t="n">
        <v>3873.83</v>
      </c>
      <c r="E3896" t="n">
        <v>10178.25</v>
      </c>
      <c r="F3896" t="n">
        <v>19255.45</v>
      </c>
    </row>
    <row r="3897">
      <c r="A3897" s="3" t="n">
        <v>44179</v>
      </c>
      <c r="B3897" t="n">
        <v>18484.42</v>
      </c>
      <c r="C3897" t="n">
        <v>9009.07</v>
      </c>
      <c r="D3897" t="n">
        <v>3957.3</v>
      </c>
      <c r="E3897" t="n">
        <v>10219.21</v>
      </c>
      <c r="F3897" t="n">
        <v>19257.1</v>
      </c>
    </row>
    <row r="3898">
      <c r="A3898" s="3" t="n">
        <v>44180</v>
      </c>
      <c r="B3898" t="n">
        <v>18400.44</v>
      </c>
      <c r="C3898" t="n">
        <v>9022.719999999999</v>
      </c>
      <c r="D3898" t="n">
        <v>3945.2</v>
      </c>
      <c r="E3898" t="n">
        <v>10213.43</v>
      </c>
      <c r="F3898" t="n">
        <v>19300.3</v>
      </c>
    </row>
    <row r="3899">
      <c r="A3899" s="3" t="n">
        <v>44181</v>
      </c>
      <c r="B3899" t="n">
        <v>18547.44</v>
      </c>
      <c r="C3899" t="n">
        <v>9112.879999999999</v>
      </c>
      <c r="D3899" t="n">
        <v>3997.84</v>
      </c>
      <c r="E3899" t="n">
        <v>10311.95</v>
      </c>
      <c r="F3899" t="n">
        <v>19495.8</v>
      </c>
    </row>
    <row r="3900">
      <c r="A3900" s="3" t="n">
        <v>44182</v>
      </c>
      <c r="B3900" t="n">
        <v>18596.87</v>
      </c>
      <c r="C3900" t="n">
        <v>9141.200000000001</v>
      </c>
      <c r="D3900" t="n">
        <v>3958.37</v>
      </c>
      <c r="E3900" t="n">
        <v>10317.81</v>
      </c>
      <c r="F3900" t="n">
        <v>19617.05</v>
      </c>
    </row>
    <row r="3901">
      <c r="A3901" s="3" t="n">
        <v>44183</v>
      </c>
      <c r="B3901" t="n">
        <v>18674.95</v>
      </c>
      <c r="C3901" t="n">
        <v>9210.77</v>
      </c>
      <c r="D3901" t="n">
        <v>3936.53</v>
      </c>
      <c r="E3901" t="n">
        <v>10361.32</v>
      </c>
      <c r="F3901" t="n">
        <v>19577.8</v>
      </c>
    </row>
    <row r="3902">
      <c r="A3902" s="3" t="n">
        <v>44186</v>
      </c>
      <c r="B3902" t="n">
        <v>18080.63</v>
      </c>
      <c r="C3902" t="n">
        <v>8935.370000000001</v>
      </c>
      <c r="D3902" t="n">
        <v>3673.67</v>
      </c>
      <c r="E3902" t="n">
        <v>10057.71</v>
      </c>
      <c r="F3902" t="n">
        <v>18873.05</v>
      </c>
    </row>
    <row r="3903">
      <c r="A3903" s="3" t="n">
        <v>44187</v>
      </c>
      <c r="B3903" t="n">
        <v>18361.45</v>
      </c>
      <c r="C3903" t="n">
        <v>9084.01</v>
      </c>
      <c r="D3903" t="n">
        <v>3713.24</v>
      </c>
      <c r="E3903" t="n">
        <v>10193</v>
      </c>
      <c r="F3903" t="n">
        <v>19111.25</v>
      </c>
    </row>
    <row r="3904">
      <c r="A3904" s="3" t="n">
        <v>44188</v>
      </c>
      <c r="B3904" t="n">
        <v>18684.37</v>
      </c>
      <c r="C3904" t="n">
        <v>9212.15</v>
      </c>
      <c r="D3904" t="n">
        <v>3797.62</v>
      </c>
      <c r="E3904" t="n">
        <v>10346.69</v>
      </c>
      <c r="F3904" t="n">
        <v>19413.85</v>
      </c>
    </row>
    <row r="3905">
      <c r="A3905" s="3" t="n">
        <v>44189</v>
      </c>
      <c r="B3905" t="n">
        <v>18826.36</v>
      </c>
      <c r="C3905" t="n">
        <v>9253.139999999999</v>
      </c>
      <c r="D3905" t="n">
        <v>3831.6</v>
      </c>
      <c r="E3905" t="n">
        <v>10385.56</v>
      </c>
      <c r="F3905" t="n">
        <v>19521.2</v>
      </c>
    </row>
    <row r="3906">
      <c r="A3906" s="3" t="n">
        <v>44193</v>
      </c>
      <c r="B3906" t="n">
        <v>18935.27</v>
      </c>
      <c r="C3906" t="n">
        <v>9325.639999999999</v>
      </c>
      <c r="D3906" t="n">
        <v>3902.26</v>
      </c>
      <c r="E3906" t="n">
        <v>10467.1</v>
      </c>
      <c r="F3906" t="n">
        <v>19733.9</v>
      </c>
    </row>
    <row r="3907">
      <c r="A3907" s="3" t="n">
        <v>44194</v>
      </c>
      <c r="B3907" t="n">
        <v>18911.33</v>
      </c>
      <c r="C3907" t="n">
        <v>9337.41</v>
      </c>
      <c r="D3907" t="n">
        <v>3888.78</v>
      </c>
      <c r="E3907" t="n">
        <v>10468.91</v>
      </c>
      <c r="F3907" t="n">
        <v>19705</v>
      </c>
    </row>
    <row r="3908">
      <c r="A3908" s="3" t="n">
        <v>44195</v>
      </c>
      <c r="B3908" t="n">
        <v>18940.06</v>
      </c>
      <c r="C3908" t="n">
        <v>9378.780000000001</v>
      </c>
      <c r="D3908" t="n">
        <v>3898.41</v>
      </c>
      <c r="E3908" t="n">
        <v>10499.67</v>
      </c>
      <c r="F3908" t="n">
        <v>19770.7</v>
      </c>
    </row>
    <row r="3909">
      <c r="A3909" s="3" t="n">
        <v>44196</v>
      </c>
      <c r="B3909" t="n">
        <v>18961.29</v>
      </c>
      <c r="C3909" t="n">
        <v>9383.120000000001</v>
      </c>
      <c r="D3909" t="n">
        <v>3911.12</v>
      </c>
      <c r="E3909" t="n">
        <v>10513.5</v>
      </c>
      <c r="F3909" t="n">
        <v>19836.8</v>
      </c>
    </row>
    <row r="3910">
      <c r="A3910" s="3" t="n">
        <v>44197</v>
      </c>
      <c r="B3910" t="n">
        <v>19175.05</v>
      </c>
      <c r="C3910" t="n">
        <v>9437.65</v>
      </c>
      <c r="D3910" t="n">
        <v>3954.18</v>
      </c>
      <c r="E3910" t="n">
        <v>10583.68</v>
      </c>
      <c r="F3910" t="n">
        <v>20096.3</v>
      </c>
    </row>
    <row r="3911">
      <c r="A3911" s="3" t="n">
        <v>44200</v>
      </c>
      <c r="B3911" t="n">
        <v>19449.31</v>
      </c>
      <c r="C3911" t="n">
        <v>9541.450000000001</v>
      </c>
      <c r="D3911" t="n">
        <v>4068.5</v>
      </c>
      <c r="E3911" t="n">
        <v>10697.22</v>
      </c>
      <c r="F3911" t="n">
        <v>20326.15</v>
      </c>
    </row>
    <row r="3912">
      <c r="A3912" s="3" t="n">
        <v>44201</v>
      </c>
      <c r="B3912" t="n">
        <v>19765.29</v>
      </c>
      <c r="C3912" t="n">
        <v>9611.120000000001</v>
      </c>
      <c r="D3912" t="n">
        <v>4057.13</v>
      </c>
      <c r="E3912" t="n">
        <v>10755.47</v>
      </c>
      <c r="F3912" t="n">
        <v>20497.4</v>
      </c>
    </row>
    <row r="3913">
      <c r="A3913" s="3" t="n">
        <v>44202</v>
      </c>
      <c r="B3913" t="n">
        <v>19627.75</v>
      </c>
      <c r="C3913" t="n">
        <v>9576.91</v>
      </c>
      <c r="D3913" t="n">
        <v>4083.58</v>
      </c>
      <c r="E3913" t="n">
        <v>10756.42</v>
      </c>
      <c r="F3913" t="n">
        <v>20531.3</v>
      </c>
    </row>
    <row r="3914">
      <c r="A3914" s="3" t="n">
        <v>44203</v>
      </c>
      <c r="B3914" t="n">
        <v>19804.48</v>
      </c>
      <c r="C3914" t="n">
        <v>9540.51</v>
      </c>
      <c r="D3914" t="n">
        <v>4155.14</v>
      </c>
      <c r="E3914" t="n">
        <v>10742.07</v>
      </c>
      <c r="F3914" t="n">
        <v>20666.55</v>
      </c>
    </row>
    <row r="3915">
      <c r="A3915" s="3" t="n">
        <v>44204</v>
      </c>
      <c r="B3915" t="n">
        <v>20107.94</v>
      </c>
      <c r="C3915" t="n">
        <v>9698.700000000001</v>
      </c>
      <c r="D3915" t="n">
        <v>4186.47</v>
      </c>
      <c r="E3915" t="n">
        <v>10950.19</v>
      </c>
      <c r="F3915" t="n">
        <v>20718.5</v>
      </c>
    </row>
    <row r="3916">
      <c r="A3916" s="3" t="n">
        <v>44207</v>
      </c>
      <c r="B3916" t="n">
        <v>20342.36</v>
      </c>
      <c r="C3916" t="n">
        <v>9795.33</v>
      </c>
      <c r="D3916" t="n">
        <v>4192.9</v>
      </c>
      <c r="E3916" t="n">
        <v>11044.08</v>
      </c>
      <c r="F3916" t="n">
        <v>20606.4</v>
      </c>
    </row>
    <row r="3917">
      <c r="A3917" s="3" t="n">
        <v>44208</v>
      </c>
      <c r="B3917" t="n">
        <v>20367.08</v>
      </c>
      <c r="C3917" t="n">
        <v>9766.49</v>
      </c>
      <c r="D3917" t="n">
        <v>4281.97</v>
      </c>
      <c r="E3917" t="n">
        <v>11002.84</v>
      </c>
      <c r="F3917" t="n">
        <v>20560.95</v>
      </c>
    </row>
    <row r="3918">
      <c r="A3918" s="3" t="n">
        <v>44209</v>
      </c>
      <c r="B3918" t="n">
        <v>20317.66</v>
      </c>
      <c r="C3918" t="n">
        <v>9743.92</v>
      </c>
      <c r="D3918" t="n">
        <v>4320.96</v>
      </c>
      <c r="E3918" t="n">
        <v>10965.07</v>
      </c>
      <c r="F3918" t="n">
        <v>20389.75</v>
      </c>
    </row>
    <row r="3919">
      <c r="A3919" s="3" t="n">
        <v>44210</v>
      </c>
      <c r="B3919" t="n">
        <v>20275.15</v>
      </c>
      <c r="C3919" t="n">
        <v>9769.58</v>
      </c>
      <c r="D3919" t="n">
        <v>4330.5</v>
      </c>
      <c r="E3919" t="n">
        <v>11007.21</v>
      </c>
      <c r="F3919" t="n">
        <v>20502.3</v>
      </c>
    </row>
    <row r="3920">
      <c r="A3920" s="3" t="n">
        <v>44211</v>
      </c>
      <c r="B3920" t="n">
        <v>19951.14</v>
      </c>
      <c r="C3920" t="n">
        <v>9607.34</v>
      </c>
      <c r="D3920" t="n">
        <v>4291.69</v>
      </c>
      <c r="E3920" t="n">
        <v>10849.32</v>
      </c>
      <c r="F3920" t="n">
        <v>20265.05</v>
      </c>
    </row>
    <row r="3921">
      <c r="A3921" s="3" t="n">
        <v>44214</v>
      </c>
      <c r="B3921" t="n">
        <v>19445.36</v>
      </c>
      <c r="C3921" t="n">
        <v>9472.49</v>
      </c>
      <c r="D3921" t="n">
        <v>4150.24</v>
      </c>
      <c r="E3921" t="n">
        <v>10688.62</v>
      </c>
      <c r="F3921" t="n">
        <v>19894.6</v>
      </c>
    </row>
    <row r="3922">
      <c r="A3922" s="3" t="n">
        <v>44215</v>
      </c>
      <c r="B3922" t="n">
        <v>19794.57</v>
      </c>
      <c r="C3922" t="n">
        <v>9612.450000000001</v>
      </c>
      <c r="D3922" t="n">
        <v>4258.82</v>
      </c>
      <c r="E3922" t="n">
        <v>10826.9</v>
      </c>
      <c r="F3922" t="n">
        <v>20149.95</v>
      </c>
    </row>
    <row r="3923">
      <c r="A3923" s="3" t="n">
        <v>44216</v>
      </c>
      <c r="B3923" t="n">
        <v>20103.88</v>
      </c>
      <c r="C3923" t="n">
        <v>9674.940000000001</v>
      </c>
      <c r="D3923" t="n">
        <v>4292.18</v>
      </c>
      <c r="E3923" t="n">
        <v>10857.38</v>
      </c>
      <c r="F3923" t="n">
        <v>20292.05</v>
      </c>
    </row>
    <row r="3924">
      <c r="A3924" s="3" t="n">
        <v>44217</v>
      </c>
      <c r="B3924" t="n">
        <v>19900.22</v>
      </c>
      <c r="C3924" t="n">
        <v>9637.82</v>
      </c>
      <c r="D3924" t="n">
        <v>4227.16</v>
      </c>
      <c r="E3924" t="n">
        <v>10863</v>
      </c>
      <c r="F3924" t="n">
        <v>20188.1</v>
      </c>
    </row>
    <row r="3925">
      <c r="A3925" s="3" t="n">
        <v>44218</v>
      </c>
      <c r="B3925" t="n">
        <v>19769.82</v>
      </c>
      <c r="C3925" t="n">
        <v>9589.559999999999</v>
      </c>
      <c r="D3925" t="n">
        <v>4137.91</v>
      </c>
      <c r="E3925" t="n">
        <v>10806.59</v>
      </c>
      <c r="F3925" t="n">
        <v>19951</v>
      </c>
    </row>
    <row r="3926">
      <c r="A3926" s="3" t="n">
        <v>44221</v>
      </c>
      <c r="B3926" t="n">
        <v>19602.02</v>
      </c>
      <c r="C3926" t="n">
        <v>9507.540000000001</v>
      </c>
      <c r="D3926" t="n">
        <v>4092.18</v>
      </c>
      <c r="E3926" t="n">
        <v>10742.8</v>
      </c>
      <c r="F3926" t="n">
        <v>19835.45</v>
      </c>
    </row>
    <row r="3927">
      <c r="A3927" s="3" t="n">
        <v>44223</v>
      </c>
      <c r="B3927" t="n">
        <v>19510.03</v>
      </c>
      <c r="C3927" t="n">
        <v>9459.25</v>
      </c>
      <c r="D3927" t="n">
        <v>4009.99</v>
      </c>
      <c r="E3927" t="n">
        <v>10654.37</v>
      </c>
      <c r="F3927" t="n">
        <v>19737.85</v>
      </c>
    </row>
    <row r="3928">
      <c r="A3928" s="3" t="n">
        <v>44224</v>
      </c>
      <c r="B3928" t="n">
        <v>19287.68</v>
      </c>
      <c r="C3928" t="n">
        <v>9376.610000000001</v>
      </c>
      <c r="D3928" t="n">
        <v>4003.02</v>
      </c>
      <c r="E3928" t="n">
        <v>10591.23</v>
      </c>
      <c r="F3928" t="n">
        <v>19571.6</v>
      </c>
    </row>
    <row r="3929">
      <c r="A3929" s="3" t="n">
        <v>44225</v>
      </c>
      <c r="B3929" t="n">
        <v>19042.96</v>
      </c>
      <c r="C3929" t="n">
        <v>9239.299999999999</v>
      </c>
      <c r="D3929" t="n">
        <v>3961.39</v>
      </c>
      <c r="E3929" t="n">
        <v>10383.79</v>
      </c>
      <c r="F3929" t="n">
        <v>19275.45</v>
      </c>
    </row>
    <row r="3930">
      <c r="A3930" s="3" t="n">
        <v>44228</v>
      </c>
      <c r="B3930" t="n">
        <v>19547.81</v>
      </c>
      <c r="C3930" t="n">
        <v>9418.370000000001</v>
      </c>
      <c r="D3930" t="n">
        <v>4135.5</v>
      </c>
      <c r="E3930" t="n">
        <v>10527.74</v>
      </c>
      <c r="F3930" t="n">
        <v>19560.3</v>
      </c>
    </row>
    <row r="3931">
      <c r="A3931" s="3" t="n">
        <v>44229</v>
      </c>
      <c r="B3931" t="n">
        <v>19934.97</v>
      </c>
      <c r="C3931" t="n">
        <v>9521.67</v>
      </c>
      <c r="D3931" t="n">
        <v>4283.45</v>
      </c>
      <c r="E3931" t="n">
        <v>10720.39</v>
      </c>
      <c r="F3931" t="n">
        <v>19832.55</v>
      </c>
    </row>
    <row r="3932">
      <c r="A3932" s="3" t="n">
        <v>44230</v>
      </c>
      <c r="B3932" t="n">
        <v>20287.19</v>
      </c>
      <c r="C3932" t="n">
        <v>9601.15</v>
      </c>
      <c r="D3932" t="n">
        <v>4368.05</v>
      </c>
      <c r="E3932" t="n">
        <v>10795.89</v>
      </c>
      <c r="F3932" t="n">
        <v>20196.8</v>
      </c>
    </row>
    <row r="3933">
      <c r="A3933" s="3" t="n">
        <v>44231</v>
      </c>
      <c r="B3933" t="n">
        <v>20487.77</v>
      </c>
      <c r="C3933" t="n">
        <v>9706.66</v>
      </c>
      <c r="D3933" t="n">
        <v>4454.84</v>
      </c>
      <c r="E3933" t="n">
        <v>10871.73</v>
      </c>
      <c r="F3933" t="n">
        <v>20489.25</v>
      </c>
    </row>
    <row r="3934">
      <c r="A3934" s="3" t="n">
        <v>44232</v>
      </c>
      <c r="B3934" t="n">
        <v>20447.29</v>
      </c>
      <c r="C3934" t="n">
        <v>9663.26</v>
      </c>
      <c r="D3934" t="n">
        <v>4425.4</v>
      </c>
      <c r="E3934" t="n">
        <v>10849.72</v>
      </c>
      <c r="F3934" t="n">
        <v>20500.05</v>
      </c>
    </row>
    <row r="3935">
      <c r="A3935" s="3" t="n">
        <v>44235</v>
      </c>
      <c r="B3935" t="n">
        <v>20687.14</v>
      </c>
      <c r="C3935" t="n">
        <v>9730.23</v>
      </c>
      <c r="D3935" t="n">
        <v>4516.52</v>
      </c>
      <c r="E3935" t="n">
        <v>10927.68</v>
      </c>
      <c r="F3935" t="n">
        <v>20671.8</v>
      </c>
    </row>
    <row r="3936">
      <c r="A3936" s="3" t="n">
        <v>44236</v>
      </c>
      <c r="B3936" t="n">
        <v>20649.18</v>
      </c>
      <c r="C3936" t="n">
        <v>9723.450000000001</v>
      </c>
      <c r="D3936" t="n">
        <v>4497.24</v>
      </c>
      <c r="E3936" t="n">
        <v>10931.25</v>
      </c>
      <c r="F3936" t="n">
        <v>20716.9</v>
      </c>
    </row>
    <row r="3937">
      <c r="A3937" s="3" t="n">
        <v>44237</v>
      </c>
      <c r="B3937" t="n">
        <v>20827.94</v>
      </c>
      <c r="C3937" t="n">
        <v>9755.92</v>
      </c>
      <c r="D3937" t="n">
        <v>4509.51</v>
      </c>
      <c r="E3937" t="n">
        <v>10964.83</v>
      </c>
      <c r="F3937" t="n">
        <v>20921.2</v>
      </c>
    </row>
    <row r="3938">
      <c r="A3938" s="3" t="n">
        <v>44238</v>
      </c>
      <c r="B3938" t="n">
        <v>21014.89</v>
      </c>
      <c r="C3938" t="n">
        <v>9818.43</v>
      </c>
      <c r="D3938" t="n">
        <v>4520.01</v>
      </c>
      <c r="E3938" t="n">
        <v>10983.48</v>
      </c>
      <c r="F3938" t="n">
        <v>21215.45</v>
      </c>
    </row>
    <row r="3939">
      <c r="A3939" s="3" t="n">
        <v>44239</v>
      </c>
      <c r="B3939" t="n">
        <v>21099.62</v>
      </c>
      <c r="C3939" t="n">
        <v>9753.08</v>
      </c>
      <c r="D3939" t="n">
        <v>4479.97</v>
      </c>
      <c r="E3939" t="n">
        <v>10892.57</v>
      </c>
      <c r="F3939" t="n">
        <v>21163.7</v>
      </c>
    </row>
    <row r="3940">
      <c r="A3940" s="3" t="n">
        <v>44242</v>
      </c>
      <c r="B3940" t="n">
        <v>21585.33</v>
      </c>
      <c r="C3940" t="n">
        <v>9734.370000000001</v>
      </c>
      <c r="D3940" t="n">
        <v>4505.32</v>
      </c>
      <c r="E3940" t="n">
        <v>10889.37</v>
      </c>
      <c r="F3940" t="n">
        <v>21342</v>
      </c>
    </row>
    <row r="3941">
      <c r="A3941" s="3" t="n">
        <v>44243</v>
      </c>
      <c r="B3941" t="n">
        <v>21610.95</v>
      </c>
      <c r="C3941" t="n">
        <v>9719.530000000001</v>
      </c>
      <c r="D3941" t="n">
        <v>4578.26</v>
      </c>
      <c r="E3941" t="n">
        <v>10915.7</v>
      </c>
      <c r="F3941" t="n">
        <v>21498.9</v>
      </c>
    </row>
    <row r="3942">
      <c r="A3942" s="3" t="n">
        <v>44244</v>
      </c>
      <c r="B3942" t="n">
        <v>21504.86</v>
      </c>
      <c r="C3942" t="n">
        <v>9668.049999999999</v>
      </c>
      <c r="D3942" t="n">
        <v>4606.49</v>
      </c>
      <c r="E3942" t="n">
        <v>10842.34</v>
      </c>
      <c r="F3942" t="n">
        <v>21484.75</v>
      </c>
    </row>
    <row r="3943">
      <c r="A3943" s="3" t="n">
        <v>44245</v>
      </c>
      <c r="B3943" t="n">
        <v>21517.17</v>
      </c>
      <c r="C3943" t="n">
        <v>9698.16</v>
      </c>
      <c r="D3943" t="n">
        <v>4724.97</v>
      </c>
      <c r="E3943" t="n">
        <v>10857.51</v>
      </c>
      <c r="F3943" t="n">
        <v>21733.65</v>
      </c>
    </row>
    <row r="3944">
      <c r="A3944" s="3" t="n">
        <v>44246</v>
      </c>
      <c r="B3944" t="n">
        <v>21207.54</v>
      </c>
      <c r="C3944" t="n">
        <v>9612.82</v>
      </c>
      <c r="D3944" t="n">
        <v>4649.1</v>
      </c>
      <c r="E3944" t="n">
        <v>10777.13</v>
      </c>
      <c r="F3944" t="n">
        <v>21423.85</v>
      </c>
    </row>
    <row r="3945">
      <c r="A3945" s="3" t="n">
        <v>44249</v>
      </c>
      <c r="B3945" t="n">
        <v>20984.12</v>
      </c>
      <c r="C3945" t="n">
        <v>9440.77</v>
      </c>
      <c r="D3945" t="n">
        <v>4611.99</v>
      </c>
      <c r="E3945" t="n">
        <v>10581.66</v>
      </c>
      <c r="F3945" t="n">
        <v>21219.55</v>
      </c>
    </row>
    <row r="3946">
      <c r="A3946" s="3" t="n">
        <v>44250</v>
      </c>
      <c r="B3946" t="n">
        <v>21006.09</v>
      </c>
      <c r="C3946" t="n">
        <v>9448.33</v>
      </c>
      <c r="D3946" t="n">
        <v>4716.34</v>
      </c>
      <c r="E3946" t="n">
        <v>10612.57</v>
      </c>
      <c r="F3946" t="n">
        <v>21447.7</v>
      </c>
    </row>
    <row r="3947">
      <c r="A3947" s="3" t="n">
        <v>44251</v>
      </c>
      <c r="B3947" t="n">
        <v>21129.4</v>
      </c>
      <c r="C3947" t="n">
        <v>9515.1</v>
      </c>
      <c r="D3947" t="n">
        <v>4774.89</v>
      </c>
      <c r="E3947" t="n">
        <v>10637.91</v>
      </c>
      <c r="F3947" t="n">
        <v>21560.25</v>
      </c>
    </row>
    <row r="3948">
      <c r="A3948" s="3" t="n">
        <v>44252</v>
      </c>
      <c r="B3948" t="n">
        <v>21272.97</v>
      </c>
      <c r="C3948" t="n">
        <v>9595.620000000001</v>
      </c>
      <c r="D3948" t="n">
        <v>4946.61</v>
      </c>
      <c r="E3948" t="n">
        <v>10711.55</v>
      </c>
      <c r="F3948" t="n">
        <v>21643.7</v>
      </c>
    </row>
    <row r="3949">
      <c r="A3949" s="3" t="n">
        <v>44253</v>
      </c>
      <c r="B3949" t="n">
        <v>21013.37</v>
      </c>
      <c r="C3949" t="n">
        <v>9386.790000000001</v>
      </c>
      <c r="D3949" t="n">
        <v>4808.61</v>
      </c>
      <c r="E3949" t="n">
        <v>10475.81</v>
      </c>
      <c r="F3949" t="n">
        <v>21475.1</v>
      </c>
    </row>
    <row r="3950">
      <c r="A3950" s="3" t="n">
        <v>44256</v>
      </c>
      <c r="B3950" t="n">
        <v>21267.65</v>
      </c>
      <c r="C3950" t="n">
        <v>9539.299999999999</v>
      </c>
      <c r="D3950" t="n">
        <v>4895.99</v>
      </c>
      <c r="E3950" t="n">
        <v>10638.21</v>
      </c>
      <c r="F3950" t="n">
        <v>21856.7</v>
      </c>
    </row>
    <row r="3951">
      <c r="A3951" s="3" t="n">
        <v>44257</v>
      </c>
      <c r="B3951" t="n">
        <v>21658.71</v>
      </c>
      <c r="C3951" t="n">
        <v>9730.51</v>
      </c>
      <c r="D3951" t="n">
        <v>4957.7</v>
      </c>
      <c r="E3951" t="n">
        <v>10804.87</v>
      </c>
      <c r="F3951" t="n">
        <v>22119.2</v>
      </c>
    </row>
    <row r="3952">
      <c r="A3952" s="3" t="n">
        <v>44258</v>
      </c>
      <c r="B3952" t="n">
        <v>22075.44</v>
      </c>
      <c r="C3952" t="n">
        <v>9815.870000000001</v>
      </c>
      <c r="D3952" t="n">
        <v>5064.75</v>
      </c>
      <c r="E3952" t="n">
        <v>10883.15</v>
      </c>
      <c r="F3952" t="n">
        <v>22552.95</v>
      </c>
    </row>
    <row r="3953">
      <c r="A3953" s="3" t="n">
        <v>44259</v>
      </c>
      <c r="B3953" t="n">
        <v>22096.78</v>
      </c>
      <c r="C3953" t="n">
        <v>9819.6</v>
      </c>
      <c r="D3953" t="n">
        <v>5037.04</v>
      </c>
      <c r="E3953" t="n">
        <v>10905.89</v>
      </c>
      <c r="F3953" t="n">
        <v>22669.25</v>
      </c>
    </row>
    <row r="3954">
      <c r="A3954" s="3" t="n">
        <v>44260</v>
      </c>
      <c r="B3954" t="n">
        <v>21748.1</v>
      </c>
      <c r="C3954" t="n">
        <v>9749.92</v>
      </c>
      <c r="D3954" t="n">
        <v>4924.31</v>
      </c>
      <c r="E3954" t="n">
        <v>10793.03</v>
      </c>
      <c r="F3954" t="n">
        <v>22305.55</v>
      </c>
    </row>
    <row r="3955">
      <c r="A3955" s="3" t="n">
        <v>44263</v>
      </c>
      <c r="B3955" t="n">
        <v>21767.65</v>
      </c>
      <c r="C3955" t="n">
        <v>9746.76</v>
      </c>
      <c r="D3955" t="n">
        <v>4986.49</v>
      </c>
      <c r="E3955" t="n">
        <v>10785.38</v>
      </c>
      <c r="F3955" t="n">
        <v>22289.1</v>
      </c>
    </row>
    <row r="3956">
      <c r="A3956" s="3" t="n">
        <v>44264</v>
      </c>
      <c r="B3956" t="n">
        <v>21711.45</v>
      </c>
      <c r="C3956" t="n">
        <v>9768.16</v>
      </c>
      <c r="D3956" t="n">
        <v>4906.6</v>
      </c>
      <c r="E3956" t="n">
        <v>10792.64</v>
      </c>
      <c r="F3956" t="n">
        <v>22215.1</v>
      </c>
    </row>
    <row r="3957">
      <c r="A3957" s="3" t="n">
        <v>44265</v>
      </c>
      <c r="B3957" t="n">
        <v>22018.33</v>
      </c>
      <c r="C3957" t="n">
        <v>9854.190000000001</v>
      </c>
      <c r="D3957" t="n">
        <v>4940.57</v>
      </c>
      <c r="E3957" t="n">
        <v>10860.2</v>
      </c>
      <c r="F3957" t="n">
        <v>22599.15</v>
      </c>
    </row>
    <row r="3958">
      <c r="A3958" s="3" t="n">
        <v>44267</v>
      </c>
      <c r="B3958" t="n">
        <v>21967.29</v>
      </c>
      <c r="C3958" t="n">
        <v>9777.73</v>
      </c>
      <c r="D3958" t="n">
        <v>4944.83</v>
      </c>
      <c r="E3958" t="n">
        <v>10788.39</v>
      </c>
      <c r="F3958" t="n">
        <v>22517.8</v>
      </c>
    </row>
    <row r="3959">
      <c r="A3959" s="3" t="n">
        <v>44270</v>
      </c>
      <c r="B3959" t="n">
        <v>21870.66</v>
      </c>
      <c r="C3959" t="n">
        <v>9707.98</v>
      </c>
      <c r="D3959" t="n">
        <v>4940.67</v>
      </c>
      <c r="E3959" t="n">
        <v>10752.8</v>
      </c>
      <c r="F3959" t="n">
        <v>22460.35</v>
      </c>
    </row>
    <row r="3960">
      <c r="A3960" s="3" t="n">
        <v>44271</v>
      </c>
      <c r="B3960" t="n">
        <v>22168.66</v>
      </c>
      <c r="C3960" t="n">
        <v>9790.99</v>
      </c>
      <c r="D3960" t="n">
        <v>4934.48</v>
      </c>
      <c r="E3960" t="n">
        <v>10797.11</v>
      </c>
      <c r="F3960" t="n">
        <v>22616.05</v>
      </c>
    </row>
    <row r="3961">
      <c r="A3961" s="3" t="n">
        <v>44272</v>
      </c>
      <c r="B3961" t="n">
        <v>21735.83</v>
      </c>
      <c r="C3961" t="n">
        <v>9657.879999999999</v>
      </c>
      <c r="D3961" t="n">
        <v>4768.66</v>
      </c>
      <c r="E3961" t="n">
        <v>10638.84</v>
      </c>
      <c r="F3961" t="n">
        <v>22131.2</v>
      </c>
    </row>
    <row r="3962">
      <c r="A3962" s="3" t="n">
        <v>44273</v>
      </c>
      <c r="B3962" t="n">
        <v>21327.16</v>
      </c>
      <c r="C3962" t="n">
        <v>9526.950000000001</v>
      </c>
      <c r="D3962" t="n">
        <v>4713.14</v>
      </c>
      <c r="E3962" t="n">
        <v>10514.01</v>
      </c>
      <c r="F3962" t="n">
        <v>21834.75</v>
      </c>
    </row>
    <row r="3963">
      <c r="A3963" s="3" t="n">
        <v>44274</v>
      </c>
      <c r="B3963" t="n">
        <v>21597.73</v>
      </c>
      <c r="C3963" t="n">
        <v>9656.67</v>
      </c>
      <c r="D3963" t="n">
        <v>4773.79</v>
      </c>
      <c r="E3963" t="n">
        <v>10650.29</v>
      </c>
      <c r="F3963" t="n">
        <v>22161.7</v>
      </c>
    </row>
    <row r="3964">
      <c r="A3964" s="3" t="n">
        <v>44277</v>
      </c>
      <c r="B3964" t="n">
        <v>21967.04</v>
      </c>
      <c r="C3964" t="n">
        <v>9729.93</v>
      </c>
      <c r="D3964" t="n">
        <v>4770.99</v>
      </c>
      <c r="E3964" t="n">
        <v>10758.89</v>
      </c>
      <c r="F3964" t="n">
        <v>22476.45</v>
      </c>
    </row>
    <row r="3965">
      <c r="A3965" s="3" t="n">
        <v>44278</v>
      </c>
      <c r="B3965" t="n">
        <v>22296.9</v>
      </c>
      <c r="C3965" t="n">
        <v>9749.879999999999</v>
      </c>
      <c r="D3965" t="n">
        <v>4770.04</v>
      </c>
      <c r="E3965" t="n">
        <v>10796.63</v>
      </c>
      <c r="F3965" t="n">
        <v>22819.95</v>
      </c>
    </row>
    <row r="3966">
      <c r="A3966" s="3" t="n">
        <v>44279</v>
      </c>
      <c r="B3966" t="n">
        <v>21979.29</v>
      </c>
      <c r="C3966" t="n">
        <v>9649.09</v>
      </c>
      <c r="D3966" t="n">
        <v>4624.87</v>
      </c>
      <c r="E3966" t="n">
        <v>10692.34</v>
      </c>
      <c r="F3966" t="n">
        <v>22517.65</v>
      </c>
    </row>
    <row r="3967">
      <c r="A3967" s="3" t="n">
        <v>44280</v>
      </c>
      <c r="B3967" t="n">
        <v>21400.63</v>
      </c>
      <c r="C3967" t="n">
        <v>9466.620000000001</v>
      </c>
      <c r="D3967" t="n">
        <v>4543.42</v>
      </c>
      <c r="E3967" t="n">
        <v>10517.57</v>
      </c>
      <c r="F3967" t="n">
        <v>22007.8</v>
      </c>
    </row>
    <row r="3968">
      <c r="A3968" s="3" t="n">
        <v>44281</v>
      </c>
      <c r="B3968" t="n">
        <v>21703.7</v>
      </c>
      <c r="C3968" t="n">
        <v>9597.83</v>
      </c>
      <c r="D3968" t="n">
        <v>4623.32</v>
      </c>
      <c r="E3968" t="n">
        <v>10650.69</v>
      </c>
      <c r="F3968" t="n">
        <v>22233.8</v>
      </c>
    </row>
    <row r="3969">
      <c r="A3969" s="3" t="n">
        <v>44285</v>
      </c>
      <c r="B3969" t="n">
        <v>22086.01</v>
      </c>
      <c r="C3969" t="n">
        <v>9812.9</v>
      </c>
      <c r="D3969" t="n">
        <v>4677.39</v>
      </c>
      <c r="E3969" t="n">
        <v>10879.96</v>
      </c>
      <c r="F3969" t="n">
        <v>22563.85</v>
      </c>
    </row>
    <row r="3970">
      <c r="A3970" s="3" t="n">
        <v>44286</v>
      </c>
      <c r="B3970" t="n">
        <v>22161.41</v>
      </c>
      <c r="C3970" t="n">
        <v>9811.34</v>
      </c>
      <c r="D3970" t="n">
        <v>4705.55</v>
      </c>
      <c r="E3970" t="n">
        <v>10896.31</v>
      </c>
      <c r="F3970" t="n">
        <v>22648.2</v>
      </c>
    </row>
    <row r="3971">
      <c r="A3971" s="3" t="n">
        <v>44287</v>
      </c>
      <c r="B3971" t="n">
        <v>22633.7</v>
      </c>
      <c r="C3971" t="n">
        <v>9886.639999999999</v>
      </c>
      <c r="D3971" t="n">
        <v>4834.74</v>
      </c>
      <c r="E3971" t="n">
        <v>10954.65</v>
      </c>
      <c r="F3971" t="n">
        <v>23287.5</v>
      </c>
    </row>
    <row r="3972">
      <c r="A3972" s="3" t="n">
        <v>44291</v>
      </c>
      <c r="B3972" t="n">
        <v>22820.71</v>
      </c>
      <c r="C3972" t="n">
        <v>9806.549999999999</v>
      </c>
      <c r="D3972" t="n">
        <v>4758.34</v>
      </c>
      <c r="E3972" t="n">
        <v>10877.78</v>
      </c>
      <c r="F3972" t="n">
        <v>23512.4</v>
      </c>
    </row>
    <row r="3973">
      <c r="A3973" s="3" t="n">
        <v>44292</v>
      </c>
      <c r="B3973" t="n">
        <v>23251.92</v>
      </c>
      <c r="C3973" t="n">
        <v>9871.299999999999</v>
      </c>
      <c r="D3973" t="n">
        <v>4799.58</v>
      </c>
      <c r="E3973" t="n">
        <v>10954.7</v>
      </c>
      <c r="F3973" t="n">
        <v>23993.6</v>
      </c>
    </row>
    <row r="3974">
      <c r="A3974" s="3" t="n">
        <v>44293</v>
      </c>
      <c r="B3974" t="n">
        <v>23410.16</v>
      </c>
      <c r="C3974" t="n">
        <v>9993.440000000001</v>
      </c>
      <c r="D3974" t="n">
        <v>4849.28</v>
      </c>
      <c r="E3974" t="n">
        <v>11034.69</v>
      </c>
      <c r="F3974" t="n">
        <v>24165.7</v>
      </c>
    </row>
    <row r="3975">
      <c r="A3975" s="3" t="n">
        <v>44294</v>
      </c>
      <c r="B3975" t="n">
        <v>23444.52</v>
      </c>
      <c r="C3975" t="n">
        <v>10064.14</v>
      </c>
      <c r="D3975" t="n">
        <v>4898.74</v>
      </c>
      <c r="E3975" t="n">
        <v>11105.03</v>
      </c>
      <c r="F3975" t="n">
        <v>24304.6</v>
      </c>
    </row>
    <row r="3976">
      <c r="A3976" s="3" t="n">
        <v>44295</v>
      </c>
      <c r="B3976" t="n">
        <v>23829.96</v>
      </c>
      <c r="C3976" t="n">
        <v>10090.8</v>
      </c>
      <c r="D3976" t="n">
        <v>4870.29</v>
      </c>
      <c r="E3976" t="n">
        <v>11160.69</v>
      </c>
      <c r="F3976" t="n">
        <v>24657.5</v>
      </c>
    </row>
    <row r="3977">
      <c r="A3977" s="3" t="n">
        <v>44298</v>
      </c>
      <c r="B3977" t="n">
        <v>22785.55</v>
      </c>
      <c r="C3977" t="n">
        <v>9783.33</v>
      </c>
      <c r="D3977" t="n">
        <v>4541.25</v>
      </c>
      <c r="E3977" t="n">
        <v>10879.11</v>
      </c>
      <c r="F3977" t="n">
        <v>23387.55</v>
      </c>
    </row>
    <row r="3978">
      <c r="A3978" s="3" t="n">
        <v>44299</v>
      </c>
      <c r="B3978" t="n">
        <v>22754.63</v>
      </c>
      <c r="C3978" t="n">
        <v>9754.26</v>
      </c>
      <c r="D3978" t="n">
        <v>4685.45</v>
      </c>
      <c r="E3978" t="n">
        <v>10865.26</v>
      </c>
      <c r="F3978" t="n">
        <v>23601.4</v>
      </c>
    </row>
    <row r="3979">
      <c r="A3979" s="3" t="n">
        <v>44301</v>
      </c>
      <c r="B3979" t="n">
        <v>22936.03</v>
      </c>
      <c r="C3979" t="n">
        <v>9776.280000000001</v>
      </c>
      <c r="D3979" t="n">
        <v>4692.43</v>
      </c>
      <c r="E3979" t="n">
        <v>10942.39</v>
      </c>
      <c r="F3979" t="n">
        <v>23702.65</v>
      </c>
    </row>
    <row r="3980">
      <c r="A3980" s="3" t="n">
        <v>44302</v>
      </c>
      <c r="B3980" t="n">
        <v>23305.29</v>
      </c>
      <c r="C3980" t="n">
        <v>9843.110000000001</v>
      </c>
      <c r="D3980" t="n">
        <v>4727.24</v>
      </c>
      <c r="E3980" t="n">
        <v>11058.45</v>
      </c>
      <c r="F3980" t="n">
        <v>24108.9</v>
      </c>
    </row>
    <row r="3981">
      <c r="A3981" s="3" t="n">
        <v>44305</v>
      </c>
      <c r="B3981" t="n">
        <v>23214.46</v>
      </c>
      <c r="C3981" t="n">
        <v>9694.139999999999</v>
      </c>
      <c r="D3981" t="n">
        <v>4598.64</v>
      </c>
      <c r="E3981" t="n">
        <v>10904.02</v>
      </c>
      <c r="F3981" t="n">
        <v>23778.2</v>
      </c>
    </row>
    <row r="3982">
      <c r="A3982" s="3" t="n">
        <v>44306</v>
      </c>
      <c r="B3982" t="n">
        <v>23362.25</v>
      </c>
      <c r="C3982" t="n">
        <v>9657.34</v>
      </c>
      <c r="D3982" t="n">
        <v>4591.23</v>
      </c>
      <c r="E3982" t="n">
        <v>10882.16</v>
      </c>
      <c r="F3982" t="n">
        <v>23834.3</v>
      </c>
    </row>
    <row r="3983">
      <c r="A3983" s="3" t="n">
        <v>44308</v>
      </c>
      <c r="B3983" t="n">
        <v>23526.11</v>
      </c>
      <c r="C3983" t="n">
        <v>9647.07</v>
      </c>
      <c r="D3983" t="n">
        <v>4621.31</v>
      </c>
      <c r="E3983" t="n">
        <v>10856.15</v>
      </c>
      <c r="F3983" t="n">
        <v>24055.55</v>
      </c>
    </row>
    <row r="3984">
      <c r="A3984" s="3" t="n">
        <v>44309</v>
      </c>
      <c r="B3984" t="n">
        <v>23497.54</v>
      </c>
      <c r="C3984" t="n">
        <v>9646.99</v>
      </c>
      <c r="D3984" t="n">
        <v>4623.12</v>
      </c>
      <c r="E3984" t="n">
        <v>10823.08</v>
      </c>
      <c r="F3984" t="n">
        <v>24120.2</v>
      </c>
    </row>
    <row r="3985">
      <c r="A3985" s="3" t="n">
        <v>44312</v>
      </c>
      <c r="B3985" t="n">
        <v>23607.44</v>
      </c>
      <c r="C3985" t="n">
        <v>9698.969999999999</v>
      </c>
      <c r="D3985" t="n">
        <v>4670.26</v>
      </c>
      <c r="E3985" t="n">
        <v>10839.19</v>
      </c>
      <c r="F3985" t="n">
        <v>24217.25</v>
      </c>
    </row>
    <row r="3986">
      <c r="A3986" s="3" t="n">
        <v>44313</v>
      </c>
      <c r="B3986" t="n">
        <v>23877.05</v>
      </c>
      <c r="C3986" t="n">
        <v>9779.42</v>
      </c>
      <c r="D3986" t="n">
        <v>4756.75</v>
      </c>
      <c r="E3986" t="n">
        <v>10901.21</v>
      </c>
      <c r="F3986" t="n">
        <v>24565.95</v>
      </c>
    </row>
    <row r="3987">
      <c r="A3987" s="3" t="n">
        <v>44314</v>
      </c>
      <c r="B3987" t="n">
        <v>24089.85</v>
      </c>
      <c r="C3987" t="n">
        <v>9870.66</v>
      </c>
      <c r="D3987" t="n">
        <v>4784.96</v>
      </c>
      <c r="E3987" t="n">
        <v>10967.99</v>
      </c>
      <c r="F3987" t="n">
        <v>24697.75</v>
      </c>
    </row>
    <row r="3988">
      <c r="A3988" s="3" t="n">
        <v>44315</v>
      </c>
      <c r="B3988" t="n">
        <v>24154.5</v>
      </c>
      <c r="C3988" t="n">
        <v>9839.700000000001</v>
      </c>
      <c r="D3988" t="n">
        <v>4820.8</v>
      </c>
      <c r="E3988" t="n">
        <v>10927.28</v>
      </c>
      <c r="F3988" t="n">
        <v>24681.25</v>
      </c>
    </row>
    <row r="3989">
      <c r="A3989" s="3" t="n">
        <v>44316</v>
      </c>
      <c r="B3989" t="n">
        <v>24097.03</v>
      </c>
      <c r="C3989" t="n">
        <v>9818.610000000001</v>
      </c>
      <c r="D3989" t="n">
        <v>4867.47</v>
      </c>
      <c r="E3989" t="n">
        <v>10887.4</v>
      </c>
      <c r="F3989" t="n">
        <v>24547.7</v>
      </c>
    </row>
    <row r="3990">
      <c r="A3990" s="3" t="n">
        <v>44319</v>
      </c>
      <c r="B3990" t="n">
        <v>24476.08</v>
      </c>
      <c r="C3990" t="n">
        <v>9870.120000000001</v>
      </c>
      <c r="D3990" t="n">
        <v>4905.73</v>
      </c>
      <c r="E3990" t="n">
        <v>10965.44</v>
      </c>
      <c r="F3990" t="n">
        <v>25016.05</v>
      </c>
    </row>
    <row r="3991">
      <c r="A3991" s="3" t="n">
        <v>44320</v>
      </c>
      <c r="B3991" t="n">
        <v>24308.77</v>
      </c>
      <c r="C3991" t="n">
        <v>9842.360000000001</v>
      </c>
      <c r="D3991" t="n">
        <v>4903.57</v>
      </c>
      <c r="E3991" t="n">
        <v>10898.97</v>
      </c>
      <c r="F3991" t="n">
        <v>24859.5</v>
      </c>
    </row>
    <row r="3992">
      <c r="A3992" s="3" t="n">
        <v>44321</v>
      </c>
      <c r="B3992" t="n">
        <v>24625.61</v>
      </c>
      <c r="C3992" t="n">
        <v>9886.76</v>
      </c>
      <c r="D3992" t="n">
        <v>4952.3</v>
      </c>
      <c r="E3992" t="n">
        <v>11013.44</v>
      </c>
      <c r="F3992" t="n">
        <v>25032.9</v>
      </c>
    </row>
    <row r="3993">
      <c r="A3993" s="3" t="n">
        <v>44322</v>
      </c>
      <c r="B3993" t="n">
        <v>24880.37</v>
      </c>
      <c r="C3993" t="n">
        <v>9966.24</v>
      </c>
      <c r="D3993" t="n">
        <v>5000.97</v>
      </c>
      <c r="E3993" t="n">
        <v>11053.95</v>
      </c>
      <c r="F3993" t="n">
        <v>25257.25</v>
      </c>
    </row>
    <row r="3994">
      <c r="A3994" s="3" t="n">
        <v>44323</v>
      </c>
      <c r="B3994" t="n">
        <v>24689.4</v>
      </c>
      <c r="C3994" t="n">
        <v>9954.200000000001</v>
      </c>
      <c r="D3994" t="n">
        <v>5105.98</v>
      </c>
      <c r="E3994" t="n">
        <v>11082.23</v>
      </c>
      <c r="F3994" t="n">
        <v>25207.3</v>
      </c>
    </row>
    <row r="3995">
      <c r="A3995" s="3" t="n">
        <v>44326</v>
      </c>
      <c r="B3995" t="n">
        <v>24794.16</v>
      </c>
      <c r="C3995" t="n">
        <v>9965.18</v>
      </c>
      <c r="D3995" t="n">
        <v>5266.66</v>
      </c>
      <c r="E3995" t="n">
        <v>11175.92</v>
      </c>
      <c r="F3995" t="n">
        <v>25269.95</v>
      </c>
    </row>
    <row r="3996">
      <c r="A3996" s="3" t="n">
        <v>44327</v>
      </c>
      <c r="B3996" t="n">
        <v>24672.47</v>
      </c>
      <c r="C3996" t="n">
        <v>9976.17</v>
      </c>
      <c r="D3996" t="n">
        <v>5354.88</v>
      </c>
      <c r="E3996" t="n">
        <v>11219.31</v>
      </c>
      <c r="F3996" t="n">
        <v>25220.75</v>
      </c>
    </row>
    <row r="3997">
      <c r="A3997" s="3" t="n">
        <v>44328</v>
      </c>
      <c r="B3997" t="n">
        <v>24342.57</v>
      </c>
      <c r="C3997" t="n">
        <v>9923.620000000001</v>
      </c>
      <c r="D3997" t="n">
        <v>5312.94</v>
      </c>
      <c r="E3997" t="n">
        <v>11149.38</v>
      </c>
      <c r="F3997" t="n">
        <v>24986.6</v>
      </c>
    </row>
    <row r="3998">
      <c r="A3998" s="3" t="n">
        <v>44330</v>
      </c>
      <c r="B3998" t="n">
        <v>23873.33</v>
      </c>
      <c r="C3998" t="n">
        <v>9949.59</v>
      </c>
      <c r="D3998" t="n">
        <v>5163.73</v>
      </c>
      <c r="E3998" t="n">
        <v>11193.08</v>
      </c>
      <c r="F3998" t="n">
        <v>24543.5</v>
      </c>
    </row>
    <row r="3999">
      <c r="A3999" s="3" t="n">
        <v>44333</v>
      </c>
      <c r="B3999" t="n">
        <v>24340.89</v>
      </c>
      <c r="C3999" t="n">
        <v>10027.53</v>
      </c>
      <c r="D3999" t="n">
        <v>5244.82</v>
      </c>
      <c r="E3999" t="n">
        <v>11249.73</v>
      </c>
      <c r="F3999" t="n">
        <v>25122.35</v>
      </c>
    </row>
    <row r="4000">
      <c r="A4000" s="3" t="n">
        <v>44334</v>
      </c>
      <c r="B4000" t="n">
        <v>24751.92</v>
      </c>
      <c r="C4000" t="n">
        <v>10131.48</v>
      </c>
      <c r="D4000" t="n">
        <v>5314.22</v>
      </c>
      <c r="E4000" t="n">
        <v>11343.95</v>
      </c>
      <c r="F4000" t="n">
        <v>25521.7</v>
      </c>
    </row>
    <row r="4001">
      <c r="A4001" s="3" t="n">
        <v>44335</v>
      </c>
      <c r="B4001" t="n">
        <v>24779.25</v>
      </c>
      <c r="C4001" t="n">
        <v>10163.14</v>
      </c>
      <c r="D4001" t="n">
        <v>5295.06</v>
      </c>
      <c r="E4001" t="n">
        <v>11412.58</v>
      </c>
      <c r="F4001" t="n">
        <v>25588.35</v>
      </c>
    </row>
    <row r="4002">
      <c r="A4002" s="3" t="n">
        <v>44336</v>
      </c>
      <c r="B4002" t="n">
        <v>24800.02</v>
      </c>
      <c r="C4002" t="n">
        <v>10101.8</v>
      </c>
      <c r="D4002" t="n">
        <v>5217.89</v>
      </c>
      <c r="E4002" t="n">
        <v>11366.11</v>
      </c>
      <c r="F4002" t="n">
        <v>25527.75</v>
      </c>
    </row>
    <row r="4003">
      <c r="A4003" s="3" t="n">
        <v>44337</v>
      </c>
      <c r="B4003" t="n">
        <v>24917.01</v>
      </c>
      <c r="C4003" t="n">
        <v>10150.8</v>
      </c>
      <c r="D4003" t="n">
        <v>5266.91</v>
      </c>
      <c r="E4003" t="n">
        <v>11413.8</v>
      </c>
      <c r="F4003" t="n">
        <v>25686.6</v>
      </c>
    </row>
    <row r="4004">
      <c r="A4004" s="3" t="n">
        <v>44340</v>
      </c>
      <c r="B4004" t="n">
        <v>24960.31</v>
      </c>
      <c r="C4004" t="n">
        <v>10194.53</v>
      </c>
      <c r="D4004" t="n">
        <v>5318.09</v>
      </c>
      <c r="E4004" t="n">
        <v>11447.06</v>
      </c>
      <c r="F4004" t="n">
        <v>25975.6</v>
      </c>
    </row>
    <row r="4005">
      <c r="A4005" s="3" t="n">
        <v>44341</v>
      </c>
      <c r="B4005" t="n">
        <v>24894.4</v>
      </c>
      <c r="C4005" t="n">
        <v>10261.95</v>
      </c>
      <c r="D4005" t="n">
        <v>5334.84</v>
      </c>
      <c r="E4005" t="n">
        <v>11525.07</v>
      </c>
      <c r="F4005" t="n">
        <v>25878.65</v>
      </c>
    </row>
    <row r="4006">
      <c r="A4006" s="3" t="n">
        <v>44342</v>
      </c>
      <c r="B4006" t="n">
        <v>25123.6</v>
      </c>
      <c r="C4006" t="n">
        <v>10358.5</v>
      </c>
      <c r="D4006" t="n">
        <v>5305.42</v>
      </c>
      <c r="E4006" t="n">
        <v>11537.05</v>
      </c>
      <c r="F4006" t="n">
        <v>25885.95</v>
      </c>
    </row>
    <row r="4007">
      <c r="A4007" s="3" t="n">
        <v>44343</v>
      </c>
      <c r="B4007" t="n">
        <v>25245.06</v>
      </c>
      <c r="C4007" t="n">
        <v>10389.4</v>
      </c>
      <c r="D4007" t="n">
        <v>5321.34</v>
      </c>
      <c r="E4007" t="n">
        <v>11575.41</v>
      </c>
      <c r="F4007" t="n">
        <v>26167.15</v>
      </c>
    </row>
    <row r="4008">
      <c r="A4008" s="3" t="n">
        <v>44344</v>
      </c>
      <c r="B4008" t="n">
        <v>25166.03</v>
      </c>
      <c r="C4008" t="n">
        <v>10386.17</v>
      </c>
      <c r="D4008" t="n">
        <v>5353.74</v>
      </c>
      <c r="E4008" t="n">
        <v>11526.21</v>
      </c>
      <c r="F4008" t="n">
        <v>26096</v>
      </c>
    </row>
    <row r="4009">
      <c r="A4009" s="3" t="n">
        <v>44347</v>
      </c>
      <c r="B4009" t="n">
        <v>25303.62</v>
      </c>
      <c r="C4009" t="n">
        <v>10456.55</v>
      </c>
      <c r="D4009" t="n">
        <v>5402.19</v>
      </c>
      <c r="E4009" t="n">
        <v>11601.89</v>
      </c>
      <c r="F4009" t="n">
        <v>26292.35</v>
      </c>
    </row>
    <row r="4010">
      <c r="A4010" s="3" t="n">
        <v>44348</v>
      </c>
      <c r="B4010" t="n">
        <v>25529.9</v>
      </c>
      <c r="C4010" t="n">
        <v>10442.07</v>
      </c>
      <c r="D4010" t="n">
        <v>5375.79</v>
      </c>
      <c r="E4010" t="n">
        <v>11586.86</v>
      </c>
      <c r="F4010" t="n">
        <v>26309.2</v>
      </c>
    </row>
    <row r="4011">
      <c r="A4011" s="3" t="n">
        <v>44349</v>
      </c>
      <c r="B4011" t="n">
        <v>26015.58</v>
      </c>
      <c r="C4011" t="n">
        <v>10458.76</v>
      </c>
      <c r="D4011" t="n">
        <v>5443.51</v>
      </c>
      <c r="E4011" t="n">
        <v>11610.92</v>
      </c>
      <c r="F4011" t="n">
        <v>26784.35</v>
      </c>
    </row>
    <row r="4012">
      <c r="A4012" s="3" t="n">
        <v>44350</v>
      </c>
      <c r="B4012" t="n">
        <v>26266.27</v>
      </c>
      <c r="C4012" t="n">
        <v>10522.37</v>
      </c>
      <c r="D4012" t="n">
        <v>5489.6</v>
      </c>
      <c r="E4012" t="n">
        <v>11680.33</v>
      </c>
      <c r="F4012" t="n">
        <v>27018.2</v>
      </c>
    </row>
    <row r="4013">
      <c r="A4013" s="3" t="n">
        <v>44351</v>
      </c>
      <c r="B4013" t="n">
        <v>26514.98</v>
      </c>
      <c r="C4013" t="n">
        <v>10548.95</v>
      </c>
      <c r="D4013" t="n">
        <v>5578.54</v>
      </c>
      <c r="E4013" t="n">
        <v>11659.9</v>
      </c>
      <c r="F4013" t="n">
        <v>27226.5</v>
      </c>
    </row>
    <row r="4014">
      <c r="A4014" s="3" t="n">
        <v>44354</v>
      </c>
      <c r="B4014" t="n">
        <v>26530.84</v>
      </c>
      <c r="C4014" t="n">
        <v>10610.81</v>
      </c>
      <c r="D4014" t="n">
        <v>5637.3</v>
      </c>
      <c r="E4014" t="n">
        <v>11760.11</v>
      </c>
      <c r="F4014" t="n">
        <v>27381.5</v>
      </c>
    </row>
    <row r="4015">
      <c r="A4015" s="3" t="n">
        <v>44355</v>
      </c>
      <c r="B4015" t="n">
        <v>26816.77</v>
      </c>
      <c r="C4015" t="n">
        <v>10672.97</v>
      </c>
      <c r="D4015" t="n">
        <v>5633.71</v>
      </c>
      <c r="E4015" t="n">
        <v>11803.44</v>
      </c>
      <c r="F4015" t="n">
        <v>27765.05</v>
      </c>
    </row>
    <row r="4016">
      <c r="A4016" s="3" t="n">
        <v>44356</v>
      </c>
      <c r="B4016" t="n">
        <v>26483.13</v>
      </c>
      <c r="C4016" t="n">
        <v>10621.64</v>
      </c>
      <c r="D4016" t="n">
        <v>5617.8</v>
      </c>
      <c r="E4016" t="n">
        <v>11762.9</v>
      </c>
      <c r="F4016" t="n">
        <v>27406.55</v>
      </c>
    </row>
    <row r="4017">
      <c r="A4017" s="3" t="n">
        <v>44357</v>
      </c>
      <c r="B4017" t="n">
        <v>26879.8</v>
      </c>
      <c r="C4017" t="n">
        <v>10722.13</v>
      </c>
      <c r="D4017" t="n">
        <v>5680.86</v>
      </c>
      <c r="E4017" t="n">
        <v>11839.96</v>
      </c>
      <c r="F4017" t="n">
        <v>27771.2</v>
      </c>
    </row>
    <row r="4018">
      <c r="A4018" s="3" t="n">
        <v>44358</v>
      </c>
      <c r="B4018" t="n">
        <v>27059.38</v>
      </c>
      <c r="C4018" t="n">
        <v>10777.6</v>
      </c>
      <c r="D4018" t="n">
        <v>5713.65</v>
      </c>
      <c r="E4018" t="n">
        <v>11850.7</v>
      </c>
      <c r="F4018" t="n">
        <v>27843.4</v>
      </c>
    </row>
    <row r="4019">
      <c r="A4019" s="3" t="n">
        <v>44361</v>
      </c>
      <c r="B4019" t="n">
        <v>26828.09</v>
      </c>
      <c r="C4019" t="n">
        <v>10777.28</v>
      </c>
      <c r="D4019" t="n">
        <v>5707.16</v>
      </c>
      <c r="E4019" t="n">
        <v>11861.73</v>
      </c>
      <c r="F4019" t="n">
        <v>27557.3</v>
      </c>
    </row>
    <row r="4020">
      <c r="A4020" s="3" t="n">
        <v>44362</v>
      </c>
      <c r="B4020" t="n">
        <v>26784.83</v>
      </c>
      <c r="C4020" t="n">
        <v>10865.97</v>
      </c>
      <c r="D4020" t="n">
        <v>5713.71</v>
      </c>
      <c r="E4020" t="n">
        <v>11904.12</v>
      </c>
      <c r="F4020" t="n">
        <v>27537.15</v>
      </c>
    </row>
    <row r="4021">
      <c r="A4021" s="3" t="n">
        <v>44363</v>
      </c>
      <c r="B4021" t="n">
        <v>26486.61</v>
      </c>
      <c r="C4021" t="n">
        <v>10854.09</v>
      </c>
      <c r="D4021" t="n">
        <v>5664.47</v>
      </c>
      <c r="E4021" t="n">
        <v>11872.55</v>
      </c>
      <c r="F4021" t="n">
        <v>27143.6</v>
      </c>
    </row>
    <row r="4022">
      <c r="A4022" s="3" t="n">
        <v>44364</v>
      </c>
      <c r="B4022" t="n">
        <v>26171.48</v>
      </c>
      <c r="C4022" t="n">
        <v>10843.38</v>
      </c>
      <c r="D4022" t="n">
        <v>5572.39</v>
      </c>
      <c r="E4022" t="n">
        <v>11850.55</v>
      </c>
      <c r="F4022" t="n">
        <v>26737.9</v>
      </c>
    </row>
    <row r="4023">
      <c r="A4023" s="3" t="n">
        <v>44365</v>
      </c>
      <c r="B4023" t="n">
        <v>26007.25</v>
      </c>
      <c r="C4023" t="n">
        <v>10797.46</v>
      </c>
      <c r="D4023" t="n">
        <v>5477.83</v>
      </c>
      <c r="E4023" t="n">
        <v>11805.16</v>
      </c>
      <c r="F4023" t="n">
        <v>26596.4</v>
      </c>
    </row>
    <row r="4024">
      <c r="A4024" s="3" t="n">
        <v>44368</v>
      </c>
      <c r="B4024" t="n">
        <v>26232.1</v>
      </c>
      <c r="C4024" t="n">
        <v>10823.4</v>
      </c>
      <c r="D4024" t="n">
        <v>5531.01</v>
      </c>
      <c r="E4024" t="n">
        <v>11841.42</v>
      </c>
      <c r="F4024" t="n">
        <v>26968.55</v>
      </c>
    </row>
    <row r="4025">
      <c r="A4025" s="3" t="n">
        <v>44369</v>
      </c>
      <c r="B4025" t="n">
        <v>26439.73</v>
      </c>
      <c r="C4025" t="n">
        <v>10818.89</v>
      </c>
      <c r="D4025" t="n">
        <v>5549.84</v>
      </c>
      <c r="E4025" t="n">
        <v>11859.19</v>
      </c>
      <c r="F4025" t="n">
        <v>27204</v>
      </c>
    </row>
    <row r="4026">
      <c r="A4026" s="3" t="n">
        <v>44370</v>
      </c>
      <c r="B4026" t="n">
        <v>26152.09</v>
      </c>
      <c r="C4026" t="n">
        <v>10765.8</v>
      </c>
      <c r="D4026" t="n">
        <v>5509.97</v>
      </c>
      <c r="E4026" t="n">
        <v>11803.12</v>
      </c>
      <c r="F4026" t="n">
        <v>26953.3</v>
      </c>
    </row>
    <row r="4027">
      <c r="A4027" s="3" t="n">
        <v>44371</v>
      </c>
      <c r="B4027" t="n">
        <v>26105.71</v>
      </c>
      <c r="C4027" t="n">
        <v>10846.54</v>
      </c>
      <c r="D4027" t="n">
        <v>5476.1</v>
      </c>
      <c r="E4027" t="n">
        <v>11847.65</v>
      </c>
      <c r="F4027" t="n">
        <v>26905.5</v>
      </c>
    </row>
    <row r="4028">
      <c r="A4028" s="3" t="n">
        <v>44372</v>
      </c>
      <c r="B4028" t="n">
        <v>26299.56</v>
      </c>
      <c r="C4028" t="n">
        <v>10840.55</v>
      </c>
      <c r="D4028" t="n">
        <v>5545.68</v>
      </c>
      <c r="E4028" t="n">
        <v>11831.79</v>
      </c>
      <c r="F4028" t="n">
        <v>27106.2</v>
      </c>
    </row>
    <row r="4029">
      <c r="A4029" s="3" t="n">
        <v>44375</v>
      </c>
      <c r="B4029" t="n">
        <v>26346.84</v>
      </c>
      <c r="C4029" t="n">
        <v>10851.34</v>
      </c>
      <c r="D4029" t="n">
        <v>5593.46</v>
      </c>
      <c r="E4029" t="n">
        <v>11846.4</v>
      </c>
      <c r="F4029" t="n">
        <v>27098.15</v>
      </c>
    </row>
    <row r="4030">
      <c r="A4030" s="3" t="n">
        <v>44376</v>
      </c>
      <c r="B4030" t="n">
        <v>26379.13</v>
      </c>
      <c r="C4030" t="n">
        <v>10877.48</v>
      </c>
      <c r="D4030" t="n">
        <v>5542.6</v>
      </c>
      <c r="E4030" t="n">
        <v>11867.53</v>
      </c>
      <c r="F4030" t="n">
        <v>27075.3</v>
      </c>
    </row>
    <row r="4031">
      <c r="A4031" s="3" t="n">
        <v>44377</v>
      </c>
      <c r="B4031" t="n">
        <v>26420.98</v>
      </c>
      <c r="C4031" t="n">
        <v>10934.15</v>
      </c>
      <c r="D4031" t="n">
        <v>5544.28</v>
      </c>
      <c r="E4031" t="n">
        <v>11858.57</v>
      </c>
      <c r="F4031" t="n">
        <v>27135</v>
      </c>
    </row>
    <row r="4032">
      <c r="A4032" s="3" t="n">
        <v>44378</v>
      </c>
      <c r="B4032" t="n">
        <v>26307.4</v>
      </c>
      <c r="C4032" t="n">
        <v>10960.14</v>
      </c>
      <c r="D4032" t="n">
        <v>5537.69</v>
      </c>
      <c r="E4032" t="n">
        <v>11894.75</v>
      </c>
      <c r="F4032" t="n">
        <v>27096.4</v>
      </c>
    </row>
    <row r="4033">
      <c r="A4033" s="3" t="n">
        <v>44379</v>
      </c>
      <c r="B4033" t="n">
        <v>26207.88</v>
      </c>
      <c r="C4033" t="n">
        <v>11008.12</v>
      </c>
      <c r="D4033" t="n">
        <v>5543.73</v>
      </c>
      <c r="E4033" t="n">
        <v>11875.62</v>
      </c>
      <c r="F4033" t="n">
        <v>27112.05</v>
      </c>
    </row>
    <row r="4034">
      <c r="A4034" s="3" t="n">
        <v>44382</v>
      </c>
      <c r="B4034" t="n">
        <v>26234.98</v>
      </c>
      <c r="C4034" t="n">
        <v>11081.89</v>
      </c>
      <c r="D4034" t="n">
        <v>5605.64</v>
      </c>
      <c r="E4034" t="n">
        <v>11909.37</v>
      </c>
      <c r="F4034" t="n">
        <v>27039.45</v>
      </c>
    </row>
    <row r="4035">
      <c r="A4035" s="3" t="n">
        <v>44383</v>
      </c>
      <c r="B4035" t="n">
        <v>26048.26</v>
      </c>
      <c r="C4035" t="n">
        <v>11052.35</v>
      </c>
      <c r="D4035" t="n">
        <v>5537.76</v>
      </c>
      <c r="E4035" t="n">
        <v>11899.75</v>
      </c>
      <c r="F4035" t="n">
        <v>26977.45</v>
      </c>
    </row>
    <row r="4036">
      <c r="A4036" s="3" t="n">
        <v>44384</v>
      </c>
      <c r="B4036" t="n">
        <v>26148.08</v>
      </c>
      <c r="C4036" t="n">
        <v>11136.06</v>
      </c>
      <c r="D4036" t="n">
        <v>5570.98</v>
      </c>
      <c r="E4036" t="n">
        <v>11953.4</v>
      </c>
      <c r="F4036" t="n">
        <v>27007.7</v>
      </c>
    </row>
    <row r="4037">
      <c r="A4037" s="3" t="n">
        <v>44385</v>
      </c>
      <c r="B4037" t="n">
        <v>26022.14</v>
      </c>
      <c r="C4037" t="n">
        <v>11091.71</v>
      </c>
      <c r="D4037" t="n">
        <v>5515.36</v>
      </c>
      <c r="E4037" t="n">
        <v>11912.01</v>
      </c>
      <c r="F4037" t="n">
        <v>26989.6</v>
      </c>
    </row>
    <row r="4038">
      <c r="A4038" s="3" t="n">
        <v>44386</v>
      </c>
      <c r="B4038" t="n">
        <v>26176.51</v>
      </c>
      <c r="C4038" t="n">
        <v>11142.84</v>
      </c>
      <c r="D4038" t="n">
        <v>5551.95</v>
      </c>
      <c r="E4038" t="n">
        <v>11899.34</v>
      </c>
      <c r="F4038" t="n">
        <v>27146.2</v>
      </c>
    </row>
    <row r="4039">
      <c r="A4039" s="3" t="n">
        <v>44389</v>
      </c>
      <c r="B4039" t="n">
        <v>26254.3</v>
      </c>
      <c r="C4039" t="n">
        <v>11179.53</v>
      </c>
      <c r="D4039" t="n">
        <v>5571.22</v>
      </c>
      <c r="E4039" t="n">
        <v>11918.48</v>
      </c>
      <c r="F4039" t="n">
        <v>27264.15</v>
      </c>
    </row>
    <row r="4040">
      <c r="A4040" s="3" t="n">
        <v>44390</v>
      </c>
      <c r="B4040" t="n">
        <v>26405.33</v>
      </c>
      <c r="C4040" t="n">
        <v>11212.12</v>
      </c>
      <c r="D4040" t="n">
        <v>5620.41</v>
      </c>
      <c r="E4040" t="n">
        <v>11942.17</v>
      </c>
      <c r="F4040" t="n">
        <v>27407.45</v>
      </c>
    </row>
    <row r="4041">
      <c r="A4041" s="3" t="n">
        <v>44391</v>
      </c>
      <c r="B4041" t="n">
        <v>26503</v>
      </c>
      <c r="C4041" t="n">
        <v>11278.16</v>
      </c>
      <c r="D4041" t="n">
        <v>5607.44</v>
      </c>
      <c r="E4041" t="n">
        <v>11952.32</v>
      </c>
      <c r="F4041" t="n">
        <v>27522.8</v>
      </c>
    </row>
    <row r="4042">
      <c r="A4042" s="3" t="n">
        <v>44392</v>
      </c>
      <c r="B4042" t="n">
        <v>26883.35</v>
      </c>
      <c r="C4042" t="n">
        <v>11370.72</v>
      </c>
      <c r="D4042" t="n">
        <v>5593.02</v>
      </c>
      <c r="E4042" t="n">
        <v>11980.28</v>
      </c>
      <c r="F4042" t="n">
        <v>28137.9</v>
      </c>
    </row>
    <row r="4043">
      <c r="A4043" s="3" t="n">
        <v>44393</v>
      </c>
      <c r="B4043" t="n">
        <v>27048.96</v>
      </c>
      <c r="C4043" t="n">
        <v>11385.11</v>
      </c>
      <c r="D4043" t="n">
        <v>5622.08</v>
      </c>
      <c r="E4043" t="n">
        <v>11992.83</v>
      </c>
      <c r="F4043" t="n">
        <v>28361.35</v>
      </c>
    </row>
    <row r="4044">
      <c r="A4044" s="3" t="n">
        <v>44396</v>
      </c>
      <c r="B4044" t="n">
        <v>26827.17</v>
      </c>
      <c r="C4044" t="n">
        <v>11381.07</v>
      </c>
      <c r="D4044" t="n">
        <v>5593.36</v>
      </c>
      <c r="E4044" t="n">
        <v>11960.51</v>
      </c>
      <c r="F4044" t="n">
        <v>28055.7</v>
      </c>
    </row>
    <row r="4045">
      <c r="A4045" s="3" t="n">
        <v>44397</v>
      </c>
      <c r="B4045" t="n">
        <v>26411.4</v>
      </c>
      <c r="C4045" t="n">
        <v>11347.13</v>
      </c>
      <c r="D4045" t="n">
        <v>5510.41</v>
      </c>
      <c r="E4045" t="n">
        <v>11937.98</v>
      </c>
      <c r="F4045" t="n">
        <v>27691.55</v>
      </c>
    </row>
    <row r="4046">
      <c r="A4046" s="3" t="n">
        <v>44399</v>
      </c>
      <c r="B4046" t="n">
        <v>26898.58</v>
      </c>
      <c r="C4046" t="n">
        <v>11413.42</v>
      </c>
      <c r="D4046" t="n">
        <v>5589.86</v>
      </c>
      <c r="E4046" t="n">
        <v>11996.7</v>
      </c>
      <c r="F4046" t="n">
        <v>28359.25</v>
      </c>
    </row>
    <row r="4047">
      <c r="A4047" s="3" t="n">
        <v>44400</v>
      </c>
      <c r="B4047" t="n">
        <v>27079.24</v>
      </c>
      <c r="C4047" t="n">
        <v>11429.88</v>
      </c>
      <c r="D4047" t="n">
        <v>5569.37</v>
      </c>
      <c r="E4047" t="n">
        <v>12039.73</v>
      </c>
      <c r="F4047" t="n">
        <v>28522.8</v>
      </c>
    </row>
    <row r="4048">
      <c r="A4048" s="3" t="n">
        <v>44403</v>
      </c>
      <c r="B4048" t="n">
        <v>27173.46</v>
      </c>
      <c r="C4048" t="n">
        <v>11496.15</v>
      </c>
      <c r="D4048" t="n">
        <v>5569.19</v>
      </c>
      <c r="E4048" t="n">
        <v>12061.57</v>
      </c>
      <c r="F4048" t="n">
        <v>28502.15</v>
      </c>
    </row>
    <row r="4049">
      <c r="A4049" s="3" t="n">
        <v>44404</v>
      </c>
      <c r="B4049" t="n">
        <v>27069.28</v>
      </c>
      <c r="C4049" t="n">
        <v>11426.56</v>
      </c>
      <c r="D4049" t="n">
        <v>5547.85</v>
      </c>
      <c r="E4049" t="n">
        <v>11973.85</v>
      </c>
      <c r="F4049" t="n">
        <v>28468.9</v>
      </c>
    </row>
    <row r="4050">
      <c r="A4050" s="3" t="n">
        <v>44405</v>
      </c>
      <c r="B4050" t="n">
        <v>26936.49</v>
      </c>
      <c r="C4050" t="n">
        <v>11396.02</v>
      </c>
      <c r="D4050" t="n">
        <v>5531.5</v>
      </c>
      <c r="E4050" t="n">
        <v>11950.93</v>
      </c>
      <c r="F4050" t="n">
        <v>28289.35</v>
      </c>
    </row>
    <row r="4051">
      <c r="A4051" s="3" t="n">
        <v>44406</v>
      </c>
      <c r="B4051" t="n">
        <v>27242.45</v>
      </c>
      <c r="C4051" t="n">
        <v>11411.55</v>
      </c>
      <c r="D4051" t="n">
        <v>5637.03</v>
      </c>
      <c r="E4051" t="n">
        <v>11893.71</v>
      </c>
      <c r="F4051" t="n">
        <v>28418.85</v>
      </c>
    </row>
    <row r="4052">
      <c r="A4052" s="3" t="n">
        <v>44407</v>
      </c>
      <c r="B4052" t="n">
        <v>27338.76</v>
      </c>
      <c r="C4052" t="n">
        <v>11468.24</v>
      </c>
      <c r="D4052" t="n">
        <v>5640.08</v>
      </c>
      <c r="E4052" t="n">
        <v>11993.16</v>
      </c>
      <c r="F4052" t="n">
        <v>28513.05</v>
      </c>
    </row>
    <row r="4053">
      <c r="A4053" s="3" t="n">
        <v>44410</v>
      </c>
      <c r="B4053" t="n">
        <v>27650.62</v>
      </c>
      <c r="C4053" t="n">
        <v>11579.72</v>
      </c>
      <c r="D4053" t="n">
        <v>5706.58</v>
      </c>
      <c r="E4053" t="n">
        <v>12066.43</v>
      </c>
      <c r="F4053" t="n">
        <v>28778.8</v>
      </c>
    </row>
    <row r="4054">
      <c r="A4054" s="3" t="n">
        <v>44411</v>
      </c>
      <c r="B4054" t="n">
        <v>27680.31</v>
      </c>
      <c r="C4054" t="n">
        <v>11652.14</v>
      </c>
      <c r="D4054" t="n">
        <v>5717.11</v>
      </c>
      <c r="E4054" t="n">
        <v>12189.05</v>
      </c>
      <c r="F4054" t="n">
        <v>28862.5</v>
      </c>
    </row>
    <row r="4055">
      <c r="A4055" s="3" t="n">
        <v>44412</v>
      </c>
      <c r="B4055" t="n">
        <v>27527.95</v>
      </c>
      <c r="C4055" t="n">
        <v>11571.01</v>
      </c>
      <c r="D4055" t="n">
        <v>5666.32</v>
      </c>
      <c r="E4055" t="n">
        <v>12101.99</v>
      </c>
      <c r="F4055" t="n">
        <v>28762</v>
      </c>
    </row>
    <row r="4056">
      <c r="A4056" s="3" t="n">
        <v>44413</v>
      </c>
      <c r="B4056" t="n">
        <v>27667.84</v>
      </c>
      <c r="C4056" t="n">
        <v>11605.45</v>
      </c>
      <c r="D4056" t="n">
        <v>5656.61</v>
      </c>
      <c r="E4056" t="n">
        <v>12110.04</v>
      </c>
      <c r="F4056" t="n">
        <v>28791.1</v>
      </c>
    </row>
    <row r="4057">
      <c r="A4057" s="3" t="n">
        <v>44414</v>
      </c>
      <c r="B4057" t="n">
        <v>27737.54</v>
      </c>
      <c r="C4057" t="n">
        <v>11562.98</v>
      </c>
      <c r="D4057" t="n">
        <v>5688.33</v>
      </c>
      <c r="E4057" t="n">
        <v>12075.28</v>
      </c>
      <c r="F4057" t="n">
        <v>28932.85</v>
      </c>
    </row>
    <row r="4058">
      <c r="A4058" s="3" t="n">
        <v>44417</v>
      </c>
      <c r="B4058" t="n">
        <v>27435.73</v>
      </c>
      <c r="C4058" t="n">
        <v>11541.63</v>
      </c>
      <c r="D4058" t="n">
        <v>5611.65</v>
      </c>
      <c r="E4058" t="n">
        <v>12074.09</v>
      </c>
      <c r="F4058" t="n">
        <v>28596.7</v>
      </c>
    </row>
    <row r="4059">
      <c r="A4059" s="3" t="n">
        <v>44418</v>
      </c>
      <c r="B4059" t="n">
        <v>26929.86</v>
      </c>
      <c r="C4059" t="n">
        <v>11481.19</v>
      </c>
      <c r="D4059" t="n">
        <v>5498.75</v>
      </c>
      <c r="E4059" t="n">
        <v>12030.47</v>
      </c>
      <c r="F4059" t="n">
        <v>28003.4</v>
      </c>
    </row>
    <row r="4060">
      <c r="A4060" s="3" t="n">
        <v>44419</v>
      </c>
      <c r="B4060" t="n">
        <v>26971.15</v>
      </c>
      <c r="C4060" t="n">
        <v>11418.15</v>
      </c>
      <c r="D4060" t="n">
        <v>5563.13</v>
      </c>
      <c r="E4060" t="n">
        <v>12015.62</v>
      </c>
      <c r="F4060" t="n">
        <v>27892.6</v>
      </c>
    </row>
    <row r="4061">
      <c r="A4061" s="3" t="n">
        <v>44420</v>
      </c>
      <c r="B4061" t="n">
        <v>27413.8</v>
      </c>
      <c r="C4061" t="n">
        <v>11511.49</v>
      </c>
      <c r="D4061" t="n">
        <v>5609.92</v>
      </c>
      <c r="E4061" t="n">
        <v>12065.46</v>
      </c>
      <c r="F4061" t="n">
        <v>28388.1</v>
      </c>
    </row>
    <row r="4062">
      <c r="A4062" s="3" t="n">
        <v>44421</v>
      </c>
      <c r="B4062" t="n">
        <v>27500.18</v>
      </c>
      <c r="C4062" t="n">
        <v>11542.98</v>
      </c>
      <c r="D4062" t="n">
        <v>5608.58</v>
      </c>
      <c r="E4062" t="n">
        <v>12112.95</v>
      </c>
      <c r="F4062" t="n">
        <v>28437.05</v>
      </c>
    </row>
    <row r="4063">
      <c r="A4063" s="3" t="n">
        <v>44424</v>
      </c>
      <c r="B4063" t="n">
        <v>27481.72</v>
      </c>
      <c r="C4063" t="n">
        <v>11507.22</v>
      </c>
      <c r="D4063" t="n">
        <v>5626.2</v>
      </c>
      <c r="E4063" t="n">
        <v>12090.94</v>
      </c>
      <c r="F4063" t="n">
        <v>28463.6</v>
      </c>
    </row>
    <row r="4064">
      <c r="A4064" s="3" t="n">
        <v>44425</v>
      </c>
      <c r="B4064" t="n">
        <v>27679.82</v>
      </c>
      <c r="C4064" t="n">
        <v>11604.74</v>
      </c>
      <c r="D4064" t="n">
        <v>5549.27</v>
      </c>
      <c r="E4064" t="n">
        <v>12190.18</v>
      </c>
      <c r="F4064" t="n">
        <v>28731.8</v>
      </c>
    </row>
    <row r="4065">
      <c r="A4065" s="3" t="n">
        <v>44426</v>
      </c>
      <c r="B4065" t="n">
        <v>27746.04</v>
      </c>
      <c r="C4065" t="n">
        <v>11614.03</v>
      </c>
      <c r="D4065" t="n">
        <v>5524.62</v>
      </c>
      <c r="E4065" t="n">
        <v>12233.78</v>
      </c>
      <c r="F4065" t="n">
        <v>28745.85</v>
      </c>
    </row>
    <row r="4066">
      <c r="A4066" s="3" t="n">
        <v>44428</v>
      </c>
      <c r="B4066" t="n">
        <v>27169.45</v>
      </c>
      <c r="C4066" t="n">
        <v>11581.05</v>
      </c>
      <c r="D4066" t="n">
        <v>5331.28</v>
      </c>
      <c r="E4066" t="n">
        <v>12223.05</v>
      </c>
      <c r="F4066" t="n">
        <v>28187.75</v>
      </c>
    </row>
    <row r="4067">
      <c r="A4067" s="3" t="n">
        <v>44431</v>
      </c>
      <c r="B4067" t="n">
        <v>26933.21</v>
      </c>
      <c r="C4067" t="n">
        <v>11522.73</v>
      </c>
      <c r="D4067" t="n">
        <v>5263.79</v>
      </c>
      <c r="E4067" t="n">
        <v>12183.02</v>
      </c>
      <c r="F4067" t="n">
        <v>27903.35</v>
      </c>
    </row>
    <row r="4068">
      <c r="A4068" s="3" t="n">
        <v>44432</v>
      </c>
      <c r="B4068" t="n">
        <v>27581.17</v>
      </c>
      <c r="C4068" t="n">
        <v>11592.26</v>
      </c>
      <c r="D4068" t="n">
        <v>5373.55</v>
      </c>
      <c r="E4068" t="n">
        <v>12190.35</v>
      </c>
      <c r="F4068" t="n">
        <v>28371</v>
      </c>
    </row>
    <row r="4069">
      <c r="A4069" s="3" t="n">
        <v>44433</v>
      </c>
      <c r="B4069" t="n">
        <v>27868.82</v>
      </c>
      <c r="C4069" t="n">
        <v>11625.57</v>
      </c>
      <c r="D4069" t="n">
        <v>5409.65</v>
      </c>
      <c r="E4069" t="n">
        <v>12197.5</v>
      </c>
      <c r="F4069" t="n">
        <v>28721.35</v>
      </c>
    </row>
    <row r="4070">
      <c r="A4070" s="3" t="n">
        <v>44434</v>
      </c>
      <c r="B4070" t="n">
        <v>27974.87</v>
      </c>
      <c r="C4070" t="n">
        <v>11645.38</v>
      </c>
      <c r="D4070" t="n">
        <v>5371.15</v>
      </c>
      <c r="E4070" t="n">
        <v>12212.92</v>
      </c>
      <c r="F4070" t="n">
        <v>28977.1</v>
      </c>
    </row>
    <row r="4071">
      <c r="A4071" s="3" t="n">
        <v>44435</v>
      </c>
      <c r="B4071" t="n">
        <v>28353.54</v>
      </c>
      <c r="C4071" t="n">
        <v>11681.06</v>
      </c>
      <c r="D4071" t="n">
        <v>5422.33</v>
      </c>
      <c r="E4071" t="n">
        <v>12322.62</v>
      </c>
      <c r="F4071" t="n">
        <v>29314.7</v>
      </c>
    </row>
    <row r="4072">
      <c r="A4072" s="3" t="n">
        <v>44438</v>
      </c>
      <c r="B4072" t="n">
        <v>28839.16</v>
      </c>
      <c r="C4072" t="n">
        <v>11835.83</v>
      </c>
      <c r="D4072" t="n">
        <v>5531.06</v>
      </c>
      <c r="E4072" t="n">
        <v>12454.08</v>
      </c>
      <c r="F4072" t="n">
        <v>29808.3</v>
      </c>
    </row>
    <row r="4073">
      <c r="A4073" s="3" t="n">
        <v>44439</v>
      </c>
      <c r="B4073" t="n">
        <v>29211.94</v>
      </c>
      <c r="C4073" t="n">
        <v>11891.39</v>
      </c>
      <c r="D4073" t="n">
        <v>5583.1</v>
      </c>
      <c r="E4073" t="n">
        <v>12575.26</v>
      </c>
      <c r="F4073" t="n">
        <v>30213.4</v>
      </c>
    </row>
    <row r="4074">
      <c r="A4074" s="3" t="n">
        <v>44440</v>
      </c>
      <c r="B4074" t="n">
        <v>29365.45</v>
      </c>
      <c r="C4074" t="n">
        <v>11950.87</v>
      </c>
      <c r="D4074" t="n">
        <v>5574.81</v>
      </c>
      <c r="E4074" t="n">
        <v>12643.71</v>
      </c>
      <c r="F4074" t="n">
        <v>30292.65</v>
      </c>
    </row>
    <row r="4075">
      <c r="A4075" s="3" t="n">
        <v>44441</v>
      </c>
      <c r="B4075" t="n">
        <v>29548.01</v>
      </c>
      <c r="C4075" t="n">
        <v>12043.36</v>
      </c>
      <c r="D4075" t="n">
        <v>5583.72</v>
      </c>
      <c r="E4075" t="n">
        <v>12819.09</v>
      </c>
      <c r="F4075" t="n">
        <v>30646.3</v>
      </c>
    </row>
    <row r="4076">
      <c r="A4076" s="3" t="n">
        <v>44442</v>
      </c>
      <c r="B4076" t="n">
        <v>29762.75</v>
      </c>
      <c r="C4076" t="n">
        <v>12081.03</v>
      </c>
      <c r="D4076" t="n">
        <v>5650.45</v>
      </c>
      <c r="E4076" t="n">
        <v>12830.78</v>
      </c>
      <c r="F4076" t="n">
        <v>30836.45</v>
      </c>
    </row>
    <row r="4077">
      <c r="A4077" s="3" t="n">
        <v>44445</v>
      </c>
      <c r="B4077" t="n">
        <v>29832.24</v>
      </c>
      <c r="C4077" t="n">
        <v>12093.09</v>
      </c>
      <c r="D4077" t="n">
        <v>5645.76</v>
      </c>
      <c r="E4077" t="n">
        <v>12804.94</v>
      </c>
      <c r="F4077" t="n">
        <v>30906.85</v>
      </c>
    </row>
    <row r="4078">
      <c r="A4078" s="3" t="n">
        <v>44446</v>
      </c>
      <c r="B4078" t="n">
        <v>29652.02</v>
      </c>
      <c r="C4078" t="n">
        <v>12084.62</v>
      </c>
      <c r="D4078" t="n">
        <v>5606.92</v>
      </c>
      <c r="E4078" t="n">
        <v>12808.11</v>
      </c>
      <c r="F4078" t="n">
        <v>30794.4</v>
      </c>
    </row>
    <row r="4079">
      <c r="A4079" s="3" t="n">
        <v>44447</v>
      </c>
      <c r="B4079" t="n">
        <v>29790.29</v>
      </c>
      <c r="C4079" t="n">
        <v>12073.36</v>
      </c>
      <c r="D4079" t="n">
        <v>5647.98</v>
      </c>
      <c r="E4079" t="n">
        <v>12771.57</v>
      </c>
      <c r="F4079" t="n">
        <v>30937.6</v>
      </c>
    </row>
    <row r="4080">
      <c r="A4080" s="3" t="n">
        <v>44448</v>
      </c>
      <c r="B4080" t="n">
        <v>30069.26</v>
      </c>
      <c r="C4080" t="n">
        <v>12168.33</v>
      </c>
      <c r="D4080" t="n">
        <v>5688.59</v>
      </c>
      <c r="E4080" t="n">
        <v>12823.42</v>
      </c>
      <c r="F4080" t="n">
        <v>31199.55</v>
      </c>
    </row>
    <row r="4081">
      <c r="A4081" s="3" t="n">
        <v>44452</v>
      </c>
      <c r="B4081" t="n">
        <v>30475.05</v>
      </c>
      <c r="C4081" t="n">
        <v>12270.51</v>
      </c>
      <c r="D4081" t="n">
        <v>5742.46</v>
      </c>
      <c r="E4081" t="n">
        <v>12890.51</v>
      </c>
      <c r="F4081" t="n">
        <v>31478.2</v>
      </c>
    </row>
    <row r="4082">
      <c r="A4082" s="3" t="n">
        <v>44453</v>
      </c>
      <c r="B4082" t="n">
        <v>30641.83</v>
      </c>
      <c r="C4082" t="n">
        <v>12314.48</v>
      </c>
      <c r="D4082" t="n">
        <v>5777.78</v>
      </c>
      <c r="E4082" t="n">
        <v>12904.64</v>
      </c>
      <c r="F4082" t="n">
        <v>31524</v>
      </c>
    </row>
    <row r="4083">
      <c r="A4083" s="3" t="n">
        <v>44454</v>
      </c>
      <c r="B4083" t="n">
        <v>30953.17</v>
      </c>
      <c r="C4083" t="n">
        <v>12405.97</v>
      </c>
      <c r="D4083" t="n">
        <v>5872.14</v>
      </c>
      <c r="E4083" t="n">
        <v>12964.19</v>
      </c>
      <c r="F4083" t="n">
        <v>31722.8</v>
      </c>
    </row>
    <row r="4084">
      <c r="A4084" s="3" t="n">
        <v>44455</v>
      </c>
      <c r="B4084" t="n">
        <v>30960.79</v>
      </c>
      <c r="C4084" t="n">
        <v>12425.34</v>
      </c>
      <c r="D4084" t="n">
        <v>5900.8</v>
      </c>
      <c r="E4084" t="n">
        <v>12994.55</v>
      </c>
      <c r="F4084" t="n">
        <v>31797.1</v>
      </c>
    </row>
    <row r="4085">
      <c r="A4085" s="3" t="n">
        <v>44456</v>
      </c>
      <c r="B4085" t="n">
        <v>30572.03</v>
      </c>
      <c r="C4085" t="n">
        <v>12337.52</v>
      </c>
      <c r="D4085" t="n">
        <v>5804.17</v>
      </c>
      <c r="E4085" t="n">
        <v>12933.83</v>
      </c>
      <c r="F4085" t="n">
        <v>31627.35</v>
      </c>
    </row>
    <row r="4086">
      <c r="A4086" s="3" t="n">
        <v>44459</v>
      </c>
      <c r="B4086" t="n">
        <v>29783.66</v>
      </c>
      <c r="C4086" t="n">
        <v>12265.06</v>
      </c>
      <c r="D4086" t="n">
        <v>5601.78</v>
      </c>
      <c r="E4086" t="n">
        <v>12842.3</v>
      </c>
      <c r="F4086" t="n">
        <v>30922.15</v>
      </c>
    </row>
    <row r="4087">
      <c r="A4087" s="3" t="n">
        <v>44460</v>
      </c>
      <c r="B4087" t="n">
        <v>29906.22</v>
      </c>
      <c r="C4087" t="n">
        <v>12338.46</v>
      </c>
      <c r="D4087" t="n">
        <v>5655.29</v>
      </c>
      <c r="E4087" t="n">
        <v>12922.24</v>
      </c>
      <c r="F4087" t="n">
        <v>31036.6</v>
      </c>
    </row>
    <row r="4088">
      <c r="A4088" s="3" t="n">
        <v>44461</v>
      </c>
      <c r="B4088" t="n">
        <v>30073.61</v>
      </c>
      <c r="C4088" t="n">
        <v>12416.54</v>
      </c>
      <c r="D4088" t="n">
        <v>5742.04</v>
      </c>
      <c r="E4088" t="n">
        <v>12974.09</v>
      </c>
      <c r="F4088" t="n">
        <v>31378.6</v>
      </c>
    </row>
    <row r="4089">
      <c r="A4089" s="3" t="n">
        <v>44462</v>
      </c>
      <c r="B4089" t="n">
        <v>30450.15</v>
      </c>
      <c r="C4089" t="n">
        <v>12513.07</v>
      </c>
      <c r="D4089" t="n">
        <v>5840.98</v>
      </c>
      <c r="E4089" t="n">
        <v>13020.51</v>
      </c>
      <c r="F4089" t="n">
        <v>31768.5</v>
      </c>
    </row>
    <row r="4090">
      <c r="A4090" s="3" t="n">
        <v>44463</v>
      </c>
      <c r="B4090" t="n">
        <v>30274.01</v>
      </c>
      <c r="C4090" t="n">
        <v>12500.58</v>
      </c>
      <c r="D4090" t="n">
        <v>5791.25</v>
      </c>
      <c r="E4090" t="n">
        <v>13000.22</v>
      </c>
      <c r="F4090" t="n">
        <v>31750.85</v>
      </c>
    </row>
    <row r="4091">
      <c r="A4091" s="3" t="n">
        <v>44466</v>
      </c>
      <c r="B4091" t="n">
        <v>30235.77</v>
      </c>
      <c r="C4091" t="n">
        <v>12346.18</v>
      </c>
      <c r="D4091" t="n">
        <v>5859.11</v>
      </c>
      <c r="E4091" t="n">
        <v>12937.39</v>
      </c>
      <c r="F4091" t="n">
        <v>31567.4</v>
      </c>
    </row>
    <row r="4092">
      <c r="A4092" s="3" t="n">
        <v>44467</v>
      </c>
      <c r="B4092" t="n">
        <v>29970.44</v>
      </c>
      <c r="C4092" t="n">
        <v>12249.86</v>
      </c>
      <c r="D4092" t="n">
        <v>5959.19</v>
      </c>
      <c r="E4092" t="n">
        <v>12909.1</v>
      </c>
      <c r="F4092" t="n">
        <v>31331.2</v>
      </c>
    </row>
    <row r="4093">
      <c r="A4093" s="3" t="n">
        <v>44468</v>
      </c>
      <c r="B4093" t="n">
        <v>30303.96</v>
      </c>
      <c r="C4093" t="n">
        <v>12276.87</v>
      </c>
      <c r="D4093" t="n">
        <v>6111.91</v>
      </c>
      <c r="E4093" t="n">
        <v>12934.89</v>
      </c>
      <c r="F4093" t="n">
        <v>31556.9</v>
      </c>
    </row>
    <row r="4094">
      <c r="A4094" s="3" t="n">
        <v>44469</v>
      </c>
      <c r="B4094" t="n">
        <v>30464.9</v>
      </c>
      <c r="C4094" t="n">
        <v>12229.98</v>
      </c>
      <c r="D4094" t="n">
        <v>6117.47</v>
      </c>
      <c r="E4094" t="n">
        <v>12893.11</v>
      </c>
      <c r="F4094" t="n">
        <v>31641.8</v>
      </c>
    </row>
    <row r="4095">
      <c r="A4095" s="3" t="n">
        <v>44470</v>
      </c>
      <c r="B4095" t="n">
        <v>30548.53</v>
      </c>
      <c r="C4095" t="n">
        <v>12290.92</v>
      </c>
      <c r="D4095" t="n">
        <v>6130.85</v>
      </c>
      <c r="E4095" t="n">
        <v>12921.48</v>
      </c>
      <c r="F4095" t="n">
        <v>31624.55</v>
      </c>
    </row>
    <row r="4096">
      <c r="A4096" s="3" t="n">
        <v>44473</v>
      </c>
      <c r="B4096" t="n">
        <v>31097.59</v>
      </c>
      <c r="C4096" t="n">
        <v>12439.93</v>
      </c>
      <c r="D4096" t="n">
        <v>6234.16</v>
      </c>
      <c r="E4096" t="n">
        <v>13026.34</v>
      </c>
      <c r="F4096" t="n">
        <v>32296.15</v>
      </c>
    </row>
    <row r="4097">
      <c r="A4097" s="3" t="n">
        <v>44474</v>
      </c>
      <c r="B4097" t="n">
        <v>31352.27</v>
      </c>
      <c r="C4097" t="n">
        <v>12526.92</v>
      </c>
      <c r="D4097" t="n">
        <v>6323.82</v>
      </c>
      <c r="E4097" t="n">
        <v>13066.95</v>
      </c>
      <c r="F4097" t="n">
        <v>32497.8</v>
      </c>
    </row>
    <row r="4098">
      <c r="A4098" s="3" t="n">
        <v>44475</v>
      </c>
      <c r="B4098" t="n">
        <v>31172.69</v>
      </c>
      <c r="C4098" t="n">
        <v>12450.83</v>
      </c>
      <c r="D4098" t="n">
        <v>6253.02</v>
      </c>
      <c r="E4098" t="n">
        <v>12920.41</v>
      </c>
      <c r="F4098" t="n">
        <v>32336.5</v>
      </c>
    </row>
    <row r="4099">
      <c r="A4099" s="3" t="n">
        <v>44476</v>
      </c>
      <c r="B4099" t="n">
        <v>31690.19</v>
      </c>
      <c r="C4099" t="n">
        <v>12594.81</v>
      </c>
      <c r="D4099" t="n">
        <v>6285.1</v>
      </c>
      <c r="E4099" t="n">
        <v>13047.43</v>
      </c>
      <c r="F4099" t="n">
        <v>32748.55</v>
      </c>
    </row>
    <row r="4100">
      <c r="A4100" s="3" t="n">
        <v>44477</v>
      </c>
      <c r="B4100" t="n">
        <v>31834.19</v>
      </c>
      <c r="C4100" t="n">
        <v>12609.36</v>
      </c>
      <c r="D4100" t="n">
        <v>6291.7</v>
      </c>
      <c r="E4100" t="n">
        <v>13033.11</v>
      </c>
      <c r="F4100" t="n">
        <v>33071.55</v>
      </c>
    </row>
    <row r="4101">
      <c r="A4101" s="3" t="n">
        <v>44480</v>
      </c>
      <c r="B4101" t="n">
        <v>32138.64</v>
      </c>
      <c r="C4101" t="n">
        <v>12616.56</v>
      </c>
      <c r="D4101" t="n">
        <v>6409.32</v>
      </c>
      <c r="E4101" t="n">
        <v>13068.51</v>
      </c>
      <c r="F4101" t="n">
        <v>33080.4</v>
      </c>
    </row>
    <row r="4102">
      <c r="A4102" s="3" t="n">
        <v>44481</v>
      </c>
      <c r="B4102" t="n">
        <v>32194.17</v>
      </c>
      <c r="C4102" t="n">
        <v>12629.5</v>
      </c>
      <c r="D4102" t="n">
        <v>6444.37</v>
      </c>
      <c r="E4102" t="n">
        <v>13102.51</v>
      </c>
      <c r="F4102" t="n">
        <v>32933.95</v>
      </c>
    </row>
    <row r="4103">
      <c r="A4103" s="3" t="n">
        <v>44482</v>
      </c>
      <c r="B4103" t="n">
        <v>33146.81</v>
      </c>
      <c r="C4103" t="n">
        <v>12706.66</v>
      </c>
      <c r="D4103" t="n">
        <v>6627.98</v>
      </c>
      <c r="E4103" t="n">
        <v>13138.21</v>
      </c>
      <c r="F4103" t="n">
        <v>33436.65</v>
      </c>
    </row>
    <row r="4104">
      <c r="A4104" s="3" t="n">
        <v>44483</v>
      </c>
      <c r="B4104" t="n">
        <v>33712.62</v>
      </c>
      <c r="C4104" t="n">
        <v>12741.13</v>
      </c>
      <c r="D4104" t="n">
        <v>6678.97</v>
      </c>
      <c r="E4104" t="n">
        <v>13166.25</v>
      </c>
      <c r="F4104" t="n">
        <v>33913.7</v>
      </c>
    </row>
    <row r="4105">
      <c r="A4105" s="3" t="n">
        <v>44487</v>
      </c>
      <c r="B4105" t="n">
        <v>34266.58</v>
      </c>
      <c r="C4105" t="n">
        <v>12717.21</v>
      </c>
      <c r="D4105" t="n">
        <v>6843.4</v>
      </c>
      <c r="E4105" t="n">
        <v>13190.5</v>
      </c>
      <c r="F4105" t="n">
        <v>34172.35</v>
      </c>
    </row>
    <row r="4106">
      <c r="A4106" s="3" t="n">
        <v>44488</v>
      </c>
      <c r="B4106" t="n">
        <v>33590.09</v>
      </c>
      <c r="C4106" t="n">
        <v>12628.02</v>
      </c>
      <c r="D4106" t="n">
        <v>6643.63</v>
      </c>
      <c r="E4106" t="n">
        <v>13003.31</v>
      </c>
      <c r="F4106" t="n">
        <v>33850.65</v>
      </c>
    </row>
    <row r="4107">
      <c r="A4107" s="3" t="n">
        <v>44489</v>
      </c>
      <c r="B4107" t="n">
        <v>33150.98</v>
      </c>
      <c r="C4107" t="n">
        <v>12422.29</v>
      </c>
      <c r="D4107" t="n">
        <v>6525.47</v>
      </c>
      <c r="E4107" t="n">
        <v>12843.81</v>
      </c>
      <c r="F4107" t="n">
        <v>32964.95</v>
      </c>
    </row>
    <row r="4108">
      <c r="A4108" s="3" t="n">
        <v>44490</v>
      </c>
      <c r="B4108" t="n">
        <v>32936.5</v>
      </c>
      <c r="C4108" t="n">
        <v>12227.22</v>
      </c>
      <c r="D4108" t="n">
        <v>6543.92</v>
      </c>
      <c r="E4108" t="n">
        <v>12721.13</v>
      </c>
      <c r="F4108" t="n">
        <v>32529.05</v>
      </c>
    </row>
    <row r="4109">
      <c r="A4109" s="3" t="n">
        <v>44491</v>
      </c>
      <c r="B4109" t="n">
        <v>32453.81</v>
      </c>
      <c r="C4109" t="n">
        <v>12093.83</v>
      </c>
      <c r="D4109" t="n">
        <v>6450.17</v>
      </c>
      <c r="E4109" t="n">
        <v>12616.17</v>
      </c>
      <c r="F4109" t="n">
        <v>31998.25</v>
      </c>
    </row>
    <row r="4110">
      <c r="A4110" s="3" t="n">
        <v>44494</v>
      </c>
      <c r="B4110" t="n">
        <v>32240.74</v>
      </c>
      <c r="C4110" t="n">
        <v>11904.79</v>
      </c>
      <c r="D4110" t="n">
        <v>6405.42</v>
      </c>
      <c r="E4110" t="n">
        <v>12452.38</v>
      </c>
      <c r="F4110" t="n">
        <v>31477</v>
      </c>
    </row>
    <row r="4111">
      <c r="A4111" s="3" t="n">
        <v>44495</v>
      </c>
      <c r="B4111" t="n">
        <v>32927.98</v>
      </c>
      <c r="C4111" t="n">
        <v>12082.69</v>
      </c>
      <c r="D4111" t="n">
        <v>6532.9</v>
      </c>
      <c r="E4111" t="n">
        <v>12560.2</v>
      </c>
      <c r="F4111" t="n">
        <v>32196.8</v>
      </c>
    </row>
    <row r="4112">
      <c r="A4112" s="3" t="n">
        <v>44496</v>
      </c>
      <c r="B4112" t="n">
        <v>33140.52</v>
      </c>
      <c r="C4112" t="n">
        <v>12157.62</v>
      </c>
      <c r="D4112" t="n">
        <v>6494.02</v>
      </c>
      <c r="E4112" t="n">
        <v>12660.64</v>
      </c>
      <c r="F4112" t="n">
        <v>32372.4</v>
      </c>
    </row>
    <row r="4113">
      <c r="A4113" s="3" t="n">
        <v>44497</v>
      </c>
      <c r="B4113" t="n">
        <v>32181.68</v>
      </c>
      <c r="C4113" t="n">
        <v>11934.98</v>
      </c>
      <c r="D4113" t="n">
        <v>6267.71</v>
      </c>
      <c r="E4113" t="n">
        <v>12490.92</v>
      </c>
      <c r="F4113" t="n">
        <v>31568.2</v>
      </c>
    </row>
    <row r="4114">
      <c r="A4114" s="3" t="n">
        <v>44498</v>
      </c>
      <c r="B4114" t="n">
        <v>32040.47</v>
      </c>
      <c r="C4114" t="n">
        <v>11908.66</v>
      </c>
      <c r="D4114" t="n">
        <v>6256.1</v>
      </c>
      <c r="E4114" t="n">
        <v>12504.49</v>
      </c>
      <c r="F4114" t="n">
        <v>31388.8</v>
      </c>
    </row>
    <row r="4115">
      <c r="A4115" s="3" t="n">
        <v>44501</v>
      </c>
      <c r="B4115" t="n">
        <v>32615.25</v>
      </c>
      <c r="C4115" t="n">
        <v>12091.8</v>
      </c>
      <c r="D4115" t="n">
        <v>6387.97</v>
      </c>
      <c r="E4115" t="n">
        <v>12684.03</v>
      </c>
      <c r="F4115" t="n">
        <v>31994.35</v>
      </c>
    </row>
    <row r="4116">
      <c r="A4116" s="3" t="n">
        <v>44502</v>
      </c>
      <c r="B4116" t="n">
        <v>32734.74</v>
      </c>
      <c r="C4116" t="n">
        <v>12062.43</v>
      </c>
      <c r="D4116" t="n">
        <v>6382.01</v>
      </c>
      <c r="E4116" t="n">
        <v>12671.08</v>
      </c>
      <c r="F4116" t="n">
        <v>32079.05</v>
      </c>
    </row>
    <row r="4117">
      <c r="A4117" s="3" t="n">
        <v>44503</v>
      </c>
      <c r="B4117" t="n">
        <v>32831.6</v>
      </c>
      <c r="C4117" t="n">
        <v>12052.26</v>
      </c>
      <c r="D4117" t="n">
        <v>6386.19</v>
      </c>
      <c r="E4117" t="n">
        <v>12655.22</v>
      </c>
      <c r="F4117" t="n">
        <v>32140.75</v>
      </c>
    </row>
    <row r="4118">
      <c r="A4118" s="3" t="n">
        <v>44504</v>
      </c>
      <c r="B4118" t="n">
        <v>33064.56</v>
      </c>
      <c r="C4118" t="n">
        <v>12153.7</v>
      </c>
      <c r="D4118" t="n">
        <v>6433.47</v>
      </c>
      <c r="E4118" t="n">
        <v>12737.06</v>
      </c>
      <c r="F4118" t="n">
        <v>32359.3</v>
      </c>
    </row>
    <row r="4119">
      <c r="A4119" s="3" t="n">
        <v>44508</v>
      </c>
      <c r="B4119" t="n">
        <v>33493.54</v>
      </c>
      <c r="C4119" t="n">
        <v>12189.87</v>
      </c>
      <c r="D4119" t="n">
        <v>6561.79</v>
      </c>
      <c r="E4119" t="n">
        <v>12831.24</v>
      </c>
      <c r="F4119" t="n">
        <v>32586.9</v>
      </c>
    </row>
    <row r="4120">
      <c r="A4120" s="3" t="n">
        <v>44509</v>
      </c>
      <c r="B4120" t="n">
        <v>33830.62</v>
      </c>
      <c r="C4120" t="n">
        <v>12192.46</v>
      </c>
      <c r="D4120" t="n">
        <v>6585.06</v>
      </c>
      <c r="E4120" t="n">
        <v>12823.36</v>
      </c>
      <c r="F4120" t="n">
        <v>33057.9</v>
      </c>
    </row>
    <row r="4121">
      <c r="A4121" s="3" t="n">
        <v>44510</v>
      </c>
      <c r="B4121" t="n">
        <v>33785.45</v>
      </c>
      <c r="C4121" t="n">
        <v>12183.07</v>
      </c>
      <c r="D4121" t="n">
        <v>6529.14</v>
      </c>
      <c r="E4121" t="n">
        <v>12791.16</v>
      </c>
      <c r="F4121" t="n">
        <v>33153.55</v>
      </c>
    </row>
    <row r="4122">
      <c r="A4122" s="3" t="n">
        <v>44511</v>
      </c>
      <c r="B4122" t="n">
        <v>33762.52</v>
      </c>
      <c r="C4122" t="n">
        <v>12143.6</v>
      </c>
      <c r="D4122" t="n">
        <v>6458.46</v>
      </c>
      <c r="E4122" t="n">
        <v>12695.04</v>
      </c>
      <c r="F4122" t="n">
        <v>33143.2</v>
      </c>
    </row>
    <row r="4123">
      <c r="A4123" s="3" t="n">
        <v>44512</v>
      </c>
      <c r="B4123" t="n">
        <v>34090.43</v>
      </c>
      <c r="C4123" t="n">
        <v>12213.59</v>
      </c>
      <c r="D4123" t="n">
        <v>6481.15</v>
      </c>
      <c r="E4123" t="n">
        <v>12775.14</v>
      </c>
      <c r="F4123" t="n">
        <v>33549.35</v>
      </c>
    </row>
    <row r="4124">
      <c r="A4124" s="3" t="n">
        <v>44515</v>
      </c>
      <c r="B4124" t="n">
        <v>34053.41</v>
      </c>
      <c r="C4124" t="n">
        <v>12279.42</v>
      </c>
      <c r="D4124" t="n">
        <v>6425.51</v>
      </c>
      <c r="E4124" t="n">
        <v>12839.93</v>
      </c>
      <c r="F4124" t="n">
        <v>33705.1</v>
      </c>
    </row>
    <row r="4125">
      <c r="A4125" s="3" t="n">
        <v>44516</v>
      </c>
      <c r="B4125" t="n">
        <v>34045.48</v>
      </c>
      <c r="C4125" t="n">
        <v>12240.61</v>
      </c>
      <c r="D4125" t="n">
        <v>6377.9</v>
      </c>
      <c r="E4125" t="n">
        <v>12789.98</v>
      </c>
      <c r="F4125" t="n">
        <v>33799.85</v>
      </c>
    </row>
    <row r="4126">
      <c r="A4126" s="3" t="n">
        <v>44517</v>
      </c>
      <c r="B4126" t="n">
        <v>34052.1</v>
      </c>
      <c r="C4126" t="n">
        <v>12215.1</v>
      </c>
      <c r="D4126" t="n">
        <v>6367.55</v>
      </c>
      <c r="E4126" t="n">
        <v>12758.45</v>
      </c>
      <c r="F4126" t="n">
        <v>33876.95</v>
      </c>
    </row>
    <row r="4127">
      <c r="A4127" s="3" t="n">
        <v>44518</v>
      </c>
      <c r="B4127" t="n">
        <v>33546.66</v>
      </c>
      <c r="C4127" t="n">
        <v>12039.97</v>
      </c>
      <c r="D4127" t="n">
        <v>6251.43</v>
      </c>
      <c r="E4127" t="n">
        <v>12646.51</v>
      </c>
      <c r="F4127" t="n">
        <v>33312.75</v>
      </c>
    </row>
    <row r="4128">
      <c r="A4128" s="3" t="n">
        <v>44522</v>
      </c>
      <c r="B4128" t="n">
        <v>32778.82</v>
      </c>
      <c r="C4128" t="n">
        <v>11790.47</v>
      </c>
      <c r="D4128" t="n">
        <v>6065.95</v>
      </c>
      <c r="E4128" t="n">
        <v>12413.41</v>
      </c>
      <c r="F4128" t="n">
        <v>32401.25</v>
      </c>
    </row>
    <row r="4129">
      <c r="A4129" s="3" t="n">
        <v>44523</v>
      </c>
      <c r="B4129" t="n">
        <v>33481.78</v>
      </c>
      <c r="C4129" t="n">
        <v>11864.58</v>
      </c>
      <c r="D4129" t="n">
        <v>6182.7</v>
      </c>
      <c r="E4129" t="n">
        <v>12502.34</v>
      </c>
      <c r="F4129" t="n">
        <v>33129.3</v>
      </c>
    </row>
    <row r="4130">
      <c r="A4130" s="3" t="n">
        <v>44524</v>
      </c>
      <c r="B4130" t="n">
        <v>33376.74</v>
      </c>
      <c r="C4130" t="n">
        <v>11791.05</v>
      </c>
      <c r="D4130" t="n">
        <v>6202.89</v>
      </c>
      <c r="E4130" t="n">
        <v>12425.66</v>
      </c>
      <c r="F4130" t="n">
        <v>33190.25</v>
      </c>
    </row>
    <row r="4131">
      <c r="A4131" s="3" t="n">
        <v>44525</v>
      </c>
      <c r="B4131" t="n">
        <v>33665.26</v>
      </c>
      <c r="C4131" t="n">
        <v>11818.03</v>
      </c>
      <c r="D4131" t="n">
        <v>6201.95</v>
      </c>
      <c r="E4131" t="n">
        <v>12417.7</v>
      </c>
      <c r="F4131" t="n">
        <v>33517.75</v>
      </c>
    </row>
    <row r="4132">
      <c r="A4132" s="3" t="n">
        <v>44526</v>
      </c>
      <c r="B4132" t="n">
        <v>32396.96</v>
      </c>
      <c r="C4132" t="n">
        <v>11645.26</v>
      </c>
      <c r="D4132" t="n">
        <v>5936.44</v>
      </c>
      <c r="E4132" t="n">
        <v>12274.62</v>
      </c>
      <c r="F4132" t="n">
        <v>32483.3</v>
      </c>
    </row>
    <row r="4133">
      <c r="A4133" s="3" t="n">
        <v>44529</v>
      </c>
      <c r="B4133" t="n">
        <v>31775.36</v>
      </c>
      <c r="C4133" t="n">
        <v>11553.92</v>
      </c>
      <c r="D4133" t="n">
        <v>5861.02</v>
      </c>
      <c r="E4133" t="n">
        <v>12205.74</v>
      </c>
      <c r="F4133" t="n">
        <v>31978.4</v>
      </c>
    </row>
    <row r="4134">
      <c r="A4134" s="3" t="n">
        <v>44530</v>
      </c>
      <c r="B4134" t="n">
        <v>31877.84</v>
      </c>
      <c r="C4134" t="n">
        <v>11619.27</v>
      </c>
      <c r="D4134" t="n">
        <v>5852.85</v>
      </c>
      <c r="E4134" t="n">
        <v>12253.16</v>
      </c>
      <c r="F4134" t="n">
        <v>32234.85</v>
      </c>
    </row>
    <row r="4135">
      <c r="A4135" s="3" t="n">
        <v>44531</v>
      </c>
      <c r="B4135" t="n">
        <v>32231.15</v>
      </c>
      <c r="C4135" t="n">
        <v>11626.36</v>
      </c>
      <c r="D4135" t="n">
        <v>5948.54</v>
      </c>
      <c r="E4135" t="n">
        <v>12217.02</v>
      </c>
      <c r="F4135" t="n">
        <v>32582.8</v>
      </c>
    </row>
    <row r="4136">
      <c r="A4136" s="3" t="n">
        <v>44532</v>
      </c>
      <c r="B4136" t="n">
        <v>32841.15</v>
      </c>
      <c r="C4136" t="n">
        <v>11777.97</v>
      </c>
      <c r="D4136" t="n">
        <v>6047.34</v>
      </c>
      <c r="E4136" t="n">
        <v>12358.15</v>
      </c>
      <c r="F4136" t="n">
        <v>33167.35</v>
      </c>
    </row>
    <row r="4137">
      <c r="A4137" s="3" t="n">
        <v>44533</v>
      </c>
      <c r="B4137" t="n">
        <v>32696.83</v>
      </c>
      <c r="C4137" t="n">
        <v>11716.18</v>
      </c>
      <c r="D4137" t="n">
        <v>6042.89</v>
      </c>
      <c r="E4137" t="n">
        <v>12260.59</v>
      </c>
      <c r="F4137" t="n">
        <v>33049.45</v>
      </c>
    </row>
    <row r="4138">
      <c r="A4138" s="3" t="n">
        <v>44536</v>
      </c>
      <c r="B4138" t="n">
        <v>32201.67</v>
      </c>
      <c r="C4138" t="n">
        <v>11496.66</v>
      </c>
      <c r="D4138" t="n">
        <v>5959.81</v>
      </c>
      <c r="E4138" t="n">
        <v>12056.92</v>
      </c>
      <c r="F4138" t="n">
        <v>32458.85</v>
      </c>
    </row>
    <row r="4139">
      <c r="A4139" s="3" t="n">
        <v>44537</v>
      </c>
      <c r="B4139" t="n">
        <v>32816.77</v>
      </c>
      <c r="C4139" t="n">
        <v>11606.73</v>
      </c>
      <c r="D4139" t="n">
        <v>6072.03</v>
      </c>
      <c r="E4139" t="n">
        <v>12174.56</v>
      </c>
      <c r="F4139" t="n">
        <v>32918.05</v>
      </c>
    </row>
    <row r="4140">
      <c r="A4140" s="3" t="n">
        <v>44538</v>
      </c>
      <c r="B4140" t="n">
        <v>33459.76</v>
      </c>
      <c r="C4140" t="n">
        <v>11763.96</v>
      </c>
      <c r="D4140" t="n">
        <v>6155.71</v>
      </c>
      <c r="E4140" t="n">
        <v>12322.95</v>
      </c>
      <c r="F4140" t="n">
        <v>33552.9</v>
      </c>
    </row>
    <row r="4141">
      <c r="A4141" s="3" t="n">
        <v>44539</v>
      </c>
      <c r="B4141" t="n">
        <v>33715.42</v>
      </c>
      <c r="C4141" t="n">
        <v>11820.44</v>
      </c>
      <c r="D4141" t="n">
        <v>6172.5</v>
      </c>
      <c r="E4141" t="n">
        <v>12360.27</v>
      </c>
      <c r="F4141" t="n">
        <v>33757.95</v>
      </c>
    </row>
    <row r="4142">
      <c r="A4142" s="3" t="n">
        <v>44540</v>
      </c>
      <c r="B4142" t="n">
        <v>33891.25</v>
      </c>
      <c r="C4142" t="n">
        <v>11861.12</v>
      </c>
      <c r="D4142" t="n">
        <v>6197.08</v>
      </c>
      <c r="E4142" t="n">
        <v>12408.07</v>
      </c>
      <c r="F4142" t="n">
        <v>34036.7</v>
      </c>
    </row>
    <row r="4143">
      <c r="A4143" s="3" t="n">
        <v>44543</v>
      </c>
      <c r="B4143" t="n">
        <v>33799.41</v>
      </c>
      <c r="C4143" t="n">
        <v>11817.06</v>
      </c>
      <c r="D4143" t="n">
        <v>6160.44</v>
      </c>
      <c r="E4143" t="n">
        <v>12363.15</v>
      </c>
      <c r="F4143" t="n">
        <v>34090.85</v>
      </c>
    </row>
    <row r="4144">
      <c r="A4144" s="3" t="n">
        <v>44544</v>
      </c>
      <c r="B4144" t="n">
        <v>34020.91</v>
      </c>
      <c r="C4144" t="n">
        <v>11839.37</v>
      </c>
      <c r="D4144" t="n">
        <v>6164.2</v>
      </c>
      <c r="E4144" t="n">
        <v>12386.05</v>
      </c>
      <c r="F4144" t="n">
        <v>34190.45</v>
      </c>
    </row>
    <row r="4145">
      <c r="A4145" s="3" t="n">
        <v>44545</v>
      </c>
      <c r="B4145" t="n">
        <v>33896.57</v>
      </c>
      <c r="C4145" t="n">
        <v>11757.19</v>
      </c>
      <c r="D4145" t="n">
        <v>6103.48</v>
      </c>
      <c r="E4145" t="n">
        <v>12311.41</v>
      </c>
      <c r="F4145" t="n">
        <v>34024.55</v>
      </c>
    </row>
    <row r="4146">
      <c r="A4146" s="3" t="n">
        <v>44546</v>
      </c>
      <c r="B4146" t="n">
        <v>33800.22</v>
      </c>
      <c r="C4146" t="n">
        <v>11748.28</v>
      </c>
      <c r="D4146" t="n">
        <v>6069.25</v>
      </c>
      <c r="E4146" t="n">
        <v>12277.11</v>
      </c>
      <c r="F4146" t="n">
        <v>33956.4</v>
      </c>
    </row>
    <row r="4147">
      <c r="A4147" s="3" t="n">
        <v>44547</v>
      </c>
      <c r="B4147" t="n">
        <v>33053.03</v>
      </c>
      <c r="C4147" t="n">
        <v>11581.29</v>
      </c>
      <c r="D4147" t="n">
        <v>5908.23</v>
      </c>
      <c r="E4147" t="n">
        <v>12116.11</v>
      </c>
      <c r="F4147" t="n">
        <v>33258.45</v>
      </c>
    </row>
    <row r="4148">
      <c r="A4148" s="3" t="n">
        <v>44550</v>
      </c>
      <c r="B4148" t="n">
        <v>31708.45</v>
      </c>
      <c r="C4148" t="n">
        <v>11297.85</v>
      </c>
      <c r="D4148" t="n">
        <v>5665.48</v>
      </c>
      <c r="E4148" t="n">
        <v>11928.99</v>
      </c>
      <c r="F4148" t="n">
        <v>31905.2</v>
      </c>
    </row>
    <row r="4149">
      <c r="A4149" s="3" t="n">
        <v>44551</v>
      </c>
      <c r="B4149" t="n">
        <v>32193.03</v>
      </c>
      <c r="C4149" t="n">
        <v>11427.79</v>
      </c>
      <c r="D4149" t="n">
        <v>5750.17</v>
      </c>
      <c r="E4149" t="n">
        <v>12044.44</v>
      </c>
      <c r="F4149" t="n">
        <v>32483.75</v>
      </c>
    </row>
    <row r="4150">
      <c r="A4150" s="3" t="n">
        <v>44552</v>
      </c>
      <c r="B4150" t="n">
        <v>32866.19</v>
      </c>
      <c r="C4150" t="n">
        <v>11534.91</v>
      </c>
      <c r="D4150" t="n">
        <v>5843.55</v>
      </c>
      <c r="E4150" t="n">
        <v>12109.77</v>
      </c>
      <c r="F4150" t="n">
        <v>33027.5</v>
      </c>
    </row>
    <row r="4151">
      <c r="A4151" s="3" t="n">
        <v>44553</v>
      </c>
      <c r="B4151" t="n">
        <v>33185.01</v>
      </c>
      <c r="C4151" t="n">
        <v>11638.52</v>
      </c>
      <c r="D4151" t="n">
        <v>5911.37</v>
      </c>
      <c r="E4151" t="n">
        <v>12210.23</v>
      </c>
      <c r="F4151" t="n">
        <v>33376.35</v>
      </c>
    </row>
    <row r="4152">
      <c r="A4152" s="3" t="n">
        <v>44554</v>
      </c>
      <c r="B4152" t="n">
        <v>32897.9</v>
      </c>
      <c r="C4152" t="n">
        <v>11632.03</v>
      </c>
      <c r="D4152" t="n">
        <v>5820.49</v>
      </c>
      <c r="E4152" t="n">
        <v>12147.08</v>
      </c>
      <c r="F4152" t="n">
        <v>33255.2</v>
      </c>
    </row>
    <row r="4153">
      <c r="A4153" s="3" t="n">
        <v>44557</v>
      </c>
      <c r="B4153" t="n">
        <v>33027.29</v>
      </c>
      <c r="C4153" t="n">
        <v>11655.59</v>
      </c>
      <c r="D4153" t="n">
        <v>5823.28</v>
      </c>
      <c r="E4153" t="n">
        <v>12170.27</v>
      </c>
      <c r="F4153" t="n">
        <v>33601.3</v>
      </c>
    </row>
    <row r="4154">
      <c r="A4154" s="3" t="n">
        <v>44558</v>
      </c>
      <c r="B4154" t="n">
        <v>33389.05</v>
      </c>
      <c r="C4154" t="n">
        <v>11793.83</v>
      </c>
      <c r="D4154" t="n">
        <v>5917.75</v>
      </c>
      <c r="E4154" t="n">
        <v>12306.09</v>
      </c>
      <c r="F4154" t="n">
        <v>34029.1</v>
      </c>
    </row>
    <row r="4155">
      <c r="A4155" s="3" t="n">
        <v>44559</v>
      </c>
      <c r="B4155" t="n">
        <v>33312.64</v>
      </c>
      <c r="C4155" t="n">
        <v>11821.57</v>
      </c>
      <c r="D4155" t="n">
        <v>5888.23</v>
      </c>
      <c r="E4155" t="n">
        <v>12329.51</v>
      </c>
      <c r="F4155" t="n">
        <v>34118.2</v>
      </c>
    </row>
    <row r="4156">
      <c r="A4156" s="3" t="n">
        <v>44560</v>
      </c>
      <c r="B4156" t="n">
        <v>33342.27</v>
      </c>
      <c r="C4156" t="n">
        <v>11858.3</v>
      </c>
      <c r="D4156" t="n">
        <v>5860.84</v>
      </c>
      <c r="E4156" t="n">
        <v>12360.13</v>
      </c>
      <c r="F4156" t="n">
        <v>34183.1</v>
      </c>
    </row>
    <row r="4157">
      <c r="A4157" s="3" t="n">
        <v>44561</v>
      </c>
      <c r="B4157" t="n">
        <v>33704.65</v>
      </c>
      <c r="C4157" t="n">
        <v>11985.63</v>
      </c>
      <c r="D4157" t="n">
        <v>5934.66</v>
      </c>
      <c r="E4157" t="n">
        <v>12495</v>
      </c>
      <c r="F4157" t="n">
        <v>34605.05</v>
      </c>
    </row>
    <row r="4158">
      <c r="A4158" s="3" t="n">
        <v>44564</v>
      </c>
      <c r="B4158" t="n">
        <v>34050.39</v>
      </c>
      <c r="C4158" t="n">
        <v>12103.06</v>
      </c>
      <c r="D4158" t="n">
        <v>6052.03</v>
      </c>
      <c r="E4158" t="n">
        <v>12548.18</v>
      </c>
      <c r="F4158" t="n">
        <v>34945.85</v>
      </c>
    </row>
    <row r="4159">
      <c r="A4159" s="3" t="n">
        <v>44565</v>
      </c>
      <c r="B4159" t="n">
        <v>34115.15</v>
      </c>
      <c r="C4159" t="n">
        <v>12127.37</v>
      </c>
      <c r="D4159" t="n">
        <v>6088.45</v>
      </c>
      <c r="E4159" t="n">
        <v>12581.66</v>
      </c>
      <c r="F4159" t="n">
        <v>35021.3</v>
      </c>
    </row>
    <row r="4160">
      <c r="A4160" s="3" t="n">
        <v>44566</v>
      </c>
      <c r="B4160" t="n">
        <v>33840.24</v>
      </c>
      <c r="C4160" t="n">
        <v>12128.9</v>
      </c>
      <c r="D4160" t="n">
        <v>6155.75</v>
      </c>
      <c r="E4160" t="n">
        <v>12612.38</v>
      </c>
      <c r="F4160" t="n">
        <v>34912.5</v>
      </c>
    </row>
    <row r="4161">
      <c r="A4161" s="3" t="n">
        <v>44567</v>
      </c>
      <c r="B4161" t="n">
        <v>33670.25</v>
      </c>
      <c r="C4161" t="n">
        <v>12091.85</v>
      </c>
      <c r="D4161" t="n">
        <v>6165.65</v>
      </c>
      <c r="E4161" t="n">
        <v>12551.82</v>
      </c>
      <c r="F4161" t="n">
        <v>34947.25</v>
      </c>
    </row>
    <row r="4162">
      <c r="A4162" s="3" t="n">
        <v>44568</v>
      </c>
      <c r="B4162" t="n">
        <v>33801.8</v>
      </c>
      <c r="C4162" t="n">
        <v>12151.91</v>
      </c>
      <c r="D4162" t="n">
        <v>6227.51</v>
      </c>
      <c r="E4162" t="n">
        <v>12627.43</v>
      </c>
      <c r="F4162" t="n">
        <v>35148.6</v>
      </c>
    </row>
    <row r="4163">
      <c r="A4163" s="3" t="n">
        <v>44571</v>
      </c>
      <c r="B4163" t="n">
        <v>33889.18</v>
      </c>
      <c r="C4163" t="n">
        <v>12214.77</v>
      </c>
      <c r="D4163" t="n">
        <v>6308.17</v>
      </c>
      <c r="E4163" t="n">
        <v>12701.43</v>
      </c>
      <c r="F4163" t="n">
        <v>35391.15</v>
      </c>
    </row>
    <row r="4164">
      <c r="A4164" s="3" t="n">
        <v>44572</v>
      </c>
      <c r="B4164" t="n">
        <v>33902.23</v>
      </c>
      <c r="C4164" t="n">
        <v>12245.7</v>
      </c>
      <c r="D4164" t="n">
        <v>6260.28</v>
      </c>
      <c r="E4164" t="n">
        <v>12705.56</v>
      </c>
      <c r="F4164" t="n">
        <v>35302.55</v>
      </c>
    </row>
    <row r="4165">
      <c r="A4165" s="3" t="n">
        <v>44573</v>
      </c>
      <c r="B4165" t="n">
        <v>33962.78</v>
      </c>
      <c r="C4165" t="n">
        <v>12302.78</v>
      </c>
      <c r="D4165" t="n">
        <v>6324.39</v>
      </c>
      <c r="E4165" t="n">
        <v>12762.94</v>
      </c>
      <c r="F4165" t="n">
        <v>35551.15</v>
      </c>
    </row>
    <row r="4166">
      <c r="A4166" s="3" t="n">
        <v>44574</v>
      </c>
      <c r="B4166" t="n">
        <v>34137.87</v>
      </c>
      <c r="C4166" t="n">
        <v>12372.39</v>
      </c>
      <c r="D4166" t="n">
        <v>6406.04</v>
      </c>
      <c r="E4166" t="n">
        <v>12800.87</v>
      </c>
      <c r="F4166" t="n">
        <v>35966.1</v>
      </c>
    </row>
    <row r="4167">
      <c r="A4167" s="3" t="n">
        <v>44575</v>
      </c>
      <c r="B4167" t="n">
        <v>34027.78</v>
      </c>
      <c r="C4167" t="n">
        <v>12306.62</v>
      </c>
      <c r="D4167" t="n">
        <v>6405.2</v>
      </c>
      <c r="E4167" t="n">
        <v>12806.44</v>
      </c>
      <c r="F4167" t="n">
        <v>35989.85</v>
      </c>
    </row>
    <row r="4168">
      <c r="A4168" s="3" t="n">
        <v>44578</v>
      </c>
      <c r="B4168" t="n">
        <v>34199.84</v>
      </c>
      <c r="C4168" t="n">
        <v>12290.1</v>
      </c>
      <c r="D4168" t="n">
        <v>6445.89</v>
      </c>
      <c r="E4168" t="n">
        <v>12849.85</v>
      </c>
      <c r="F4168" t="n">
        <v>36180.65</v>
      </c>
    </row>
    <row r="4169">
      <c r="A4169" s="3" t="n">
        <v>44579</v>
      </c>
      <c r="B4169" t="n">
        <v>33381.39</v>
      </c>
      <c r="C4169" t="n">
        <v>12069.91</v>
      </c>
      <c r="D4169" t="n">
        <v>6332.27</v>
      </c>
      <c r="E4169" t="n">
        <v>12626.54</v>
      </c>
      <c r="F4169" t="n">
        <v>35416.25</v>
      </c>
    </row>
    <row r="4170">
      <c r="A4170" s="3" t="n">
        <v>44580</v>
      </c>
      <c r="B4170" t="n">
        <v>33382.66</v>
      </c>
      <c r="C4170" t="n">
        <v>12061.11</v>
      </c>
      <c r="D4170" t="n">
        <v>6378.52</v>
      </c>
      <c r="E4170" t="n">
        <v>12550.64</v>
      </c>
      <c r="F4170" t="n">
        <v>35470.05</v>
      </c>
    </row>
    <row r="4171">
      <c r="A4171" s="3" t="n">
        <v>44581</v>
      </c>
      <c r="B4171" t="n">
        <v>33385.71</v>
      </c>
      <c r="C4171" t="n">
        <v>12009.9</v>
      </c>
      <c r="D4171" t="n">
        <v>6380.81</v>
      </c>
      <c r="E4171" t="n">
        <v>12466.26</v>
      </c>
      <c r="F4171" t="n">
        <v>35675.05</v>
      </c>
    </row>
    <row r="4172">
      <c r="A4172" s="3" t="n">
        <v>44582</v>
      </c>
      <c r="B4172" t="n">
        <v>32566.38</v>
      </c>
      <c r="C4172" t="n">
        <v>11810.91</v>
      </c>
      <c r="D4172" t="n">
        <v>6237.12</v>
      </c>
      <c r="E4172" t="n">
        <v>12373.58</v>
      </c>
      <c r="F4172" t="n">
        <v>34964.9</v>
      </c>
    </row>
    <row r="4173">
      <c r="A4173" s="3" t="n">
        <v>44585</v>
      </c>
      <c r="B4173" t="n">
        <v>31006.75</v>
      </c>
      <c r="C4173" t="n">
        <v>11428.01</v>
      </c>
      <c r="D4173" t="n">
        <v>6061.73</v>
      </c>
      <c r="E4173" t="n">
        <v>12080.07</v>
      </c>
      <c r="F4173" t="n">
        <v>33319.9</v>
      </c>
    </row>
    <row r="4174">
      <c r="A4174" s="3" t="n">
        <v>44586</v>
      </c>
      <c r="B4174" t="n">
        <v>31303.17</v>
      </c>
      <c r="C4174" t="n">
        <v>11494.57</v>
      </c>
      <c r="D4174" t="n">
        <v>6173.26</v>
      </c>
      <c r="E4174" t="n">
        <v>12206.89</v>
      </c>
      <c r="F4174" t="n">
        <v>33609.75</v>
      </c>
    </row>
    <row r="4175">
      <c r="A4175" s="3" t="n">
        <v>44588</v>
      </c>
      <c r="B4175" t="n">
        <v>30590.19</v>
      </c>
      <c r="C4175" t="n">
        <v>11264.1</v>
      </c>
      <c r="D4175" t="n">
        <v>6196.64</v>
      </c>
      <c r="E4175" t="n">
        <v>12049.46</v>
      </c>
      <c r="F4175" t="n">
        <v>32965.8</v>
      </c>
    </row>
    <row r="4176">
      <c r="A4176" s="3" t="n">
        <v>44589</v>
      </c>
      <c r="B4176" t="n">
        <v>31073.29</v>
      </c>
      <c r="C4176" t="n">
        <v>11394.82</v>
      </c>
      <c r="D4176" t="n">
        <v>6245.92</v>
      </c>
      <c r="E4176" t="n">
        <v>12115.37</v>
      </c>
      <c r="F4176" t="n">
        <v>33330.45</v>
      </c>
    </row>
    <row r="4177">
      <c r="A4177" s="3" t="n">
        <v>44592</v>
      </c>
      <c r="B4177" t="n">
        <v>31822.68</v>
      </c>
      <c r="C4177" t="n">
        <v>11554.62</v>
      </c>
      <c r="D4177" t="n">
        <v>6329.11</v>
      </c>
      <c r="E4177" t="n">
        <v>12263.38</v>
      </c>
      <c r="F4177" t="n">
        <v>33759.45</v>
      </c>
    </row>
    <row r="4178">
      <c r="A4178" s="3" t="n">
        <v>44593</v>
      </c>
      <c r="B4178" t="n">
        <v>31922.83</v>
      </c>
      <c r="C4178" t="n">
        <v>11702.53</v>
      </c>
      <c r="D4178" t="n">
        <v>6370.59</v>
      </c>
      <c r="E4178" t="n">
        <v>12410.89</v>
      </c>
      <c r="F4178" t="n">
        <v>34023.1</v>
      </c>
    </row>
    <row r="4179">
      <c r="A4179" s="3" t="n">
        <v>44594</v>
      </c>
      <c r="B4179" t="n">
        <v>32336.33</v>
      </c>
      <c r="C4179" t="n">
        <v>11913.84</v>
      </c>
      <c r="D4179" t="n">
        <v>6442.53</v>
      </c>
      <c r="E4179" t="n">
        <v>12533.41</v>
      </c>
      <c r="F4179" t="n">
        <v>34465.6</v>
      </c>
    </row>
    <row r="4180">
      <c r="A4180" s="3" t="n">
        <v>44595</v>
      </c>
      <c r="B4180" t="n">
        <v>31830.01</v>
      </c>
      <c r="C4180" t="n">
        <v>11828.62</v>
      </c>
      <c r="D4180" t="n">
        <v>6393.2</v>
      </c>
      <c r="E4180" t="n">
        <v>12477.42</v>
      </c>
      <c r="F4180" t="n">
        <v>34139.35</v>
      </c>
    </row>
    <row r="4181">
      <c r="A4181" s="3" t="n">
        <v>44596</v>
      </c>
      <c r="B4181" t="n">
        <v>31690.41</v>
      </c>
      <c r="C4181" t="n">
        <v>11791.9</v>
      </c>
      <c r="D4181" t="n">
        <v>6377.31</v>
      </c>
      <c r="E4181" t="n">
        <v>12427.13</v>
      </c>
      <c r="F4181" t="n">
        <v>34081.15</v>
      </c>
    </row>
    <row r="4182">
      <c r="A4182" s="3" t="n">
        <v>44599</v>
      </c>
      <c r="B4182" t="n">
        <v>31240.38</v>
      </c>
      <c r="C4182" t="n">
        <v>11655.15</v>
      </c>
      <c r="D4182" t="n">
        <v>6390.7</v>
      </c>
      <c r="E4182" t="n">
        <v>12257.14</v>
      </c>
      <c r="F4182" t="n">
        <v>33683</v>
      </c>
    </row>
    <row r="4183">
      <c r="A4183" s="3" t="n">
        <v>44600</v>
      </c>
      <c r="B4183" t="n">
        <v>30912.9</v>
      </c>
      <c r="C4183" t="n">
        <v>11620.95</v>
      </c>
      <c r="D4183" t="n">
        <v>6385.22</v>
      </c>
      <c r="E4183" t="n">
        <v>12257.13</v>
      </c>
      <c r="F4183" t="n">
        <v>33225.35</v>
      </c>
    </row>
    <row r="4184">
      <c r="A4184" s="3" t="n">
        <v>44601</v>
      </c>
      <c r="B4184" t="n">
        <v>31391.82</v>
      </c>
      <c r="C4184" t="n">
        <v>11760.11</v>
      </c>
      <c r="D4184" t="n">
        <v>6445.48</v>
      </c>
      <c r="E4184" t="n">
        <v>12383.98</v>
      </c>
      <c r="F4184" t="n">
        <v>33618.25</v>
      </c>
    </row>
    <row r="4185">
      <c r="A4185" s="3" t="n">
        <v>44602</v>
      </c>
      <c r="B4185" t="n">
        <v>31688.1</v>
      </c>
      <c r="C4185" t="n">
        <v>11769.21</v>
      </c>
      <c r="D4185" t="n">
        <v>6495.78</v>
      </c>
      <c r="E4185" t="n">
        <v>12407.88</v>
      </c>
      <c r="F4185" t="n">
        <v>34005.9</v>
      </c>
    </row>
    <row r="4186">
      <c r="A4186" s="3" t="n">
        <v>44603</v>
      </c>
      <c r="B4186" t="n">
        <v>30881.47</v>
      </c>
      <c r="C4186" t="n">
        <v>11569.19</v>
      </c>
      <c r="D4186" t="n">
        <v>6449.94</v>
      </c>
      <c r="E4186" t="n">
        <v>12264.37</v>
      </c>
      <c r="F4186" t="n">
        <v>33311.9</v>
      </c>
    </row>
    <row r="4187">
      <c r="A4187" s="3" t="n">
        <v>44606</v>
      </c>
      <c r="B4187" t="n">
        <v>29735.22</v>
      </c>
      <c r="C4187" t="n">
        <v>11207.42</v>
      </c>
      <c r="D4187" t="n">
        <v>6190.67</v>
      </c>
      <c r="E4187" t="n">
        <v>11907.83</v>
      </c>
      <c r="F4187" t="n">
        <v>31848.05</v>
      </c>
    </row>
    <row r="4188">
      <c r="A4188" s="3" t="n">
        <v>44607</v>
      </c>
      <c r="B4188" t="n">
        <v>30868.47</v>
      </c>
      <c r="C4188" t="n">
        <v>11446.97</v>
      </c>
      <c r="D4188" t="n">
        <v>6300.74</v>
      </c>
      <c r="E4188" t="n">
        <v>12151.3</v>
      </c>
      <c r="F4188" t="n">
        <v>32782.95</v>
      </c>
    </row>
    <row r="4189">
      <c r="A4189" s="3" t="n">
        <v>44608</v>
      </c>
      <c r="B4189" t="n">
        <v>30764.78</v>
      </c>
      <c r="C4189" t="n">
        <v>11431.7</v>
      </c>
      <c r="D4189" t="n">
        <v>6309.68</v>
      </c>
      <c r="E4189" t="n">
        <v>12162.67</v>
      </c>
      <c r="F4189" t="n">
        <v>32776.4</v>
      </c>
    </row>
    <row r="4190">
      <c r="A4190" s="3" t="n">
        <v>44609</v>
      </c>
      <c r="B4190" t="n">
        <v>30605.76</v>
      </c>
      <c r="C4190" t="n">
        <v>11372.15</v>
      </c>
      <c r="D4190" t="n">
        <v>6279.32</v>
      </c>
      <c r="E4190" t="n">
        <v>12147.04</v>
      </c>
      <c r="F4190" t="n">
        <v>32685.7</v>
      </c>
    </row>
    <row r="4191">
      <c r="A4191" s="3" t="n">
        <v>44610</v>
      </c>
      <c r="B4191" t="n">
        <v>30375.8</v>
      </c>
      <c r="C4191" t="n">
        <v>11332.38</v>
      </c>
      <c r="D4191" t="n">
        <v>6250</v>
      </c>
      <c r="E4191" t="n">
        <v>12110.06</v>
      </c>
      <c r="F4191" t="n">
        <v>32318.45</v>
      </c>
    </row>
    <row r="4192">
      <c r="A4192" s="3" t="n">
        <v>44613</v>
      </c>
      <c r="B4192" t="n">
        <v>30118.37</v>
      </c>
      <c r="C4192" t="n">
        <v>11157.12</v>
      </c>
      <c r="D4192" t="n">
        <v>6143.49</v>
      </c>
      <c r="E4192" t="n">
        <v>12010.01</v>
      </c>
      <c r="F4192" t="n">
        <v>31783</v>
      </c>
    </row>
    <row r="4193">
      <c r="A4193" s="3" t="n">
        <v>44614</v>
      </c>
      <c r="B4193" t="n">
        <v>30045.17</v>
      </c>
      <c r="C4193" t="n">
        <v>11064.09</v>
      </c>
      <c r="D4193" t="n">
        <v>6084.07</v>
      </c>
      <c r="E4193" t="n">
        <v>11949.3</v>
      </c>
      <c r="F4193" t="n">
        <v>31569.9</v>
      </c>
    </row>
    <row r="4194">
      <c r="A4194" s="3" t="n">
        <v>44615</v>
      </c>
      <c r="B4194" t="n">
        <v>30155.8</v>
      </c>
      <c r="C4194" t="n">
        <v>11107.16</v>
      </c>
      <c r="D4194" t="n">
        <v>6087.39</v>
      </c>
      <c r="E4194" t="n">
        <v>11955.23</v>
      </c>
      <c r="F4194" t="n">
        <v>31898.1</v>
      </c>
    </row>
    <row r="4195">
      <c r="A4195" s="3" t="n">
        <v>44616</v>
      </c>
      <c r="B4195" t="n">
        <v>28296.25</v>
      </c>
      <c r="C4195" t="n">
        <v>10540.6</v>
      </c>
      <c r="D4195" t="n">
        <v>5736.2</v>
      </c>
      <c r="E4195" t="n">
        <v>11433.06</v>
      </c>
      <c r="F4195" t="n">
        <v>29935.85</v>
      </c>
    </row>
    <row r="4196">
      <c r="A4196" s="3" t="n">
        <v>44617</v>
      </c>
      <c r="B4196" t="n">
        <v>29648.82</v>
      </c>
      <c r="C4196" t="n">
        <v>10920.09</v>
      </c>
      <c r="D4196" t="n">
        <v>5938.01</v>
      </c>
      <c r="E4196" t="n">
        <v>11717.44</v>
      </c>
      <c r="F4196" t="n">
        <v>31421.65</v>
      </c>
    </row>
    <row r="4197">
      <c r="A4197" s="3" t="n">
        <v>44620</v>
      </c>
      <c r="B4197" t="n">
        <v>30024.71</v>
      </c>
      <c r="C4197" t="n">
        <v>11040.91</v>
      </c>
      <c r="D4197" t="n">
        <v>6099.13</v>
      </c>
      <c r="E4197" t="n">
        <v>11823.91</v>
      </c>
      <c r="F4197" t="n">
        <v>31885.3</v>
      </c>
    </row>
    <row r="4198">
      <c r="A4198" s="3" t="n">
        <v>44622</v>
      </c>
      <c r="B4198" t="n">
        <v>30065.29</v>
      </c>
      <c r="C4198" t="n">
        <v>11022.24</v>
      </c>
      <c r="D4198" t="n">
        <v>6170.87</v>
      </c>
      <c r="E4198" t="n">
        <v>11726.53</v>
      </c>
      <c r="F4198" t="n">
        <v>32108.2</v>
      </c>
    </row>
    <row r="4199">
      <c r="A4199" s="3" t="n">
        <v>44623</v>
      </c>
      <c r="B4199" t="n">
        <v>30257.87</v>
      </c>
      <c r="C4199" t="n">
        <v>11025.69</v>
      </c>
      <c r="D4199" t="n">
        <v>6255.31</v>
      </c>
      <c r="E4199" t="n">
        <v>11600.81</v>
      </c>
      <c r="F4199" t="n">
        <v>32456.9</v>
      </c>
    </row>
    <row r="4200">
      <c r="A4200" s="3" t="n">
        <v>44624</v>
      </c>
      <c r="B4200" t="n">
        <v>29731.23</v>
      </c>
      <c r="C4200" t="n">
        <v>10864.35</v>
      </c>
      <c r="D4200" t="n">
        <v>6151.2</v>
      </c>
      <c r="E4200" t="n">
        <v>11457.41</v>
      </c>
      <c r="F4200" t="n">
        <v>31958.75</v>
      </c>
    </row>
    <row r="4201">
      <c r="A4201" s="3" t="n">
        <v>44627</v>
      </c>
      <c r="B4201" t="n">
        <v>29115.1</v>
      </c>
      <c r="C4201" t="n">
        <v>10661.93</v>
      </c>
      <c r="D4201" t="n">
        <v>6183.78</v>
      </c>
      <c r="E4201" t="n">
        <v>11202.07</v>
      </c>
      <c r="F4201" t="n">
        <v>31363.05</v>
      </c>
    </row>
    <row r="4202">
      <c r="A4202" s="3" t="n">
        <v>44628</v>
      </c>
      <c r="B4202" t="n">
        <v>29730.07</v>
      </c>
      <c r="C4202" t="n">
        <v>10842.41</v>
      </c>
      <c r="D4202" t="n">
        <v>6186.24</v>
      </c>
      <c r="E4202" t="n">
        <v>11395.84</v>
      </c>
      <c r="F4202" t="n">
        <v>31715.15</v>
      </c>
    </row>
    <row r="4203">
      <c r="A4203" s="3" t="n">
        <v>44629</v>
      </c>
      <c r="B4203" t="n">
        <v>30298.75</v>
      </c>
      <c r="C4203" t="n">
        <v>11050.01</v>
      </c>
      <c r="D4203" t="n">
        <v>6185.4</v>
      </c>
      <c r="E4203" t="n">
        <v>11510.54</v>
      </c>
      <c r="F4203" t="n">
        <v>32280.8</v>
      </c>
    </row>
    <row r="4204">
      <c r="A4204" s="3" t="n">
        <v>44630</v>
      </c>
      <c r="B4204" t="n">
        <v>30582.78</v>
      </c>
      <c r="C4204" t="n">
        <v>11139.05</v>
      </c>
      <c r="D4204" t="n">
        <v>6240.58</v>
      </c>
      <c r="E4204" t="n">
        <v>11705.26</v>
      </c>
      <c r="F4204" t="n">
        <v>32955.2</v>
      </c>
    </row>
    <row r="4205">
      <c r="A4205" s="3" t="n">
        <v>44631</v>
      </c>
      <c r="B4205" t="n">
        <v>30702.63</v>
      </c>
      <c r="C4205" t="n">
        <v>11200.44</v>
      </c>
      <c r="D4205" t="n">
        <v>6310.43</v>
      </c>
      <c r="E4205" t="n">
        <v>11789.49</v>
      </c>
      <c r="F4205" t="n">
        <v>33122.25</v>
      </c>
    </row>
    <row r="4206">
      <c r="A4206" s="3" t="n">
        <v>44634</v>
      </c>
      <c r="B4206" t="n">
        <v>30800.26</v>
      </c>
      <c r="C4206" t="n">
        <v>11199.35</v>
      </c>
      <c r="D4206" t="n">
        <v>6279.4</v>
      </c>
      <c r="E4206" t="n">
        <v>11818.6</v>
      </c>
      <c r="F4206" t="n">
        <v>33420.15</v>
      </c>
    </row>
    <row r="4207">
      <c r="A4207" s="3" t="n">
        <v>44635</v>
      </c>
      <c r="B4207" t="n">
        <v>30343.93</v>
      </c>
      <c r="C4207" t="n">
        <v>11118.53</v>
      </c>
      <c r="D4207" t="n">
        <v>6125.9</v>
      </c>
      <c r="E4207" t="n">
        <v>11819.95</v>
      </c>
      <c r="F4207" t="n">
        <v>32981.7</v>
      </c>
    </row>
    <row r="4208">
      <c r="A4208" s="3" t="n">
        <v>44636</v>
      </c>
      <c r="B4208" t="n">
        <v>30799.55</v>
      </c>
      <c r="C4208" t="n">
        <v>11308.72</v>
      </c>
      <c r="D4208" t="n">
        <v>6249.63</v>
      </c>
      <c r="E4208" t="n">
        <v>12017.18</v>
      </c>
      <c r="F4208" t="n">
        <v>33510.25</v>
      </c>
    </row>
    <row r="4209">
      <c r="A4209" s="3" t="n">
        <v>44637</v>
      </c>
      <c r="B4209" t="n">
        <v>31147.5</v>
      </c>
      <c r="C4209" t="n">
        <v>11432.48</v>
      </c>
      <c r="D4209" t="n">
        <v>6307.16</v>
      </c>
      <c r="E4209" t="n">
        <v>12183.86</v>
      </c>
      <c r="F4209" t="n">
        <v>34007.15</v>
      </c>
    </row>
    <row r="4210">
      <c r="A4210" s="3" t="n">
        <v>44641</v>
      </c>
      <c r="B4210" t="n">
        <v>31028.97</v>
      </c>
      <c r="C4210" t="n">
        <v>11372</v>
      </c>
      <c r="D4210" t="n">
        <v>6290.56</v>
      </c>
      <c r="E4210" t="n">
        <v>11991.51</v>
      </c>
      <c r="F4210" t="n">
        <v>34083.9</v>
      </c>
    </row>
    <row r="4211">
      <c r="A4211" s="3" t="n">
        <v>44642</v>
      </c>
      <c r="B4211" t="n">
        <v>31316.97</v>
      </c>
      <c r="C4211" t="n">
        <v>11369.14</v>
      </c>
      <c r="D4211" t="n">
        <v>6345.21</v>
      </c>
      <c r="E4211" t="n">
        <v>11988.36</v>
      </c>
      <c r="F4211" t="n">
        <v>34237.6</v>
      </c>
    </row>
    <row r="4212">
      <c r="A4212" s="3" t="n">
        <v>44643</v>
      </c>
      <c r="B4212" t="n">
        <v>31381.8</v>
      </c>
      <c r="C4212" t="n">
        <v>11387.79</v>
      </c>
      <c r="D4212" t="n">
        <v>6375.35</v>
      </c>
      <c r="E4212" t="n">
        <v>11970.62</v>
      </c>
      <c r="F4212" t="n">
        <v>34409.85</v>
      </c>
    </row>
    <row r="4213">
      <c r="A4213" s="3" t="n">
        <v>44644</v>
      </c>
      <c r="B4213" t="n">
        <v>31687.19</v>
      </c>
      <c r="C4213" t="n">
        <v>11425.39</v>
      </c>
      <c r="D4213" t="n">
        <v>6414.88</v>
      </c>
      <c r="E4213" t="n">
        <v>11982.1</v>
      </c>
      <c r="F4213" t="n">
        <v>34713.2</v>
      </c>
    </row>
    <row r="4214">
      <c r="A4214" s="3" t="n">
        <v>44645</v>
      </c>
      <c r="B4214" t="n">
        <v>31769.51</v>
      </c>
      <c r="C4214" t="n">
        <v>11365.91</v>
      </c>
      <c r="D4214" t="n">
        <v>6373.4</v>
      </c>
      <c r="E4214" t="n">
        <v>11912.16</v>
      </c>
      <c r="F4214" t="n">
        <v>34715.1</v>
      </c>
    </row>
    <row r="4215">
      <c r="A4215" s="3" t="n">
        <v>44648</v>
      </c>
      <c r="B4215" t="n">
        <v>31834.39</v>
      </c>
      <c r="C4215" t="n">
        <v>11346.99</v>
      </c>
      <c r="D4215" t="n">
        <v>6407.31</v>
      </c>
      <c r="E4215" t="n">
        <v>11874.05</v>
      </c>
      <c r="F4215" t="n">
        <v>34637.4</v>
      </c>
    </row>
    <row r="4216">
      <c r="A4216" s="3" t="n">
        <v>44649</v>
      </c>
      <c r="B4216" t="n">
        <v>31863.71</v>
      </c>
      <c r="C4216" t="n">
        <v>11335.77</v>
      </c>
      <c r="D4216" t="n">
        <v>6371.39</v>
      </c>
      <c r="E4216" t="n">
        <v>11930.54</v>
      </c>
      <c r="F4216" t="n">
        <v>34690.35</v>
      </c>
    </row>
    <row r="4217">
      <c r="A4217" s="3" t="n">
        <v>44650</v>
      </c>
      <c r="B4217" t="n">
        <v>32383.08</v>
      </c>
      <c r="C4217" t="n">
        <v>11442.58</v>
      </c>
      <c r="D4217" t="n">
        <v>6330.87</v>
      </c>
      <c r="E4217" t="n">
        <v>12062.18</v>
      </c>
      <c r="F4217" t="n">
        <v>35108.45</v>
      </c>
    </row>
    <row r="4218">
      <c r="A4218" s="3" t="n">
        <v>44651</v>
      </c>
      <c r="B4218" t="n">
        <v>32220.42</v>
      </c>
      <c r="C4218" t="n">
        <v>11469.09</v>
      </c>
      <c r="D4218" t="n">
        <v>6340.31</v>
      </c>
      <c r="E4218" t="n">
        <v>12071.45</v>
      </c>
      <c r="F4218" t="n">
        <v>35463.05</v>
      </c>
    </row>
    <row r="4219">
      <c r="A4219" s="3" t="n">
        <v>44652</v>
      </c>
      <c r="B4219" t="n">
        <v>32515.42</v>
      </c>
      <c r="C4219" t="n">
        <v>11592.66</v>
      </c>
      <c r="D4219" t="n">
        <v>6498.19</v>
      </c>
      <c r="E4219" t="n">
        <v>12201.96</v>
      </c>
      <c r="F4219" t="n">
        <v>35995.2</v>
      </c>
    </row>
    <row r="4220">
      <c r="A4220" s="3" t="n">
        <v>44655</v>
      </c>
      <c r="B4220" t="n">
        <v>32934.45</v>
      </c>
      <c r="C4220" t="n">
        <v>11782.52</v>
      </c>
      <c r="D4220" t="n">
        <v>6589.7</v>
      </c>
      <c r="E4220" t="n">
        <v>12351.7</v>
      </c>
      <c r="F4220" t="n">
        <v>36593.55</v>
      </c>
    </row>
    <row r="4221">
      <c r="A4221" s="3" t="n">
        <v>44656</v>
      </c>
      <c r="B4221" t="n">
        <v>33311.5</v>
      </c>
      <c r="C4221" t="n">
        <v>11918.71</v>
      </c>
      <c r="D4221" t="n">
        <v>6638.69</v>
      </c>
      <c r="E4221" t="n">
        <v>12454.1</v>
      </c>
      <c r="F4221" t="n">
        <v>37078.25</v>
      </c>
    </row>
    <row r="4222">
      <c r="A4222" s="3" t="n">
        <v>44657</v>
      </c>
      <c r="B4222" t="n">
        <v>33212.63</v>
      </c>
      <c r="C4222" t="n">
        <v>11910.53</v>
      </c>
      <c r="D4222" t="n">
        <v>6725.87</v>
      </c>
      <c r="E4222" t="n">
        <v>12418.5</v>
      </c>
      <c r="F4222" t="n">
        <v>37451.8</v>
      </c>
    </row>
    <row r="4223">
      <c r="A4223" s="3" t="n">
        <v>44658</v>
      </c>
      <c r="B4223" t="n">
        <v>32732.99</v>
      </c>
      <c r="C4223" t="n">
        <v>11848.2</v>
      </c>
      <c r="D4223" t="n">
        <v>6658.42</v>
      </c>
      <c r="E4223" t="n">
        <v>12398.34</v>
      </c>
      <c r="F4223" t="n">
        <v>37060</v>
      </c>
    </row>
    <row r="4224">
      <c r="A4224" s="3" t="n">
        <v>44659</v>
      </c>
      <c r="B4224" t="n">
        <v>32952.47</v>
      </c>
      <c r="C4224" t="n">
        <v>11951.27</v>
      </c>
      <c r="D4224" t="n">
        <v>6756.48</v>
      </c>
      <c r="E4224" t="n">
        <v>12518.08</v>
      </c>
      <c r="F4224" t="n">
        <v>37268.35</v>
      </c>
    </row>
    <row r="4225">
      <c r="A4225" s="3" t="n">
        <v>44662</v>
      </c>
      <c r="B4225" t="n">
        <v>32840.88</v>
      </c>
      <c r="C4225" t="n">
        <v>11930.43</v>
      </c>
      <c r="D4225" t="n">
        <v>6784.34</v>
      </c>
      <c r="E4225" t="n">
        <v>12504.81</v>
      </c>
      <c r="F4225" t="n">
        <v>37422.2</v>
      </c>
    </row>
    <row r="4226">
      <c r="A4226" s="3" t="n">
        <v>44663</v>
      </c>
      <c r="B4226" t="n">
        <v>32132.37</v>
      </c>
      <c r="C4226" t="n">
        <v>11742.95</v>
      </c>
      <c r="D4226" t="n">
        <v>6635.21</v>
      </c>
      <c r="E4226" t="n">
        <v>12404.78</v>
      </c>
      <c r="F4226" t="n">
        <v>36605.3</v>
      </c>
    </row>
    <row r="4227">
      <c r="A4227" s="3" t="n">
        <v>44664</v>
      </c>
      <c r="B4227" t="n">
        <v>32088.83</v>
      </c>
      <c r="C4227" t="n">
        <v>11773.67</v>
      </c>
      <c r="D4227" t="n">
        <v>6679.57</v>
      </c>
      <c r="E4227" t="n">
        <v>12409.06</v>
      </c>
      <c r="F4227" t="n">
        <v>36352.15</v>
      </c>
    </row>
    <row r="4228">
      <c r="A4228" s="3" t="n">
        <v>44669</v>
      </c>
      <c r="B4228" t="n">
        <v>31317.07</v>
      </c>
      <c r="C4228" t="n">
        <v>11666.61</v>
      </c>
      <c r="D4228" t="n">
        <v>6684.01</v>
      </c>
      <c r="E4228" t="n">
        <v>12428.77</v>
      </c>
      <c r="F4228" t="n">
        <v>35680.9</v>
      </c>
    </row>
    <row r="4229">
      <c r="A4229" s="3" t="n">
        <v>44670</v>
      </c>
      <c r="B4229" t="n">
        <v>30738.35</v>
      </c>
      <c r="C4229" t="n">
        <v>11477.77</v>
      </c>
      <c r="D4229" t="n">
        <v>6674.91</v>
      </c>
      <c r="E4229" t="n">
        <v>12171.18</v>
      </c>
      <c r="F4229" t="n">
        <v>34994.5</v>
      </c>
    </row>
    <row r="4230">
      <c r="A4230" s="3" t="n">
        <v>44671</v>
      </c>
      <c r="B4230" t="n">
        <v>30782.5</v>
      </c>
      <c r="C4230" t="n">
        <v>11531.34</v>
      </c>
      <c r="D4230" t="n">
        <v>6687.52</v>
      </c>
      <c r="E4230" t="n">
        <v>12309.48</v>
      </c>
      <c r="F4230" t="n">
        <v>35083.9</v>
      </c>
    </row>
    <row r="4231">
      <c r="A4231" s="3" t="n">
        <v>44672</v>
      </c>
      <c r="B4231" t="n">
        <v>31263.96</v>
      </c>
      <c r="C4231" t="n">
        <v>11684.33</v>
      </c>
      <c r="D4231" t="n">
        <v>6741.12</v>
      </c>
      <c r="E4231" t="n">
        <v>12455.8</v>
      </c>
      <c r="F4231" t="n">
        <v>35782.8</v>
      </c>
    </row>
    <row r="4232">
      <c r="A4232" s="3" t="n">
        <v>44673</v>
      </c>
      <c r="B4232" t="n">
        <v>31108.58</v>
      </c>
      <c r="C4232" t="n">
        <v>11672.51</v>
      </c>
      <c r="D4232" t="n">
        <v>6656.76</v>
      </c>
      <c r="E4232" t="n">
        <v>12357.22</v>
      </c>
      <c r="F4232" t="n">
        <v>35315.4</v>
      </c>
    </row>
    <row r="4233">
      <c r="A4233" s="3" t="n">
        <v>44676</v>
      </c>
      <c r="B4233" t="n">
        <v>30423.35</v>
      </c>
      <c r="C4233" t="n">
        <v>11446.55</v>
      </c>
      <c r="D4233" t="n">
        <v>6448.04</v>
      </c>
      <c r="E4233" t="n">
        <v>12175.99</v>
      </c>
      <c r="F4233" t="n">
        <v>34318.15</v>
      </c>
    </row>
    <row r="4234">
      <c r="A4234" s="3" t="n">
        <v>44677</v>
      </c>
      <c r="B4234" t="n">
        <v>30719.32</v>
      </c>
      <c r="C4234" t="n">
        <v>11578.26</v>
      </c>
      <c r="D4234" t="n">
        <v>6527.55</v>
      </c>
      <c r="E4234" t="n">
        <v>12388.86</v>
      </c>
      <c r="F4234" t="n">
        <v>34687.6</v>
      </c>
    </row>
    <row r="4235">
      <c r="A4235" s="3" t="n">
        <v>44678</v>
      </c>
      <c r="B4235" t="n">
        <v>30435.58</v>
      </c>
      <c r="C4235" t="n">
        <v>11501.5</v>
      </c>
      <c r="D4235" t="n">
        <v>6466.73</v>
      </c>
      <c r="E4235" t="n">
        <v>12321.99</v>
      </c>
      <c r="F4235" t="n">
        <v>34368.75</v>
      </c>
    </row>
    <row r="4236">
      <c r="A4236" s="3" t="n">
        <v>44679</v>
      </c>
      <c r="B4236" t="n">
        <v>30686.7</v>
      </c>
      <c r="C4236" t="n">
        <v>11594.98</v>
      </c>
      <c r="D4236" t="n">
        <v>6523.47</v>
      </c>
      <c r="E4236" t="n">
        <v>12482.22</v>
      </c>
      <c r="F4236" t="n">
        <v>34510.5</v>
      </c>
    </row>
    <row r="4237">
      <c r="A4237" s="3" t="n">
        <v>44680</v>
      </c>
      <c r="B4237" t="n">
        <v>30405.65</v>
      </c>
      <c r="C4237" t="n">
        <v>11459.18</v>
      </c>
      <c r="D4237" t="n">
        <v>6420.4</v>
      </c>
      <c r="E4237" t="n">
        <v>12358.77</v>
      </c>
      <c r="F4237" t="n">
        <v>34333.15</v>
      </c>
    </row>
    <row r="4238">
      <c r="A4238" s="3" t="n">
        <v>44683</v>
      </c>
      <c r="B4238" t="n">
        <v>30042.51</v>
      </c>
      <c r="C4238" t="n">
        <v>11442.19</v>
      </c>
      <c r="D4238" t="n">
        <v>6429.98</v>
      </c>
      <c r="E4238" t="n">
        <v>12336.25</v>
      </c>
      <c r="F4238" t="n">
        <v>33491.75</v>
      </c>
    </row>
    <row r="4239">
      <c r="A4239" s="3" t="n">
        <v>44685</v>
      </c>
      <c r="B4239" t="n">
        <v>29423.61</v>
      </c>
      <c r="C4239" t="n">
        <v>11234.29</v>
      </c>
      <c r="D4239" t="n">
        <v>6352.68</v>
      </c>
      <c r="E4239" t="n">
        <v>12113.64</v>
      </c>
      <c r="F4239" t="n">
        <v>32528</v>
      </c>
    </row>
    <row r="4240">
      <c r="A4240" s="3" t="n">
        <v>44686</v>
      </c>
      <c r="B4240" t="n">
        <v>29542.97</v>
      </c>
      <c r="C4240" t="n">
        <v>11197.15</v>
      </c>
      <c r="D4240" t="n">
        <v>6357.36</v>
      </c>
      <c r="E4240" t="n">
        <v>12063.76</v>
      </c>
      <c r="F4240" t="n">
        <v>32428.95</v>
      </c>
    </row>
    <row r="4241">
      <c r="A4241" s="3" t="n">
        <v>44687</v>
      </c>
      <c r="B4241" t="n">
        <v>28851.73</v>
      </c>
      <c r="C4241" t="n">
        <v>11023.29</v>
      </c>
      <c r="D4241" t="n">
        <v>6311.03</v>
      </c>
      <c r="E4241" t="n">
        <v>11938.62</v>
      </c>
      <c r="F4241" t="n">
        <v>31866.4</v>
      </c>
    </row>
    <row r="4242">
      <c r="A4242" s="3" t="n">
        <v>44690</v>
      </c>
      <c r="B4242" t="n">
        <v>28296.42</v>
      </c>
      <c r="C4242" t="n">
        <v>10867.28</v>
      </c>
      <c r="D4242" t="n">
        <v>6244.05</v>
      </c>
      <c r="E4242" t="n">
        <v>11886.74</v>
      </c>
      <c r="F4242" t="n">
        <v>31135.35</v>
      </c>
    </row>
    <row r="4243">
      <c r="A4243" s="3" t="n">
        <v>44691</v>
      </c>
      <c r="B4243" t="n">
        <v>27601.94</v>
      </c>
      <c r="C4243" t="n">
        <v>10695.44</v>
      </c>
      <c r="D4243" t="n">
        <v>6077.59</v>
      </c>
      <c r="E4243" t="n">
        <v>11838.19</v>
      </c>
      <c r="F4243" t="n">
        <v>30359.5</v>
      </c>
    </row>
    <row r="4244">
      <c r="A4244" s="3" t="n">
        <v>44692</v>
      </c>
      <c r="B4244" t="n">
        <v>27272.28</v>
      </c>
      <c r="C4244" t="n">
        <v>10668.29</v>
      </c>
      <c r="D4244" t="n">
        <v>6009.86</v>
      </c>
      <c r="E4244" t="n">
        <v>11780.88</v>
      </c>
      <c r="F4244" t="n">
        <v>29484.2</v>
      </c>
    </row>
    <row r="4245">
      <c r="A4245" s="3" t="n">
        <v>44693</v>
      </c>
      <c r="B4245" t="n">
        <v>26661.19</v>
      </c>
      <c r="C4245" t="n">
        <v>10540.63</v>
      </c>
      <c r="D4245" t="n">
        <v>5883.02</v>
      </c>
      <c r="E4245" t="n">
        <v>11610.11</v>
      </c>
      <c r="F4245" t="n">
        <v>28655.65</v>
      </c>
    </row>
    <row r="4246">
      <c r="A4246" s="3" t="n">
        <v>44694</v>
      </c>
      <c r="B4246" t="n">
        <v>27022.3</v>
      </c>
      <c r="C4246" t="n">
        <v>10680.51</v>
      </c>
      <c r="D4246" t="n">
        <v>5819.29</v>
      </c>
      <c r="E4246" t="n">
        <v>11663.59</v>
      </c>
      <c r="F4246" t="n">
        <v>28931.75</v>
      </c>
    </row>
    <row r="4247">
      <c r="A4247" s="3" t="n">
        <v>44697</v>
      </c>
      <c r="B4247" t="n">
        <v>27434.2</v>
      </c>
      <c r="C4247" t="n">
        <v>10697.68</v>
      </c>
      <c r="D4247" t="n">
        <v>5867.45</v>
      </c>
      <c r="E4247" t="n">
        <v>11652.41</v>
      </c>
      <c r="F4247" t="n">
        <v>29340.1</v>
      </c>
    </row>
    <row r="4248">
      <c r="A4248" s="3" t="n">
        <v>44698</v>
      </c>
      <c r="B4248" t="n">
        <v>28302.44</v>
      </c>
      <c r="C4248" t="n">
        <v>10955</v>
      </c>
      <c r="D4248" t="n">
        <v>6095.27</v>
      </c>
      <c r="E4248" t="n">
        <v>11867.18</v>
      </c>
      <c r="F4248" t="n">
        <v>30569.1</v>
      </c>
    </row>
    <row r="4249">
      <c r="A4249" s="3" t="n">
        <v>44699</v>
      </c>
      <c r="B4249" t="n">
        <v>28232</v>
      </c>
      <c r="C4249" t="n">
        <v>11008.95</v>
      </c>
      <c r="D4249" t="n">
        <v>6039.07</v>
      </c>
      <c r="E4249" t="n">
        <v>11921.26</v>
      </c>
      <c r="F4249" t="n">
        <v>30699.2</v>
      </c>
    </row>
    <row r="4250">
      <c r="A4250" s="3" t="n">
        <v>44700</v>
      </c>
      <c r="B4250" t="n">
        <v>27326.66</v>
      </c>
      <c r="C4250" t="n">
        <v>10768.61</v>
      </c>
      <c r="D4250" t="n">
        <v>5932.27</v>
      </c>
      <c r="E4250" t="n">
        <v>11695.05</v>
      </c>
      <c r="F4250" t="n">
        <v>29591.65</v>
      </c>
    </row>
    <row r="4251">
      <c r="A4251" s="3" t="n">
        <v>44701</v>
      </c>
      <c r="B4251" t="n">
        <v>27833.09</v>
      </c>
      <c r="C4251" t="n">
        <v>10971.13</v>
      </c>
      <c r="D4251" t="n">
        <v>6054.35</v>
      </c>
      <c r="E4251" t="n">
        <v>11948.52</v>
      </c>
      <c r="F4251" t="n">
        <v>29946.8</v>
      </c>
    </row>
    <row r="4252">
      <c r="A4252" s="3" t="n">
        <v>44704</v>
      </c>
      <c r="B4252" t="n">
        <v>27796.32</v>
      </c>
      <c r="C4252" t="n">
        <v>10905.25</v>
      </c>
      <c r="D4252" t="n">
        <v>5920.97</v>
      </c>
      <c r="E4252" t="n">
        <v>11895.82</v>
      </c>
      <c r="F4252" t="n">
        <v>29743.8</v>
      </c>
    </row>
    <row r="4253">
      <c r="A4253" s="3" t="n">
        <v>44705</v>
      </c>
      <c r="B4253" t="n">
        <v>27472.65</v>
      </c>
      <c r="C4253" t="n">
        <v>10783.47</v>
      </c>
      <c r="D4253" t="n">
        <v>5861.75</v>
      </c>
      <c r="E4253" t="n">
        <v>11795.6</v>
      </c>
      <c r="F4253" t="n">
        <v>29507.65</v>
      </c>
    </row>
    <row r="4254">
      <c r="A4254" s="3" t="n">
        <v>44706</v>
      </c>
      <c r="B4254" t="n">
        <v>26580.49</v>
      </c>
      <c r="C4254" t="n">
        <v>10537.66</v>
      </c>
      <c r="D4254" t="n">
        <v>5803.42</v>
      </c>
      <c r="E4254" t="n">
        <v>11734.14</v>
      </c>
      <c r="F4254" t="n">
        <v>28449.9</v>
      </c>
    </row>
    <row r="4255">
      <c r="A4255" s="3" t="n">
        <v>44707</v>
      </c>
      <c r="B4255" t="n">
        <v>26755.42</v>
      </c>
      <c r="C4255" t="n">
        <v>10601.52</v>
      </c>
      <c r="D4255" t="n">
        <v>5868.92</v>
      </c>
      <c r="E4255" t="n">
        <v>11817.9</v>
      </c>
      <c r="F4255" t="n">
        <v>28684.95</v>
      </c>
    </row>
    <row r="4256">
      <c r="A4256" s="3" t="n">
        <v>44708</v>
      </c>
      <c r="B4256" t="n">
        <v>27328.1</v>
      </c>
      <c r="C4256" t="n">
        <v>10721.27</v>
      </c>
      <c r="D4256" t="n">
        <v>5825.89</v>
      </c>
      <c r="E4256" t="n">
        <v>11904.24</v>
      </c>
      <c r="F4256" t="n">
        <v>29145.3</v>
      </c>
    </row>
    <row r="4257">
      <c r="A4257" s="3" t="n">
        <v>44711</v>
      </c>
      <c r="B4257" t="n">
        <v>28196</v>
      </c>
      <c r="C4257" t="n">
        <v>10904.82</v>
      </c>
      <c r="D4257" t="n">
        <v>5913.71</v>
      </c>
      <c r="E4257" t="n">
        <v>12087.23</v>
      </c>
      <c r="F4257" t="n">
        <v>30064.95</v>
      </c>
    </row>
    <row r="4258">
      <c r="A4258" s="3" t="n">
        <v>44712</v>
      </c>
      <c r="B4258" t="n">
        <v>28477.4</v>
      </c>
      <c r="C4258" t="n">
        <v>10961.56</v>
      </c>
      <c r="D4258" t="n">
        <v>5973.92</v>
      </c>
      <c r="E4258" t="n">
        <v>12131.14</v>
      </c>
      <c r="F4258" t="n">
        <v>30173.5</v>
      </c>
    </row>
    <row r="4259">
      <c r="A4259" s="3" t="n">
        <v>44713</v>
      </c>
      <c r="B4259" t="n">
        <v>28261.64</v>
      </c>
      <c r="C4259" t="n">
        <v>10927.1</v>
      </c>
      <c r="D4259" t="n">
        <v>5986.47</v>
      </c>
      <c r="E4259" t="n">
        <v>12037.06</v>
      </c>
      <c r="F4259" t="n">
        <v>29897.45</v>
      </c>
    </row>
    <row r="4260">
      <c r="A4260" s="3" t="n">
        <v>44714</v>
      </c>
      <c r="B4260" t="n">
        <v>28424.44</v>
      </c>
      <c r="C4260" t="n">
        <v>10980.4</v>
      </c>
      <c r="D4260" t="n">
        <v>6032.68</v>
      </c>
      <c r="E4260" t="n">
        <v>12058.65</v>
      </c>
      <c r="F4260" t="n">
        <v>30006.05</v>
      </c>
    </row>
    <row r="4261">
      <c r="A4261" s="3" t="n">
        <v>44715</v>
      </c>
      <c r="B4261" t="n">
        <v>28155.75</v>
      </c>
      <c r="C4261" t="n">
        <v>10836.24</v>
      </c>
      <c r="D4261" t="n">
        <v>5971.74</v>
      </c>
      <c r="E4261" t="n">
        <v>11898.19</v>
      </c>
      <c r="F4261" t="n">
        <v>29623.4</v>
      </c>
    </row>
    <row r="4262">
      <c r="A4262" s="3" t="n">
        <v>44718</v>
      </c>
      <c r="B4262" t="n">
        <v>28086.86</v>
      </c>
      <c r="C4262" t="n">
        <v>10781.27</v>
      </c>
      <c r="D4262" t="n">
        <v>5963.62</v>
      </c>
      <c r="E4262" t="n">
        <v>11869.19</v>
      </c>
      <c r="F4262" t="n">
        <v>29456.05</v>
      </c>
    </row>
    <row r="4263">
      <c r="A4263" s="3" t="n">
        <v>44719</v>
      </c>
      <c r="B4263" t="n">
        <v>27949</v>
      </c>
      <c r="C4263" t="n">
        <v>10683.36</v>
      </c>
      <c r="D4263" t="n">
        <v>5986</v>
      </c>
      <c r="E4263" t="n">
        <v>11774.36</v>
      </c>
      <c r="F4263" t="n">
        <v>29366.65</v>
      </c>
    </row>
    <row r="4264">
      <c r="A4264" s="3" t="n">
        <v>44720</v>
      </c>
      <c r="B4264" t="n">
        <v>27818.76</v>
      </c>
      <c r="C4264" t="n">
        <v>10631.8</v>
      </c>
      <c r="D4264" t="n">
        <v>5992.46</v>
      </c>
      <c r="E4264" t="n">
        <v>11713.63</v>
      </c>
      <c r="F4264" t="n">
        <v>29235.8</v>
      </c>
    </row>
    <row r="4265">
      <c r="A4265" s="3" t="n">
        <v>44721</v>
      </c>
      <c r="B4265" t="n">
        <v>28068.29</v>
      </c>
      <c r="C4265" t="n">
        <v>10669.82</v>
      </c>
      <c r="D4265" t="n">
        <v>5977.93</v>
      </c>
      <c r="E4265" t="n">
        <v>11770.93</v>
      </c>
      <c r="F4265" t="n">
        <v>29409.35</v>
      </c>
    </row>
    <row r="4266">
      <c r="A4266" s="3" t="n">
        <v>44722</v>
      </c>
      <c r="B4266" t="n">
        <v>27741.04</v>
      </c>
      <c r="C4266" t="n">
        <v>10624.6</v>
      </c>
      <c r="D4266" t="n">
        <v>5934.35</v>
      </c>
      <c r="E4266" t="n">
        <v>11744.15</v>
      </c>
      <c r="F4266" t="n">
        <v>29334.25</v>
      </c>
    </row>
    <row r="4267">
      <c r="A4267" s="3" t="n">
        <v>44725</v>
      </c>
      <c r="B4267" t="n">
        <v>26615.74</v>
      </c>
      <c r="C4267" t="n">
        <v>10407.92</v>
      </c>
      <c r="D4267" t="n">
        <v>5745.3</v>
      </c>
      <c r="E4267" t="n">
        <v>11587.47</v>
      </c>
      <c r="F4267" t="n">
        <v>28152.1</v>
      </c>
    </row>
    <row r="4268">
      <c r="A4268" s="3" t="n">
        <v>44726</v>
      </c>
      <c r="B4268" t="n">
        <v>26648.06</v>
      </c>
      <c r="C4268" t="n">
        <v>10404.73</v>
      </c>
      <c r="D4268" t="n">
        <v>5703.97</v>
      </c>
      <c r="E4268" t="n">
        <v>11570.15</v>
      </c>
      <c r="F4268" t="n">
        <v>27831.9</v>
      </c>
    </row>
    <row r="4269">
      <c r="A4269" s="3" t="n">
        <v>44727</v>
      </c>
      <c r="B4269" t="n">
        <v>26739.09</v>
      </c>
      <c r="C4269" t="n">
        <v>10420.5</v>
      </c>
      <c r="D4269" t="n">
        <v>5669.02</v>
      </c>
      <c r="E4269" t="n">
        <v>11589.98</v>
      </c>
      <c r="F4269" t="n">
        <v>27773.3</v>
      </c>
    </row>
    <row r="4270">
      <c r="A4270" s="3" t="n">
        <v>44728</v>
      </c>
      <c r="B4270" t="n">
        <v>25956.75</v>
      </c>
      <c r="C4270" t="n">
        <v>10221.39</v>
      </c>
      <c r="D4270" t="n">
        <v>5478.37</v>
      </c>
      <c r="E4270" t="n">
        <v>11410.95</v>
      </c>
      <c r="F4270" t="n">
        <v>26842.35</v>
      </c>
    </row>
    <row r="4271">
      <c r="A4271" s="3" t="n">
        <v>44729</v>
      </c>
      <c r="B4271" t="n">
        <v>25688.53</v>
      </c>
      <c r="C4271" t="n">
        <v>10114.55</v>
      </c>
      <c r="D4271" t="n">
        <v>5430.39</v>
      </c>
      <c r="E4271" t="n">
        <v>11217.71</v>
      </c>
      <c r="F4271" t="n">
        <v>26275.75</v>
      </c>
    </row>
    <row r="4272">
      <c r="A4272" s="3" t="n">
        <v>44732</v>
      </c>
      <c r="B4272" t="n">
        <v>25232.01</v>
      </c>
      <c r="C4272" t="n">
        <v>10025.9</v>
      </c>
      <c r="D4272" t="n">
        <v>5270</v>
      </c>
      <c r="E4272" t="n">
        <v>11264.83</v>
      </c>
      <c r="F4272" t="n">
        <v>25193</v>
      </c>
    </row>
    <row r="4273">
      <c r="A4273" s="3" t="n">
        <v>44733</v>
      </c>
      <c r="B4273" t="n">
        <v>25992.42</v>
      </c>
      <c r="C4273" t="n">
        <v>10231.7</v>
      </c>
      <c r="D4273" t="n">
        <v>5442.12</v>
      </c>
      <c r="E4273" t="n">
        <v>11457.08</v>
      </c>
      <c r="F4273" t="n">
        <v>26232.85</v>
      </c>
    </row>
    <row r="4274">
      <c r="A4274" s="3" t="n">
        <v>44734</v>
      </c>
      <c r="B4274" t="n">
        <v>25547.74</v>
      </c>
      <c r="C4274" t="n">
        <v>10097.06</v>
      </c>
      <c r="D4274" t="n">
        <v>5347.86</v>
      </c>
      <c r="E4274" t="n">
        <v>11343.19</v>
      </c>
      <c r="F4274" t="n">
        <v>25691.55</v>
      </c>
    </row>
    <row r="4275">
      <c r="A4275" s="3" t="n">
        <v>44735</v>
      </c>
      <c r="B4275" t="n">
        <v>26035.91</v>
      </c>
      <c r="C4275" t="n">
        <v>10208.15</v>
      </c>
      <c r="D4275" t="n">
        <v>5358.14</v>
      </c>
      <c r="E4275" t="n">
        <v>11477.61</v>
      </c>
      <c r="F4275" t="n">
        <v>25914.35</v>
      </c>
    </row>
    <row r="4276">
      <c r="A4276" s="3" t="n">
        <v>44736</v>
      </c>
      <c r="B4276" t="n">
        <v>26108.55</v>
      </c>
      <c r="C4276" t="n">
        <v>10284.63</v>
      </c>
      <c r="D4276" t="n">
        <v>5406.02</v>
      </c>
      <c r="E4276" t="n">
        <v>11560.96</v>
      </c>
      <c r="F4276" t="n">
        <v>26226.1</v>
      </c>
    </row>
    <row r="4277">
      <c r="A4277" s="3" t="n">
        <v>44739</v>
      </c>
      <c r="B4277" t="n">
        <v>26545.88</v>
      </c>
      <c r="C4277" t="n">
        <v>10408.61</v>
      </c>
      <c r="D4277" t="n">
        <v>5495.65</v>
      </c>
      <c r="E4277" t="n">
        <v>11640.15</v>
      </c>
      <c r="F4277" t="n">
        <v>26637.35</v>
      </c>
    </row>
    <row r="4278">
      <c r="A4278" s="3" t="n">
        <v>44740</v>
      </c>
      <c r="B4278" t="n">
        <v>26719.57</v>
      </c>
      <c r="C4278" t="n">
        <v>10396.68</v>
      </c>
      <c r="D4278" t="n">
        <v>5557.83</v>
      </c>
      <c r="E4278" t="n">
        <v>11646.6</v>
      </c>
      <c r="F4278" t="n">
        <v>26623.5</v>
      </c>
    </row>
    <row r="4279">
      <c r="A4279" s="3" t="n">
        <v>44741</v>
      </c>
      <c r="B4279" t="n">
        <v>26493.66</v>
      </c>
      <c r="C4279" t="n">
        <v>10338.35</v>
      </c>
      <c r="D4279" t="n">
        <v>5580.3</v>
      </c>
      <c r="E4279" t="n">
        <v>11588.28</v>
      </c>
      <c r="F4279" t="n">
        <v>26511.2</v>
      </c>
    </row>
    <row r="4280">
      <c r="A4280" s="3" t="n">
        <v>44742</v>
      </c>
      <c r="B4280" t="n">
        <v>26262.49</v>
      </c>
      <c r="C4280" t="n">
        <v>10286.95</v>
      </c>
      <c r="D4280" t="n">
        <v>5541.62</v>
      </c>
      <c r="E4280" t="n">
        <v>11553.21</v>
      </c>
      <c r="F4280" t="n">
        <v>26214.1</v>
      </c>
    </row>
    <row r="4281">
      <c r="A4281" s="3" t="n">
        <v>44743</v>
      </c>
      <c r="B4281" t="n">
        <v>26196.22</v>
      </c>
      <c r="C4281" t="n">
        <v>10411.91</v>
      </c>
      <c r="D4281" t="n">
        <v>5529.39</v>
      </c>
      <c r="E4281" t="n">
        <v>11698.17</v>
      </c>
      <c r="F4281" t="n">
        <v>25991.55</v>
      </c>
    </row>
    <row r="4282">
      <c r="A4282" s="3" t="n">
        <v>44746</v>
      </c>
      <c r="B4282" t="n">
        <v>26342.81</v>
      </c>
      <c r="C4282" t="n">
        <v>10460.79</v>
      </c>
      <c r="D4282" t="n">
        <v>5542.07</v>
      </c>
      <c r="E4282" t="n">
        <v>11790.88</v>
      </c>
      <c r="F4282" t="n">
        <v>26137.4</v>
      </c>
    </row>
    <row r="4283">
      <c r="A4283" s="3" t="n">
        <v>44747</v>
      </c>
      <c r="B4283" t="n">
        <v>26272.72</v>
      </c>
      <c r="C4283" t="n">
        <v>10411.4</v>
      </c>
      <c r="D4283" t="n">
        <v>5529.72</v>
      </c>
      <c r="E4283" t="n">
        <v>11762.97</v>
      </c>
      <c r="F4283" t="n">
        <v>26068.2</v>
      </c>
    </row>
    <row r="4284">
      <c r="A4284" s="3" t="n">
        <v>44748</v>
      </c>
      <c r="B4284" t="n">
        <v>26404.76</v>
      </c>
      <c r="C4284" t="n">
        <v>10552.75</v>
      </c>
      <c r="D4284" t="n">
        <v>5529.46</v>
      </c>
      <c r="E4284" t="n">
        <v>11939.96</v>
      </c>
      <c r="F4284" t="n">
        <v>26297.6</v>
      </c>
    </row>
    <row r="4285">
      <c r="A4285" s="3" t="n">
        <v>44749</v>
      </c>
      <c r="B4285" t="n">
        <v>26733.14</v>
      </c>
      <c r="C4285" t="n">
        <v>10660.57</v>
      </c>
      <c r="D4285" t="n">
        <v>5655.04</v>
      </c>
      <c r="E4285" t="n">
        <v>12005.55</v>
      </c>
      <c r="F4285" t="n">
        <v>26759.1</v>
      </c>
    </row>
    <row r="4286">
      <c r="A4286" s="3" t="n">
        <v>44750</v>
      </c>
      <c r="B4286" t="n">
        <v>26958.86</v>
      </c>
      <c r="C4286" t="n">
        <v>10669.11</v>
      </c>
      <c r="D4286" t="n">
        <v>5660.83</v>
      </c>
      <c r="E4286" t="n">
        <v>12065.95</v>
      </c>
      <c r="F4286" t="n">
        <v>26813.55</v>
      </c>
    </row>
    <row r="4287">
      <c r="A4287" s="3" t="n">
        <v>44753</v>
      </c>
      <c r="B4287" t="n">
        <v>27393.06</v>
      </c>
      <c r="C4287" t="n">
        <v>10664</v>
      </c>
      <c r="D4287" t="n">
        <v>5713.25</v>
      </c>
      <c r="E4287" t="n">
        <v>12057.08</v>
      </c>
      <c r="F4287" t="n">
        <v>27085.7</v>
      </c>
    </row>
    <row r="4288">
      <c r="A4288" s="3" t="n">
        <v>44754</v>
      </c>
      <c r="B4288" t="n">
        <v>27306.47</v>
      </c>
      <c r="C4288" t="n">
        <v>10567.58</v>
      </c>
      <c r="D4288" t="n">
        <v>5655.18</v>
      </c>
      <c r="E4288" t="n">
        <v>11941.38</v>
      </c>
      <c r="F4288" t="n">
        <v>27070.8</v>
      </c>
    </row>
    <row r="4289">
      <c r="A4289" s="3" t="n">
        <v>44755</v>
      </c>
      <c r="B4289" t="n">
        <v>27184.97</v>
      </c>
      <c r="C4289" t="n">
        <v>10589.91</v>
      </c>
      <c r="D4289" t="n">
        <v>5669.61</v>
      </c>
      <c r="E4289" t="n">
        <v>11938.73</v>
      </c>
      <c r="F4289" t="n">
        <v>26900.55</v>
      </c>
    </row>
    <row r="4290">
      <c r="A4290" s="3" t="n">
        <v>44756</v>
      </c>
      <c r="B4290" t="n">
        <v>27118.26</v>
      </c>
      <c r="C4290" t="n">
        <v>10531.69</v>
      </c>
      <c r="D4290" t="n">
        <v>5651.88</v>
      </c>
      <c r="E4290" t="n">
        <v>11946.71</v>
      </c>
      <c r="F4290" t="n">
        <v>26678.95</v>
      </c>
    </row>
    <row r="4291">
      <c r="A4291" s="3" t="n">
        <v>44757</v>
      </c>
      <c r="B4291" t="n">
        <v>27379.41</v>
      </c>
      <c r="C4291" t="n">
        <v>10548.87</v>
      </c>
      <c r="D4291" t="n">
        <v>5650.55</v>
      </c>
      <c r="E4291" t="n">
        <v>12022.6</v>
      </c>
      <c r="F4291" t="n">
        <v>26856.2</v>
      </c>
    </row>
    <row r="4292">
      <c r="A4292" s="3" t="n">
        <v>44760</v>
      </c>
      <c r="B4292" t="n">
        <v>27675.41</v>
      </c>
      <c r="C4292" t="n">
        <v>10678.25</v>
      </c>
      <c r="D4292" t="n">
        <v>5757.57</v>
      </c>
      <c r="E4292" t="n">
        <v>12112.22</v>
      </c>
      <c r="F4292" t="n">
        <v>27410.05</v>
      </c>
    </row>
    <row r="4293">
      <c r="A4293" s="3" t="n">
        <v>44761</v>
      </c>
      <c r="B4293" t="n">
        <v>27862.67</v>
      </c>
      <c r="C4293" t="n">
        <v>10716.05</v>
      </c>
      <c r="D4293" t="n">
        <v>5798.44</v>
      </c>
      <c r="E4293" t="n">
        <v>12135.83</v>
      </c>
      <c r="F4293" t="n">
        <v>27713.4</v>
      </c>
    </row>
    <row r="4294">
      <c r="A4294" s="3" t="n">
        <v>44762</v>
      </c>
      <c r="B4294" t="n">
        <v>27864.58</v>
      </c>
      <c r="C4294" t="n">
        <v>10823.63</v>
      </c>
      <c r="D4294" t="n">
        <v>5824.99</v>
      </c>
      <c r="E4294" t="n">
        <v>12192.61</v>
      </c>
      <c r="F4294" t="n">
        <v>27917.9</v>
      </c>
    </row>
    <row r="4295">
      <c r="A4295" s="3" t="n">
        <v>44763</v>
      </c>
      <c r="B4295" t="n">
        <v>28214.71</v>
      </c>
      <c r="C4295" t="n">
        <v>10990.98</v>
      </c>
      <c r="D4295" t="n">
        <v>5885.35</v>
      </c>
      <c r="E4295" t="n">
        <v>12284.87</v>
      </c>
      <c r="F4295" t="n">
        <v>28148.15</v>
      </c>
    </row>
    <row r="4296">
      <c r="A4296" s="3" t="n">
        <v>44764</v>
      </c>
      <c r="B4296" t="n">
        <v>28208.17</v>
      </c>
      <c r="C4296" t="n">
        <v>10983.15</v>
      </c>
      <c r="D4296" t="n">
        <v>5894.91</v>
      </c>
      <c r="E4296" t="n">
        <v>12329.14</v>
      </c>
      <c r="F4296" t="n">
        <v>28073.95</v>
      </c>
    </row>
    <row r="4297">
      <c r="A4297" s="3" t="n">
        <v>44767</v>
      </c>
      <c r="B4297" t="n">
        <v>28317.16</v>
      </c>
      <c r="C4297" t="n">
        <v>10987.04</v>
      </c>
      <c r="D4297" t="n">
        <v>5897.53</v>
      </c>
      <c r="E4297" t="n">
        <v>12272.35</v>
      </c>
      <c r="F4297" t="n">
        <v>28007.15</v>
      </c>
    </row>
    <row r="4298">
      <c r="A4298" s="3" t="n">
        <v>44768</v>
      </c>
      <c r="B4298" t="n">
        <v>28121.78</v>
      </c>
      <c r="C4298" t="n">
        <v>10821.99</v>
      </c>
      <c r="D4298" t="n">
        <v>5872.25</v>
      </c>
      <c r="E4298" t="n">
        <v>12172.98</v>
      </c>
      <c r="F4298" t="n">
        <v>27640.2</v>
      </c>
    </row>
    <row r="4299">
      <c r="A4299" s="3" t="n">
        <v>44769</v>
      </c>
      <c r="B4299" t="n">
        <v>28299.8</v>
      </c>
      <c r="C4299" t="n">
        <v>10958.94</v>
      </c>
      <c r="D4299" t="n">
        <v>5926.18</v>
      </c>
      <c r="E4299" t="n">
        <v>12308.83</v>
      </c>
      <c r="F4299" t="n">
        <v>27656.3</v>
      </c>
    </row>
    <row r="4300">
      <c r="A4300" s="3" t="n">
        <v>44770</v>
      </c>
      <c r="B4300" t="n">
        <v>28569.68</v>
      </c>
      <c r="C4300" t="n">
        <v>11104.91</v>
      </c>
      <c r="D4300" t="n">
        <v>5970.5</v>
      </c>
      <c r="E4300" t="n">
        <v>12382.29</v>
      </c>
      <c r="F4300" t="n">
        <v>27819.75</v>
      </c>
    </row>
    <row r="4301">
      <c r="A4301" s="3" t="n">
        <v>44771</v>
      </c>
      <c r="B4301" t="n">
        <v>28921.57</v>
      </c>
      <c r="C4301" t="n">
        <v>11288.15</v>
      </c>
      <c r="D4301" t="n">
        <v>6055.32</v>
      </c>
      <c r="E4301" t="n">
        <v>12555.34</v>
      </c>
      <c r="F4301" t="n">
        <v>28286.15</v>
      </c>
    </row>
    <row r="4302">
      <c r="A4302" s="3" t="n">
        <v>44774</v>
      </c>
      <c r="B4302" t="n">
        <v>29574.9</v>
      </c>
      <c r="C4302" t="n">
        <v>11410.89</v>
      </c>
      <c r="D4302" t="n">
        <v>6138.32</v>
      </c>
      <c r="E4302" t="n">
        <v>12652.3</v>
      </c>
      <c r="F4302" t="n">
        <v>28925.4</v>
      </c>
    </row>
    <row r="4303">
      <c r="A4303" s="3" t="n">
        <v>44775</v>
      </c>
      <c r="B4303" t="n">
        <v>29742.25</v>
      </c>
      <c r="C4303" t="n">
        <v>11433.87</v>
      </c>
      <c r="D4303" t="n">
        <v>6178.47</v>
      </c>
      <c r="E4303" t="n">
        <v>12669.28</v>
      </c>
      <c r="F4303" t="n">
        <v>28994.5</v>
      </c>
    </row>
    <row r="4304">
      <c r="A4304" s="3" t="n">
        <v>44776</v>
      </c>
      <c r="B4304" t="n">
        <v>29652.57</v>
      </c>
      <c r="C4304" t="n">
        <v>11429.95</v>
      </c>
      <c r="D4304" t="n">
        <v>6125.99</v>
      </c>
      <c r="E4304" t="n">
        <v>12652.61</v>
      </c>
      <c r="F4304" t="n">
        <v>28856.4</v>
      </c>
    </row>
    <row r="4305">
      <c r="A4305" s="3" t="n">
        <v>44777</v>
      </c>
      <c r="B4305" t="n">
        <v>29623.77</v>
      </c>
      <c r="C4305" t="n">
        <v>11460.04</v>
      </c>
      <c r="D4305" t="n">
        <v>6109.49</v>
      </c>
      <c r="E4305" t="n">
        <v>12674.74</v>
      </c>
      <c r="F4305" t="n">
        <v>28837.5</v>
      </c>
    </row>
    <row r="4306">
      <c r="A4306" s="3" t="n">
        <v>44778</v>
      </c>
      <c r="B4306" t="n">
        <v>29634.81</v>
      </c>
      <c r="C4306" t="n">
        <v>11520.63</v>
      </c>
      <c r="D4306" t="n">
        <v>6134.27</v>
      </c>
      <c r="E4306" t="n">
        <v>12718.43</v>
      </c>
      <c r="F4306" t="n">
        <v>28954.1</v>
      </c>
    </row>
    <row r="4307">
      <c r="A4307" s="3" t="n">
        <v>44781</v>
      </c>
      <c r="B4307" t="n">
        <v>30051.07</v>
      </c>
      <c r="C4307" t="n">
        <v>11549.49</v>
      </c>
      <c r="D4307" t="n">
        <v>6147.07</v>
      </c>
      <c r="E4307" t="n">
        <v>12737.57</v>
      </c>
      <c r="F4307" t="n">
        <v>29160.4</v>
      </c>
    </row>
    <row r="4308">
      <c r="A4308" s="3" t="n">
        <v>44783</v>
      </c>
      <c r="B4308" t="n">
        <v>30109.27</v>
      </c>
      <c r="C4308" t="n">
        <v>11535.26</v>
      </c>
      <c r="D4308" t="n">
        <v>6144.56</v>
      </c>
      <c r="E4308" t="n">
        <v>12713.6</v>
      </c>
      <c r="F4308" t="n">
        <v>28901.05</v>
      </c>
    </row>
    <row r="4309">
      <c r="A4309" s="3" t="n">
        <v>44784</v>
      </c>
      <c r="B4309" t="n">
        <v>30170.09</v>
      </c>
      <c r="C4309" t="n">
        <v>11598.52</v>
      </c>
      <c r="D4309" t="n">
        <v>6149.93</v>
      </c>
      <c r="E4309" t="n">
        <v>12741.33</v>
      </c>
      <c r="F4309" t="n">
        <v>29183.05</v>
      </c>
    </row>
    <row r="4310">
      <c r="A4310" s="3" t="n">
        <v>44785</v>
      </c>
      <c r="B4310" t="n">
        <v>30447.79</v>
      </c>
      <c r="C4310" t="n">
        <v>11623.82</v>
      </c>
      <c r="D4310" t="n">
        <v>6235.5</v>
      </c>
      <c r="E4310" t="n">
        <v>12757.32</v>
      </c>
      <c r="F4310" t="n">
        <v>29433.65</v>
      </c>
    </row>
    <row r="4311">
      <c r="A4311" s="3" t="n">
        <v>44789</v>
      </c>
      <c r="B4311" t="n">
        <v>30856.22</v>
      </c>
      <c r="C4311" t="n">
        <v>11693.2</v>
      </c>
      <c r="D4311" t="n">
        <v>6270.19</v>
      </c>
      <c r="E4311" t="n">
        <v>12918.86</v>
      </c>
      <c r="F4311" t="n">
        <v>29710.9</v>
      </c>
    </row>
    <row r="4312">
      <c r="A4312" s="3" t="n">
        <v>44790</v>
      </c>
      <c r="B4312" t="n">
        <v>30867.95</v>
      </c>
      <c r="C4312" t="n">
        <v>11765.27</v>
      </c>
      <c r="D4312" t="n">
        <v>6324.04</v>
      </c>
      <c r="E4312" t="n">
        <v>12999.82</v>
      </c>
      <c r="F4312" t="n">
        <v>29856.35</v>
      </c>
    </row>
    <row r="4313">
      <c r="A4313" s="3" t="n">
        <v>44791</v>
      </c>
      <c r="B4313" t="n">
        <v>31133.82</v>
      </c>
      <c r="C4313" t="n">
        <v>11770.94</v>
      </c>
      <c r="D4313" t="n">
        <v>6307.99</v>
      </c>
      <c r="E4313" t="n">
        <v>13021.41</v>
      </c>
      <c r="F4313" t="n">
        <v>29983.25</v>
      </c>
    </row>
    <row r="4314">
      <c r="A4314" s="3" t="n">
        <v>44792</v>
      </c>
      <c r="B4314" t="n">
        <v>30716.98</v>
      </c>
      <c r="C4314" t="n">
        <v>11666.76</v>
      </c>
      <c r="D4314" t="n">
        <v>6216.46</v>
      </c>
      <c r="E4314" t="n">
        <v>12891.87</v>
      </c>
      <c r="F4314" t="n">
        <v>29549</v>
      </c>
    </row>
    <row r="4315">
      <c r="A4315" s="3" t="n">
        <v>44795</v>
      </c>
      <c r="B4315" t="n">
        <v>30407.63</v>
      </c>
      <c r="C4315" t="n">
        <v>11490.78</v>
      </c>
      <c r="D4315" t="n">
        <v>6114.94</v>
      </c>
      <c r="E4315" t="n">
        <v>12722.19</v>
      </c>
      <c r="F4315" t="n">
        <v>28965.9</v>
      </c>
    </row>
    <row r="4316">
      <c r="A4316" s="3" t="n">
        <v>44796</v>
      </c>
      <c r="B4316" t="n">
        <v>30665.11</v>
      </c>
      <c r="C4316" t="n">
        <v>11537.28</v>
      </c>
      <c r="D4316" t="n">
        <v>6203.4</v>
      </c>
      <c r="E4316" t="n">
        <v>12781.44</v>
      </c>
      <c r="F4316" t="n">
        <v>29135.45</v>
      </c>
    </row>
    <row r="4317">
      <c r="A4317" s="3" t="n">
        <v>44797</v>
      </c>
      <c r="B4317" t="n">
        <v>30931.16</v>
      </c>
      <c r="C4317" t="n">
        <v>11568.83</v>
      </c>
      <c r="D4317" t="n">
        <v>6234.83</v>
      </c>
      <c r="E4317" t="n">
        <v>12802.76</v>
      </c>
      <c r="F4317" t="n">
        <v>29372.5</v>
      </c>
    </row>
    <row r="4318">
      <c r="A4318" s="3" t="n">
        <v>44798</v>
      </c>
      <c r="B4318" t="n">
        <v>30832.89</v>
      </c>
      <c r="C4318" t="n">
        <v>11510.86</v>
      </c>
      <c r="D4318" t="n">
        <v>6272.11</v>
      </c>
      <c r="E4318" t="n">
        <v>12767.26</v>
      </c>
      <c r="F4318" t="n">
        <v>29244.6</v>
      </c>
    </row>
    <row r="4319">
      <c r="A4319" s="3" t="n">
        <v>44799</v>
      </c>
      <c r="B4319" t="n">
        <v>31194.21</v>
      </c>
      <c r="C4319" t="n">
        <v>11540.2</v>
      </c>
      <c r="D4319" t="n">
        <v>6337.8</v>
      </c>
      <c r="E4319" t="n">
        <v>12781.81</v>
      </c>
      <c r="F4319" t="n">
        <v>29343.55</v>
      </c>
    </row>
    <row r="4320">
      <c r="A4320" s="3" t="n">
        <v>44802</v>
      </c>
      <c r="B4320" t="n">
        <v>30945.07</v>
      </c>
      <c r="C4320" t="n">
        <v>11418.56</v>
      </c>
      <c r="D4320" t="n">
        <v>6266.37</v>
      </c>
      <c r="E4320" t="n">
        <v>12721.57</v>
      </c>
      <c r="F4320" t="n">
        <v>28982.5</v>
      </c>
    </row>
    <row r="4321">
      <c r="A4321" s="3" t="n">
        <v>44803</v>
      </c>
      <c r="B4321" t="n">
        <v>31515.97</v>
      </c>
      <c r="C4321" t="n">
        <v>11638.29</v>
      </c>
      <c r="D4321" t="n">
        <v>6372.26</v>
      </c>
      <c r="E4321" t="n">
        <v>12943.46</v>
      </c>
      <c r="F4321" t="n">
        <v>29957.6</v>
      </c>
    </row>
    <row r="4322">
      <c r="A4322" s="3" t="n">
        <v>44805</v>
      </c>
      <c r="B4322" t="n">
        <v>31624.82</v>
      </c>
      <c r="C4322" t="n">
        <v>11581.38</v>
      </c>
      <c r="D4322" t="n">
        <v>6315.87</v>
      </c>
      <c r="E4322" t="n">
        <v>12866.68</v>
      </c>
      <c r="F4322" t="n">
        <v>30479.5</v>
      </c>
    </row>
    <row r="4323">
      <c r="A4323" s="3" t="n">
        <v>44806</v>
      </c>
      <c r="B4323" t="n">
        <v>31682.96</v>
      </c>
      <c r="C4323" t="n">
        <v>11535.04</v>
      </c>
      <c r="D4323" t="n">
        <v>6275.36</v>
      </c>
      <c r="E4323" t="n">
        <v>12847.27</v>
      </c>
      <c r="F4323" t="n">
        <v>30708.45</v>
      </c>
    </row>
    <row r="4324">
      <c r="A4324" s="3" t="n">
        <v>44809</v>
      </c>
      <c r="B4324" t="n">
        <v>31884.62</v>
      </c>
      <c r="C4324" t="n">
        <v>11569.4</v>
      </c>
      <c r="D4324" t="n">
        <v>6335.38</v>
      </c>
      <c r="E4324" t="n">
        <v>12888.59</v>
      </c>
      <c r="F4324" t="n">
        <v>30939.9</v>
      </c>
    </row>
    <row r="4325">
      <c r="A4325" s="3" t="n">
        <v>44810</v>
      </c>
      <c r="B4325" t="n">
        <v>32156.19</v>
      </c>
      <c r="C4325" t="n">
        <v>11551.15</v>
      </c>
      <c r="D4325" t="n">
        <v>6372.07</v>
      </c>
      <c r="E4325" t="n">
        <v>12897.5</v>
      </c>
      <c r="F4325" t="n">
        <v>30947.2</v>
      </c>
    </row>
    <row r="4326">
      <c r="A4326" s="3" t="n">
        <v>44811</v>
      </c>
      <c r="B4326" t="n">
        <v>32222.67</v>
      </c>
      <c r="C4326" t="n">
        <v>11621.88</v>
      </c>
      <c r="D4326" t="n">
        <v>6396.43</v>
      </c>
      <c r="E4326" t="n">
        <v>12950.56</v>
      </c>
      <c r="F4326" t="n">
        <v>31040.9</v>
      </c>
    </row>
    <row r="4327">
      <c r="A4327" s="3" t="n">
        <v>44812</v>
      </c>
      <c r="B4327" t="n">
        <v>32319.36</v>
      </c>
      <c r="C4327" t="n">
        <v>11650.8</v>
      </c>
      <c r="D4327" t="n">
        <v>6414.23</v>
      </c>
      <c r="E4327" t="n">
        <v>13030.48</v>
      </c>
      <c r="F4327" t="n">
        <v>31194.55</v>
      </c>
    </row>
    <row r="4328">
      <c r="A4328" s="3" t="n">
        <v>44813</v>
      </c>
      <c r="B4328" t="n">
        <v>32207.03</v>
      </c>
      <c r="C4328" t="n">
        <v>11697.24</v>
      </c>
      <c r="D4328" t="n">
        <v>6410.73</v>
      </c>
      <c r="E4328" t="n">
        <v>13000.49</v>
      </c>
      <c r="F4328" t="n">
        <v>31208.55</v>
      </c>
    </row>
    <row r="4329">
      <c r="A4329" s="3" t="n">
        <v>44816</v>
      </c>
      <c r="B4329" t="n">
        <v>32547.37</v>
      </c>
      <c r="C4329" t="n">
        <v>11783.57</v>
      </c>
      <c r="D4329" t="n">
        <v>6445.12</v>
      </c>
      <c r="E4329" t="n">
        <v>13058.14</v>
      </c>
      <c r="F4329" t="n">
        <v>31596.9</v>
      </c>
    </row>
    <row r="4330">
      <c r="A4330" s="3" t="n">
        <v>44817</v>
      </c>
      <c r="B4330" t="n">
        <v>32683.95</v>
      </c>
      <c r="C4330" t="n">
        <v>11813.92</v>
      </c>
      <c r="D4330" t="n">
        <v>6464.87</v>
      </c>
      <c r="E4330" t="n">
        <v>13131.6</v>
      </c>
      <c r="F4330" t="n">
        <v>31540.55</v>
      </c>
    </row>
    <row r="4331">
      <c r="A4331" s="3" t="n">
        <v>44818</v>
      </c>
      <c r="B4331" t="n">
        <v>32698.89</v>
      </c>
      <c r="C4331" t="n">
        <v>11729.24</v>
      </c>
      <c r="D4331" t="n">
        <v>6518.36</v>
      </c>
      <c r="E4331" t="n">
        <v>13112.25</v>
      </c>
      <c r="F4331" t="n">
        <v>31486.25</v>
      </c>
    </row>
    <row r="4332">
      <c r="A4332" s="3" t="n">
        <v>44819</v>
      </c>
      <c r="B4332" t="n">
        <v>32939.39</v>
      </c>
      <c r="C4332" t="n">
        <v>11690.28</v>
      </c>
      <c r="D4332" t="n">
        <v>6520.96</v>
      </c>
      <c r="E4332" t="n">
        <v>13084.98</v>
      </c>
      <c r="F4332" t="n">
        <v>31626.1</v>
      </c>
    </row>
    <row r="4333">
      <c r="A4333" s="3" t="n">
        <v>44820</v>
      </c>
      <c r="B4333" t="n">
        <v>32339.79</v>
      </c>
      <c r="C4333" t="n">
        <v>11413.33</v>
      </c>
      <c r="D4333" t="n">
        <v>6376.44</v>
      </c>
      <c r="E4333" t="n">
        <v>12773.4</v>
      </c>
      <c r="F4333" t="n">
        <v>30886.2</v>
      </c>
    </row>
    <row r="4334">
      <c r="A4334" s="3" t="n">
        <v>44823</v>
      </c>
      <c r="B4334" t="n">
        <v>32317.87</v>
      </c>
      <c r="C4334" t="n">
        <v>11361.78</v>
      </c>
      <c r="D4334" t="n">
        <v>6342.13</v>
      </c>
      <c r="E4334" t="n">
        <v>12793.1</v>
      </c>
      <c r="F4334" t="n">
        <v>30633.45</v>
      </c>
    </row>
    <row r="4335">
      <c r="A4335" s="3" t="n">
        <v>44824</v>
      </c>
      <c r="B4335" t="n">
        <v>32646.08</v>
      </c>
      <c r="C4335" t="n">
        <v>11510.97</v>
      </c>
      <c r="D4335" t="n">
        <v>6391.24</v>
      </c>
      <c r="E4335" t="n">
        <v>12962.18</v>
      </c>
      <c r="F4335" t="n">
        <v>30926.15</v>
      </c>
    </row>
    <row r="4336">
      <c r="A4336" s="3" t="n">
        <v>44825</v>
      </c>
      <c r="B4336" t="n">
        <v>32344.48</v>
      </c>
      <c r="C4336" t="n">
        <v>11497</v>
      </c>
      <c r="D4336" t="n">
        <v>6322.67</v>
      </c>
      <c r="E4336" t="n">
        <v>12860.75</v>
      </c>
      <c r="F4336" t="n">
        <v>30620.9</v>
      </c>
    </row>
    <row r="4337">
      <c r="A4337" s="3" t="n">
        <v>44826</v>
      </c>
      <c r="B4337" t="n">
        <v>32634.71</v>
      </c>
      <c r="C4337" t="n">
        <v>11556.58</v>
      </c>
      <c r="D4337" t="n">
        <v>6297.11</v>
      </c>
      <c r="E4337" t="n">
        <v>12864.91</v>
      </c>
      <c r="F4337" t="n">
        <v>31079.05</v>
      </c>
    </row>
    <row r="4338">
      <c r="A4338" s="3" t="n">
        <v>44827</v>
      </c>
      <c r="B4338" t="n">
        <v>31971.29</v>
      </c>
      <c r="C4338" t="n">
        <v>11446.79</v>
      </c>
      <c r="D4338" t="n">
        <v>6155.17</v>
      </c>
      <c r="E4338" t="n">
        <v>12696</v>
      </c>
      <c r="F4338" t="n">
        <v>30499.2</v>
      </c>
    </row>
    <row r="4339">
      <c r="A4339" s="3" t="n">
        <v>44830</v>
      </c>
      <c r="B4339" t="n">
        <v>30774.31</v>
      </c>
      <c r="C4339" t="n">
        <v>11190.95</v>
      </c>
      <c r="D4339" t="n">
        <v>5951.13</v>
      </c>
      <c r="E4339" t="n">
        <v>12480.36</v>
      </c>
      <c r="F4339" t="n">
        <v>29352.3</v>
      </c>
    </row>
    <row r="4340">
      <c r="A4340" s="3" t="n">
        <v>44831</v>
      </c>
      <c r="B4340" t="n">
        <v>30639.34</v>
      </c>
      <c r="C4340" t="n">
        <v>11230.19</v>
      </c>
      <c r="D4340" t="n">
        <v>5973.54</v>
      </c>
      <c r="E4340" t="n">
        <v>12535.14</v>
      </c>
      <c r="F4340" t="n">
        <v>29202.8</v>
      </c>
    </row>
    <row r="4341">
      <c r="A4341" s="3" t="n">
        <v>44832</v>
      </c>
      <c r="B4341" t="n">
        <v>30408.17</v>
      </c>
      <c r="C4341" t="n">
        <v>11188.84</v>
      </c>
      <c r="D4341" t="n">
        <v>5887.75</v>
      </c>
      <c r="E4341" t="n">
        <v>12521.28</v>
      </c>
      <c r="F4341" t="n">
        <v>28962.45</v>
      </c>
    </row>
    <row r="4342">
      <c r="A4342" s="3" t="n">
        <v>44833</v>
      </c>
      <c r="B4342" t="n">
        <v>30594.6</v>
      </c>
      <c r="C4342" t="n">
        <v>11195.43</v>
      </c>
      <c r="D4342" t="n">
        <v>5935.15</v>
      </c>
      <c r="E4342" t="n">
        <v>12535.19</v>
      </c>
      <c r="F4342" t="n">
        <v>29071.6</v>
      </c>
    </row>
    <row r="4343">
      <c r="A4343" s="3" t="n">
        <v>44834</v>
      </c>
      <c r="B4343" t="n">
        <v>31064.06</v>
      </c>
      <c r="C4343" t="n">
        <v>11272.95</v>
      </c>
      <c r="D4343" t="n">
        <v>6034.29</v>
      </c>
      <c r="E4343" t="n">
        <v>12641.93</v>
      </c>
      <c r="F4343" t="n">
        <v>29586.2</v>
      </c>
    </row>
    <row r="4344">
      <c r="A4344" s="3" t="n">
        <v>44837</v>
      </c>
      <c r="B4344" t="n">
        <v>30538.58</v>
      </c>
      <c r="C4344" t="n">
        <v>11137.38</v>
      </c>
      <c r="D4344" t="n">
        <v>5983.02</v>
      </c>
      <c r="E4344" t="n">
        <v>12508.14</v>
      </c>
      <c r="F4344" t="n">
        <v>28983.7</v>
      </c>
    </row>
    <row r="4345">
      <c r="A4345" s="3" t="n">
        <v>44838</v>
      </c>
      <c r="B4345" t="n">
        <v>31222.58</v>
      </c>
      <c r="C4345" t="n">
        <v>11360.83</v>
      </c>
      <c r="D4345" t="n">
        <v>6123.68</v>
      </c>
      <c r="E4345" t="n">
        <v>12706.05</v>
      </c>
      <c r="F4345" t="n">
        <v>29800.65</v>
      </c>
    </row>
    <row r="4346">
      <c r="A4346" s="3" t="n">
        <v>44840</v>
      </c>
      <c r="B4346" t="n">
        <v>31656.82</v>
      </c>
      <c r="C4346" t="n">
        <v>11464.95</v>
      </c>
      <c r="D4346" t="n">
        <v>6208.82</v>
      </c>
      <c r="E4346" t="n">
        <v>12709.8</v>
      </c>
      <c r="F4346" t="n">
        <v>30255.05</v>
      </c>
    </row>
    <row r="4347">
      <c r="A4347" s="3" t="n">
        <v>44841</v>
      </c>
      <c r="B4347" t="n">
        <v>31673.93</v>
      </c>
      <c r="C4347" t="n">
        <v>11444.14</v>
      </c>
      <c r="D4347" t="n">
        <v>6212.16</v>
      </c>
      <c r="E4347" t="n">
        <v>12695.35</v>
      </c>
      <c r="F4347" t="n">
        <v>30288.7</v>
      </c>
    </row>
    <row r="4348">
      <c r="A4348" s="3" t="n">
        <v>44844</v>
      </c>
      <c r="B4348" t="n">
        <v>31360.48</v>
      </c>
      <c r="C4348" t="n">
        <v>11384.05</v>
      </c>
      <c r="D4348" t="n">
        <v>6164.74</v>
      </c>
      <c r="E4348" t="n">
        <v>12624.07</v>
      </c>
      <c r="F4348" t="n">
        <v>30037.85</v>
      </c>
    </row>
    <row r="4349">
      <c r="A4349" s="3" t="n">
        <v>44845</v>
      </c>
      <c r="B4349" t="n">
        <v>30940.61</v>
      </c>
      <c r="C4349" t="n">
        <v>11172.58</v>
      </c>
      <c r="D4349" t="n">
        <v>6055.77</v>
      </c>
      <c r="E4349" t="n">
        <v>12452.74</v>
      </c>
      <c r="F4349" t="n">
        <v>29560</v>
      </c>
    </row>
    <row r="4350">
      <c r="A4350" s="3" t="n">
        <v>44846</v>
      </c>
      <c r="B4350" t="n">
        <v>31121.32</v>
      </c>
      <c r="C4350" t="n">
        <v>11252.9</v>
      </c>
      <c r="D4350" t="n">
        <v>6135.98</v>
      </c>
      <c r="E4350" t="n">
        <v>12556.07</v>
      </c>
      <c r="F4350" t="n">
        <v>29720.2</v>
      </c>
    </row>
    <row r="4351">
      <c r="A4351" s="3" t="n">
        <v>44847</v>
      </c>
      <c r="B4351" t="n">
        <v>30975.88</v>
      </c>
      <c r="C4351" t="n">
        <v>11238.99</v>
      </c>
      <c r="D4351" t="n">
        <v>6115.82</v>
      </c>
      <c r="E4351" t="n">
        <v>12504.99</v>
      </c>
      <c r="F4351" t="n">
        <v>29573.65</v>
      </c>
    </row>
    <row r="4352">
      <c r="A4352" s="3" t="n">
        <v>44848</v>
      </c>
      <c r="B4352" t="n">
        <v>30863.58</v>
      </c>
      <c r="C4352" t="n">
        <v>11277.58</v>
      </c>
      <c r="D4352" t="n">
        <v>6114.92</v>
      </c>
      <c r="E4352" t="n">
        <v>12543.92</v>
      </c>
      <c r="F4352" t="n">
        <v>29597.4</v>
      </c>
    </row>
    <row r="4353">
      <c r="A4353" s="3" t="n">
        <v>44851</v>
      </c>
      <c r="B4353" t="n">
        <v>30955.16</v>
      </c>
      <c r="C4353" t="n">
        <v>11263.76</v>
      </c>
      <c r="D4353" t="n">
        <v>6124.18</v>
      </c>
      <c r="E4353" t="n">
        <v>12603.55</v>
      </c>
      <c r="F4353" t="n">
        <v>29749.6</v>
      </c>
    </row>
    <row r="4354">
      <c r="A4354" s="3" t="n">
        <v>44852</v>
      </c>
      <c r="B4354" t="n">
        <v>31296.53</v>
      </c>
      <c r="C4354" t="n">
        <v>11359.97</v>
      </c>
      <c r="D4354" t="n">
        <v>6198.04</v>
      </c>
      <c r="E4354" t="n">
        <v>12707.13</v>
      </c>
      <c r="F4354" t="n">
        <v>30179.95</v>
      </c>
    </row>
    <row r="4355">
      <c r="A4355" s="3" t="n">
        <v>44853</v>
      </c>
      <c r="B4355" t="n">
        <v>31305.34</v>
      </c>
      <c r="C4355" t="n">
        <v>11330.23</v>
      </c>
      <c r="D4355" t="n">
        <v>6181.13</v>
      </c>
      <c r="E4355" t="n">
        <v>12707.75</v>
      </c>
      <c r="F4355" t="n">
        <v>30159.05</v>
      </c>
    </row>
    <row r="4356">
      <c r="A4356" s="3" t="n">
        <v>44854</v>
      </c>
      <c r="B4356" t="n">
        <v>31453.11</v>
      </c>
      <c r="C4356" t="n">
        <v>11429.46</v>
      </c>
      <c r="D4356" t="n">
        <v>6255.41</v>
      </c>
      <c r="E4356" t="n">
        <v>12781.35</v>
      </c>
      <c r="F4356" t="n">
        <v>30196.3</v>
      </c>
    </row>
    <row r="4357">
      <c r="A4357" s="3" t="n">
        <v>44855</v>
      </c>
      <c r="B4357" t="n">
        <v>31239.46</v>
      </c>
      <c r="C4357" t="n">
        <v>11340.21</v>
      </c>
      <c r="D4357" t="n">
        <v>6249.94</v>
      </c>
      <c r="E4357" t="n">
        <v>12747.87</v>
      </c>
      <c r="F4357" t="n">
        <v>30069.4</v>
      </c>
    </row>
    <row r="4358">
      <c r="A4358" s="3" t="n">
        <v>44858</v>
      </c>
      <c r="B4358" t="n">
        <v>31457.88</v>
      </c>
      <c r="C4358" t="n">
        <v>11415.53</v>
      </c>
      <c r="D4358" t="n">
        <v>6291.81</v>
      </c>
      <c r="E4358" t="n">
        <v>12838.88</v>
      </c>
      <c r="F4358" t="n">
        <v>30270.65</v>
      </c>
    </row>
    <row r="4359">
      <c r="A4359" s="3" t="n">
        <v>44859</v>
      </c>
      <c r="B4359" t="n">
        <v>31441.18</v>
      </c>
      <c r="C4359" t="n">
        <v>11396.44</v>
      </c>
      <c r="D4359" t="n">
        <v>6316.78</v>
      </c>
      <c r="E4359" t="n">
        <v>12847.61</v>
      </c>
      <c r="F4359" t="n">
        <v>30347.5</v>
      </c>
    </row>
    <row r="4360">
      <c r="A4360" s="3" t="n">
        <v>44861</v>
      </c>
      <c r="B4360" t="n">
        <v>31664.01</v>
      </c>
      <c r="C4360" t="n">
        <v>11423.5</v>
      </c>
      <c r="D4360" t="n">
        <v>6411.42</v>
      </c>
      <c r="E4360" t="n">
        <v>12933.12</v>
      </c>
      <c r="F4360" t="n">
        <v>30517.95</v>
      </c>
    </row>
    <row r="4361">
      <c r="A4361" s="3" t="n">
        <v>44862</v>
      </c>
      <c r="B4361" t="n">
        <v>31501.2</v>
      </c>
      <c r="C4361" t="n">
        <v>11359.79</v>
      </c>
      <c r="D4361" t="n">
        <v>6408.04</v>
      </c>
      <c r="E4361" t="n">
        <v>12954.93</v>
      </c>
      <c r="F4361" t="n">
        <v>30251.7</v>
      </c>
    </row>
    <row r="4362">
      <c r="A4362" s="3" t="n">
        <v>44865</v>
      </c>
      <c r="B4362" t="n">
        <v>31752.52</v>
      </c>
      <c r="C4362" t="n">
        <v>11441.81</v>
      </c>
      <c r="D4362" t="n">
        <v>6435.24</v>
      </c>
      <c r="E4362" t="n">
        <v>13094.46</v>
      </c>
      <c r="F4362" t="n">
        <v>30520.5</v>
      </c>
    </row>
    <row r="4363">
      <c r="A4363" s="3" t="n">
        <v>44866</v>
      </c>
      <c r="B4363" t="n">
        <v>32268.55</v>
      </c>
      <c r="C4363" t="n">
        <v>11560.73</v>
      </c>
      <c r="D4363" t="n">
        <v>6475.7</v>
      </c>
      <c r="E4363" t="n">
        <v>13242.8</v>
      </c>
      <c r="F4363" t="n">
        <v>30842.6</v>
      </c>
    </row>
    <row r="4364">
      <c r="A4364" s="3" t="n">
        <v>44867</v>
      </c>
      <c r="B4364" t="n">
        <v>32222.8</v>
      </c>
      <c r="C4364" t="n">
        <v>11568.46</v>
      </c>
      <c r="D4364" t="n">
        <v>6491.47</v>
      </c>
      <c r="E4364" t="n">
        <v>13194.75</v>
      </c>
      <c r="F4364" t="n">
        <v>30722.8</v>
      </c>
    </row>
    <row r="4365">
      <c r="A4365" s="3" t="n">
        <v>44868</v>
      </c>
      <c r="B4365" t="n">
        <v>32237.5</v>
      </c>
      <c r="C4365" t="n">
        <v>11552.25</v>
      </c>
      <c r="D4365" t="n">
        <v>6514.56</v>
      </c>
      <c r="E4365" t="n">
        <v>13182.82</v>
      </c>
      <c r="F4365" t="n">
        <v>30795.75</v>
      </c>
    </row>
    <row r="4366">
      <c r="A4366" s="3" t="n">
        <v>44869</v>
      </c>
      <c r="B4366" t="n">
        <v>32301.04</v>
      </c>
      <c r="C4366" t="n">
        <v>11568.45</v>
      </c>
      <c r="D4366" t="n">
        <v>6570.39</v>
      </c>
      <c r="E4366" t="n">
        <v>13196.6</v>
      </c>
      <c r="F4366" t="n">
        <v>30855.6</v>
      </c>
    </row>
    <row r="4367">
      <c r="A4367" s="3" t="n">
        <v>44872</v>
      </c>
      <c r="B4367" t="n">
        <v>32535.18</v>
      </c>
      <c r="C4367" t="n">
        <v>11614.69</v>
      </c>
      <c r="D4367" t="n">
        <v>6668.24</v>
      </c>
      <c r="E4367" t="n">
        <v>13267.45</v>
      </c>
      <c r="F4367" t="n">
        <v>31112.6</v>
      </c>
    </row>
    <row r="4368">
      <c r="A4368" s="3" t="n">
        <v>44874</v>
      </c>
      <c r="B4368" t="n">
        <v>32395.89</v>
      </c>
      <c r="C4368" t="n">
        <v>11586.3</v>
      </c>
      <c r="D4368" t="n">
        <v>6647.81</v>
      </c>
      <c r="E4368" t="n">
        <v>13185.67</v>
      </c>
      <c r="F4368" t="n">
        <v>31105.8</v>
      </c>
    </row>
    <row r="4369">
      <c r="A4369" s="3" t="n">
        <v>44875</v>
      </c>
      <c r="B4369" t="n">
        <v>32083.38</v>
      </c>
      <c r="C4369" t="n">
        <v>11500.32</v>
      </c>
      <c r="D4369" t="n">
        <v>6576.79</v>
      </c>
      <c r="E4369" t="n">
        <v>13112.12</v>
      </c>
      <c r="F4369" t="n">
        <v>30716.75</v>
      </c>
    </row>
    <row r="4370">
      <c r="A4370" s="3" t="n">
        <v>44876</v>
      </c>
      <c r="B4370" t="n">
        <v>31965.07</v>
      </c>
      <c r="C4370" t="n">
        <v>11614.33</v>
      </c>
      <c r="D4370" t="n">
        <v>6635.61</v>
      </c>
      <c r="E4370" t="n">
        <v>13187.67</v>
      </c>
      <c r="F4370" t="n">
        <v>30693.9</v>
      </c>
    </row>
    <row r="4371">
      <c r="A4371" s="3" t="n">
        <v>44879</v>
      </c>
      <c r="B4371" t="n">
        <v>31763.76</v>
      </c>
      <c r="C4371" t="n">
        <v>11657.88</v>
      </c>
      <c r="D4371" t="n">
        <v>6668.7</v>
      </c>
      <c r="E4371" t="n">
        <v>13183.22</v>
      </c>
      <c r="F4371" t="n">
        <v>30619.55</v>
      </c>
    </row>
    <row r="4372">
      <c r="A4372" s="3" t="n">
        <v>44880</v>
      </c>
      <c r="B4372" t="n">
        <v>31842.87</v>
      </c>
      <c r="C4372" t="n">
        <v>11667.78</v>
      </c>
      <c r="D4372" t="n">
        <v>6690.88</v>
      </c>
      <c r="E4372" t="n">
        <v>13245.9</v>
      </c>
      <c r="F4372" t="n">
        <v>30645.55</v>
      </c>
    </row>
    <row r="4373">
      <c r="A4373" s="3" t="n">
        <v>44881</v>
      </c>
      <c r="B4373" t="n">
        <v>31717.61</v>
      </c>
      <c r="C4373" t="n">
        <v>11586.29</v>
      </c>
      <c r="D4373" t="n">
        <v>6653.77</v>
      </c>
      <c r="E4373" t="n">
        <v>13254.97</v>
      </c>
      <c r="F4373" t="n">
        <v>30462.15</v>
      </c>
    </row>
    <row r="4374">
      <c r="A4374" s="3" t="n">
        <v>44882</v>
      </c>
      <c r="B4374" t="n">
        <v>31705.6</v>
      </c>
      <c r="C4374" t="n">
        <v>11501.67</v>
      </c>
      <c r="D4374" t="n">
        <v>6652.21</v>
      </c>
      <c r="E4374" t="n">
        <v>13234.83</v>
      </c>
      <c r="F4374" t="n">
        <v>30385.35</v>
      </c>
    </row>
    <row r="4375">
      <c r="A4375" s="3" t="n">
        <v>44883</v>
      </c>
      <c r="B4375" t="n">
        <v>31426.44</v>
      </c>
      <c r="C4375" t="n">
        <v>11467.33</v>
      </c>
      <c r="D4375" t="n">
        <v>6646.07</v>
      </c>
      <c r="E4375" t="n">
        <v>13190.88</v>
      </c>
      <c r="F4375" t="n">
        <v>30164.95</v>
      </c>
    </row>
    <row r="4376">
      <c r="A4376" s="3" t="n">
        <v>44886</v>
      </c>
      <c r="B4376" t="n">
        <v>31301.33</v>
      </c>
      <c r="C4376" t="n">
        <v>11438.62</v>
      </c>
      <c r="D4376" t="n">
        <v>6651.27</v>
      </c>
      <c r="E4376" t="n">
        <v>13141.07</v>
      </c>
      <c r="F4376" t="n">
        <v>30064.95</v>
      </c>
    </row>
    <row r="4377">
      <c r="A4377" s="3" t="n">
        <v>44887</v>
      </c>
      <c r="B4377" t="n">
        <v>31464.4</v>
      </c>
      <c r="C4377" t="n">
        <v>11480.18</v>
      </c>
      <c r="D4377" t="n">
        <v>6677.06</v>
      </c>
      <c r="E4377" t="n">
        <v>13185.87</v>
      </c>
      <c r="F4377" t="n">
        <v>30176.05</v>
      </c>
    </row>
    <row r="4378">
      <c r="A4378" s="3" t="n">
        <v>44888</v>
      </c>
      <c r="B4378" t="n">
        <v>31509.26</v>
      </c>
      <c r="C4378" t="n">
        <v>11524.07</v>
      </c>
      <c r="D4378" t="n">
        <v>6699.18</v>
      </c>
      <c r="E4378" t="n">
        <v>13205.85</v>
      </c>
      <c r="F4378" t="n">
        <v>30336.4</v>
      </c>
    </row>
    <row r="4379">
      <c r="A4379" s="3" t="n">
        <v>44889</v>
      </c>
      <c r="B4379" t="n">
        <v>31594.04</v>
      </c>
      <c r="C4379" t="n">
        <v>11577.01</v>
      </c>
      <c r="D4379" t="n">
        <v>6779.01</v>
      </c>
      <c r="E4379" t="n">
        <v>13343</v>
      </c>
      <c r="F4379" t="n">
        <v>30378.75</v>
      </c>
    </row>
    <row r="4380">
      <c r="A4380" s="3" t="n">
        <v>44890</v>
      </c>
      <c r="B4380" t="n">
        <v>31674.86</v>
      </c>
      <c r="C4380" t="n">
        <v>11643.36</v>
      </c>
      <c r="D4380" t="n">
        <v>6870.42</v>
      </c>
      <c r="E4380" t="n">
        <v>13378.3</v>
      </c>
      <c r="F4380" t="n">
        <v>30465.9</v>
      </c>
    </row>
    <row r="4381">
      <c r="A4381" s="3" t="n">
        <v>44893</v>
      </c>
      <c r="B4381" t="n">
        <v>31784.4</v>
      </c>
      <c r="C4381" t="n">
        <v>11659.85</v>
      </c>
      <c r="D4381" t="n">
        <v>6896.97</v>
      </c>
      <c r="E4381" t="n">
        <v>13424.97</v>
      </c>
      <c r="F4381" t="n">
        <v>30549.65</v>
      </c>
    </row>
    <row r="4382">
      <c r="A4382" s="3" t="n">
        <v>44894</v>
      </c>
      <c r="B4382" t="n">
        <v>31597.05</v>
      </c>
      <c r="C4382" t="n">
        <v>11703.31</v>
      </c>
      <c r="D4382" t="n">
        <v>6905.1</v>
      </c>
      <c r="E4382" t="n">
        <v>13506.12</v>
      </c>
      <c r="F4382" t="n">
        <v>30378</v>
      </c>
    </row>
    <row r="4383">
      <c r="A4383" s="3" t="n">
        <v>44895</v>
      </c>
      <c r="B4383" t="n">
        <v>31998.19</v>
      </c>
      <c r="C4383" t="n">
        <v>11765.26</v>
      </c>
      <c r="D4383" t="n">
        <v>6954.91</v>
      </c>
      <c r="E4383" t="n">
        <v>13626.21</v>
      </c>
      <c r="F4383" t="n">
        <v>30688.1</v>
      </c>
    </row>
    <row r="4384">
      <c r="A4384" s="3" t="n">
        <v>44896</v>
      </c>
      <c r="B4384" t="n">
        <v>32038.08</v>
      </c>
      <c r="C4384" t="n">
        <v>11838.76</v>
      </c>
      <c r="D4384" t="n">
        <v>6995.52</v>
      </c>
      <c r="E4384" t="n">
        <v>13655.47</v>
      </c>
      <c r="F4384" t="n">
        <v>30746.95</v>
      </c>
    </row>
    <row r="4385">
      <c r="A4385" s="3" t="n">
        <v>44897</v>
      </c>
      <c r="B4385" t="n">
        <v>32107.7</v>
      </c>
      <c r="C4385" t="n">
        <v>11879.53</v>
      </c>
      <c r="D4385" t="n">
        <v>7013.35</v>
      </c>
      <c r="E4385" t="n">
        <v>13621.72</v>
      </c>
      <c r="F4385" t="n">
        <v>30833.05</v>
      </c>
    </row>
    <row r="4386">
      <c r="A4386" s="3" t="n">
        <v>44900</v>
      </c>
      <c r="B4386" t="n">
        <v>32174.5</v>
      </c>
      <c r="C4386" t="n">
        <v>11887.13</v>
      </c>
      <c r="D4386" t="n">
        <v>7085.41</v>
      </c>
      <c r="E4386" t="n">
        <v>13605.23</v>
      </c>
      <c r="F4386" t="n">
        <v>30811.4</v>
      </c>
    </row>
    <row r="4387">
      <c r="A4387" s="3" t="n">
        <v>44901</v>
      </c>
      <c r="B4387" t="n">
        <v>32157.59</v>
      </c>
      <c r="C4387" t="n">
        <v>11810.81</v>
      </c>
      <c r="D4387" t="n">
        <v>7056.97</v>
      </c>
      <c r="E4387" t="n">
        <v>13564.99</v>
      </c>
      <c r="F4387" t="n">
        <v>30776.7</v>
      </c>
    </row>
    <row r="4388">
      <c r="A4388" s="3" t="n">
        <v>44902</v>
      </c>
      <c r="B4388" t="n">
        <v>31990.23</v>
      </c>
      <c r="C4388" t="n">
        <v>11762.34</v>
      </c>
      <c r="D4388" t="n">
        <v>7038.8</v>
      </c>
      <c r="E4388" t="n">
        <v>13552.68</v>
      </c>
      <c r="F4388" t="n">
        <v>30650.65</v>
      </c>
    </row>
    <row r="4389">
      <c r="A4389" s="3" t="n">
        <v>44903</v>
      </c>
      <c r="B4389" t="n">
        <v>32098.24</v>
      </c>
      <c r="C4389" t="n">
        <v>11786.71</v>
      </c>
      <c r="D4389" t="n">
        <v>7102.85</v>
      </c>
      <c r="E4389" t="n">
        <v>13543.31</v>
      </c>
      <c r="F4389" t="n">
        <v>30786.85</v>
      </c>
    </row>
    <row r="4390">
      <c r="A4390" s="3" t="n">
        <v>44904</v>
      </c>
      <c r="B4390" t="n">
        <v>31958.5</v>
      </c>
      <c r="C4390" t="n">
        <v>11676.86</v>
      </c>
      <c r="D4390" t="n">
        <v>7030.17</v>
      </c>
      <c r="E4390" t="n">
        <v>13502.75</v>
      </c>
      <c r="F4390" t="n">
        <v>30706.7</v>
      </c>
    </row>
    <row r="4391">
      <c r="A4391" s="3" t="n">
        <v>44907</v>
      </c>
      <c r="B4391" t="n">
        <v>31894.4</v>
      </c>
      <c r="C4391" t="n">
        <v>11685.79</v>
      </c>
      <c r="D4391" t="n">
        <v>7108.71</v>
      </c>
      <c r="E4391" t="n">
        <v>13523.99</v>
      </c>
      <c r="F4391" t="n">
        <v>30851.8</v>
      </c>
    </row>
    <row r="4392">
      <c r="A4392" s="3" t="n">
        <v>44908</v>
      </c>
      <c r="B4392" t="n">
        <v>31977.66</v>
      </c>
      <c r="C4392" t="n">
        <v>11739.3</v>
      </c>
      <c r="D4392" t="n">
        <v>7141.01</v>
      </c>
      <c r="E4392" t="n">
        <v>13555.8</v>
      </c>
      <c r="F4392" t="n">
        <v>30944.5</v>
      </c>
    </row>
    <row r="4393">
      <c r="A4393" s="3" t="n">
        <v>44909</v>
      </c>
      <c r="B4393" t="n">
        <v>32152.03</v>
      </c>
      <c r="C4393" t="n">
        <v>11770.4</v>
      </c>
      <c r="D4393" t="n">
        <v>7215.33</v>
      </c>
      <c r="E4393" t="n">
        <v>13560.71</v>
      </c>
      <c r="F4393" t="n">
        <v>30982.45</v>
      </c>
    </row>
    <row r="4394">
      <c r="A4394" s="3" t="n">
        <v>44910</v>
      </c>
      <c r="B4394" t="n">
        <v>31825.61</v>
      </c>
      <c r="C4394" t="n">
        <v>11649.14</v>
      </c>
      <c r="D4394" t="n">
        <v>7160.02</v>
      </c>
      <c r="E4394" t="n">
        <v>13446.36</v>
      </c>
      <c r="F4394" t="n">
        <v>30710.6</v>
      </c>
    </row>
    <row r="4395">
      <c r="A4395" s="3" t="n">
        <v>44911</v>
      </c>
      <c r="B4395" t="n">
        <v>31372.53</v>
      </c>
      <c r="C4395" t="n">
        <v>11551.73</v>
      </c>
      <c r="D4395" t="n">
        <v>7063.96</v>
      </c>
      <c r="E4395" t="n">
        <v>13299.16</v>
      </c>
      <c r="F4395" t="n">
        <v>30390.1</v>
      </c>
    </row>
    <row r="4396">
      <c r="A4396" s="3" t="n">
        <v>44914</v>
      </c>
      <c r="B4396" t="n">
        <v>31677.92</v>
      </c>
      <c r="C4396" t="n">
        <v>11624.37</v>
      </c>
      <c r="D4396" t="n">
        <v>7118.68</v>
      </c>
      <c r="E4396" t="n">
        <v>13440.27</v>
      </c>
      <c r="F4396" t="n">
        <v>30590.5</v>
      </c>
    </row>
    <row r="4397">
      <c r="A4397" s="3" t="n">
        <v>44915</v>
      </c>
      <c r="B4397" t="n">
        <v>31642.91</v>
      </c>
      <c r="C4397" t="n">
        <v>11597.02</v>
      </c>
      <c r="D4397" t="n">
        <v>7097.03</v>
      </c>
      <c r="E4397" t="n">
        <v>13396.44</v>
      </c>
      <c r="F4397" t="n">
        <v>30486.5</v>
      </c>
    </row>
    <row r="4398">
      <c r="A4398" s="3" t="n">
        <v>44916</v>
      </c>
      <c r="B4398" t="n">
        <v>30880.48</v>
      </c>
      <c r="C4398" t="n">
        <v>11516.93</v>
      </c>
      <c r="D4398" t="n">
        <v>6956.16</v>
      </c>
      <c r="E4398" t="n">
        <v>13296.22</v>
      </c>
      <c r="F4398" t="n">
        <v>29634.05</v>
      </c>
    </row>
    <row r="4399">
      <c r="A4399" s="3" t="n">
        <v>44917</v>
      </c>
      <c r="B4399" t="n">
        <v>30546.95</v>
      </c>
      <c r="C4399" t="n">
        <v>11438.76</v>
      </c>
      <c r="D4399" t="n">
        <v>6885.53</v>
      </c>
      <c r="E4399" t="n">
        <v>13269.56</v>
      </c>
      <c r="F4399" t="n">
        <v>29241.55</v>
      </c>
    </row>
    <row r="4400">
      <c r="A4400" s="3" t="n">
        <v>44918</v>
      </c>
      <c r="B4400" t="n">
        <v>29405.62</v>
      </c>
      <c r="C4400" t="n">
        <v>11148.34</v>
      </c>
      <c r="D4400" t="n">
        <v>6620.31</v>
      </c>
      <c r="E4400" t="n">
        <v>13031.67</v>
      </c>
      <c r="F4400" t="n">
        <v>27860.05</v>
      </c>
    </row>
    <row r="4401">
      <c r="A4401" s="3" t="n">
        <v>44921</v>
      </c>
      <c r="B4401" t="n">
        <v>30305.1</v>
      </c>
      <c r="C4401" t="n">
        <v>11310.57</v>
      </c>
      <c r="D4401" t="n">
        <v>6830.05</v>
      </c>
      <c r="E4401" t="n">
        <v>13153.83</v>
      </c>
      <c r="F4401" t="n">
        <v>28823.35</v>
      </c>
    </row>
    <row r="4402">
      <c r="A4402" s="3" t="n">
        <v>44922</v>
      </c>
      <c r="B4402" t="n">
        <v>30543.68</v>
      </c>
      <c r="C4402" t="n">
        <v>11419.88</v>
      </c>
      <c r="D4402" t="n">
        <v>6942.72</v>
      </c>
      <c r="E4402" t="n">
        <v>13210.67</v>
      </c>
      <c r="F4402" t="n">
        <v>29133.25</v>
      </c>
    </row>
    <row r="4403">
      <c r="A4403" s="3" t="n">
        <v>44923</v>
      </c>
      <c r="B4403" t="n">
        <v>30686.86</v>
      </c>
      <c r="C4403" t="n">
        <v>11421.43</v>
      </c>
      <c r="D4403" t="n">
        <v>6958.72</v>
      </c>
      <c r="E4403" t="n">
        <v>13206.34</v>
      </c>
      <c r="F4403" t="n">
        <v>29498.8</v>
      </c>
    </row>
    <row r="4404">
      <c r="A4404" s="3" t="n">
        <v>44924</v>
      </c>
      <c r="B4404" t="n">
        <v>30635.82</v>
      </c>
      <c r="C4404" t="n">
        <v>11419.04</v>
      </c>
      <c r="D4404" t="n">
        <v>6990.96</v>
      </c>
      <c r="E4404" t="n">
        <v>13216.44</v>
      </c>
      <c r="F4404" t="n">
        <v>29637.7</v>
      </c>
    </row>
    <row r="4405">
      <c r="A4405" s="3" t="n">
        <v>44925</v>
      </c>
      <c r="B4405" t="n">
        <v>30899.57</v>
      </c>
      <c r="C4405" t="n">
        <v>11437.63</v>
      </c>
      <c r="D4405" t="n">
        <v>7058.28</v>
      </c>
      <c r="E4405" t="n">
        <v>13178.02</v>
      </c>
      <c r="F4405" t="n">
        <v>29685.5</v>
      </c>
    </row>
    <row r="4406">
      <c r="A4406" s="3" t="n">
        <v>44928</v>
      </c>
      <c r="B4406" t="n">
        <v>31024.87</v>
      </c>
      <c r="C4406" t="n">
        <v>11512.58</v>
      </c>
      <c r="D4406" t="n">
        <v>7198.05</v>
      </c>
      <c r="E4406" t="n">
        <v>13202.94</v>
      </c>
      <c r="F4406" t="n">
        <v>29670.15</v>
      </c>
    </row>
    <row r="4407">
      <c r="A4407" s="3" t="n">
        <v>44929</v>
      </c>
      <c r="B4407" t="n">
        <v>31073.07</v>
      </c>
      <c r="C4407" t="n">
        <v>11528.93</v>
      </c>
      <c r="D4407" t="n">
        <v>7222.05</v>
      </c>
      <c r="E4407" t="n">
        <v>13274.34</v>
      </c>
      <c r="F4407" t="n">
        <v>29649.25</v>
      </c>
    </row>
    <row r="4408">
      <c r="A4408" s="3" t="n">
        <v>44930</v>
      </c>
      <c r="B4408" t="n">
        <v>30670.61</v>
      </c>
      <c r="C4408" t="n">
        <v>11443.36</v>
      </c>
      <c r="D4408" t="n">
        <v>7115.16</v>
      </c>
      <c r="E4408" t="n">
        <v>13207.99</v>
      </c>
      <c r="F4408" t="n">
        <v>29292.9</v>
      </c>
    </row>
    <row r="4409">
      <c r="A4409" s="3" t="n">
        <v>44931</v>
      </c>
      <c r="B4409" t="n">
        <v>30833.05</v>
      </c>
      <c r="C4409" t="n">
        <v>11476.51</v>
      </c>
      <c r="D4409" t="n">
        <v>7163.65</v>
      </c>
      <c r="E4409" t="n">
        <v>13327.15</v>
      </c>
      <c r="F4409" t="n">
        <v>29395.7</v>
      </c>
    </row>
    <row r="4410">
      <c r="A4410" s="3" t="n">
        <v>44932</v>
      </c>
      <c r="B4410" t="n">
        <v>30637.2</v>
      </c>
      <c r="C4410" t="n">
        <v>11369.53</v>
      </c>
      <c r="D4410" t="n">
        <v>7137.87</v>
      </c>
      <c r="E4410" t="n">
        <v>13258.87</v>
      </c>
      <c r="F4410" t="n">
        <v>29170.85</v>
      </c>
    </row>
    <row r="4411">
      <c r="A4411" s="3" t="n">
        <v>44935</v>
      </c>
      <c r="B4411" t="n">
        <v>30859.55</v>
      </c>
      <c r="C4411" t="n">
        <v>11456.37</v>
      </c>
      <c r="D4411" t="n">
        <v>7202.18</v>
      </c>
      <c r="E4411" t="n">
        <v>13355.67</v>
      </c>
      <c r="F4411" t="n">
        <v>29444.55</v>
      </c>
    </row>
    <row r="4412">
      <c r="A4412" s="3" t="n">
        <v>44936</v>
      </c>
      <c r="B4412" t="n">
        <v>30462.33</v>
      </c>
      <c r="C4412" t="n">
        <v>11443.44</v>
      </c>
      <c r="D4412" t="n">
        <v>7173.3</v>
      </c>
      <c r="E4412" t="n">
        <v>13255.26</v>
      </c>
      <c r="F4412" t="n">
        <v>29143.35</v>
      </c>
    </row>
    <row r="4413">
      <c r="A4413" s="3" t="n">
        <v>44937</v>
      </c>
      <c r="B4413" t="n">
        <v>30393.8</v>
      </c>
      <c r="C4413" t="n">
        <v>11410.4</v>
      </c>
      <c r="D4413" t="n">
        <v>7202.72</v>
      </c>
      <c r="E4413" t="n">
        <v>13180.13</v>
      </c>
      <c r="F4413" t="n">
        <v>29012.7</v>
      </c>
    </row>
    <row r="4414">
      <c r="A4414" s="3" t="n">
        <v>44938</v>
      </c>
      <c r="B4414" t="n">
        <v>30402.38</v>
      </c>
      <c r="C4414" t="n">
        <v>11399.1</v>
      </c>
      <c r="D4414" t="n">
        <v>7152.6</v>
      </c>
      <c r="E4414" t="n">
        <v>13203.36</v>
      </c>
      <c r="F4414" t="n">
        <v>29030.35</v>
      </c>
    </row>
    <row r="4415">
      <c r="A4415" s="3" t="n">
        <v>44939</v>
      </c>
      <c r="B4415" t="n">
        <v>30526.04</v>
      </c>
      <c r="C4415" t="n">
        <v>11411.19</v>
      </c>
      <c r="D4415" t="n">
        <v>7205.07</v>
      </c>
      <c r="E4415" t="n">
        <v>13247.21</v>
      </c>
      <c r="F4415" t="n">
        <v>29166.1</v>
      </c>
    </row>
    <row r="4416">
      <c r="A4416" s="3" t="n">
        <v>44942</v>
      </c>
      <c r="B4416" t="n">
        <v>30617.07</v>
      </c>
      <c r="C4416" t="n">
        <v>11391.33</v>
      </c>
      <c r="D4416" t="n">
        <v>7193.37</v>
      </c>
      <c r="E4416" t="n">
        <v>13221.33</v>
      </c>
      <c r="F4416" t="n">
        <v>29240.1</v>
      </c>
    </row>
    <row r="4417">
      <c r="A4417" s="3" t="n">
        <v>44943</v>
      </c>
      <c r="B4417" t="n">
        <v>30546.22</v>
      </c>
      <c r="C4417" t="n">
        <v>11415.89</v>
      </c>
      <c r="D4417" t="n">
        <v>7189.32</v>
      </c>
      <c r="E4417" t="n">
        <v>13270.89</v>
      </c>
      <c r="F4417" t="n">
        <v>29430.5</v>
      </c>
    </row>
    <row r="4418">
      <c r="A4418" s="3" t="n">
        <v>44944</v>
      </c>
      <c r="B4418" t="n">
        <v>30423.62</v>
      </c>
      <c r="C4418" t="n">
        <v>11472.09</v>
      </c>
      <c r="D4418" t="n">
        <v>7257.97</v>
      </c>
      <c r="E4418" t="n">
        <v>13327.76</v>
      </c>
      <c r="F4418" t="n">
        <v>29280.9</v>
      </c>
    </row>
    <row r="4419">
      <c r="A4419" s="3" t="n">
        <v>44945</v>
      </c>
      <c r="B4419" t="n">
        <v>30344.02</v>
      </c>
      <c r="C4419" t="n">
        <v>11440.71</v>
      </c>
      <c r="D4419" t="n">
        <v>7301.23</v>
      </c>
      <c r="E4419" t="n">
        <v>13278.61</v>
      </c>
      <c r="F4419" t="n">
        <v>29182.55</v>
      </c>
    </row>
    <row r="4420">
      <c r="A4420" s="3" t="n">
        <v>44946</v>
      </c>
      <c r="B4420" t="n">
        <v>30319.87</v>
      </c>
      <c r="C4420" t="n">
        <v>11386.05</v>
      </c>
      <c r="D4420" t="n">
        <v>7276.77</v>
      </c>
      <c r="E4420" t="n">
        <v>13191.46</v>
      </c>
      <c r="F4420" t="n">
        <v>29114.1</v>
      </c>
    </row>
    <row r="4421">
      <c r="A4421" s="3" t="n">
        <v>44949</v>
      </c>
      <c r="B4421" t="n">
        <v>30334.56</v>
      </c>
      <c r="C4421" t="n">
        <v>11455.04</v>
      </c>
      <c r="D4421" t="n">
        <v>7300.67</v>
      </c>
      <c r="E4421" t="n">
        <v>13205.97</v>
      </c>
      <c r="F4421" t="n">
        <v>29035.65</v>
      </c>
    </row>
    <row r="4422">
      <c r="A4422" s="3" t="n">
        <v>44950</v>
      </c>
      <c r="B4422" t="n">
        <v>30244.62</v>
      </c>
      <c r="C4422" t="n">
        <v>11413.4</v>
      </c>
      <c r="D4422" t="n">
        <v>7239.85</v>
      </c>
      <c r="E4422" t="n">
        <v>13165.33</v>
      </c>
      <c r="F4422" t="n">
        <v>29020.75</v>
      </c>
    </row>
    <row r="4423">
      <c r="A4423" s="3" t="n">
        <v>44951</v>
      </c>
      <c r="B4423" t="n">
        <v>29751.89</v>
      </c>
      <c r="C4423" t="n">
        <v>11288.11</v>
      </c>
      <c r="D4423" t="n">
        <v>7156.43</v>
      </c>
      <c r="E4423" t="n">
        <v>13062.12</v>
      </c>
      <c r="F4423" t="n">
        <v>28484.9</v>
      </c>
    </row>
    <row r="4424">
      <c r="A4424" s="3" t="n">
        <v>44953</v>
      </c>
      <c r="B4424" t="n">
        <v>28877.93</v>
      </c>
      <c r="C4424" t="n">
        <v>11201.7</v>
      </c>
      <c r="D4424" t="n">
        <v>6995.36</v>
      </c>
      <c r="E4424" t="n">
        <v>13004.27</v>
      </c>
      <c r="F4424" t="n">
        <v>27228.55</v>
      </c>
    </row>
    <row r="4425">
      <c r="A4425" s="3" t="n">
        <v>44956</v>
      </c>
      <c r="B4425" t="n">
        <v>28874.84</v>
      </c>
      <c r="C4425" t="n">
        <v>11181.64</v>
      </c>
      <c r="D4425" t="n">
        <v>6967.57</v>
      </c>
      <c r="E4425" t="n">
        <v>13014.55</v>
      </c>
      <c r="F4425" t="n">
        <v>26825</v>
      </c>
    </row>
    <row r="4426">
      <c r="A4426" s="3" t="n">
        <v>44957</v>
      </c>
      <c r="B4426" t="n">
        <v>29724.37</v>
      </c>
      <c r="C4426" t="n">
        <v>11238.51</v>
      </c>
      <c r="D4426" t="n">
        <v>7115.05</v>
      </c>
      <c r="E4426" t="n">
        <v>13038.64</v>
      </c>
      <c r="F4426" t="n">
        <v>27358.05</v>
      </c>
    </row>
    <row r="4427">
      <c r="A4427" s="3" t="n">
        <v>44958</v>
      </c>
      <c r="B4427" t="n">
        <v>28722.85</v>
      </c>
      <c r="C4427" t="n">
        <v>11196.75</v>
      </c>
      <c r="D4427" t="n">
        <v>6992.16</v>
      </c>
      <c r="E4427" t="n">
        <v>12952.67</v>
      </c>
      <c r="F4427" t="n">
        <v>26516.9</v>
      </c>
    </row>
    <row r="4428">
      <c r="A4428" s="3" t="n">
        <v>44959</v>
      </c>
      <c r="B4428" t="n">
        <v>28677.93</v>
      </c>
      <c r="C4428" t="n">
        <v>11225.57</v>
      </c>
      <c r="D4428" t="n">
        <v>6968.81</v>
      </c>
      <c r="E4428" t="n">
        <v>12937.84</v>
      </c>
      <c r="F4428" t="n">
        <v>26266.7</v>
      </c>
    </row>
    <row r="4429">
      <c r="A4429" s="3" t="n">
        <v>44960</v>
      </c>
      <c r="B4429" t="n">
        <v>28771.89</v>
      </c>
      <c r="C4429" t="n">
        <v>11139.11</v>
      </c>
      <c r="D4429" t="n">
        <v>6995.57</v>
      </c>
      <c r="E4429" t="n">
        <v>13000.8</v>
      </c>
      <c r="F4429" t="n">
        <v>26202.5</v>
      </c>
    </row>
    <row r="4430">
      <c r="A4430" s="3" t="n">
        <v>44963</v>
      </c>
      <c r="B4430" t="n">
        <v>28989.47</v>
      </c>
      <c r="C4430" t="n">
        <v>11169.38</v>
      </c>
      <c r="D4430" t="n">
        <v>6990.88</v>
      </c>
      <c r="E4430" t="n">
        <v>13031.82</v>
      </c>
      <c r="F4430" t="n">
        <v>26309.55</v>
      </c>
    </row>
    <row r="4431">
      <c r="A4431" s="3" t="n">
        <v>44964</v>
      </c>
      <c r="B4431" t="n">
        <v>29090.83</v>
      </c>
      <c r="C4431" t="n">
        <v>11086.86</v>
      </c>
      <c r="D4431" t="n">
        <v>6930.94</v>
      </c>
      <c r="E4431" t="n">
        <v>13000.46</v>
      </c>
      <c r="F4431" t="n">
        <v>26271.15</v>
      </c>
    </row>
    <row r="4432">
      <c r="A4432" s="3" t="n">
        <v>44965</v>
      </c>
      <c r="B4432" t="n">
        <v>29352.28</v>
      </c>
      <c r="C4432" t="n">
        <v>11186.92</v>
      </c>
      <c r="D4432" t="n">
        <v>6981.88</v>
      </c>
      <c r="E4432" t="n">
        <v>13080.21</v>
      </c>
      <c r="F4432" t="n">
        <v>26531.15</v>
      </c>
    </row>
    <row r="4433">
      <c r="A4433" s="3" t="n">
        <v>44966</v>
      </c>
      <c r="B4433" t="n">
        <v>29199.1</v>
      </c>
      <c r="C4433" t="n">
        <v>11163.09</v>
      </c>
      <c r="D4433" t="n">
        <v>6989.77</v>
      </c>
      <c r="E4433" t="n">
        <v>13053.1</v>
      </c>
      <c r="F4433" t="n">
        <v>26336.05</v>
      </c>
    </row>
    <row r="4434">
      <c r="A4434" s="3" t="n">
        <v>44967</v>
      </c>
      <c r="B4434" t="n">
        <v>29221.49</v>
      </c>
      <c r="C4434" t="n">
        <v>11116.65</v>
      </c>
      <c r="D4434" t="n">
        <v>6972.95</v>
      </c>
      <c r="E4434" t="n">
        <v>13063.61</v>
      </c>
      <c r="F4434" t="n">
        <v>26307.1</v>
      </c>
    </row>
    <row r="4435">
      <c r="A4435" s="3" t="n">
        <v>44970</v>
      </c>
      <c r="B4435" t="n">
        <v>28803.34</v>
      </c>
      <c r="C4435" t="n">
        <v>10981.68</v>
      </c>
      <c r="D4435" t="n">
        <v>6923.42</v>
      </c>
      <c r="E4435" t="n">
        <v>13018.38</v>
      </c>
      <c r="F4435" t="n">
        <v>25952.25</v>
      </c>
    </row>
    <row r="4436">
      <c r="A4436" s="3" t="n">
        <v>44971</v>
      </c>
      <c r="B4436" t="n">
        <v>28776.2</v>
      </c>
      <c r="C4436" t="n">
        <v>10985.85</v>
      </c>
      <c r="D4436" t="n">
        <v>6936.42</v>
      </c>
      <c r="E4436" t="n">
        <v>12991.09</v>
      </c>
      <c r="F4436" t="n">
        <v>25895.1</v>
      </c>
    </row>
    <row r="4437">
      <c r="A4437" s="3" t="n">
        <v>44972</v>
      </c>
      <c r="B4437" t="n">
        <v>28909.41</v>
      </c>
      <c r="C4437" t="n">
        <v>11053.99</v>
      </c>
      <c r="D4437" t="n">
        <v>6963.09</v>
      </c>
      <c r="E4437" t="n">
        <v>13067.76</v>
      </c>
      <c r="F4437" t="n">
        <v>25874.65</v>
      </c>
    </row>
    <row r="4438">
      <c r="A4438" s="3" t="n">
        <v>44973</v>
      </c>
      <c r="B4438" t="n">
        <v>29288.06</v>
      </c>
      <c r="C4438" t="n">
        <v>11163.72</v>
      </c>
      <c r="D4438" t="n">
        <v>7008.74</v>
      </c>
      <c r="E4438" t="n">
        <v>13068.55</v>
      </c>
      <c r="F4438" t="n">
        <v>26213.8</v>
      </c>
    </row>
    <row r="4439">
      <c r="A4439" s="3" t="n">
        <v>44974</v>
      </c>
      <c r="B4439" t="n">
        <v>28992.61</v>
      </c>
      <c r="C4439" t="n">
        <v>11106.18</v>
      </c>
      <c r="D4439" t="n">
        <v>6993.15</v>
      </c>
      <c r="E4439" t="n">
        <v>13016.59</v>
      </c>
      <c r="F4439" t="n">
        <v>26091.5</v>
      </c>
    </row>
    <row r="4440">
      <c r="A4440" s="3" t="n">
        <v>44977</v>
      </c>
      <c r="B4440" t="n">
        <v>28852.8</v>
      </c>
      <c r="C4440" t="n">
        <v>11129.62</v>
      </c>
      <c r="D4440" t="n">
        <v>6950.39</v>
      </c>
      <c r="E4440" t="n">
        <v>12969.87</v>
      </c>
      <c r="F4440" t="n">
        <v>26049.6</v>
      </c>
    </row>
    <row r="4441">
      <c r="A4441" s="3" t="n">
        <v>44978</v>
      </c>
      <c r="B4441" t="n">
        <v>28707.54</v>
      </c>
      <c r="C4441" t="n">
        <v>11147.81</v>
      </c>
      <c r="D4441" t="n">
        <v>6926.93</v>
      </c>
      <c r="E4441" t="n">
        <v>12967.54</v>
      </c>
      <c r="F4441" t="n">
        <v>25953.9</v>
      </c>
    </row>
    <row r="4442">
      <c r="A4442" s="3" t="n">
        <v>44979</v>
      </c>
      <c r="B4442" t="n">
        <v>28150.29</v>
      </c>
      <c r="C4442" t="n">
        <v>11040.18</v>
      </c>
      <c r="D4442" t="n">
        <v>6816.66</v>
      </c>
      <c r="E4442" t="n">
        <v>12860.36</v>
      </c>
      <c r="F4442" t="n">
        <v>25452.65</v>
      </c>
    </row>
    <row r="4443">
      <c r="A4443" s="3" t="n">
        <v>44980</v>
      </c>
      <c r="B4443" t="n">
        <v>28295.45</v>
      </c>
      <c r="C4443" t="n">
        <v>11028.42</v>
      </c>
      <c r="D4443" t="n">
        <v>6834.83</v>
      </c>
      <c r="E4443" t="n">
        <v>12817.96</v>
      </c>
      <c r="F4443" t="n">
        <v>25413.85</v>
      </c>
    </row>
    <row r="4444">
      <c r="A4444" s="3" t="n">
        <v>44981</v>
      </c>
      <c r="B4444" t="n">
        <v>28134.73</v>
      </c>
      <c r="C4444" t="n">
        <v>11033.51</v>
      </c>
      <c r="D4444" t="n">
        <v>6811.48</v>
      </c>
      <c r="E4444" t="n">
        <v>12822.47</v>
      </c>
      <c r="F4444" t="n">
        <v>25231.05</v>
      </c>
    </row>
    <row r="4445">
      <c r="A4445" s="3" t="n">
        <v>44984</v>
      </c>
      <c r="B4445" t="n">
        <v>28069.45</v>
      </c>
      <c r="C4445" t="n">
        <v>10952.72</v>
      </c>
      <c r="D4445" t="n">
        <v>6769.78</v>
      </c>
      <c r="E4445" t="n">
        <v>12734.69</v>
      </c>
      <c r="F4445" t="n">
        <v>24982.7</v>
      </c>
    </row>
    <row r="4446">
      <c r="A4446" s="3" t="n">
        <v>44985</v>
      </c>
      <c r="B4446" t="n">
        <v>28432.66</v>
      </c>
      <c r="C4446" t="n">
        <v>10950.78</v>
      </c>
      <c r="D4446" t="n">
        <v>6735.88</v>
      </c>
      <c r="E4446" t="n">
        <v>12734.13</v>
      </c>
      <c r="F4446" t="n">
        <v>25277.2</v>
      </c>
    </row>
    <row r="4447">
      <c r="A4447" s="3" t="n">
        <v>44986</v>
      </c>
      <c r="B4447" t="n">
        <v>29114.68</v>
      </c>
      <c r="C4447" t="n">
        <v>11046.36</v>
      </c>
      <c r="D4447" t="n">
        <v>6848.27</v>
      </c>
      <c r="E4447" t="n">
        <v>12794.79</v>
      </c>
      <c r="F4447" t="n">
        <v>25856.25</v>
      </c>
    </row>
    <row r="4448">
      <c r="A4448" s="3" t="n">
        <v>44987</v>
      </c>
      <c r="B4448" t="n">
        <v>29180.72</v>
      </c>
      <c r="C4448" t="n">
        <v>11031.31</v>
      </c>
      <c r="D4448" t="n">
        <v>6854.51</v>
      </c>
      <c r="E4448" t="n">
        <v>12775.71</v>
      </c>
      <c r="F4448" t="n">
        <v>25872.45</v>
      </c>
    </row>
    <row r="4449">
      <c r="A4449" s="3" t="n">
        <v>44988</v>
      </c>
      <c r="B4449" t="n">
        <v>29532.58</v>
      </c>
      <c r="C4449" t="n">
        <v>11045.66</v>
      </c>
      <c r="D4449" t="n">
        <v>6955.44</v>
      </c>
      <c r="E4449" t="n">
        <v>12845.76</v>
      </c>
      <c r="F4449" t="n">
        <v>26250.8</v>
      </c>
    </row>
    <row r="4450">
      <c r="A4450" s="3" t="n">
        <v>44991</v>
      </c>
      <c r="B4450" t="n">
        <v>29728.72</v>
      </c>
      <c r="C4450" t="n">
        <v>11115.72</v>
      </c>
      <c r="D4450" t="n">
        <v>7030.09</v>
      </c>
      <c r="E4450" t="n">
        <v>12926.81</v>
      </c>
      <c r="F4450" t="n">
        <v>26530.5</v>
      </c>
    </row>
    <row r="4451">
      <c r="A4451" s="3" t="n">
        <v>44993</v>
      </c>
      <c r="B4451" t="n">
        <v>30050.8</v>
      </c>
      <c r="C4451" t="n">
        <v>11109.48</v>
      </c>
      <c r="D4451" t="n">
        <v>7082.32</v>
      </c>
      <c r="E4451" t="n">
        <v>12974.92</v>
      </c>
      <c r="F4451" t="n">
        <v>26772.1</v>
      </c>
    </row>
    <row r="4452">
      <c r="A4452" s="3" t="n">
        <v>44994</v>
      </c>
      <c r="B4452" t="n">
        <v>29786.51</v>
      </c>
      <c r="C4452" t="n">
        <v>11070.51</v>
      </c>
      <c r="D4452" t="n">
        <v>7066.83</v>
      </c>
      <c r="E4452" t="n">
        <v>12912.09</v>
      </c>
      <c r="F4452" t="n">
        <v>26661.8</v>
      </c>
    </row>
    <row r="4453">
      <c r="A4453" s="3" t="n">
        <v>44995</v>
      </c>
      <c r="B4453" t="n">
        <v>29451.46</v>
      </c>
      <c r="C4453" t="n">
        <v>11011.65</v>
      </c>
      <c r="D4453" t="n">
        <v>7026.65</v>
      </c>
      <c r="E4453" t="n">
        <v>12915.1</v>
      </c>
      <c r="F4453" t="n">
        <v>26526.95</v>
      </c>
    </row>
    <row r="4454">
      <c r="A4454" s="3" t="n">
        <v>44998</v>
      </c>
      <c r="B4454" t="n">
        <v>28832.12</v>
      </c>
      <c r="C4454" t="n">
        <v>10858.09</v>
      </c>
      <c r="D4454" t="n">
        <v>6924.31</v>
      </c>
      <c r="E4454" t="n">
        <v>12753.65</v>
      </c>
      <c r="F4454" t="n">
        <v>26105.85</v>
      </c>
    </row>
    <row r="4455">
      <c r="A4455" s="3" t="n">
        <v>44999</v>
      </c>
      <c r="B4455" t="n">
        <v>28591</v>
      </c>
      <c r="C4455" t="n">
        <v>10808.1</v>
      </c>
      <c r="D4455" t="n">
        <v>6879.72</v>
      </c>
      <c r="E4455" t="n">
        <v>12709.12</v>
      </c>
      <c r="F4455" t="n">
        <v>25746.25</v>
      </c>
    </row>
    <row r="4456">
      <c r="A4456" s="3" t="n">
        <v>45000</v>
      </c>
      <c r="B4456" t="n">
        <v>28622.64</v>
      </c>
      <c r="C4456" t="n">
        <v>10831.33</v>
      </c>
      <c r="D4456" t="n">
        <v>6904.39</v>
      </c>
      <c r="E4456" t="n">
        <v>12709.95</v>
      </c>
      <c r="F4456" t="n">
        <v>25821.3</v>
      </c>
    </row>
    <row r="4457">
      <c r="A4457" s="3" t="n">
        <v>45001</v>
      </c>
      <c r="B4457" t="n">
        <v>28495.46</v>
      </c>
      <c r="C4457" t="n">
        <v>10793.78</v>
      </c>
      <c r="D4457" t="n">
        <v>6906.88</v>
      </c>
      <c r="E4457" t="n">
        <v>12778.09</v>
      </c>
      <c r="F4457" t="n">
        <v>25657.75</v>
      </c>
    </row>
    <row r="4458">
      <c r="A4458" s="3" t="n">
        <v>45002</v>
      </c>
      <c r="B4458" t="n">
        <v>28727.7</v>
      </c>
      <c r="C4458" t="n">
        <v>10846.87</v>
      </c>
      <c r="D4458" t="n">
        <v>6956.35</v>
      </c>
      <c r="E4458" t="n">
        <v>12793.51</v>
      </c>
      <c r="F4458" t="n">
        <v>25863</v>
      </c>
    </row>
    <row r="4459">
      <c r="A4459" s="3" t="n">
        <v>45005</v>
      </c>
      <c r="B4459" t="n">
        <v>28341.22</v>
      </c>
      <c r="C4459" t="n">
        <v>10771.52</v>
      </c>
      <c r="D4459" t="n">
        <v>6894.35</v>
      </c>
      <c r="E4459" t="n">
        <v>12756.37</v>
      </c>
      <c r="F4459" t="n">
        <v>25421.75</v>
      </c>
    </row>
    <row r="4460">
      <c r="A4460" s="3" t="n">
        <v>45006</v>
      </c>
      <c r="B4460" t="n">
        <v>28551.45</v>
      </c>
      <c r="C4460" t="n">
        <v>10787.98</v>
      </c>
      <c r="D4460" t="n">
        <v>6927.38</v>
      </c>
      <c r="E4460" t="n">
        <v>12796.24</v>
      </c>
      <c r="F4460" t="n">
        <v>25725.45</v>
      </c>
    </row>
    <row r="4461">
      <c r="A4461" s="3" t="n">
        <v>45007</v>
      </c>
      <c r="B4461" t="n">
        <v>28596.98</v>
      </c>
      <c r="C4461" t="n">
        <v>10798.72</v>
      </c>
      <c r="D4461" t="n">
        <v>6928.49</v>
      </c>
      <c r="E4461" t="n">
        <v>12859.39</v>
      </c>
      <c r="F4461" t="n">
        <v>25946.75</v>
      </c>
    </row>
    <row r="4462">
      <c r="A4462" s="3" t="n">
        <v>45008</v>
      </c>
      <c r="B4462" t="n">
        <v>28330.75</v>
      </c>
      <c r="C4462" t="n">
        <v>10779.88</v>
      </c>
      <c r="D4462" t="n">
        <v>6889.32</v>
      </c>
      <c r="E4462" t="n">
        <v>12824.25</v>
      </c>
      <c r="F4462" t="n">
        <v>25832.45</v>
      </c>
    </row>
    <row r="4463">
      <c r="A4463" s="3" t="n">
        <v>45009</v>
      </c>
      <c r="B4463" t="n">
        <v>28085.15</v>
      </c>
      <c r="C4463" t="n">
        <v>10635.06</v>
      </c>
      <c r="D4463" t="n">
        <v>6775.68</v>
      </c>
      <c r="E4463" t="n">
        <v>12736.16</v>
      </c>
      <c r="F4463" t="n">
        <v>25550.2</v>
      </c>
    </row>
    <row r="4464">
      <c r="A4464" s="3" t="n">
        <v>45012</v>
      </c>
      <c r="B4464" t="n">
        <v>27914.11</v>
      </c>
      <c r="C4464" t="n">
        <v>10588.12</v>
      </c>
      <c r="D4464" t="n">
        <v>6752.73</v>
      </c>
      <c r="E4464" t="n">
        <v>12736.43</v>
      </c>
      <c r="F4464" t="n">
        <v>25280.15</v>
      </c>
    </row>
    <row r="4465">
      <c r="A4465" s="3" t="n">
        <v>45013</v>
      </c>
      <c r="B4465" t="n">
        <v>27841</v>
      </c>
      <c r="C4465" t="n">
        <v>10543.86</v>
      </c>
      <c r="D4465" t="n">
        <v>6734.51</v>
      </c>
      <c r="E4465" t="n">
        <v>12683.75</v>
      </c>
      <c r="F4465" t="n">
        <v>25170.55</v>
      </c>
    </row>
    <row r="4466">
      <c r="A4466" s="3" t="n">
        <v>45014</v>
      </c>
      <c r="B4466" t="n">
        <v>28550.94</v>
      </c>
      <c r="C4466" t="n">
        <v>10652.56</v>
      </c>
      <c r="D4466" t="n">
        <v>6847.87</v>
      </c>
      <c r="E4466" t="n">
        <v>12796.19</v>
      </c>
      <c r="F4466" t="n">
        <v>25805.2</v>
      </c>
    </row>
    <row r="4467">
      <c r="A4467" s="3" t="n">
        <v>45016</v>
      </c>
      <c r="B4467" t="n">
        <v>28905.78</v>
      </c>
      <c r="C4467" t="n">
        <v>10770.18</v>
      </c>
      <c r="D4467" t="n">
        <v>6887.29</v>
      </c>
      <c r="E4467" t="n">
        <v>12915.78</v>
      </c>
      <c r="F4467" t="n">
        <v>25993.55</v>
      </c>
    </row>
    <row r="4468">
      <c r="A4468" s="3" t="n">
        <v>45019</v>
      </c>
      <c r="B4468" t="n">
        <v>28947.02</v>
      </c>
      <c r="C4468" t="n">
        <v>10846.74</v>
      </c>
      <c r="D4468" t="n">
        <v>6926.03</v>
      </c>
      <c r="E4468" t="n">
        <v>13013.08</v>
      </c>
      <c r="F4468" t="n">
        <v>25987.65</v>
      </c>
    </row>
    <row r="4469">
      <c r="A4469" s="3" t="n">
        <v>45021</v>
      </c>
      <c r="B4469" t="n">
        <v>28953.58</v>
      </c>
      <c r="C4469" t="n">
        <v>10975.72</v>
      </c>
      <c r="D4469" t="n">
        <v>6931.99</v>
      </c>
      <c r="E4469" t="n">
        <v>13080.51</v>
      </c>
      <c r="F4469" t="n">
        <v>25979.95</v>
      </c>
    </row>
    <row r="4470">
      <c r="A4470" s="3" t="n">
        <v>45022</v>
      </c>
      <c r="B4470" t="n">
        <v>29002.23</v>
      </c>
      <c r="C4470" t="n">
        <v>10979.65</v>
      </c>
      <c r="D4470" t="n">
        <v>6957.7</v>
      </c>
      <c r="E4470" t="n">
        <v>13081.41</v>
      </c>
      <c r="F4470" t="n">
        <v>26108.85</v>
      </c>
    </row>
    <row r="4471">
      <c r="A4471" s="3" t="n">
        <v>45026</v>
      </c>
      <c r="B4471" t="n">
        <v>29072.93</v>
      </c>
      <c r="C4471" t="n">
        <v>11024.54</v>
      </c>
      <c r="D4471" t="n">
        <v>7032.65</v>
      </c>
      <c r="E4471" t="n">
        <v>13129.39</v>
      </c>
      <c r="F4471" t="n">
        <v>26146.75</v>
      </c>
    </row>
    <row r="4472">
      <c r="A4472" s="3" t="n">
        <v>45027</v>
      </c>
      <c r="B4472" t="n">
        <v>29251.19</v>
      </c>
      <c r="C4472" t="n">
        <v>11094.52</v>
      </c>
      <c r="D4472" t="n">
        <v>7093.3</v>
      </c>
      <c r="E4472" t="n">
        <v>13146.98</v>
      </c>
      <c r="F4472" t="n">
        <v>26326.1</v>
      </c>
    </row>
    <row r="4473">
      <c r="A4473" s="3" t="n">
        <v>45028</v>
      </c>
      <c r="B4473" t="n">
        <v>29361.89</v>
      </c>
      <c r="C4473" t="n">
        <v>11198.82</v>
      </c>
      <c r="D4473" t="n">
        <v>7081.04</v>
      </c>
      <c r="E4473" t="n">
        <v>13173.98</v>
      </c>
      <c r="F4473" t="n">
        <v>26383.2</v>
      </c>
    </row>
    <row r="4474">
      <c r="A4474" s="3" t="n">
        <v>45029</v>
      </c>
      <c r="B4474" t="n">
        <v>29392.39</v>
      </c>
      <c r="C4474" t="n">
        <v>11150.11</v>
      </c>
      <c r="D4474" t="n">
        <v>7060.09</v>
      </c>
      <c r="E4474" t="n">
        <v>13138.62</v>
      </c>
      <c r="F4474" t="n">
        <v>26480.2</v>
      </c>
    </row>
    <row r="4475">
      <c r="A4475" s="3" t="n">
        <v>45033</v>
      </c>
      <c r="B4475" t="n">
        <v>29767.55</v>
      </c>
      <c r="C4475" t="n">
        <v>11118.05</v>
      </c>
      <c r="D4475" t="n">
        <v>7130.21</v>
      </c>
      <c r="E4475" t="n">
        <v>13160.39</v>
      </c>
      <c r="F4475" t="n">
        <v>26827.4</v>
      </c>
    </row>
    <row r="4476">
      <c r="A4476" s="3" t="n">
        <v>45034</v>
      </c>
      <c r="B4476" t="n">
        <v>29823.44</v>
      </c>
      <c r="C4476" t="n">
        <v>11162.87</v>
      </c>
      <c r="D4476" t="n">
        <v>7137.1</v>
      </c>
      <c r="E4476" t="n">
        <v>13188.51</v>
      </c>
      <c r="F4476" t="n">
        <v>26937.4</v>
      </c>
    </row>
    <row r="4477">
      <c r="A4477" s="3" t="n">
        <v>45035</v>
      </c>
      <c r="B4477" t="n">
        <v>29811.32</v>
      </c>
      <c r="C4477" t="n">
        <v>11086.54</v>
      </c>
      <c r="D4477" t="n">
        <v>7136.85</v>
      </c>
      <c r="E4477" t="n">
        <v>13097.62</v>
      </c>
      <c r="F4477" t="n">
        <v>26888.75</v>
      </c>
    </row>
    <row r="4478">
      <c r="A4478" s="3" t="n">
        <v>45036</v>
      </c>
      <c r="B4478" t="n">
        <v>29772.59</v>
      </c>
      <c r="C4478" t="n">
        <v>11051.11</v>
      </c>
      <c r="D4478" t="n">
        <v>7125.66</v>
      </c>
      <c r="E4478" t="n">
        <v>13119.86</v>
      </c>
      <c r="F4478" t="n">
        <v>26743.3</v>
      </c>
    </row>
    <row r="4479">
      <c r="A4479" s="3" t="n">
        <v>45037</v>
      </c>
      <c r="B4479" t="n">
        <v>29655.65</v>
      </c>
      <c r="C4479" t="n">
        <v>11055.54</v>
      </c>
      <c r="D4479" t="n">
        <v>7091.75</v>
      </c>
      <c r="E4479" t="n">
        <v>13109.07</v>
      </c>
      <c r="F4479" t="n">
        <v>26603.8</v>
      </c>
    </row>
    <row r="4480">
      <c r="A4480" s="3" t="n">
        <v>45040</v>
      </c>
      <c r="B4480" t="n">
        <v>30015.17</v>
      </c>
      <c r="C4480" t="n">
        <v>11093.75</v>
      </c>
      <c r="D4480" t="n">
        <v>7152.86</v>
      </c>
      <c r="E4480" t="n">
        <v>13166.25</v>
      </c>
      <c r="F4480" t="n">
        <v>26853.95</v>
      </c>
    </row>
    <row r="4481">
      <c r="A4481" s="3" t="n">
        <v>45041</v>
      </c>
      <c r="B4481" t="n">
        <v>30158.38</v>
      </c>
      <c r="C4481" t="n">
        <v>11108.84</v>
      </c>
      <c r="D4481" t="n">
        <v>7190.35</v>
      </c>
      <c r="E4481" t="n">
        <v>13195.59</v>
      </c>
      <c r="F4481" t="n">
        <v>26919.75</v>
      </c>
    </row>
    <row r="4482">
      <c r="A4482" s="3" t="n">
        <v>45042</v>
      </c>
      <c r="B4482" t="n">
        <v>30345.95</v>
      </c>
      <c r="C4482" t="n">
        <v>11164.89</v>
      </c>
      <c r="D4482" t="n">
        <v>7227.01</v>
      </c>
      <c r="E4482" t="n">
        <v>13240.91</v>
      </c>
      <c r="F4482" t="n">
        <v>27143.7</v>
      </c>
    </row>
    <row r="4483">
      <c r="A4483" s="3" t="n">
        <v>45043</v>
      </c>
      <c r="B4483" t="n">
        <v>30506.72</v>
      </c>
      <c r="C4483" t="n">
        <v>11252.31</v>
      </c>
      <c r="D4483" t="n">
        <v>7256.89</v>
      </c>
      <c r="E4483" t="n">
        <v>13293.03</v>
      </c>
      <c r="F4483" t="n">
        <v>27311.1</v>
      </c>
    </row>
    <row r="4484">
      <c r="A4484" s="3" t="n">
        <v>45044</v>
      </c>
      <c r="B4484" t="n">
        <v>30906.18</v>
      </c>
      <c r="C4484" t="n">
        <v>11365.88</v>
      </c>
      <c r="D4484" t="n">
        <v>7323.81</v>
      </c>
      <c r="E4484" t="n">
        <v>13424.42</v>
      </c>
      <c r="F4484" t="n">
        <v>27659.4</v>
      </c>
    </row>
    <row r="4485">
      <c r="A4485" s="3" t="n">
        <v>45048</v>
      </c>
      <c r="B4485" t="n">
        <v>31192.72</v>
      </c>
      <c r="C4485" t="n">
        <v>11437.89</v>
      </c>
      <c r="D4485" t="n">
        <v>7419.36</v>
      </c>
      <c r="E4485" t="n">
        <v>13479.29</v>
      </c>
      <c r="F4485" t="n">
        <v>27841.5</v>
      </c>
    </row>
    <row r="4486">
      <c r="A4486" s="3" t="n">
        <v>45049</v>
      </c>
      <c r="B4486" t="n">
        <v>31375.61</v>
      </c>
      <c r="C4486" t="n">
        <v>11427.97</v>
      </c>
      <c r="D4486" t="n">
        <v>7401.36</v>
      </c>
      <c r="E4486" t="n">
        <v>13508.13</v>
      </c>
      <c r="F4486" t="n">
        <v>28008.9</v>
      </c>
    </row>
    <row r="4487">
      <c r="A4487" s="3" t="n">
        <v>45050</v>
      </c>
      <c r="B4487" t="n">
        <v>31563.42</v>
      </c>
      <c r="C4487" t="n">
        <v>11466.29</v>
      </c>
      <c r="D4487" t="n">
        <v>7459.59</v>
      </c>
      <c r="E4487" t="n">
        <v>13562.49</v>
      </c>
      <c r="F4487" t="n">
        <v>28300.8</v>
      </c>
    </row>
    <row r="4488">
      <c r="A4488" s="3" t="n">
        <v>45051</v>
      </c>
      <c r="B4488" t="n">
        <v>31362.71</v>
      </c>
      <c r="C4488" t="n">
        <v>11397.19</v>
      </c>
      <c r="D4488" t="n">
        <v>7354.37</v>
      </c>
      <c r="E4488" t="n">
        <v>13528.24</v>
      </c>
      <c r="F4488" t="n">
        <v>28180.7</v>
      </c>
    </row>
    <row r="4489">
      <c r="A4489" s="3" t="n">
        <v>45054</v>
      </c>
      <c r="B4489" t="n">
        <v>31415.5</v>
      </c>
      <c r="C4489" t="n">
        <v>11452.77</v>
      </c>
      <c r="D4489" t="n">
        <v>7415.39</v>
      </c>
      <c r="E4489" t="n">
        <v>13644.82</v>
      </c>
      <c r="F4489" t="n">
        <v>28259.8</v>
      </c>
    </row>
    <row r="4490">
      <c r="A4490" s="3" t="n">
        <v>45055</v>
      </c>
      <c r="B4490" t="n">
        <v>31312.41</v>
      </c>
      <c r="C4490" t="n">
        <v>11529.24</v>
      </c>
      <c r="D4490" t="n">
        <v>7365.71</v>
      </c>
      <c r="E4490" t="n">
        <v>13634.17</v>
      </c>
      <c r="F4490" t="n">
        <v>28117.7</v>
      </c>
    </row>
    <row r="4491">
      <c r="A4491" s="3" t="n">
        <v>45056</v>
      </c>
      <c r="B4491" t="n">
        <v>31394</v>
      </c>
      <c r="C4491" t="n">
        <v>11549.82</v>
      </c>
      <c r="D4491" t="n">
        <v>7395.87</v>
      </c>
      <c r="E4491" t="n">
        <v>13666.68</v>
      </c>
      <c r="F4491" t="n">
        <v>28093</v>
      </c>
    </row>
    <row r="4492">
      <c r="A4492" s="3" t="n">
        <v>45057</v>
      </c>
      <c r="B4492" t="n">
        <v>31525.02</v>
      </c>
      <c r="C4492" t="n">
        <v>11590.23</v>
      </c>
      <c r="D4492" t="n">
        <v>7395.42</v>
      </c>
      <c r="E4492" t="n">
        <v>13721.76</v>
      </c>
      <c r="F4492" t="n">
        <v>28157.85</v>
      </c>
    </row>
    <row r="4493">
      <c r="A4493" s="3" t="n">
        <v>45058</v>
      </c>
      <c r="B4493" t="n">
        <v>31384.15</v>
      </c>
      <c r="C4493" t="n">
        <v>11541.17</v>
      </c>
      <c r="D4493" t="n">
        <v>7308.55</v>
      </c>
      <c r="E4493" t="n">
        <v>13658.37</v>
      </c>
      <c r="F4493" t="n">
        <v>28132.1</v>
      </c>
    </row>
    <row r="4494">
      <c r="A4494" s="3" t="n">
        <v>45061</v>
      </c>
      <c r="B4494" t="n">
        <v>31517.44</v>
      </c>
      <c r="C4494" t="n">
        <v>11580.08</v>
      </c>
      <c r="D4494" t="n">
        <v>7369.21</v>
      </c>
      <c r="E4494" t="n">
        <v>13707.83</v>
      </c>
      <c r="F4494" t="n">
        <v>28206.5</v>
      </c>
    </row>
    <row r="4495">
      <c r="A4495" s="3" t="n">
        <v>45062</v>
      </c>
      <c r="B4495" t="n">
        <v>31781.9</v>
      </c>
      <c r="C4495" t="n">
        <v>11579.26</v>
      </c>
      <c r="D4495" t="n">
        <v>7393.14</v>
      </c>
      <c r="E4495" t="n">
        <v>13664.35</v>
      </c>
      <c r="F4495" t="n">
        <v>28336.3</v>
      </c>
    </row>
    <row r="4496">
      <c r="A4496" s="3" t="n">
        <v>45063</v>
      </c>
      <c r="B4496" t="n">
        <v>31895.92</v>
      </c>
      <c r="C4496" t="n">
        <v>11560.49</v>
      </c>
      <c r="D4496" t="n">
        <v>7364.98</v>
      </c>
      <c r="E4496" t="n">
        <v>13633.58</v>
      </c>
      <c r="F4496" t="n">
        <v>28454.75</v>
      </c>
    </row>
    <row r="4497">
      <c r="A4497" s="3" t="n">
        <v>45064</v>
      </c>
      <c r="B4497" t="n">
        <v>31634.38</v>
      </c>
      <c r="C4497" t="n">
        <v>11438.8</v>
      </c>
      <c r="D4497" t="n">
        <v>7284.2</v>
      </c>
      <c r="E4497" t="n">
        <v>13560.06</v>
      </c>
      <c r="F4497" t="n">
        <v>28257</v>
      </c>
    </row>
    <row r="4498">
      <c r="A4498" s="3" t="n">
        <v>45065</v>
      </c>
      <c r="B4498" t="n">
        <v>31655.27</v>
      </c>
      <c r="C4498" t="n">
        <v>11431.9</v>
      </c>
      <c r="D4498" t="n">
        <v>7275.64</v>
      </c>
      <c r="E4498" t="n">
        <v>13509.04</v>
      </c>
      <c r="F4498" t="n">
        <v>28206.6</v>
      </c>
    </row>
    <row r="4499">
      <c r="A4499" s="3" t="n">
        <v>45068</v>
      </c>
      <c r="B4499" t="n">
        <v>31994.78</v>
      </c>
      <c r="C4499" t="n">
        <v>11534.53</v>
      </c>
      <c r="D4499" t="n">
        <v>7293.23</v>
      </c>
      <c r="E4499" t="n">
        <v>13534.97</v>
      </c>
      <c r="F4499" t="n">
        <v>28340.5</v>
      </c>
    </row>
    <row r="4500">
      <c r="A4500" s="3" t="n">
        <v>45069</v>
      </c>
      <c r="B4500" t="n">
        <v>32036.19</v>
      </c>
      <c r="C4500" t="n">
        <v>11560.97</v>
      </c>
      <c r="D4500" t="n">
        <v>7327.37</v>
      </c>
      <c r="E4500" t="n">
        <v>13548.24</v>
      </c>
      <c r="F4500" t="n">
        <v>28343.7</v>
      </c>
    </row>
    <row r="4501">
      <c r="A4501" s="3" t="n">
        <v>45070</v>
      </c>
      <c r="B4501" t="n">
        <v>32028.81</v>
      </c>
      <c r="C4501" t="n">
        <v>11558.73</v>
      </c>
      <c r="D4501" t="n">
        <v>7318.52</v>
      </c>
      <c r="E4501" t="n">
        <v>13597.19</v>
      </c>
      <c r="F4501" t="n">
        <v>28392.7</v>
      </c>
    </row>
    <row r="4502">
      <c r="A4502" s="3" t="n">
        <v>45071</v>
      </c>
      <c r="B4502" t="n">
        <v>32183.85</v>
      </c>
      <c r="C4502" t="n">
        <v>11598.21</v>
      </c>
      <c r="D4502" t="n">
        <v>7329.83</v>
      </c>
      <c r="E4502" t="n">
        <v>13665.04</v>
      </c>
      <c r="F4502" t="n">
        <v>28560.05</v>
      </c>
    </row>
    <row r="4503">
      <c r="A4503" s="3" t="n">
        <v>45072</v>
      </c>
      <c r="B4503" t="n">
        <v>32552.36</v>
      </c>
      <c r="C4503" t="n">
        <v>11727.13</v>
      </c>
      <c r="D4503" t="n">
        <v>7359.95</v>
      </c>
      <c r="E4503" t="n">
        <v>13777.26</v>
      </c>
      <c r="F4503" t="n">
        <v>28844.55</v>
      </c>
    </row>
    <row r="4504">
      <c r="A4504" s="3" t="n">
        <v>45075</v>
      </c>
      <c r="B4504" t="n">
        <v>32773.87</v>
      </c>
      <c r="C4504" t="n">
        <v>11776.9</v>
      </c>
      <c r="D4504" t="n">
        <v>7400.28</v>
      </c>
      <c r="E4504" t="n">
        <v>13842.8</v>
      </c>
      <c r="F4504" t="n">
        <v>29033.9</v>
      </c>
    </row>
    <row r="4505">
      <c r="A4505" s="3" t="n">
        <v>45076</v>
      </c>
      <c r="B4505" t="n">
        <v>32770.8</v>
      </c>
      <c r="C4505" t="n">
        <v>11779.16</v>
      </c>
      <c r="D4505" t="n">
        <v>7421.95</v>
      </c>
      <c r="E4505" t="n">
        <v>13877.07</v>
      </c>
      <c r="F4505" t="n">
        <v>29106.85</v>
      </c>
    </row>
    <row r="4506">
      <c r="A4506" s="3" t="n">
        <v>45077</v>
      </c>
      <c r="B4506" t="n">
        <v>32934.99</v>
      </c>
      <c r="C4506" t="n">
        <v>11819.67</v>
      </c>
      <c r="D4506" t="n">
        <v>7389.13</v>
      </c>
      <c r="E4506" t="n">
        <v>13930.3</v>
      </c>
      <c r="F4506" t="n">
        <v>29305.7</v>
      </c>
    </row>
    <row r="4507">
      <c r="A4507" s="3" t="n">
        <v>45078</v>
      </c>
      <c r="B4507" t="n">
        <v>32948.29</v>
      </c>
      <c r="C4507" t="n">
        <v>11853.2</v>
      </c>
      <c r="D4507" t="n">
        <v>7389.96</v>
      </c>
      <c r="E4507" t="n">
        <v>13962.25</v>
      </c>
      <c r="F4507" t="n">
        <v>29360.15</v>
      </c>
    </row>
    <row r="4508">
      <c r="A4508" s="3" t="n">
        <v>45079</v>
      </c>
      <c r="B4508" t="n">
        <v>33142.21</v>
      </c>
      <c r="C4508" t="n">
        <v>11902.56</v>
      </c>
      <c r="D4508" t="n">
        <v>7454.66</v>
      </c>
      <c r="E4508" t="n">
        <v>14016.44</v>
      </c>
      <c r="F4508" t="n">
        <v>29600.7</v>
      </c>
    </row>
    <row r="4509">
      <c r="A4509" s="3" t="n">
        <v>45082</v>
      </c>
      <c r="B4509" t="n">
        <v>33461.66</v>
      </c>
      <c r="C4509" t="n">
        <v>11930.7</v>
      </c>
      <c r="D4509" t="n">
        <v>7467.94</v>
      </c>
      <c r="E4509" t="n">
        <v>14048.25</v>
      </c>
      <c r="F4509" t="n">
        <v>29716.15</v>
      </c>
    </row>
    <row r="4510">
      <c r="A4510" s="3" t="n">
        <v>45083</v>
      </c>
      <c r="B4510" t="n">
        <v>33685.47</v>
      </c>
      <c r="C4510" t="n">
        <v>11909.79</v>
      </c>
      <c r="D4510" t="n">
        <v>7476.75</v>
      </c>
      <c r="E4510" t="n">
        <v>14116.69</v>
      </c>
      <c r="F4510" t="n">
        <v>29852.75</v>
      </c>
    </row>
    <row r="4511">
      <c r="A4511" s="3" t="n">
        <v>45084</v>
      </c>
      <c r="B4511" t="n">
        <v>33946.11</v>
      </c>
      <c r="C4511" t="n">
        <v>12060.7</v>
      </c>
      <c r="D4511" t="n">
        <v>7552.19</v>
      </c>
      <c r="E4511" t="n">
        <v>14267.38</v>
      </c>
      <c r="F4511" t="n">
        <v>30060.1</v>
      </c>
    </row>
    <row r="4512">
      <c r="A4512" s="3" t="n">
        <v>45085</v>
      </c>
      <c r="B4512" t="n">
        <v>33622.83</v>
      </c>
      <c r="C4512" t="n">
        <v>11967.18</v>
      </c>
      <c r="D4512" t="n">
        <v>7518.14</v>
      </c>
      <c r="E4512" t="n">
        <v>14205.11</v>
      </c>
      <c r="F4512" t="n">
        <v>29905.3</v>
      </c>
    </row>
    <row r="4513">
      <c r="A4513" s="3" t="n">
        <v>45086</v>
      </c>
      <c r="B4513" t="n">
        <v>33780.39</v>
      </c>
      <c r="C4513" t="n">
        <v>11897.26</v>
      </c>
      <c r="D4513" t="n">
        <v>7500.77</v>
      </c>
      <c r="E4513" t="n">
        <v>14147.71</v>
      </c>
      <c r="F4513" t="n">
        <v>29987.65</v>
      </c>
    </row>
    <row r="4514">
      <c r="A4514" s="3" t="n">
        <v>45089</v>
      </c>
      <c r="B4514" t="n">
        <v>33882.02</v>
      </c>
      <c r="C4514" t="n">
        <v>12011.27</v>
      </c>
      <c r="D4514" t="n">
        <v>7587.27</v>
      </c>
      <c r="E4514" t="n">
        <v>14228.54</v>
      </c>
      <c r="F4514" t="n">
        <v>30138.05</v>
      </c>
    </row>
    <row r="4515">
      <c r="A4515" s="3" t="n">
        <v>45090</v>
      </c>
      <c r="B4515" t="n">
        <v>34031.99</v>
      </c>
      <c r="C4515" t="n">
        <v>12179.55</v>
      </c>
      <c r="D4515" t="n">
        <v>7616.9</v>
      </c>
      <c r="E4515" t="n">
        <v>14325.35</v>
      </c>
      <c r="F4515" t="n">
        <v>30366.7</v>
      </c>
    </row>
    <row r="4516">
      <c r="A4516" s="3" t="n">
        <v>45091</v>
      </c>
      <c r="B4516" t="n">
        <v>34095.29</v>
      </c>
      <c r="C4516" t="n">
        <v>12247.35</v>
      </c>
      <c r="D4516" t="n">
        <v>7658.58</v>
      </c>
      <c r="E4516" t="n">
        <v>14384.16</v>
      </c>
      <c r="F4516" t="n">
        <v>30385.95</v>
      </c>
    </row>
    <row r="4517">
      <c r="A4517" s="3" t="n">
        <v>45092</v>
      </c>
      <c r="B4517" t="n">
        <v>34217.85</v>
      </c>
      <c r="C4517" t="n">
        <v>12278.98</v>
      </c>
      <c r="D4517" t="n">
        <v>7643.21</v>
      </c>
      <c r="E4517" t="n">
        <v>14409.79</v>
      </c>
      <c r="F4517" t="n">
        <v>30463.55</v>
      </c>
    </row>
    <row r="4518">
      <c r="A4518" s="3" t="n">
        <v>45093</v>
      </c>
      <c r="B4518" t="n">
        <v>34843.12</v>
      </c>
      <c r="C4518" t="n">
        <v>12323.74</v>
      </c>
      <c r="D4518" t="n">
        <v>7681.17</v>
      </c>
      <c r="E4518" t="n">
        <v>14513.16</v>
      </c>
      <c r="F4518" t="n">
        <v>30951.25</v>
      </c>
    </row>
    <row r="4519">
      <c r="A4519" s="3" t="n">
        <v>45096</v>
      </c>
      <c r="B4519" t="n">
        <v>34775.45</v>
      </c>
      <c r="C4519" t="n">
        <v>12326.97</v>
      </c>
      <c r="D4519" t="n">
        <v>7669.78</v>
      </c>
      <c r="E4519" t="n">
        <v>14463.22</v>
      </c>
      <c r="F4519" t="n">
        <v>30922.05</v>
      </c>
    </row>
    <row r="4520">
      <c r="A4520" s="3" t="n">
        <v>45097</v>
      </c>
      <c r="B4520" t="n">
        <v>34901.5</v>
      </c>
      <c r="C4520" t="n">
        <v>12447.8</v>
      </c>
      <c r="D4520" t="n">
        <v>7732.14</v>
      </c>
      <c r="E4520" t="n">
        <v>14575.44</v>
      </c>
      <c r="F4520" t="n">
        <v>30988.1</v>
      </c>
    </row>
    <row r="4521">
      <c r="A4521" s="3" t="n">
        <v>45098</v>
      </c>
      <c r="B4521" t="n">
        <v>34885.06</v>
      </c>
      <c r="C4521" t="n">
        <v>12459.93</v>
      </c>
      <c r="D4521" t="n">
        <v>7797.5</v>
      </c>
      <c r="E4521" t="n">
        <v>14630.04</v>
      </c>
      <c r="F4521" t="n">
        <v>31065.5</v>
      </c>
    </row>
    <row r="4522">
      <c r="A4522" s="3" t="n">
        <v>45099</v>
      </c>
      <c r="B4522" t="n">
        <v>34475.23</v>
      </c>
      <c r="C4522" t="n">
        <v>12378.65</v>
      </c>
      <c r="D4522" t="n">
        <v>7723.74</v>
      </c>
      <c r="E4522" t="n">
        <v>14476.56</v>
      </c>
      <c r="F4522" t="n">
        <v>30659.1</v>
      </c>
    </row>
    <row r="4523">
      <c r="A4523" s="3" t="n">
        <v>45100</v>
      </c>
      <c r="B4523" t="n">
        <v>33934.17</v>
      </c>
      <c r="C4523" t="n">
        <v>12248.93</v>
      </c>
      <c r="D4523" t="n">
        <v>7613.9</v>
      </c>
      <c r="E4523" t="n">
        <v>14424.3</v>
      </c>
      <c r="F4523" t="n">
        <v>30284.3</v>
      </c>
    </row>
    <row r="4524">
      <c r="A4524" s="3" t="n">
        <v>45103</v>
      </c>
      <c r="B4524" t="n">
        <v>34209.56</v>
      </c>
      <c r="C4524" t="n">
        <v>12354.92</v>
      </c>
      <c r="D4524" t="n">
        <v>7630.02</v>
      </c>
      <c r="E4524" t="n">
        <v>14505.27</v>
      </c>
      <c r="F4524" t="n">
        <v>30434.6</v>
      </c>
    </row>
    <row r="4525">
      <c r="A4525" s="3" t="n">
        <v>45104</v>
      </c>
      <c r="B4525" t="n">
        <v>34203.05</v>
      </c>
      <c r="C4525" t="n">
        <v>12409.85</v>
      </c>
      <c r="D4525" t="n">
        <v>7680.87</v>
      </c>
      <c r="E4525" t="n">
        <v>14595.2</v>
      </c>
      <c r="F4525" t="n">
        <v>30630.6</v>
      </c>
    </row>
    <row r="4526">
      <c r="A4526" s="3" t="n">
        <v>45105</v>
      </c>
      <c r="B4526" t="n">
        <v>34507.58</v>
      </c>
      <c r="C4526" t="n">
        <v>12450.11</v>
      </c>
      <c r="D4526" t="n">
        <v>7742.63</v>
      </c>
      <c r="E4526" t="n">
        <v>14697.13</v>
      </c>
      <c r="F4526" t="n">
        <v>30947.2</v>
      </c>
    </row>
    <row r="4527">
      <c r="A4527" s="3" t="n">
        <v>45107</v>
      </c>
      <c r="B4527" t="n">
        <v>34728.44</v>
      </c>
      <c r="C4527" t="n">
        <v>12559.83</v>
      </c>
      <c r="D4527" t="n">
        <v>7794.73</v>
      </c>
      <c r="E4527" t="n">
        <v>14821.43</v>
      </c>
      <c r="F4527" t="n">
        <v>31290.15</v>
      </c>
    </row>
    <row r="4528">
      <c r="A4528" s="3" t="n">
        <v>45110</v>
      </c>
      <c r="B4528" t="n">
        <v>34876.33</v>
      </c>
      <c r="C4528" t="n">
        <v>12541.78</v>
      </c>
      <c r="D4528" t="n">
        <v>7918.07</v>
      </c>
      <c r="E4528" t="n">
        <v>14817.63</v>
      </c>
      <c r="F4528" t="n">
        <v>31640.2</v>
      </c>
    </row>
    <row r="4529">
      <c r="A4529" s="3" t="n">
        <v>45111</v>
      </c>
      <c r="B4529" t="n">
        <v>34710.46</v>
      </c>
      <c r="C4529" t="n">
        <v>12520.25</v>
      </c>
      <c r="D4529" t="n">
        <v>7916.92</v>
      </c>
      <c r="E4529" t="n">
        <v>14845.69</v>
      </c>
      <c r="F4529" t="n">
        <v>31625.55</v>
      </c>
    </row>
    <row r="4530">
      <c r="A4530" s="3" t="n">
        <v>45112</v>
      </c>
      <c r="B4530" t="n">
        <v>34944.12</v>
      </c>
      <c r="C4530" t="n">
        <v>12587.75</v>
      </c>
      <c r="D4530" t="n">
        <v>7987.65</v>
      </c>
      <c r="E4530" t="n">
        <v>14952.01</v>
      </c>
      <c r="F4530" t="n">
        <v>32009.2</v>
      </c>
    </row>
    <row r="4531">
      <c r="A4531" s="3" t="n">
        <v>45113</v>
      </c>
      <c r="B4531" t="n">
        <v>35089.72</v>
      </c>
      <c r="C4531" t="n">
        <v>12656.43</v>
      </c>
      <c r="D4531" t="n">
        <v>8082.91</v>
      </c>
      <c r="E4531" t="n">
        <v>15037.44</v>
      </c>
      <c r="F4531" t="n">
        <v>32245.85</v>
      </c>
    </row>
    <row r="4532">
      <c r="A4532" s="3" t="n">
        <v>45114</v>
      </c>
      <c r="B4532" t="n">
        <v>35021.48</v>
      </c>
      <c r="C4532" t="n">
        <v>12539.73</v>
      </c>
      <c r="D4532" t="n">
        <v>8043.34</v>
      </c>
      <c r="E4532" t="n">
        <v>14901.31</v>
      </c>
      <c r="F4532" t="n">
        <v>32124.1</v>
      </c>
    </row>
    <row r="4533">
      <c r="A4533" s="3" t="n">
        <v>45117</v>
      </c>
      <c r="B4533" t="n">
        <v>34794.13</v>
      </c>
      <c r="C4533" t="n">
        <v>12456.85</v>
      </c>
      <c r="D4533" t="n">
        <v>8032.82</v>
      </c>
      <c r="E4533" t="n">
        <v>14846.15</v>
      </c>
      <c r="F4533" t="n">
        <v>31854.7</v>
      </c>
    </row>
    <row r="4534">
      <c r="A4534" s="3" t="n">
        <v>45118</v>
      </c>
      <c r="B4534" t="n">
        <v>35334.37</v>
      </c>
      <c r="C4534" t="n">
        <v>12520.12</v>
      </c>
      <c r="D4534" t="n">
        <v>8067.69</v>
      </c>
      <c r="E4534" t="n">
        <v>14933.34</v>
      </c>
      <c r="F4534" t="n">
        <v>32352.4</v>
      </c>
    </row>
    <row r="4535">
      <c r="A4535" s="3" t="n">
        <v>45119</v>
      </c>
      <c r="B4535" t="n">
        <v>35578.14</v>
      </c>
      <c r="C4535" t="n">
        <v>12543.67</v>
      </c>
      <c r="D4535" t="n">
        <v>8079.3</v>
      </c>
      <c r="E4535" t="n">
        <v>14922.93</v>
      </c>
      <c r="F4535" t="n">
        <v>32584.15</v>
      </c>
    </row>
    <row r="4536">
      <c r="A4536" s="3" t="n">
        <v>45120</v>
      </c>
      <c r="B4536" t="n">
        <v>35281.81</v>
      </c>
      <c r="C4536" t="n">
        <v>12514.52</v>
      </c>
      <c r="D4536" t="n">
        <v>7976.39</v>
      </c>
      <c r="E4536" t="n">
        <v>14857.16</v>
      </c>
      <c r="F4536" t="n">
        <v>32220.25</v>
      </c>
    </row>
    <row r="4537">
      <c r="A4537" s="3" t="n">
        <v>45121</v>
      </c>
      <c r="B4537" t="n">
        <v>35576.94</v>
      </c>
      <c r="C4537" t="n">
        <v>12721.27</v>
      </c>
      <c r="D4537" t="n">
        <v>8053.77</v>
      </c>
      <c r="E4537" t="n">
        <v>14924.41</v>
      </c>
      <c r="F4537" t="n">
        <v>32567.45</v>
      </c>
    </row>
    <row r="4538">
      <c r="A4538" s="3" t="n">
        <v>45124</v>
      </c>
      <c r="B4538" t="n">
        <v>35655.03</v>
      </c>
      <c r="C4538" t="n">
        <v>12787.3</v>
      </c>
      <c r="D4538" t="n">
        <v>8090.59</v>
      </c>
      <c r="E4538" t="n">
        <v>15007.69</v>
      </c>
      <c r="F4538" t="n">
        <v>32671.1</v>
      </c>
    </row>
    <row r="4539">
      <c r="A4539" s="3" t="n">
        <v>45125</v>
      </c>
      <c r="B4539" t="n">
        <v>35635.34</v>
      </c>
      <c r="C4539" t="n">
        <v>12739.71</v>
      </c>
      <c r="D4539" t="n">
        <v>8039.92</v>
      </c>
      <c r="E4539" t="n">
        <v>14984.81</v>
      </c>
      <c r="F4539" t="n">
        <v>32642.1</v>
      </c>
    </row>
    <row r="4540">
      <c r="A4540" s="3" t="n">
        <v>45126</v>
      </c>
      <c r="B4540" t="n">
        <v>35991.45</v>
      </c>
      <c r="C4540" t="n">
        <v>12779.59</v>
      </c>
      <c r="D4540" t="n">
        <v>8106.55</v>
      </c>
      <c r="E4540" t="n">
        <v>15037.95</v>
      </c>
      <c r="F4540" t="n">
        <v>33071.1</v>
      </c>
    </row>
    <row r="4541">
      <c r="A4541" s="3" t="n">
        <v>45127</v>
      </c>
      <c r="B4541" t="n">
        <v>35877.49</v>
      </c>
      <c r="C4541" t="n">
        <v>12762.15</v>
      </c>
      <c r="D4541" t="n">
        <v>8139.88</v>
      </c>
      <c r="E4541" t="n">
        <v>15154.32</v>
      </c>
      <c r="F4541" t="n">
        <v>33092.1</v>
      </c>
    </row>
    <row r="4542">
      <c r="A4542" s="3" t="n">
        <v>45128</v>
      </c>
      <c r="B4542" t="n">
        <v>35625.43</v>
      </c>
      <c r="C4542" t="n">
        <v>12709.04</v>
      </c>
      <c r="D4542" t="n">
        <v>8138.15</v>
      </c>
      <c r="E4542" t="n">
        <v>15106.79</v>
      </c>
      <c r="F4542" t="n">
        <v>33010.4</v>
      </c>
    </row>
    <row r="4543">
      <c r="A4543" s="3" t="n">
        <v>45131</v>
      </c>
      <c r="B4543" t="n">
        <v>36038.24</v>
      </c>
      <c r="C4543" t="n">
        <v>12758.94</v>
      </c>
      <c r="D4543" t="n">
        <v>8182.93</v>
      </c>
      <c r="E4543" t="n">
        <v>15106.19</v>
      </c>
      <c r="F4543" t="n">
        <v>33136.45</v>
      </c>
    </row>
    <row r="4544">
      <c r="A4544" s="3" t="n">
        <v>45132</v>
      </c>
      <c r="B4544" t="n">
        <v>35926.36</v>
      </c>
      <c r="C4544" t="n">
        <v>12736.95</v>
      </c>
      <c r="D4544" t="n">
        <v>8239.51</v>
      </c>
      <c r="E4544" t="n">
        <v>15100.88</v>
      </c>
      <c r="F4544" t="n">
        <v>33070.05</v>
      </c>
    </row>
    <row r="4545">
      <c r="A4545" s="3" t="n">
        <v>45133</v>
      </c>
      <c r="B4545" t="n">
        <v>36075.26</v>
      </c>
      <c r="C4545" t="n">
        <v>12723.94</v>
      </c>
      <c r="D4545" t="n">
        <v>8300.690000000001</v>
      </c>
      <c r="E4545" t="n">
        <v>15153.92</v>
      </c>
      <c r="F4545" t="n">
        <v>33371.3</v>
      </c>
    </row>
    <row r="4546">
      <c r="A4546" s="3" t="n">
        <v>45134</v>
      </c>
      <c r="B4546" t="n">
        <v>36088.28</v>
      </c>
      <c r="C4546" t="n">
        <v>12734.7</v>
      </c>
      <c r="D4546" t="n">
        <v>8324.780000000001</v>
      </c>
      <c r="E4546" t="n">
        <v>15198.38</v>
      </c>
      <c r="F4546" t="n">
        <v>33330.65</v>
      </c>
    </row>
    <row r="4547">
      <c r="A4547" s="3" t="n">
        <v>45135</v>
      </c>
      <c r="B4547" t="n">
        <v>36408.11</v>
      </c>
      <c r="C4547" t="n">
        <v>12820.04</v>
      </c>
      <c r="D4547" t="n">
        <v>8378.01</v>
      </c>
      <c r="E4547" t="n">
        <v>15270.6</v>
      </c>
      <c r="F4547" t="n">
        <v>33727.1</v>
      </c>
    </row>
    <row r="4548">
      <c r="A4548" s="3" t="n">
        <v>45138</v>
      </c>
      <c r="B4548" t="n">
        <v>36747.48</v>
      </c>
      <c r="C4548" t="n">
        <v>12884.16</v>
      </c>
      <c r="D4548" t="n">
        <v>8502.200000000001</v>
      </c>
      <c r="E4548" t="n">
        <v>15318.38</v>
      </c>
      <c r="F4548" t="n">
        <v>33995.7</v>
      </c>
    </row>
    <row r="4549">
      <c r="A4549" s="3" t="n">
        <v>45139</v>
      </c>
      <c r="B4549" t="n">
        <v>36487.09</v>
      </c>
      <c r="C4549" t="n">
        <v>12979.2</v>
      </c>
      <c r="D4549" t="n">
        <v>8509.190000000001</v>
      </c>
      <c r="E4549" t="n">
        <v>15307.3</v>
      </c>
      <c r="F4549" t="n">
        <v>33841.55</v>
      </c>
    </row>
    <row r="4550">
      <c r="A4550" s="3" t="n">
        <v>45140</v>
      </c>
      <c r="B4550" t="n">
        <v>36063.68</v>
      </c>
      <c r="C4550" t="n">
        <v>12857.69</v>
      </c>
      <c r="D4550" t="n">
        <v>8333.6</v>
      </c>
      <c r="E4550" t="n">
        <v>15148.68</v>
      </c>
      <c r="F4550" t="n">
        <v>33402.8</v>
      </c>
    </row>
    <row r="4551">
      <c r="A4551" s="3" t="n">
        <v>45141</v>
      </c>
      <c r="B4551" t="n">
        <v>35984.24</v>
      </c>
      <c r="C4551" t="n">
        <v>12828.62</v>
      </c>
      <c r="D4551" t="n">
        <v>8306.32</v>
      </c>
      <c r="E4551" t="n">
        <v>15068.73</v>
      </c>
      <c r="F4551" t="n">
        <v>33343.35</v>
      </c>
    </row>
    <row r="4552">
      <c r="A4552" s="3" t="n">
        <v>45142</v>
      </c>
      <c r="B4552" t="n">
        <v>36134.31</v>
      </c>
      <c r="C4552" t="n">
        <v>12921.32</v>
      </c>
      <c r="D4552" t="n">
        <v>8299.700000000001</v>
      </c>
      <c r="E4552" t="n">
        <v>15140.74</v>
      </c>
      <c r="F4552" t="n">
        <v>33494.25</v>
      </c>
    </row>
    <row r="4553">
      <c r="A4553" s="3" t="n">
        <v>45145</v>
      </c>
      <c r="B4553" t="n">
        <v>36318.04</v>
      </c>
      <c r="C4553" t="n">
        <v>12939.95</v>
      </c>
      <c r="D4553" t="n">
        <v>8347.040000000001</v>
      </c>
      <c r="E4553" t="n">
        <v>15184.03</v>
      </c>
      <c r="F4553" t="n">
        <v>33592.85</v>
      </c>
    </row>
    <row r="4554">
      <c r="A4554" s="3" t="n">
        <v>45146</v>
      </c>
      <c r="B4554" t="n">
        <v>36289.17</v>
      </c>
      <c r="C4554" t="n">
        <v>12943.14</v>
      </c>
      <c r="D4554" t="n">
        <v>8365.690000000001</v>
      </c>
      <c r="E4554" t="n">
        <v>15200.64</v>
      </c>
      <c r="F4554" t="n">
        <v>33807.45</v>
      </c>
    </row>
    <row r="4555">
      <c r="A4555" s="3" t="n">
        <v>45147</v>
      </c>
      <c r="B4555" t="n">
        <v>36295.9</v>
      </c>
      <c r="C4555" t="n">
        <v>13003.56</v>
      </c>
      <c r="D4555" t="n">
        <v>8433.809999999999</v>
      </c>
      <c r="E4555" t="n">
        <v>15232.78</v>
      </c>
      <c r="F4555" t="n">
        <v>33841.35</v>
      </c>
    </row>
    <row r="4556">
      <c r="A4556" s="3" t="n">
        <v>45148</v>
      </c>
      <c r="B4556" t="n">
        <v>36101.6</v>
      </c>
      <c r="C4556" t="n">
        <v>12974.53</v>
      </c>
      <c r="D4556" t="n">
        <v>8414.08</v>
      </c>
      <c r="E4556" t="n">
        <v>15107.32</v>
      </c>
      <c r="F4556" t="n">
        <v>33721.5</v>
      </c>
    </row>
    <row r="4557">
      <c r="A4557" s="3" t="n">
        <v>45149</v>
      </c>
      <c r="B4557" t="n">
        <v>36129.17</v>
      </c>
      <c r="C4557" t="n">
        <v>12981.92</v>
      </c>
      <c r="D4557" t="n">
        <v>8386.33</v>
      </c>
      <c r="E4557" t="n">
        <v>15015.61</v>
      </c>
      <c r="F4557" t="n">
        <v>33726.75</v>
      </c>
    </row>
    <row r="4558">
      <c r="A4558" s="3" t="n">
        <v>45152</v>
      </c>
      <c r="B4558" t="n">
        <v>36014.75</v>
      </c>
      <c r="C4558" t="n">
        <v>12936.2</v>
      </c>
      <c r="D4558" t="n">
        <v>8323.540000000001</v>
      </c>
      <c r="E4558" t="n">
        <v>14975.95</v>
      </c>
      <c r="F4558" t="n">
        <v>33534.45</v>
      </c>
    </row>
    <row r="4559">
      <c r="A4559" s="3" t="n">
        <v>45154</v>
      </c>
      <c r="B4559" t="n">
        <v>36065.76</v>
      </c>
      <c r="C4559" t="n">
        <v>12940.86</v>
      </c>
      <c r="D4559" t="n">
        <v>8341.379999999999</v>
      </c>
      <c r="E4559" t="n">
        <v>15026.71</v>
      </c>
      <c r="F4559" t="n">
        <v>33583.85</v>
      </c>
    </row>
    <row r="4560">
      <c r="A4560" s="3" t="n">
        <v>45155</v>
      </c>
      <c r="B4560" t="n">
        <v>36262.01</v>
      </c>
      <c r="C4560" t="n">
        <v>12942.74</v>
      </c>
      <c r="D4560" t="n">
        <v>8365.92</v>
      </c>
      <c r="E4560" t="n">
        <v>15001.75</v>
      </c>
      <c r="F4560" t="n">
        <v>33627.55</v>
      </c>
    </row>
    <row r="4561">
      <c r="A4561" s="3" t="n">
        <v>45156</v>
      </c>
      <c r="B4561" t="n">
        <v>36210.7</v>
      </c>
      <c r="C4561" t="n">
        <v>12882.06</v>
      </c>
      <c r="D4561" t="n">
        <v>8306.549999999999</v>
      </c>
      <c r="E4561" t="n">
        <v>14942.7</v>
      </c>
      <c r="F4561" t="n">
        <v>33638.35</v>
      </c>
    </row>
    <row r="4562">
      <c r="A4562" s="3" t="n">
        <v>45159</v>
      </c>
      <c r="B4562" t="n">
        <v>36539.86</v>
      </c>
      <c r="C4562" t="n">
        <v>12950.11</v>
      </c>
      <c r="D4562" t="n">
        <v>8364.629999999999</v>
      </c>
      <c r="E4562" t="n">
        <v>15015.61</v>
      </c>
      <c r="F4562" t="n">
        <v>33778.5</v>
      </c>
    </row>
    <row r="4563">
      <c r="A4563" s="3" t="n">
        <v>45160</v>
      </c>
      <c r="B4563" t="n">
        <v>36841.51</v>
      </c>
      <c r="C4563" t="n">
        <v>12959.28</v>
      </c>
      <c r="D4563" t="n">
        <v>8380.870000000001</v>
      </c>
      <c r="E4563" t="n">
        <v>15021.78</v>
      </c>
      <c r="F4563" t="n">
        <v>34092.15</v>
      </c>
    </row>
    <row r="4564">
      <c r="A4564" s="3" t="n">
        <v>45161</v>
      </c>
      <c r="B4564" t="n">
        <v>37099.01</v>
      </c>
      <c r="C4564" t="n">
        <v>12970.73</v>
      </c>
      <c r="D4564" t="n">
        <v>8433.5</v>
      </c>
      <c r="E4564" t="n">
        <v>15047.06</v>
      </c>
      <c r="F4564" t="n">
        <v>34383.1</v>
      </c>
    </row>
    <row r="4565">
      <c r="A4565" s="3" t="n">
        <v>45162</v>
      </c>
      <c r="B4565" t="n">
        <v>37060.66</v>
      </c>
      <c r="C4565" t="n">
        <v>13064.2</v>
      </c>
      <c r="D4565" t="n">
        <v>8405.67</v>
      </c>
      <c r="E4565" t="n">
        <v>15056.07</v>
      </c>
      <c r="F4565" t="n">
        <v>34246.75</v>
      </c>
    </row>
    <row r="4566">
      <c r="A4566" s="3" t="n">
        <v>45163</v>
      </c>
      <c r="B4566" t="n">
        <v>36771.98</v>
      </c>
      <c r="C4566" t="n">
        <v>13036.86</v>
      </c>
      <c r="D4566" t="n">
        <v>8338.709999999999</v>
      </c>
      <c r="E4566" t="n">
        <v>14957.16</v>
      </c>
      <c r="F4566" t="n">
        <v>33905.5</v>
      </c>
    </row>
    <row r="4567">
      <c r="A4567" s="3" t="n">
        <v>45166</v>
      </c>
      <c r="B4567" t="n">
        <v>36853.87</v>
      </c>
      <c r="C4567" t="n">
        <v>13071.28</v>
      </c>
      <c r="D4567" t="n">
        <v>8421.52</v>
      </c>
      <c r="E4567" t="n">
        <v>15009.31</v>
      </c>
      <c r="F4567" t="n">
        <v>33978.15</v>
      </c>
    </row>
    <row r="4568">
      <c r="A4568" s="3" t="n">
        <v>45167</v>
      </c>
      <c r="B4568" t="n">
        <v>36952.17</v>
      </c>
      <c r="C4568" t="n">
        <v>13128.61</v>
      </c>
      <c r="D4568" t="n">
        <v>8446.049999999999</v>
      </c>
      <c r="E4568" t="n">
        <v>15041.94</v>
      </c>
      <c r="F4568" t="n">
        <v>34115.45</v>
      </c>
    </row>
    <row r="4569">
      <c r="A4569" s="3" t="n">
        <v>45168</v>
      </c>
      <c r="B4569" t="n">
        <v>37288.21</v>
      </c>
      <c r="C4569" t="n">
        <v>13185.19</v>
      </c>
      <c r="D4569" t="n">
        <v>8456.620000000001</v>
      </c>
      <c r="E4569" t="n">
        <v>15035.88</v>
      </c>
      <c r="F4569" t="n">
        <v>34424.75</v>
      </c>
    </row>
    <row r="4570">
      <c r="A4570" s="3" t="n">
        <v>45169</v>
      </c>
      <c r="B4570" t="n">
        <v>37550.96</v>
      </c>
      <c r="C4570" t="n">
        <v>13238.89</v>
      </c>
      <c r="D4570" t="n">
        <v>8385.799999999999</v>
      </c>
      <c r="E4570" t="n">
        <v>14958.49</v>
      </c>
      <c r="F4570" t="n">
        <v>34723.85</v>
      </c>
    </row>
    <row r="4571">
      <c r="A4571" s="3" t="n">
        <v>45170</v>
      </c>
      <c r="B4571" t="n">
        <v>37788.21</v>
      </c>
      <c r="C4571" t="n">
        <v>13350.22</v>
      </c>
      <c r="D4571" t="n">
        <v>8563.24</v>
      </c>
      <c r="E4571" t="n">
        <v>15066.38</v>
      </c>
      <c r="F4571" t="n">
        <v>35082.65</v>
      </c>
    </row>
    <row r="4572">
      <c r="A4572" s="3" t="n">
        <v>45173</v>
      </c>
      <c r="B4572" t="n">
        <v>38165.11</v>
      </c>
      <c r="C4572" t="n">
        <v>13512.23</v>
      </c>
      <c r="D4572" t="n">
        <v>8753.91</v>
      </c>
      <c r="E4572" t="n">
        <v>15146.82</v>
      </c>
      <c r="F4572" t="n">
        <v>35491.25</v>
      </c>
    </row>
    <row r="4573">
      <c r="A4573" s="3" t="n">
        <v>45174</v>
      </c>
      <c r="B4573" t="n">
        <v>38497.06</v>
      </c>
      <c r="C4573" t="n">
        <v>13666.67</v>
      </c>
      <c r="D4573" t="n">
        <v>8806.4</v>
      </c>
      <c r="E4573" t="n">
        <v>15200.1</v>
      </c>
      <c r="F4573" t="n">
        <v>35885.15</v>
      </c>
    </row>
    <row r="4574">
      <c r="A4574" s="3" t="n">
        <v>45175</v>
      </c>
      <c r="B4574" t="n">
        <v>38371.65</v>
      </c>
      <c r="C4574" t="n">
        <v>13717.56</v>
      </c>
      <c r="D4574" t="n">
        <v>8751.33</v>
      </c>
      <c r="E4574" t="n">
        <v>15271.96</v>
      </c>
      <c r="F4574" t="n">
        <v>35680.75</v>
      </c>
    </row>
    <row r="4575">
      <c r="A4575" s="3" t="n">
        <v>45176</v>
      </c>
      <c r="B4575" t="n">
        <v>38614.92</v>
      </c>
      <c r="C4575" t="n">
        <v>13852.51</v>
      </c>
      <c r="D4575" t="n">
        <v>8844.049999999999</v>
      </c>
      <c r="E4575" t="n">
        <v>15336.79</v>
      </c>
      <c r="F4575" t="n">
        <v>35839.95</v>
      </c>
    </row>
    <row r="4576">
      <c r="A4576" s="3" t="n">
        <v>45177</v>
      </c>
      <c r="B4576" t="n">
        <v>39141.7</v>
      </c>
      <c r="C4576" t="n">
        <v>13950.82</v>
      </c>
      <c r="D4576" t="n">
        <v>9005.52</v>
      </c>
      <c r="E4576" t="n">
        <v>15404.04</v>
      </c>
      <c r="F4576" t="n">
        <v>36197.55</v>
      </c>
    </row>
    <row r="4577">
      <c r="A4577" s="3" t="n">
        <v>45180</v>
      </c>
      <c r="B4577" t="n">
        <v>39591.41</v>
      </c>
      <c r="C4577" t="n">
        <v>14091.21</v>
      </c>
      <c r="D4577" t="n">
        <v>9112.07</v>
      </c>
      <c r="E4577" t="n">
        <v>15534.29</v>
      </c>
      <c r="F4577" t="n">
        <v>36799.55</v>
      </c>
    </row>
    <row r="4578">
      <c r="A4578" s="3" t="n">
        <v>45181</v>
      </c>
      <c r="B4578" t="n">
        <v>38272.94</v>
      </c>
      <c r="C4578" t="n">
        <v>13731.11</v>
      </c>
      <c r="D4578" t="n">
        <v>8770.129999999999</v>
      </c>
      <c r="E4578" t="n">
        <v>15427.62</v>
      </c>
      <c r="F4578" t="n">
        <v>35508.65</v>
      </c>
    </row>
    <row r="4579">
      <c r="A4579" s="3" t="n">
        <v>45182</v>
      </c>
      <c r="B4579" t="n">
        <v>38233.51</v>
      </c>
      <c r="C4579" t="n">
        <v>13760.38</v>
      </c>
      <c r="D4579" t="n">
        <v>8915.530000000001</v>
      </c>
      <c r="E4579" t="n">
        <v>15522.78</v>
      </c>
      <c r="F4579" t="n">
        <v>35738.2</v>
      </c>
    </row>
    <row r="4580">
      <c r="A4580" s="3" t="n">
        <v>45183</v>
      </c>
      <c r="B4580" t="n">
        <v>38692.09</v>
      </c>
      <c r="C4580" t="n">
        <v>13870.75</v>
      </c>
      <c r="D4580" t="n">
        <v>9039.200000000001</v>
      </c>
      <c r="E4580" t="n">
        <v>15546.56</v>
      </c>
      <c r="F4580" t="n">
        <v>36109.75</v>
      </c>
    </row>
    <row r="4581">
      <c r="A4581" s="3" t="n">
        <v>45184</v>
      </c>
      <c r="B4581" t="n">
        <v>38787.45</v>
      </c>
      <c r="C4581" t="n">
        <v>13909.67</v>
      </c>
      <c r="D4581" t="n">
        <v>9011.799999999999</v>
      </c>
      <c r="E4581" t="n">
        <v>15602.65</v>
      </c>
      <c r="F4581" t="n">
        <v>36010.45</v>
      </c>
    </row>
    <row r="4582">
      <c r="A4582" s="3" t="n">
        <v>45187</v>
      </c>
      <c r="B4582" t="n">
        <v>38685.73</v>
      </c>
      <c r="C4582" t="n">
        <v>13874.09</v>
      </c>
      <c r="D4582" t="n">
        <v>9077.91</v>
      </c>
      <c r="E4582" t="n">
        <v>15605.27</v>
      </c>
      <c r="F4582" t="n">
        <v>36120.75</v>
      </c>
    </row>
    <row r="4583">
      <c r="A4583" s="3" t="n">
        <v>45189</v>
      </c>
      <c r="B4583" t="n">
        <v>38654.07</v>
      </c>
      <c r="C4583" t="n">
        <v>13800.19</v>
      </c>
      <c r="D4583" t="n">
        <v>9045.23</v>
      </c>
      <c r="E4583" t="n">
        <v>15488.86</v>
      </c>
      <c r="F4583" t="n">
        <v>35888.9</v>
      </c>
    </row>
    <row r="4584">
      <c r="A4584" s="3" t="n">
        <v>45190</v>
      </c>
      <c r="B4584" t="n">
        <v>38238.85</v>
      </c>
      <c r="C4584" t="n">
        <v>13680.43</v>
      </c>
      <c r="D4584" t="n">
        <v>8960.950000000001</v>
      </c>
      <c r="E4584" t="n">
        <v>15375.6</v>
      </c>
      <c r="F4584" t="n">
        <v>35552.45</v>
      </c>
    </row>
    <row r="4585">
      <c r="A4585" s="3" t="n">
        <v>45191</v>
      </c>
      <c r="B4585" t="n">
        <v>38332.01</v>
      </c>
      <c r="C4585" t="n">
        <v>13666.22</v>
      </c>
      <c r="D4585" t="n">
        <v>9011.950000000001</v>
      </c>
      <c r="E4585" t="n">
        <v>15310.81</v>
      </c>
      <c r="F4585" t="n">
        <v>35667.5</v>
      </c>
    </row>
    <row r="4586">
      <c r="A4586" s="3" t="n">
        <v>45194</v>
      </c>
      <c r="B4586" t="n">
        <v>38479.02</v>
      </c>
      <c r="C4586" t="n">
        <v>13722.51</v>
      </c>
      <c r="D4586" t="n">
        <v>9036.32</v>
      </c>
      <c r="E4586" t="n">
        <v>15299.03</v>
      </c>
      <c r="F4586" t="n">
        <v>35763.25</v>
      </c>
    </row>
    <row r="4587">
      <c r="A4587" s="3" t="n">
        <v>45195</v>
      </c>
      <c r="B4587" t="n">
        <v>38669.52</v>
      </c>
      <c r="C4587" t="n">
        <v>13732.44</v>
      </c>
      <c r="D4587" t="n">
        <v>9021.15</v>
      </c>
      <c r="E4587" t="n">
        <v>15286.9</v>
      </c>
      <c r="F4587" t="n">
        <v>35986</v>
      </c>
    </row>
    <row r="4588">
      <c r="A4588" s="3" t="n">
        <v>45196</v>
      </c>
      <c r="B4588" t="n">
        <v>39065.2</v>
      </c>
      <c r="C4588" t="n">
        <v>13812.84</v>
      </c>
      <c r="D4588" t="n">
        <v>9072.76</v>
      </c>
      <c r="E4588" t="n">
        <v>15321.41</v>
      </c>
      <c r="F4588" t="n">
        <v>36373.85</v>
      </c>
    </row>
    <row r="4589">
      <c r="A4589" s="3" t="n">
        <v>45197</v>
      </c>
      <c r="B4589" t="n">
        <v>38636.23</v>
      </c>
      <c r="C4589" t="n">
        <v>13624.33</v>
      </c>
      <c r="D4589" t="n">
        <v>8977.32</v>
      </c>
      <c r="E4589" t="n">
        <v>15140.85</v>
      </c>
      <c r="F4589" t="n">
        <v>36093.4</v>
      </c>
    </row>
    <row r="4590">
      <c r="A4590" s="3" t="n">
        <v>45198</v>
      </c>
      <c r="B4590" t="n">
        <v>38911.37</v>
      </c>
      <c r="C4590" t="n">
        <v>13721.87</v>
      </c>
      <c r="D4590" t="n">
        <v>9179.959999999999</v>
      </c>
      <c r="E4590" t="n">
        <v>15296.23</v>
      </c>
      <c r="F4590" t="n">
        <v>36496.65</v>
      </c>
    </row>
    <row r="4591">
      <c r="A4591" s="3" t="n">
        <v>45202</v>
      </c>
      <c r="B4591" t="n">
        <v>38994.07</v>
      </c>
      <c r="C4591" t="n">
        <v>13741.88</v>
      </c>
      <c r="D4591" t="n">
        <v>9165.85</v>
      </c>
      <c r="E4591" t="n">
        <v>15209.3</v>
      </c>
      <c r="F4591" t="n">
        <v>36802.7</v>
      </c>
    </row>
    <row r="4592">
      <c r="A4592" s="3" t="n">
        <v>45203</v>
      </c>
      <c r="B4592" t="n">
        <v>38286.88</v>
      </c>
      <c r="C4592" t="n">
        <v>13648.2</v>
      </c>
      <c r="D4592" t="n">
        <v>8996.66</v>
      </c>
      <c r="E4592" t="n">
        <v>15059.06</v>
      </c>
      <c r="F4592" t="n">
        <v>36154.1</v>
      </c>
    </row>
    <row r="4593">
      <c r="A4593" s="3" t="n">
        <v>45204</v>
      </c>
      <c r="B4593" t="n">
        <v>38325.54</v>
      </c>
      <c r="C4593" t="n">
        <v>13703.94</v>
      </c>
      <c r="D4593" t="n">
        <v>8963.139999999999</v>
      </c>
      <c r="E4593" t="n">
        <v>15096.46</v>
      </c>
      <c r="F4593" t="n">
        <v>36124.2</v>
      </c>
    </row>
    <row r="4594">
      <c r="A4594" s="3" t="n">
        <v>45205</v>
      </c>
      <c r="B4594" t="n">
        <v>38541.59</v>
      </c>
      <c r="C4594" t="n">
        <v>13732.88</v>
      </c>
      <c r="D4594" t="n">
        <v>9018.35</v>
      </c>
      <c r="E4594" t="n">
        <v>15176.45</v>
      </c>
      <c r="F4594" t="n">
        <v>36326.8</v>
      </c>
    </row>
    <row r="4595">
      <c r="A4595" s="3" t="n">
        <v>45208</v>
      </c>
      <c r="B4595" t="n">
        <v>38046.99</v>
      </c>
      <c r="C4595" t="n">
        <v>13589.96</v>
      </c>
      <c r="D4595" t="n">
        <v>8876.48</v>
      </c>
      <c r="E4595" t="n">
        <v>15076.3</v>
      </c>
      <c r="F4595" t="n">
        <v>35546.25</v>
      </c>
    </row>
    <row r="4596">
      <c r="A4596" s="3" t="n">
        <v>45209</v>
      </c>
      <c r="B4596" t="n">
        <v>38598.01</v>
      </c>
      <c r="C4596" t="n">
        <v>13746.51</v>
      </c>
      <c r="D4596" t="n">
        <v>9047.67</v>
      </c>
      <c r="E4596" t="n">
        <v>15206.93</v>
      </c>
      <c r="F4596" t="n">
        <v>36200</v>
      </c>
    </row>
    <row r="4597">
      <c r="A4597" s="3" t="n">
        <v>45210</v>
      </c>
      <c r="B4597" t="n">
        <v>38685.26</v>
      </c>
      <c r="C4597" t="n">
        <v>13785.39</v>
      </c>
      <c r="D4597" t="n">
        <v>9082.48</v>
      </c>
      <c r="E4597" t="n">
        <v>15295.17</v>
      </c>
      <c r="F4597" t="n">
        <v>36398.65</v>
      </c>
    </row>
    <row r="4598">
      <c r="A4598" s="3" t="n">
        <v>45211</v>
      </c>
      <c r="B4598" t="n">
        <v>38803.62</v>
      </c>
      <c r="C4598" t="n">
        <v>13818.06</v>
      </c>
      <c r="D4598" t="n">
        <v>9157.459999999999</v>
      </c>
      <c r="E4598" t="n">
        <v>15322.92</v>
      </c>
      <c r="F4598" t="n">
        <v>36495.55</v>
      </c>
    </row>
    <row r="4599">
      <c r="A4599" s="3" t="n">
        <v>45212</v>
      </c>
      <c r="B4599" t="n">
        <v>38757.47</v>
      </c>
      <c r="C4599" t="n">
        <v>13831.08</v>
      </c>
      <c r="D4599" t="n">
        <v>9143.129999999999</v>
      </c>
      <c r="E4599" t="n">
        <v>15325.88</v>
      </c>
      <c r="F4599" t="n">
        <v>36378.6</v>
      </c>
    </row>
    <row r="4600">
      <c r="A4600" s="3" t="n">
        <v>45215</v>
      </c>
      <c r="B4600" t="n">
        <v>38839.28</v>
      </c>
      <c r="C4600" t="n">
        <v>13872.89</v>
      </c>
      <c r="D4600" t="n">
        <v>9211.700000000001</v>
      </c>
      <c r="E4600" t="n">
        <v>15326.79</v>
      </c>
      <c r="F4600" t="n">
        <v>36572.8</v>
      </c>
    </row>
    <row r="4601">
      <c r="A4601" s="3" t="n">
        <v>45216</v>
      </c>
      <c r="B4601" t="n">
        <v>39011.92</v>
      </c>
      <c r="C4601" t="n">
        <v>13906.67</v>
      </c>
      <c r="D4601" t="n">
        <v>9274.360000000001</v>
      </c>
      <c r="E4601" t="n">
        <v>15405.68</v>
      </c>
      <c r="F4601" t="n">
        <v>36994.65</v>
      </c>
    </row>
    <row r="4602">
      <c r="A4602" s="3" t="n">
        <v>45217</v>
      </c>
      <c r="B4602" t="n">
        <v>38532.66</v>
      </c>
      <c r="C4602" t="n">
        <v>13841.47</v>
      </c>
      <c r="D4602" t="n">
        <v>9172.879999999999</v>
      </c>
      <c r="E4602" t="n">
        <v>15346.65</v>
      </c>
      <c r="F4602" t="n">
        <v>36657.8</v>
      </c>
    </row>
    <row r="4603">
      <c r="A4603" s="3" t="n">
        <v>45218</v>
      </c>
      <c r="B4603" t="n">
        <v>38617.28</v>
      </c>
      <c r="C4603" t="n">
        <v>13839</v>
      </c>
      <c r="D4603" t="n">
        <v>9180.76</v>
      </c>
      <c r="E4603" t="n">
        <v>15329.99</v>
      </c>
      <c r="F4603" t="n">
        <v>36707.2</v>
      </c>
    </row>
    <row r="4604">
      <c r="A4604" s="3" t="n">
        <v>45219</v>
      </c>
      <c r="B4604" t="n">
        <v>38268.64</v>
      </c>
      <c r="C4604" t="n">
        <v>13791.31</v>
      </c>
      <c r="D4604" t="n">
        <v>9044.860000000001</v>
      </c>
      <c r="E4604" t="n">
        <v>15282.05</v>
      </c>
      <c r="F4604" t="n">
        <v>36402.65</v>
      </c>
    </row>
    <row r="4605">
      <c r="A4605" s="3" t="n">
        <v>45222</v>
      </c>
      <c r="B4605" t="n">
        <v>37308.65</v>
      </c>
      <c r="C4605" t="n">
        <v>13445.51</v>
      </c>
      <c r="D4605" t="n">
        <v>8795.41</v>
      </c>
      <c r="E4605" t="n">
        <v>15089.6</v>
      </c>
      <c r="F4605" t="n">
        <v>35060.45</v>
      </c>
    </row>
    <row r="4606">
      <c r="A4606" s="3" t="n">
        <v>45224</v>
      </c>
      <c r="B4606" t="n">
        <v>36895.69</v>
      </c>
      <c r="C4606" t="n">
        <v>13380.31</v>
      </c>
      <c r="D4606" t="n">
        <v>8745.16</v>
      </c>
      <c r="E4606" t="n">
        <v>15004.78</v>
      </c>
      <c r="F4606" t="n">
        <v>34748.55</v>
      </c>
    </row>
    <row r="4607">
      <c r="A4607" s="3" t="n">
        <v>45225</v>
      </c>
      <c r="B4607" t="n">
        <v>36560.68</v>
      </c>
      <c r="C4607" t="n">
        <v>13263.95</v>
      </c>
      <c r="D4607" t="n">
        <v>8641.290000000001</v>
      </c>
      <c r="E4607" t="n">
        <v>14814.34</v>
      </c>
      <c r="F4607" t="n">
        <v>34466.75</v>
      </c>
    </row>
    <row r="4608">
      <c r="A4608" s="3" t="n">
        <v>45226</v>
      </c>
      <c r="B4608" t="n">
        <v>37348.12</v>
      </c>
      <c r="C4608" t="n">
        <v>13486.7</v>
      </c>
      <c r="D4608" t="n">
        <v>8797.41</v>
      </c>
      <c r="E4608" t="n">
        <v>14987.74</v>
      </c>
      <c r="F4608" t="n">
        <v>35290.55</v>
      </c>
    </row>
    <row r="4609">
      <c r="A4609" s="3" t="n">
        <v>45229</v>
      </c>
      <c r="B4609" t="n">
        <v>37281.34</v>
      </c>
      <c r="C4609" t="n">
        <v>13455.31</v>
      </c>
      <c r="D4609" t="n">
        <v>8838.43</v>
      </c>
      <c r="E4609" t="n">
        <v>15001.88</v>
      </c>
      <c r="F4609" t="n">
        <v>35259.3</v>
      </c>
    </row>
    <row r="4610">
      <c r="A4610" s="3" t="n">
        <v>45230</v>
      </c>
      <c r="B4610" t="n">
        <v>37348.69</v>
      </c>
      <c r="C4610" t="n">
        <v>13510.74</v>
      </c>
      <c r="D4610" t="n">
        <v>8882.4</v>
      </c>
      <c r="E4610" t="n">
        <v>15056.18</v>
      </c>
      <c r="F4610" t="n">
        <v>35216.15</v>
      </c>
    </row>
    <row r="4611">
      <c r="A4611" s="3" t="n">
        <v>45231</v>
      </c>
      <c r="B4611" t="n">
        <v>37217.46</v>
      </c>
      <c r="C4611" t="n">
        <v>13384.88</v>
      </c>
      <c r="D4611" t="n">
        <v>8859.139999999999</v>
      </c>
      <c r="E4611" t="n">
        <v>14995.65</v>
      </c>
      <c r="F4611" t="n">
        <v>35187.05</v>
      </c>
    </row>
    <row r="4612">
      <c r="A4612" s="3" t="n">
        <v>45232</v>
      </c>
      <c r="B4612" t="n">
        <v>37906.18</v>
      </c>
      <c r="C4612" t="n">
        <v>13498.59</v>
      </c>
      <c r="D4612" t="n">
        <v>9035.77</v>
      </c>
      <c r="E4612" t="n">
        <v>15128.67</v>
      </c>
      <c r="F4612" t="n">
        <v>35818.1</v>
      </c>
    </row>
    <row r="4613">
      <c r="A4613" s="3" t="n">
        <v>45233</v>
      </c>
      <c r="B4613" t="n">
        <v>38192.84</v>
      </c>
      <c r="C4613" t="n">
        <v>13597.61</v>
      </c>
      <c r="D4613" t="n">
        <v>9087.370000000001</v>
      </c>
      <c r="E4613" t="n">
        <v>15213.07</v>
      </c>
      <c r="F4613" t="n">
        <v>36058.1</v>
      </c>
    </row>
    <row r="4614">
      <c r="A4614" s="3" t="n">
        <v>45236</v>
      </c>
      <c r="B4614" t="n">
        <v>38300.95</v>
      </c>
      <c r="C4614" t="n">
        <v>13751.68</v>
      </c>
      <c r="D4614" t="n">
        <v>9166.35</v>
      </c>
      <c r="E4614" t="n">
        <v>15344.62</v>
      </c>
      <c r="F4614" t="n">
        <v>36381.95</v>
      </c>
    </row>
    <row r="4615">
      <c r="A4615" s="3" t="n">
        <v>45237</v>
      </c>
      <c r="B4615" t="n">
        <v>38503.44</v>
      </c>
      <c r="C4615" t="n">
        <v>13823.49</v>
      </c>
      <c r="D4615" t="n">
        <v>9242.450000000001</v>
      </c>
      <c r="E4615" t="n">
        <v>15422.67</v>
      </c>
      <c r="F4615" t="n">
        <v>36518.7</v>
      </c>
    </row>
    <row r="4616">
      <c r="A4616" s="3" t="n">
        <v>45238</v>
      </c>
      <c r="B4616" t="n">
        <v>38950.36</v>
      </c>
      <c r="C4616" t="n">
        <v>13906.33</v>
      </c>
      <c r="D4616" t="n">
        <v>9292.74</v>
      </c>
      <c r="E4616" t="n">
        <v>15488.66</v>
      </c>
      <c r="F4616" t="n">
        <v>36976.15</v>
      </c>
    </row>
    <row r="4617">
      <c r="A4617" s="3" t="n">
        <v>45239</v>
      </c>
      <c r="B4617" t="n">
        <v>39086.05</v>
      </c>
      <c r="C4617" t="n">
        <v>13895.53</v>
      </c>
      <c r="D4617" t="n">
        <v>9328.969999999999</v>
      </c>
      <c r="E4617" t="n">
        <v>15486.58</v>
      </c>
      <c r="F4617" t="n">
        <v>37023.1</v>
      </c>
    </row>
    <row r="4618">
      <c r="A4618" s="3" t="n">
        <v>45240</v>
      </c>
      <c r="B4618" t="n">
        <v>39325</v>
      </c>
      <c r="C4618" t="n">
        <v>13942.85</v>
      </c>
      <c r="D4618" t="n">
        <v>9425.870000000001</v>
      </c>
      <c r="E4618" t="n">
        <v>15504.6</v>
      </c>
      <c r="F4618" t="n">
        <v>37286.65</v>
      </c>
    </row>
    <row r="4619">
      <c r="A4619" s="3" t="n">
        <v>45242</v>
      </c>
      <c r="B4619" t="n">
        <v>39663.25</v>
      </c>
      <c r="C4619" t="n">
        <v>14061.63</v>
      </c>
      <c r="D4619" t="n">
        <v>9510.879999999999</v>
      </c>
      <c r="E4619" t="n">
        <v>15567.92</v>
      </c>
      <c r="F4619" t="n">
        <v>37615.85</v>
      </c>
    </row>
    <row r="4620">
      <c r="A4620" s="3" t="n">
        <v>45243</v>
      </c>
      <c r="B4620" t="n">
        <v>39704.49</v>
      </c>
      <c r="C4620" t="n">
        <v>14095.15</v>
      </c>
      <c r="D4620" t="n">
        <v>9610.41</v>
      </c>
      <c r="E4620" t="n">
        <v>15523.37</v>
      </c>
      <c r="F4620" t="n">
        <v>37896.6</v>
      </c>
    </row>
    <row r="4621">
      <c r="A4621" s="3" t="n">
        <v>45245</v>
      </c>
      <c r="B4621" t="n">
        <v>40099.98</v>
      </c>
      <c r="C4621" t="n">
        <v>14238.48</v>
      </c>
      <c r="D4621" t="n">
        <v>9681.190000000001</v>
      </c>
      <c r="E4621" t="n">
        <v>15653.91</v>
      </c>
      <c r="F4621" t="n">
        <v>38227.25</v>
      </c>
    </row>
    <row r="4622">
      <c r="A4622" s="3" t="n">
        <v>45246</v>
      </c>
      <c r="B4622" t="n">
        <v>40429.53</v>
      </c>
      <c r="C4622" t="n">
        <v>14349.97</v>
      </c>
      <c r="D4622" t="n">
        <v>9704.58</v>
      </c>
      <c r="E4622" t="n">
        <v>15724.28</v>
      </c>
      <c r="F4622" t="n">
        <v>38458.55</v>
      </c>
    </row>
    <row r="4623">
      <c r="A4623" s="3" t="n">
        <v>45247</v>
      </c>
      <c r="B4623" t="n">
        <v>40516.73</v>
      </c>
      <c r="C4623" t="n">
        <v>14478.62</v>
      </c>
      <c r="D4623" t="n">
        <v>9686.360000000001</v>
      </c>
      <c r="E4623" t="n">
        <v>15765.99</v>
      </c>
      <c r="F4623" t="n">
        <v>38538.05</v>
      </c>
    </row>
    <row r="4624">
      <c r="A4624" s="3" t="n">
        <v>45250</v>
      </c>
      <c r="B4624" t="n">
        <v>40922.98</v>
      </c>
      <c r="C4624" t="n">
        <v>14511.46</v>
      </c>
      <c r="D4624" t="n">
        <v>9708.77</v>
      </c>
      <c r="E4624" t="n">
        <v>15763.44</v>
      </c>
      <c r="F4624" t="n">
        <v>38762.5</v>
      </c>
    </row>
    <row r="4625">
      <c r="A4625" s="3" t="n">
        <v>45251</v>
      </c>
      <c r="B4625" t="n">
        <v>40656.97</v>
      </c>
      <c r="C4625" t="n">
        <v>14481.8</v>
      </c>
      <c r="D4625" t="n">
        <v>9696.809999999999</v>
      </c>
      <c r="E4625" t="n">
        <v>15808.46</v>
      </c>
      <c r="F4625" t="n">
        <v>38397.8</v>
      </c>
    </row>
    <row r="4626">
      <c r="A4626" s="3" t="n">
        <v>45252</v>
      </c>
      <c r="B4626" t="n">
        <v>40820.11</v>
      </c>
      <c r="C4626" t="n">
        <v>14577.26</v>
      </c>
      <c r="D4626" t="n">
        <v>9682.790000000001</v>
      </c>
      <c r="E4626" t="n">
        <v>15841.35</v>
      </c>
      <c r="F4626" t="n">
        <v>38098.1</v>
      </c>
    </row>
    <row r="4627">
      <c r="A4627" s="3" t="n">
        <v>45253</v>
      </c>
      <c r="B4627" t="n">
        <v>40850.07</v>
      </c>
      <c r="C4627" t="n">
        <v>14593.19</v>
      </c>
      <c r="D4627" t="n">
        <v>9730.27</v>
      </c>
      <c r="E4627" t="n">
        <v>15849.97</v>
      </c>
      <c r="F4627" t="n">
        <v>38249.55</v>
      </c>
    </row>
    <row r="4628">
      <c r="A4628" s="3" t="n">
        <v>45254</v>
      </c>
      <c r="B4628" t="n">
        <v>40792.3</v>
      </c>
      <c r="C4628" t="n">
        <v>14518.03</v>
      </c>
      <c r="D4628" t="n">
        <v>9684.040000000001</v>
      </c>
      <c r="E4628" t="n">
        <v>15841.38</v>
      </c>
      <c r="F4628" t="n">
        <v>38316.5</v>
      </c>
    </row>
    <row r="4629">
      <c r="A4629" s="3" t="n">
        <v>45258</v>
      </c>
      <c r="B4629" t="n">
        <v>40909.16</v>
      </c>
      <c r="C4629" t="n">
        <v>14544.08</v>
      </c>
      <c r="D4629" t="n">
        <v>9839.18</v>
      </c>
      <c r="E4629" t="n">
        <v>15917.41</v>
      </c>
      <c r="F4629" t="n">
        <v>38335.65</v>
      </c>
    </row>
    <row r="4630">
      <c r="A4630" s="3" t="n">
        <v>45259</v>
      </c>
      <c r="B4630" t="n">
        <v>41219.63</v>
      </c>
      <c r="C4630" t="n">
        <v>14664.84</v>
      </c>
      <c r="D4630" t="n">
        <v>9914.370000000001</v>
      </c>
      <c r="E4630" t="n">
        <v>16071.83</v>
      </c>
      <c r="F4630" t="n">
        <v>38710.2</v>
      </c>
    </row>
    <row r="4631">
      <c r="A4631" s="3" t="n">
        <v>45260</v>
      </c>
      <c r="B4631" t="n">
        <v>41716.05</v>
      </c>
      <c r="C4631" t="n">
        <v>14756.85</v>
      </c>
      <c r="D4631" t="n">
        <v>9988.459999999999</v>
      </c>
      <c r="E4631" t="n">
        <v>16212.66</v>
      </c>
      <c r="F4631" t="n">
        <v>39097.85</v>
      </c>
    </row>
    <row r="4632">
      <c r="A4632" s="3" t="n">
        <v>45261</v>
      </c>
      <c r="B4632" t="n">
        <v>42413.58</v>
      </c>
      <c r="C4632" t="n">
        <v>14822.23</v>
      </c>
      <c r="D4632" t="n">
        <v>10186.26</v>
      </c>
      <c r="E4632" t="n">
        <v>16291.58</v>
      </c>
      <c r="F4632" t="n">
        <v>39649.65</v>
      </c>
    </row>
    <row r="4633">
      <c r="A4633" s="3" t="n">
        <v>45264</v>
      </c>
      <c r="B4633" t="n">
        <v>43127.22</v>
      </c>
      <c r="C4633" t="n">
        <v>14932.57</v>
      </c>
      <c r="D4633" t="n">
        <v>10455.48</v>
      </c>
      <c r="E4633" t="n">
        <v>16515.83</v>
      </c>
      <c r="F4633" t="n">
        <v>40408.9</v>
      </c>
    </row>
    <row r="4634">
      <c r="A4634" s="3" t="n">
        <v>45265</v>
      </c>
      <c r="B4634" t="n">
        <v>43268.62</v>
      </c>
      <c r="C4634" t="n">
        <v>14918.13</v>
      </c>
      <c r="D4634" t="n">
        <v>10562.45</v>
      </c>
      <c r="E4634" t="n">
        <v>16636.35</v>
      </c>
      <c r="F4634" t="n">
        <v>40494.45</v>
      </c>
    </row>
    <row r="4635">
      <c r="A4635" s="3" t="n">
        <v>45266</v>
      </c>
      <c r="B4635" t="n">
        <v>43405.76</v>
      </c>
      <c r="C4635" t="n">
        <v>14994.21</v>
      </c>
      <c r="D4635" t="n">
        <v>10625.66</v>
      </c>
      <c r="E4635" t="n">
        <v>16610.91</v>
      </c>
      <c r="F4635" t="n">
        <v>40715.1</v>
      </c>
    </row>
    <row r="4636">
      <c r="A4636" s="3" t="n">
        <v>45267</v>
      </c>
      <c r="B4636" t="n">
        <v>43304.76</v>
      </c>
      <c r="C4636" t="n">
        <v>15036.43</v>
      </c>
      <c r="D4636" t="n">
        <v>10658.29</v>
      </c>
      <c r="E4636" t="n">
        <v>16661.33</v>
      </c>
      <c r="F4636" t="n">
        <v>40776.45</v>
      </c>
    </row>
    <row r="4637">
      <c r="A4637" s="3" t="n">
        <v>45268</v>
      </c>
      <c r="B4637" t="n">
        <v>43468.29</v>
      </c>
      <c r="C4637" t="n">
        <v>14986.91</v>
      </c>
      <c r="D4637" t="n">
        <v>10648.66</v>
      </c>
      <c r="E4637" t="n">
        <v>16651.14</v>
      </c>
      <c r="F4637" t="n">
        <v>40686.75</v>
      </c>
    </row>
    <row r="4638">
      <c r="A4638" s="3" t="n">
        <v>45271</v>
      </c>
      <c r="B4638" t="n">
        <v>44083.23</v>
      </c>
      <c r="C4638" t="n">
        <v>15123.34</v>
      </c>
      <c r="D4638" t="n">
        <v>10713.97</v>
      </c>
      <c r="E4638" t="n">
        <v>16659.42</v>
      </c>
      <c r="F4638" t="n">
        <v>41276.15</v>
      </c>
    </row>
    <row r="4639">
      <c r="A4639" s="3" t="n">
        <v>45272</v>
      </c>
      <c r="B4639" t="n">
        <v>43913.93</v>
      </c>
      <c r="C4639" t="n">
        <v>15117.17</v>
      </c>
      <c r="D4639" t="n">
        <v>10678.13</v>
      </c>
      <c r="E4639" t="n">
        <v>16619.85</v>
      </c>
      <c r="F4639" t="n">
        <v>41276.55</v>
      </c>
    </row>
    <row r="4640">
      <c r="A4640" s="3" t="n">
        <v>45273</v>
      </c>
      <c r="B4640" t="n">
        <v>44619.55</v>
      </c>
      <c r="C4640" t="n">
        <v>15178.41</v>
      </c>
      <c r="D4640" t="n">
        <v>10934.27</v>
      </c>
      <c r="E4640" t="n">
        <v>16725.17</v>
      </c>
      <c r="F4640" t="n">
        <v>41759.8</v>
      </c>
    </row>
    <row r="4641">
      <c r="A4641" s="3" t="n">
        <v>45274</v>
      </c>
      <c r="B4641" t="n">
        <v>45182.42</v>
      </c>
      <c r="C4641" t="n">
        <v>15344.01</v>
      </c>
      <c r="D4641" t="n">
        <v>11026.24</v>
      </c>
      <c r="E4641" t="n">
        <v>16815.89</v>
      </c>
      <c r="F4641" t="n">
        <v>42340.3</v>
      </c>
    </row>
    <row r="4642">
      <c r="A4642" s="3" t="n">
        <v>45275</v>
      </c>
      <c r="B4642" t="n">
        <v>45244.83</v>
      </c>
      <c r="C4642" t="n">
        <v>15508.55</v>
      </c>
      <c r="D4642" t="n">
        <v>11155.33</v>
      </c>
      <c r="E4642" t="n">
        <v>16931.11</v>
      </c>
      <c r="F4642" t="n">
        <v>42518.9</v>
      </c>
    </row>
    <row r="4643">
      <c r="A4643" s="3" t="n">
        <v>45278</v>
      </c>
      <c r="B4643" t="n">
        <v>45465.67</v>
      </c>
      <c r="C4643" t="n">
        <v>15590.16</v>
      </c>
      <c r="D4643" t="n">
        <v>11157.38</v>
      </c>
      <c r="E4643" t="n">
        <v>16953</v>
      </c>
      <c r="F4643" t="n">
        <v>42508.95</v>
      </c>
    </row>
    <row r="4644">
      <c r="A4644" s="3" t="n">
        <v>45279</v>
      </c>
      <c r="B4644" t="n">
        <v>45357.98</v>
      </c>
      <c r="C4644" t="n">
        <v>15636.14</v>
      </c>
      <c r="D4644" t="n">
        <v>11190.34</v>
      </c>
      <c r="E4644" t="n">
        <v>16987.96</v>
      </c>
      <c r="F4644" t="n">
        <v>42490.2</v>
      </c>
    </row>
    <row r="4645">
      <c r="A4645" s="3" t="n">
        <v>45280</v>
      </c>
      <c r="B4645" t="n">
        <v>44141.73</v>
      </c>
      <c r="C4645" t="n">
        <v>15228.61</v>
      </c>
      <c r="D4645" t="n">
        <v>10723.29</v>
      </c>
      <c r="E4645" t="n">
        <v>16701.09</v>
      </c>
      <c r="F4645" t="n">
        <v>41005.1</v>
      </c>
    </row>
    <row r="4646">
      <c r="A4646" s="3" t="n">
        <v>45281</v>
      </c>
      <c r="B4646" t="n">
        <v>44838.12</v>
      </c>
      <c r="C4646" t="n">
        <v>15434.95</v>
      </c>
      <c r="D4646" t="n">
        <v>10949.6</v>
      </c>
      <c r="E4646" t="n">
        <v>16794.51</v>
      </c>
      <c r="F4646" t="n">
        <v>41666.65</v>
      </c>
    </row>
    <row r="4647">
      <c r="A4647" s="3" t="n">
        <v>45282</v>
      </c>
      <c r="B4647" t="n">
        <v>45050.2</v>
      </c>
      <c r="C4647" t="n">
        <v>15684.17</v>
      </c>
      <c r="D4647" t="n">
        <v>11003.11</v>
      </c>
      <c r="E4647" t="n">
        <v>16908.31</v>
      </c>
      <c r="F4647" t="n">
        <v>41811.6</v>
      </c>
    </row>
    <row r="4648">
      <c r="A4648" s="3" t="n">
        <v>45286</v>
      </c>
      <c r="B4648" t="n">
        <v>45313.79</v>
      </c>
      <c r="C4648" t="n">
        <v>15811.81</v>
      </c>
      <c r="D4648" t="n">
        <v>11137.8</v>
      </c>
      <c r="E4648" t="n">
        <v>17068.33</v>
      </c>
      <c r="F4648" t="n">
        <v>41962.35</v>
      </c>
    </row>
    <row r="4649">
      <c r="A4649" s="3" t="n">
        <v>45287</v>
      </c>
      <c r="B4649" t="n">
        <v>45306.49</v>
      </c>
      <c r="C4649" t="n">
        <v>15828.6</v>
      </c>
      <c r="D4649" t="n">
        <v>11176.81</v>
      </c>
      <c r="E4649" t="n">
        <v>17203.55</v>
      </c>
      <c r="F4649" t="n">
        <v>42025.45</v>
      </c>
    </row>
    <row r="4650">
      <c r="A4650" s="3" t="n">
        <v>45288</v>
      </c>
      <c r="B4650" t="n">
        <v>45143.12</v>
      </c>
      <c r="C4650" t="n">
        <v>15965.28</v>
      </c>
      <c r="D4650" t="n">
        <v>11411.27</v>
      </c>
      <c r="E4650" t="n">
        <v>17379.51</v>
      </c>
      <c r="F4650" t="n">
        <v>42059.4</v>
      </c>
    </row>
    <row r="4651">
      <c r="A4651" s="3" t="n">
        <v>45289</v>
      </c>
      <c r="B4651" t="n">
        <v>45317.41</v>
      </c>
      <c r="C4651" t="n">
        <v>16051.58</v>
      </c>
      <c r="D4651" t="n">
        <v>11364.37</v>
      </c>
      <c r="E4651" t="n">
        <v>17421.1</v>
      </c>
      <c r="F4651" t="n">
        <v>42306.3</v>
      </c>
    </row>
    <row r="4652">
      <c r="A4652" s="3" t="n">
        <v>45292</v>
      </c>
      <c r="B4652" t="n">
        <v>45566.47</v>
      </c>
      <c r="C4652" t="n">
        <v>16089.9</v>
      </c>
      <c r="D4652" t="n">
        <v>11457.93</v>
      </c>
      <c r="E4652" t="n">
        <v>17418.63</v>
      </c>
      <c r="F4652" t="n">
        <v>42422.35</v>
      </c>
    </row>
    <row r="4653">
      <c r="A4653" s="3" t="n">
        <v>45293</v>
      </c>
      <c r="B4653" t="n">
        <v>45519.21</v>
      </c>
      <c r="C4653" t="n">
        <v>16083.83</v>
      </c>
      <c r="D4653" t="n">
        <v>11473.96</v>
      </c>
      <c r="E4653" t="n">
        <v>17416.59</v>
      </c>
      <c r="F4653" t="n">
        <v>42330.5</v>
      </c>
    </row>
    <row r="4654">
      <c r="A4654" s="3" t="n">
        <v>45294</v>
      </c>
      <c r="B4654" t="n">
        <v>45663.9</v>
      </c>
      <c r="C4654" t="n">
        <v>15993.68</v>
      </c>
      <c r="D4654" t="n">
        <v>11445.22</v>
      </c>
      <c r="E4654" t="n">
        <v>17377.3</v>
      </c>
      <c r="F4654" t="n">
        <v>42480.35</v>
      </c>
    </row>
    <row r="4655">
      <c r="A4655" s="3" t="n">
        <v>45295</v>
      </c>
      <c r="B4655" t="n">
        <v>46249.04</v>
      </c>
      <c r="C4655" t="n">
        <v>16164.21</v>
      </c>
      <c r="D4655" t="n">
        <v>11540.3</v>
      </c>
      <c r="E4655" t="n">
        <v>17494</v>
      </c>
      <c r="F4655" t="n">
        <v>43080.2</v>
      </c>
    </row>
    <row r="4656">
      <c r="A4656" s="3" t="n">
        <v>45296</v>
      </c>
      <c r="B4656" t="n">
        <v>46514.35</v>
      </c>
      <c r="C4656" t="n">
        <v>16196.4</v>
      </c>
      <c r="D4656" t="n">
        <v>11522.58</v>
      </c>
      <c r="E4656" t="n">
        <v>17489.14</v>
      </c>
      <c r="F4656" t="n">
        <v>43353.25</v>
      </c>
    </row>
    <row r="4657">
      <c r="A4657" s="3" t="n">
        <v>45299</v>
      </c>
      <c r="B4657" t="n">
        <v>46455.76</v>
      </c>
      <c r="C4657" t="n">
        <v>15999.34</v>
      </c>
      <c r="D4657" t="n">
        <v>11398.34</v>
      </c>
      <c r="E4657" t="n">
        <v>17287.94</v>
      </c>
      <c r="F4657" t="n">
        <v>43343.05</v>
      </c>
    </row>
    <row r="4658">
      <c r="A4658" s="3" t="n">
        <v>45300</v>
      </c>
      <c r="B4658" t="n">
        <v>46456.22</v>
      </c>
      <c r="C4658" t="n">
        <v>16049.91</v>
      </c>
      <c r="D4658" t="n">
        <v>11424.08</v>
      </c>
      <c r="E4658" t="n">
        <v>17301.85</v>
      </c>
      <c r="F4658" t="n">
        <v>43325.85</v>
      </c>
    </row>
    <row r="4659">
      <c r="A4659" s="3" t="n">
        <v>45301</v>
      </c>
      <c r="B4659" t="n">
        <v>46651.29</v>
      </c>
      <c r="C4659" t="n">
        <v>16092.69</v>
      </c>
      <c r="D4659" t="n">
        <v>11378.93</v>
      </c>
      <c r="E4659" t="n">
        <v>17278.17</v>
      </c>
      <c r="F4659" t="n">
        <v>43432</v>
      </c>
    </row>
    <row r="4660">
      <c r="A4660" s="3" t="n">
        <v>45302</v>
      </c>
      <c r="B4660" t="n">
        <v>46649.14</v>
      </c>
      <c r="C4660" t="n">
        <v>16190.18</v>
      </c>
      <c r="D4660" t="n">
        <v>11470.74</v>
      </c>
      <c r="E4660" t="n">
        <v>17386.11</v>
      </c>
      <c r="F4660" t="n">
        <v>43397</v>
      </c>
    </row>
    <row r="4661">
      <c r="A4661" s="3" t="n">
        <v>45303</v>
      </c>
      <c r="B4661" t="n">
        <v>46991.12</v>
      </c>
      <c r="C4661" t="n">
        <v>16269.73</v>
      </c>
      <c r="D4661" t="n">
        <v>11569.03</v>
      </c>
      <c r="E4661" t="n">
        <v>17463.39</v>
      </c>
      <c r="F4661" t="n">
        <v>43748.6</v>
      </c>
    </row>
    <row r="4662">
      <c r="A4662" s="3" t="n">
        <v>45306</v>
      </c>
      <c r="B4662" t="n">
        <v>47757.08</v>
      </c>
      <c r="C4662" t="n">
        <v>16378.59</v>
      </c>
      <c r="D4662" t="n">
        <v>11682.07</v>
      </c>
      <c r="E4662" t="n">
        <v>17632.63</v>
      </c>
      <c r="F4662" t="n">
        <v>44378.05</v>
      </c>
    </row>
    <row r="4663">
      <c r="A4663" s="3" t="n">
        <v>45307</v>
      </c>
      <c r="B4663" t="n">
        <v>47605.21</v>
      </c>
      <c r="C4663" t="n">
        <v>16309.56</v>
      </c>
      <c r="D4663" t="n">
        <v>11738.58</v>
      </c>
      <c r="E4663" t="n">
        <v>17619.26</v>
      </c>
      <c r="F4663" t="n">
        <v>44363.6</v>
      </c>
    </row>
    <row r="4664">
      <c r="A4664" s="3" t="n">
        <v>45308</v>
      </c>
      <c r="B4664" t="n">
        <v>47467.13</v>
      </c>
      <c r="C4664" t="n">
        <v>16145.9</v>
      </c>
      <c r="D4664" t="n">
        <v>11532.91</v>
      </c>
      <c r="E4664" t="n">
        <v>17373.79</v>
      </c>
      <c r="F4664" t="n">
        <v>44157.6</v>
      </c>
    </row>
    <row r="4665">
      <c r="A4665" s="3" t="n">
        <v>45309</v>
      </c>
      <c r="B4665" t="n">
        <v>47602.77</v>
      </c>
      <c r="C4665" t="n">
        <v>16083.1</v>
      </c>
      <c r="D4665" t="n">
        <v>11496.89</v>
      </c>
      <c r="E4665" t="n">
        <v>17331.59</v>
      </c>
      <c r="F4665" t="n">
        <v>44251.1</v>
      </c>
    </row>
    <row r="4666">
      <c r="A4666" s="3" t="n">
        <v>45310</v>
      </c>
      <c r="B4666" t="n">
        <v>48712.11</v>
      </c>
      <c r="C4666" t="n">
        <v>16287.05</v>
      </c>
      <c r="D4666" t="n">
        <v>11723.74</v>
      </c>
      <c r="E4666" t="n">
        <v>17509.32</v>
      </c>
      <c r="F4666" t="n">
        <v>45381.95</v>
      </c>
    </row>
    <row r="4667">
      <c r="A4667" s="3" t="n">
        <v>45311</v>
      </c>
      <c r="B4667" t="n">
        <v>49055.81</v>
      </c>
      <c r="C4667" t="n">
        <v>16377.39</v>
      </c>
      <c r="D4667" t="n">
        <v>11836.95</v>
      </c>
      <c r="E4667" t="n">
        <v>17501.46</v>
      </c>
      <c r="F4667" t="n">
        <v>45752.4</v>
      </c>
    </row>
    <row r="4668">
      <c r="A4668" s="3" t="n">
        <v>45314</v>
      </c>
      <c r="B4668" t="n">
        <v>47270.65</v>
      </c>
      <c r="C4668" t="n">
        <v>15970.23</v>
      </c>
      <c r="D4668" t="n">
        <v>11365.18</v>
      </c>
      <c r="E4668" t="n">
        <v>17187.16</v>
      </c>
      <c r="F4668" t="n">
        <v>43958.4</v>
      </c>
    </row>
    <row r="4669">
      <c r="A4669" s="3" t="n">
        <v>45315</v>
      </c>
      <c r="B4669" t="n">
        <v>48526.49</v>
      </c>
      <c r="C4669" t="n">
        <v>16178.46</v>
      </c>
      <c r="D4669" t="n">
        <v>11707.84</v>
      </c>
      <c r="E4669" t="n">
        <v>17419.57</v>
      </c>
      <c r="F4669" t="n">
        <v>45056.8</v>
      </c>
    </row>
    <row r="4670">
      <c r="A4670" s="3" t="n">
        <v>45316</v>
      </c>
      <c r="B4670" t="n">
        <v>48698.09</v>
      </c>
      <c r="C4670" t="n">
        <v>16141.78</v>
      </c>
      <c r="D4670" t="n">
        <v>11753.21</v>
      </c>
      <c r="E4670" t="n">
        <v>17302.85</v>
      </c>
      <c r="F4670" t="n">
        <v>45055.7</v>
      </c>
    </row>
    <row r="4671">
      <c r="A4671" s="3" t="n">
        <v>45320</v>
      </c>
      <c r="B4671" t="n">
        <v>49519.98</v>
      </c>
      <c r="C4671" t="n">
        <v>16331.62</v>
      </c>
      <c r="D4671" t="n">
        <v>12096.65</v>
      </c>
      <c r="E4671" t="n">
        <v>17531.89</v>
      </c>
      <c r="F4671" t="n">
        <v>45895.4</v>
      </c>
    </row>
    <row r="4672">
      <c r="A4672" s="3" t="n">
        <v>45321</v>
      </c>
      <c r="B4672" t="n">
        <v>49579.36</v>
      </c>
      <c r="C4672" t="n">
        <v>16213.71</v>
      </c>
      <c r="D4672" t="n">
        <v>12091.46</v>
      </c>
      <c r="E4672" t="n">
        <v>17433.73</v>
      </c>
      <c r="F4672" t="n">
        <v>45991.3</v>
      </c>
    </row>
    <row r="4673">
      <c r="A4673" s="3" t="n">
        <v>45322</v>
      </c>
      <c r="B4673" t="n">
        <v>50435.33</v>
      </c>
      <c r="C4673" t="n">
        <v>16501.88</v>
      </c>
      <c r="D4673" t="n">
        <v>12254.01</v>
      </c>
      <c r="E4673" t="n">
        <v>17663.29</v>
      </c>
      <c r="F4673" t="n">
        <v>47075.2</v>
      </c>
    </row>
    <row r="4674">
      <c r="A4674" s="3" t="n">
        <v>45323</v>
      </c>
      <c r="B4674" t="n">
        <v>50312.6</v>
      </c>
      <c r="C4674" t="n">
        <v>16376.3</v>
      </c>
      <c r="D4674" t="n">
        <v>12278.59</v>
      </c>
      <c r="E4674" t="n">
        <v>17676.95</v>
      </c>
      <c r="F4674" t="n">
        <v>46758.5</v>
      </c>
    </row>
    <row r="4675">
      <c r="A4675" s="3" t="n">
        <v>45324</v>
      </c>
      <c r="B4675" t="n">
        <v>50844.82</v>
      </c>
      <c r="C4675" t="n">
        <v>16510.11</v>
      </c>
      <c r="D4675" t="n">
        <v>12622.82</v>
      </c>
      <c r="E4675" t="n">
        <v>17882.2</v>
      </c>
      <c r="F4675" t="n">
        <v>47086.15</v>
      </c>
    </row>
    <row r="4676">
      <c r="A4676" s="3" t="n">
        <v>45327</v>
      </c>
      <c r="B4676" t="n">
        <v>50836.65</v>
      </c>
      <c r="C4676" t="n">
        <v>16533.48</v>
      </c>
      <c r="D4676" t="n">
        <v>12760.34</v>
      </c>
      <c r="E4676" t="n">
        <v>17859.41</v>
      </c>
      <c r="F4676" t="n">
        <v>46752</v>
      </c>
    </row>
    <row r="4677">
      <c r="A4677" s="3" t="n">
        <v>45328</v>
      </c>
      <c r="B4677" t="n">
        <v>51006.61</v>
      </c>
      <c r="C4677" t="n">
        <v>16817.03</v>
      </c>
      <c r="D4677" t="n">
        <v>12954.25</v>
      </c>
      <c r="E4677" t="n">
        <v>18057.17</v>
      </c>
      <c r="F4677" t="n">
        <v>46896.7</v>
      </c>
    </row>
    <row r="4678">
      <c r="A4678" s="3" t="n">
        <v>45329</v>
      </c>
      <c r="B4678" t="n">
        <v>51779.81</v>
      </c>
      <c r="C4678" t="n">
        <v>16788.9</v>
      </c>
      <c r="D4678" t="n">
        <v>12977.02</v>
      </c>
      <c r="E4678" t="n">
        <v>18137.87</v>
      </c>
      <c r="F4678" t="n">
        <v>47499.1</v>
      </c>
    </row>
    <row r="4679">
      <c r="A4679" s="3" t="n">
        <v>45330</v>
      </c>
      <c r="B4679" t="n">
        <v>52374.88</v>
      </c>
      <c r="C4679" t="n">
        <v>16731.98</v>
      </c>
      <c r="D4679" t="n">
        <v>13044</v>
      </c>
      <c r="E4679" t="n">
        <v>18040.35</v>
      </c>
      <c r="F4679" t="n">
        <v>47460.25</v>
      </c>
    </row>
    <row r="4680">
      <c r="A4680" s="3" t="n">
        <v>45331</v>
      </c>
      <c r="B4680" t="n">
        <v>51070.96</v>
      </c>
      <c r="C4680" t="n">
        <v>16624.78</v>
      </c>
      <c r="D4680" t="n">
        <v>12854.6</v>
      </c>
      <c r="E4680" t="n">
        <v>18054.68</v>
      </c>
      <c r="F4680" t="n">
        <v>46578.95</v>
      </c>
    </row>
    <row r="4681">
      <c r="A4681" s="3" t="n">
        <v>45334</v>
      </c>
      <c r="B4681" t="n">
        <v>48909.25</v>
      </c>
      <c r="C4681" t="n">
        <v>16268.36</v>
      </c>
      <c r="D4681" t="n">
        <v>12355.49</v>
      </c>
      <c r="E4681" t="n">
        <v>17917.71</v>
      </c>
      <c r="F4681" t="n">
        <v>45018.45</v>
      </c>
    </row>
    <row r="4682">
      <c r="A4682" s="3" t="n">
        <v>45335</v>
      </c>
      <c r="B4682" t="n">
        <v>49260.53</v>
      </c>
      <c r="C4682" t="n">
        <v>16359.83</v>
      </c>
      <c r="D4682" t="n">
        <v>12384.69</v>
      </c>
      <c r="E4682" t="n">
        <v>18096.18</v>
      </c>
      <c r="F4682" t="n">
        <v>45310.55</v>
      </c>
    </row>
    <row r="4683">
      <c r="A4683" s="3" t="n">
        <v>45336</v>
      </c>
      <c r="B4683" t="n">
        <v>49984.07</v>
      </c>
      <c r="C4683" t="n">
        <v>16499.83</v>
      </c>
      <c r="D4683" t="n">
        <v>12756.22</v>
      </c>
      <c r="E4683" t="n">
        <v>18294.1</v>
      </c>
      <c r="F4683" t="n">
        <v>45796.6</v>
      </c>
    </row>
    <row r="4684">
      <c r="A4684" s="3" t="n">
        <v>45337</v>
      </c>
      <c r="B4684" t="n">
        <v>50754.63</v>
      </c>
      <c r="C4684" t="n">
        <v>16666.64</v>
      </c>
      <c r="D4684" t="n">
        <v>13046.4</v>
      </c>
      <c r="E4684" t="n">
        <v>18414.4</v>
      </c>
      <c r="F4684" t="n">
        <v>46321.3</v>
      </c>
    </row>
    <row r="4685">
      <c r="A4685" s="3" t="n">
        <v>45338</v>
      </c>
      <c r="B4685" t="n">
        <v>50941.79</v>
      </c>
      <c r="C4685" t="n">
        <v>16703.53</v>
      </c>
      <c r="D4685" t="n">
        <v>13024.42</v>
      </c>
      <c r="E4685" t="n">
        <v>18518.97</v>
      </c>
      <c r="F4685" t="n">
        <v>46543.05</v>
      </c>
    </row>
    <row r="4686">
      <c r="A4686" s="3" t="n">
        <v>45341</v>
      </c>
      <c r="B4686" t="n">
        <v>51073.27</v>
      </c>
      <c r="C4686" t="n">
        <v>16700.27</v>
      </c>
      <c r="D4686" t="n">
        <v>13048.45</v>
      </c>
      <c r="E4686" t="n">
        <v>18591.55</v>
      </c>
      <c r="F4686" t="n">
        <v>46823.45</v>
      </c>
    </row>
    <row r="4687">
      <c r="A4687" s="3" t="n">
        <v>45342</v>
      </c>
      <c r="B4687" t="n">
        <v>50755.59</v>
      </c>
      <c r="C4687" t="n">
        <v>16644</v>
      </c>
      <c r="D4687" t="n">
        <v>13081.25</v>
      </c>
      <c r="E4687" t="n">
        <v>18672.18</v>
      </c>
      <c r="F4687" t="n">
        <v>46681.9</v>
      </c>
    </row>
    <row r="4688">
      <c r="A4688" s="3" t="n">
        <v>45343</v>
      </c>
      <c r="B4688" t="n">
        <v>49998.81</v>
      </c>
      <c r="C4688" t="n">
        <v>16478.45</v>
      </c>
      <c r="D4688" t="n">
        <v>12907.33</v>
      </c>
      <c r="E4688" t="n">
        <v>18559.08</v>
      </c>
      <c r="F4688" t="n">
        <v>46019</v>
      </c>
    </row>
    <row r="4689">
      <c r="A4689" s="3" t="n">
        <v>45344</v>
      </c>
      <c r="B4689" t="n">
        <v>50403.27</v>
      </c>
      <c r="C4689" t="n">
        <v>16624.9</v>
      </c>
      <c r="D4689" t="n">
        <v>12998.35</v>
      </c>
      <c r="E4689" t="n">
        <v>18620.08</v>
      </c>
      <c r="F4689" t="n">
        <v>46615.05</v>
      </c>
    </row>
    <row r="4690">
      <c r="A4690" s="3" t="n">
        <v>45345</v>
      </c>
      <c r="B4690" t="n">
        <v>50617.79</v>
      </c>
      <c r="C4690" t="n">
        <v>16728.34</v>
      </c>
      <c r="D4690" t="n">
        <v>12926.92</v>
      </c>
      <c r="E4690" t="n">
        <v>18590.4</v>
      </c>
      <c r="F4690" t="n">
        <v>46959.75</v>
      </c>
    </row>
    <row r="4691">
      <c r="A4691" s="3" t="n">
        <v>45348</v>
      </c>
      <c r="B4691" t="n">
        <v>50308.31</v>
      </c>
      <c r="C4691" t="n">
        <v>16662.32</v>
      </c>
      <c r="D4691" t="n">
        <v>12877.56</v>
      </c>
      <c r="E4691" t="n">
        <v>18537</v>
      </c>
      <c r="F4691" t="n">
        <v>46919.6</v>
      </c>
    </row>
    <row r="4692">
      <c r="A4692" s="3" t="n">
        <v>45349</v>
      </c>
      <c r="B4692" t="n">
        <v>50478.33</v>
      </c>
      <c r="C4692" t="n">
        <v>16641.53</v>
      </c>
      <c r="D4692" t="n">
        <v>12829.52</v>
      </c>
      <c r="E4692" t="n">
        <v>18543.63</v>
      </c>
      <c r="F4692" t="n">
        <v>47027.65</v>
      </c>
    </row>
    <row r="4693">
      <c r="A4693" s="3" t="n">
        <v>45350</v>
      </c>
      <c r="B4693" t="n">
        <v>49654.18</v>
      </c>
      <c r="C4693" t="n">
        <v>16412.26</v>
      </c>
      <c r="D4693" t="n">
        <v>12557.91</v>
      </c>
      <c r="E4693" t="n">
        <v>18279.89</v>
      </c>
      <c r="F4693" t="n">
        <v>46137.9</v>
      </c>
    </row>
    <row r="4694">
      <c r="A4694" s="3" t="n">
        <v>45351</v>
      </c>
      <c r="B4694" t="n">
        <v>49893.01</v>
      </c>
      <c r="C4694" t="n">
        <v>16555.92</v>
      </c>
      <c r="D4694" t="n">
        <v>12625.95</v>
      </c>
      <c r="E4694" t="n">
        <v>18360.75</v>
      </c>
      <c r="F4694" t="n">
        <v>46491.55</v>
      </c>
    </row>
    <row r="4695">
      <c r="A4695" s="3" t="n">
        <v>45352</v>
      </c>
      <c r="B4695" t="n">
        <v>50338.01</v>
      </c>
      <c r="C4695" t="n">
        <v>16669.41</v>
      </c>
      <c r="D4695" t="n">
        <v>12950.78</v>
      </c>
      <c r="E4695" t="n">
        <v>18551.56</v>
      </c>
      <c r="F4695" t="n">
        <v>46864.55</v>
      </c>
    </row>
    <row r="4696">
      <c r="A4696" s="3" t="n">
        <v>45353</v>
      </c>
      <c r="B4696" t="n">
        <v>50754.53</v>
      </c>
      <c r="C4696" t="n">
        <v>16766.17</v>
      </c>
      <c r="D4696" t="n">
        <v>13042.08</v>
      </c>
      <c r="E4696" t="n">
        <v>18611.97</v>
      </c>
      <c r="F4696" t="n">
        <v>47130.2</v>
      </c>
    </row>
    <row r="4697">
      <c r="A4697" s="3" t="n">
        <v>45355</v>
      </c>
      <c r="B4697" t="n">
        <v>50919.67</v>
      </c>
      <c r="C4697" t="n">
        <v>16777.6</v>
      </c>
      <c r="D4697" t="n">
        <v>13188.84</v>
      </c>
      <c r="E4697" t="n">
        <v>18660.05</v>
      </c>
      <c r="F4697" t="n">
        <v>47128.9</v>
      </c>
    </row>
    <row r="4698">
      <c r="A4698" s="3" t="n">
        <v>45356</v>
      </c>
      <c r="B4698" t="n">
        <v>50590.23</v>
      </c>
      <c r="C4698" t="n">
        <v>16713.82</v>
      </c>
      <c r="D4698" t="n">
        <v>13299.59</v>
      </c>
      <c r="E4698" t="n">
        <v>18651.67</v>
      </c>
      <c r="F4698" t="n">
        <v>46755.2</v>
      </c>
    </row>
    <row r="4699">
      <c r="A4699" s="3" t="n">
        <v>45357</v>
      </c>
      <c r="B4699" t="n">
        <v>49976.22</v>
      </c>
      <c r="C4699" t="n">
        <v>16567.92</v>
      </c>
      <c r="D4699" t="n">
        <v>13218.92</v>
      </c>
      <c r="E4699" t="n">
        <v>18697.93</v>
      </c>
      <c r="F4699" t="n">
        <v>46336.05</v>
      </c>
    </row>
    <row r="4700">
      <c r="A4700" s="3" t="n">
        <v>45358</v>
      </c>
      <c r="B4700" t="n">
        <v>50424.78</v>
      </c>
      <c r="C4700" t="n">
        <v>16600.71</v>
      </c>
      <c r="D4700" t="n">
        <v>13226.26</v>
      </c>
      <c r="E4700" t="n">
        <v>18740.83</v>
      </c>
      <c r="F4700" t="n">
        <v>46686</v>
      </c>
    </row>
    <row r="4701">
      <c r="A4701" s="3" t="n">
        <v>45362</v>
      </c>
      <c r="B4701" t="n">
        <v>50074.1</v>
      </c>
      <c r="C4701" t="n">
        <v>16485.47</v>
      </c>
      <c r="D4701" t="n">
        <v>13034.6</v>
      </c>
      <c r="E4701" t="n">
        <v>18657.27</v>
      </c>
      <c r="F4701" t="n">
        <v>46477.15</v>
      </c>
    </row>
    <row r="4702">
      <c r="A4702" s="3" t="n">
        <v>45363</v>
      </c>
      <c r="B4702" t="n">
        <v>49056.8</v>
      </c>
      <c r="C4702" t="n">
        <v>16276</v>
      </c>
      <c r="D4702" t="n">
        <v>12845.37</v>
      </c>
      <c r="E4702" t="n">
        <v>18526.87</v>
      </c>
      <c r="F4702" t="n">
        <v>45774.1</v>
      </c>
    </row>
    <row r="4703">
      <c r="A4703" s="3" t="n">
        <v>45364</v>
      </c>
      <c r="B4703" t="n">
        <v>46359.07</v>
      </c>
      <c r="C4703" t="n">
        <v>15676.7</v>
      </c>
      <c r="D4703" t="n">
        <v>12115.79</v>
      </c>
      <c r="E4703" t="n">
        <v>18119.89</v>
      </c>
      <c r="F4703" t="n">
        <v>43434.9</v>
      </c>
    </row>
    <row r="4704">
      <c r="A4704" s="3" t="n">
        <v>45365</v>
      </c>
      <c r="B4704" t="n">
        <v>48068.54</v>
      </c>
      <c r="C4704" t="n">
        <v>16067.96</v>
      </c>
      <c r="D4704" t="n">
        <v>12381.31</v>
      </c>
      <c r="E4704" t="n">
        <v>18340.95</v>
      </c>
      <c r="F4704" t="n">
        <v>44767.95</v>
      </c>
    </row>
    <row r="4705">
      <c r="A4705" s="3" t="n">
        <v>45366</v>
      </c>
      <c r="B4705" t="n">
        <v>47800.25</v>
      </c>
      <c r="C4705" t="n">
        <v>16084.52</v>
      </c>
      <c r="D4705" t="n">
        <v>12248.02</v>
      </c>
      <c r="E4705" t="n">
        <v>18239.3</v>
      </c>
      <c r="F4705" t="n">
        <v>44583.65</v>
      </c>
    </row>
    <row r="4706">
      <c r="A4706" s="3" t="n">
        <v>45369</v>
      </c>
      <c r="B4706" t="n">
        <v>47370.78</v>
      </c>
      <c r="C4706" t="n">
        <v>16073.3</v>
      </c>
      <c r="D4706" t="n">
        <v>12283.76</v>
      </c>
      <c r="E4706" t="n">
        <v>18281.56</v>
      </c>
      <c r="F4706" t="n">
        <v>44274.3</v>
      </c>
    </row>
    <row r="4707">
      <c r="A4707" s="3" t="n">
        <v>45370</v>
      </c>
      <c r="B4707" t="n">
        <v>46624.61</v>
      </c>
      <c r="C4707" t="n">
        <v>15823.43</v>
      </c>
      <c r="D4707" t="n">
        <v>12095.98</v>
      </c>
      <c r="E4707" t="n">
        <v>17992.65</v>
      </c>
      <c r="F4707" t="n">
        <v>43595.25</v>
      </c>
    </row>
    <row r="4708">
      <c r="A4708" s="3" t="n">
        <v>45371</v>
      </c>
      <c r="B4708" t="n">
        <v>46611.44</v>
      </c>
      <c r="C4708" t="n">
        <v>15841.66</v>
      </c>
      <c r="D4708" t="n">
        <v>12134.9</v>
      </c>
      <c r="E4708" t="n">
        <v>18039.32</v>
      </c>
      <c r="F4708" t="n">
        <v>43925.3</v>
      </c>
    </row>
    <row r="4709">
      <c r="A4709" s="3" t="n">
        <v>45372</v>
      </c>
      <c r="B4709" t="n">
        <v>48140.79</v>
      </c>
      <c r="C4709" t="n">
        <v>16222.59</v>
      </c>
      <c r="D4709" t="n">
        <v>12454.91</v>
      </c>
      <c r="E4709" t="n">
        <v>18259.94</v>
      </c>
      <c r="F4709" t="n">
        <v>45271.55</v>
      </c>
    </row>
    <row r="4710">
      <c r="A4710" s="3" t="n">
        <v>45373</v>
      </c>
      <c r="B4710" t="n">
        <v>48628.32</v>
      </c>
      <c r="C4710" t="n">
        <v>16235.2</v>
      </c>
      <c r="D4710" t="n">
        <v>12530.73</v>
      </c>
      <c r="E4710" t="n">
        <v>18383.47</v>
      </c>
      <c r="F4710" t="n">
        <v>45591.15</v>
      </c>
    </row>
    <row r="4711">
      <c r="A4711" s="3" t="n">
        <v>45377</v>
      </c>
      <c r="B4711" t="n">
        <v>49262.55</v>
      </c>
      <c r="C4711" t="n">
        <v>16358.03</v>
      </c>
      <c r="D4711" t="n">
        <v>12598.71</v>
      </c>
      <c r="E4711" t="n">
        <v>18399.09</v>
      </c>
      <c r="F4711" t="n">
        <v>46511.95</v>
      </c>
    </row>
    <row r="4712">
      <c r="A4712" s="3" t="n">
        <v>45378</v>
      </c>
      <c r="B4712" t="n">
        <v>49637.05</v>
      </c>
      <c r="C4712" t="n">
        <v>16302.27</v>
      </c>
      <c r="D4712" t="n">
        <v>12530.12</v>
      </c>
      <c r="E4712" t="n">
        <v>18372.35</v>
      </c>
      <c r="F4712" t="n">
        <v>46807.35</v>
      </c>
    </row>
    <row r="4713">
      <c r="A4713" s="3" t="n">
        <v>45379</v>
      </c>
      <c r="B4713" t="n">
        <v>50009.36</v>
      </c>
      <c r="C4713" t="n">
        <v>16296.83</v>
      </c>
      <c r="D4713" t="n">
        <v>12693.2</v>
      </c>
      <c r="E4713" t="n">
        <v>18558.71</v>
      </c>
      <c r="F4713" t="n">
        <v>47200.3</v>
      </c>
    </row>
    <row r="4714">
      <c r="A4714" s="3" t="n">
        <v>45383</v>
      </c>
      <c r="B4714" t="n">
        <v>51296.3</v>
      </c>
      <c r="C4714" t="n">
        <v>16569.8</v>
      </c>
      <c r="D4714" t="n">
        <v>12951.66</v>
      </c>
      <c r="E4714" t="n">
        <v>18719.57</v>
      </c>
      <c r="F4714" t="n">
        <v>48392.25</v>
      </c>
    </row>
    <row r="4715">
      <c r="A4715" s="3" t="n">
        <v>45384</v>
      </c>
      <c r="B4715" t="n">
        <v>51825.72</v>
      </c>
      <c r="C4715" t="n">
        <v>16760.1</v>
      </c>
      <c r="D4715" t="n">
        <v>13166.79</v>
      </c>
      <c r="E4715" t="n">
        <v>18797.26</v>
      </c>
      <c r="F4715" t="n">
        <v>48855.4</v>
      </c>
    </row>
    <row r="4716">
      <c r="A4716" s="3" t="n">
        <v>45385</v>
      </c>
      <c r="B4716" t="n">
        <v>52575.09</v>
      </c>
      <c r="C4716" t="n">
        <v>16857.05</v>
      </c>
      <c r="D4716" t="n">
        <v>13281.86</v>
      </c>
      <c r="E4716" t="n">
        <v>18767.32</v>
      </c>
      <c r="F4716" t="n">
        <v>49245.2</v>
      </c>
    </row>
    <row r="4717">
      <c r="A4717" s="3" t="n">
        <v>45386</v>
      </c>
      <c r="B4717" t="n">
        <v>52559.42</v>
      </c>
      <c r="C4717" t="n">
        <v>16824.94</v>
      </c>
      <c r="D4717" t="n">
        <v>13240.96</v>
      </c>
      <c r="E4717" t="n">
        <v>18707.64</v>
      </c>
      <c r="F4717" t="n">
        <v>49411.75</v>
      </c>
    </row>
    <row r="4718">
      <c r="A4718" s="3" t="n">
        <v>45387</v>
      </c>
      <c r="B4718" t="n">
        <v>52781.85</v>
      </c>
      <c r="C4718" t="n">
        <v>16901.45</v>
      </c>
      <c r="D4718" t="n">
        <v>13282.43</v>
      </c>
      <c r="E4718" t="n">
        <v>18756.58</v>
      </c>
      <c r="F4718" t="n">
        <v>49628.85</v>
      </c>
    </row>
    <row r="4719">
      <c r="A4719" s="3" t="n">
        <v>45390</v>
      </c>
      <c r="B4719" t="n">
        <v>52441.35</v>
      </c>
      <c r="C4719" t="n">
        <v>16868.27</v>
      </c>
      <c r="D4719" t="n">
        <v>13343.2</v>
      </c>
      <c r="E4719" t="n">
        <v>18910.77</v>
      </c>
      <c r="F4719" t="n">
        <v>49323.3</v>
      </c>
    </row>
    <row r="4720">
      <c r="A4720" s="3" t="n">
        <v>45391</v>
      </c>
      <c r="B4720" t="n">
        <v>52041.05</v>
      </c>
      <c r="C4720" t="n">
        <v>16887.42</v>
      </c>
      <c r="D4720" t="n">
        <v>13373.65</v>
      </c>
      <c r="E4720" t="n">
        <v>18838.89</v>
      </c>
      <c r="F4720" t="n">
        <v>49055.95</v>
      </c>
    </row>
    <row r="4721">
      <c r="A4721" s="3" t="n">
        <v>45392</v>
      </c>
      <c r="B4721" t="n">
        <v>52432.85</v>
      </c>
      <c r="C4721" t="n">
        <v>17025.61</v>
      </c>
      <c r="D4721" t="n">
        <v>13606.31</v>
      </c>
      <c r="E4721" t="n">
        <v>18944.7</v>
      </c>
      <c r="F4721" t="n">
        <v>49497</v>
      </c>
    </row>
    <row r="4722">
      <c r="A4722" s="3" t="n">
        <v>45394</v>
      </c>
      <c r="B4722" t="n">
        <v>52258.67</v>
      </c>
      <c r="C4722" t="n">
        <v>16971.62</v>
      </c>
      <c r="D4722" t="n">
        <v>13474.5</v>
      </c>
      <c r="E4722" t="n">
        <v>18739.28</v>
      </c>
      <c r="F4722" t="n">
        <v>49075.95</v>
      </c>
    </row>
    <row r="4723">
      <c r="A4723" s="3" t="n">
        <v>45397</v>
      </c>
      <c r="B4723" t="n">
        <v>51274.24</v>
      </c>
      <c r="C4723" t="n">
        <v>16774.92</v>
      </c>
      <c r="D4723" t="n">
        <v>13373.2</v>
      </c>
      <c r="E4723" t="n">
        <v>18557.46</v>
      </c>
      <c r="F4723" t="n">
        <v>48213.9</v>
      </c>
    </row>
    <row r="4724">
      <c r="A4724" s="3" t="n">
        <v>45398</v>
      </c>
      <c r="B4724" t="n">
        <v>51515.43</v>
      </c>
      <c r="C4724" t="n">
        <v>16745.95</v>
      </c>
      <c r="D4724" t="n">
        <v>13400.99</v>
      </c>
      <c r="E4724" t="n">
        <v>18576.67</v>
      </c>
      <c r="F4724" t="n">
        <v>48229.85</v>
      </c>
    </row>
    <row r="4725">
      <c r="A4725" s="3" t="n">
        <v>45400</v>
      </c>
      <c r="B4725" t="n">
        <v>51507.4</v>
      </c>
      <c r="C4725" t="n">
        <v>16608.87</v>
      </c>
      <c r="D4725" t="n">
        <v>13325.48</v>
      </c>
      <c r="E4725" t="n">
        <v>18439.61</v>
      </c>
      <c r="F4725" t="n">
        <v>48039.3</v>
      </c>
    </row>
    <row r="4726">
      <c r="A4726" s="3" t="n">
        <v>45401</v>
      </c>
      <c r="B4726" t="n">
        <v>51251.33</v>
      </c>
      <c r="C4726" t="n">
        <v>16585.26</v>
      </c>
      <c r="D4726" t="n">
        <v>13322.75</v>
      </c>
      <c r="E4726" t="n">
        <v>18458.4</v>
      </c>
      <c r="F4726" t="n">
        <v>47743.75</v>
      </c>
    </row>
    <row r="4727">
      <c r="A4727" s="3" t="n">
        <v>45404</v>
      </c>
      <c r="B4727" t="n">
        <v>52021.96</v>
      </c>
      <c r="C4727" t="n">
        <v>16575.34</v>
      </c>
      <c r="D4727" t="n">
        <v>13438.66</v>
      </c>
      <c r="E4727" t="n">
        <v>18668.88</v>
      </c>
      <c r="F4727" t="n">
        <v>48566.4</v>
      </c>
    </row>
    <row r="4728">
      <c r="A4728" s="3" t="n">
        <v>45405</v>
      </c>
      <c r="B4728" t="n">
        <v>52891.22</v>
      </c>
      <c r="C4728" t="n">
        <v>16670.24</v>
      </c>
      <c r="D4728" t="n">
        <v>13446.32</v>
      </c>
      <c r="E4728" t="n">
        <v>18707.84</v>
      </c>
      <c r="F4728" t="n">
        <v>49282.55</v>
      </c>
    </row>
    <row r="4729">
      <c r="A4729" s="3" t="n">
        <v>45406</v>
      </c>
      <c r="B4729" t="n">
        <v>53367.43</v>
      </c>
      <c r="C4729" t="n">
        <v>16812.6</v>
      </c>
      <c r="D4729" t="n">
        <v>13640.35</v>
      </c>
      <c r="E4729" t="n">
        <v>18791.41</v>
      </c>
      <c r="F4729" t="n">
        <v>49506.2</v>
      </c>
    </row>
    <row r="4730">
      <c r="A4730" s="3" t="n">
        <v>45407</v>
      </c>
      <c r="B4730" t="n">
        <v>54112.77</v>
      </c>
      <c r="C4730" t="n">
        <v>16872.84</v>
      </c>
      <c r="D4730" t="n">
        <v>13828.25</v>
      </c>
      <c r="E4730" t="n">
        <v>18896.77</v>
      </c>
      <c r="F4730" t="n">
        <v>49881.7</v>
      </c>
    </row>
    <row r="4731">
      <c r="A4731" s="3" t="n">
        <v>45408</v>
      </c>
      <c r="B4731" t="n">
        <v>54628.93</v>
      </c>
      <c r="C4731" t="n">
        <v>17028.95</v>
      </c>
      <c r="D4731" t="n">
        <v>13901.68</v>
      </c>
      <c r="E4731" t="n">
        <v>18924.76</v>
      </c>
      <c r="F4731" t="n">
        <v>50299.3</v>
      </c>
    </row>
    <row r="4732">
      <c r="A4732" s="3" t="n">
        <v>45411</v>
      </c>
      <c r="B4732" t="n">
        <v>54732.72</v>
      </c>
      <c r="C4732" t="n">
        <v>17064.82</v>
      </c>
      <c r="D4732" t="n">
        <v>14022.18</v>
      </c>
      <c r="E4732" t="n">
        <v>19011.86</v>
      </c>
      <c r="F4732" t="n">
        <v>50173.95</v>
      </c>
    </row>
    <row r="4733">
      <c r="A4733" s="3" t="n">
        <v>45412</v>
      </c>
      <c r="B4733" t="n">
        <v>55087.85</v>
      </c>
      <c r="C4733" t="n">
        <v>17063.72</v>
      </c>
      <c r="D4733" t="n">
        <v>14047.15</v>
      </c>
      <c r="E4733" t="n">
        <v>19035.59</v>
      </c>
      <c r="F4733" t="n">
        <v>50494.7</v>
      </c>
    </row>
    <row r="4734">
      <c r="A4734" s="3" t="n">
        <v>45414</v>
      </c>
      <c r="B4734" t="n">
        <v>55860.9</v>
      </c>
      <c r="C4734" t="n">
        <v>17101.44</v>
      </c>
      <c r="D4734" t="n">
        <v>14241.34</v>
      </c>
      <c r="E4734" t="n">
        <v>19142.84</v>
      </c>
      <c r="F4734" t="n">
        <v>51158.7</v>
      </c>
    </row>
    <row r="4735">
      <c r="A4735" s="3" t="n">
        <v>45415</v>
      </c>
      <c r="B4735" t="n">
        <v>55851.31</v>
      </c>
      <c r="C4735" t="n">
        <v>17085.72</v>
      </c>
      <c r="D4735" t="n">
        <v>14271.49</v>
      </c>
      <c r="E4735" t="n">
        <v>19035.4</v>
      </c>
      <c r="F4735" t="n">
        <v>51036.1</v>
      </c>
    </row>
    <row r="4736">
      <c r="A4736" s="3" t="n">
        <v>45418</v>
      </c>
      <c r="B4736" t="n">
        <v>54962.87</v>
      </c>
      <c r="C4736" t="n">
        <v>17060.73</v>
      </c>
      <c r="D4736" t="n">
        <v>13950.51</v>
      </c>
      <c r="E4736" t="n">
        <v>19031</v>
      </c>
      <c r="F4736" t="n">
        <v>50313.65</v>
      </c>
    </row>
    <row r="4737">
      <c r="A4737" s="3" t="n">
        <v>45419</v>
      </c>
      <c r="B4737" t="n">
        <v>53700.66</v>
      </c>
      <c r="C4737" t="n">
        <v>16951.66</v>
      </c>
      <c r="D4737" t="n">
        <v>13605.62</v>
      </c>
      <c r="E4737" t="n">
        <v>18849.08</v>
      </c>
      <c r="F4737" t="n">
        <v>49099.4</v>
      </c>
    </row>
    <row r="4738">
      <c r="A4738" s="3" t="n">
        <v>45420</v>
      </c>
      <c r="B4738" t="n">
        <v>54372.32</v>
      </c>
      <c r="C4738" t="n">
        <v>17039.34</v>
      </c>
      <c r="D4738" t="n">
        <v>13809.8</v>
      </c>
      <c r="E4738" t="n">
        <v>18911.84</v>
      </c>
      <c r="F4738" t="n">
        <v>49712.15</v>
      </c>
    </row>
    <row r="4739">
      <c r="A4739" s="3" t="n">
        <v>45421</v>
      </c>
      <c r="B4739" t="n">
        <v>53018.54</v>
      </c>
      <c r="C4739" t="n">
        <v>16668.12</v>
      </c>
      <c r="D4739" t="n">
        <v>13400.79</v>
      </c>
      <c r="E4739" t="n">
        <v>18596.36</v>
      </c>
      <c r="F4739" t="n">
        <v>48666.9</v>
      </c>
    </row>
    <row r="4740">
      <c r="A4740" s="3" t="n">
        <v>45422</v>
      </c>
      <c r="B4740" t="n">
        <v>53322.61</v>
      </c>
      <c r="C4740" t="n">
        <v>16751.44</v>
      </c>
      <c r="D4740" t="n">
        <v>13611.86</v>
      </c>
      <c r="E4740" t="n">
        <v>18770.78</v>
      </c>
      <c r="F4740" t="n">
        <v>48961</v>
      </c>
    </row>
    <row r="4741">
      <c r="A4741" s="3" t="n">
        <v>45425</v>
      </c>
      <c r="B4741" t="n">
        <v>53323.11</v>
      </c>
      <c r="C4741" t="n">
        <v>16768.32</v>
      </c>
      <c r="D4741" t="n">
        <v>13609.72</v>
      </c>
      <c r="E4741" t="n">
        <v>18891.82</v>
      </c>
      <c r="F4741" t="n">
        <v>48922.7</v>
      </c>
    </row>
    <row r="4742">
      <c r="A4742" s="3" t="n">
        <v>45426</v>
      </c>
      <c r="B4742" t="n">
        <v>54503.36</v>
      </c>
      <c r="C4742" t="n">
        <v>17000.09</v>
      </c>
      <c r="D4742" t="n">
        <v>13823.53</v>
      </c>
      <c r="E4742" t="n">
        <v>18982.43</v>
      </c>
      <c r="F4742" t="n">
        <v>49974.25</v>
      </c>
    </row>
    <row r="4743">
      <c r="A4743" s="3" t="n">
        <v>45427</v>
      </c>
      <c r="B4743" t="n">
        <v>55329.06</v>
      </c>
      <c r="C4743" t="n">
        <v>17088.84</v>
      </c>
      <c r="D4743" t="n">
        <v>13984.29</v>
      </c>
      <c r="E4743" t="n">
        <v>18977.33</v>
      </c>
      <c r="F4743" t="n">
        <v>50632.5</v>
      </c>
    </row>
    <row r="4744">
      <c r="A4744" s="3" t="n">
        <v>45428</v>
      </c>
      <c r="B4744" t="n">
        <v>56136.92</v>
      </c>
      <c r="C4744" t="n">
        <v>17229.83</v>
      </c>
      <c r="D4744" t="n">
        <v>13997.64</v>
      </c>
      <c r="E4744" t="n">
        <v>19087.51</v>
      </c>
      <c r="F4744" t="n">
        <v>51290</v>
      </c>
    </row>
    <row r="4745">
      <c r="A4745" s="3" t="n">
        <v>45429</v>
      </c>
      <c r="B4745" t="n">
        <v>57002.46</v>
      </c>
      <c r="C4745" t="n">
        <v>17484.94</v>
      </c>
      <c r="D4745" t="n">
        <v>14142.35</v>
      </c>
      <c r="E4745" t="n">
        <v>19172.89</v>
      </c>
      <c r="F4745" t="n">
        <v>51835.35</v>
      </c>
    </row>
    <row r="4746">
      <c r="A4746" s="3" t="n">
        <v>45430</v>
      </c>
      <c r="B4746" t="n">
        <v>57655.79</v>
      </c>
      <c r="C4746" t="n">
        <v>17595.68</v>
      </c>
      <c r="D4746" t="n">
        <v>14237.99</v>
      </c>
      <c r="E4746" t="n">
        <v>19222.84</v>
      </c>
      <c r="F4746" t="n">
        <v>52315.65</v>
      </c>
    </row>
    <row r="4747">
      <c r="A4747" s="3" t="n">
        <v>45433</v>
      </c>
      <c r="B4747" t="n">
        <v>58131</v>
      </c>
      <c r="C4747" t="n">
        <v>17659.07</v>
      </c>
      <c r="D4747" t="n">
        <v>14516.11</v>
      </c>
      <c r="E4747" t="n">
        <v>19251.5</v>
      </c>
      <c r="F4747" t="n">
        <v>52818.25</v>
      </c>
    </row>
    <row r="4748">
      <c r="A4748" s="3" t="n">
        <v>45434</v>
      </c>
      <c r="B4748" t="n">
        <v>57913.13</v>
      </c>
      <c r="C4748" t="n">
        <v>17750.66</v>
      </c>
      <c r="D4748" t="n">
        <v>14451.94</v>
      </c>
      <c r="E4748" t="n">
        <v>19268.6</v>
      </c>
      <c r="F4748" t="n">
        <v>52848.8</v>
      </c>
    </row>
    <row r="4749">
      <c r="A4749" s="3" t="n">
        <v>45435</v>
      </c>
      <c r="B4749" t="n">
        <v>58580.29</v>
      </c>
      <c r="C4749" t="n">
        <v>17792.44</v>
      </c>
      <c r="D4749" t="n">
        <v>14445.29</v>
      </c>
      <c r="E4749" t="n">
        <v>19474.26</v>
      </c>
      <c r="F4749" t="n">
        <v>53503.15</v>
      </c>
    </row>
    <row r="4750">
      <c r="A4750" s="3" t="n">
        <v>45436</v>
      </c>
      <c r="B4750" t="n">
        <v>58767.19</v>
      </c>
      <c r="C4750" t="n">
        <v>17805.6</v>
      </c>
      <c r="D4750" t="n">
        <v>14479.9</v>
      </c>
      <c r="E4750" t="n">
        <v>19452.13</v>
      </c>
      <c r="F4750" t="n">
        <v>53550.45</v>
      </c>
    </row>
    <row r="4751">
      <c r="A4751" s="3" t="n">
        <v>45439</v>
      </c>
      <c r="B4751" t="n">
        <v>58990.31</v>
      </c>
      <c r="C4751" t="n">
        <v>17765.51</v>
      </c>
      <c r="D4751" t="n">
        <v>14493.29</v>
      </c>
      <c r="E4751" t="n">
        <v>19436.12</v>
      </c>
      <c r="F4751" t="n">
        <v>53763.35</v>
      </c>
    </row>
    <row r="4752">
      <c r="A4752" s="3" t="n">
        <v>45440</v>
      </c>
      <c r="B4752" t="n">
        <v>58242.77</v>
      </c>
      <c r="C4752" t="n">
        <v>17637.2</v>
      </c>
      <c r="D4752" t="n">
        <v>14366.74</v>
      </c>
      <c r="E4752" t="n">
        <v>19429.42</v>
      </c>
      <c r="F4752" t="n">
        <v>53066.6</v>
      </c>
    </row>
    <row r="4753">
      <c r="A4753" s="3" t="n">
        <v>45441</v>
      </c>
      <c r="B4753" t="n">
        <v>58198.36</v>
      </c>
      <c r="C4753" t="n">
        <v>17561.59</v>
      </c>
      <c r="D4753" t="n">
        <v>14360.72</v>
      </c>
      <c r="E4753" t="n">
        <v>19310.04</v>
      </c>
      <c r="F4753" t="n">
        <v>52984.65</v>
      </c>
    </row>
    <row r="4754">
      <c r="A4754" s="3" t="n">
        <v>45442</v>
      </c>
      <c r="B4754" t="n">
        <v>57368.02</v>
      </c>
      <c r="C4754" t="n">
        <v>17409.8</v>
      </c>
      <c r="D4754" t="n">
        <v>14089.55</v>
      </c>
      <c r="E4754" t="n">
        <v>19079.23</v>
      </c>
      <c r="F4754" t="n">
        <v>52446.05</v>
      </c>
    </row>
    <row r="4755">
      <c r="A4755" s="3" t="n">
        <v>45443</v>
      </c>
      <c r="B4755" t="n">
        <v>57604.94</v>
      </c>
      <c r="C4755" t="n">
        <v>17422.15</v>
      </c>
      <c r="D4755" t="n">
        <v>14192.83</v>
      </c>
      <c r="E4755" t="n">
        <v>19031.28</v>
      </c>
      <c r="F4755" t="n">
        <v>53190.65</v>
      </c>
    </row>
    <row r="4756">
      <c r="A4756" s="3" t="n">
        <v>45446</v>
      </c>
      <c r="B4756" t="n">
        <v>59909.73</v>
      </c>
      <c r="C4756" t="n">
        <v>17830.39</v>
      </c>
      <c r="D4756" t="n">
        <v>15017.72</v>
      </c>
      <c r="E4756" t="n">
        <v>19578.17</v>
      </c>
      <c r="F4756" t="n">
        <v>55710.25</v>
      </c>
    </row>
    <row r="4757">
      <c r="A4757" s="3" t="n">
        <v>45447</v>
      </c>
      <c r="B4757" t="n">
        <v>53425.67</v>
      </c>
      <c r="C4757" t="n">
        <v>16685.05</v>
      </c>
      <c r="D4757" t="n">
        <v>13126.24</v>
      </c>
      <c r="E4757" t="n">
        <v>18636.51</v>
      </c>
      <c r="F4757" t="n">
        <v>49834.45</v>
      </c>
    </row>
    <row r="4758">
      <c r="A4758" s="3" t="n">
        <v>45448</v>
      </c>
      <c r="B4758" t="n">
        <v>55367.55</v>
      </c>
      <c r="C4758" t="n">
        <v>17233.9</v>
      </c>
      <c r="D4758" t="n">
        <v>13653.25</v>
      </c>
      <c r="E4758" t="n">
        <v>19334.47</v>
      </c>
      <c r="F4758" t="n">
        <v>51844.6</v>
      </c>
    </row>
    <row r="4759">
      <c r="A4759" s="3" t="n">
        <v>45449</v>
      </c>
      <c r="B4759" t="n">
        <v>57305.67</v>
      </c>
      <c r="C4759" t="n">
        <v>17628.85</v>
      </c>
      <c r="D4759" t="n">
        <v>13969.61</v>
      </c>
      <c r="E4759" t="n">
        <v>19504.36</v>
      </c>
      <c r="F4759" t="n">
        <v>53418.95</v>
      </c>
    </row>
    <row r="4760">
      <c r="A4760" s="3" t="n">
        <v>45450</v>
      </c>
      <c r="B4760" t="n">
        <v>58346.89</v>
      </c>
      <c r="C4760" t="n">
        <v>17975.46</v>
      </c>
      <c r="D4760" t="n">
        <v>14248.36</v>
      </c>
      <c r="E4760" t="n">
        <v>19790.97</v>
      </c>
      <c r="F4760" t="n">
        <v>54272.4</v>
      </c>
    </row>
    <row r="4761">
      <c r="A4761" s="3" t="n">
        <v>45453</v>
      </c>
      <c r="B4761" t="n">
        <v>58728.54</v>
      </c>
      <c r="C4761" t="n">
        <v>18024.44</v>
      </c>
      <c r="D4761" t="n">
        <v>14323.22</v>
      </c>
      <c r="E4761" t="n">
        <v>19924.39</v>
      </c>
      <c r="F4761" t="n">
        <v>54515.9</v>
      </c>
    </row>
    <row r="4762">
      <c r="A4762" s="3" t="n">
        <v>45454</v>
      </c>
      <c r="B4762" t="n">
        <v>59302.53</v>
      </c>
      <c r="C4762" t="n">
        <v>18153.76</v>
      </c>
      <c r="D4762" t="n">
        <v>14421.32</v>
      </c>
      <c r="E4762" t="n">
        <v>19990.4</v>
      </c>
      <c r="F4762" t="n">
        <v>54748.9</v>
      </c>
    </row>
    <row r="4763">
      <c r="A4763" s="3" t="n">
        <v>45455</v>
      </c>
      <c r="B4763" t="n">
        <v>59688.27</v>
      </c>
      <c r="C4763" t="n">
        <v>18314.62</v>
      </c>
      <c r="D4763" t="n">
        <v>14571.5</v>
      </c>
      <c r="E4763" t="n">
        <v>20054.62</v>
      </c>
      <c r="F4763" t="n">
        <v>55190.05</v>
      </c>
    </row>
    <row r="4764">
      <c r="A4764" s="3" t="n">
        <v>45456</v>
      </c>
      <c r="B4764" t="n">
        <v>60288.43</v>
      </c>
      <c r="C4764" t="n">
        <v>18494.37</v>
      </c>
      <c r="D4764" t="n">
        <v>14615.16</v>
      </c>
      <c r="E4764" t="n">
        <v>20141.19</v>
      </c>
      <c r="F4764" t="n">
        <v>55720.25</v>
      </c>
    </row>
    <row r="4765">
      <c r="A4765" s="3" t="n">
        <v>45457</v>
      </c>
      <c r="B4765" t="n">
        <v>61016.84</v>
      </c>
      <c r="C4765" t="n">
        <v>18606.99</v>
      </c>
      <c r="D4765" t="n">
        <v>14695.67</v>
      </c>
      <c r="E4765" t="n">
        <v>20206.04</v>
      </c>
      <c r="F4765" t="n">
        <v>56238.65</v>
      </c>
    </row>
    <row r="4766">
      <c r="A4766" s="3" t="n">
        <v>45461</v>
      </c>
      <c r="B4766" t="n">
        <v>61841.22</v>
      </c>
      <c r="C4766" t="n">
        <v>18723.93</v>
      </c>
      <c r="D4766" t="n">
        <v>14738.39</v>
      </c>
      <c r="E4766" t="n">
        <v>20264.81</v>
      </c>
      <c r="F4766" t="n">
        <v>56537.65</v>
      </c>
    </row>
    <row r="4767">
      <c r="A4767" s="3" t="n">
        <v>45462</v>
      </c>
      <c r="B4767" t="n">
        <v>60975.79</v>
      </c>
      <c r="C4767" t="n">
        <v>18589.12</v>
      </c>
      <c r="D4767" t="n">
        <v>14592.59</v>
      </c>
      <c r="E4767" t="n">
        <v>20155.29</v>
      </c>
      <c r="F4767" t="n">
        <v>55784.65</v>
      </c>
    </row>
    <row r="4768">
      <c r="A4768" s="3" t="n">
        <v>45463</v>
      </c>
      <c r="B4768" t="n">
        <v>61065.64</v>
      </c>
      <c r="C4768" t="n">
        <v>18724.98</v>
      </c>
      <c r="D4768" t="n">
        <v>14757.22</v>
      </c>
      <c r="E4768" t="n">
        <v>20162.42</v>
      </c>
      <c r="F4768" t="n">
        <v>56085.25</v>
      </c>
    </row>
    <row r="4769">
      <c r="A4769" s="3" t="n">
        <v>45464</v>
      </c>
      <c r="B4769" t="n">
        <v>61100.68</v>
      </c>
      <c r="C4769" t="n">
        <v>18652.49</v>
      </c>
      <c r="D4769" t="n">
        <v>14683.59</v>
      </c>
      <c r="E4769" t="n">
        <v>20096.1</v>
      </c>
      <c r="F4769" t="n">
        <v>56197.9</v>
      </c>
    </row>
    <row r="4770">
      <c r="A4770" s="3" t="n">
        <v>45467</v>
      </c>
      <c r="B4770" t="n">
        <v>61414.68</v>
      </c>
      <c r="C4770" t="n">
        <v>18679.9</v>
      </c>
      <c r="D4770" t="n">
        <v>14653.45</v>
      </c>
      <c r="E4770" t="n">
        <v>20178.43</v>
      </c>
      <c r="F4770" t="n">
        <v>56430.65</v>
      </c>
    </row>
    <row r="4771">
      <c r="A4771" s="3" t="n">
        <v>45468</v>
      </c>
      <c r="B4771" t="n">
        <v>61147.59</v>
      </c>
      <c r="C4771" t="n">
        <v>18625.79</v>
      </c>
      <c r="D4771" t="n">
        <v>14553.79</v>
      </c>
      <c r="E4771" t="n">
        <v>20208.51</v>
      </c>
      <c r="F4771" t="n">
        <v>56154.55</v>
      </c>
    </row>
    <row r="4772">
      <c r="A4772" s="3" t="n">
        <v>45469</v>
      </c>
      <c r="B4772" t="n">
        <v>60916.89</v>
      </c>
      <c r="C4772" t="n">
        <v>18562.42</v>
      </c>
      <c r="D4772" t="n">
        <v>14538.03</v>
      </c>
      <c r="E4772" t="n">
        <v>20196.65</v>
      </c>
      <c r="F4772" t="n">
        <v>55822.8</v>
      </c>
    </row>
    <row r="4773">
      <c r="A4773" s="3" t="n">
        <v>45470</v>
      </c>
      <c r="B4773" t="n">
        <v>60783.89</v>
      </c>
      <c r="C4773" t="n">
        <v>18595.41</v>
      </c>
      <c r="D4773" t="n">
        <v>14587.15</v>
      </c>
      <c r="E4773" t="n">
        <v>20377.45</v>
      </c>
      <c r="F4773" t="n">
        <v>55961.55</v>
      </c>
    </row>
    <row r="4774">
      <c r="A4774" s="3" t="n">
        <v>45471</v>
      </c>
      <c r="B4774" t="n">
        <v>60871.18</v>
      </c>
      <c r="C4774" t="n">
        <v>18767.05</v>
      </c>
      <c r="D4774" t="n">
        <v>14734.18</v>
      </c>
      <c r="E4774" t="n">
        <v>20400.86</v>
      </c>
      <c r="F4774" t="n">
        <v>56314.8</v>
      </c>
    </row>
    <row r="4775">
      <c r="A4775" s="3" t="n">
        <v>45474</v>
      </c>
      <c r="B4775" t="n">
        <v>61305.37</v>
      </c>
      <c r="C4775" t="n">
        <v>19045.99</v>
      </c>
      <c r="D4775" t="n">
        <v>14799.2</v>
      </c>
      <c r="E4775" t="n">
        <v>20472.59</v>
      </c>
      <c r="F4775" t="n">
        <v>56573.2</v>
      </c>
    </row>
    <row r="4776">
      <c r="A4776" s="3" t="n">
        <v>45475</v>
      </c>
      <c r="B4776" t="n">
        <v>61102.99</v>
      </c>
      <c r="C4776" t="n">
        <v>19074.45</v>
      </c>
      <c r="D4776" t="n">
        <v>14729.41</v>
      </c>
      <c r="E4776" t="n">
        <v>20336.39</v>
      </c>
      <c r="F4776" t="n">
        <v>56270.35</v>
      </c>
    </row>
    <row r="4777">
      <c r="A4777" s="3" t="n">
        <v>45476</v>
      </c>
      <c r="B4777" t="n">
        <v>62188.19</v>
      </c>
      <c r="C4777" t="n">
        <v>19276.09</v>
      </c>
      <c r="D4777" t="n">
        <v>14905.09</v>
      </c>
      <c r="E4777" t="n">
        <v>20503.49</v>
      </c>
      <c r="F4777" t="n">
        <v>57088.85</v>
      </c>
    </row>
    <row r="4778">
      <c r="A4778" s="3" t="n">
        <v>45477</v>
      </c>
      <c r="B4778" t="n">
        <v>63002.93</v>
      </c>
      <c r="C4778" t="n">
        <v>19416.3</v>
      </c>
      <c r="D4778" t="n">
        <v>14938.98</v>
      </c>
      <c r="E4778" t="n">
        <v>20542.46</v>
      </c>
      <c r="F4778" t="n">
        <v>57792.1</v>
      </c>
    </row>
    <row r="4779">
      <c r="A4779" s="3" t="n">
        <v>45478</v>
      </c>
      <c r="B4779" t="n">
        <v>63738.92</v>
      </c>
      <c r="C4779" t="n">
        <v>19537.55</v>
      </c>
      <c r="D4779" t="n">
        <v>15087.18</v>
      </c>
      <c r="E4779" t="n">
        <v>20708.69</v>
      </c>
      <c r="F4779" t="n">
        <v>58543.85</v>
      </c>
    </row>
    <row r="4780">
      <c r="A4780" s="3" t="n">
        <v>45481</v>
      </c>
      <c r="B4780" t="n">
        <v>63998.95</v>
      </c>
      <c r="C4780" t="n">
        <v>19552.36</v>
      </c>
      <c r="D4780" t="n">
        <v>15085.47</v>
      </c>
      <c r="E4780" t="n">
        <v>20735.95</v>
      </c>
      <c r="F4780" t="n">
        <v>58998.5</v>
      </c>
    </row>
    <row r="4781">
      <c r="A4781" s="3" t="n">
        <v>45482</v>
      </c>
      <c r="B4781" t="n">
        <v>64103.86</v>
      </c>
      <c r="C4781" t="n">
        <v>19592.72</v>
      </c>
      <c r="D4781" t="n">
        <v>15120.27</v>
      </c>
      <c r="E4781" t="n">
        <v>20901.89</v>
      </c>
      <c r="F4781" t="n">
        <v>59085.4</v>
      </c>
    </row>
    <row r="4782">
      <c r="A4782" s="3" t="n">
        <v>45483</v>
      </c>
      <c r="B4782" t="n">
        <v>63991.74</v>
      </c>
      <c r="C4782" t="n">
        <v>19505.59</v>
      </c>
      <c r="D4782" t="n">
        <v>15052.88</v>
      </c>
      <c r="E4782" t="n">
        <v>20950.19</v>
      </c>
      <c r="F4782" t="n">
        <v>59007.75</v>
      </c>
    </row>
    <row r="4783">
      <c r="A4783" s="3" t="n">
        <v>45484</v>
      </c>
      <c r="B4783" t="n">
        <v>64437.29</v>
      </c>
      <c r="C4783" t="n">
        <v>19627.55</v>
      </c>
      <c r="D4783" t="n">
        <v>15182.6</v>
      </c>
      <c r="E4783" t="n">
        <v>20929.33</v>
      </c>
      <c r="F4783" t="n">
        <v>59485.95</v>
      </c>
    </row>
    <row r="4784">
      <c r="A4784" s="3" t="n">
        <v>45485</v>
      </c>
      <c r="B4784" t="n">
        <v>64074.75</v>
      </c>
      <c r="C4784" t="n">
        <v>19856.41</v>
      </c>
      <c r="D4784" t="n">
        <v>15178.09</v>
      </c>
      <c r="E4784" t="n">
        <v>21004.12</v>
      </c>
      <c r="F4784" t="n">
        <v>59284.05</v>
      </c>
    </row>
    <row r="4785">
      <c r="A4785" s="3" t="n">
        <v>45488</v>
      </c>
      <c r="B4785" t="n">
        <v>64329.21</v>
      </c>
      <c r="C4785" t="n">
        <v>19973</v>
      </c>
      <c r="D4785" t="n">
        <v>15351.68</v>
      </c>
      <c r="E4785" t="n">
        <v>21191.19</v>
      </c>
      <c r="F4785" t="n">
        <v>59811.95</v>
      </c>
    </row>
    <row r="4786">
      <c r="A4786" s="3" t="n">
        <v>45489</v>
      </c>
      <c r="B4786" t="n">
        <v>63894.93</v>
      </c>
      <c r="C4786" t="n">
        <v>20003.76</v>
      </c>
      <c r="D4786" t="n">
        <v>15332.54</v>
      </c>
      <c r="E4786" t="n">
        <v>21172.84</v>
      </c>
      <c r="F4786" t="n">
        <v>59564.65</v>
      </c>
    </row>
    <row r="4787">
      <c r="A4787" s="3" t="n">
        <v>45491</v>
      </c>
      <c r="B4787" t="n">
        <v>62287.75</v>
      </c>
      <c r="C4787" t="n">
        <v>19860.27</v>
      </c>
      <c r="D4787" t="n">
        <v>15247.42</v>
      </c>
      <c r="E4787" t="n">
        <v>21273.59</v>
      </c>
      <c r="F4787" t="n">
        <v>58161.2</v>
      </c>
    </row>
    <row r="4788">
      <c r="A4788" s="3" t="n">
        <v>45492</v>
      </c>
      <c r="B4788" t="n">
        <v>60624.28</v>
      </c>
      <c r="C4788" t="n">
        <v>19396.95</v>
      </c>
      <c r="D4788" t="n">
        <v>14807.06</v>
      </c>
      <c r="E4788" t="n">
        <v>20917.96</v>
      </c>
      <c r="F4788" t="n">
        <v>56989.75</v>
      </c>
    </row>
    <row r="4789">
      <c r="A4789" s="3" t="n">
        <v>45495</v>
      </c>
      <c r="B4789" t="n">
        <v>61426.93</v>
      </c>
      <c r="C4789" t="n">
        <v>19512.99</v>
      </c>
      <c r="D4789" t="n">
        <v>15003.27</v>
      </c>
      <c r="E4789" t="n">
        <v>20961.49</v>
      </c>
      <c r="F4789" t="n">
        <v>57632.7</v>
      </c>
    </row>
    <row r="4790">
      <c r="A4790" s="3" t="n">
        <v>45496</v>
      </c>
      <c r="B4790" t="n">
        <v>60601.63</v>
      </c>
      <c r="C4790" t="n">
        <v>19446.03</v>
      </c>
      <c r="D4790" t="n">
        <v>14813.78</v>
      </c>
      <c r="E4790" t="n">
        <v>21034.48</v>
      </c>
      <c r="F4790" t="n">
        <v>57016.75</v>
      </c>
    </row>
    <row r="4791">
      <c r="A4791" s="3" t="n">
        <v>45497</v>
      </c>
      <c r="B4791" t="n">
        <v>60855.37</v>
      </c>
      <c r="C4791" t="n">
        <v>19717.96</v>
      </c>
      <c r="D4791" t="n">
        <v>14947.95</v>
      </c>
      <c r="E4791" t="n">
        <v>21014.7</v>
      </c>
      <c r="F4791" t="n">
        <v>57841</v>
      </c>
    </row>
    <row r="4792">
      <c r="A4792" s="3" t="n">
        <v>45498</v>
      </c>
      <c r="B4792" t="n">
        <v>60838.4</v>
      </c>
      <c r="C4792" t="n">
        <v>19748.52</v>
      </c>
      <c r="D4792" t="n">
        <v>15015.11</v>
      </c>
      <c r="E4792" t="n">
        <v>21093.69</v>
      </c>
      <c r="F4792" t="n">
        <v>57571.9</v>
      </c>
    </row>
    <row r="4793">
      <c r="A4793" s="3" t="n">
        <v>45499</v>
      </c>
      <c r="B4793" t="n">
        <v>61969.39</v>
      </c>
      <c r="C4793" t="n">
        <v>20013.72</v>
      </c>
      <c r="D4793" t="n">
        <v>15252.5</v>
      </c>
      <c r="E4793" t="n">
        <v>21370.94</v>
      </c>
      <c r="F4793" t="n">
        <v>58322.8</v>
      </c>
    </row>
    <row r="4794">
      <c r="A4794" s="3" t="n">
        <v>45502</v>
      </c>
      <c r="B4794" t="n">
        <v>63342.32</v>
      </c>
      <c r="C4794" t="n">
        <v>20196.61</v>
      </c>
      <c r="D4794" t="n">
        <v>15432.46</v>
      </c>
      <c r="E4794" t="n">
        <v>21431.7</v>
      </c>
      <c r="F4794" t="n">
        <v>59570.1</v>
      </c>
    </row>
    <row r="4795">
      <c r="A4795" s="3" t="n">
        <v>45503</v>
      </c>
      <c r="B4795" t="n">
        <v>63446.31</v>
      </c>
      <c r="C4795" t="n">
        <v>20227.8</v>
      </c>
      <c r="D4795" t="n">
        <v>15544.26</v>
      </c>
      <c r="E4795" t="n">
        <v>21423.67</v>
      </c>
      <c r="F4795" t="n">
        <v>59597.75</v>
      </c>
    </row>
    <row r="4796">
      <c r="A4796" s="3" t="n">
        <v>45504</v>
      </c>
      <c r="B4796" t="n">
        <v>63883.19</v>
      </c>
      <c r="C4796" t="n">
        <v>20265.43</v>
      </c>
      <c r="D4796" t="n">
        <v>15616.3</v>
      </c>
      <c r="E4796" t="n">
        <v>21560</v>
      </c>
      <c r="F4796" t="n">
        <v>60090.65</v>
      </c>
    </row>
    <row r="4797">
      <c r="A4797" s="3" t="n">
        <v>45505</v>
      </c>
      <c r="B4797" t="n">
        <v>63280.61</v>
      </c>
      <c r="C4797" t="n">
        <v>20179.54</v>
      </c>
      <c r="D4797" t="n">
        <v>15600.77</v>
      </c>
      <c r="E4797" t="n">
        <v>21575.96</v>
      </c>
      <c r="F4797" t="n">
        <v>59311.25</v>
      </c>
    </row>
    <row r="4798">
      <c r="A4798" s="3" t="n">
        <v>45506</v>
      </c>
      <c r="B4798" t="n">
        <v>62221.94</v>
      </c>
      <c r="C4798" t="n">
        <v>19966.54</v>
      </c>
      <c r="D4798" t="n">
        <v>15296.33</v>
      </c>
      <c r="E4798" t="n">
        <v>21323.97</v>
      </c>
      <c r="F4798" t="n">
        <v>58809.9</v>
      </c>
    </row>
    <row r="4799">
      <c r="A4799" s="3" t="n">
        <v>45509</v>
      </c>
      <c r="B4799" t="n">
        <v>59481.5</v>
      </c>
      <c r="C4799" t="n">
        <v>19295.09</v>
      </c>
      <c r="D4799" t="n">
        <v>14665.87</v>
      </c>
      <c r="E4799" t="n">
        <v>20894.43</v>
      </c>
      <c r="F4799" t="n">
        <v>56189.4</v>
      </c>
    </row>
    <row r="4800">
      <c r="A4800" s="3" t="n">
        <v>45510</v>
      </c>
      <c r="B4800" t="n">
        <v>58700.47</v>
      </c>
      <c r="C4800" t="n">
        <v>19210.85</v>
      </c>
      <c r="D4800" t="n">
        <v>14546.4</v>
      </c>
      <c r="E4800" t="n">
        <v>20798.26</v>
      </c>
      <c r="F4800" t="n">
        <v>55322.8</v>
      </c>
    </row>
    <row r="4801">
      <c r="A4801" s="3" t="n">
        <v>45511</v>
      </c>
      <c r="B4801" t="n">
        <v>60667.13</v>
      </c>
      <c r="C4801" t="n">
        <v>19647.03</v>
      </c>
      <c r="D4801" t="n">
        <v>14959</v>
      </c>
      <c r="E4801" t="n">
        <v>21108.38</v>
      </c>
      <c r="F4801" t="n">
        <v>57195.35</v>
      </c>
    </row>
    <row r="4802">
      <c r="A4802" s="3" t="n">
        <v>45512</v>
      </c>
      <c r="B4802" t="n">
        <v>60426.76</v>
      </c>
      <c r="C4802" t="n">
        <v>19482.83</v>
      </c>
      <c r="D4802" t="n">
        <v>14737.41</v>
      </c>
      <c r="E4802" t="n">
        <v>20979.83</v>
      </c>
      <c r="F4802" t="n">
        <v>56957.25</v>
      </c>
    </row>
    <row r="4803">
      <c r="A4803" s="3" t="n">
        <v>45513</v>
      </c>
      <c r="B4803" t="n">
        <v>61551.5</v>
      </c>
      <c r="C4803" t="n">
        <v>19666.38</v>
      </c>
      <c r="D4803" t="n">
        <v>14897.25</v>
      </c>
      <c r="E4803" t="n">
        <v>21062.76</v>
      </c>
      <c r="F4803" t="n">
        <v>57883.8</v>
      </c>
    </row>
    <row r="4804">
      <c r="A4804" s="3" t="n">
        <v>45516</v>
      </c>
      <c r="B4804" t="n">
        <v>61612.35</v>
      </c>
      <c r="C4804" t="n">
        <v>19682.44</v>
      </c>
      <c r="D4804" t="n">
        <v>14946.35</v>
      </c>
      <c r="E4804" t="n">
        <v>20964.15</v>
      </c>
      <c r="F4804" t="n">
        <v>58249.8</v>
      </c>
    </row>
    <row r="4805">
      <c r="A4805" s="3" t="n">
        <v>45517</v>
      </c>
      <c r="B4805" t="n">
        <v>60999.08</v>
      </c>
      <c r="C4805" t="n">
        <v>19598.64</v>
      </c>
      <c r="D4805" t="n">
        <v>14685.33</v>
      </c>
      <c r="E4805" t="n">
        <v>20849.1</v>
      </c>
      <c r="F4805" t="n">
        <v>57763.15</v>
      </c>
    </row>
    <row r="4806">
      <c r="A4806" s="3" t="n">
        <v>45518</v>
      </c>
      <c r="B4806" t="n">
        <v>60724.63</v>
      </c>
      <c r="C4806" t="n">
        <v>19509.26</v>
      </c>
      <c r="D4806" t="n">
        <v>14524.17</v>
      </c>
      <c r="E4806" t="n">
        <v>20753.88</v>
      </c>
      <c r="F4806" t="n">
        <v>57470.15</v>
      </c>
    </row>
    <row r="4807">
      <c r="A4807" s="3" t="n">
        <v>45520</v>
      </c>
      <c r="B4807" t="n">
        <v>61986.81</v>
      </c>
      <c r="C4807" t="n">
        <v>19893.72</v>
      </c>
      <c r="D4807" t="n">
        <v>14754.97</v>
      </c>
      <c r="E4807" t="n">
        <v>21036.21</v>
      </c>
      <c r="F4807" t="n">
        <v>58611.75</v>
      </c>
    </row>
    <row r="4808">
      <c r="A4808" s="3" t="n">
        <v>45523</v>
      </c>
      <c r="B4808" t="n">
        <v>62158.43</v>
      </c>
      <c r="C4808" t="n">
        <v>20044.71</v>
      </c>
      <c r="D4808" t="n">
        <v>14994.31</v>
      </c>
      <c r="E4808" t="n">
        <v>21047.96</v>
      </c>
      <c r="F4808" t="n">
        <v>59087.95</v>
      </c>
    </row>
    <row r="4809">
      <c r="A4809" s="3" t="n">
        <v>45524</v>
      </c>
      <c r="B4809" t="n">
        <v>62312.01</v>
      </c>
      <c r="C4809" t="n">
        <v>20110.54</v>
      </c>
      <c r="D4809" t="n">
        <v>15146.47</v>
      </c>
      <c r="E4809" t="n">
        <v>21185.81</v>
      </c>
      <c r="F4809" t="n">
        <v>59335.3</v>
      </c>
    </row>
    <row r="4810">
      <c r="A4810" s="3" t="n">
        <v>45525</v>
      </c>
      <c r="B4810" t="n">
        <v>62426.87</v>
      </c>
      <c r="C4810" t="n">
        <v>20258.34</v>
      </c>
      <c r="D4810" t="n">
        <v>15219.2</v>
      </c>
      <c r="E4810" t="n">
        <v>21325.06</v>
      </c>
      <c r="F4810" t="n">
        <v>59284.4</v>
      </c>
    </row>
    <row r="4811">
      <c r="A4811" s="3" t="n">
        <v>45526</v>
      </c>
      <c r="B4811" t="n">
        <v>62514.18</v>
      </c>
      <c r="C4811" t="n">
        <v>20375.8</v>
      </c>
      <c r="D4811" t="n">
        <v>15276.21</v>
      </c>
      <c r="E4811" t="n">
        <v>21425.41</v>
      </c>
      <c r="F4811" t="n">
        <v>59508.9</v>
      </c>
    </row>
    <row r="4812">
      <c r="A4812" s="3" t="n">
        <v>45527</v>
      </c>
      <c r="B4812" t="n">
        <v>62679.73</v>
      </c>
      <c r="C4812" t="n">
        <v>20342.49</v>
      </c>
      <c r="D4812" t="n">
        <v>15191.57</v>
      </c>
      <c r="E4812" t="n">
        <v>21352.64</v>
      </c>
      <c r="F4812" t="n">
        <v>59484.2</v>
      </c>
    </row>
    <row r="4813">
      <c r="A4813" s="3" t="n">
        <v>45530</v>
      </c>
      <c r="B4813" t="n">
        <v>62695.55</v>
      </c>
      <c r="C4813" t="n">
        <v>20522.86</v>
      </c>
      <c r="D4813" t="n">
        <v>15338.11</v>
      </c>
      <c r="E4813" t="n">
        <v>21511.57</v>
      </c>
      <c r="F4813" t="n">
        <v>59587.05</v>
      </c>
    </row>
    <row r="4814">
      <c r="A4814" s="3" t="n">
        <v>45531</v>
      </c>
      <c r="B4814" t="n">
        <v>62820.86</v>
      </c>
      <c r="C4814" t="n">
        <v>20645.31</v>
      </c>
      <c r="D4814" t="n">
        <v>15381.85</v>
      </c>
      <c r="E4814" t="n">
        <v>21598</v>
      </c>
      <c r="F4814" t="n">
        <v>59720.45</v>
      </c>
    </row>
    <row r="4815">
      <c r="A4815" s="3" t="n">
        <v>45532</v>
      </c>
      <c r="B4815" t="n">
        <v>63088.08</v>
      </c>
      <c r="C4815" t="n">
        <v>20596.85</v>
      </c>
      <c r="D4815" t="n">
        <v>15337.64</v>
      </c>
      <c r="E4815" t="n">
        <v>21565.19</v>
      </c>
      <c r="F4815" t="n">
        <v>60111.15</v>
      </c>
    </row>
    <row r="4816">
      <c r="A4816" s="3" t="n">
        <v>45533</v>
      </c>
      <c r="B4816" t="n">
        <v>62868.04</v>
      </c>
      <c r="C4816" t="n">
        <v>20567.31</v>
      </c>
      <c r="D4816" t="n">
        <v>15349.96</v>
      </c>
      <c r="E4816" t="n">
        <v>21583.88</v>
      </c>
      <c r="F4816" t="n">
        <v>59932.8</v>
      </c>
    </row>
    <row r="4817">
      <c r="A4817" s="3" t="n">
        <v>45534</v>
      </c>
      <c r="B4817" t="n">
        <v>63156.93</v>
      </c>
      <c r="C4817" t="n">
        <v>20672.93</v>
      </c>
      <c r="D4817" t="n">
        <v>15431.09</v>
      </c>
      <c r="E4817" t="n">
        <v>21704.19</v>
      </c>
      <c r="F4817" t="n">
        <v>60274.95</v>
      </c>
    </row>
    <row r="4818">
      <c r="A4818" s="3" t="n">
        <v>45537</v>
      </c>
      <c r="B4818" t="n">
        <v>62915.24</v>
      </c>
      <c r="C4818" t="n">
        <v>20669.19</v>
      </c>
      <c r="D4818" t="n">
        <v>15379.54</v>
      </c>
      <c r="E4818" t="n">
        <v>21777.05</v>
      </c>
      <c r="F4818" t="n">
        <v>59936.65</v>
      </c>
    </row>
    <row r="4819">
      <c r="A4819" s="3" t="n">
        <v>45538</v>
      </c>
      <c r="B4819" t="n">
        <v>63057.2</v>
      </c>
      <c r="C4819" t="n">
        <v>20725.36</v>
      </c>
      <c r="D4819" t="n">
        <v>15356.7</v>
      </c>
      <c r="E4819" t="n">
        <v>21812.28</v>
      </c>
      <c r="F4819" t="n">
        <v>60053.05</v>
      </c>
    </row>
    <row r="4820">
      <c r="A4820" s="3" t="n">
        <v>45539</v>
      </c>
      <c r="B4820" t="n">
        <v>62797.25</v>
      </c>
      <c r="C4820" t="n">
        <v>20629.81</v>
      </c>
      <c r="D4820" t="n">
        <v>15226.46</v>
      </c>
      <c r="E4820" t="n">
        <v>21784.19</v>
      </c>
      <c r="F4820" t="n">
        <v>59879.1</v>
      </c>
    </row>
    <row r="4821">
      <c r="A4821" s="3" t="n">
        <v>45540</v>
      </c>
      <c r="B4821" t="n">
        <v>62389.19</v>
      </c>
      <c r="C4821" t="n">
        <v>20632.8</v>
      </c>
      <c r="D4821" t="n">
        <v>15274.2</v>
      </c>
      <c r="E4821" t="n">
        <v>21755.31</v>
      </c>
      <c r="F4821" t="n">
        <v>59721.05</v>
      </c>
    </row>
    <row r="4822">
      <c r="A4822" s="3" t="n">
        <v>45541</v>
      </c>
      <c r="B4822" t="n">
        <v>61362.34</v>
      </c>
      <c r="C4822" t="n">
        <v>20418.85</v>
      </c>
      <c r="D4822" t="n">
        <v>14968.01</v>
      </c>
      <c r="E4822" t="n">
        <v>21545.9</v>
      </c>
      <c r="F4822" t="n">
        <v>58824.25</v>
      </c>
    </row>
    <row r="4823">
      <c r="A4823" s="3" t="n">
        <v>45544</v>
      </c>
      <c r="B4823" t="n">
        <v>60894.34</v>
      </c>
      <c r="C4823" t="n">
        <v>20373.67</v>
      </c>
      <c r="D4823" t="n">
        <v>14815.4</v>
      </c>
      <c r="E4823" t="n">
        <v>21649.52</v>
      </c>
      <c r="F4823" t="n">
        <v>58408.4</v>
      </c>
    </row>
    <row r="4824">
      <c r="A4824" s="3" t="n">
        <v>45545</v>
      </c>
      <c r="B4824" t="n">
        <v>61407.04</v>
      </c>
      <c r="C4824" t="n">
        <v>20525.72</v>
      </c>
      <c r="D4824" t="n">
        <v>14856.41</v>
      </c>
      <c r="E4824" t="n">
        <v>21722.45</v>
      </c>
      <c r="F4824" t="n">
        <v>58955.4</v>
      </c>
    </row>
    <row r="4825">
      <c r="A4825" s="3" t="n">
        <v>45546</v>
      </c>
      <c r="B4825" t="n">
        <v>61192.28</v>
      </c>
      <c r="C4825" t="n">
        <v>20536.89</v>
      </c>
      <c r="D4825" t="n">
        <v>14572.2</v>
      </c>
      <c r="E4825" t="n">
        <v>21659.78</v>
      </c>
      <c r="F4825" t="n">
        <v>58857.5</v>
      </c>
    </row>
    <row r="4826">
      <c r="A4826" s="3" t="n">
        <v>45547</v>
      </c>
      <c r="B4826" t="n">
        <v>62112.6</v>
      </c>
      <c r="C4826" t="n">
        <v>20805.18</v>
      </c>
      <c r="D4826" t="n">
        <v>14879.72</v>
      </c>
      <c r="E4826" t="n">
        <v>21975.33</v>
      </c>
      <c r="F4826" t="n">
        <v>59743</v>
      </c>
    </row>
    <row r="4827">
      <c r="A4827" s="3" t="n">
        <v>45548</v>
      </c>
      <c r="B4827" t="n">
        <v>62240.42</v>
      </c>
      <c r="C4827" t="n">
        <v>20865.37</v>
      </c>
      <c r="D4827" t="n">
        <v>14924.44</v>
      </c>
      <c r="E4827" t="n">
        <v>21992.15</v>
      </c>
      <c r="F4827" t="n">
        <v>60014.2</v>
      </c>
    </row>
    <row r="4828">
      <c r="A4828" s="3" t="n">
        <v>45551</v>
      </c>
      <c r="B4828" t="n">
        <v>62814.02</v>
      </c>
      <c r="C4828" t="n">
        <v>20834.66</v>
      </c>
      <c r="D4828" t="n">
        <v>14931.37</v>
      </c>
      <c r="E4828" t="n">
        <v>21975.76</v>
      </c>
      <c r="F4828" t="n">
        <v>60671.9</v>
      </c>
    </row>
    <row r="4829">
      <c r="A4829" s="3" t="n">
        <v>45552</v>
      </c>
      <c r="B4829" t="n">
        <v>62555.69</v>
      </c>
      <c r="C4829" t="n">
        <v>20776.14</v>
      </c>
      <c r="D4829" t="n">
        <v>14877.57</v>
      </c>
      <c r="E4829" t="n">
        <v>22000.03</v>
      </c>
      <c r="F4829" t="n">
        <v>60302.45</v>
      </c>
    </row>
    <row r="4830">
      <c r="A4830" s="3" t="n">
        <v>45553</v>
      </c>
      <c r="B4830" t="n">
        <v>62497.19</v>
      </c>
      <c r="C4830" t="n">
        <v>20571.51</v>
      </c>
      <c r="D4830" t="n">
        <v>14789.32</v>
      </c>
      <c r="E4830" t="n">
        <v>21850.44</v>
      </c>
      <c r="F4830" t="n">
        <v>60352.6</v>
      </c>
    </row>
    <row r="4831">
      <c r="A4831" s="3" t="n">
        <v>45554</v>
      </c>
      <c r="B4831" t="n">
        <v>61516.22</v>
      </c>
      <c r="C4831" t="n">
        <v>20400.04</v>
      </c>
      <c r="D4831" t="n">
        <v>14633.53</v>
      </c>
      <c r="E4831" t="n">
        <v>21918.4</v>
      </c>
      <c r="F4831" t="n">
        <v>59455.9</v>
      </c>
    </row>
    <row r="4832">
      <c r="A4832" s="3" t="n">
        <v>45555</v>
      </c>
      <c r="B4832" t="n">
        <v>62942.56</v>
      </c>
      <c r="C4832" t="n">
        <v>20594.99</v>
      </c>
      <c r="D4832" t="n">
        <v>14706.64</v>
      </c>
      <c r="E4832" t="n">
        <v>22102.63</v>
      </c>
      <c r="F4832" t="n">
        <v>60941.55</v>
      </c>
    </row>
    <row r="4833">
      <c r="A4833" s="3" t="n">
        <v>45558</v>
      </c>
      <c r="B4833" t="n">
        <v>63756.88</v>
      </c>
      <c r="C4833" t="n">
        <v>20772.06</v>
      </c>
      <c r="D4833" t="n">
        <v>14923.2</v>
      </c>
      <c r="E4833" t="n">
        <v>22296.08</v>
      </c>
      <c r="F4833" t="n">
        <v>61542.95</v>
      </c>
    </row>
    <row r="4834">
      <c r="A4834" s="3" t="n">
        <v>45559</v>
      </c>
      <c r="B4834" t="n">
        <v>64161.12</v>
      </c>
      <c r="C4834" t="n">
        <v>20773.38</v>
      </c>
      <c r="D4834" t="n">
        <v>15085.78</v>
      </c>
      <c r="E4834" t="n">
        <v>22226.14</v>
      </c>
      <c r="F4834" t="n">
        <v>61620.8</v>
      </c>
    </row>
    <row r="4835">
      <c r="A4835" s="3" t="n">
        <v>45560</v>
      </c>
      <c r="B4835" t="n">
        <v>63798.18</v>
      </c>
      <c r="C4835" t="n">
        <v>20672.24</v>
      </c>
      <c r="D4835" t="n">
        <v>15150.09</v>
      </c>
      <c r="E4835" t="n">
        <v>22213.62</v>
      </c>
      <c r="F4835" t="n">
        <v>60836.85</v>
      </c>
    </row>
    <row r="4836">
      <c r="A4836" s="3" t="n">
        <v>45561</v>
      </c>
      <c r="B4836" t="n">
        <v>64018.27</v>
      </c>
      <c r="C4836" t="n">
        <v>20721.42</v>
      </c>
      <c r="D4836" t="n">
        <v>15299.11</v>
      </c>
      <c r="E4836" t="n">
        <v>22362.56</v>
      </c>
      <c r="F4836" t="n">
        <v>60405.8</v>
      </c>
    </row>
    <row r="4837">
      <c r="A4837" s="3" t="n">
        <v>45562</v>
      </c>
      <c r="B4837" t="n">
        <v>64566.73</v>
      </c>
      <c r="C4837" t="n">
        <v>20743.65</v>
      </c>
      <c r="D4837" t="n">
        <v>15513.01</v>
      </c>
      <c r="E4837" t="n">
        <v>22417.91</v>
      </c>
      <c r="F4837" t="n">
        <v>60558.25</v>
      </c>
    </row>
    <row r="4838">
      <c r="A4838" s="3" t="n">
        <v>45565</v>
      </c>
      <c r="B4838" t="n">
        <v>63905.8</v>
      </c>
      <c r="C4838" t="n">
        <v>20749.25</v>
      </c>
      <c r="D4838" t="n">
        <v>15537.35</v>
      </c>
      <c r="E4838" t="n">
        <v>22226.36</v>
      </c>
      <c r="F4838" t="n">
        <v>60409.8</v>
      </c>
    </row>
    <row r="4839">
      <c r="A4839" s="3" t="n">
        <v>45566</v>
      </c>
      <c r="B4839" t="n">
        <v>64162.98</v>
      </c>
      <c r="C4839" t="n">
        <v>20863.94</v>
      </c>
      <c r="D4839" t="n">
        <v>15556.79</v>
      </c>
      <c r="E4839" t="n">
        <v>22238.23</v>
      </c>
      <c r="F4839" t="n">
        <v>60372</v>
      </c>
    </row>
    <row r="4840">
      <c r="A4840" s="3" t="n">
        <v>45568</v>
      </c>
      <c r="B4840" t="n">
        <v>62545.18</v>
      </c>
      <c r="C4840" t="n">
        <v>20464.3</v>
      </c>
      <c r="D4840" t="n">
        <v>15265.65</v>
      </c>
      <c r="E4840" t="n">
        <v>21801.23</v>
      </c>
      <c r="F4840" t="n">
        <v>58848.15</v>
      </c>
    </row>
    <row r="4841">
      <c r="A4841" s="3" t="n">
        <v>45569</v>
      </c>
      <c r="B4841" t="n">
        <v>62103.37</v>
      </c>
      <c r="C4841" t="n">
        <v>20280.16</v>
      </c>
      <c r="D4841" t="n">
        <v>15168.61</v>
      </c>
      <c r="E4841" t="n">
        <v>21618.03</v>
      </c>
      <c r="F4841" t="n">
        <v>58511.45</v>
      </c>
    </row>
    <row r="4842">
      <c r="A4842" s="3" t="n">
        <v>45572</v>
      </c>
      <c r="B4842" t="n">
        <v>60366.65</v>
      </c>
      <c r="C4842" t="n">
        <v>19908.85</v>
      </c>
      <c r="D4842" t="n">
        <v>14726.98</v>
      </c>
      <c r="E4842" t="n">
        <v>21304.75</v>
      </c>
      <c r="F4842" t="n">
        <v>56887.15</v>
      </c>
    </row>
    <row r="4843">
      <c r="A4843" s="3" t="n">
        <v>45573</v>
      </c>
      <c r="B4843" t="n">
        <v>62885</v>
      </c>
      <c r="C4843" t="n">
        <v>20290.18</v>
      </c>
      <c r="D4843" t="n">
        <v>14847.62</v>
      </c>
      <c r="E4843" t="n">
        <v>21530.34</v>
      </c>
      <c r="F4843" t="n">
        <v>58860.05</v>
      </c>
    </row>
    <row r="4844">
      <c r="A4844" s="3" t="n">
        <v>45574</v>
      </c>
      <c r="B4844" t="n">
        <v>63614.58</v>
      </c>
      <c r="C4844" t="n">
        <v>20491.03</v>
      </c>
      <c r="D4844" t="n">
        <v>14860.84</v>
      </c>
      <c r="E4844" t="n">
        <v>21668.31</v>
      </c>
      <c r="F4844" t="n">
        <v>59839.95</v>
      </c>
    </row>
    <row r="4845">
      <c r="A4845" s="3" t="n">
        <v>45575</v>
      </c>
      <c r="B4845" t="n">
        <v>63930.88</v>
      </c>
      <c r="C4845" t="n">
        <v>20485.33</v>
      </c>
      <c r="D4845" t="n">
        <v>14896.39</v>
      </c>
      <c r="E4845" t="n">
        <v>21661.02</v>
      </c>
      <c r="F4845" t="n">
        <v>59894.95</v>
      </c>
    </row>
    <row r="4846">
      <c r="A4846" s="3" t="n">
        <v>45576</v>
      </c>
      <c r="B4846" t="n">
        <v>64041.61</v>
      </c>
      <c r="C4846" t="n">
        <v>20660.17</v>
      </c>
      <c r="D4846" t="n">
        <v>14978.13</v>
      </c>
      <c r="E4846" t="n">
        <v>21694.85</v>
      </c>
      <c r="F4846" t="n">
        <v>60091.95</v>
      </c>
    </row>
    <row r="4847">
      <c r="A4847" s="3" t="n">
        <v>45579</v>
      </c>
      <c r="B4847" t="n">
        <v>64304.12</v>
      </c>
      <c r="C4847" t="n">
        <v>20724.79</v>
      </c>
      <c r="D4847" t="n">
        <v>15015.66</v>
      </c>
      <c r="E4847" t="n">
        <v>21784.34</v>
      </c>
      <c r="F4847" t="n">
        <v>60424.35</v>
      </c>
    </row>
    <row r="4848">
      <c r="A4848" s="3" t="n">
        <v>45580</v>
      </c>
      <c r="B4848" t="n">
        <v>64418.43</v>
      </c>
      <c r="C4848" t="n">
        <v>20790.84</v>
      </c>
      <c r="D4848" t="n">
        <v>14977.1</v>
      </c>
      <c r="E4848" t="n">
        <v>21743.32</v>
      </c>
      <c r="F4848" t="n">
        <v>60748.85</v>
      </c>
    </row>
    <row r="4849">
      <c r="A4849" s="3" t="n">
        <v>45581</v>
      </c>
      <c r="B4849" t="n">
        <v>63975.76</v>
      </c>
      <c r="C4849" t="n">
        <v>20745.69</v>
      </c>
      <c r="D4849" t="n">
        <v>14980.65</v>
      </c>
      <c r="E4849" t="n">
        <v>21700.93</v>
      </c>
      <c r="F4849" t="n">
        <v>60175.75</v>
      </c>
    </row>
    <row r="4850">
      <c r="A4850" s="3" t="n">
        <v>45582</v>
      </c>
      <c r="B4850" t="n">
        <v>62299.71</v>
      </c>
      <c r="C4850" t="n">
        <v>20465.43</v>
      </c>
      <c r="D4850" t="n">
        <v>14775.61</v>
      </c>
      <c r="E4850" t="n">
        <v>21327.3</v>
      </c>
      <c r="F4850" t="n">
        <v>58866.65</v>
      </c>
    </row>
    <row r="4851">
      <c r="A4851" s="3" t="n">
        <v>45583</v>
      </c>
      <c r="B4851" t="n">
        <v>62596.43</v>
      </c>
      <c r="C4851" t="n">
        <v>20424.74</v>
      </c>
      <c r="D4851" t="n">
        <v>14916.52</v>
      </c>
      <c r="E4851" t="n">
        <v>21466.14</v>
      </c>
      <c r="F4851" t="n">
        <v>58927.15</v>
      </c>
    </row>
    <row r="4852">
      <c r="A4852" s="3" t="n">
        <v>45586</v>
      </c>
      <c r="B4852" t="n">
        <v>61668.88</v>
      </c>
      <c r="C4852" t="n">
        <v>20048.59</v>
      </c>
      <c r="D4852" t="n">
        <v>14708.65</v>
      </c>
      <c r="E4852" t="n">
        <v>21215.9</v>
      </c>
      <c r="F4852" t="n">
        <v>58020.7</v>
      </c>
    </row>
    <row r="4853">
      <c r="A4853" s="3" t="n">
        <v>45587</v>
      </c>
      <c r="B4853" t="n">
        <v>59580.47</v>
      </c>
      <c r="C4853" t="n">
        <v>19590.6</v>
      </c>
      <c r="D4853" t="n">
        <v>14284.03</v>
      </c>
      <c r="E4853" t="n">
        <v>20873.38</v>
      </c>
      <c r="F4853" t="n">
        <v>55968.45</v>
      </c>
    </row>
    <row r="4854">
      <c r="A4854" s="3" t="n">
        <v>45588</v>
      </c>
      <c r="B4854" t="n">
        <v>59313.79</v>
      </c>
      <c r="C4854" t="n">
        <v>19786.32</v>
      </c>
      <c r="D4854" t="n">
        <v>14241.23</v>
      </c>
      <c r="E4854" t="n">
        <v>20830.64</v>
      </c>
      <c r="F4854" t="n">
        <v>56098.95</v>
      </c>
    </row>
    <row r="4855">
      <c r="A4855" s="3" t="n">
        <v>45589</v>
      </c>
      <c r="B4855" t="n">
        <v>59422.74</v>
      </c>
      <c r="C4855" t="n">
        <v>19599.4</v>
      </c>
      <c r="D4855" t="n">
        <v>14308.76</v>
      </c>
      <c r="E4855" t="n">
        <v>20730.49</v>
      </c>
      <c r="F4855" t="n">
        <v>55827.75</v>
      </c>
    </row>
    <row r="4856">
      <c r="A4856" s="3" t="n">
        <v>45590</v>
      </c>
      <c r="B4856" t="n">
        <v>57948.78</v>
      </c>
      <c r="C4856" t="n">
        <v>19390.68</v>
      </c>
      <c r="D4856" t="n">
        <v>13922.08</v>
      </c>
      <c r="E4856" t="n">
        <v>20536.77</v>
      </c>
      <c r="F4856" t="n">
        <v>54348.7</v>
      </c>
    </row>
    <row r="4857">
      <c r="A4857" s="3" t="n">
        <v>45593</v>
      </c>
      <c r="B4857" t="n">
        <v>58521.67</v>
      </c>
      <c r="C4857" t="n">
        <v>19379.38</v>
      </c>
      <c r="D4857" t="n">
        <v>14139.31</v>
      </c>
      <c r="E4857" t="n">
        <v>20571.63</v>
      </c>
      <c r="F4857" t="n">
        <v>55175.95</v>
      </c>
    </row>
    <row r="4858">
      <c r="A4858" s="3" t="n">
        <v>45594</v>
      </c>
      <c r="B4858" t="n">
        <v>59354.59</v>
      </c>
      <c r="C4858" t="n">
        <v>19465.53</v>
      </c>
      <c r="D4858" t="n">
        <v>14360.35</v>
      </c>
      <c r="E4858" t="n">
        <v>20631.91</v>
      </c>
      <c r="F4858" t="n">
        <v>55818.25</v>
      </c>
    </row>
    <row r="4859">
      <c r="A4859" s="3" t="n">
        <v>45595</v>
      </c>
      <c r="B4859" t="n">
        <v>59308.01</v>
      </c>
      <c r="C4859" t="n">
        <v>19542.62</v>
      </c>
      <c r="D4859" t="n">
        <v>14350.9</v>
      </c>
      <c r="E4859" t="n">
        <v>20625.57</v>
      </c>
      <c r="F4859" t="n">
        <v>56015.1</v>
      </c>
    </row>
    <row r="4860">
      <c r="A4860" s="3" t="n">
        <v>45596</v>
      </c>
      <c r="B4860" t="n">
        <v>59197.4</v>
      </c>
      <c r="C4860" t="n">
        <v>19447.04</v>
      </c>
      <c r="D4860" t="n">
        <v>14363.78</v>
      </c>
      <c r="E4860" t="n">
        <v>20545.3</v>
      </c>
      <c r="F4860" t="n">
        <v>56150.2</v>
      </c>
    </row>
    <row r="4861">
      <c r="A4861" s="3" t="n">
        <v>45597</v>
      </c>
      <c r="B4861" t="n">
        <v>59766.64</v>
      </c>
      <c r="C4861" t="n">
        <v>19588.07</v>
      </c>
      <c r="D4861" t="n">
        <v>14475.55</v>
      </c>
      <c r="E4861" t="n">
        <v>20615.94</v>
      </c>
      <c r="F4861" t="n">
        <v>56570.55</v>
      </c>
    </row>
    <row r="4862">
      <c r="A4862" s="3" t="n">
        <v>45600</v>
      </c>
      <c r="B4862" t="n">
        <v>58894.84</v>
      </c>
      <c r="C4862" t="n">
        <v>19272.02</v>
      </c>
      <c r="D4862" t="n">
        <v>14202.31</v>
      </c>
      <c r="E4862" t="n">
        <v>20404.71</v>
      </c>
      <c r="F4862" t="n">
        <v>55599.5</v>
      </c>
    </row>
    <row r="4863">
      <c r="A4863" s="3" t="n">
        <v>45601</v>
      </c>
      <c r="B4863" t="n">
        <v>59222.17</v>
      </c>
      <c r="C4863" t="n">
        <v>19363.48</v>
      </c>
      <c r="D4863" t="n">
        <v>14452.02</v>
      </c>
      <c r="E4863" t="n">
        <v>20553.55</v>
      </c>
      <c r="F4863" t="n">
        <v>55738.65</v>
      </c>
    </row>
    <row r="4864">
      <c r="A4864" s="3" t="n">
        <v>45602</v>
      </c>
      <c r="B4864" t="n">
        <v>60814.67</v>
      </c>
      <c r="C4864" t="n">
        <v>19913.53</v>
      </c>
      <c r="D4864" t="n">
        <v>14644.83</v>
      </c>
      <c r="E4864" t="n">
        <v>20783.18</v>
      </c>
      <c r="F4864" t="n">
        <v>57337.75</v>
      </c>
    </row>
    <row r="4865">
      <c r="A4865" s="3" t="n">
        <v>45603</v>
      </c>
      <c r="B4865" t="n">
        <v>60111.97</v>
      </c>
      <c r="C4865" t="n">
        <v>19818.05</v>
      </c>
      <c r="D4865" t="n">
        <v>14486.53</v>
      </c>
      <c r="E4865" t="n">
        <v>20670.6</v>
      </c>
      <c r="F4865" t="n">
        <v>56831.95</v>
      </c>
    </row>
    <row r="4866">
      <c r="A4866" s="3" t="n">
        <v>45604</v>
      </c>
      <c r="B4866" t="n">
        <v>59232.17</v>
      </c>
      <c r="C4866" t="n">
        <v>19655.92</v>
      </c>
      <c r="D4866" t="n">
        <v>14241.54</v>
      </c>
      <c r="E4866" t="n">
        <v>20605.94</v>
      </c>
      <c r="F4866" t="n">
        <v>55489.9</v>
      </c>
    </row>
    <row r="4867">
      <c r="A4867" s="3" t="n">
        <v>45607</v>
      </c>
      <c r="B4867" t="n">
        <v>59181.25</v>
      </c>
      <c r="C4867" t="n">
        <v>19539.26</v>
      </c>
      <c r="D4867" t="n">
        <v>14203.08</v>
      </c>
      <c r="E4867" t="n">
        <v>20483.31</v>
      </c>
      <c r="F4867" t="n">
        <v>55171.15</v>
      </c>
    </row>
    <row r="4868">
      <c r="A4868" s="3" t="n">
        <v>45608</v>
      </c>
      <c r="B4868" t="n">
        <v>57900.5</v>
      </c>
      <c r="C4868" t="n">
        <v>19273.78</v>
      </c>
      <c r="D4868" t="n">
        <v>13987.74</v>
      </c>
      <c r="E4868" t="n">
        <v>20166.42</v>
      </c>
      <c r="F4868" t="n">
        <v>54396.65</v>
      </c>
    </row>
    <row r="4869">
      <c r="A4869" s="3" t="n">
        <v>45609</v>
      </c>
      <c r="B4869" t="n">
        <v>56157</v>
      </c>
      <c r="C4869" t="n">
        <v>18891.18</v>
      </c>
      <c r="D4869" t="n">
        <v>13671.48</v>
      </c>
      <c r="E4869" t="n">
        <v>19901.86</v>
      </c>
      <c r="F4869" t="n">
        <v>52646.25</v>
      </c>
    </row>
    <row r="4870">
      <c r="A4870" s="3" t="n">
        <v>45610</v>
      </c>
      <c r="B4870" t="n">
        <v>56235.5</v>
      </c>
      <c r="C4870" t="n">
        <v>18930.04</v>
      </c>
      <c r="D4870" t="n">
        <v>13630.32</v>
      </c>
      <c r="E4870" t="n">
        <v>19913.72</v>
      </c>
      <c r="F4870" t="n">
        <v>52789.8</v>
      </c>
    </row>
    <row r="4871">
      <c r="A4871" s="3" t="n">
        <v>45614</v>
      </c>
      <c r="B4871" t="n">
        <v>56207.6</v>
      </c>
      <c r="C4871" t="n">
        <v>18780.81</v>
      </c>
      <c r="D4871" t="n">
        <v>13691.09</v>
      </c>
      <c r="E4871" t="n">
        <v>19833.62</v>
      </c>
      <c r="F4871" t="n">
        <v>52665.5</v>
      </c>
    </row>
    <row r="4872">
      <c r="A4872" s="3" t="n">
        <v>45615</v>
      </c>
      <c r="B4872" t="n">
        <v>56962.4</v>
      </c>
      <c r="C4872" t="n">
        <v>18939.23</v>
      </c>
      <c r="D4872" t="n">
        <v>13721.84</v>
      </c>
      <c r="E4872" t="n">
        <v>19917.58</v>
      </c>
      <c r="F4872" t="n">
        <v>53523.6</v>
      </c>
    </row>
    <row r="4873">
      <c r="A4873" s="3" t="n">
        <v>45617</v>
      </c>
      <c r="B4873" t="n">
        <v>55972.25</v>
      </c>
      <c r="C4873" t="n">
        <v>18780.68</v>
      </c>
      <c r="D4873" t="n">
        <v>13614.4</v>
      </c>
      <c r="E4873" t="n">
        <v>19788.12</v>
      </c>
      <c r="F4873" t="n">
        <v>53141.35</v>
      </c>
    </row>
    <row r="4874">
      <c r="A4874" s="3" t="n">
        <v>45618</v>
      </c>
      <c r="B4874" t="n">
        <v>56909.2</v>
      </c>
      <c r="C4874" t="n">
        <v>18990.69</v>
      </c>
      <c r="D4874" t="n">
        <v>13885.06</v>
      </c>
      <c r="E4874" t="n">
        <v>20151.08</v>
      </c>
      <c r="F4874" t="n">
        <v>53614.7</v>
      </c>
    </row>
    <row r="4875">
      <c r="A4875" s="3" t="n">
        <v>45621</v>
      </c>
      <c r="B4875" t="n">
        <v>58184.85</v>
      </c>
      <c r="C4875" t="n">
        <v>19329.31</v>
      </c>
      <c r="D4875" t="n">
        <v>14169.32</v>
      </c>
      <c r="E4875" t="n">
        <v>20350.26</v>
      </c>
      <c r="F4875" t="n">
        <v>54927.8</v>
      </c>
    </row>
    <row r="4876">
      <c r="A4876" s="3" t="n">
        <v>45622</v>
      </c>
      <c r="B4876" t="n">
        <v>57812.1</v>
      </c>
      <c r="C4876" t="n">
        <v>19455.74</v>
      </c>
      <c r="D4876" t="n">
        <v>14175.61</v>
      </c>
      <c r="E4876" t="n">
        <v>20322.31</v>
      </c>
      <c r="F4876" t="n">
        <v>54834.95</v>
      </c>
    </row>
    <row r="4877">
      <c r="A4877" s="3" t="n">
        <v>45623</v>
      </c>
      <c r="B4877" t="n">
        <v>58942.3</v>
      </c>
      <c r="C4877" t="n">
        <v>19761.08</v>
      </c>
      <c r="D4877" t="n">
        <v>14217.25</v>
      </c>
      <c r="E4877" t="n">
        <v>20357.23</v>
      </c>
      <c r="F4877" t="n">
        <v>55640.2</v>
      </c>
    </row>
    <row r="4878">
      <c r="A4878" s="3" t="n">
        <v>45624</v>
      </c>
      <c r="B4878" t="n">
        <v>59029.25</v>
      </c>
      <c r="C4878" t="n">
        <v>19744.33</v>
      </c>
      <c r="D4878" t="n">
        <v>14192.14</v>
      </c>
      <c r="E4878" t="n">
        <v>20115.55</v>
      </c>
      <c r="F4878" t="n">
        <v>56086.8</v>
      </c>
    </row>
    <row r="4879">
      <c r="A4879" s="3" t="n">
        <v>45625</v>
      </c>
      <c r="B4879" t="n">
        <v>59207.35</v>
      </c>
      <c r="C4879" t="n">
        <v>19743.58</v>
      </c>
      <c r="D4879" t="n">
        <v>14251.85</v>
      </c>
      <c r="E4879" t="n">
        <v>20246.08</v>
      </c>
      <c r="F4879" t="n">
        <v>56108.85</v>
      </c>
    </row>
    <row r="4880">
      <c r="A4880" s="3" t="n">
        <v>45628</v>
      </c>
      <c r="B4880" t="n">
        <v>59633.3</v>
      </c>
      <c r="C4880" t="n">
        <v>19892.25</v>
      </c>
      <c r="D4880" t="n">
        <v>14318.51</v>
      </c>
      <c r="E4880" t="n">
        <v>20381.83</v>
      </c>
      <c r="F4880" t="n">
        <v>56810.4</v>
      </c>
    </row>
    <row r="4881">
      <c r="A4881" s="3" t="n">
        <v>45629</v>
      </c>
      <c r="B4881" t="n">
        <v>60352.95</v>
      </c>
      <c r="C4881" t="n">
        <v>20061.4</v>
      </c>
      <c r="D4881" t="n">
        <v>14530.1</v>
      </c>
      <c r="E4881" t="n">
        <v>20500.47</v>
      </c>
      <c r="F4881" t="n">
        <v>57233.55</v>
      </c>
    </row>
    <row r="4882">
      <c r="A4882" s="3" t="n">
        <v>45630</v>
      </c>
      <c r="B4882" t="n">
        <v>60594.5</v>
      </c>
      <c r="C4882" t="n">
        <v>20052.06</v>
      </c>
      <c r="D4882" t="n">
        <v>14590.75</v>
      </c>
      <c r="E4882" t="n">
        <v>20549.1</v>
      </c>
      <c r="F4882" t="n">
        <v>57769.25</v>
      </c>
    </row>
    <row r="4883">
      <c r="A4883" s="3" t="n">
        <v>45631</v>
      </c>
      <c r="B4883" t="n">
        <v>61039.4</v>
      </c>
      <c r="C4883" t="n">
        <v>20269.29</v>
      </c>
      <c r="D4883" t="n">
        <v>14619.75</v>
      </c>
      <c r="E4883" t="n">
        <v>20656.43</v>
      </c>
      <c r="F4883" t="n">
        <v>58300.35</v>
      </c>
    </row>
    <row r="4884">
      <c r="A4884" s="3" t="n">
        <v>45632</v>
      </c>
      <c r="B4884" t="n">
        <v>61527.05</v>
      </c>
      <c r="C4884" t="n">
        <v>20367.11</v>
      </c>
      <c r="D4884" t="n">
        <v>14729.3</v>
      </c>
      <c r="E4884" t="n">
        <v>20682.81</v>
      </c>
      <c r="F4884" t="n">
        <v>59045.7</v>
      </c>
    </row>
    <row r="4885">
      <c r="A4885" s="3" t="n">
        <v>45635</v>
      </c>
      <c r="B4885" t="n">
        <v>61756.2</v>
      </c>
      <c r="C4885" t="n">
        <v>20426.66</v>
      </c>
      <c r="D4885" t="n">
        <v>14702.79</v>
      </c>
      <c r="E4885" t="n">
        <v>20548.96</v>
      </c>
      <c r="F4885" t="n">
        <v>59148.05</v>
      </c>
    </row>
    <row r="4886">
      <c r="A4886" s="3" t="n">
        <v>45636</v>
      </c>
      <c r="B4886" t="n">
        <v>61586.45</v>
      </c>
      <c r="C4886" t="n">
        <v>20512.93</v>
      </c>
      <c r="D4886" t="n">
        <v>14726.52</v>
      </c>
      <c r="E4886" t="n">
        <v>20603.83</v>
      </c>
      <c r="F4886" t="n">
        <v>58977.1</v>
      </c>
    </row>
    <row r="4887">
      <c r="A4887" s="3" t="n">
        <v>45637</v>
      </c>
      <c r="B4887" t="n">
        <v>61969.75</v>
      </c>
      <c r="C4887" t="n">
        <v>20590.81</v>
      </c>
      <c r="D4887" t="n">
        <v>14748.49</v>
      </c>
      <c r="E4887" t="n">
        <v>20693.14</v>
      </c>
      <c r="F4887" t="n">
        <v>59317</v>
      </c>
    </row>
    <row r="4888">
      <c r="A4888" s="3" t="n">
        <v>45638</v>
      </c>
      <c r="B4888" t="n">
        <v>61764.2</v>
      </c>
      <c r="C4888" t="n">
        <v>20520.14</v>
      </c>
      <c r="D4888" t="n">
        <v>14631.63</v>
      </c>
      <c r="E4888" t="n">
        <v>20588.12</v>
      </c>
      <c r="F4888" t="n">
        <v>59025.9</v>
      </c>
    </row>
    <row r="4889">
      <c r="A4889" s="3" t="n">
        <v>45639</v>
      </c>
      <c r="B4889" t="n">
        <v>61662.55</v>
      </c>
      <c r="C4889" t="n">
        <v>20481.15</v>
      </c>
      <c r="D4889" t="n">
        <v>14606.27</v>
      </c>
      <c r="E4889" t="n">
        <v>20704.82</v>
      </c>
      <c r="F4889" t="n">
        <v>58688.25</v>
      </c>
    </row>
    <row r="4890">
      <c r="A4890" s="3" t="n">
        <v>45642</v>
      </c>
      <c r="B4890" t="n">
        <v>62095.9</v>
      </c>
      <c r="C4890" t="n">
        <v>20499.71</v>
      </c>
      <c r="D4890" t="n">
        <v>14564.25</v>
      </c>
      <c r="E4890" t="n">
        <v>20705.37</v>
      </c>
      <c r="F4890" t="n">
        <v>59279.5</v>
      </c>
    </row>
    <row r="4891">
      <c r="A4891" s="3" t="n">
        <v>45643</v>
      </c>
      <c r="B4891" t="n">
        <v>61554.8</v>
      </c>
      <c r="C4891" t="n">
        <v>20343.46</v>
      </c>
      <c r="D4891" t="n">
        <v>14328.55</v>
      </c>
      <c r="E4891" t="n">
        <v>20482.29</v>
      </c>
      <c r="F4891" t="n">
        <v>58946.3</v>
      </c>
    </row>
    <row r="4892">
      <c r="A4892" s="3" t="n">
        <v>45644</v>
      </c>
      <c r="B4892" t="n">
        <v>60846.2</v>
      </c>
      <c r="C4892" t="n">
        <v>20139.43</v>
      </c>
      <c r="D4892" t="n">
        <v>14085.85</v>
      </c>
      <c r="E4892" t="n">
        <v>20422.99</v>
      </c>
      <c r="F4892" t="n">
        <v>58377.45</v>
      </c>
    </row>
    <row r="4893">
      <c r="A4893" s="3" t="n">
        <v>45645</v>
      </c>
      <c r="B4893" t="n">
        <v>60238.8</v>
      </c>
      <c r="C4893" t="n">
        <v>20070.71</v>
      </c>
      <c r="D4893" t="n">
        <v>14008.25</v>
      </c>
      <c r="E4893" t="n">
        <v>20345.22</v>
      </c>
      <c r="F4893" t="n">
        <v>58089.4</v>
      </c>
    </row>
    <row r="4894">
      <c r="A4894" s="3" t="n">
        <v>45646</v>
      </c>
      <c r="B4894" t="n">
        <v>58200.05</v>
      </c>
      <c r="C4894" t="n">
        <v>19524.05</v>
      </c>
      <c r="D4894" t="n">
        <v>13676.45</v>
      </c>
      <c r="E4894" t="n">
        <v>20034.87</v>
      </c>
      <c r="F4894" t="n">
        <v>56427.75</v>
      </c>
    </row>
    <row r="4895">
      <c r="A4895" s="3" t="n">
        <v>45649</v>
      </c>
      <c r="B4895" t="n">
        <v>58334.75</v>
      </c>
      <c r="C4895" t="n">
        <v>19475.45</v>
      </c>
      <c r="D4895" t="n">
        <v>13744.15</v>
      </c>
      <c r="E4895" t="n">
        <v>20068.34</v>
      </c>
      <c r="F4895" t="n">
        <v>56385.7</v>
      </c>
    </row>
    <row r="4896">
      <c r="A4896" s="3" t="n">
        <v>45650</v>
      </c>
      <c r="B4896" t="n">
        <v>58160.6</v>
      </c>
      <c r="C4896" t="n">
        <v>19520.56</v>
      </c>
      <c r="D4896" t="n">
        <v>13702.3</v>
      </c>
      <c r="E4896" t="n">
        <v>20032.86</v>
      </c>
      <c r="F4896" t="n">
        <v>56386.7</v>
      </c>
    </row>
    <row r="4897">
      <c r="A4897" s="3" t="n">
        <v>45652</v>
      </c>
      <c r="B4897" t="n">
        <v>58596.9</v>
      </c>
      <c r="C4897" t="n">
        <v>19577.31</v>
      </c>
      <c r="D4897" t="n">
        <v>13728.65</v>
      </c>
      <c r="E4897" t="n">
        <v>20032.5</v>
      </c>
      <c r="F4897" t="n">
        <v>56401.45</v>
      </c>
    </row>
    <row r="4898">
      <c r="A4898" s="3" t="n">
        <v>45653</v>
      </c>
      <c r="B4898" t="n">
        <v>58247.9</v>
      </c>
      <c r="C4898" t="n">
        <v>19555.61</v>
      </c>
      <c r="D4898" t="n">
        <v>13594.05</v>
      </c>
      <c r="E4898" t="n">
        <v>20074.27</v>
      </c>
      <c r="F4898" t="n">
        <v>56347.95</v>
      </c>
    </row>
    <row r="4899">
      <c r="A4899" s="3" t="n">
        <v>45656</v>
      </c>
      <c r="B4899" t="n">
        <v>57283.45</v>
      </c>
      <c r="C4899" t="n">
        <v>19575.81</v>
      </c>
      <c r="D4899" t="n">
        <v>13377.15</v>
      </c>
      <c r="E4899" t="n">
        <v>20016.03</v>
      </c>
      <c r="F4899" t="n">
        <v>55911.75</v>
      </c>
    </row>
    <row r="4900">
      <c r="A4900" s="3" t="n">
        <v>45657</v>
      </c>
      <c r="B4900" t="n">
        <v>57213.25</v>
      </c>
      <c r="C4900" t="n">
        <v>19589.67</v>
      </c>
      <c r="D4900" t="n">
        <v>13481.1</v>
      </c>
      <c r="E4900" t="n">
        <v>20017.37</v>
      </c>
      <c r="F4900" t="n">
        <v>56293.05</v>
      </c>
    </row>
    <row r="4901">
      <c r="A4901" s="3" t="n">
        <v>45658</v>
      </c>
      <c r="B4901" t="n">
        <v>57480.15</v>
      </c>
      <c r="C4901" t="n">
        <v>19761.5</v>
      </c>
      <c r="D4901" t="n">
        <v>13511.85</v>
      </c>
      <c r="E4901" t="n">
        <v>20115.13</v>
      </c>
      <c r="F4901" t="n">
        <v>56743.3</v>
      </c>
    </row>
    <row r="4902">
      <c r="A4902" s="3" t="n">
        <v>45659</v>
      </c>
      <c r="B4902" t="n">
        <v>58382.05</v>
      </c>
      <c r="C4902" t="n">
        <v>19925.14</v>
      </c>
      <c r="D4902" t="n">
        <v>13713.35</v>
      </c>
      <c r="E4902" t="n">
        <v>20628.16</v>
      </c>
      <c r="F4902" t="n">
        <v>57276.95</v>
      </c>
    </row>
    <row r="4903">
      <c r="A4903" s="3" t="n">
        <v>45660</v>
      </c>
      <c r="B4903" t="n">
        <v>58041.35</v>
      </c>
      <c r="C4903" t="n">
        <v>19871.92</v>
      </c>
      <c r="D4903" t="n">
        <v>13794.7</v>
      </c>
      <c r="E4903" t="n">
        <v>20554.66</v>
      </c>
      <c r="F4903" t="n">
        <v>57044.6</v>
      </c>
    </row>
    <row r="4904">
      <c r="A4904" s="3" t="n">
        <v>45663</v>
      </c>
      <c r="B4904" t="n">
        <v>56481.05</v>
      </c>
      <c r="C4904" t="n">
        <v>19340.41</v>
      </c>
      <c r="D4904" t="n">
        <v>13327.45</v>
      </c>
      <c r="E4904" t="n">
        <v>20282.28</v>
      </c>
      <c r="F4904" t="n">
        <v>54905.9</v>
      </c>
    </row>
    <row r="4905">
      <c r="A4905" s="3" t="n">
        <v>45664</v>
      </c>
      <c r="B4905" t="n">
        <v>56557.75</v>
      </c>
      <c r="C4905" t="n">
        <v>19501.81</v>
      </c>
      <c r="D4905" t="n">
        <v>13476.25</v>
      </c>
      <c r="E4905" t="n">
        <v>20321.81</v>
      </c>
      <c r="F4905" t="n">
        <v>55487.55</v>
      </c>
    </row>
    <row r="4906">
      <c r="A4906" s="3" t="n">
        <v>45665</v>
      </c>
      <c r="B4906" t="n">
        <v>55475.4</v>
      </c>
      <c r="C4906" t="n">
        <v>19283.04</v>
      </c>
      <c r="D4906" t="n">
        <v>13452.4</v>
      </c>
      <c r="E4906" t="n">
        <v>20266.15</v>
      </c>
      <c r="F4906" t="n">
        <v>54669</v>
      </c>
    </row>
    <row r="4907">
      <c r="A4907" s="3" t="n">
        <v>45666</v>
      </c>
      <c r="B4907" t="n">
        <v>54598.45</v>
      </c>
      <c r="C4907" t="n">
        <v>19116.45</v>
      </c>
      <c r="D4907" t="n">
        <v>13247.85</v>
      </c>
      <c r="E4907" t="n">
        <v>20260.49</v>
      </c>
      <c r="F4907" t="n">
        <v>53615.2</v>
      </c>
    </row>
    <row r="4908">
      <c r="A4908" s="3" t="n">
        <v>45667</v>
      </c>
      <c r="B4908" t="n">
        <v>53819.65</v>
      </c>
      <c r="C4908" t="n">
        <v>18823.64</v>
      </c>
      <c r="D4908" t="n">
        <v>12978.25</v>
      </c>
      <c r="E4908" t="n">
        <v>20097.13</v>
      </c>
      <c r="F4908" t="n">
        <v>52170.65</v>
      </c>
    </row>
    <row r="4909">
      <c r="A4909" s="3" t="n">
        <v>45670</v>
      </c>
      <c r="B4909" t="n">
        <v>51357.2</v>
      </c>
      <c r="C4909" t="n">
        <v>18113.68</v>
      </c>
      <c r="D4909" t="n">
        <v>12526.75</v>
      </c>
      <c r="E4909" t="n">
        <v>19701.7</v>
      </c>
      <c r="F4909" t="n">
        <v>49714.6</v>
      </c>
    </row>
    <row r="4910">
      <c r="A4910" s="3" t="n">
        <v>45671</v>
      </c>
      <c r="B4910" t="n">
        <v>52114.05</v>
      </c>
      <c r="C4910" t="n">
        <v>18403.25</v>
      </c>
      <c r="D4910" t="n">
        <v>12917.45</v>
      </c>
      <c r="E4910" t="n">
        <v>19827.62</v>
      </c>
      <c r="F4910" t="n">
        <v>51149.95</v>
      </c>
    </row>
    <row r="4911">
      <c r="A4911" s="3" t="n">
        <v>45672</v>
      </c>
      <c r="B4911" t="n">
        <v>52619.25</v>
      </c>
      <c r="C4911" t="n">
        <v>18498.17</v>
      </c>
      <c r="D4911" t="n">
        <v>12968.8</v>
      </c>
      <c r="E4911" t="n">
        <v>19813.24</v>
      </c>
      <c r="F4911" t="n">
        <v>51340.15</v>
      </c>
    </row>
    <row r="4912">
      <c r="A4912" s="3" t="n">
        <v>45673</v>
      </c>
      <c r="B4912" t="n">
        <v>52816.6</v>
      </c>
      <c r="C4912" t="n">
        <v>18663.48</v>
      </c>
      <c r="D4912" t="n">
        <v>13173.5</v>
      </c>
      <c r="E4912" t="n">
        <v>19965.73</v>
      </c>
      <c r="F4912" t="n">
        <v>51841.25</v>
      </c>
    </row>
    <row r="4913">
      <c r="A4913" s="3" t="n">
        <v>45674</v>
      </c>
      <c r="B4913" t="n">
        <v>52653.5</v>
      </c>
      <c r="C4913" t="n">
        <v>18714.7</v>
      </c>
      <c r="D4913" t="n">
        <v>13285</v>
      </c>
      <c r="E4913" t="n">
        <v>19910.24</v>
      </c>
      <c r="F4913" t="n">
        <v>52300.45</v>
      </c>
    </row>
    <row r="4914">
      <c r="A4914" s="3" t="n">
        <v>45677</v>
      </c>
      <c r="B4914" t="n">
        <v>52827.8</v>
      </c>
      <c r="C4914" t="n">
        <v>18820.01</v>
      </c>
      <c r="D4914" t="n">
        <v>13420.45</v>
      </c>
      <c r="E4914" t="n">
        <v>20126.38</v>
      </c>
      <c r="F4914" t="n">
        <v>52820.4</v>
      </c>
    </row>
    <row r="4915">
      <c r="A4915" s="3" t="n">
        <v>45678</v>
      </c>
      <c r="B4915" t="n">
        <v>50571.95</v>
      </c>
      <c r="C4915" t="n">
        <v>18508.95</v>
      </c>
      <c r="D4915" t="n">
        <v>13253.05</v>
      </c>
      <c r="E4915" t="n">
        <v>19911.93</v>
      </c>
      <c r="F4915" t="n">
        <v>50862.95</v>
      </c>
    </row>
    <row r="4916">
      <c r="A4916" s="3" t="n">
        <v>45679</v>
      </c>
      <c r="B4916" t="n">
        <v>50009.4</v>
      </c>
      <c r="C4916" t="n">
        <v>18255.55</v>
      </c>
      <c r="D4916" t="n">
        <v>13142</v>
      </c>
      <c r="E4916" t="n">
        <v>19977.52</v>
      </c>
      <c r="F4916" t="n">
        <v>49776.95</v>
      </c>
    </row>
    <row r="4917">
      <c r="A4917" s="3" t="n">
        <v>45680</v>
      </c>
      <c r="B4917" t="n">
        <v>51412.45</v>
      </c>
      <c r="C4917" t="n">
        <v>18509.46</v>
      </c>
      <c r="D4917" t="n">
        <v>13200.8</v>
      </c>
      <c r="E4917" t="n">
        <v>20103.79</v>
      </c>
      <c r="F4917" t="n">
        <v>50411.25</v>
      </c>
    </row>
    <row r="4918">
      <c r="A4918" s="3" t="n">
        <v>45681</v>
      </c>
      <c r="B4918" t="n">
        <v>50721.4</v>
      </c>
      <c r="C4918" t="n">
        <v>18261.86</v>
      </c>
      <c r="D4918" t="n">
        <v>13020.3</v>
      </c>
      <c r="E4918" t="n">
        <v>19917.42</v>
      </c>
      <c r="F4918" t="n">
        <v>49422.75</v>
      </c>
    </row>
    <row r="4919">
      <c r="A4919" s="3" t="n">
        <v>45684</v>
      </c>
      <c r="B4919" t="n">
        <v>48916.65</v>
      </c>
      <c r="C4919" t="n">
        <v>17640.76</v>
      </c>
      <c r="D4919" t="n">
        <v>12701.45</v>
      </c>
      <c r="E4919" t="n">
        <v>19606.9</v>
      </c>
      <c r="F4919" t="n">
        <v>47758</v>
      </c>
    </row>
    <row r="4920">
      <c r="A4920" s="3" t="n">
        <v>45685</v>
      </c>
      <c r="B4920" t="n">
        <v>47960.8</v>
      </c>
      <c r="C4920" t="n">
        <v>17396.93</v>
      </c>
      <c r="D4920" t="n">
        <v>12650.8</v>
      </c>
      <c r="E4920" t="n">
        <v>19737.27</v>
      </c>
      <c r="F4920" t="n">
        <v>46981.4</v>
      </c>
    </row>
    <row r="4921">
      <c r="A4921" s="3" t="n">
        <v>45686</v>
      </c>
      <c r="B4921" t="n">
        <v>49684.95</v>
      </c>
      <c r="C4921" t="n">
        <v>17910.49</v>
      </c>
      <c r="D4921" t="n">
        <v>12856.35</v>
      </c>
      <c r="E4921" t="n">
        <v>20010.22</v>
      </c>
      <c r="F4921" t="n">
        <v>48587.75</v>
      </c>
    </row>
    <row r="4922">
      <c r="A4922" s="3" t="n">
        <v>45687</v>
      </c>
      <c r="B4922" t="n">
        <v>49162.45</v>
      </c>
      <c r="C4922" t="n">
        <v>17776.58</v>
      </c>
      <c r="D4922" t="n">
        <v>12927.65</v>
      </c>
      <c r="E4922" t="n">
        <v>20103.16</v>
      </c>
      <c r="F4922" t="n">
        <v>48452.6</v>
      </c>
    </row>
    <row r="4923">
      <c r="A4923" s="3" t="n">
        <v>45688</v>
      </c>
      <c r="B4923" t="n">
        <v>49736.6</v>
      </c>
      <c r="C4923" t="n">
        <v>18089.08</v>
      </c>
      <c r="D4923" t="n">
        <v>13182.25</v>
      </c>
      <c r="E4923" t="n">
        <v>20264.33</v>
      </c>
      <c r="F4923" t="n">
        <v>49962.65</v>
      </c>
    </row>
    <row r="4924">
      <c r="A4924" s="3" t="n">
        <v>45689</v>
      </c>
      <c r="B4924" t="n">
        <v>50250.05</v>
      </c>
      <c r="C4924" t="n">
        <v>18077.81</v>
      </c>
      <c r="D4924" t="n">
        <v>12945.65</v>
      </c>
      <c r="E4924" t="n">
        <v>20474.98</v>
      </c>
      <c r="F4924" t="n">
        <v>49416.05</v>
      </c>
    </row>
    <row r="4925">
      <c r="A4925" s="3" t="n">
        <v>45691</v>
      </c>
      <c r="B4925" t="n">
        <v>50118.25</v>
      </c>
      <c r="C4925" t="n">
        <v>17740.64</v>
      </c>
      <c r="D4925" t="n">
        <v>12671.55</v>
      </c>
      <c r="E4925" t="n">
        <v>20563.31</v>
      </c>
      <c r="F4925" t="n">
        <v>47948.95</v>
      </c>
    </row>
    <row r="4926">
      <c r="A4926" s="3" t="n">
        <v>45692</v>
      </c>
      <c r="B4926" t="n">
        <v>50740</v>
      </c>
      <c r="C4926" t="n">
        <v>17902.23</v>
      </c>
      <c r="D4926" t="n">
        <v>12952.4</v>
      </c>
      <c r="E4926" t="n">
        <v>20701</v>
      </c>
      <c r="F4926" t="n">
        <v>48747.25</v>
      </c>
    </row>
    <row r="4927">
      <c r="A4927" s="3" t="n">
        <v>45693</v>
      </c>
      <c r="B4927" t="n">
        <v>51430.9</v>
      </c>
      <c r="C4927" t="n">
        <v>18185.51</v>
      </c>
      <c r="D4927" t="n">
        <v>13124.7</v>
      </c>
      <c r="E4927" t="n">
        <v>20633.68</v>
      </c>
      <c r="F4927" t="n">
        <v>49603.1</v>
      </c>
    </row>
    <row r="4928">
      <c r="A4928" s="3" t="n">
        <v>45694</v>
      </c>
      <c r="B4928" t="n">
        <v>50784</v>
      </c>
      <c r="C4928" t="n">
        <v>18044.92</v>
      </c>
      <c r="D4928" t="n">
        <v>13027.95</v>
      </c>
      <c r="E4928" t="n">
        <v>20543.97</v>
      </c>
      <c r="F4928" t="n">
        <v>48880.25</v>
      </c>
    </row>
    <row r="4929">
      <c r="A4929" s="3" t="n">
        <v>45695</v>
      </c>
      <c r="B4929" t="n">
        <v>51224.35</v>
      </c>
      <c r="C4929" t="n">
        <v>17964.18</v>
      </c>
      <c r="D4929" t="n">
        <v>13063.85</v>
      </c>
      <c r="E4929" t="n">
        <v>20555.99</v>
      </c>
      <c r="F4929" t="n">
        <v>48933.15</v>
      </c>
    </row>
    <row r="4930">
      <c r="A4930" s="3" t="n">
        <v>45698</v>
      </c>
      <c r="B4930" t="n">
        <v>50036</v>
      </c>
      <c r="C4930" t="n">
        <v>17656.26</v>
      </c>
      <c r="D4930" t="n">
        <v>12784.7</v>
      </c>
      <c r="E4930" t="n">
        <v>20347.77</v>
      </c>
      <c r="F4930" t="n">
        <v>47770.95</v>
      </c>
    </row>
    <row r="4931">
      <c r="A4931" s="3" t="n">
        <v>45699</v>
      </c>
      <c r="B4931" t="n">
        <v>48545.05</v>
      </c>
      <c r="C4931" t="n">
        <v>17152.15</v>
      </c>
      <c r="D4931" t="n">
        <v>12476.5</v>
      </c>
      <c r="E4931" t="n">
        <v>19958.99</v>
      </c>
      <c r="F4931" t="n">
        <v>46149.15</v>
      </c>
    </row>
    <row r="4932">
      <c r="A4932" s="3" t="n">
        <v>45700</v>
      </c>
      <c r="B4932" t="n">
        <v>48387</v>
      </c>
      <c r="C4932" t="n">
        <v>17172.54</v>
      </c>
      <c r="D4932" t="n">
        <v>12510</v>
      </c>
      <c r="E4932" t="n">
        <v>19997.73</v>
      </c>
      <c r="F4932" t="n">
        <v>46183.75</v>
      </c>
    </row>
    <row r="4933">
      <c r="A4933" s="3" t="n">
        <v>45701</v>
      </c>
      <c r="B4933" t="n">
        <v>48376.9</v>
      </c>
      <c r="C4933" t="n">
        <v>17034.82</v>
      </c>
      <c r="D4933" t="n">
        <v>12548</v>
      </c>
      <c r="E4933" t="n">
        <v>20037.99</v>
      </c>
      <c r="F4933" t="n">
        <v>46253.45</v>
      </c>
    </row>
    <row r="4934">
      <c r="A4934" s="3" t="n">
        <v>45702</v>
      </c>
      <c r="B4934" t="n">
        <v>47014.45</v>
      </c>
      <c r="C4934" t="n">
        <v>16698.99</v>
      </c>
      <c r="D4934" t="n">
        <v>12297.9</v>
      </c>
      <c r="E4934" t="n">
        <v>19814.39</v>
      </c>
      <c r="F4934" t="n">
        <v>44569.2</v>
      </c>
    </row>
    <row r="4935">
      <c r="A4935" s="3" t="n">
        <v>45705</v>
      </c>
      <c r="B4935" t="n">
        <v>46953.1</v>
      </c>
      <c r="C4935" t="n">
        <v>16683.45</v>
      </c>
      <c r="D4935" t="n">
        <v>12397.3</v>
      </c>
      <c r="E4935" t="n">
        <v>19875.03</v>
      </c>
      <c r="F4935" t="n">
        <v>44477.2</v>
      </c>
    </row>
    <row r="4936">
      <c r="A4936" s="3" t="n">
        <v>45706</v>
      </c>
      <c r="B4936" t="n">
        <v>46879.25</v>
      </c>
      <c r="C4936" t="n">
        <v>16682.16</v>
      </c>
      <c r="D4936" t="n">
        <v>12417.25</v>
      </c>
      <c r="E4936" t="n">
        <v>19879.69</v>
      </c>
      <c r="F4936" t="n">
        <v>43823.5</v>
      </c>
    </row>
    <row r="4937">
      <c r="A4937" s="3" t="n">
        <v>45707</v>
      </c>
      <c r="B4937" t="n">
        <v>47669.55</v>
      </c>
      <c r="C4937" t="n">
        <v>16915.26</v>
      </c>
      <c r="D4937" t="n">
        <v>12551.35</v>
      </c>
      <c r="E4937" t="n">
        <v>19891.77</v>
      </c>
      <c r="F4937" t="n">
        <v>45054.4</v>
      </c>
    </row>
    <row r="4938">
      <c r="A4938" s="3" t="n">
        <v>45708</v>
      </c>
      <c r="B4938" t="n">
        <v>48290.05</v>
      </c>
      <c r="C4938" t="n">
        <v>17119.44</v>
      </c>
      <c r="D4938" t="n">
        <v>12763.4</v>
      </c>
      <c r="E4938" t="n">
        <v>19924.55</v>
      </c>
      <c r="F4938" t="n">
        <v>45819.4</v>
      </c>
    </row>
    <row r="4939">
      <c r="A4939" s="3" t="n">
        <v>45709</v>
      </c>
      <c r="B4939" t="n">
        <v>47480.2</v>
      </c>
      <c r="C4939" t="n">
        <v>16929.29</v>
      </c>
      <c r="D4939" t="n">
        <v>12702.75</v>
      </c>
      <c r="E4939" t="n">
        <v>19737.3</v>
      </c>
      <c r="F4939" t="n">
        <v>45485.95</v>
      </c>
    </row>
    <row r="4940">
      <c r="A4940" s="3" t="n">
        <v>45712</v>
      </c>
      <c r="B4940" t="n">
        <v>46926.55</v>
      </c>
      <c r="C4940" t="n">
        <v>16822.97</v>
      </c>
      <c r="D4940" t="n">
        <v>12520.8</v>
      </c>
      <c r="E4940" t="n">
        <v>19665.02</v>
      </c>
      <c r="F4940" t="n">
        <v>44904.1</v>
      </c>
    </row>
    <row r="4941">
      <c r="A4941" s="3" t="n">
        <v>45713</v>
      </c>
      <c r="B4941" t="n">
        <v>46808.65</v>
      </c>
      <c r="C4941" t="n">
        <v>16715.24</v>
      </c>
      <c r="D4941" t="n">
        <v>12364.05</v>
      </c>
      <c r="E4941" t="n">
        <v>19646.33</v>
      </c>
      <c r="F4941" t="n">
        <v>44561.2</v>
      </c>
    </row>
    <row r="4942">
      <c r="A4942" s="3" t="n">
        <v>45715</v>
      </c>
      <c r="B4942" t="n">
        <v>46113.2</v>
      </c>
      <c r="C4942" t="n">
        <v>16439</v>
      </c>
      <c r="D4942" t="n">
        <v>12289.25</v>
      </c>
      <c r="E4942" t="n">
        <v>19593.82</v>
      </c>
      <c r="F4942" t="n">
        <v>43410.65</v>
      </c>
    </row>
    <row r="4943">
      <c r="A4943" s="3" t="n">
        <v>45716</v>
      </c>
      <c r="B4943" t="n">
        <v>44884.85</v>
      </c>
      <c r="C4943" t="n">
        <v>16002.41</v>
      </c>
      <c r="D4943" t="n">
        <v>12010.65</v>
      </c>
      <c r="E4943" t="n">
        <v>19084</v>
      </c>
      <c r="F4943" t="n">
        <v>42264.05</v>
      </c>
    </row>
    <row r="4944">
      <c r="A4944" s="3" t="n">
        <v>45719</v>
      </c>
      <c r="B4944" t="n">
        <v>44902.1</v>
      </c>
      <c r="C4944" t="n">
        <v>16047.3</v>
      </c>
      <c r="D4944" t="n">
        <v>12093.1</v>
      </c>
      <c r="E4944" t="n">
        <v>19136.58</v>
      </c>
      <c r="F4944" t="n">
        <v>42231.6</v>
      </c>
    </row>
    <row r="4945">
      <c r="A4945" s="3" t="n">
        <v>45720</v>
      </c>
      <c r="B4945" t="n">
        <v>44966.15</v>
      </c>
      <c r="C4945" t="n">
        <v>16075.93</v>
      </c>
      <c r="D4945" t="n">
        <v>12198.7</v>
      </c>
      <c r="E4945" t="n">
        <v>18976.04</v>
      </c>
      <c r="F4945" t="n">
        <v>42671.2</v>
      </c>
    </row>
    <row r="4946">
      <c r="A4946" s="3" t="n">
        <v>45721</v>
      </c>
      <c r="B4946" t="n">
        <v>46086.85</v>
      </c>
      <c r="C4946" t="n">
        <v>16499.17</v>
      </c>
      <c r="D4946" t="n">
        <v>12567</v>
      </c>
      <c r="E4946" t="n">
        <v>19186.63</v>
      </c>
      <c r="F4946" t="n">
        <v>43737.4</v>
      </c>
    </row>
    <row r="4947">
      <c r="A4947" s="3" t="n">
        <v>45722</v>
      </c>
      <c r="B4947" t="n">
        <v>46059.5</v>
      </c>
      <c r="C4947" t="n">
        <v>16724.76</v>
      </c>
      <c r="D4947" t="n">
        <v>12801.75</v>
      </c>
      <c r="E4947" t="n">
        <v>19360</v>
      </c>
      <c r="F4947" t="n">
        <v>43953.3</v>
      </c>
    </row>
    <row r="4948">
      <c r="A4948" s="3" t="n">
        <v>45723</v>
      </c>
      <c r="B4948" t="n">
        <v>45798</v>
      </c>
      <c r="C4948" t="n">
        <v>16777.24</v>
      </c>
      <c r="D4948" t="n">
        <v>12777.4</v>
      </c>
      <c r="E4948" t="n">
        <v>19348.71</v>
      </c>
      <c r="F4948" t="n">
        <v>44223.65</v>
      </c>
    </row>
    <row r="4949">
      <c r="A4949" s="3" t="n">
        <v>45726</v>
      </c>
      <c r="B4949" t="n">
        <v>44875.45</v>
      </c>
      <c r="C4949" t="n">
        <v>16465.84</v>
      </c>
      <c r="D4949" t="n">
        <v>12604.9</v>
      </c>
      <c r="E4949" t="n">
        <v>19193.83</v>
      </c>
      <c r="F4949" t="n">
        <v>43259.7</v>
      </c>
    </row>
    <row r="4950">
      <c r="A4950" s="3" t="n">
        <v>45727</v>
      </c>
      <c r="B4950" t="n">
        <v>44980.3</v>
      </c>
      <c r="C4950" t="n">
        <v>16529.24</v>
      </c>
      <c r="D4950" t="n">
        <v>12598.15</v>
      </c>
      <c r="E4950" t="n">
        <v>19198.34</v>
      </c>
      <c r="F4950" t="n">
        <v>43325.5</v>
      </c>
    </row>
    <row r="4951">
      <c r="A4951" s="3" t="n">
        <v>45728</v>
      </c>
      <c r="B4951" t="n">
        <v>44796.15</v>
      </c>
      <c r="C4951" t="n">
        <v>16451.5</v>
      </c>
      <c r="D4951" t="n">
        <v>12592.45</v>
      </c>
      <c r="E4951" t="n">
        <v>19157.41</v>
      </c>
      <c r="F4951" t="n">
        <v>43146.45</v>
      </c>
    </row>
    <row r="4952">
      <c r="A4952" s="3" t="n">
        <v>45729</v>
      </c>
      <c r="B4952" t="n">
        <v>44516.6</v>
      </c>
      <c r="C4952" t="n">
        <v>16374.97</v>
      </c>
      <c r="D4952" t="n">
        <v>12530.1</v>
      </c>
      <c r="E4952" t="n">
        <v>19070.08</v>
      </c>
      <c r="F4952" t="n">
        <v>42974.2</v>
      </c>
    </row>
    <row r="4953">
      <c r="A4953" s="3" t="n">
        <v>45733</v>
      </c>
      <c r="B4953" t="n">
        <v>44899.7</v>
      </c>
      <c r="C4953" t="n">
        <v>16482.4</v>
      </c>
      <c r="D4953" t="n">
        <v>12598.35</v>
      </c>
      <c r="E4953" t="n">
        <v>19244.85</v>
      </c>
      <c r="F4953" t="n">
        <v>43231.15</v>
      </c>
    </row>
    <row r="4954">
      <c r="A4954" s="3" t="n">
        <v>45734</v>
      </c>
      <c r="B4954" t="n">
        <v>46197</v>
      </c>
      <c r="C4954" t="n">
        <v>16876.63</v>
      </c>
      <c r="D4954" t="n">
        <v>12822.35</v>
      </c>
      <c r="E4954" t="n">
        <v>19497.11</v>
      </c>
      <c r="F4954" t="n">
        <v>44546.15</v>
      </c>
    </row>
    <row r="4955">
      <c r="A4955" s="3" t="n">
        <v>45735</v>
      </c>
      <c r="B4955" t="n">
        <v>46871.25</v>
      </c>
      <c r="C4955" t="n">
        <v>17180.75</v>
      </c>
      <c r="D4955" t="n">
        <v>13015.05</v>
      </c>
      <c r="E4955" t="n">
        <v>19589</v>
      </c>
      <c r="F4955" t="n">
        <v>45980.15</v>
      </c>
    </row>
    <row r="4956">
      <c r="A4956" s="3" t="n">
        <v>45736</v>
      </c>
      <c r="B4956" t="n">
        <v>47261</v>
      </c>
      <c r="C4956" t="n">
        <v>17281.3</v>
      </c>
      <c r="D4956" t="n">
        <v>13119.1</v>
      </c>
      <c r="E4956" t="n">
        <v>19756.25</v>
      </c>
      <c r="F4956" t="n">
        <v>46285.85</v>
      </c>
    </row>
    <row r="4957">
      <c r="A4957" s="3" t="n">
        <v>45737</v>
      </c>
      <c r="B4957" t="n">
        <v>47770.45</v>
      </c>
      <c r="C4957" t="n">
        <v>17528.65</v>
      </c>
      <c r="D4957" t="n">
        <v>13287.4</v>
      </c>
      <c r="E4957" t="n">
        <v>19912.2</v>
      </c>
      <c r="F4957" t="n">
        <v>46879.9</v>
      </c>
    </row>
    <row r="4958">
      <c r="A4958" s="3" t="n">
        <v>45740</v>
      </c>
      <c r="B4958" t="n">
        <v>48283.5</v>
      </c>
      <c r="C4958" t="n">
        <v>17762.6</v>
      </c>
      <c r="D4958" t="n">
        <v>13521.45</v>
      </c>
      <c r="E4958" t="n">
        <v>20212.4</v>
      </c>
      <c r="F4958" t="n">
        <v>47780.3</v>
      </c>
    </row>
    <row r="4959">
      <c r="A4959" s="3" t="n">
        <v>45741</v>
      </c>
      <c r="B4959" t="n">
        <v>47630.8</v>
      </c>
      <c r="C4959" t="n">
        <v>17514.05</v>
      </c>
      <c r="D4959" t="n">
        <v>13376.15</v>
      </c>
      <c r="E4959" t="n">
        <v>20134.95</v>
      </c>
      <c r="F4959" t="n">
        <v>46727.7</v>
      </c>
    </row>
    <row r="4960">
      <c r="A4960" s="3" t="n">
        <v>45742</v>
      </c>
      <c r="B4960" t="n">
        <v>47197.4</v>
      </c>
      <c r="C4960" t="n">
        <v>17429.85</v>
      </c>
      <c r="D4960" t="n">
        <v>13252.35</v>
      </c>
      <c r="E4960" t="n">
        <v>19978.65</v>
      </c>
      <c r="F4960" t="n">
        <v>46244.5</v>
      </c>
    </row>
    <row r="4961">
      <c r="A4961" s="3" t="n">
        <v>45743</v>
      </c>
      <c r="B4961" t="n">
        <v>47760.15</v>
      </c>
      <c r="C4961" t="n">
        <v>17509.7</v>
      </c>
      <c r="D4961" t="n">
        <v>13376.35</v>
      </c>
      <c r="E4961" t="n">
        <v>20146.45</v>
      </c>
      <c r="F4961" t="n">
        <v>46312.55</v>
      </c>
    </row>
    <row r="4962">
      <c r="A4962" s="3" t="n">
        <v>45744</v>
      </c>
      <c r="B4962" t="n">
        <v>47724.3</v>
      </c>
      <c r="C4962" t="n">
        <v>17428.5</v>
      </c>
      <c r="D4962" t="n">
        <v>13302.85</v>
      </c>
      <c r="E4962" t="n">
        <v>20057.9</v>
      </c>
      <c r="F4962" t="n">
        <v>46004.55</v>
      </c>
    </row>
    <row r="4963">
      <c r="A4963" s="3" t="n">
        <v>45748</v>
      </c>
      <c r="B4963" t="n">
        <v>46893.9</v>
      </c>
      <c r="C4963" t="n">
        <v>17224.5</v>
      </c>
      <c r="D4963" t="n">
        <v>13302.8</v>
      </c>
      <c r="E4963" t="n">
        <v>19873.4</v>
      </c>
      <c r="F4963" t="n">
        <v>45298.55</v>
      </c>
    </row>
    <row r="4964">
      <c r="A4964" s="3" t="n">
        <v>45749</v>
      </c>
      <c r="B4964" t="n">
        <v>47877.9</v>
      </c>
      <c r="C4964" t="n">
        <v>17384.1</v>
      </c>
      <c r="D4964" t="n">
        <v>13372.8</v>
      </c>
      <c r="E4964" t="n">
        <v>20064.75</v>
      </c>
      <c r="F4964" t="n">
        <v>46082.55</v>
      </c>
    </row>
    <row r="4965">
      <c r="A4965" s="3" t="n">
        <v>45750</v>
      </c>
      <c r="B4965" t="n">
        <v>47449.3</v>
      </c>
      <c r="C4965" t="n">
        <v>17310</v>
      </c>
      <c r="D4965" t="n">
        <v>13402.45</v>
      </c>
      <c r="E4965" t="n">
        <v>20023.3</v>
      </c>
      <c r="F4965" t="n">
        <v>46382.85</v>
      </c>
    </row>
    <row r="4966">
      <c r="A4966" s="3" t="n">
        <v>45751</v>
      </c>
      <c r="B4966" t="n">
        <v>45729.8</v>
      </c>
      <c r="C4966" t="n">
        <v>16753.2</v>
      </c>
      <c r="D4966" t="n">
        <v>12867.8</v>
      </c>
      <c r="E4966" t="n">
        <v>19740.15</v>
      </c>
      <c r="F4966" t="n">
        <v>44696</v>
      </c>
    </row>
    <row r="4967">
      <c r="A4967" s="3" t="n">
        <v>45754</v>
      </c>
      <c r="B4967" t="n">
        <v>44049.25</v>
      </c>
      <c r="C4967" t="n">
        <v>16145.95</v>
      </c>
      <c r="D4967" t="n">
        <v>12407.05</v>
      </c>
      <c r="E4967" t="n">
        <v>19212.65</v>
      </c>
      <c r="F4967" t="n">
        <v>42772.7</v>
      </c>
    </row>
    <row r="4968">
      <c r="A4968" s="3" t="n">
        <v>45755</v>
      </c>
      <c r="B4968" t="n">
        <v>45216.95</v>
      </c>
      <c r="C4968" t="n">
        <v>16474.35</v>
      </c>
      <c r="D4968" t="n">
        <v>12639.65</v>
      </c>
      <c r="E4968" t="n">
        <v>19626.35</v>
      </c>
      <c r="F4968" t="n">
        <v>44026.2</v>
      </c>
    </row>
    <row r="4969">
      <c r="A4969" s="3" t="n">
        <v>45756</v>
      </c>
      <c r="B4969" t="n">
        <v>44505.25</v>
      </c>
      <c r="C4969" t="n">
        <v>16362.2</v>
      </c>
      <c r="D4969" t="n">
        <v>12514.9</v>
      </c>
      <c r="E4969" t="n">
        <v>19581.2</v>
      </c>
      <c r="F4969" t="n">
        <v>43450.05</v>
      </c>
    </row>
    <row r="4970">
      <c r="A4970" s="3" t="n">
        <v>45758</v>
      </c>
      <c r="B4970" t="n">
        <v>45838.7</v>
      </c>
      <c r="C4970" t="n">
        <v>16765.05</v>
      </c>
      <c r="D4970" t="n">
        <v>12850.35</v>
      </c>
      <c r="E4970" t="n">
        <v>19903.65</v>
      </c>
      <c r="F4970" t="n">
        <v>44744.45</v>
      </c>
    </row>
    <row r="4971">
      <c r="A4971" s="3" t="n">
        <v>45762</v>
      </c>
      <c r="B4971" t="n">
        <v>47352.2</v>
      </c>
      <c r="C4971" t="n">
        <v>17245.3</v>
      </c>
      <c r="D4971" t="n">
        <v>13143.25</v>
      </c>
      <c r="E4971" t="n">
        <v>20336.65</v>
      </c>
      <c r="F4971" t="n">
        <v>46342.25</v>
      </c>
    </row>
    <row r="4972">
      <c r="A4972" s="3" t="n">
        <v>45763</v>
      </c>
      <c r="B4972" t="n">
        <v>47529.9</v>
      </c>
      <c r="C4972" t="n">
        <v>17324.2</v>
      </c>
      <c r="D4972" t="n">
        <v>13265.85</v>
      </c>
      <c r="E4972" t="n">
        <v>20446.75</v>
      </c>
      <c r="F4972" t="n">
        <v>46805.25</v>
      </c>
    </row>
    <row r="4973">
      <c r="A4973" s="3" t="n">
        <v>45764</v>
      </c>
      <c r="B4973" t="n">
        <v>47905.55</v>
      </c>
      <c r="C4973" t="n">
        <v>17394.8</v>
      </c>
      <c r="D4973" t="n">
        <v>13358.95</v>
      </c>
      <c r="E4973" t="n">
        <v>20637.95</v>
      </c>
      <c r="F4973" t="n">
        <v>46952.8</v>
      </c>
    </row>
    <row r="4974">
      <c r="A4974" s="3" t="n">
        <v>45768</v>
      </c>
      <c r="B4974" t="n">
        <v>49138.05</v>
      </c>
      <c r="C4974" t="n">
        <v>17748.85</v>
      </c>
      <c r="D4974" t="n">
        <v>13647.85</v>
      </c>
      <c r="E4974" t="n">
        <v>20959.7</v>
      </c>
      <c r="F4974" t="n">
        <v>48039.85</v>
      </c>
    </row>
    <row r="4975">
      <c r="A4975" s="3" t="n">
        <v>45769</v>
      </c>
      <c r="B4975" t="n">
        <v>49678.55</v>
      </c>
      <c r="C4975" t="n">
        <v>17934.35</v>
      </c>
      <c r="D4975" t="n">
        <v>13608.65</v>
      </c>
      <c r="E4975" t="n">
        <v>21004.6</v>
      </c>
      <c r="F4975" t="n">
        <v>48622.3</v>
      </c>
    </row>
    <row r="4976">
      <c r="A4976" s="3" t="n">
        <v>45770</v>
      </c>
      <c r="B4976" t="n">
        <v>50351.15</v>
      </c>
      <c r="C4976" t="n">
        <v>18221.1</v>
      </c>
      <c r="D4976" t="n">
        <v>13651.35</v>
      </c>
      <c r="E4976" t="n">
        <v>21143.8</v>
      </c>
      <c r="F4976" t="n">
        <v>48837.55</v>
      </c>
    </row>
    <row r="4977">
      <c r="A4977" s="3" t="n">
        <v>45771</v>
      </c>
      <c r="B4977" t="n">
        <v>50364.05</v>
      </c>
      <c r="C4977" t="n">
        <v>18198.75</v>
      </c>
      <c r="D4977" t="n">
        <v>13691.7</v>
      </c>
      <c r="E4977" t="n">
        <v>21175.9</v>
      </c>
      <c r="F4977" t="n">
        <v>48563.25</v>
      </c>
    </row>
    <row r="4978">
      <c r="A4978" s="3" t="n">
        <v>45772</v>
      </c>
      <c r="B4978" t="n">
        <v>49285.95</v>
      </c>
      <c r="C4978" t="n">
        <v>17758.4</v>
      </c>
      <c r="D4978" t="n">
        <v>13395.1</v>
      </c>
      <c r="E4978" t="n">
        <v>20808.65</v>
      </c>
      <c r="F4978" t="n">
        <v>47029.85</v>
      </c>
    </row>
    <row r="4979">
      <c r="A4979" s="3" t="n">
        <v>45775</v>
      </c>
      <c r="B4979" t="n">
        <v>49860.35</v>
      </c>
      <c r="C4979" t="n">
        <v>17975.3</v>
      </c>
      <c r="D4979" t="n">
        <v>13635.95</v>
      </c>
      <c r="E4979" t="n">
        <v>20984.7</v>
      </c>
      <c r="F4979" t="n">
        <v>47852.45</v>
      </c>
    </row>
    <row r="4980">
      <c r="A4980" s="3" t="n">
        <v>45776</v>
      </c>
      <c r="B4980" t="n">
        <v>50185</v>
      </c>
      <c r="C4980" t="n">
        <v>18047.85</v>
      </c>
      <c r="D4980" t="n">
        <v>13552.25</v>
      </c>
      <c r="E4980" t="n">
        <v>20967.6</v>
      </c>
      <c r="F4980" t="n">
        <v>48219.85</v>
      </c>
    </row>
    <row r="4981">
      <c r="A4981" s="3" t="n">
        <v>45777</v>
      </c>
      <c r="B4981" t="n">
        <v>49767.6</v>
      </c>
      <c r="C4981" t="n">
        <v>17847.6</v>
      </c>
      <c r="D4981" t="n">
        <v>13437.85</v>
      </c>
      <c r="E4981" t="n">
        <v>20844.3</v>
      </c>
      <c r="F4981" t="n">
        <v>47670.8</v>
      </c>
    </row>
    <row r="4982">
      <c r="A4982" s="3" t="n">
        <v>45779</v>
      </c>
      <c r="B4982" t="n">
        <v>49682.7</v>
      </c>
      <c r="C4982" t="n">
        <v>17758.4</v>
      </c>
      <c r="D4982" t="n">
        <v>13469.35</v>
      </c>
      <c r="E4982" t="n">
        <v>20786.15</v>
      </c>
      <c r="F4982" t="n">
        <v>47218.55</v>
      </c>
    </row>
    <row r="4983">
      <c r="A4983" s="3" t="n">
        <v>45782</v>
      </c>
      <c r="B4983" t="n">
        <v>50479.8</v>
      </c>
      <c r="C4983" t="n">
        <v>18086.05</v>
      </c>
      <c r="D4983" t="n">
        <v>13608.15</v>
      </c>
      <c r="E4983" t="n">
        <v>20842.9</v>
      </c>
      <c r="F4983" t="n">
        <v>47915.8</v>
      </c>
    </row>
    <row r="4984">
      <c r="A4984" s="3" t="n">
        <v>45783</v>
      </c>
      <c r="B4984" t="n">
        <v>49496.1</v>
      </c>
      <c r="C4984" t="n">
        <v>17645.05</v>
      </c>
      <c r="D4984" t="n">
        <v>13319.25</v>
      </c>
      <c r="E4984" t="n">
        <v>20708.4</v>
      </c>
      <c r="F4984" t="n">
        <v>46633.7</v>
      </c>
    </row>
    <row r="4985">
      <c r="A4985" s="3" t="n">
        <v>45784</v>
      </c>
      <c r="B4985" t="n">
        <v>50101.4</v>
      </c>
      <c r="C4985" t="n">
        <v>17865.25</v>
      </c>
      <c r="D4985" t="n">
        <v>13459.65</v>
      </c>
      <c r="E4985" t="n">
        <v>20836.95</v>
      </c>
      <c r="F4985" t="n">
        <v>47450.8</v>
      </c>
    </row>
    <row r="4986">
      <c r="A4986" s="3" t="n">
        <v>45785</v>
      </c>
      <c r="B4986" t="n">
        <v>49332.35</v>
      </c>
      <c r="C4986" t="n">
        <v>17632.25</v>
      </c>
      <c r="D4986" t="n">
        <v>13229.35</v>
      </c>
      <c r="E4986" t="n">
        <v>20593.35</v>
      </c>
      <c r="F4986" t="n">
        <v>46688.45</v>
      </c>
    </row>
    <row r="4987">
      <c r="A4987" s="3" t="n">
        <v>45786</v>
      </c>
      <c r="B4987" t="n">
        <v>48948.7</v>
      </c>
      <c r="C4987" t="n">
        <v>17640.6</v>
      </c>
      <c r="D4987" t="n">
        <v>13235.25</v>
      </c>
      <c r="E4987" t="n">
        <v>20537.35</v>
      </c>
      <c r="F4987" t="n">
        <v>46487.3</v>
      </c>
    </row>
    <row r="4988">
      <c r="A4988" s="3" t="n">
        <v>45789</v>
      </c>
      <c r="B4988" t="n">
        <v>51154.75</v>
      </c>
      <c r="C4988" t="n">
        <v>18390.7</v>
      </c>
      <c r="D4988" t="n">
        <v>13710.5</v>
      </c>
      <c r="E4988" t="n">
        <v>21164.2</v>
      </c>
      <c r="F4988" t="n">
        <v>48674.85</v>
      </c>
    </row>
    <row r="4989">
      <c r="A4989" s="3" t="n">
        <v>45790</v>
      </c>
      <c r="B4989" t="n">
        <v>51187.7</v>
      </c>
      <c r="C4989" t="n">
        <v>18413.15</v>
      </c>
      <c r="D4989" t="n">
        <v>13589.5</v>
      </c>
      <c r="E4989" t="n">
        <v>21105.75</v>
      </c>
      <c r="F4989" t="n">
        <v>48809.65</v>
      </c>
    </row>
    <row r="4990">
      <c r="A4990" s="3" t="n">
        <v>45791</v>
      </c>
      <c r="B4990" t="n">
        <v>51807</v>
      </c>
      <c r="C4990" t="n">
        <v>18641.4</v>
      </c>
      <c r="D4990" t="n">
        <v>13751.9</v>
      </c>
      <c r="E4990" t="n">
        <v>21194.15</v>
      </c>
      <c r="F4990" t="n">
        <v>49478.9</v>
      </c>
    </row>
    <row r="4991">
      <c r="A4991" s="3" t="n">
        <v>45792</v>
      </c>
      <c r="B4991" t="n">
        <v>52152.4</v>
      </c>
      <c r="C4991" t="n">
        <v>18920.5</v>
      </c>
      <c r="D4991" t="n">
        <v>13892.15</v>
      </c>
      <c r="E4991" t="n">
        <v>21448.75</v>
      </c>
      <c r="F4991" t="n">
        <v>49538.4</v>
      </c>
    </row>
    <row r="4992">
      <c r="A4992" s="3" t="n">
        <v>45793</v>
      </c>
      <c r="B4992" t="n">
        <v>52466.2</v>
      </c>
      <c r="C4992" t="n">
        <v>19246.9</v>
      </c>
      <c r="D4992" t="n">
        <v>13933.15</v>
      </c>
      <c r="E4992" t="n">
        <v>21463.6</v>
      </c>
      <c r="F4992" t="n">
        <v>50362.45</v>
      </c>
    </row>
    <row r="4993">
      <c r="A4993" s="3" t="n">
        <v>45796</v>
      </c>
      <c r="B4993" t="n">
        <v>52403.45</v>
      </c>
      <c r="C4993" t="n">
        <v>19243.4</v>
      </c>
      <c r="D4993" t="n">
        <v>13949.15</v>
      </c>
      <c r="E4993" t="n">
        <v>21532.85</v>
      </c>
      <c r="F4993" t="n">
        <v>50384.3</v>
      </c>
    </row>
    <row r="4994">
      <c r="A4994" s="3" t="n">
        <v>45797</v>
      </c>
      <c r="B4994" t="n">
        <v>51615.4</v>
      </c>
      <c r="C4994" t="n">
        <v>18979.65</v>
      </c>
      <c r="D4994" t="n">
        <v>13829.25</v>
      </c>
      <c r="E4994" t="n">
        <v>21218.5</v>
      </c>
      <c r="F4994" t="n">
        <v>49806.35</v>
      </c>
    </row>
    <row r="4995">
      <c r="A4995" s="3" t="n">
        <v>45798</v>
      </c>
      <c r="B4995" t="n">
        <v>51975</v>
      </c>
      <c r="C4995" t="n">
        <v>19200.75</v>
      </c>
      <c r="D4995" t="n">
        <v>13908.1</v>
      </c>
      <c r="E4995" t="n">
        <v>21349.35</v>
      </c>
      <c r="F4995" t="n">
        <v>49949.65</v>
      </c>
    </row>
    <row r="4996">
      <c r="A4996" s="3" t="n">
        <v>45799</v>
      </c>
      <c r="B4996" t="n">
        <v>51691.25</v>
      </c>
      <c r="C4996" t="n">
        <v>19107.5</v>
      </c>
      <c r="D4996" t="n">
        <v>13802.1</v>
      </c>
      <c r="E4996" t="n">
        <v>21210.15</v>
      </c>
      <c r="F4996" t="n">
        <v>49715.75</v>
      </c>
    </row>
    <row r="4997">
      <c r="A4997" s="3" t="n">
        <v>45800</v>
      </c>
      <c r="B4997" t="n">
        <v>52057.1</v>
      </c>
      <c r="C4997" t="n">
        <v>19243</v>
      </c>
      <c r="D4997" t="n">
        <v>13902.75</v>
      </c>
      <c r="E4997" t="n">
        <v>21389.75</v>
      </c>
      <c r="F4997" t="n">
        <v>50148.4</v>
      </c>
    </row>
    <row r="4998">
      <c r="A4998" s="3" t="n">
        <v>45803</v>
      </c>
      <c r="B4998" t="n">
        <v>52300.5</v>
      </c>
      <c r="C4998" t="n">
        <v>19404.7</v>
      </c>
      <c r="D4998" t="n">
        <v>13966.5</v>
      </c>
      <c r="E4998" t="n">
        <v>21485.9</v>
      </c>
      <c r="F4998" t="n">
        <v>50213.65</v>
      </c>
    </row>
    <row r="4999">
      <c r="A4999" s="3" t="n">
        <v>45804</v>
      </c>
      <c r="B4999" t="n">
        <v>52120.45</v>
      </c>
      <c r="C4999" t="n">
        <v>19393.35</v>
      </c>
      <c r="D4999" t="n">
        <v>13914.45</v>
      </c>
      <c r="E4999" t="n">
        <v>21409.4</v>
      </c>
      <c r="F4999" t="n">
        <v>50394.3</v>
      </c>
    </row>
    <row r="5000">
      <c r="A5000" s="3" t="n">
        <v>45805</v>
      </c>
      <c r="B5000" t="n">
        <v>51981.2</v>
      </c>
      <c r="C5000" t="n">
        <v>19458.85</v>
      </c>
      <c r="D5000" t="n">
        <v>13898</v>
      </c>
      <c r="E5000" t="n">
        <v>21358.9</v>
      </c>
      <c r="F5000" t="n">
        <v>50580.3</v>
      </c>
    </row>
    <row r="5001">
      <c r="A5001" s="3" t="n">
        <v>45806</v>
      </c>
      <c r="B5001" t="n">
        <v>52462.5</v>
      </c>
      <c r="C5001" t="n">
        <v>19530.55</v>
      </c>
      <c r="D5001" t="n">
        <v>13928.6</v>
      </c>
      <c r="E5001" t="n">
        <v>21369.7</v>
      </c>
      <c r="F5001" t="n">
        <v>51071.45</v>
      </c>
    </row>
    <row r="5002">
      <c r="A5002" s="3" t="n">
        <v>45807</v>
      </c>
      <c r="B5002" t="n">
        <v>52456.95</v>
      </c>
      <c r="C5002" t="n">
        <v>19365.5</v>
      </c>
      <c r="D5002" t="n">
        <v>13826.25</v>
      </c>
      <c r="E5002" t="n">
        <v>21277.15</v>
      </c>
      <c r="F5002" t="n">
        <v>51179.25</v>
      </c>
    </row>
    <row r="5003">
      <c r="A5003" s="3" t="n">
        <v>45810</v>
      </c>
      <c r="B5003" t="n">
        <v>52503.75</v>
      </c>
      <c r="C5003" t="n">
        <v>19447.85</v>
      </c>
      <c r="D5003" t="n">
        <v>13868.65</v>
      </c>
      <c r="E5003" t="n">
        <v>21236.65</v>
      </c>
      <c r="F5003" t="n">
        <v>51511.9</v>
      </c>
    </row>
    <row r="5004">
      <c r="A5004" s="3" t="n">
        <v>45811</v>
      </c>
      <c r="B5004" t="n">
        <v>52566.75</v>
      </c>
      <c r="C5004" t="n">
        <v>19386.1</v>
      </c>
      <c r="D5004" t="n">
        <v>13789.85</v>
      </c>
      <c r="E5004" t="n">
        <v>21116.65</v>
      </c>
      <c r="F5004" t="n">
        <v>51547.95</v>
      </c>
    </row>
    <row r="5005">
      <c r="A5005" s="3" t="n">
        <v>45812</v>
      </c>
      <c r="B5005" t="n">
        <v>53097.1</v>
      </c>
      <c r="C5005" t="n">
        <v>19515.7</v>
      </c>
      <c r="D5005" t="n">
        <v>13835.35</v>
      </c>
      <c r="E5005" t="n">
        <v>21151.2</v>
      </c>
      <c r="F5005" t="n">
        <v>52111.95</v>
      </c>
    </row>
    <row r="5006">
      <c r="A5006" s="3" t="n">
        <v>45813</v>
      </c>
      <c r="B5006" t="n">
        <v>53824.25</v>
      </c>
      <c r="C5006" t="n">
        <v>19655.95</v>
      </c>
      <c r="D5006" t="n">
        <v>13829.3</v>
      </c>
      <c r="E5006" t="n">
        <v>21160.95</v>
      </c>
      <c r="F5006" t="n">
        <v>52861.65</v>
      </c>
    </row>
    <row r="5007">
      <c r="A5007" s="3" t="n">
        <v>45814</v>
      </c>
      <c r="B5007" t="n">
        <v>54254.5</v>
      </c>
      <c r="C5007" t="n">
        <v>19746.45</v>
      </c>
      <c r="D5007" t="n">
        <v>14004.75</v>
      </c>
      <c r="E5007" t="n">
        <v>21483.15</v>
      </c>
      <c r="F5007" t="n">
        <v>53097.65</v>
      </c>
    </row>
    <row r="5008">
      <c r="A5008" s="3" t="n">
        <v>45817</v>
      </c>
      <c r="B5008" t="n">
        <v>54740.4</v>
      </c>
      <c r="C5008" t="n">
        <v>19982.05</v>
      </c>
      <c r="D5008" t="n">
        <v>14179.6</v>
      </c>
      <c r="E5008" t="n">
        <v>21687.85</v>
      </c>
      <c r="F5008" t="n">
        <v>53504.55</v>
      </c>
    </row>
    <row r="5009">
      <c r="A5009" s="3" t="n">
        <v>45818</v>
      </c>
      <c r="B5009" t="n">
        <v>54918.6</v>
      </c>
      <c r="C5009" t="n">
        <v>20103.35</v>
      </c>
      <c r="D5009" t="n">
        <v>14221.7</v>
      </c>
      <c r="E5009" t="n">
        <v>21710</v>
      </c>
      <c r="F5009" t="n">
        <v>53619.6</v>
      </c>
    </row>
    <row r="5010">
      <c r="A5010" s="3" t="n">
        <v>45819</v>
      </c>
      <c r="B5010" t="n">
        <v>54555.3</v>
      </c>
      <c r="C5010" t="n">
        <v>20048.75</v>
      </c>
      <c r="D5010" t="n">
        <v>14276.35</v>
      </c>
      <c r="E5010" t="n">
        <v>21706.2</v>
      </c>
      <c r="F5010" t="n">
        <v>53143.25</v>
      </c>
    </row>
    <row r="5011">
      <c r="A5011" s="3" t="n">
        <v>45820</v>
      </c>
      <c r="B5011" t="n">
        <v>53711.4</v>
      </c>
      <c r="C5011" t="n">
        <v>19681.95</v>
      </c>
      <c r="D5011" t="n">
        <v>14017.85</v>
      </c>
      <c r="E5011" t="n">
        <v>21567.85</v>
      </c>
      <c r="F5011" t="n">
        <v>52008.7</v>
      </c>
    </row>
    <row r="5012">
      <c r="A5012" s="3" t="n">
        <v>45821</v>
      </c>
      <c r="B5012" t="n">
        <v>53542.55</v>
      </c>
      <c r="C5012" t="n">
        <v>19575.2</v>
      </c>
      <c r="D5012" t="n">
        <v>13905.55</v>
      </c>
      <c r="E5012" t="n">
        <v>21484.5</v>
      </c>
      <c r="F5012" t="n">
        <v>51868.7</v>
      </c>
    </row>
    <row r="5013">
      <c r="A5013" s="3" t="n">
        <v>45824</v>
      </c>
      <c r="B5013" t="n">
        <v>54139</v>
      </c>
      <c r="C5013" t="n">
        <v>19697.1</v>
      </c>
      <c r="D5013" t="n">
        <v>13998.95</v>
      </c>
      <c r="E5013" t="n">
        <v>21652.5</v>
      </c>
      <c r="F5013" t="n">
        <v>52189.65</v>
      </c>
    </row>
    <row r="5014">
      <c r="A5014" s="3" t="n">
        <v>45825</v>
      </c>
      <c r="B5014" t="n">
        <v>53947.1</v>
      </c>
      <c r="C5014" t="n">
        <v>19678.15</v>
      </c>
      <c r="D5014" t="n">
        <v>13869.65</v>
      </c>
      <c r="E5014" t="n">
        <v>21531.3</v>
      </c>
      <c r="F5014" t="n">
        <v>52140.75</v>
      </c>
    </row>
    <row r="5015">
      <c r="A5015" s="3" t="n">
        <v>45826</v>
      </c>
      <c r="B5015" t="n">
        <v>53896.3</v>
      </c>
      <c r="C5015" t="n">
        <v>19590.35</v>
      </c>
      <c r="D5015" t="n">
        <v>13838.7</v>
      </c>
      <c r="E5015" t="n">
        <v>21506.15</v>
      </c>
      <c r="F5015" t="n">
        <v>52145.35</v>
      </c>
    </row>
    <row r="5016">
      <c r="A5016" s="3" t="n">
        <v>45827</v>
      </c>
      <c r="B5016" t="n">
        <v>53332.8</v>
      </c>
      <c r="C5016" t="n">
        <v>19261.55</v>
      </c>
      <c r="D5016" t="n">
        <v>13668.8</v>
      </c>
      <c r="E5016" t="n">
        <v>21425.8</v>
      </c>
      <c r="F5016" t="n">
        <v>51396.5</v>
      </c>
    </row>
    <row r="5017">
      <c r="A5017" s="3" t="n">
        <v>45828</v>
      </c>
      <c r="B5017" t="n">
        <v>54190.15</v>
      </c>
      <c r="C5017" t="n">
        <v>19490.75</v>
      </c>
      <c r="D5017" t="n">
        <v>13828.2</v>
      </c>
      <c r="E5017" t="n">
        <v>21537.8</v>
      </c>
      <c r="F5017" t="n">
        <v>52160.2</v>
      </c>
    </row>
    <row r="5018">
      <c r="A5018" s="3" t="n">
        <v>45831</v>
      </c>
      <c r="B5018" t="n">
        <v>54410.55</v>
      </c>
      <c r="C5018" t="n">
        <v>19585.15</v>
      </c>
      <c r="D5018" t="n">
        <v>13883.1</v>
      </c>
      <c r="E5018" t="n">
        <v>21498.15</v>
      </c>
      <c r="F5018" t="n">
        <v>52645.35</v>
      </c>
    </row>
    <row r="5019">
      <c r="A5019" s="3" t="n">
        <v>45832</v>
      </c>
      <c r="B5019" t="n">
        <v>54609.05</v>
      </c>
      <c r="C5019" t="n">
        <v>19724</v>
      </c>
      <c r="D5019" t="n">
        <v>13965.4</v>
      </c>
      <c r="E5019" t="n">
        <v>21639</v>
      </c>
      <c r="F5019" t="n">
        <v>53083.95</v>
      </c>
    </row>
    <row r="5020">
      <c r="A5020" s="3" t="n">
        <v>45833</v>
      </c>
      <c r="B5020" t="n">
        <v>55140.4</v>
      </c>
      <c r="C5020" t="n">
        <v>19790.75</v>
      </c>
      <c r="D5020" t="n">
        <v>14024.5</v>
      </c>
      <c r="E5020" t="n">
        <v>21812.15</v>
      </c>
      <c r="F5020" t="n">
        <v>53316.15</v>
      </c>
    </row>
    <row r="5021">
      <c r="A5021" s="3" t="n">
        <v>45834</v>
      </c>
      <c r="B5021" t="n">
        <v>55253.2</v>
      </c>
      <c r="C5021" t="n">
        <v>19902.6</v>
      </c>
      <c r="D5021" t="n">
        <v>14230.35</v>
      </c>
      <c r="E5021" t="n">
        <v>21933.75</v>
      </c>
      <c r="F5021" t="n">
        <v>53380.35</v>
      </c>
    </row>
    <row r="5022">
      <c r="A5022" s="3" t="n">
        <v>45835</v>
      </c>
      <c r="B5022" t="n">
        <v>55110.3</v>
      </c>
      <c r="C5022" t="n">
        <v>20028.15</v>
      </c>
      <c r="D5022" t="n">
        <v>14305.55</v>
      </c>
      <c r="E5022" t="n">
        <v>21968.15</v>
      </c>
      <c r="F5022" t="n">
        <v>53518.5</v>
      </c>
    </row>
    <row r="5023">
      <c r="A5023" s="3" t="n">
        <v>45838</v>
      </c>
      <c r="B5023" t="n">
        <v>55332.85</v>
      </c>
      <c r="C5023" t="n">
        <v>20140.25</v>
      </c>
      <c r="D5023" t="n">
        <v>14365.4</v>
      </c>
      <c r="E5023" t="n">
        <v>21953.4</v>
      </c>
      <c r="F5023" t="n">
        <v>53900.45</v>
      </c>
    </row>
    <row r="5024">
      <c r="A5024" s="3" t="n">
        <v>45839</v>
      </c>
      <c r="B5024" t="n">
        <v>55102.05</v>
      </c>
      <c r="C5024" t="n">
        <v>20047.7</v>
      </c>
      <c r="D5024" t="n">
        <v>14380.15</v>
      </c>
      <c r="E5024" t="n">
        <v>22000.75</v>
      </c>
      <c r="F5024" t="n">
        <v>53604.85</v>
      </c>
    </row>
    <row r="5025">
      <c r="A5025" s="3" t="n">
        <v>45840</v>
      </c>
      <c r="B5025" t="n">
        <v>54702.3</v>
      </c>
      <c r="C5025" t="n">
        <v>19922.85</v>
      </c>
      <c r="D5025" t="n">
        <v>14333.8</v>
      </c>
      <c r="E5025" t="n">
        <v>21922.85</v>
      </c>
      <c r="F5025" t="n">
        <v>53619.95</v>
      </c>
    </row>
    <row r="5026">
      <c r="A5026" s="3" t="n">
        <v>45841</v>
      </c>
      <c r="B5026" t="n">
        <v>54438.75</v>
      </c>
      <c r="C5026" t="n">
        <v>20012.15</v>
      </c>
      <c r="D5026" t="n">
        <v>14300.1</v>
      </c>
      <c r="E5026" t="n">
        <v>21908.7</v>
      </c>
      <c r="F5026" t="n">
        <v>53626.55</v>
      </c>
    </row>
    <row r="5027">
      <c r="A5027" s="3" t="n">
        <v>45842</v>
      </c>
      <c r="B5027" t="n">
        <v>54313.15</v>
      </c>
      <c r="C5027" t="n">
        <v>20041.4</v>
      </c>
      <c r="D5027" t="n">
        <v>14344.65</v>
      </c>
      <c r="E5027" t="n">
        <v>21965</v>
      </c>
      <c r="F5027" t="n">
        <v>53449.1</v>
      </c>
    </row>
    <row r="5028">
      <c r="A5028" s="3" t="n">
        <v>45845</v>
      </c>
      <c r="B5028" t="n">
        <v>54137.2</v>
      </c>
      <c r="C5028" t="n">
        <v>20045.1</v>
      </c>
      <c r="D5028" t="n">
        <v>14322.2</v>
      </c>
      <c r="E5028" t="n">
        <v>21999.45</v>
      </c>
      <c r="F5028" t="n">
        <v>53216.55</v>
      </c>
    </row>
    <row r="5029">
      <c r="A5029" s="3" t="n">
        <v>45846</v>
      </c>
      <c r="B5029" t="n">
        <v>53992.5</v>
      </c>
      <c r="C5029" t="n">
        <v>20014.65</v>
      </c>
      <c r="D5029" t="n">
        <v>14355.4</v>
      </c>
      <c r="E5029" t="n">
        <v>22011.5</v>
      </c>
      <c r="F5029" t="n">
        <v>52677.2</v>
      </c>
    </row>
    <row r="5030">
      <c r="A5030" s="3" t="n">
        <v>45847</v>
      </c>
      <c r="B5030" t="n">
        <v>54172.9</v>
      </c>
      <c r="C5030" t="n">
        <v>20048.2</v>
      </c>
      <c r="D5030" t="n">
        <v>14250.6</v>
      </c>
      <c r="E5030" t="n">
        <v>22047.75</v>
      </c>
      <c r="F5030" t="n">
        <v>53062.9</v>
      </c>
    </row>
    <row r="5031">
      <c r="A5031" s="3" t="n">
        <v>45848</v>
      </c>
      <c r="B5031" t="n">
        <v>53795.65</v>
      </c>
      <c r="C5031" t="n">
        <v>19983.5</v>
      </c>
      <c r="D5031" t="n">
        <v>14252.75</v>
      </c>
      <c r="E5031" t="n">
        <v>21928.3</v>
      </c>
      <c r="F5031" t="n">
        <v>52798.45</v>
      </c>
    </row>
    <row r="5032">
      <c r="A5032" s="3" t="n">
        <v>45849</v>
      </c>
      <c r="B5032" t="n">
        <v>53241.3</v>
      </c>
      <c r="C5032" t="n">
        <v>19794.85</v>
      </c>
      <c r="D5032" t="n">
        <v>14182.95</v>
      </c>
      <c r="E5032" t="n">
        <v>21757.25</v>
      </c>
      <c r="F5032" t="n">
        <v>52167.65</v>
      </c>
    </row>
    <row r="5033">
      <c r="A5033" s="3" t="n">
        <v>45852</v>
      </c>
      <c r="B5033" t="n">
        <v>53436.55</v>
      </c>
      <c r="C5033" t="n">
        <v>19845.7</v>
      </c>
      <c r="D5033" t="n">
        <v>14239.55</v>
      </c>
      <c r="E5033" t="n">
        <v>21723.6</v>
      </c>
      <c r="F5033" t="n">
        <v>52619.95</v>
      </c>
    </row>
    <row r="5034">
      <c r="A5034" s="3" t="n">
        <v>45853</v>
      </c>
      <c r="B5034" t="n">
        <v>53715.95</v>
      </c>
      <c r="C5034" t="n">
        <v>20039.85</v>
      </c>
      <c r="D5034" t="n">
        <v>14311.7</v>
      </c>
      <c r="E5034" t="n">
        <v>21880.75</v>
      </c>
      <c r="F5034" t="n">
        <v>53078.65</v>
      </c>
    </row>
    <row r="5035">
      <c r="A5035" s="3" t="n">
        <v>45854</v>
      </c>
      <c r="B5035" t="n">
        <v>53696.9</v>
      </c>
      <c r="C5035" t="n">
        <v>20006.85</v>
      </c>
      <c r="D5035" t="n">
        <v>14332.75</v>
      </c>
      <c r="E5035" t="n">
        <v>21894.9</v>
      </c>
      <c r="F5035" t="n">
        <v>53160.65</v>
      </c>
    </row>
    <row r="5036">
      <c r="A5036" s="3" t="n">
        <v>45855</v>
      </c>
      <c r="B5036" t="n">
        <v>53372.7</v>
      </c>
      <c r="C5036" t="n">
        <v>20027.45</v>
      </c>
      <c r="D5036" t="n">
        <v>14334.1</v>
      </c>
      <c r="E5036" t="n">
        <v>21842.5</v>
      </c>
      <c r="F5036" t="n">
        <v>52964.85</v>
      </c>
    </row>
    <row r="5037">
      <c r="A5037" s="3" t="n">
        <v>45856</v>
      </c>
      <c r="B5037" t="n">
        <v>53031.5</v>
      </c>
      <c r="C5037" t="n">
        <v>19926.5</v>
      </c>
      <c r="D5037" t="n">
        <v>14309.55</v>
      </c>
      <c r="E5037" t="n">
        <v>21725.3</v>
      </c>
      <c r="F5037" t="n">
        <v>52389.35</v>
      </c>
    </row>
    <row r="5038">
      <c r="A5038" s="3" t="n">
        <v>45859</v>
      </c>
      <c r="B5038" t="n">
        <v>53384.8</v>
      </c>
      <c r="C5038" t="n">
        <v>20025.05</v>
      </c>
      <c r="D5038" t="n">
        <v>14339.85</v>
      </c>
      <c r="E5038" t="n">
        <v>21747</v>
      </c>
      <c r="F5038" t="n">
        <v>52824.5</v>
      </c>
    </row>
    <row r="5039">
      <c r="A5039" s="3" t="n">
        <v>45860</v>
      </c>
      <c r="B5039" t="n">
        <v>53505.85</v>
      </c>
      <c r="C5039" t="n">
        <v>19957.85</v>
      </c>
      <c r="D5039" t="n">
        <v>14284.8</v>
      </c>
      <c r="E5039" t="n">
        <v>21688.2</v>
      </c>
      <c r="F5039" t="n">
        <v>52849.75</v>
      </c>
    </row>
    <row r="5040">
      <c r="A5040" s="3" t="n">
        <v>45861</v>
      </c>
      <c r="B5040" t="n">
        <v>53678.6</v>
      </c>
      <c r="C5040" t="n">
        <v>19940.4</v>
      </c>
      <c r="D5040" t="n">
        <v>14364.4</v>
      </c>
      <c r="E5040" t="n">
        <v>21791.75</v>
      </c>
      <c r="F5040" t="n">
        <v>52988.15</v>
      </c>
    </row>
    <row r="5041">
      <c r="A5041" s="3" t="n">
        <v>45862</v>
      </c>
      <c r="B5041" t="n">
        <v>53186.15</v>
      </c>
      <c r="C5041" t="n">
        <v>19592.7</v>
      </c>
      <c r="D5041" t="n">
        <v>14353.55</v>
      </c>
      <c r="E5041" t="n">
        <v>21660.6</v>
      </c>
      <c r="F5041" t="n">
        <v>52799.8</v>
      </c>
    </row>
    <row r="5042">
      <c r="A5042" s="3" t="n">
        <v>45863</v>
      </c>
      <c r="B5042" t="n">
        <v>52518.55</v>
      </c>
      <c r="C5042" t="n">
        <v>19233.75</v>
      </c>
      <c r="D5042" t="n">
        <v>14095.8</v>
      </c>
      <c r="E5042" t="n">
        <v>21487.05</v>
      </c>
      <c r="F5042" t="n">
        <v>51939.95</v>
      </c>
    </row>
    <row r="5043">
      <c r="A5043" s="3" t="n">
        <v>45866</v>
      </c>
      <c r="B5043" t="n">
        <v>51847.1</v>
      </c>
      <c r="C5043" t="n">
        <v>19034.45</v>
      </c>
      <c r="D5043" t="n">
        <v>13971.5</v>
      </c>
      <c r="E5043" t="n">
        <v>21328.6</v>
      </c>
      <c r="F5043" t="n">
        <v>51507.65</v>
      </c>
    </row>
    <row r="5044">
      <c r="A5044" s="3" t="n">
        <v>45867</v>
      </c>
      <c r="B5044" t="n">
        <v>52102.7</v>
      </c>
      <c r="C5044" t="n">
        <v>19191.6</v>
      </c>
      <c r="D5044" t="n">
        <v>14086.15</v>
      </c>
      <c r="E5044" t="n">
        <v>21428.95</v>
      </c>
      <c r="F5044" t="n">
        <v>52028</v>
      </c>
    </row>
    <row r="5045">
      <c r="A5045" s="3" t="n">
        <v>45868</v>
      </c>
      <c r="B5045" t="n">
        <v>52123.25</v>
      </c>
      <c r="C5045" t="n">
        <v>19249.75</v>
      </c>
      <c r="D5045" t="n">
        <v>14005.5</v>
      </c>
      <c r="E5045" t="n">
        <v>21452.85</v>
      </c>
      <c r="F5045" t="n">
        <v>52114.95</v>
      </c>
    </row>
    <row r="5046">
      <c r="A5046" s="3" t="n">
        <v>45869</v>
      </c>
      <c r="B5046" t="n">
        <v>51947.8</v>
      </c>
      <c r="C5046" t="n">
        <v>19118.7</v>
      </c>
      <c r="D5046" t="n">
        <v>13860.6</v>
      </c>
      <c r="E5046" t="n">
        <v>21399.4</v>
      </c>
      <c r="F5046" t="n">
        <v>52171</v>
      </c>
    </row>
    <row r="5047">
      <c r="A5047" s="3" t="n">
        <v>45870</v>
      </c>
      <c r="B5047" t="n">
        <v>51185.35</v>
      </c>
      <c r="C5047" t="n">
        <v>18937.35</v>
      </c>
      <c r="D5047" t="n">
        <v>13626.95</v>
      </c>
      <c r="E5047" t="n">
        <v>21128.5</v>
      </c>
      <c r="F5047" t="n">
        <v>51480.35</v>
      </c>
    </row>
    <row r="5048">
      <c r="A5048" s="3" t="n">
        <v>45873</v>
      </c>
      <c r="B5048" t="n">
        <v>51773.55</v>
      </c>
      <c r="C5048" t="n">
        <v>19112.25</v>
      </c>
      <c r="D5048" t="n">
        <v>13807.5</v>
      </c>
      <c r="E5048" t="n">
        <v>21292.6</v>
      </c>
      <c r="F5048" t="n">
        <v>51916.55</v>
      </c>
    </row>
    <row r="5049">
      <c r="A5049" s="3" t="n">
        <v>45874</v>
      </c>
      <c r="B5049" t="n">
        <v>51799.7</v>
      </c>
      <c r="C5049" t="n">
        <v>19078.25</v>
      </c>
      <c r="D5049" t="n">
        <v>13807.95</v>
      </c>
      <c r="E5049" t="n">
        <v>21287.55</v>
      </c>
      <c r="F5049" t="n">
        <v>51728.45</v>
      </c>
    </row>
    <row r="5050">
      <c r="A5050" s="3" t="n">
        <v>45875</v>
      </c>
      <c r="B5050" t="n">
        <v>51323</v>
      </c>
      <c r="C5050" t="n">
        <v>18899.95</v>
      </c>
      <c r="D5050" t="n">
        <v>13756.5</v>
      </c>
      <c r="E5050" t="n">
        <v>21095.95</v>
      </c>
      <c r="F5050" t="n">
        <v>50946.95</v>
      </c>
    </row>
    <row r="5051">
      <c r="A5051" s="3" t="n">
        <v>45876</v>
      </c>
      <c r="B5051" t="n">
        <v>51393.8</v>
      </c>
      <c r="C5051" t="n">
        <v>18922.55</v>
      </c>
      <c r="D5051" t="n">
        <v>13745.95</v>
      </c>
      <c r="E5051" t="n">
        <v>21178.4</v>
      </c>
      <c r="F5051" t="n">
        <v>51175.2</v>
      </c>
    </row>
    <row r="5052">
      <c r="A5052" s="3" t="n">
        <v>45877</v>
      </c>
      <c r="B5052" t="n">
        <v>50603.1</v>
      </c>
      <c r="C5052" t="n">
        <v>18678.9</v>
      </c>
      <c r="D5052" t="n">
        <v>13663.65</v>
      </c>
      <c r="E5052" t="n">
        <v>21014.65</v>
      </c>
      <c r="F5052" t="n">
        <v>49661.7</v>
      </c>
    </row>
    <row r="5053">
      <c r="A5053" s="3" t="n">
        <v>45880</v>
      </c>
      <c r="B5053" t="n">
        <v>51080.75</v>
      </c>
      <c r="C5053" t="n">
        <v>18739.6</v>
      </c>
      <c r="D5053" t="n">
        <v>13788.05</v>
      </c>
      <c r="E5053" t="n">
        <v>21136.35</v>
      </c>
      <c r="F5053" t="n">
        <v>49891.35</v>
      </c>
    </row>
    <row r="5054">
      <c r="A5054" s="3" t="n">
        <v>45881</v>
      </c>
      <c r="B5054" t="n">
        <v>50837.2</v>
      </c>
      <c r="C5054" t="n">
        <v>18667.55</v>
      </c>
      <c r="D5054" t="n">
        <v>13819.95</v>
      </c>
      <c r="E5054" t="n">
        <v>21088.2</v>
      </c>
      <c r="F5054" t="n">
        <v>49756.75</v>
      </c>
    </row>
    <row r="5055">
      <c r="A5055" s="3" t="n">
        <v>45882</v>
      </c>
      <c r="B5055" t="n">
        <v>51355.5</v>
      </c>
      <c r="C5055" t="n">
        <v>18764.8</v>
      </c>
      <c r="D5055" t="n">
        <v>13904.95</v>
      </c>
      <c r="E5055" t="n">
        <v>21311.1</v>
      </c>
      <c r="F5055" t="n">
        <v>50194</v>
      </c>
    </row>
    <row r="5056">
      <c r="A5056" s="3" t="n">
        <v>45883</v>
      </c>
      <c r="B5056" t="n">
        <v>51393.75</v>
      </c>
      <c r="C5056" t="n">
        <v>18671.05</v>
      </c>
      <c r="D5056" t="n">
        <v>13803.45</v>
      </c>
      <c r="E5056" t="n">
        <v>21317.6</v>
      </c>
      <c r="F5056" t="n">
        <v>50196.9</v>
      </c>
    </row>
    <row r="5057">
      <c r="A5057" s="3" t="n">
        <v>45887</v>
      </c>
      <c r="B5057" t="n">
        <v>52098.85</v>
      </c>
      <c r="C5057" t="n">
        <v>18841.85</v>
      </c>
      <c r="D5057" t="n">
        <v>13934.85</v>
      </c>
      <c r="E5057" t="n">
        <v>21792.5</v>
      </c>
      <c r="F5057" t="n">
        <v>50806.25</v>
      </c>
    </row>
    <row r="5058">
      <c r="A5058" s="3" t="n">
        <v>45888</v>
      </c>
      <c r="B5058" t="n">
        <v>52135.65</v>
      </c>
      <c r="C5058" t="n">
        <v>18983.45</v>
      </c>
      <c r="D5058" t="n">
        <v>14079.65</v>
      </c>
      <c r="E5058" t="n">
        <v>21906.25</v>
      </c>
      <c r="F5058" t="n">
        <v>51147.6</v>
      </c>
    </row>
    <row r="5059">
      <c r="A5059" s="3" t="n">
        <v>45889</v>
      </c>
      <c r="B5059" t="n">
        <v>52325.9</v>
      </c>
      <c r="C5059" t="n">
        <v>19103.85</v>
      </c>
      <c r="D5059" t="n">
        <v>14057.15</v>
      </c>
      <c r="E5059" t="n">
        <v>21987.8</v>
      </c>
      <c r="F5059" t="n">
        <v>51353.65</v>
      </c>
    </row>
    <row r="5060">
      <c r="A5060" s="3" t="n">
        <v>45890</v>
      </c>
      <c r="B5060" t="n">
        <v>52256.95</v>
      </c>
      <c r="C5060" t="n">
        <v>19035.75</v>
      </c>
      <c r="D5060" t="n">
        <v>14004.95</v>
      </c>
      <c r="E5060" t="n">
        <v>22031.15</v>
      </c>
      <c r="F5060" t="n">
        <v>51250.9</v>
      </c>
    </row>
    <row r="5061">
      <c r="A5061" s="3" t="n">
        <v>45891</v>
      </c>
      <c r="B5061" t="n">
        <v>52127.3</v>
      </c>
      <c r="C5061" t="n">
        <v>18949.2</v>
      </c>
      <c r="D5061" t="n">
        <v>13872.55</v>
      </c>
      <c r="E5061" t="n">
        <v>21921.7</v>
      </c>
      <c r="F5061" t="n">
        <v>51222.6</v>
      </c>
    </row>
    <row r="5062">
      <c r="A5062" s="3" t="n">
        <v>45894</v>
      </c>
      <c r="B5062" t="n">
        <v>52123.05</v>
      </c>
      <c r="C5062" t="n">
        <v>18999.35</v>
      </c>
      <c r="D5062" t="n">
        <v>13939.2</v>
      </c>
      <c r="E5062" t="n">
        <v>21999.2</v>
      </c>
      <c r="F5062" t="n">
        <v>51210.8</v>
      </c>
    </row>
    <row r="5063">
      <c r="A5063" s="3" t="n">
        <v>45895</v>
      </c>
      <c r="B5063" t="n">
        <v>51166.1</v>
      </c>
      <c r="C5063" t="n">
        <v>18741.8</v>
      </c>
      <c r="D5063" t="n">
        <v>13725.7</v>
      </c>
      <c r="E5063" t="n">
        <v>21803.25</v>
      </c>
      <c r="F5063" t="n">
        <v>50147.65</v>
      </c>
    </row>
    <row r="5064">
      <c r="A5064" s="3" t="n">
        <v>45897</v>
      </c>
      <c r="B5064" t="n">
        <v>50448.95</v>
      </c>
      <c r="C5064" t="n">
        <v>18502.75</v>
      </c>
      <c r="D5064" t="n">
        <v>13603.6</v>
      </c>
      <c r="E5064" t="n">
        <v>21699</v>
      </c>
      <c r="F5064" t="n">
        <v>49460.9</v>
      </c>
    </row>
    <row r="5065">
      <c r="A5065" s="3" t="n">
        <v>45898</v>
      </c>
      <c r="B5065" t="n">
        <v>50200.35</v>
      </c>
      <c r="C5065" t="n">
        <v>18516.2</v>
      </c>
      <c r="D5065" t="n">
        <v>13571.75</v>
      </c>
      <c r="E5065" t="n">
        <v>21702.25</v>
      </c>
      <c r="F5065" t="n">
        <v>49066.25</v>
      </c>
    </row>
    <row r="5066">
      <c r="A5066" s="3" t="n">
        <v>45901</v>
      </c>
      <c r="B5066" t="n">
        <v>50978.15</v>
      </c>
      <c r="C5066" t="n">
        <v>18865.05</v>
      </c>
      <c r="D5066" t="n">
        <v>13795.75</v>
      </c>
      <c r="E5066" t="n">
        <v>21953.4</v>
      </c>
      <c r="F5066" t="n">
        <v>50145.1</v>
      </c>
    </row>
    <row r="5067">
      <c r="A5067" s="3" t="n">
        <v>45902</v>
      </c>
      <c r="B5067" t="n">
        <v>50953.4</v>
      </c>
      <c r="C5067" t="n">
        <v>18988.65</v>
      </c>
      <c r="D5067" t="n">
        <v>13869.2</v>
      </c>
      <c r="E5067" t="n">
        <v>22012.8</v>
      </c>
      <c r="F5067" t="n">
        <v>50305.7</v>
      </c>
    </row>
    <row r="5068">
      <c r="A5068" s="3" t="n">
        <v>45903</v>
      </c>
      <c r="B5068" t="n">
        <v>51286.95</v>
      </c>
      <c r="C5068" t="n">
        <v>19022.7</v>
      </c>
      <c r="D5068" t="n">
        <v>14034</v>
      </c>
      <c r="E5068" t="n">
        <v>22078.25</v>
      </c>
      <c r="F5068" t="n">
        <v>50892.7</v>
      </c>
    </row>
    <row r="5069">
      <c r="A5069" s="3" t="n">
        <v>45904</v>
      </c>
      <c r="B5069" t="n">
        <v>50979.65</v>
      </c>
      <c r="C5069" t="n">
        <v>19020.5</v>
      </c>
      <c r="D5069" t="n">
        <v>13917.95</v>
      </c>
      <c r="E5069" t="n">
        <v>22113</v>
      </c>
      <c r="F5069" t="n">
        <v>50391.95</v>
      </c>
    </row>
    <row r="5070">
      <c r="A5070" s="3" t="n">
        <v>45905</v>
      </c>
      <c r="B5070" t="n">
        <v>50986.9</v>
      </c>
      <c r="C5070" t="n">
        <v>18962</v>
      </c>
      <c r="D5070" t="n">
        <v>13974.65</v>
      </c>
      <c r="E5070" t="n">
        <v>22092.6</v>
      </c>
      <c r="F5070" t="n">
        <v>50479.75</v>
      </c>
    </row>
    <row r="5071">
      <c r="A5071" s="3" t="n">
        <v>45908</v>
      </c>
      <c r="B5071" t="n">
        <v>50930</v>
      </c>
      <c r="C5071" t="n">
        <v>19011.5</v>
      </c>
      <c r="D5071" t="n">
        <v>14006.95</v>
      </c>
      <c r="E5071" t="n">
        <v>22167.9</v>
      </c>
      <c r="F5071" t="n">
        <v>50403.2</v>
      </c>
    </row>
    <row r="5072">
      <c r="A5072" s="3" t="n">
        <v>45909</v>
      </c>
      <c r="B5072" t="n">
        <v>51216.8</v>
      </c>
      <c r="C5072" t="n">
        <v>19070.15</v>
      </c>
      <c r="D5072" t="n">
        <v>13976.9</v>
      </c>
      <c r="E5072" t="n">
        <v>22334.65</v>
      </c>
      <c r="F5072" t="n">
        <v>50634.7</v>
      </c>
    </row>
    <row r="5073">
      <c r="A5073" s="3" t="n">
        <v>45910</v>
      </c>
      <c r="B5073" t="n">
        <v>51817</v>
      </c>
      <c r="C5073" t="n">
        <v>19401</v>
      </c>
      <c r="D5073" t="n">
        <v>14043.1</v>
      </c>
      <c r="E5073" t="n">
        <v>22452.55</v>
      </c>
      <c r="F5073" t="n">
        <v>51098.2</v>
      </c>
    </row>
    <row r="5074">
      <c r="A5074" s="3" t="n">
        <v>45911</v>
      </c>
      <c r="B5074" t="n">
        <v>51598.25</v>
      </c>
      <c r="C5074" t="n">
        <v>19349.35</v>
      </c>
      <c r="D5074" t="n">
        <v>14139.1</v>
      </c>
      <c r="E5074" t="n">
        <v>22437.1</v>
      </c>
      <c r="F5074" t="n">
        <v>50916.5</v>
      </c>
    </row>
    <row r="5075">
      <c r="A5075" s="3" t="n">
        <v>45912</v>
      </c>
      <c r="B5075" t="n">
        <v>52032.85</v>
      </c>
      <c r="C5075" t="n">
        <v>19419.3</v>
      </c>
      <c r="D5075" t="n">
        <v>14186</v>
      </c>
      <c r="E5075" t="n">
        <v>22525.25</v>
      </c>
      <c r="F5075" t="n">
        <v>51235.35</v>
      </c>
    </row>
    <row r="5076">
      <c r="A5076" s="3" t="n">
        <v>45915</v>
      </c>
      <c r="B5076" t="n">
        <v>52178.8</v>
      </c>
      <c r="C5076" t="n">
        <v>19455.4</v>
      </c>
      <c r="D5076" t="n">
        <v>14206.05</v>
      </c>
      <c r="E5076" t="n">
        <v>22488.8</v>
      </c>
      <c r="F5076" t="n">
        <v>51425.8</v>
      </c>
    </row>
    <row r="5077">
      <c r="A5077" s="3" t="n">
        <v>45916</v>
      </c>
      <c r="B5077" t="n">
        <v>52465.1</v>
      </c>
      <c r="C5077" t="n">
        <v>19544.1</v>
      </c>
      <c r="D5077" t="n">
        <v>14362.35</v>
      </c>
      <c r="E5077" t="n">
        <v>22601.55</v>
      </c>
      <c r="F5077" t="n">
        <v>51733.35</v>
      </c>
    </row>
    <row r="5078">
      <c r="A5078" s="3" t="n">
        <v>45917</v>
      </c>
      <c r="B5078" t="n">
        <v>52566.85</v>
      </c>
      <c r="C5078" t="n">
        <v>19670.8</v>
      </c>
      <c r="D5078" t="n">
        <v>14453.85</v>
      </c>
      <c r="E5078" t="n">
        <v>22629.95</v>
      </c>
      <c r="F5078" t="n">
        <v>52007.7</v>
      </c>
    </row>
    <row r="5079">
      <c r="A5079" s="3" t="n">
        <v>45918</v>
      </c>
      <c r="B5079" t="n">
        <v>52659.2</v>
      </c>
      <c r="C5079" t="n">
        <v>19698.1</v>
      </c>
      <c r="D5079" t="n">
        <v>14470.85</v>
      </c>
      <c r="E5079" t="n">
        <v>22697.95</v>
      </c>
      <c r="F5079" t="n">
        <v>52022.25</v>
      </c>
    </row>
    <row r="5080">
      <c r="A5080" s="3" t="n">
        <v>45919</v>
      </c>
      <c r="B5080" t="n">
        <v>52482.7</v>
      </c>
      <c r="C5080" t="n">
        <v>19724.3</v>
      </c>
      <c r="D5080" t="n">
        <v>14536.5</v>
      </c>
      <c r="E5080" t="n">
        <v>22686.8</v>
      </c>
      <c r="F5080" t="n">
        <v>51869.5</v>
      </c>
    </row>
    <row r="5081">
      <c r="A5081" s="3" t="n">
        <v>45922</v>
      </c>
      <c r="B5081" t="n">
        <v>52449.65</v>
      </c>
      <c r="C5081" t="n">
        <v>19687.55</v>
      </c>
      <c r="D5081" t="n">
        <v>14469.65</v>
      </c>
      <c r="E5081" t="n">
        <v>22567.5</v>
      </c>
      <c r="F5081" t="n">
        <v>51521.15</v>
      </c>
    </row>
    <row r="5082">
      <c r="A5082" s="3" t="n">
        <v>45923</v>
      </c>
      <c r="B5082" t="n">
        <v>52223.95</v>
      </c>
      <c r="C5082" t="n">
        <v>19518.35</v>
      </c>
      <c r="D5082" t="n">
        <v>14525.05</v>
      </c>
      <c r="E5082" t="n">
        <v>22539.1</v>
      </c>
      <c r="F5082" t="n">
        <v>51253.2</v>
      </c>
    </row>
    <row r="5083">
      <c r="A5083" s="3" t="n">
        <v>45924</v>
      </c>
      <c r="B5083" t="n">
        <v>51879.9</v>
      </c>
      <c r="C5083" t="n">
        <v>19232.4</v>
      </c>
      <c r="D5083" t="n">
        <v>14459</v>
      </c>
      <c r="E5083" t="n">
        <v>22442.15</v>
      </c>
      <c r="F5083" t="n">
        <v>50791.65</v>
      </c>
    </row>
    <row r="5084">
      <c r="A5084" s="3" t="n">
        <v>45925</v>
      </c>
      <c r="B5084" t="n">
        <v>51480.25</v>
      </c>
      <c r="C5084" t="n">
        <v>19152.2</v>
      </c>
      <c r="D5084" t="n">
        <v>14373.05</v>
      </c>
      <c r="E5084" t="n">
        <v>22264.7</v>
      </c>
      <c r="F5084" t="n">
        <v>50445.85</v>
      </c>
    </row>
    <row r="5085">
      <c r="A5085" s="3" t="n">
        <v>45926</v>
      </c>
      <c r="B5085" t="n">
        <v>50543.15</v>
      </c>
      <c r="C5085" t="n">
        <v>18773.75</v>
      </c>
      <c r="D5085" t="n">
        <v>14161.95</v>
      </c>
      <c r="E5085" t="n">
        <v>21995.45</v>
      </c>
      <c r="F5085" t="n">
        <v>49302.9</v>
      </c>
    </row>
    <row r="5086">
      <c r="A5086" s="3" t="n">
        <v>45929</v>
      </c>
      <c r="B5086" t="n">
        <v>50705.1</v>
      </c>
      <c r="C5086" t="n">
        <v>18778.95</v>
      </c>
      <c r="D5086" t="n">
        <v>14362.3</v>
      </c>
      <c r="E5086" t="n">
        <v>21966.85</v>
      </c>
      <c r="F5086" t="n">
        <v>49165.8</v>
      </c>
    </row>
    <row r="5087">
      <c r="A5087" s="3" t="n">
        <v>45930</v>
      </c>
      <c r="B5087" t="n">
        <v>50575.35</v>
      </c>
      <c r="C5087" t="n">
        <v>18697.65</v>
      </c>
      <c r="D5087" t="n">
        <v>14456.3</v>
      </c>
      <c r="E5087" t="n">
        <v>22000.6</v>
      </c>
      <c r="F5087" t="n">
        <v>48722.95</v>
      </c>
    </row>
    <row r="5088">
      <c r="A5088" s="3" t="n">
        <v>45931</v>
      </c>
      <c r="B5088" t="n">
        <v>51117.45</v>
      </c>
      <c r="C5088" t="n">
        <v>18876.95</v>
      </c>
      <c r="D5088" t="n">
        <v>14497.9</v>
      </c>
      <c r="E5088" t="n">
        <v>22095.9</v>
      </c>
      <c r="F5088" t="n">
        <v>49341.45</v>
      </c>
    </row>
    <row r="5089">
      <c r="A5089" s="3" t="n">
        <v>45933</v>
      </c>
      <c r="B5089" t="n">
        <v>51400.05</v>
      </c>
      <c r="C5089" t="n">
        <v>19015.1</v>
      </c>
      <c r="D5089" t="n">
        <v>14632.45</v>
      </c>
      <c r="E5089" t="n">
        <v>22142.95</v>
      </c>
      <c r="F5089" t="n">
        <v>49642.1</v>
      </c>
    </row>
    <row r="5090">
      <c r="A5090" s="3" t="n">
        <v>45936</v>
      </c>
      <c r="B5090" t="n">
        <v>52242.85</v>
      </c>
      <c r="C5090" t="n">
        <v>19143.15</v>
      </c>
      <c r="D5090" t="n">
        <v>14627.4</v>
      </c>
      <c r="E5090" t="n">
        <v>22313.1</v>
      </c>
      <c r="F5090" t="n">
        <v>50348.65</v>
      </c>
    </row>
    <row r="5091">
      <c r="A5091" s="3" t="n">
        <v>45937</v>
      </c>
      <c r="B5091" t="n">
        <v>52294.05</v>
      </c>
      <c r="C5091" t="n">
        <v>19166.35</v>
      </c>
      <c r="D5091" t="n">
        <v>14608.45</v>
      </c>
      <c r="E5091" t="n">
        <v>22360.5</v>
      </c>
      <c r="F5091" t="n">
        <v>50356</v>
      </c>
    </row>
    <row r="5092">
      <c r="A5092" s="3" t="n">
        <v>45938</v>
      </c>
      <c r="B5092" t="n">
        <v>52164.1</v>
      </c>
      <c r="C5092" t="n">
        <v>19049.05</v>
      </c>
      <c r="D5092" t="n">
        <v>14521.9</v>
      </c>
      <c r="E5092" t="n">
        <v>22240.95</v>
      </c>
      <c r="F5092" t="n">
        <v>50058.2</v>
      </c>
    </row>
    <row r="5093">
      <c r="A5093" s="3" t="n">
        <v>45939</v>
      </c>
      <c r="B5093" t="n">
        <v>52717.45</v>
      </c>
      <c r="C5093" t="n">
        <v>19173.55</v>
      </c>
      <c r="D5093" t="n">
        <v>14627.8</v>
      </c>
      <c r="E5093" t="n">
        <v>22360.9</v>
      </c>
      <c r="F5093" t="n">
        <v>50522.4</v>
      </c>
    </row>
    <row r="5094">
      <c r="A5094" s="3" t="n">
        <v>45940</v>
      </c>
      <c r="B5094" t="n">
        <v>52886.6</v>
      </c>
      <c r="C5094" t="n">
        <v>19215.65</v>
      </c>
      <c r="D5094" t="n">
        <v>14674.1</v>
      </c>
      <c r="E5094" t="n">
        <v>22502.75</v>
      </c>
      <c r="F5094" t="n">
        <v>50829</v>
      </c>
    </row>
    <row r="5095">
      <c r="A5095" s="3" t="n">
        <v>45943</v>
      </c>
      <c r="B5095" t="n">
        <v>53152.3</v>
      </c>
      <c r="C5095" t="n">
        <v>19196.65</v>
      </c>
      <c r="D5095" t="n">
        <v>14619.2</v>
      </c>
      <c r="E5095" t="n">
        <v>22528.9</v>
      </c>
      <c r="F5095" t="n">
        <v>51045.15</v>
      </c>
    </row>
    <row r="5096">
      <c r="A5096" s="3" t="n">
        <v>45944</v>
      </c>
      <c r="B5096" t="n">
        <v>52942.6</v>
      </c>
      <c r="C5096" t="n">
        <v>19103.35</v>
      </c>
      <c r="D5096" t="n">
        <v>14477.15</v>
      </c>
      <c r="E5096" t="n">
        <v>22457.65</v>
      </c>
      <c r="F5096" t="n">
        <v>50706</v>
      </c>
    </row>
    <row r="5097">
      <c r="A5097" s="3" t="n">
        <v>45945</v>
      </c>
      <c r="B5097" t="n">
        <v>53736.2</v>
      </c>
      <c r="C5097" t="n">
        <v>19306.85</v>
      </c>
      <c r="D5097" t="n">
        <v>14628.15</v>
      </c>
      <c r="E5097" t="n">
        <v>22659.7</v>
      </c>
      <c r="F5097" t="n">
        <v>51198.4</v>
      </c>
    </row>
    <row r="5098">
      <c r="A5098" s="3" t="n">
        <v>45946</v>
      </c>
      <c r="B5098" t="n">
        <v>53831.35</v>
      </c>
      <c r="C5098" t="n">
        <v>19424.35</v>
      </c>
      <c r="D5098" t="n">
        <v>14651.5</v>
      </c>
      <c r="E5098" t="n">
        <v>22788.45</v>
      </c>
      <c r="F5098" t="n">
        <v>51259.55</v>
      </c>
    </row>
    <row r="5099">
      <c r="A5099" s="3" t="n">
        <v>45947</v>
      </c>
      <c r="B5099" t="n">
        <v>53874.4</v>
      </c>
      <c r="C5099" t="n">
        <v>19430.7</v>
      </c>
      <c r="D5099" t="n">
        <v>14554.7</v>
      </c>
      <c r="E5099" t="n">
        <v>22858.85</v>
      </c>
      <c r="F5099" t="n">
        <v>51338</v>
      </c>
    </row>
    <row r="5100">
      <c r="A5100" s="3" t="n">
        <v>45950</v>
      </c>
      <c r="B5100" t="n">
        <v>54170.7</v>
      </c>
      <c r="C5100" t="n">
        <v>19508.65</v>
      </c>
      <c r="D5100" t="n">
        <v>14687.9</v>
      </c>
      <c r="E5100" t="n">
        <v>23047.25</v>
      </c>
      <c r="F5100" t="n">
        <v>51514.85</v>
      </c>
    </row>
    <row r="5101">
      <c r="A5101" s="3" t="n">
        <v>45951</v>
      </c>
      <c r="B5101" t="n">
        <v>54236.15</v>
      </c>
      <c r="C5101" t="n">
        <v>19560.5</v>
      </c>
      <c r="D5101" t="n">
        <v>14718.2</v>
      </c>
      <c r="E5101" t="n">
        <v>23079.35</v>
      </c>
      <c r="F5101" t="n">
        <v>51572.7</v>
      </c>
    </row>
    <row r="5102">
      <c r="A5102" s="3" t="n">
        <v>45953</v>
      </c>
      <c r="B5102" t="n">
        <v>53973.05</v>
      </c>
      <c r="C5102" t="n">
        <v>19487.55</v>
      </c>
      <c r="D5102" t="n">
        <v>14708.6</v>
      </c>
      <c r="E5102" t="n">
        <v>23084.65</v>
      </c>
      <c r="F5102" t="n">
        <v>51025.35</v>
      </c>
    </row>
    <row r="5103">
      <c r="A5103" s="3" t="n">
        <v>45954</v>
      </c>
      <c r="B5103" t="n">
        <v>53739.8</v>
      </c>
      <c r="C5103" t="n">
        <v>19487.8</v>
      </c>
      <c r="D5103" t="n">
        <v>14733.05</v>
      </c>
      <c r="E5103" t="n">
        <v>22920.25</v>
      </c>
      <c r="F5103" t="n">
        <v>50821.5</v>
      </c>
    </row>
    <row r="5104">
      <c r="A5104" s="3" t="n">
        <v>45957</v>
      </c>
      <c r="B5104" t="n">
        <v>53994.8</v>
      </c>
      <c r="C5104" t="n">
        <v>19573.4</v>
      </c>
      <c r="D5104" t="n">
        <v>14947.85</v>
      </c>
      <c r="E5104" t="n">
        <v>22966.8</v>
      </c>
      <c r="F5104" t="n">
        <v>51187.5</v>
      </c>
    </row>
    <row r="5105">
      <c r="A5105" s="3" t="n">
        <v>45958</v>
      </c>
      <c r="B5105" t="n">
        <v>53810</v>
      </c>
      <c r="C5105" t="n">
        <v>19535.55</v>
      </c>
      <c r="D5105" t="n">
        <v>14977.45</v>
      </c>
      <c r="E5105" t="n">
        <v>22943.25</v>
      </c>
      <c r="F5105" t="n">
        <v>51176.95</v>
      </c>
    </row>
    <row r="5106">
      <c r="A5106" s="3" t="n">
        <v>45959</v>
      </c>
      <c r="B5106" t="n">
        <v>54039.15</v>
      </c>
      <c r="C5106" t="n">
        <v>19494.7</v>
      </c>
      <c r="D5106" t="n">
        <v>15219.75</v>
      </c>
      <c r="E5106" t="n">
        <v>22941.4</v>
      </c>
      <c r="F5106" t="n">
        <v>51240.6</v>
      </c>
    </row>
    <row r="5107">
      <c r="A5107" s="3" t="n">
        <v>45960</v>
      </c>
      <c r="B5107" t="n">
        <v>53822.7</v>
      </c>
      <c r="C5107" t="n">
        <v>19523.85</v>
      </c>
      <c r="D5107" t="n">
        <v>15187.25</v>
      </c>
      <c r="E5107" t="n">
        <v>22772.05</v>
      </c>
      <c r="F5107" t="n">
        <v>51205.05</v>
      </c>
    </row>
    <row r="5108">
      <c r="A5108" s="3" t="n">
        <v>45961</v>
      </c>
      <c r="B5108" t="n">
        <v>53479.65</v>
      </c>
      <c r="C5108" t="n">
        <v>19422.9</v>
      </c>
      <c r="D5108" t="n">
        <v>15138.4</v>
      </c>
      <c r="E5108" t="n">
        <v>22661.45</v>
      </c>
      <c r="F5108" t="n">
        <v>50867.3</v>
      </c>
    </row>
    <row r="5109">
      <c r="A5109" s="3" t="n">
        <v>45964</v>
      </c>
      <c r="B5109" t="n">
        <v>53871.05</v>
      </c>
      <c r="C5109" t="n">
        <v>19478.55</v>
      </c>
      <c r="D5109" t="n">
        <v>15273.15</v>
      </c>
      <c r="E5109" t="n">
        <v>22740.9</v>
      </c>
      <c r="F5109" t="n">
        <v>51349.45</v>
      </c>
    </row>
    <row r="5110">
      <c r="A5110" s="3" t="n">
        <v>45965</v>
      </c>
      <c r="B5110" t="n">
        <v>53738.55</v>
      </c>
      <c r="C5110" t="n">
        <v>19369</v>
      </c>
      <c r="D5110" t="n">
        <v>15144.05</v>
      </c>
      <c r="E5110" t="n">
        <v>22662.65</v>
      </c>
      <c r="F5110" t="n">
        <v>51036.75</v>
      </c>
    </row>
    <row r="5111">
      <c r="A5111" s="3" t="n">
        <v>45967</v>
      </c>
      <c r="B5111" t="n">
        <v>53429.3</v>
      </c>
      <c r="C5111" t="n">
        <v>19176.05</v>
      </c>
      <c r="D5111" t="n">
        <v>14949.95</v>
      </c>
      <c r="E5111" t="n">
        <v>22606.8</v>
      </c>
      <c r="F5111" t="n">
        <v>50839.9</v>
      </c>
    </row>
    <row r="5112">
      <c r="A5112" s="3" t="n">
        <v>45968</v>
      </c>
      <c r="B5112" t="n">
        <v>53834.45</v>
      </c>
      <c r="C5112" t="n">
        <v>19148.95</v>
      </c>
      <c r="D5112" t="n">
        <v>15056.2</v>
      </c>
      <c r="E5112" t="n">
        <v>22657.9</v>
      </c>
      <c r="F5112" t="n">
        <v>51322.85</v>
      </c>
    </row>
    <row r="5113">
      <c r="A5113" s="3" t="n">
        <v>45971</v>
      </c>
      <c r="B5113" t="n">
        <v>53976.2</v>
      </c>
      <c r="C5113" t="n">
        <v>19227.5</v>
      </c>
      <c r="D5113" t="n">
        <v>15077.9</v>
      </c>
      <c r="E5113" t="n">
        <v>22745.45</v>
      </c>
      <c r="F5113" t="n">
        <v>51421.9</v>
      </c>
    </row>
    <row r="5114">
      <c r="A5114" s="3" t="n">
        <v>45972</v>
      </c>
      <c r="B5114" t="n">
        <v>53863.3</v>
      </c>
      <c r="C5114" t="n">
        <v>19316.6</v>
      </c>
      <c r="D5114" t="n">
        <v>15138.3</v>
      </c>
      <c r="E5114" t="n">
        <v>22599.85</v>
      </c>
      <c r="F5114" t="n">
        <v>51457.7</v>
      </c>
    </row>
    <row r="5115">
      <c r="A5115" s="3" t="n">
        <v>45973</v>
      </c>
      <c r="B5115" t="n">
        <v>54321.45</v>
      </c>
      <c r="C5115" t="n">
        <v>19511.4</v>
      </c>
      <c r="D5115" t="n">
        <v>15272.05</v>
      </c>
      <c r="E5115" t="n">
        <v>22763.95</v>
      </c>
      <c r="F5115" t="n">
        <v>51811.85</v>
      </c>
    </row>
    <row r="5116">
      <c r="A5116" s="3" t="n">
        <v>45974</v>
      </c>
      <c r="B5116" t="n">
        <v>54212.3</v>
      </c>
      <c r="C5116" t="n">
        <v>19393.9</v>
      </c>
      <c r="D5116" t="n">
        <v>15255.4</v>
      </c>
      <c r="E5116" t="n">
        <v>22729</v>
      </c>
      <c r="F5116" t="n">
        <v>51642.95</v>
      </c>
    </row>
    <row r="5117">
      <c r="A5117" s="3" t="n">
        <v>45975</v>
      </c>
      <c r="B5117" t="n">
        <v>54405.9</v>
      </c>
      <c r="C5117" t="n">
        <v>19386.3</v>
      </c>
      <c r="D5117" t="n">
        <v>15233.1</v>
      </c>
      <c r="E5117" t="n">
        <v>22711</v>
      </c>
      <c r="F5117" t="n">
        <v>51891.65</v>
      </c>
    </row>
    <row r="5118">
      <c r="A5118" s="3" t="n">
        <v>45978</v>
      </c>
      <c r="B5118" t="n">
        <v>54648.9</v>
      </c>
      <c r="C5118" t="n">
        <v>19519.6</v>
      </c>
      <c r="D5118" t="n">
        <v>15291.55</v>
      </c>
      <c r="E5118" t="n">
        <v>22873.15</v>
      </c>
      <c r="F5118" t="n">
        <v>52334.7</v>
      </c>
    </row>
    <row r="5119">
      <c r="A5119" s="3" t="n">
        <v>45979</v>
      </c>
      <c r="B5119" t="n">
        <v>54166.05</v>
      </c>
      <c r="C5119" t="n">
        <v>19339.5</v>
      </c>
      <c r="D5119" t="n">
        <v>15191.55</v>
      </c>
      <c r="E5119" t="n">
        <v>22732.05</v>
      </c>
      <c r="F5119" t="n">
        <v>51782.4</v>
      </c>
    </row>
    <row r="5120">
      <c r="A5120" s="3" t="n">
        <v>45980</v>
      </c>
      <c r="B5120" t="n">
        <v>54463</v>
      </c>
      <c r="C5120" t="n">
        <v>19430.05</v>
      </c>
      <c r="D5120" t="n">
        <v>15149.4</v>
      </c>
      <c r="E5120" t="n">
        <v>22768.8</v>
      </c>
      <c r="F5120" t="n">
        <v>52006.5</v>
      </c>
    </row>
    <row r="5121">
      <c r="A5121" s="3" t="n">
        <v>45981</v>
      </c>
      <c r="B5121" t="n">
        <v>54875.35</v>
      </c>
      <c r="C5121" t="n">
        <v>19444.1</v>
      </c>
      <c r="D5121" t="n">
        <v>15097.95</v>
      </c>
      <c r="E5121" t="n">
        <v>22874.3</v>
      </c>
      <c r="F5121" t="n">
        <v>52176.95</v>
      </c>
    </row>
    <row r="5122">
      <c r="A5122" s="3" t="n">
        <v>45982</v>
      </c>
      <c r="B5122" t="n">
        <v>54226.7</v>
      </c>
      <c r="C5122" t="n">
        <v>19219.45</v>
      </c>
      <c r="D5122" t="n">
        <v>14947.25</v>
      </c>
      <c r="E5122" t="n">
        <v>22739.35</v>
      </c>
      <c r="F5122" t="n">
        <v>51477.75</v>
      </c>
    </row>
    <row r="5123">
      <c r="A5123" s="3" t="n">
        <v>45985</v>
      </c>
      <c r="B5123" t="n">
        <v>53863.3</v>
      </c>
      <c r="C5123" t="n">
        <v>19058.4</v>
      </c>
      <c r="D5123" t="n">
        <v>14821.05</v>
      </c>
      <c r="E5123" t="n">
        <v>22727.5</v>
      </c>
      <c r="F5123" t="n">
        <v>51126.55</v>
      </c>
    </row>
    <row r="5124">
      <c r="A5124" s="3" t="n">
        <v>45986</v>
      </c>
      <c r="B5124" t="n">
        <v>53972.25</v>
      </c>
      <c r="C5124" t="n">
        <v>19013.25</v>
      </c>
      <c r="D5124" t="n">
        <v>14851.3</v>
      </c>
      <c r="E5124" t="n">
        <v>22784.35</v>
      </c>
      <c r="F5124" t="n">
        <v>51222.1</v>
      </c>
    </row>
    <row r="5125">
      <c r="A5125" s="3" t="n">
        <v>45987</v>
      </c>
      <c r="B5125" t="n">
        <v>54871.7</v>
      </c>
      <c r="C5125" t="n">
        <v>19231.2</v>
      </c>
      <c r="D5125" t="n">
        <v>15067.55</v>
      </c>
      <c r="E5125" t="n">
        <v>23031.25</v>
      </c>
      <c r="F5125" t="n">
        <v>52187.15</v>
      </c>
    </row>
    <row r="5126">
      <c r="A5126" s="3" t="n">
        <v>45988</v>
      </c>
      <c r="B5126" t="n">
        <v>54928.85</v>
      </c>
      <c r="C5126" t="n">
        <v>19217.35</v>
      </c>
      <c r="D5126" t="n">
        <v>15025.55</v>
      </c>
      <c r="E5126" t="n">
        <v>22938.5</v>
      </c>
      <c r="F5126" t="n">
        <v>52088.15</v>
      </c>
    </row>
    <row r="5127">
      <c r="A5127" s="3" t="n">
        <v>45989</v>
      </c>
      <c r="B5127" t="n">
        <v>54778.55</v>
      </c>
      <c r="C5127" t="n">
        <v>19168.45</v>
      </c>
      <c r="D5127" t="n">
        <v>14978.45</v>
      </c>
      <c r="E5127" t="n">
        <v>22942.05</v>
      </c>
      <c r="F5127" t="n">
        <v>52105.25</v>
      </c>
    </row>
    <row r="5128">
      <c r="A5128" s="3" t="n">
        <v>45992</v>
      </c>
      <c r="B5128" t="n">
        <v>54616.7</v>
      </c>
      <c r="C5128" t="n">
        <v>19176.45</v>
      </c>
      <c r="D5128" t="n">
        <v>15019.45</v>
      </c>
      <c r="E5128" t="n">
        <v>22965.35</v>
      </c>
      <c r="F5128" t="n">
        <v>52197.1</v>
      </c>
    </row>
    <row r="5129">
      <c r="A5129" s="3" t="n">
        <v>45993</v>
      </c>
      <c r="B5129" t="n">
        <v>54368.1</v>
      </c>
      <c r="C5129" t="n">
        <v>19148.55</v>
      </c>
      <c r="D5129" t="n">
        <v>14992.7</v>
      </c>
      <c r="E5129" t="n">
        <v>22966.2</v>
      </c>
      <c r="F5129" t="n">
        <v>52042.55</v>
      </c>
    </row>
    <row r="5130">
      <c r="A5130" s="3" t="n">
        <v>45994</v>
      </c>
      <c r="B5130" t="n">
        <v>53747.1</v>
      </c>
      <c r="C5130" t="n">
        <v>19016.5</v>
      </c>
      <c r="D5130" t="n">
        <v>14861.85</v>
      </c>
      <c r="E5130" t="n">
        <v>22826.05</v>
      </c>
      <c r="F5130" t="n">
        <v>51341.6</v>
      </c>
    </row>
    <row r="5131">
      <c r="A5131" s="3" t="n">
        <v>45995</v>
      </c>
      <c r="B5131" t="n">
        <v>53707.75</v>
      </c>
      <c r="C5131" t="n">
        <v>19089.65</v>
      </c>
      <c r="D5131" t="n">
        <v>14869.5</v>
      </c>
      <c r="E5131" t="n">
        <v>22939.4</v>
      </c>
      <c r="F5131" t="n">
        <v>50946.75</v>
      </c>
    </row>
    <row r="5132">
      <c r="A5132" s="3" t="n">
        <v>45996</v>
      </c>
      <c r="B5132" t="n">
        <v>54014.3</v>
      </c>
      <c r="C5132" t="n">
        <v>19114.9</v>
      </c>
      <c r="D5132" t="n">
        <v>14910.7</v>
      </c>
      <c r="E5132" t="n">
        <v>23134.95</v>
      </c>
      <c r="F5132" t="n">
        <v>50989.45</v>
      </c>
    </row>
    <row r="5133">
      <c r="A5133" s="3" t="n">
        <v>45999</v>
      </c>
      <c r="B5133" t="n">
        <v>52977.4</v>
      </c>
      <c r="C5133" t="n">
        <v>18739.8</v>
      </c>
      <c r="D5133" t="n">
        <v>14650.05</v>
      </c>
      <c r="E5133" t="n">
        <v>22878.4</v>
      </c>
      <c r="F5133" t="n">
        <v>49947.75</v>
      </c>
    </row>
    <row r="5134">
      <c r="A5134" s="3" t="n">
        <v>46000</v>
      </c>
      <c r="B5134" t="n">
        <v>53066.7</v>
      </c>
      <c r="C5134" t="n">
        <v>18775.85</v>
      </c>
      <c r="D5134" t="n">
        <v>14686.6</v>
      </c>
      <c r="E5134" t="n">
        <v>22803.95</v>
      </c>
      <c r="F5134" t="n">
        <v>50321.45</v>
      </c>
    </row>
    <row r="5135">
      <c r="A5135" s="3" t="n">
        <v>46001</v>
      </c>
      <c r="B5135" t="n">
        <v>52529.7</v>
      </c>
      <c r="C5135" t="n">
        <v>18627.55</v>
      </c>
      <c r="D5135" t="n">
        <v>14708.15</v>
      </c>
      <c r="E5135" t="n">
        <v>22784.9</v>
      </c>
      <c r="F5135" t="n">
        <v>49446.65</v>
      </c>
    </row>
    <row r="5136">
      <c r="A5136" s="3" t="n">
        <v>46002</v>
      </c>
      <c r="B5136" t="n">
        <v>52877.9</v>
      </c>
      <c r="C5136" t="n">
        <v>18790.8</v>
      </c>
      <c r="D5136" t="n">
        <v>14779.45</v>
      </c>
      <c r="E5136" t="n">
        <v>22938.25</v>
      </c>
      <c r="F5136" t="n">
        <v>49949.35</v>
      </c>
    </row>
    <row r="5137">
      <c r="A5137" s="3" t="n">
        <v>46003</v>
      </c>
      <c r="B5137" t="n">
        <v>53325.2</v>
      </c>
      <c r="C5137" t="n">
        <v>18943.25</v>
      </c>
      <c r="D5137" t="n">
        <v>14960.4</v>
      </c>
      <c r="E5137" t="n">
        <v>23049.05</v>
      </c>
      <c r="F5137" t="n">
        <v>50538.2</v>
      </c>
    </row>
    <row r="5138">
      <c r="A5138" s="3" t="n">
        <v>46006</v>
      </c>
      <c r="B5138" t="n">
        <v>53212</v>
      </c>
      <c r="C5138" t="n">
        <v>18967.55</v>
      </c>
      <c r="D5138" t="n">
        <v>15005.2</v>
      </c>
      <c r="E5138" t="n">
        <v>23038.35</v>
      </c>
      <c r="F5138" t="n">
        <v>50327.2</v>
      </c>
    </row>
    <row r="5139">
      <c r="A5139" s="3" t="n">
        <v>46007</v>
      </c>
      <c r="B5139" t="n">
        <v>52794.15</v>
      </c>
      <c r="C5139" t="n">
        <v>18860.35</v>
      </c>
      <c r="D5139" t="n">
        <v>14898.4</v>
      </c>
      <c r="E5139" t="n">
        <v>22931.2</v>
      </c>
      <c r="F5139" t="n">
        <v>49901.8</v>
      </c>
    </row>
    <row r="5140">
      <c r="A5140" s="3" t="n">
        <v>46008</v>
      </c>
      <c r="B5140" t="n">
        <v>52330.7</v>
      </c>
      <c r="C5140" t="n">
        <v>18709.8</v>
      </c>
      <c r="D5140" t="n">
        <v>14962.6</v>
      </c>
      <c r="E5140" t="n">
        <v>22864.7</v>
      </c>
      <c r="F5140" t="n">
        <v>49588.45</v>
      </c>
    </row>
    <row r="5141">
      <c r="A5141" s="3" t="n">
        <v>46009</v>
      </c>
      <c r="B5141" t="n">
        <v>52562.85</v>
      </c>
      <c r="C5141" t="n">
        <v>18726.9</v>
      </c>
      <c r="D5141" t="n">
        <v>14932.7</v>
      </c>
      <c r="E5141" t="n">
        <v>22880.25</v>
      </c>
      <c r="F5141" t="n">
        <v>49730.8</v>
      </c>
    </row>
    <row r="5142">
      <c r="A5142" s="3" t="n">
        <v>46010</v>
      </c>
      <c r="B5142" t="n">
        <v>53155.3</v>
      </c>
      <c r="C5142" t="n">
        <v>18883.15</v>
      </c>
      <c r="D5142" t="n">
        <v>15022.2</v>
      </c>
      <c r="E5142" t="n">
        <v>23055.55</v>
      </c>
      <c r="F5142" t="n">
        <v>50492.6</v>
      </c>
    </row>
    <row r="5143">
      <c r="A5143" s="3" t="n">
        <v>46013</v>
      </c>
      <c r="B5143" t="n">
        <v>53542.85</v>
      </c>
      <c r="C5143" t="n">
        <v>19097.15</v>
      </c>
      <c r="D5143" t="n">
        <v>15142.4</v>
      </c>
      <c r="E5143" t="n">
        <v>23131.35</v>
      </c>
      <c r="F5143" t="n">
        <v>51151</v>
      </c>
    </row>
    <row r="5144">
      <c r="A5144" s="3" t="n">
        <v>46014</v>
      </c>
      <c r="B5144" t="n">
        <v>53592.6</v>
      </c>
      <c r="C5144" t="n">
        <v>19116.25</v>
      </c>
      <c r="D5144" t="n">
        <v>15229.1</v>
      </c>
      <c r="E5144" t="n">
        <v>23108.7</v>
      </c>
      <c r="F5144" t="n">
        <v>51038.3</v>
      </c>
    </row>
    <row r="5145">
      <c r="A5145" s="3" t="n">
        <v>46015</v>
      </c>
      <c r="B5145" t="n">
        <v>53429.4</v>
      </c>
      <c r="C5145" t="n">
        <v>19031.35</v>
      </c>
      <c r="D5145" t="n">
        <v>15204.4</v>
      </c>
      <c r="E5145" t="n">
        <v>23055.3</v>
      </c>
      <c r="F5145" t="n">
        <v>50985.9</v>
      </c>
    </row>
    <row r="5146">
      <c r="A5146" s="3" t="n">
        <v>46017</v>
      </c>
      <c r="B5146" t="n">
        <v>53128.7</v>
      </c>
      <c r="C5146" t="n">
        <v>18923.45</v>
      </c>
      <c r="D5146" t="n">
        <v>15206.75</v>
      </c>
      <c r="E5146" t="n">
        <v>22968.4</v>
      </c>
      <c r="F5146" t="n">
        <v>50624.55</v>
      </c>
    </row>
    <row r="5147">
      <c r="A5147" s="3" t="n">
        <v>46020</v>
      </c>
      <c r="B5147" t="n">
        <v>52870.4</v>
      </c>
      <c r="C5147" t="n">
        <v>18823.75</v>
      </c>
      <c r="D5147" t="n">
        <v>15197.6</v>
      </c>
      <c r="E5147" t="n">
        <v>22886.55</v>
      </c>
      <c r="F5147" t="n">
        <v>50249.65</v>
      </c>
    </row>
    <row r="5148">
      <c r="A5148" s="3" t="n">
        <v>46021</v>
      </c>
      <c r="B5148" t="n">
        <v>52250.85</v>
      </c>
      <c r="C5148" t="n">
        <v>18677.5</v>
      </c>
      <c r="D5148" t="n">
        <v>15304.6</v>
      </c>
      <c r="E5148" t="n">
        <v>22892.95</v>
      </c>
      <c r="F5148" t="n">
        <v>49765.4</v>
      </c>
    </row>
    <row r="5149">
      <c r="A5149" s="3" t="n">
        <v>46022</v>
      </c>
      <c r="B5149" t="n">
        <v>52707.65</v>
      </c>
      <c r="C5149" t="n">
        <v>18856.45</v>
      </c>
      <c r="D5149" t="n">
        <v>15534.2</v>
      </c>
      <c r="E5149" t="n">
        <v>23057.8</v>
      </c>
      <c r="F5149" t="n">
        <v>50309.15</v>
      </c>
    </row>
    <row r="5150">
      <c r="A5150" s="3" t="n">
        <v>46023</v>
      </c>
      <c r="B5150" t="n">
        <v>52947.15</v>
      </c>
      <c r="C5150" t="n">
        <v>18848.85</v>
      </c>
      <c r="D5150" t="n">
        <v>15608.85</v>
      </c>
      <c r="E5150" t="n">
        <v>23090.55</v>
      </c>
      <c r="F5150" t="n">
        <v>50394.5</v>
      </c>
    </row>
    <row r="5151">
      <c r="A5151" s="3" t="n">
        <v>46024</v>
      </c>
      <c r="B5151" t="n">
        <v>53337.05</v>
      </c>
      <c r="C5151" t="n">
        <v>19032.85</v>
      </c>
      <c r="D5151" t="n">
        <v>15881.1</v>
      </c>
      <c r="E5151" t="n">
        <v>23338.65</v>
      </c>
      <c r="F5151" t="n">
        <v>50660.8</v>
      </c>
    </row>
    <row r="5152">
      <c r="A5152" s="3" t="n">
        <v>46027</v>
      </c>
      <c r="B5152" t="n">
        <v>53421.6</v>
      </c>
      <c r="C5152" t="n">
        <v>19050.9</v>
      </c>
      <c r="D5152" t="n">
        <v>15874.8</v>
      </c>
      <c r="E5152" t="n">
        <v>23342</v>
      </c>
      <c r="F5152" t="n">
        <v>50820.55</v>
      </c>
    </row>
    <row r="5153">
      <c r="A5153" s="3" t="n">
        <v>46028</v>
      </c>
      <c r="B5153" t="n">
        <v>53484.9</v>
      </c>
      <c r="C5153" t="n">
        <v>19079.7</v>
      </c>
      <c r="D5153" t="n">
        <v>15886.8</v>
      </c>
      <c r="E5153" t="n">
        <v>23501.85</v>
      </c>
      <c r="F5153" t="n">
        <v>50958.7</v>
      </c>
    </row>
    <row r="5154">
      <c r="A5154" s="3" t="n">
        <v>46029</v>
      </c>
      <c r="B5154" t="n">
        <v>53324.95</v>
      </c>
      <c r="C5154" t="n">
        <v>19290.15</v>
      </c>
      <c r="D5154" t="n">
        <v>15827.95</v>
      </c>
      <c r="E5154" t="n">
        <v>23474.05</v>
      </c>
      <c r="F5154" t="n">
        <v>51064.45</v>
      </c>
    </row>
    <row r="5155">
      <c r="A5155" s="3" t="n">
        <v>46030</v>
      </c>
      <c r="B5155" t="n">
        <v>52494.45</v>
      </c>
      <c r="C5155" t="n">
        <v>18921.15</v>
      </c>
      <c r="D5155" t="n">
        <v>15445.95</v>
      </c>
      <c r="E5155" t="n">
        <v>23112.35</v>
      </c>
      <c r="F5155" t="n">
        <v>50076.35</v>
      </c>
    </row>
    <row r="5156">
      <c r="A5156" s="3" t="n">
        <v>46031</v>
      </c>
      <c r="B5156" t="n">
        <v>51872.7</v>
      </c>
      <c r="C5156" t="n">
        <v>18686</v>
      </c>
      <c r="D5156" t="n">
        <v>15370.15</v>
      </c>
      <c r="E5156" t="n">
        <v>22947</v>
      </c>
      <c r="F5156" t="n">
        <v>49332.75</v>
      </c>
    </row>
    <row r="5157">
      <c r="A5157" s="3" t="n">
        <v>46034</v>
      </c>
      <c r="B5157" t="n">
        <v>51870.9</v>
      </c>
      <c r="C5157" t="n">
        <v>18685.7</v>
      </c>
      <c r="D5157" t="n">
        <v>15520.35</v>
      </c>
      <c r="E5157" t="n">
        <v>23025.8</v>
      </c>
      <c r="F5157" t="n">
        <v>49217.6</v>
      </c>
    </row>
    <row r="5158">
      <c r="A5158" s="3" t="n">
        <v>46035</v>
      </c>
      <c r="B5158" t="n">
        <v>51901.85</v>
      </c>
      <c r="C5158" t="n">
        <v>18700.65</v>
      </c>
      <c r="D5158" t="n">
        <v>15574.8</v>
      </c>
      <c r="E5158" t="n">
        <v>22999.45</v>
      </c>
      <c r="F5158" t="n">
        <v>49347.65</v>
      </c>
    </row>
    <row r="5159">
      <c r="A5159" s="3" t="n">
        <v>46036</v>
      </c>
      <c r="B5159" t="n">
        <v>52031.8</v>
      </c>
      <c r="C5159" t="n">
        <v>18688.95</v>
      </c>
      <c r="D5159" t="n">
        <v>15823.8</v>
      </c>
      <c r="E5159" t="n">
        <v>22865.05</v>
      </c>
      <c r="F5159" t="n">
        <v>49787.25</v>
      </c>
    </row>
    <row r="5160">
      <c r="A5160" s="3" t="n">
        <v>46038</v>
      </c>
      <c r="B5160" t="n">
        <v>52078.8</v>
      </c>
      <c r="C5160" t="n">
        <v>18671.3</v>
      </c>
      <c r="D5160" t="n">
        <v>15854.75</v>
      </c>
      <c r="E5160" t="n">
        <v>22868.8</v>
      </c>
      <c r="F5160" t="n">
        <v>49829.2</v>
      </c>
    </row>
    <row r="5161">
      <c r="A5161" s="3" t="n">
        <v>46041</v>
      </c>
      <c r="B5161" t="n">
        <v>52250.65</v>
      </c>
      <c r="C5161" t="n">
        <v>18636.75</v>
      </c>
      <c r="D5161" t="n">
        <v>15752.6</v>
      </c>
      <c r="E5161" t="n">
        <v>22866.7</v>
      </c>
      <c r="F5161" t="n">
        <v>49750.1</v>
      </c>
    </row>
    <row r="5162">
      <c r="A5162" s="3" t="n">
        <v>46042</v>
      </c>
      <c r="B5162" t="n">
        <v>51005.3</v>
      </c>
      <c r="C5162" t="n">
        <v>18149.75</v>
      </c>
      <c r="D5162" t="n">
        <v>15419</v>
      </c>
      <c r="E5162" t="n">
        <v>22405.75</v>
      </c>
      <c r="F5162" t="n">
        <v>48522.2</v>
      </c>
    </row>
    <row r="5163">
      <c r="A5163" s="3" t="n">
        <v>46043</v>
      </c>
      <c r="B5163" t="n">
        <v>50664.35</v>
      </c>
      <c r="C5163" t="n">
        <v>18030.15</v>
      </c>
      <c r="D5163" t="n">
        <v>15408.45</v>
      </c>
      <c r="E5163" t="n">
        <v>22351.65</v>
      </c>
      <c r="F5163" t="n">
        <v>47996.45</v>
      </c>
    </row>
    <row r="5164">
      <c r="A5164" s="3" t="n">
        <v>46044</v>
      </c>
      <c r="B5164" t="n">
        <v>51122.45</v>
      </c>
      <c r="C5164" t="n">
        <v>18296.65</v>
      </c>
      <c r="D5164" t="n">
        <v>15619.75</v>
      </c>
      <c r="E5164" t="n">
        <v>22556.2</v>
      </c>
      <c r="F5164" t="n">
        <v>48455.85</v>
      </c>
    </row>
    <row r="5165">
      <c r="A5165" s="3" t="n">
        <v>46045</v>
      </c>
      <c r="B5165" t="n">
        <v>50406.2</v>
      </c>
      <c r="C5165" t="n">
        <v>18045.3</v>
      </c>
      <c r="D5165" t="n">
        <v>15435.8</v>
      </c>
      <c r="E5165" t="n">
        <v>22332.75</v>
      </c>
      <c r="F5165" t="n">
        <v>47629.4</v>
      </c>
    </row>
    <row r="5166">
      <c r="A5166" s="3" t="n">
        <v>46049</v>
      </c>
      <c r="B5166" t="n">
        <v>50535.95</v>
      </c>
      <c r="C5166" t="n">
        <v>18102.8</v>
      </c>
      <c r="D5166" t="n">
        <v>15669.6</v>
      </c>
      <c r="E5166" t="n">
        <v>22362</v>
      </c>
      <c r="F5166" t="n">
        <v>47879.95</v>
      </c>
    </row>
    <row r="5167">
      <c r="A5167" s="3" t="n">
        <v>46050</v>
      </c>
      <c r="B5167" t="n">
        <v>51094.65</v>
      </c>
      <c r="C5167" t="n">
        <v>18549.35</v>
      </c>
      <c r="D5167" t="n">
        <v>16085.55</v>
      </c>
      <c r="E5167" t="n">
        <v>22531.05</v>
      </c>
      <c r="F5167" t="n">
        <v>48731.3</v>
      </c>
    </row>
    <row r="5168">
      <c r="A5168" s="3" t="n">
        <v>46051</v>
      </c>
      <c r="B5168" t="n">
        <v>51117.35</v>
      </c>
      <c r="C5168" t="n">
        <v>18580.2</v>
      </c>
      <c r="D5168" t="n">
        <v>16307</v>
      </c>
      <c r="E5168" t="n">
        <v>22449.6</v>
      </c>
      <c r="F5168" t="n">
        <v>48845.75</v>
      </c>
    </row>
    <row r="5169">
      <c r="A5169" s="3" t="n">
        <v>46052</v>
      </c>
      <c r="B5169" t="n">
        <v>50783.85</v>
      </c>
      <c r="C5169" t="n">
        <v>18572.4</v>
      </c>
      <c r="D5169" t="n">
        <v>15969.9</v>
      </c>
      <c r="E5169" t="n">
        <v>22434.05</v>
      </c>
      <c r="F5169" t="n">
        <v>48636.85</v>
      </c>
    </row>
    <row r="5170">
      <c r="A5170" s="3" t="n">
        <v>46054</v>
      </c>
      <c r="B5170" t="n">
        <v>49219.65</v>
      </c>
      <c r="C5170" t="n">
        <v>18178.8</v>
      </c>
      <c r="D5170" t="n">
        <v>15454.1</v>
      </c>
      <c r="E5170" t="n">
        <v>22060.4</v>
      </c>
      <c r="F5170" t="n">
        <v>46961.25</v>
      </c>
    </row>
    <row r="5171">
      <c r="A5171" s="3" t="n">
        <v>46055</v>
      </c>
      <c r="B5171" t="n">
        <v>49817.8</v>
      </c>
      <c r="C5171" t="n">
        <v>18399.4</v>
      </c>
      <c r="D5171" t="n">
        <v>15733.35</v>
      </c>
      <c r="E5171" t="n">
        <v>22259.9</v>
      </c>
      <c r="F5171" t="n">
        <v>47507.45</v>
      </c>
    </row>
    <row r="5172">
      <c r="A5172" s="3" t="n">
        <v>46056</v>
      </c>
      <c r="B5172" t="n">
        <v>51357.25</v>
      </c>
      <c r="C5172" t="n">
        <v>18902.65</v>
      </c>
      <c r="D5172" t="n">
        <v>16070.25</v>
      </c>
      <c r="E5172" t="n">
        <v>22727.2</v>
      </c>
      <c r="F5172" t="n">
        <v>49078.85</v>
      </c>
    </row>
    <row r="5173">
      <c r="A5173" s="3" t="n">
        <v>46057</v>
      </c>
      <c r="B5173" t="n">
        <v>51874.9</v>
      </c>
      <c r="C5173" t="n">
        <v>18891.8</v>
      </c>
      <c r="D5173" t="n">
        <v>16362.25</v>
      </c>
      <c r="E5173" t="n">
        <v>22768.9</v>
      </c>
      <c r="F5173" t="n">
        <v>49566.6</v>
      </c>
    </row>
    <row r="5174">
      <c r="A5174" s="3" t="n">
        <v>46058</v>
      </c>
      <c r="B5174" t="n">
        <v>51547.25</v>
      </c>
      <c r="C5174" t="n">
        <v>18797.15</v>
      </c>
      <c r="D5174" t="n">
        <v>16285.85</v>
      </c>
      <c r="E5174" t="n">
        <v>22734.55</v>
      </c>
      <c r="F5174" t="n">
        <v>49171.9</v>
      </c>
    </row>
    <row r="5175">
      <c r="A5175" s="3" t="n">
        <v>46059</v>
      </c>
      <c r="B5175" t="n">
        <v>51813.2</v>
      </c>
      <c r="C5175" t="n">
        <v>18692.9</v>
      </c>
      <c r="D5175" t="n">
        <v>16304.2</v>
      </c>
      <c r="E5175" t="n">
        <v>22737.95</v>
      </c>
      <c r="F5175" t="n">
        <v>49765.6</v>
      </c>
    </row>
    <row r="5176">
      <c r="A5176" s="3" t="n">
        <v>46062</v>
      </c>
      <c r="B5176" t="n">
        <v>52614.85</v>
      </c>
      <c r="C5176" t="n">
        <v>18924.05</v>
      </c>
      <c r="D5176" t="n">
        <v>16489.6</v>
      </c>
      <c r="E5176" t="n">
        <v>22842.15</v>
      </c>
      <c r="F5176" t="n">
        <v>50768.5</v>
      </c>
    </row>
    <row r="5177">
      <c r="A5177" s="3" t="n">
        <v>46063</v>
      </c>
      <c r="B5177" t="n">
        <v>52643.95</v>
      </c>
      <c r="C5177" t="n">
        <v>19073.15</v>
      </c>
      <c r="D5177" t="n">
        <v>16596.75</v>
      </c>
      <c r="E5177" t="n">
        <v>22904.8</v>
      </c>
      <c r="F5177" t="n">
        <v>50851.75</v>
      </c>
    </row>
    <row r="5178">
      <c r="A5178" s="3" t="n">
        <v>46064</v>
      </c>
      <c r="B5178" t="n">
        <v>52952.65</v>
      </c>
      <c r="C5178" t="n">
        <v>19066.35</v>
      </c>
      <c r="D5178" t="n">
        <v>16662.75</v>
      </c>
      <c r="E5178" t="n">
        <v>23075.65</v>
      </c>
      <c r="F5178" t="n">
        <v>51015.15</v>
      </c>
    </row>
    <row r="5179">
      <c r="A5179" s="3" t="n">
        <v>46065</v>
      </c>
      <c r="B5179" t="n">
        <v>53249.9</v>
      </c>
      <c r="C5179" t="n">
        <v>18807.6</v>
      </c>
      <c r="D5179" t="n">
        <v>16585.15</v>
      </c>
      <c r="E5179" t="n">
        <v>23004.75</v>
      </c>
      <c r="F5179" t="n">
        <v>51351.65</v>
      </c>
    </row>
    <row r="5180">
      <c r="A5180" s="3" t="n">
        <v>46066</v>
      </c>
      <c r="B5180" t="n">
        <v>52347.45</v>
      </c>
      <c r="C5180" t="n">
        <v>18458.6</v>
      </c>
      <c r="D5180" t="n">
        <v>16265.25</v>
      </c>
      <c r="E5180" t="n">
        <v>22778.85</v>
      </c>
      <c r="F5180" t="n">
        <v>50272.85</v>
      </c>
    </row>
    <row r="5181">
      <c r="A5181" s="3" t="n">
        <v>46069</v>
      </c>
      <c r="B5181" t="n">
        <v>52412</v>
      </c>
      <c r="C5181" t="n">
        <v>18560.5</v>
      </c>
      <c r="D5181" t="n">
        <v>16445.8</v>
      </c>
      <c r="E5181" t="n">
        <v>22914.8</v>
      </c>
      <c r="F5181" t="n">
        <v>50427.5</v>
      </c>
    </row>
    <row r="5182">
      <c r="A5182" s="3" t="n">
        <v>46070</v>
      </c>
      <c r="B5182" t="n">
        <v>52581.05</v>
      </c>
      <c r="C5182" t="n">
        <v>18631.9</v>
      </c>
      <c r="D5182" t="n">
        <v>16493.55</v>
      </c>
      <c r="E5182" t="n">
        <v>23016.65</v>
      </c>
      <c r="F5182" t="n">
        <v>50750.45</v>
      </c>
    </row>
    <row r="5183">
      <c r="A5183" s="3" t="n">
        <v>46071</v>
      </c>
      <c r="B5183" t="n">
        <v>52972.65</v>
      </c>
      <c r="C5183" t="n">
        <v>18701.35</v>
      </c>
      <c r="D5183" t="n">
        <v>16619</v>
      </c>
      <c r="E5183" t="n">
        <v>23072.5</v>
      </c>
      <c r="F5183" t="n">
        <v>51395.85</v>
      </c>
    </row>
    <row r="5184">
      <c r="A5184" s="3" t="n">
        <v>46072</v>
      </c>
      <c r="B5184" t="n">
        <v>52174.65</v>
      </c>
      <c r="C5184" t="n">
        <v>18366.15</v>
      </c>
      <c r="D5184" t="n">
        <v>16441.2</v>
      </c>
      <c r="E5184" t="n">
        <v>22829.3</v>
      </c>
      <c r="F5184" t="n">
        <v>50660.6</v>
      </c>
    </row>
    <row r="5185">
      <c r="A5185" s="3" t="n">
        <v>46073</v>
      </c>
      <c r="B5185" t="n">
        <v>52568.65</v>
      </c>
      <c r="C5185" t="n">
        <v>18436.1</v>
      </c>
      <c r="D5185" t="n">
        <v>16585.45</v>
      </c>
      <c r="E5185" t="n">
        <v>22947.3</v>
      </c>
      <c r="F5185" t="n">
        <v>51047.1</v>
      </c>
    </row>
    <row r="5186">
      <c r="A5186" s="3" t="n">
        <v>46076</v>
      </c>
      <c r="B5186" t="n">
        <v>52681.45</v>
      </c>
      <c r="C5186" t="n">
        <v>18434.2</v>
      </c>
      <c r="D5186" t="n">
        <v>16605.8</v>
      </c>
      <c r="E5186" t="n">
        <v>23103.55</v>
      </c>
      <c r="F5186" t="n">
        <v>50985.75</v>
      </c>
    </row>
    <row r="5187">
      <c r="A5187" s="3" t="n">
        <v>46077</v>
      </c>
      <c r="B5187" t="n">
        <v>52537.3</v>
      </c>
      <c r="C5187" t="n">
        <v>18292.9</v>
      </c>
      <c r="D5187" t="n">
        <v>16718.45</v>
      </c>
      <c r="E5187" t="n">
        <v>22952.35</v>
      </c>
      <c r="F5187" t="n">
        <v>50864.25</v>
      </c>
    </row>
    <row r="5188">
      <c r="A5188" s="3" t="n">
        <v>46078</v>
      </c>
      <c r="B5188" t="n">
        <v>53111.9</v>
      </c>
      <c r="C5188" t="n">
        <v>18448.1</v>
      </c>
      <c r="D5188" t="n">
        <v>16895.9</v>
      </c>
      <c r="E5188" t="n">
        <v>23149.4</v>
      </c>
      <c r="F5188" t="n">
        <v>51265.7</v>
      </c>
    </row>
    <row r="5189">
      <c r="A5189" s="3" t="n">
        <v>46079</v>
      </c>
      <c r="B5189" t="n">
        <v>53352.3</v>
      </c>
      <c r="C5189" t="n">
        <v>18466.9</v>
      </c>
      <c r="D5189" t="n">
        <v>16982.35</v>
      </c>
      <c r="E5189" t="n">
        <v>23179.05</v>
      </c>
      <c r="F5189" t="n">
        <v>51462.65</v>
      </c>
    </row>
    <row r="5190">
      <c r="A5190" s="3" t="n">
        <v>46080</v>
      </c>
      <c r="B5190" t="n">
        <v>52358.4</v>
      </c>
      <c r="C5190" t="n">
        <v>18236.6</v>
      </c>
      <c r="D5190" t="n">
        <v>16854.05</v>
      </c>
      <c r="E5190" t="n">
        <v>22861.45</v>
      </c>
      <c r="F5190" t="n">
        <v>50663.15</v>
      </c>
    </row>
    <row r="5191">
      <c r="A5191" s="3" t="n">
        <v>46083</v>
      </c>
      <c r="B5191" t="n">
        <v>51496</v>
      </c>
      <c r="C5191" t="n">
        <v>17976.75</v>
      </c>
      <c r="D5191" t="n">
        <v>16619.05</v>
      </c>
      <c r="E5191" t="n">
        <v>22552.05</v>
      </c>
      <c r="F5191" t="n">
        <v>49979.45</v>
      </c>
    </row>
    <row r="5192">
      <c r="A5192" s="3" t="n">
        <v>46085</v>
      </c>
      <c r="B5192" t="n">
        <v>50312.45</v>
      </c>
      <c r="C5192" t="n">
        <v>17734.4</v>
      </c>
      <c r="D5192" t="n">
        <v>16125.3</v>
      </c>
      <c r="E5192" t="n">
        <v>22197.9</v>
      </c>
      <c r="F5192" t="n">
        <v>48631.1</v>
      </c>
    </row>
    <row r="5193">
      <c r="A5193" s="3" t="n">
        <v>46086</v>
      </c>
      <c r="B5193" t="n">
        <v>51314.7</v>
      </c>
      <c r="C5193" t="n">
        <v>18043.05</v>
      </c>
      <c r="D5193" t="n">
        <v>16407.55</v>
      </c>
      <c r="E5193" t="n">
        <v>22443</v>
      </c>
      <c r="F5193" t="n">
        <v>49534.3</v>
      </c>
    </row>
    <row r="5194">
      <c r="A5194" s="3" t="n">
        <v>46087</v>
      </c>
      <c r="B5194" t="n">
        <v>50725.3</v>
      </c>
      <c r="C5194" t="n">
        <v>18069.85</v>
      </c>
      <c r="D5194" t="n">
        <v>16293.05</v>
      </c>
      <c r="E5194" t="n">
        <v>22264.9</v>
      </c>
      <c r="F5194" t="n">
        <v>49128</v>
      </c>
    </row>
    <row r="5195">
      <c r="A5195" s="3" t="n">
        <v>46090</v>
      </c>
      <c r="B5195" t="n">
        <v>49580.3</v>
      </c>
      <c r="C5195" t="n">
        <v>17795.05</v>
      </c>
      <c r="D5195" t="n">
        <v>15802.1</v>
      </c>
      <c r="E5195" t="n">
        <v>21852.65</v>
      </c>
      <c r="F5195" t="n">
        <v>48170.45</v>
      </c>
    </row>
    <row r="5196">
      <c r="A5196" s="3" t="n">
        <v>46091</v>
      </c>
      <c r="B5196" t="n">
        <v>50776.95</v>
      </c>
      <c r="C5196" t="n">
        <v>18183.95</v>
      </c>
      <c r="D5196" t="n">
        <v>16058.85</v>
      </c>
      <c r="E5196" t="n">
        <v>22144.35</v>
      </c>
      <c r="F5196" t="n">
        <v>49260.5</v>
      </c>
    </row>
    <row r="5197">
      <c r="A5197" s="3" t="n">
        <v>46092</v>
      </c>
      <c r="B5197" t="n">
        <v>49695.6</v>
      </c>
      <c r="C5197" t="n">
        <v>17936.3</v>
      </c>
      <c r="D5197" t="n">
        <v>16001.7</v>
      </c>
      <c r="E5197" t="n">
        <v>21825.05</v>
      </c>
      <c r="F5197" t="n">
        <v>48296.25</v>
      </c>
    </row>
    <row r="5198">
      <c r="A5198" s="3" t="n">
        <v>46093</v>
      </c>
      <c r="B5198" t="n">
        <v>49060.3</v>
      </c>
      <c r="C5198" t="n">
        <v>17916</v>
      </c>
      <c r="D5198" t="n">
        <v>16073.85</v>
      </c>
      <c r="E5198" t="n">
        <v>21655.25</v>
      </c>
      <c r="F5198" t="n">
        <v>47888.5</v>
      </c>
    </row>
    <row r="5199">
      <c r="A5199" s="3" t="n">
        <v>46094</v>
      </c>
      <c r="B5199" t="n">
        <v>47768.25</v>
      </c>
      <c r="C5199" t="n">
        <v>17524.95</v>
      </c>
      <c r="D5199" t="n">
        <v>15584.45</v>
      </c>
      <c r="E5199" t="n">
        <v>21263.05</v>
      </c>
      <c r="F5199" t="n">
        <v>46775.25</v>
      </c>
    </row>
    <row r="5200">
      <c r="A5200" s="3" t="n">
        <v>46097</v>
      </c>
      <c r="B5200" t="n">
        <v>48073.6</v>
      </c>
      <c r="C5200" t="n">
        <v>17435.9</v>
      </c>
      <c r="D5200" t="n">
        <v>15476.25</v>
      </c>
      <c r="E5200" t="n">
        <v>21244.2</v>
      </c>
      <c r="F5200" t="n">
        <v>46892.45</v>
      </c>
    </row>
    <row r="5201">
      <c r="A5201" s="3" t="n">
        <v>46098</v>
      </c>
      <c r="B5201" t="n">
        <v>48767.95</v>
      </c>
      <c r="C5201" t="n">
        <v>17570.8</v>
      </c>
      <c r="D5201" t="n">
        <v>15645.9</v>
      </c>
      <c r="E5201" t="n">
        <v>21372.2</v>
      </c>
      <c r="F5201" t="n">
        <v>47510.1</v>
      </c>
    </row>
    <row r="5202">
      <c r="A5202" s="3" t="n">
        <v>46099</v>
      </c>
      <c r="B5202" t="n">
        <v>49496.25</v>
      </c>
      <c r="C5202" t="n">
        <v>17841.95</v>
      </c>
      <c r="D5202" t="n">
        <v>15708.4</v>
      </c>
      <c r="E5202" t="n">
        <v>21567.15</v>
      </c>
      <c r="F5202" t="n">
        <v>48229</v>
      </c>
    </row>
    <row r="5203">
      <c r="A5203" s="3" t="n">
        <v>46100</v>
      </c>
      <c r="B5203" t="n">
        <v>47666.05</v>
      </c>
      <c r="C5203" t="n">
        <v>17359.8</v>
      </c>
      <c r="D5203" t="n">
        <v>15281.9</v>
      </c>
      <c r="E5203" t="n">
        <v>21008</v>
      </c>
      <c r="F5203" t="n">
        <v>46650.8</v>
      </c>
    </row>
    <row r="5204">
      <c r="A5204" s="3" t="n">
        <v>46101</v>
      </c>
      <c r="B5204" t="n">
        <v>47759.05</v>
      </c>
      <c r="C5204" t="n">
        <v>17402.95</v>
      </c>
      <c r="D5204" t="n">
        <v>15395.65</v>
      </c>
      <c r="E5204" t="n">
        <v>21162.25</v>
      </c>
      <c r="F5204" t="n">
        <v>46708.75</v>
      </c>
    </row>
    <row r="5205">
      <c r="A5205" s="3" t="n">
        <v>46104</v>
      </c>
      <c r="B5205" t="n">
        <v>45951.45</v>
      </c>
      <c r="C5205" t="n">
        <v>16795.45</v>
      </c>
      <c r="D5205" t="n">
        <v>14858</v>
      </c>
      <c r="E5205" t="n">
        <v>20633.2</v>
      </c>
      <c r="F5205" t="n">
        <v>44842.55</v>
      </c>
    </row>
    <row r="5206">
      <c r="A5206" s="3" t="n">
        <v>46105</v>
      </c>
      <c r="B5206" t="n">
        <v>47227.25</v>
      </c>
      <c r="C5206" t="n">
        <v>17115.5</v>
      </c>
      <c r="D5206" t="n">
        <v>15044.6</v>
      </c>
      <c r="E5206" t="n">
        <v>20928.25</v>
      </c>
      <c r="F5206" t="n">
        <v>45980.9</v>
      </c>
    </row>
    <row r="5207">
      <c r="A5207" s="3" t="n">
        <v>46106</v>
      </c>
      <c r="B5207" t="n">
        <v>48558.7</v>
      </c>
      <c r="C5207" t="n">
        <v>17424.3</v>
      </c>
      <c r="D5207" t="n">
        <v>15324.3</v>
      </c>
      <c r="E5207" t="n">
        <v>21240.35</v>
      </c>
      <c r="F5207" t="n">
        <v>47306.5</v>
      </c>
    </row>
    <row r="5208">
      <c r="A5208" s="3" t="n">
        <v>46108</v>
      </c>
      <c r="B5208" t="n">
        <v>47299.75</v>
      </c>
      <c r="C5208" t="n">
        <v>17076.2</v>
      </c>
      <c r="D5208" t="n">
        <v>15117.1</v>
      </c>
      <c r="E5208" t="n">
        <v>20965.85</v>
      </c>
      <c r="F5208" t="n">
        <v>45890.35</v>
      </c>
    </row>
    <row r="5209">
      <c r="A5209" s="3" t="n">
        <v>46111</v>
      </c>
      <c r="B5209" t="n">
        <v>45987.05</v>
      </c>
      <c r="C5209" t="n">
        <v>16709.15</v>
      </c>
      <c r="D5209" t="n">
        <v>14937.7</v>
      </c>
      <c r="E5209" t="n">
        <v>20579.9</v>
      </c>
      <c r="F5209" t="n">
        <v>44487.95</v>
      </c>
    </row>
    <row r="5210">
      <c r="A5210" s="3" t="n">
        <v>46113</v>
      </c>
      <c r="B5210" t="n">
        <v>47238.1</v>
      </c>
      <c r="C5210" t="n">
        <v>17350.05</v>
      </c>
      <c r="D5210" t="n">
        <v>15219.95</v>
      </c>
      <c r="E5210" t="n">
        <v>20744.8</v>
      </c>
      <c r="F5210" t="n">
        <v>45779.85</v>
      </c>
    </row>
    <row r="5211">
      <c r="A5211" s="3" t="n">
        <v>46114</v>
      </c>
      <c r="B5211" t="n">
        <v>46966.4</v>
      </c>
      <c r="C5211" t="n">
        <v>17439.1</v>
      </c>
      <c r="D5211" t="n">
        <v>15176.55</v>
      </c>
      <c r="E5211" t="n">
        <v>20705.5</v>
      </c>
      <c r="F5211" t="n">
        <v>45540.7</v>
      </c>
    </row>
    <row r="5212">
      <c r="A5212" s="3" t="n">
        <v>46118</v>
      </c>
      <c r="B5212" t="n">
        <v>47873.55</v>
      </c>
      <c r="C5212" t="n">
        <v>17668.55</v>
      </c>
      <c r="D5212" t="n">
        <v>15361.35</v>
      </c>
      <c r="E5212" t="n">
        <v>20911.15</v>
      </c>
      <c r="F5212" t="n">
        <v>46389.55</v>
      </c>
    </row>
    <row r="5213">
      <c r="A5213" s="3" t="n">
        <v>46119</v>
      </c>
      <c r="B5213" t="n">
        <v>47880.9</v>
      </c>
      <c r="C5213" t="n">
        <v>17756.2</v>
      </c>
      <c r="D5213" t="n">
        <v>15441</v>
      </c>
      <c r="E5213" t="n">
        <v>21033.4</v>
      </c>
      <c r="F5213" t="n">
        <v>46338</v>
      </c>
    </row>
    <row r="5214">
      <c r="A5214" s="3" t="n">
        <v>46120</v>
      </c>
      <c r="B5214" t="n">
        <v>50480.7</v>
      </c>
      <c r="C5214" t="n">
        <v>18273</v>
      </c>
      <c r="D5214" t="n">
        <v>15904.8</v>
      </c>
      <c r="E5214" t="n">
        <v>21547.25</v>
      </c>
      <c r="F5214" t="n">
        <v>48574.3</v>
      </c>
    </row>
    <row r="5215">
      <c r="A5215" s="3" t="n">
        <v>46121</v>
      </c>
      <c r="B5215" t="n">
        <v>50489.9</v>
      </c>
      <c r="C5215" t="n">
        <v>18431.4</v>
      </c>
      <c r="D5215" t="n">
        <v>15971.45</v>
      </c>
      <c r="E5215" t="n">
        <v>21604.95</v>
      </c>
      <c r="F5215" t="n">
        <v>48756.75</v>
      </c>
    </row>
    <row r="5216">
      <c r="A5216" s="3" t="n">
        <v>46122</v>
      </c>
      <c r="B5216" t="n">
        <v>51588.95</v>
      </c>
      <c r="C5216" t="n">
        <v>18627.9</v>
      </c>
      <c r="D5216" t="n">
        <v>16106.5</v>
      </c>
      <c r="E5216" t="n">
        <v>21872.75</v>
      </c>
      <c r="F5216" t="n">
        <v>49828.45</v>
      </c>
    </row>
    <row r="5217">
      <c r="A5217" s="3" t="n">
        <v>46125</v>
      </c>
      <c r="B5217" t="n">
        <v>50841.6</v>
      </c>
      <c r="C5217" t="n">
        <v>18531.5</v>
      </c>
      <c r="D5217" t="n">
        <v>16044.95</v>
      </c>
      <c r="E5217" t="n">
        <v>21665.95</v>
      </c>
      <c r="F5217" t="n">
        <v>49507.2</v>
      </c>
    </row>
    <row r="5218">
      <c r="A5218" s="3" t="n">
        <v>46127</v>
      </c>
      <c r="B5218" t="n">
        <v>51731.9</v>
      </c>
      <c r="C5218" t="n">
        <v>18965.95</v>
      </c>
      <c r="D5218" t="n">
        <v>16356.65</v>
      </c>
      <c r="E5218" t="n">
        <v>22029.3</v>
      </c>
      <c r="F5218" t="n">
        <v>50337.4</v>
      </c>
    </row>
    <row r="5219">
      <c r="A5219" s="3" t="n">
        <v>46128</v>
      </c>
      <c r="B5219" t="n">
        <v>51739.4</v>
      </c>
      <c r="C5219" t="n">
        <v>19108.5</v>
      </c>
      <c r="D5219" t="n">
        <v>16414.85</v>
      </c>
      <c r="E5219" t="n">
        <v>21993.35</v>
      </c>
      <c r="F5219" t="n">
        <v>50495.9</v>
      </c>
    </row>
    <row r="5220">
      <c r="A5220" s="3" t="n">
        <v>46129</v>
      </c>
      <c r="B5220" t="n">
        <v>52159.6</v>
      </c>
      <c r="C5220" t="n">
        <v>19528.25</v>
      </c>
      <c r="D5220" t="n">
        <v>16571.65</v>
      </c>
      <c r="E5220" t="n">
        <v>22178.9</v>
      </c>
      <c r="F5220" t="n">
        <v>51029.9</v>
      </c>
    </row>
    <row r="5221">
      <c r="A5221" s="3" t="n">
        <v>46132</v>
      </c>
      <c r="B5221" t="n">
        <v>52280.4</v>
      </c>
      <c r="C5221" t="n">
        <v>19450.25</v>
      </c>
      <c r="D5221" t="n">
        <v>16582.25</v>
      </c>
      <c r="E5221" t="n">
        <v>22220.1</v>
      </c>
      <c r="F5221" t="n">
        <v>51129.4</v>
      </c>
    </row>
    <row r="5222">
      <c r="A5222" s="3" t="n">
        <v>46133</v>
      </c>
      <c r="B5222" t="n">
        <v>52545.15</v>
      </c>
      <c r="C5222" t="n">
        <v>19532.45</v>
      </c>
      <c r="D5222" t="n">
        <v>16632.7</v>
      </c>
      <c r="E5222" t="n">
        <v>22312.65</v>
      </c>
      <c r="F5222" t="n">
        <v>51242.2</v>
      </c>
    </row>
    <row r="5223">
      <c r="A5223" s="3" t="n">
        <v>46134</v>
      </c>
      <c r="B5223" t="n">
        <v>52376.35</v>
      </c>
      <c r="C5223" t="n">
        <v>19536.15</v>
      </c>
      <c r="D5223" t="n">
        <v>16716.6</v>
      </c>
      <c r="E5223" t="n">
        <v>22190.6</v>
      </c>
      <c r="F5223" t="n">
        <v>51377.5</v>
      </c>
    </row>
    <row r="5224">
      <c r="A5224" s="3" t="n">
        <v>46135</v>
      </c>
      <c r="B5224" t="n">
        <v>51886.5</v>
      </c>
      <c r="C5224" t="n">
        <v>19532.25</v>
      </c>
      <c r="D5224" t="n">
        <v>16559.15</v>
      </c>
      <c r="E5224" t="n">
        <v>22100.7</v>
      </c>
      <c r="F5224" t="n">
        <v>51097.15</v>
      </c>
    </row>
    <row r="5225">
      <c r="A5225" s="3" t="n">
        <v>46136</v>
      </c>
      <c r="B5225" t="n">
        <v>51698.5</v>
      </c>
      <c r="C5225" t="n">
        <v>19345.15</v>
      </c>
      <c r="D5225" t="n">
        <v>16505.75</v>
      </c>
      <c r="E5225" t="n">
        <v>21890.45</v>
      </c>
      <c r="F5225" t="n">
        <v>50876.65</v>
      </c>
    </row>
    <row r="5226">
      <c r="A5226" s="3" t="n">
        <v>46139</v>
      </c>
      <c r="B5226" t="n">
        <v>52022.4</v>
      </c>
      <c r="C5226" t="n">
        <v>19521.05</v>
      </c>
      <c r="D5226" t="n">
        <v>16721.95</v>
      </c>
      <c r="E5226" t="n">
        <v>22113.9</v>
      </c>
      <c r="F5226" t="n">
        <v>51292.85</v>
      </c>
    </row>
    <row r="5227">
      <c r="A5227" s="3" t="n">
        <v>46140</v>
      </c>
      <c r="B5227" t="n">
        <v>51881.75</v>
      </c>
      <c r="C5227" t="n">
        <v>19545.55</v>
      </c>
      <c r="D5227" t="n">
        <v>16753.2</v>
      </c>
      <c r="E5227" t="n">
        <v>22107.75</v>
      </c>
      <c r="F5227" t="n">
        <v>51173.25</v>
      </c>
    </row>
    <row r="5228">
      <c r="A5228" s="3" t="n">
        <v>46141</v>
      </c>
      <c r="B5228" t="n">
        <v>52149.1</v>
      </c>
      <c r="C5228" t="n">
        <v>19573.9</v>
      </c>
      <c r="D5228" t="n">
        <v>16786.05</v>
      </c>
      <c r="E5228" t="n">
        <v>22222.8</v>
      </c>
      <c r="F5228" t="n">
        <v>51409.85</v>
      </c>
    </row>
    <row r="5229">
      <c r="A5229" s="3" t="n">
        <v>46142</v>
      </c>
      <c r="B5229" t="n">
        <v>51758.85</v>
      </c>
      <c r="C5229" t="n">
        <v>19406.7</v>
      </c>
      <c r="D5229" t="n">
        <v>16554.2</v>
      </c>
      <c r="E5229" t="n">
        <v>22153.7</v>
      </c>
      <c r="F5229" t="n">
        <v>50876.15</v>
      </c>
    </row>
    <row r="5230">
      <c r="A5230" s="3" t="n">
        <v>46146</v>
      </c>
      <c r="B5230" t="n">
        <v>52178.35</v>
      </c>
      <c r="C5230" t="n">
        <v>19469.5</v>
      </c>
      <c r="D5230" t="n">
        <v>16629.45</v>
      </c>
      <c r="E5230" t="n">
        <v>22210.15</v>
      </c>
      <c r="F5230" t="n">
        <v>51248.9</v>
      </c>
    </row>
    <row r="5231">
      <c r="A5231" s="3" t="n">
        <v>46147</v>
      </c>
      <c r="B5231" t="n">
        <v>52338.55</v>
      </c>
      <c r="C5231" t="n">
        <v>19633.7</v>
      </c>
      <c r="D5231" t="n">
        <v>16618.3</v>
      </c>
      <c r="E5231" t="n">
        <v>22195.2</v>
      </c>
      <c r="F5231" t="n">
        <v>51550.9</v>
      </c>
    </row>
    <row r="5232">
      <c r="A5232" s="3" t="n">
        <v>46148</v>
      </c>
      <c r="B5232" t="n">
        <v>53382.4</v>
      </c>
      <c r="C5232" t="n">
        <v>19802.9</v>
      </c>
      <c r="D5232" t="n">
        <v>16823.05</v>
      </c>
      <c r="E5232" t="n">
        <v>22423.5</v>
      </c>
      <c r="F5232" t="n">
        <v>52287.9</v>
      </c>
    </row>
    <row r="5233">
      <c r="A5233" s="3" t="n">
        <v>46149</v>
      </c>
      <c r="B5233" t="n">
        <v>53993.1</v>
      </c>
      <c r="C5233" t="n">
        <v>19996.35</v>
      </c>
      <c r="D5233" t="n">
        <v>16828.1</v>
      </c>
      <c r="E5233" t="n">
        <v>22508.55</v>
      </c>
      <c r="F5233" t="n">
        <v>53207.1</v>
      </c>
    </row>
    <row r="5234">
      <c r="A5234" s="3" t="n">
        <v>46150</v>
      </c>
      <c r="B5234" t="n">
        <v>53840.9</v>
      </c>
      <c r="C5234" t="n">
        <v>19944.65</v>
      </c>
      <c r="D5234" t="n">
        <v>16647.05</v>
      </c>
      <c r="E5234" t="n">
        <v>22449.95</v>
      </c>
      <c r="F5234" t="n">
        <v>52914.3</v>
      </c>
    </row>
    <row r="5235">
      <c r="A5235" s="3" t="n">
        <v>46153</v>
      </c>
      <c r="B5235" t="n">
        <v>52971.45</v>
      </c>
      <c r="C5235" t="n">
        <v>19633</v>
      </c>
      <c r="D5235" t="n">
        <v>16411.8</v>
      </c>
      <c r="E5235" t="n">
        <v>22235.05</v>
      </c>
      <c r="F5235" t="n">
        <v>52246.75</v>
      </c>
    </row>
    <row r="5236">
      <c r="A5236" s="3" t="n">
        <v>46154</v>
      </c>
      <c r="B5236" t="n">
        <v>51805.35</v>
      </c>
      <c r="C5236" t="n">
        <v>19094.7</v>
      </c>
      <c r="D5236" t="n">
        <v>16273.15</v>
      </c>
      <c r="E5236" t="n">
        <v>21852</v>
      </c>
      <c r="F5236" t="n">
        <v>50964.7</v>
      </c>
    </row>
    <row r="5237">
      <c r="A5237" s="3" t="n">
        <v>46155</v>
      </c>
      <c r="B5237" t="n">
        <v>51967.75</v>
      </c>
      <c r="C5237" t="n">
        <v>19236.9</v>
      </c>
      <c r="D5237" t="n">
        <v>16489.8</v>
      </c>
      <c r="E5237" t="n">
        <v>21818.5</v>
      </c>
      <c r="F5237" t="n">
        <v>51262.15</v>
      </c>
    </row>
    <row r="5238">
      <c r="A5238" s="3" t="n">
        <v>46156</v>
      </c>
      <c r="B5238" t="n">
        <v>52778.15</v>
      </c>
      <c r="C5238" t="n">
        <v>19355.35</v>
      </c>
      <c r="D5238" t="n">
        <v>16611.15</v>
      </c>
      <c r="E5238" t="n">
        <v>22004.85</v>
      </c>
      <c r="F5238" t="n">
        <v>52122.5</v>
      </c>
    </row>
    <row r="5239">
      <c r="A5239" s="3" t="n">
        <v>46157</v>
      </c>
      <c r="B5239" t="n">
        <v>52588</v>
      </c>
      <c r="C5239" t="n">
        <v>19363.4</v>
      </c>
      <c r="D5239" t="n">
        <v>16475.65</v>
      </c>
      <c r="E5239" t="n">
        <v>22063.25</v>
      </c>
      <c r="F5239" t="n">
        <v>51873.9</v>
      </c>
    </row>
    <row r="5240">
      <c r="A5240" s="3" t="n">
        <v>46160</v>
      </c>
      <c r="B5240" t="n">
        <v>52241.85</v>
      </c>
      <c r="C5240" t="n">
        <v>19328.65</v>
      </c>
      <c r="D5240" t="n">
        <v>16262.35</v>
      </c>
      <c r="E5240" t="n">
        <v>21945.95</v>
      </c>
      <c r="F5240" t="n">
        <v>51400.75</v>
      </c>
    </row>
    <row r="5241">
      <c r="A5241" s="3" t="n">
        <v>46161</v>
      </c>
      <c r="B5241" t="n">
        <v>52347.7</v>
      </c>
      <c r="C5241" t="n">
        <v>19511.15</v>
      </c>
      <c r="D5241" t="n">
        <v>16339.65</v>
      </c>
      <c r="E5241" t="n">
        <v>22036.9</v>
      </c>
      <c r="F5241" t="n">
        <v>51591.45</v>
      </c>
    </row>
    <row r="5242">
      <c r="A5242" s="3" t="n">
        <v>46162</v>
      </c>
      <c r="B5242" t="n">
        <v>52735.1</v>
      </c>
      <c r="C5242" t="n">
        <v>19606.9</v>
      </c>
      <c r="D5242" t="n">
        <v>16432.65</v>
      </c>
      <c r="E5242" t="n">
        <v>22028.55</v>
      </c>
      <c r="F5242" t="n">
        <v>52032.7</v>
      </c>
    </row>
    <row r="5243">
      <c r="A5243" s="3" t="n">
        <v>46163</v>
      </c>
      <c r="B5243" t="n">
        <v>52634.2</v>
      </c>
      <c r="C5243" t="n">
        <v>19700</v>
      </c>
      <c r="D5243" t="n">
        <v>16514.65</v>
      </c>
      <c r="E5243" t="n">
        <v>22023.2</v>
      </c>
      <c r="F5243" t="n">
        <v>52088.1</v>
      </c>
    </row>
    <row r="5244">
      <c r="A5244" s="3" t="n">
        <v>46164</v>
      </c>
      <c r="B5244" t="n">
        <v>52820.4</v>
      </c>
      <c r="C5244" t="n">
        <v>19701.65</v>
      </c>
      <c r="D5244" t="n">
        <v>16510.45</v>
      </c>
      <c r="E5244" t="n">
        <v>22046.45</v>
      </c>
      <c r="F5244" t="n">
        <v>52104.45</v>
      </c>
    </row>
    <row r="5245">
      <c r="A5245" s="3" t="n">
        <v>46167</v>
      </c>
      <c r="B5245" t="n">
        <v>53637.2</v>
      </c>
      <c r="C5245" t="n">
        <v>19791.6</v>
      </c>
      <c r="D5245" t="n">
        <v>16691.3</v>
      </c>
      <c r="E5245" t="n">
        <v>22224.75</v>
      </c>
      <c r="F5245" t="n">
        <v>52873.3</v>
      </c>
    </row>
    <row r="5246">
      <c r="A5246" s="3" t="n">
        <v>46168</v>
      </c>
      <c r="B5246" t="n">
        <v>53663.35</v>
      </c>
      <c r="C5246" t="n">
        <v>19861.2</v>
      </c>
      <c r="D5246" t="n">
        <v>16736.65</v>
      </c>
      <c r="E5246" t="n">
        <v>22170.8</v>
      </c>
      <c r="F5246" t="n">
        <v>53131.5</v>
      </c>
    </row>
    <row r="5247">
      <c r="A5247" s="3" t="n">
        <v>46169</v>
      </c>
      <c r="B5247" t="n">
        <v>53950.8</v>
      </c>
      <c r="C5247" t="n">
        <v>20052.65</v>
      </c>
      <c r="D5247" t="n">
        <v>16889.45</v>
      </c>
      <c r="E5247" t="n">
        <v>22225</v>
      </c>
      <c r="F5247" t="n">
        <v>53540.15</v>
      </c>
    </row>
    <row r="5248">
      <c r="A5248" s="3" t="n">
        <v>46171</v>
      </c>
      <c r="B5248" t="n">
        <v>53062.8</v>
      </c>
      <c r="C5248" t="n">
        <v>19788.05</v>
      </c>
      <c r="D5248" t="n">
        <v>16576.7</v>
      </c>
      <c r="E5248" t="n">
        <v>21862.95</v>
      </c>
      <c r="F5248" t="n">
        <v>52795.35</v>
      </c>
    </row>
    <row r="5249">
      <c r="A5249" s="3" t="n">
        <v>46174</v>
      </c>
      <c r="B5249" t="n">
        <v>52223.6</v>
      </c>
      <c r="C5249" t="n">
        <v>19549.25</v>
      </c>
      <c r="D5249" t="n">
        <v>16504.35</v>
      </c>
      <c r="E5249" t="n">
        <v>21688.85</v>
      </c>
      <c r="F5249" t="n">
        <v>51725.25</v>
      </c>
    </row>
    <row r="5250">
      <c r="A5250" s="3" t="n">
        <v>46175</v>
      </c>
      <c r="B5250" t="n">
        <v>52254</v>
      </c>
      <c r="C5250" t="n">
        <v>19674.85</v>
      </c>
      <c r="D5250" t="n">
        <v>16500.65</v>
      </c>
      <c r="E5250" t="n">
        <v>21746.9</v>
      </c>
      <c r="F5250" t="n">
        <v>51828.4</v>
      </c>
    </row>
    <row r="5251">
      <c r="A5251" s="3" t="n">
        <v>46176</v>
      </c>
      <c r="B5251" t="n">
        <v>52285.45</v>
      </c>
      <c r="C5251" t="n">
        <v>19471.75</v>
      </c>
      <c r="D5251" t="n">
        <v>16559.8</v>
      </c>
      <c r="E5251" t="n">
        <v>21615.05</v>
      </c>
      <c r="F5251" t="n">
        <v>52020.25</v>
      </c>
    </row>
    <row r="5252">
      <c r="A5252" s="3" t="n">
        <v>46177</v>
      </c>
      <c r="B5252" t="n">
        <v>52510.2</v>
      </c>
      <c r="C5252" t="n">
        <v>19623.5</v>
      </c>
      <c r="D5252" t="n">
        <v>16592.6</v>
      </c>
      <c r="E5252" t="n">
        <v>21669</v>
      </c>
      <c r="F5252" t="n">
        <v>52299.55</v>
      </c>
    </row>
    <row r="5253">
      <c r="A5253" s="3" t="n">
        <v>46178</v>
      </c>
      <c r="B5253" t="n">
        <v>52409.6</v>
      </c>
      <c r="C5253" t="n">
        <v>19471.9</v>
      </c>
      <c r="D5253" t="n">
        <v>16487.1</v>
      </c>
      <c r="E5253" t="n">
        <v>21649.35</v>
      </c>
      <c r="F5253" t="n">
        <v>52203.05</v>
      </c>
    </row>
    <row r="5254">
      <c r="A5254" s="3" t="n">
        <v>46181</v>
      </c>
      <c r="B5254" t="n">
        <v>51521.05</v>
      </c>
      <c r="C5254" t="n">
        <v>19160.45</v>
      </c>
      <c r="D5254" t="n">
        <v>16273.15</v>
      </c>
      <c r="E5254" t="n">
        <v>21477.55</v>
      </c>
      <c r="F5254" t="n">
        <v>51062.6</v>
      </c>
    </row>
    <row r="5255">
      <c r="A5255" s="3" t="n">
        <v>46182</v>
      </c>
      <c r="B5255" t="n">
        <v>52392.45</v>
      </c>
      <c r="C5255" t="n">
        <v>19361.6</v>
      </c>
      <c r="D5255" t="n">
        <v>16428.45</v>
      </c>
      <c r="E5255" t="n">
        <v>21622.6</v>
      </c>
      <c r="F5255" t="n">
        <v>51970.1</v>
      </c>
    </row>
    <row r="5256">
      <c r="A5256" s="3" t="n">
        <v>46183</v>
      </c>
      <c r="B5256" t="n">
        <v>51677.9</v>
      </c>
      <c r="C5256" t="n">
        <v>19120.6</v>
      </c>
      <c r="D5256" t="n">
        <v>16152.7</v>
      </c>
      <c r="E5256" t="n">
        <v>21489.25</v>
      </c>
      <c r="F5256" t="n">
        <v>51155.35</v>
      </c>
    </row>
    <row r="5257">
      <c r="A5257" s="3" t="n">
        <v>46184</v>
      </c>
      <c r="B5257" t="n">
        <v>51363.45</v>
      </c>
      <c r="C5257" t="n">
        <v>18860.25</v>
      </c>
      <c r="D5257" t="n">
        <v>16046.6</v>
      </c>
      <c r="E5257" t="n">
        <v>21370.75</v>
      </c>
      <c r="F5257" t="n">
        <v>50749.5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" customWidth="1" min="7" max="7"/>
    <col width="9" customWidth="1" min="8" max="8"/>
    <col width="17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2" customWidth="1" min="15" max="15"/>
    <col width="13" customWidth="1" min="16" max="16"/>
    <col width="12" customWidth="1" min="17" max="17"/>
    <col width="14" customWidth="1" min="18" max="18"/>
    <col width="13" customWidth="1" min="19" max="19"/>
    <col width="14" customWidth="1" min="20" max="20"/>
    <col width="12" customWidth="1" min="21" max="21"/>
    <col width="14" customWidth="1" min="22" max="22"/>
    <col width="15" customWidth="1" min="23" max="23"/>
  </cols>
  <sheetData>
    <row r="1">
      <c r="A1" s="4" t="inlineStr">
        <is>
          <t>Date</t>
        </is>
      </c>
      <c r="B1" s="4" t="inlineStr">
        <is>
          <t>Price: NIFTY500 MOMENTUM 50</t>
        </is>
      </c>
      <c r="C1" s="4" t="inlineStr">
        <is>
          <t>Price: NIFTY500 QUALITY 50</t>
        </is>
      </c>
      <c r="D1" s="4" t="inlineStr">
        <is>
          <t>Price: NIFTY500 VALUE 50</t>
        </is>
      </c>
      <c r="E1" s="4" t="inlineStr">
        <is>
          <t>Price: NIFTY500 LOW VOLATILITY 50</t>
        </is>
      </c>
      <c r="F1" s="4" t="inlineStr">
        <is>
          <t>Price: NIFTY ALPHA 50</t>
        </is>
      </c>
      <c r="G1" s="4" t="inlineStr">
        <is>
          <t>Rebal?</t>
        </is>
      </c>
      <c r="H1" s="4" t="inlineStr">
        <is>
          <t>Started</t>
        </is>
      </c>
      <c r="I1" s="4" t="inlineStr">
        <is>
          <t>NAV before cost</t>
        </is>
      </c>
      <c r="J1" s="4" t="inlineStr">
        <is>
          <t>Units: NIFTY500 MOMENTUM 50</t>
        </is>
      </c>
      <c r="K1" s="4" t="inlineStr">
        <is>
          <t>Units: NIFTY500 QUALITY 50</t>
        </is>
      </c>
      <c r="L1" s="4" t="inlineStr">
        <is>
          <t>Units: NIFTY500 VALUE 50</t>
        </is>
      </c>
      <c r="M1" s="4" t="inlineStr">
        <is>
          <t>Units: NIFTY500 LOW VOLATILITY 50</t>
        </is>
      </c>
      <c r="N1" s="4" t="inlineStr">
        <is>
          <t>Units: NIFTY ALPHA 50</t>
        </is>
      </c>
      <c r="O1" s="4" t="inlineStr">
        <is>
          <t>Cash</t>
        </is>
      </c>
      <c r="P1" s="4" t="inlineStr">
        <is>
          <t>Traded (L1)</t>
        </is>
      </c>
      <c r="Q1" s="4" t="inlineStr">
        <is>
          <t>Cost</t>
        </is>
      </c>
      <c r="R1" s="4" t="inlineStr">
        <is>
          <t>NAV</t>
        </is>
      </c>
      <c r="S1" s="4" t="inlineStr">
        <is>
          <t>Daily return</t>
        </is>
      </c>
      <c r="T1" s="4" t="inlineStr">
        <is>
          <t>Peak</t>
        </is>
      </c>
      <c r="U1" s="4" t="inlineStr">
        <is>
          <t>Drawdown</t>
        </is>
      </c>
      <c r="V1" s="4" t="inlineStr">
        <is>
          <t>ENGINE NAV</t>
        </is>
      </c>
      <c r="W1" s="4" t="inlineStr">
        <is>
          <t>NAV difference</t>
        </is>
      </c>
    </row>
    <row r="2">
      <c r="A2" s="3" t="n">
        <v>38443</v>
      </c>
      <c r="B2">
        <f>Prices!B2</f>
        <v/>
      </c>
      <c r="C2">
        <f>Prices!C2</f>
        <v/>
      </c>
      <c r="D2">
        <f>Prices!D2</f>
        <v/>
      </c>
      <c r="E2">
        <f>Prices!E2</f>
        <v/>
      </c>
      <c r="F2">
        <f>Prices!F2</f>
        <v/>
      </c>
      <c r="G2">
        <f>IF(AND(0&gt;=16,TEXT(A2,"yyyy-mm")&lt;&gt;TEXT(A3,"yyyy-mm")),1,0)</f>
        <v/>
      </c>
      <c r="H2">
        <f>G2</f>
        <v/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s="5">
        <f>R2-V2</f>
        <v/>
      </c>
    </row>
    <row r="3">
      <c r="A3" s="3" t="n">
        <v>38446</v>
      </c>
      <c r="B3">
        <f>Prices!B3</f>
        <v/>
      </c>
      <c r="C3">
        <f>Prices!C3</f>
        <v/>
      </c>
      <c r="D3">
        <f>Prices!D3</f>
        <v/>
      </c>
      <c r="E3">
        <f>Prices!E3</f>
        <v/>
      </c>
      <c r="F3">
        <f>Prices!F3</f>
        <v/>
      </c>
      <c r="G3">
        <f>IF(AND(1&gt;=16,TEXT(A3,"yyyy-mm")&lt;&gt;TEXT(A4,"yyyy-mm")),1,0)</f>
        <v/>
      </c>
      <c r="H3">
        <f>IF(OR(H2=1,G3=1),1,0)</f>
        <v/>
      </c>
      <c r="I3">
        <f>IF(H2=0,1,SUMPRODUCT(J2:N2,B3:F3)+O2*(1+0.00023125256064071564))</f>
        <v/>
      </c>
      <c r="J3">
        <f>IF(G3=1,0.2*R3/B3,J2)</f>
        <v/>
      </c>
      <c r="K3">
        <f>IF(G3=1,0.2*R3/C3,K2)</f>
        <v/>
      </c>
      <c r="L3">
        <f>IF(G3=1,0.2*R3/D3,L2)</f>
        <v/>
      </c>
      <c r="M3">
        <f>IF(G3=1,0.2*R3/E3,M2)</f>
        <v/>
      </c>
      <c r="N3">
        <f>IF(G3=1,0.2*R3/F3,N2)</f>
        <v/>
      </c>
      <c r="O3">
        <f>IF(G3=1,R3*(1-1.0),IF(H2=0,1,O2*(1+0.00023125256064071564)))</f>
        <v/>
      </c>
      <c r="P3">
        <f>IF(G3=1,IF(H2=0,1,ABS(0.2-J2*B3/I3)+ABS(0.2-K2*C3/I3)+ABS(0.2-L2*D3/I3)+ABS(0.2-M2*E3/I3)+ABS(0.2-N2*F3/I3)),0)</f>
        <v/>
      </c>
      <c r="Q3">
        <f>P3*0.0015</f>
        <v/>
      </c>
      <c r="R3">
        <f>I3*(1-Q3)</f>
        <v/>
      </c>
      <c r="S3">
        <f>R3/R2-1</f>
        <v/>
      </c>
      <c r="T3">
        <f>MAX(T2,R3)</f>
        <v/>
      </c>
      <c r="U3">
        <f>R3/T3-1</f>
        <v/>
      </c>
      <c r="V3" t="n">
        <v>1</v>
      </c>
      <c r="W3" s="5">
        <f>R3-V3</f>
        <v/>
      </c>
    </row>
    <row r="4">
      <c r="A4" s="3" t="n">
        <v>38447</v>
      </c>
      <c r="B4">
        <f>Prices!B4</f>
        <v/>
      </c>
      <c r="C4">
        <f>Prices!C4</f>
        <v/>
      </c>
      <c r="D4">
        <f>Prices!D4</f>
        <v/>
      </c>
      <c r="E4">
        <f>Prices!E4</f>
        <v/>
      </c>
      <c r="F4">
        <f>Prices!F4</f>
        <v/>
      </c>
      <c r="G4">
        <f>IF(AND(2&gt;=16,TEXT(A4,"yyyy-mm")&lt;&gt;TEXT(A5,"yyyy-mm")),1,0)</f>
        <v/>
      </c>
      <c r="H4">
        <f>IF(OR(H3=1,G4=1),1,0)</f>
        <v/>
      </c>
      <c r="I4">
        <f>IF(H3=0,1,SUMPRODUCT(J3:N3,B4:F4)+O3*(1+0.00023125256064071564))</f>
        <v/>
      </c>
      <c r="J4">
        <f>IF(G4=1,0.2*R4/B4,J3)</f>
        <v/>
      </c>
      <c r="K4">
        <f>IF(G4=1,0.2*R4/C4,K3)</f>
        <v/>
      </c>
      <c r="L4">
        <f>IF(G4=1,0.2*R4/D4,L3)</f>
        <v/>
      </c>
      <c r="M4">
        <f>IF(G4=1,0.2*R4/E4,M3)</f>
        <v/>
      </c>
      <c r="N4">
        <f>IF(G4=1,0.2*R4/F4,N3)</f>
        <v/>
      </c>
      <c r="O4">
        <f>IF(G4=1,R4*(1-1.0),IF(H3=0,1,O3*(1+0.00023125256064071564)))</f>
        <v/>
      </c>
      <c r="P4">
        <f>IF(G4=1,IF(H3=0,1,ABS(0.2-J3*B4/I4)+ABS(0.2-K3*C4/I4)+ABS(0.2-L3*D4/I4)+ABS(0.2-M3*E4/I4)+ABS(0.2-N3*F4/I4)),0)</f>
        <v/>
      </c>
      <c r="Q4">
        <f>P4*0.0015</f>
        <v/>
      </c>
      <c r="R4">
        <f>I4*(1-Q4)</f>
        <v/>
      </c>
      <c r="S4">
        <f>R4/R3-1</f>
        <v/>
      </c>
      <c r="T4">
        <f>MAX(T3,R4)</f>
        <v/>
      </c>
      <c r="U4">
        <f>R4/T4-1</f>
        <v/>
      </c>
      <c r="V4" t="n">
        <v>1</v>
      </c>
      <c r="W4" s="5">
        <f>R4-V4</f>
        <v/>
      </c>
    </row>
    <row r="5">
      <c r="A5" s="3" t="n">
        <v>38448</v>
      </c>
      <c r="B5">
        <f>Prices!B5</f>
        <v/>
      </c>
      <c r="C5">
        <f>Prices!C5</f>
        <v/>
      </c>
      <c r="D5">
        <f>Prices!D5</f>
        <v/>
      </c>
      <c r="E5">
        <f>Prices!E5</f>
        <v/>
      </c>
      <c r="F5">
        <f>Prices!F5</f>
        <v/>
      </c>
      <c r="G5">
        <f>IF(AND(3&gt;=16,TEXT(A5,"yyyy-mm")&lt;&gt;TEXT(A6,"yyyy-mm")),1,0)</f>
        <v/>
      </c>
      <c r="H5">
        <f>IF(OR(H4=1,G5=1),1,0)</f>
        <v/>
      </c>
      <c r="I5">
        <f>IF(H4=0,1,SUMPRODUCT(J4:N4,B5:F5)+O4*(1+0.00023125256064071564))</f>
        <v/>
      </c>
      <c r="J5">
        <f>IF(G5=1,0.2*R5/B5,J4)</f>
        <v/>
      </c>
      <c r="K5">
        <f>IF(G5=1,0.2*R5/C5,K4)</f>
        <v/>
      </c>
      <c r="L5">
        <f>IF(G5=1,0.2*R5/D5,L4)</f>
        <v/>
      </c>
      <c r="M5">
        <f>IF(G5=1,0.2*R5/E5,M4)</f>
        <v/>
      </c>
      <c r="N5">
        <f>IF(G5=1,0.2*R5/F5,N4)</f>
        <v/>
      </c>
      <c r="O5">
        <f>IF(G5=1,R5*(1-1.0),IF(H4=0,1,O4*(1+0.00023125256064071564)))</f>
        <v/>
      </c>
      <c r="P5">
        <f>IF(G5=1,IF(H4=0,1,ABS(0.2-J4*B5/I5)+ABS(0.2-K4*C5/I5)+ABS(0.2-L4*D5/I5)+ABS(0.2-M4*E5/I5)+ABS(0.2-N4*F5/I5)),0)</f>
        <v/>
      </c>
      <c r="Q5">
        <f>P5*0.0015</f>
        <v/>
      </c>
      <c r="R5">
        <f>I5*(1-Q5)</f>
        <v/>
      </c>
      <c r="S5">
        <f>R5/R4-1</f>
        <v/>
      </c>
      <c r="T5">
        <f>MAX(T4,R5)</f>
        <v/>
      </c>
      <c r="U5">
        <f>R5/T5-1</f>
        <v/>
      </c>
      <c r="V5" t="n">
        <v>1</v>
      </c>
      <c r="W5" s="5">
        <f>R5-V5</f>
        <v/>
      </c>
    </row>
    <row r="6">
      <c r="A6" s="3" t="n">
        <v>38449</v>
      </c>
      <c r="B6">
        <f>Prices!B6</f>
        <v/>
      </c>
      <c r="C6">
        <f>Prices!C6</f>
        <v/>
      </c>
      <c r="D6">
        <f>Prices!D6</f>
        <v/>
      </c>
      <c r="E6">
        <f>Prices!E6</f>
        <v/>
      </c>
      <c r="F6">
        <f>Prices!F6</f>
        <v/>
      </c>
      <c r="G6">
        <f>IF(AND(4&gt;=16,TEXT(A6,"yyyy-mm")&lt;&gt;TEXT(A7,"yyyy-mm")),1,0)</f>
        <v/>
      </c>
      <c r="H6">
        <f>IF(OR(H5=1,G6=1),1,0)</f>
        <v/>
      </c>
      <c r="I6">
        <f>IF(H5=0,1,SUMPRODUCT(J5:N5,B6:F6)+O5*(1+0.00023125256064071564))</f>
        <v/>
      </c>
      <c r="J6">
        <f>IF(G6=1,0.2*R6/B6,J5)</f>
        <v/>
      </c>
      <c r="K6">
        <f>IF(G6=1,0.2*R6/C6,K5)</f>
        <v/>
      </c>
      <c r="L6">
        <f>IF(G6=1,0.2*R6/D6,L5)</f>
        <v/>
      </c>
      <c r="M6">
        <f>IF(G6=1,0.2*R6/E6,M5)</f>
        <v/>
      </c>
      <c r="N6">
        <f>IF(G6=1,0.2*R6/F6,N5)</f>
        <v/>
      </c>
      <c r="O6">
        <f>IF(G6=1,R6*(1-1.0),IF(H5=0,1,O5*(1+0.00023125256064071564)))</f>
        <v/>
      </c>
      <c r="P6">
        <f>IF(G6=1,IF(H5=0,1,ABS(0.2-J5*B6/I6)+ABS(0.2-K5*C6/I6)+ABS(0.2-L5*D6/I6)+ABS(0.2-M5*E6/I6)+ABS(0.2-N5*F6/I6)),0)</f>
        <v/>
      </c>
      <c r="Q6">
        <f>P6*0.0015</f>
        <v/>
      </c>
      <c r="R6">
        <f>I6*(1-Q6)</f>
        <v/>
      </c>
      <c r="S6">
        <f>R6/R5-1</f>
        <v/>
      </c>
      <c r="T6">
        <f>MAX(T5,R6)</f>
        <v/>
      </c>
      <c r="U6">
        <f>R6/T6-1</f>
        <v/>
      </c>
      <c r="V6" t="n">
        <v>1</v>
      </c>
      <c r="W6" s="5">
        <f>R6-V6</f>
        <v/>
      </c>
    </row>
    <row r="7">
      <c r="A7" s="3" t="n">
        <v>38450</v>
      </c>
      <c r="B7">
        <f>Prices!B7</f>
        <v/>
      </c>
      <c r="C7">
        <f>Prices!C7</f>
        <v/>
      </c>
      <c r="D7">
        <f>Prices!D7</f>
        <v/>
      </c>
      <c r="E7">
        <f>Prices!E7</f>
        <v/>
      </c>
      <c r="F7">
        <f>Prices!F7</f>
        <v/>
      </c>
      <c r="G7">
        <f>IF(AND(5&gt;=16,TEXT(A7,"yyyy-mm")&lt;&gt;TEXT(A8,"yyyy-mm")),1,0)</f>
        <v/>
      </c>
      <c r="H7">
        <f>IF(OR(H6=1,G7=1),1,0)</f>
        <v/>
      </c>
      <c r="I7">
        <f>IF(H6=0,1,SUMPRODUCT(J6:N6,B7:F7)+O6*(1+0.00023125256064071564))</f>
        <v/>
      </c>
      <c r="J7">
        <f>IF(G7=1,0.2*R7/B7,J6)</f>
        <v/>
      </c>
      <c r="K7">
        <f>IF(G7=1,0.2*R7/C7,K6)</f>
        <v/>
      </c>
      <c r="L7">
        <f>IF(G7=1,0.2*R7/D7,L6)</f>
        <v/>
      </c>
      <c r="M7">
        <f>IF(G7=1,0.2*R7/E7,M6)</f>
        <v/>
      </c>
      <c r="N7">
        <f>IF(G7=1,0.2*R7/F7,N6)</f>
        <v/>
      </c>
      <c r="O7">
        <f>IF(G7=1,R7*(1-1.0),IF(H6=0,1,O6*(1+0.00023125256064071564)))</f>
        <v/>
      </c>
      <c r="P7">
        <f>IF(G7=1,IF(H6=0,1,ABS(0.2-J6*B7/I7)+ABS(0.2-K6*C7/I7)+ABS(0.2-L6*D7/I7)+ABS(0.2-M6*E7/I7)+ABS(0.2-N6*F7/I7)),0)</f>
        <v/>
      </c>
      <c r="Q7">
        <f>P7*0.0015</f>
        <v/>
      </c>
      <c r="R7">
        <f>I7*(1-Q7)</f>
        <v/>
      </c>
      <c r="S7">
        <f>R7/R6-1</f>
        <v/>
      </c>
      <c r="T7">
        <f>MAX(T6,R7)</f>
        <v/>
      </c>
      <c r="U7">
        <f>R7/T7-1</f>
        <v/>
      </c>
      <c r="V7" t="n">
        <v>1</v>
      </c>
      <c r="W7" s="5">
        <f>R7-V7</f>
        <v/>
      </c>
    </row>
    <row r="8">
      <c r="A8" s="3" t="n">
        <v>38453</v>
      </c>
      <c r="B8">
        <f>Prices!B8</f>
        <v/>
      </c>
      <c r="C8">
        <f>Prices!C8</f>
        <v/>
      </c>
      <c r="D8">
        <f>Prices!D8</f>
        <v/>
      </c>
      <c r="E8">
        <f>Prices!E8</f>
        <v/>
      </c>
      <c r="F8">
        <f>Prices!F8</f>
        <v/>
      </c>
      <c r="G8">
        <f>IF(AND(6&gt;=16,TEXT(A8,"yyyy-mm")&lt;&gt;TEXT(A9,"yyyy-mm")),1,0)</f>
        <v/>
      </c>
      <c r="H8">
        <f>IF(OR(H7=1,G8=1),1,0)</f>
        <v/>
      </c>
      <c r="I8">
        <f>IF(H7=0,1,SUMPRODUCT(J7:N7,B8:F8)+O7*(1+0.00023125256064071564))</f>
        <v/>
      </c>
      <c r="J8">
        <f>IF(G8=1,0.2*R8/B8,J7)</f>
        <v/>
      </c>
      <c r="K8">
        <f>IF(G8=1,0.2*R8/C8,K7)</f>
        <v/>
      </c>
      <c r="L8">
        <f>IF(G8=1,0.2*R8/D8,L7)</f>
        <v/>
      </c>
      <c r="M8">
        <f>IF(G8=1,0.2*R8/E8,M7)</f>
        <v/>
      </c>
      <c r="N8">
        <f>IF(G8=1,0.2*R8/F8,N7)</f>
        <v/>
      </c>
      <c r="O8">
        <f>IF(G8=1,R8*(1-1.0),IF(H7=0,1,O7*(1+0.00023125256064071564)))</f>
        <v/>
      </c>
      <c r="P8">
        <f>IF(G8=1,IF(H7=0,1,ABS(0.2-J7*B8/I8)+ABS(0.2-K7*C8/I8)+ABS(0.2-L7*D8/I8)+ABS(0.2-M7*E8/I8)+ABS(0.2-N7*F8/I8)),0)</f>
        <v/>
      </c>
      <c r="Q8">
        <f>P8*0.0015</f>
        <v/>
      </c>
      <c r="R8">
        <f>I8*(1-Q8)</f>
        <v/>
      </c>
      <c r="S8">
        <f>R8/R7-1</f>
        <v/>
      </c>
      <c r="T8">
        <f>MAX(T7,R8)</f>
        <v/>
      </c>
      <c r="U8">
        <f>R8/T8-1</f>
        <v/>
      </c>
      <c r="V8" t="n">
        <v>1</v>
      </c>
      <c r="W8" s="5">
        <f>R8-V8</f>
        <v/>
      </c>
    </row>
    <row r="9">
      <c r="A9" s="3" t="n">
        <v>38454</v>
      </c>
      <c r="B9">
        <f>Prices!B9</f>
        <v/>
      </c>
      <c r="C9">
        <f>Prices!C9</f>
        <v/>
      </c>
      <c r="D9">
        <f>Prices!D9</f>
        <v/>
      </c>
      <c r="E9">
        <f>Prices!E9</f>
        <v/>
      </c>
      <c r="F9">
        <f>Prices!F9</f>
        <v/>
      </c>
      <c r="G9">
        <f>IF(AND(7&gt;=16,TEXT(A9,"yyyy-mm")&lt;&gt;TEXT(A10,"yyyy-mm")),1,0)</f>
        <v/>
      </c>
      <c r="H9">
        <f>IF(OR(H8=1,G9=1),1,0)</f>
        <v/>
      </c>
      <c r="I9">
        <f>IF(H8=0,1,SUMPRODUCT(J8:N8,B9:F9)+O8*(1+0.00023125256064071564))</f>
        <v/>
      </c>
      <c r="J9">
        <f>IF(G9=1,0.2*R9/B9,J8)</f>
        <v/>
      </c>
      <c r="K9">
        <f>IF(G9=1,0.2*R9/C9,K8)</f>
        <v/>
      </c>
      <c r="L9">
        <f>IF(G9=1,0.2*R9/D9,L8)</f>
        <v/>
      </c>
      <c r="M9">
        <f>IF(G9=1,0.2*R9/E9,M8)</f>
        <v/>
      </c>
      <c r="N9">
        <f>IF(G9=1,0.2*R9/F9,N8)</f>
        <v/>
      </c>
      <c r="O9">
        <f>IF(G9=1,R9*(1-1.0),IF(H8=0,1,O8*(1+0.00023125256064071564)))</f>
        <v/>
      </c>
      <c r="P9">
        <f>IF(G9=1,IF(H8=0,1,ABS(0.2-J8*B9/I9)+ABS(0.2-K8*C9/I9)+ABS(0.2-L8*D9/I9)+ABS(0.2-M8*E9/I9)+ABS(0.2-N8*F9/I9)),0)</f>
        <v/>
      </c>
      <c r="Q9">
        <f>P9*0.0015</f>
        <v/>
      </c>
      <c r="R9">
        <f>I9*(1-Q9)</f>
        <v/>
      </c>
      <c r="S9">
        <f>R9/R8-1</f>
        <v/>
      </c>
      <c r="T9">
        <f>MAX(T8,R9)</f>
        <v/>
      </c>
      <c r="U9">
        <f>R9/T9-1</f>
        <v/>
      </c>
      <c r="V9" t="n">
        <v>1</v>
      </c>
      <c r="W9" s="5">
        <f>R9-V9</f>
        <v/>
      </c>
    </row>
    <row r="10">
      <c r="A10" s="3" t="n">
        <v>38455</v>
      </c>
      <c r="B10">
        <f>Prices!B10</f>
        <v/>
      </c>
      <c r="C10">
        <f>Prices!C10</f>
        <v/>
      </c>
      <c r="D10">
        <f>Prices!D10</f>
        <v/>
      </c>
      <c r="E10">
        <f>Prices!E10</f>
        <v/>
      </c>
      <c r="F10">
        <f>Prices!F10</f>
        <v/>
      </c>
      <c r="G10">
        <f>IF(AND(8&gt;=16,TEXT(A10,"yyyy-mm")&lt;&gt;TEXT(A11,"yyyy-mm")),1,0)</f>
        <v/>
      </c>
      <c r="H10">
        <f>IF(OR(H9=1,G10=1),1,0)</f>
        <v/>
      </c>
      <c r="I10">
        <f>IF(H9=0,1,SUMPRODUCT(J9:N9,B10:F10)+O9*(1+0.00023125256064071564))</f>
        <v/>
      </c>
      <c r="J10">
        <f>IF(G10=1,0.2*R10/B10,J9)</f>
        <v/>
      </c>
      <c r="K10">
        <f>IF(G10=1,0.2*R10/C10,K9)</f>
        <v/>
      </c>
      <c r="L10">
        <f>IF(G10=1,0.2*R10/D10,L9)</f>
        <v/>
      </c>
      <c r="M10">
        <f>IF(G10=1,0.2*R10/E10,M9)</f>
        <v/>
      </c>
      <c r="N10">
        <f>IF(G10=1,0.2*R10/F10,N9)</f>
        <v/>
      </c>
      <c r="O10">
        <f>IF(G10=1,R10*(1-1.0),IF(H9=0,1,O9*(1+0.00023125256064071564)))</f>
        <v/>
      </c>
      <c r="P10">
        <f>IF(G10=1,IF(H9=0,1,ABS(0.2-J9*B10/I10)+ABS(0.2-K9*C10/I10)+ABS(0.2-L9*D10/I10)+ABS(0.2-M9*E10/I10)+ABS(0.2-N9*F10/I10)),0)</f>
        <v/>
      </c>
      <c r="Q10">
        <f>P10*0.0015</f>
        <v/>
      </c>
      <c r="R10">
        <f>I10*(1-Q10)</f>
        <v/>
      </c>
      <c r="S10">
        <f>R10/R9-1</f>
        <v/>
      </c>
      <c r="T10">
        <f>MAX(T9,R10)</f>
        <v/>
      </c>
      <c r="U10">
        <f>R10/T10-1</f>
        <v/>
      </c>
      <c r="V10" t="n">
        <v>1</v>
      </c>
      <c r="W10" s="5">
        <f>R10-V10</f>
        <v/>
      </c>
    </row>
    <row r="11">
      <c r="A11" s="3" t="n">
        <v>38457</v>
      </c>
      <c r="B11">
        <f>Prices!B11</f>
        <v/>
      </c>
      <c r="C11">
        <f>Prices!C11</f>
        <v/>
      </c>
      <c r="D11">
        <f>Prices!D11</f>
        <v/>
      </c>
      <c r="E11">
        <f>Prices!E11</f>
        <v/>
      </c>
      <c r="F11">
        <f>Prices!F11</f>
        <v/>
      </c>
      <c r="G11">
        <f>IF(AND(9&gt;=16,TEXT(A11,"yyyy-mm")&lt;&gt;TEXT(A12,"yyyy-mm")),1,0)</f>
        <v/>
      </c>
      <c r="H11">
        <f>IF(OR(H10=1,G11=1),1,0)</f>
        <v/>
      </c>
      <c r="I11">
        <f>IF(H10=0,1,SUMPRODUCT(J10:N10,B11:F11)+O10*(1+0.00023125256064071564))</f>
        <v/>
      </c>
      <c r="J11">
        <f>IF(G11=1,0.2*R11/B11,J10)</f>
        <v/>
      </c>
      <c r="K11">
        <f>IF(G11=1,0.2*R11/C11,K10)</f>
        <v/>
      </c>
      <c r="L11">
        <f>IF(G11=1,0.2*R11/D11,L10)</f>
        <v/>
      </c>
      <c r="M11">
        <f>IF(G11=1,0.2*R11/E11,M10)</f>
        <v/>
      </c>
      <c r="N11">
        <f>IF(G11=1,0.2*R11/F11,N10)</f>
        <v/>
      </c>
      <c r="O11">
        <f>IF(G11=1,R11*(1-1.0),IF(H10=0,1,O10*(1+0.00023125256064071564)))</f>
        <v/>
      </c>
      <c r="P11">
        <f>IF(G11=1,IF(H10=0,1,ABS(0.2-J10*B11/I11)+ABS(0.2-K10*C11/I11)+ABS(0.2-L10*D11/I11)+ABS(0.2-M10*E11/I11)+ABS(0.2-N10*F11/I11)),0)</f>
        <v/>
      </c>
      <c r="Q11">
        <f>P11*0.0015</f>
        <v/>
      </c>
      <c r="R11">
        <f>I11*(1-Q11)</f>
        <v/>
      </c>
      <c r="S11">
        <f>R11/R10-1</f>
        <v/>
      </c>
      <c r="T11">
        <f>MAX(T10,R11)</f>
        <v/>
      </c>
      <c r="U11">
        <f>R11/T11-1</f>
        <v/>
      </c>
      <c r="V11" t="n">
        <v>1</v>
      </c>
      <c r="W11" s="5">
        <f>R11-V11</f>
        <v/>
      </c>
    </row>
    <row r="12">
      <c r="A12" s="3" t="n">
        <v>38460</v>
      </c>
      <c r="B12">
        <f>Prices!B12</f>
        <v/>
      </c>
      <c r="C12">
        <f>Prices!C12</f>
        <v/>
      </c>
      <c r="D12">
        <f>Prices!D12</f>
        <v/>
      </c>
      <c r="E12">
        <f>Prices!E12</f>
        <v/>
      </c>
      <c r="F12">
        <f>Prices!F12</f>
        <v/>
      </c>
      <c r="G12">
        <f>IF(AND(10&gt;=16,TEXT(A12,"yyyy-mm")&lt;&gt;TEXT(A13,"yyyy-mm")),1,0)</f>
        <v/>
      </c>
      <c r="H12">
        <f>IF(OR(H11=1,G12=1),1,0)</f>
        <v/>
      </c>
      <c r="I12">
        <f>IF(H11=0,1,SUMPRODUCT(J11:N11,B12:F12)+O11*(1+0.00023125256064071564))</f>
        <v/>
      </c>
      <c r="J12">
        <f>IF(G12=1,0.2*R12/B12,J11)</f>
        <v/>
      </c>
      <c r="K12">
        <f>IF(G12=1,0.2*R12/C12,K11)</f>
        <v/>
      </c>
      <c r="L12">
        <f>IF(G12=1,0.2*R12/D12,L11)</f>
        <v/>
      </c>
      <c r="M12">
        <f>IF(G12=1,0.2*R12/E12,M11)</f>
        <v/>
      </c>
      <c r="N12">
        <f>IF(G12=1,0.2*R12/F12,N11)</f>
        <v/>
      </c>
      <c r="O12">
        <f>IF(G12=1,R12*(1-1.0),IF(H11=0,1,O11*(1+0.00023125256064071564)))</f>
        <v/>
      </c>
      <c r="P12">
        <f>IF(G12=1,IF(H11=0,1,ABS(0.2-J11*B12/I12)+ABS(0.2-K11*C12/I12)+ABS(0.2-L11*D12/I12)+ABS(0.2-M11*E12/I12)+ABS(0.2-N11*F12/I12)),0)</f>
        <v/>
      </c>
      <c r="Q12">
        <f>P12*0.0015</f>
        <v/>
      </c>
      <c r="R12">
        <f>I12*(1-Q12)</f>
        <v/>
      </c>
      <c r="S12">
        <f>R12/R11-1</f>
        <v/>
      </c>
      <c r="T12">
        <f>MAX(T11,R12)</f>
        <v/>
      </c>
      <c r="U12">
        <f>R12/T12-1</f>
        <v/>
      </c>
      <c r="V12" t="n">
        <v>1</v>
      </c>
      <c r="W12" s="5">
        <f>R12-V12</f>
        <v/>
      </c>
    </row>
    <row r="13">
      <c r="A13" s="3" t="n">
        <v>38461</v>
      </c>
      <c r="B13">
        <f>Prices!B13</f>
        <v/>
      </c>
      <c r="C13">
        <f>Prices!C13</f>
        <v/>
      </c>
      <c r="D13">
        <f>Prices!D13</f>
        <v/>
      </c>
      <c r="E13">
        <f>Prices!E13</f>
        <v/>
      </c>
      <c r="F13">
        <f>Prices!F13</f>
        <v/>
      </c>
      <c r="G13">
        <f>IF(AND(11&gt;=16,TEXT(A13,"yyyy-mm")&lt;&gt;TEXT(A14,"yyyy-mm")),1,0)</f>
        <v/>
      </c>
      <c r="H13">
        <f>IF(OR(H12=1,G13=1),1,0)</f>
        <v/>
      </c>
      <c r="I13">
        <f>IF(H12=0,1,SUMPRODUCT(J12:N12,B13:F13)+O12*(1+0.00023125256064071564))</f>
        <v/>
      </c>
      <c r="J13">
        <f>IF(G13=1,0.2*R13/B13,J12)</f>
        <v/>
      </c>
      <c r="K13">
        <f>IF(G13=1,0.2*R13/C13,K12)</f>
        <v/>
      </c>
      <c r="L13">
        <f>IF(G13=1,0.2*R13/D13,L12)</f>
        <v/>
      </c>
      <c r="M13">
        <f>IF(G13=1,0.2*R13/E13,M12)</f>
        <v/>
      </c>
      <c r="N13">
        <f>IF(G13=1,0.2*R13/F13,N12)</f>
        <v/>
      </c>
      <c r="O13">
        <f>IF(G13=1,R13*(1-1.0),IF(H12=0,1,O12*(1+0.00023125256064071564)))</f>
        <v/>
      </c>
      <c r="P13">
        <f>IF(G13=1,IF(H12=0,1,ABS(0.2-J12*B13/I13)+ABS(0.2-K12*C13/I13)+ABS(0.2-L12*D13/I13)+ABS(0.2-M12*E13/I13)+ABS(0.2-N12*F13/I13)),0)</f>
        <v/>
      </c>
      <c r="Q13">
        <f>P13*0.0015</f>
        <v/>
      </c>
      <c r="R13">
        <f>I13*(1-Q13)</f>
        <v/>
      </c>
      <c r="S13">
        <f>R13/R12-1</f>
        <v/>
      </c>
      <c r="T13">
        <f>MAX(T12,R13)</f>
        <v/>
      </c>
      <c r="U13">
        <f>R13/T13-1</f>
        <v/>
      </c>
      <c r="V13" t="n">
        <v>1</v>
      </c>
      <c r="W13" s="5">
        <f>R13-V13</f>
        <v/>
      </c>
    </row>
    <row r="14">
      <c r="A14" s="3" t="n">
        <v>38462</v>
      </c>
      <c r="B14">
        <f>Prices!B14</f>
        <v/>
      </c>
      <c r="C14">
        <f>Prices!C14</f>
        <v/>
      </c>
      <c r="D14">
        <f>Prices!D14</f>
        <v/>
      </c>
      <c r="E14">
        <f>Prices!E14</f>
        <v/>
      </c>
      <c r="F14">
        <f>Prices!F14</f>
        <v/>
      </c>
      <c r="G14">
        <f>IF(AND(12&gt;=16,TEXT(A14,"yyyy-mm")&lt;&gt;TEXT(A15,"yyyy-mm")),1,0)</f>
        <v/>
      </c>
      <c r="H14">
        <f>IF(OR(H13=1,G14=1),1,0)</f>
        <v/>
      </c>
      <c r="I14">
        <f>IF(H13=0,1,SUMPRODUCT(J13:N13,B14:F14)+O13*(1+0.00023125256064071564))</f>
        <v/>
      </c>
      <c r="J14">
        <f>IF(G14=1,0.2*R14/B14,J13)</f>
        <v/>
      </c>
      <c r="K14">
        <f>IF(G14=1,0.2*R14/C14,K13)</f>
        <v/>
      </c>
      <c r="L14">
        <f>IF(G14=1,0.2*R14/D14,L13)</f>
        <v/>
      </c>
      <c r="M14">
        <f>IF(G14=1,0.2*R14/E14,M13)</f>
        <v/>
      </c>
      <c r="N14">
        <f>IF(G14=1,0.2*R14/F14,N13)</f>
        <v/>
      </c>
      <c r="O14">
        <f>IF(G14=1,R14*(1-1.0),IF(H13=0,1,O13*(1+0.00023125256064071564)))</f>
        <v/>
      </c>
      <c r="P14">
        <f>IF(G14=1,IF(H13=0,1,ABS(0.2-J13*B14/I14)+ABS(0.2-K13*C14/I14)+ABS(0.2-L13*D14/I14)+ABS(0.2-M13*E14/I14)+ABS(0.2-N13*F14/I14)),0)</f>
        <v/>
      </c>
      <c r="Q14">
        <f>P14*0.0015</f>
        <v/>
      </c>
      <c r="R14">
        <f>I14*(1-Q14)</f>
        <v/>
      </c>
      <c r="S14">
        <f>R14/R13-1</f>
        <v/>
      </c>
      <c r="T14">
        <f>MAX(T13,R14)</f>
        <v/>
      </c>
      <c r="U14">
        <f>R14/T14-1</f>
        <v/>
      </c>
      <c r="V14" t="n">
        <v>1</v>
      </c>
      <c r="W14" s="5">
        <f>R14-V14</f>
        <v/>
      </c>
    </row>
    <row r="15">
      <c r="A15" s="3" t="n">
        <v>38463</v>
      </c>
      <c r="B15">
        <f>Prices!B15</f>
        <v/>
      </c>
      <c r="C15">
        <f>Prices!C15</f>
        <v/>
      </c>
      <c r="D15">
        <f>Prices!D15</f>
        <v/>
      </c>
      <c r="E15">
        <f>Prices!E15</f>
        <v/>
      </c>
      <c r="F15">
        <f>Prices!F15</f>
        <v/>
      </c>
      <c r="G15">
        <f>IF(AND(13&gt;=16,TEXT(A15,"yyyy-mm")&lt;&gt;TEXT(A16,"yyyy-mm")),1,0)</f>
        <v/>
      </c>
      <c r="H15">
        <f>IF(OR(H14=1,G15=1),1,0)</f>
        <v/>
      </c>
      <c r="I15">
        <f>IF(H14=0,1,SUMPRODUCT(J14:N14,B15:F15)+O14*(1+0.00023125256064071564))</f>
        <v/>
      </c>
      <c r="J15">
        <f>IF(G15=1,0.2*R15/B15,J14)</f>
        <v/>
      </c>
      <c r="K15">
        <f>IF(G15=1,0.2*R15/C15,K14)</f>
        <v/>
      </c>
      <c r="L15">
        <f>IF(G15=1,0.2*R15/D15,L14)</f>
        <v/>
      </c>
      <c r="M15">
        <f>IF(G15=1,0.2*R15/E15,M14)</f>
        <v/>
      </c>
      <c r="N15">
        <f>IF(G15=1,0.2*R15/F15,N14)</f>
        <v/>
      </c>
      <c r="O15">
        <f>IF(G15=1,R15*(1-1.0),IF(H14=0,1,O14*(1+0.00023125256064071564)))</f>
        <v/>
      </c>
      <c r="P15">
        <f>IF(G15=1,IF(H14=0,1,ABS(0.2-J14*B15/I15)+ABS(0.2-K14*C15/I15)+ABS(0.2-L14*D15/I15)+ABS(0.2-M14*E15/I15)+ABS(0.2-N14*F15/I15)),0)</f>
        <v/>
      </c>
      <c r="Q15">
        <f>P15*0.0015</f>
        <v/>
      </c>
      <c r="R15">
        <f>I15*(1-Q15)</f>
        <v/>
      </c>
      <c r="S15">
        <f>R15/R14-1</f>
        <v/>
      </c>
      <c r="T15">
        <f>MAX(T14,R15)</f>
        <v/>
      </c>
      <c r="U15">
        <f>R15/T15-1</f>
        <v/>
      </c>
      <c r="V15" t="n">
        <v>1</v>
      </c>
      <c r="W15" s="5">
        <f>R15-V15</f>
        <v/>
      </c>
    </row>
    <row r="16">
      <c r="A16" s="3" t="n">
        <v>38464</v>
      </c>
      <c r="B16">
        <f>Prices!B16</f>
        <v/>
      </c>
      <c r="C16">
        <f>Prices!C16</f>
        <v/>
      </c>
      <c r="D16">
        <f>Prices!D16</f>
        <v/>
      </c>
      <c r="E16">
        <f>Prices!E16</f>
        <v/>
      </c>
      <c r="F16">
        <f>Prices!F16</f>
        <v/>
      </c>
      <c r="G16">
        <f>IF(AND(14&gt;=16,TEXT(A16,"yyyy-mm")&lt;&gt;TEXT(A17,"yyyy-mm")),1,0)</f>
        <v/>
      </c>
      <c r="H16">
        <f>IF(OR(H15=1,G16=1),1,0)</f>
        <v/>
      </c>
      <c r="I16">
        <f>IF(H15=0,1,SUMPRODUCT(J15:N15,B16:F16)+O15*(1+0.00023125256064071564))</f>
        <v/>
      </c>
      <c r="J16">
        <f>IF(G16=1,0.2*R16/B16,J15)</f>
        <v/>
      </c>
      <c r="K16">
        <f>IF(G16=1,0.2*R16/C16,K15)</f>
        <v/>
      </c>
      <c r="L16">
        <f>IF(G16=1,0.2*R16/D16,L15)</f>
        <v/>
      </c>
      <c r="M16">
        <f>IF(G16=1,0.2*R16/E16,M15)</f>
        <v/>
      </c>
      <c r="N16">
        <f>IF(G16=1,0.2*R16/F16,N15)</f>
        <v/>
      </c>
      <c r="O16">
        <f>IF(G16=1,R16*(1-1.0),IF(H15=0,1,O15*(1+0.00023125256064071564)))</f>
        <v/>
      </c>
      <c r="P16">
        <f>IF(G16=1,IF(H15=0,1,ABS(0.2-J15*B16/I16)+ABS(0.2-K15*C16/I16)+ABS(0.2-L15*D16/I16)+ABS(0.2-M15*E16/I16)+ABS(0.2-N15*F16/I16)),0)</f>
        <v/>
      </c>
      <c r="Q16">
        <f>P16*0.0015</f>
        <v/>
      </c>
      <c r="R16">
        <f>I16*(1-Q16)</f>
        <v/>
      </c>
      <c r="S16">
        <f>R16/R15-1</f>
        <v/>
      </c>
      <c r="T16">
        <f>MAX(T15,R16)</f>
        <v/>
      </c>
      <c r="U16">
        <f>R16/T16-1</f>
        <v/>
      </c>
      <c r="V16" t="n">
        <v>1</v>
      </c>
      <c r="W16" s="5">
        <f>R16-V16</f>
        <v/>
      </c>
    </row>
    <row r="17">
      <c r="A17" s="3" t="n">
        <v>38467</v>
      </c>
      <c r="B17">
        <f>Prices!B17</f>
        <v/>
      </c>
      <c r="C17">
        <f>Prices!C17</f>
        <v/>
      </c>
      <c r="D17">
        <f>Prices!D17</f>
        <v/>
      </c>
      <c r="E17">
        <f>Prices!E17</f>
        <v/>
      </c>
      <c r="F17">
        <f>Prices!F17</f>
        <v/>
      </c>
      <c r="G17">
        <f>IF(AND(15&gt;=16,TEXT(A17,"yyyy-mm")&lt;&gt;TEXT(A18,"yyyy-mm")),1,0)</f>
        <v/>
      </c>
      <c r="H17">
        <f>IF(OR(H16=1,G17=1),1,0)</f>
        <v/>
      </c>
      <c r="I17">
        <f>IF(H16=0,1,SUMPRODUCT(J16:N16,B17:F17)+O16*(1+0.00023125256064071564))</f>
        <v/>
      </c>
      <c r="J17">
        <f>IF(G17=1,0.2*R17/B17,J16)</f>
        <v/>
      </c>
      <c r="K17">
        <f>IF(G17=1,0.2*R17/C17,K16)</f>
        <v/>
      </c>
      <c r="L17">
        <f>IF(G17=1,0.2*R17/D17,L16)</f>
        <v/>
      </c>
      <c r="M17">
        <f>IF(G17=1,0.2*R17/E17,M16)</f>
        <v/>
      </c>
      <c r="N17">
        <f>IF(G17=1,0.2*R17/F17,N16)</f>
        <v/>
      </c>
      <c r="O17">
        <f>IF(G17=1,R17*(1-1.0),IF(H16=0,1,O16*(1+0.00023125256064071564)))</f>
        <v/>
      </c>
      <c r="P17">
        <f>IF(G17=1,IF(H16=0,1,ABS(0.2-J16*B17/I17)+ABS(0.2-K16*C17/I17)+ABS(0.2-L16*D17/I17)+ABS(0.2-M16*E17/I17)+ABS(0.2-N16*F17/I17)),0)</f>
        <v/>
      </c>
      <c r="Q17">
        <f>P17*0.0015</f>
        <v/>
      </c>
      <c r="R17">
        <f>I17*(1-Q17)</f>
        <v/>
      </c>
      <c r="S17">
        <f>R17/R16-1</f>
        <v/>
      </c>
      <c r="T17">
        <f>MAX(T16,R17)</f>
        <v/>
      </c>
      <c r="U17">
        <f>R17/T17-1</f>
        <v/>
      </c>
      <c r="V17" t="n">
        <v>1</v>
      </c>
      <c r="W17" s="5">
        <f>R17-V17</f>
        <v/>
      </c>
    </row>
    <row r="18">
      <c r="A18" s="3" t="n">
        <v>38468</v>
      </c>
      <c r="B18">
        <f>Prices!B18</f>
        <v/>
      </c>
      <c r="C18">
        <f>Prices!C18</f>
        <v/>
      </c>
      <c r="D18">
        <f>Prices!D18</f>
        <v/>
      </c>
      <c r="E18">
        <f>Prices!E18</f>
        <v/>
      </c>
      <c r="F18">
        <f>Prices!F18</f>
        <v/>
      </c>
      <c r="G18">
        <f>IF(AND(16&gt;=16,TEXT(A18,"yyyy-mm")&lt;&gt;TEXT(A19,"yyyy-mm")),1,0)</f>
        <v/>
      </c>
      <c r="H18">
        <f>IF(OR(H17=1,G18=1),1,0)</f>
        <v/>
      </c>
      <c r="I18">
        <f>IF(H17=0,1,SUMPRODUCT(J17:N17,B18:F18)+O17*(1+0.00023125256064071564))</f>
        <v/>
      </c>
      <c r="J18">
        <f>IF(G18=1,0.2*R18/B18,J17)</f>
        <v/>
      </c>
      <c r="K18">
        <f>IF(G18=1,0.2*R18/C18,K17)</f>
        <v/>
      </c>
      <c r="L18">
        <f>IF(G18=1,0.2*R18/D18,L17)</f>
        <v/>
      </c>
      <c r="M18">
        <f>IF(G18=1,0.2*R18/E18,M17)</f>
        <v/>
      </c>
      <c r="N18">
        <f>IF(G18=1,0.2*R18/F18,N17)</f>
        <v/>
      </c>
      <c r="O18">
        <f>IF(G18=1,R18*(1-1.0),IF(H17=0,1,O17*(1+0.00023125256064071564)))</f>
        <v/>
      </c>
      <c r="P18">
        <f>IF(G18=1,IF(H17=0,1,ABS(0.2-J17*B18/I18)+ABS(0.2-K17*C18/I18)+ABS(0.2-L17*D18/I18)+ABS(0.2-M17*E18/I18)+ABS(0.2-N17*F18/I18)),0)</f>
        <v/>
      </c>
      <c r="Q18">
        <f>P18*0.0015</f>
        <v/>
      </c>
      <c r="R18">
        <f>I18*(1-Q18)</f>
        <v/>
      </c>
      <c r="S18">
        <f>R18/R17-1</f>
        <v/>
      </c>
      <c r="T18">
        <f>MAX(T17,R18)</f>
        <v/>
      </c>
      <c r="U18">
        <f>R18/T18-1</f>
        <v/>
      </c>
      <c r="V18" t="n">
        <v>1</v>
      </c>
      <c r="W18" s="5">
        <f>R18-V18</f>
        <v/>
      </c>
    </row>
    <row r="19">
      <c r="A19" s="3" t="n">
        <v>38469</v>
      </c>
      <c r="B19">
        <f>Prices!B19</f>
        <v/>
      </c>
      <c r="C19">
        <f>Prices!C19</f>
        <v/>
      </c>
      <c r="D19">
        <f>Prices!D19</f>
        <v/>
      </c>
      <c r="E19">
        <f>Prices!E19</f>
        <v/>
      </c>
      <c r="F19">
        <f>Prices!F19</f>
        <v/>
      </c>
      <c r="G19">
        <f>IF(AND(17&gt;=16,TEXT(A19,"yyyy-mm")&lt;&gt;TEXT(A20,"yyyy-mm")),1,0)</f>
        <v/>
      </c>
      <c r="H19">
        <f>IF(OR(H18=1,G19=1),1,0)</f>
        <v/>
      </c>
      <c r="I19">
        <f>IF(H18=0,1,SUMPRODUCT(J18:N18,B19:F19)+O18*(1+0.00023125256064071564))</f>
        <v/>
      </c>
      <c r="J19">
        <f>IF(G19=1,0.2*R19/B19,J18)</f>
        <v/>
      </c>
      <c r="K19">
        <f>IF(G19=1,0.2*R19/C19,K18)</f>
        <v/>
      </c>
      <c r="L19">
        <f>IF(G19=1,0.2*R19/D19,L18)</f>
        <v/>
      </c>
      <c r="M19">
        <f>IF(G19=1,0.2*R19/E19,M18)</f>
        <v/>
      </c>
      <c r="N19">
        <f>IF(G19=1,0.2*R19/F19,N18)</f>
        <v/>
      </c>
      <c r="O19">
        <f>IF(G19=1,R19*(1-1.0),IF(H18=0,1,O18*(1+0.00023125256064071564)))</f>
        <v/>
      </c>
      <c r="P19">
        <f>IF(G19=1,IF(H18=0,1,ABS(0.2-J18*B19/I19)+ABS(0.2-K18*C19/I19)+ABS(0.2-L18*D19/I19)+ABS(0.2-M18*E19/I19)+ABS(0.2-N18*F19/I19)),0)</f>
        <v/>
      </c>
      <c r="Q19">
        <f>P19*0.0015</f>
        <v/>
      </c>
      <c r="R19">
        <f>I19*(1-Q19)</f>
        <v/>
      </c>
      <c r="S19">
        <f>R19/R18-1</f>
        <v/>
      </c>
      <c r="T19">
        <f>MAX(T18,R19)</f>
        <v/>
      </c>
      <c r="U19">
        <f>R19/T19-1</f>
        <v/>
      </c>
      <c r="V19" t="n">
        <v>1</v>
      </c>
      <c r="W19" s="5">
        <f>R19-V19</f>
        <v/>
      </c>
    </row>
    <row r="20">
      <c r="A20" s="3" t="n">
        <v>38470</v>
      </c>
      <c r="B20">
        <f>Prices!B20</f>
        <v/>
      </c>
      <c r="C20">
        <f>Prices!C20</f>
        <v/>
      </c>
      <c r="D20">
        <f>Prices!D20</f>
        <v/>
      </c>
      <c r="E20">
        <f>Prices!E20</f>
        <v/>
      </c>
      <c r="F20">
        <f>Prices!F20</f>
        <v/>
      </c>
      <c r="G20">
        <f>IF(AND(18&gt;=16,TEXT(A20,"yyyy-mm")&lt;&gt;TEXT(A21,"yyyy-mm")),1,0)</f>
        <v/>
      </c>
      <c r="H20">
        <f>IF(OR(H19=1,G20=1),1,0)</f>
        <v/>
      </c>
      <c r="I20">
        <f>IF(H19=0,1,SUMPRODUCT(J19:N19,B20:F20)+O19*(1+0.00023125256064071564))</f>
        <v/>
      </c>
      <c r="J20">
        <f>IF(G20=1,0.2*R20/B20,J19)</f>
        <v/>
      </c>
      <c r="K20">
        <f>IF(G20=1,0.2*R20/C20,K19)</f>
        <v/>
      </c>
      <c r="L20">
        <f>IF(G20=1,0.2*R20/D20,L19)</f>
        <v/>
      </c>
      <c r="M20">
        <f>IF(G20=1,0.2*R20/E20,M19)</f>
        <v/>
      </c>
      <c r="N20">
        <f>IF(G20=1,0.2*R20/F20,N19)</f>
        <v/>
      </c>
      <c r="O20">
        <f>IF(G20=1,R20*(1-1.0),IF(H19=0,1,O19*(1+0.00023125256064071564)))</f>
        <v/>
      </c>
      <c r="P20">
        <f>IF(G20=1,IF(H19=0,1,ABS(0.2-J19*B20/I20)+ABS(0.2-K19*C20/I20)+ABS(0.2-L19*D20/I20)+ABS(0.2-M19*E20/I20)+ABS(0.2-N19*F20/I20)),0)</f>
        <v/>
      </c>
      <c r="Q20">
        <f>P20*0.0015</f>
        <v/>
      </c>
      <c r="R20">
        <f>I20*(1-Q20)</f>
        <v/>
      </c>
      <c r="S20">
        <f>R20/R19-1</f>
        <v/>
      </c>
      <c r="T20">
        <f>MAX(T19,R20)</f>
        <v/>
      </c>
      <c r="U20">
        <f>R20/T20-1</f>
        <v/>
      </c>
      <c r="V20" t="n">
        <v>1</v>
      </c>
      <c r="W20" s="5">
        <f>R20-V20</f>
        <v/>
      </c>
    </row>
    <row r="21">
      <c r="A21" s="3" t="n">
        <v>38471</v>
      </c>
      <c r="B21">
        <f>Prices!B21</f>
        <v/>
      </c>
      <c r="C21">
        <f>Prices!C21</f>
        <v/>
      </c>
      <c r="D21">
        <f>Prices!D21</f>
        <v/>
      </c>
      <c r="E21">
        <f>Prices!E21</f>
        <v/>
      </c>
      <c r="F21">
        <f>Prices!F21</f>
        <v/>
      </c>
      <c r="G21">
        <f>IF(AND(19&gt;=16,TEXT(A21,"yyyy-mm")&lt;&gt;TEXT(A22,"yyyy-mm")),1,0)</f>
        <v/>
      </c>
      <c r="H21">
        <f>IF(OR(H20=1,G21=1),1,0)</f>
        <v/>
      </c>
      <c r="I21">
        <f>IF(H20=0,1,SUMPRODUCT(J20:N20,B21:F21)+O20*(1+0.00023125256064071564))</f>
        <v/>
      </c>
      <c r="J21">
        <f>IF(G21=1,0.2*R21/B21,J20)</f>
        <v/>
      </c>
      <c r="K21">
        <f>IF(G21=1,0.2*R21/C21,K20)</f>
        <v/>
      </c>
      <c r="L21">
        <f>IF(G21=1,0.2*R21/D21,L20)</f>
        <v/>
      </c>
      <c r="M21">
        <f>IF(G21=1,0.2*R21/E21,M20)</f>
        <v/>
      </c>
      <c r="N21">
        <f>IF(G21=1,0.2*R21/F21,N20)</f>
        <v/>
      </c>
      <c r="O21">
        <f>IF(G21=1,R21*(1-1.0),IF(H20=0,1,O20*(1+0.00023125256064071564)))</f>
        <v/>
      </c>
      <c r="P21">
        <f>IF(G21=1,IF(H20=0,1,ABS(0.2-J20*B21/I21)+ABS(0.2-K20*C21/I21)+ABS(0.2-L20*D21/I21)+ABS(0.2-M20*E21/I21)+ABS(0.2-N20*F21/I21)),0)</f>
        <v/>
      </c>
      <c r="Q21">
        <f>P21*0.0015</f>
        <v/>
      </c>
      <c r="R21">
        <f>I21*(1-Q21)</f>
        <v/>
      </c>
      <c r="S21">
        <f>R21/R20-1</f>
        <v/>
      </c>
      <c r="T21">
        <f>MAX(T20,R21)</f>
        <v/>
      </c>
      <c r="U21">
        <f>R21/T21-1</f>
        <v/>
      </c>
      <c r="V21" t="n">
        <v>0.9985000000000001</v>
      </c>
      <c r="W21" s="5">
        <f>R21-V21</f>
        <v/>
      </c>
    </row>
    <row r="22">
      <c r="A22" s="3" t="n">
        <v>38474</v>
      </c>
      <c r="B22">
        <f>Prices!B22</f>
        <v/>
      </c>
      <c r="C22">
        <f>Prices!C22</f>
        <v/>
      </c>
      <c r="D22">
        <f>Prices!D22</f>
        <v/>
      </c>
      <c r="E22">
        <f>Prices!E22</f>
        <v/>
      </c>
      <c r="F22">
        <f>Prices!F22</f>
        <v/>
      </c>
      <c r="G22">
        <f>IF(AND(20&gt;=16,TEXT(A22,"yyyy-mm")&lt;&gt;TEXT(A23,"yyyy-mm")),1,0)</f>
        <v/>
      </c>
      <c r="H22">
        <f>IF(OR(H21=1,G22=1),1,0)</f>
        <v/>
      </c>
      <c r="I22">
        <f>IF(H21=0,1,SUMPRODUCT(J21:N21,B22:F22)+O21*(1+0.00023125256064071564))</f>
        <v/>
      </c>
      <c r="J22">
        <f>IF(G22=1,0.2*R22/B22,J21)</f>
        <v/>
      </c>
      <c r="K22">
        <f>IF(G22=1,0.2*R22/C22,K21)</f>
        <v/>
      </c>
      <c r="L22">
        <f>IF(G22=1,0.2*R22/D22,L21)</f>
        <v/>
      </c>
      <c r="M22">
        <f>IF(G22=1,0.2*R22/E22,M21)</f>
        <v/>
      </c>
      <c r="N22">
        <f>IF(G22=1,0.2*R22/F22,N21)</f>
        <v/>
      </c>
      <c r="O22">
        <f>IF(G22=1,R22*(1-1.0),IF(H21=0,1,O21*(1+0.00023125256064071564)))</f>
        <v/>
      </c>
      <c r="P22">
        <f>IF(G22=1,IF(H21=0,1,ABS(0.2-J21*B22/I22)+ABS(0.2-K21*C22/I22)+ABS(0.2-L21*D22/I22)+ABS(0.2-M21*E22/I22)+ABS(0.2-N21*F22/I22)),0)</f>
        <v/>
      </c>
      <c r="Q22">
        <f>P22*0.0015</f>
        <v/>
      </c>
      <c r="R22">
        <f>I22*(1-Q22)</f>
        <v/>
      </c>
      <c r="S22">
        <f>R22/R21-1</f>
        <v/>
      </c>
      <c r="T22">
        <f>MAX(T21,R22)</f>
        <v/>
      </c>
      <c r="U22">
        <f>R22/T22-1</f>
        <v/>
      </c>
      <c r="V22" t="n">
        <v>0.9969839253417436</v>
      </c>
      <c r="W22" s="5">
        <f>R22-V22</f>
        <v/>
      </c>
    </row>
    <row r="23">
      <c r="A23" s="3" t="n">
        <v>38475</v>
      </c>
      <c r="B23">
        <f>Prices!B23</f>
        <v/>
      </c>
      <c r="C23">
        <f>Prices!C23</f>
        <v/>
      </c>
      <c r="D23">
        <f>Prices!D23</f>
        <v/>
      </c>
      <c r="E23">
        <f>Prices!E23</f>
        <v/>
      </c>
      <c r="F23">
        <f>Prices!F23</f>
        <v/>
      </c>
      <c r="G23">
        <f>IF(AND(21&gt;=16,TEXT(A23,"yyyy-mm")&lt;&gt;TEXT(A24,"yyyy-mm")),1,0)</f>
        <v/>
      </c>
      <c r="H23">
        <f>IF(OR(H22=1,G23=1),1,0)</f>
        <v/>
      </c>
      <c r="I23">
        <f>IF(H22=0,1,SUMPRODUCT(J22:N22,B23:F23)+O22*(1+0.00023125256064071564))</f>
        <v/>
      </c>
      <c r="J23">
        <f>IF(G23=1,0.2*R23/B23,J22)</f>
        <v/>
      </c>
      <c r="K23">
        <f>IF(G23=1,0.2*R23/C23,K22)</f>
        <v/>
      </c>
      <c r="L23">
        <f>IF(G23=1,0.2*R23/D23,L22)</f>
        <v/>
      </c>
      <c r="M23">
        <f>IF(G23=1,0.2*R23/E23,M22)</f>
        <v/>
      </c>
      <c r="N23">
        <f>IF(G23=1,0.2*R23/F23,N22)</f>
        <v/>
      </c>
      <c r="O23">
        <f>IF(G23=1,R23*(1-1.0),IF(H22=0,1,O22*(1+0.00023125256064071564)))</f>
        <v/>
      </c>
      <c r="P23">
        <f>IF(G23=1,IF(H22=0,1,ABS(0.2-J22*B23/I23)+ABS(0.2-K22*C23/I23)+ABS(0.2-L22*D23/I23)+ABS(0.2-M22*E23/I23)+ABS(0.2-N22*F23/I23)),0)</f>
        <v/>
      </c>
      <c r="Q23">
        <f>P23*0.0015</f>
        <v/>
      </c>
      <c r="R23">
        <f>I23*(1-Q23)</f>
        <v/>
      </c>
      <c r="S23">
        <f>R23/R22-1</f>
        <v/>
      </c>
      <c r="T23">
        <f>MAX(T22,R23)</f>
        <v/>
      </c>
      <c r="U23">
        <f>R23/T23-1</f>
        <v/>
      </c>
      <c r="V23" t="n">
        <v>0.9989792164241209</v>
      </c>
      <c r="W23" s="5">
        <f>R23-V23</f>
        <v/>
      </c>
    </row>
    <row r="24">
      <c r="A24" s="3" t="n">
        <v>38476</v>
      </c>
      <c r="B24">
        <f>Prices!B24</f>
        <v/>
      </c>
      <c r="C24">
        <f>Prices!C24</f>
        <v/>
      </c>
      <c r="D24">
        <f>Prices!D24</f>
        <v/>
      </c>
      <c r="E24">
        <f>Prices!E24</f>
        <v/>
      </c>
      <c r="F24">
        <f>Prices!F24</f>
        <v/>
      </c>
      <c r="G24">
        <f>IF(AND(22&gt;=16,TEXT(A24,"yyyy-mm")&lt;&gt;TEXT(A25,"yyyy-mm")),1,0)</f>
        <v/>
      </c>
      <c r="H24">
        <f>IF(OR(H23=1,G24=1),1,0)</f>
        <v/>
      </c>
      <c r="I24">
        <f>IF(H23=0,1,SUMPRODUCT(J23:N23,B24:F24)+O23*(1+0.00023125256064071564))</f>
        <v/>
      </c>
      <c r="J24">
        <f>IF(G24=1,0.2*R24/B24,J23)</f>
        <v/>
      </c>
      <c r="K24">
        <f>IF(G24=1,0.2*R24/C24,K23)</f>
        <v/>
      </c>
      <c r="L24">
        <f>IF(G24=1,0.2*R24/D24,L23)</f>
        <v/>
      </c>
      <c r="M24">
        <f>IF(G24=1,0.2*R24/E24,M23)</f>
        <v/>
      </c>
      <c r="N24">
        <f>IF(G24=1,0.2*R24/F24,N23)</f>
        <v/>
      </c>
      <c r="O24">
        <f>IF(G24=1,R24*(1-1.0),IF(H23=0,1,O23*(1+0.00023125256064071564)))</f>
        <v/>
      </c>
      <c r="P24">
        <f>IF(G24=1,IF(H23=0,1,ABS(0.2-J23*B24/I24)+ABS(0.2-K23*C24/I24)+ABS(0.2-L23*D24/I24)+ABS(0.2-M23*E24/I24)+ABS(0.2-N23*F24/I24)),0)</f>
        <v/>
      </c>
      <c r="Q24">
        <f>P24*0.0015</f>
        <v/>
      </c>
      <c r="R24">
        <f>I24*(1-Q24)</f>
        <v/>
      </c>
      <c r="S24">
        <f>R24/R23-1</f>
        <v/>
      </c>
      <c r="T24">
        <f>MAX(T23,R24)</f>
        <v/>
      </c>
      <c r="U24">
        <f>R24/T24-1</f>
        <v/>
      </c>
      <c r="V24" t="n">
        <v>1.013827516541569</v>
      </c>
      <c r="W24" s="5">
        <f>R24-V24</f>
        <v/>
      </c>
    </row>
    <row r="25">
      <c r="A25" s="3" t="n">
        <v>38477</v>
      </c>
      <c r="B25">
        <f>Prices!B25</f>
        <v/>
      </c>
      <c r="C25">
        <f>Prices!C25</f>
        <v/>
      </c>
      <c r="D25">
        <f>Prices!D25</f>
        <v/>
      </c>
      <c r="E25">
        <f>Prices!E25</f>
        <v/>
      </c>
      <c r="F25">
        <f>Prices!F25</f>
        <v/>
      </c>
      <c r="G25">
        <f>IF(AND(23&gt;=16,TEXT(A25,"yyyy-mm")&lt;&gt;TEXT(A26,"yyyy-mm")),1,0)</f>
        <v/>
      </c>
      <c r="H25">
        <f>IF(OR(H24=1,G25=1),1,0)</f>
        <v/>
      </c>
      <c r="I25">
        <f>IF(H24=0,1,SUMPRODUCT(J24:N24,B25:F25)+O24*(1+0.00023125256064071564))</f>
        <v/>
      </c>
      <c r="J25">
        <f>IF(G25=1,0.2*R25/B25,J24)</f>
        <v/>
      </c>
      <c r="K25">
        <f>IF(G25=1,0.2*R25/C25,K24)</f>
        <v/>
      </c>
      <c r="L25">
        <f>IF(G25=1,0.2*R25/D25,L24)</f>
        <v/>
      </c>
      <c r="M25">
        <f>IF(G25=1,0.2*R25/E25,M24)</f>
        <v/>
      </c>
      <c r="N25">
        <f>IF(G25=1,0.2*R25/F25,N24)</f>
        <v/>
      </c>
      <c r="O25">
        <f>IF(G25=1,R25*(1-1.0),IF(H24=0,1,O24*(1+0.00023125256064071564)))</f>
        <v/>
      </c>
      <c r="P25">
        <f>IF(G25=1,IF(H24=0,1,ABS(0.2-J24*B25/I25)+ABS(0.2-K24*C25/I25)+ABS(0.2-L24*D25/I25)+ABS(0.2-M24*E25/I25)+ABS(0.2-N24*F25/I25)),0)</f>
        <v/>
      </c>
      <c r="Q25">
        <f>P25*0.0015</f>
        <v/>
      </c>
      <c r="R25">
        <f>I25*(1-Q25)</f>
        <v/>
      </c>
      <c r="S25">
        <f>R25/R24-1</f>
        <v/>
      </c>
      <c r="T25">
        <f>MAX(T24,R25)</f>
        <v/>
      </c>
      <c r="U25">
        <f>R25/T25-1</f>
        <v/>
      </c>
      <c r="V25" t="n">
        <v>1.024448492457298</v>
      </c>
      <c r="W25" s="5">
        <f>R25-V25</f>
        <v/>
      </c>
    </row>
    <row r="26">
      <c r="A26" s="3" t="n">
        <v>38478</v>
      </c>
      <c r="B26">
        <f>Prices!B26</f>
        <v/>
      </c>
      <c r="C26">
        <f>Prices!C26</f>
        <v/>
      </c>
      <c r="D26">
        <f>Prices!D26</f>
        <v/>
      </c>
      <c r="E26">
        <f>Prices!E26</f>
        <v/>
      </c>
      <c r="F26">
        <f>Prices!F26</f>
        <v/>
      </c>
      <c r="G26">
        <f>IF(AND(24&gt;=16,TEXT(A26,"yyyy-mm")&lt;&gt;TEXT(A27,"yyyy-mm")),1,0)</f>
        <v/>
      </c>
      <c r="H26">
        <f>IF(OR(H25=1,G26=1),1,0)</f>
        <v/>
      </c>
      <c r="I26">
        <f>IF(H25=0,1,SUMPRODUCT(J25:N25,B26:F26)+O25*(1+0.00023125256064071564))</f>
        <v/>
      </c>
      <c r="J26">
        <f>IF(G26=1,0.2*R26/B26,J25)</f>
        <v/>
      </c>
      <c r="K26">
        <f>IF(G26=1,0.2*R26/C26,K25)</f>
        <v/>
      </c>
      <c r="L26">
        <f>IF(G26=1,0.2*R26/D26,L25)</f>
        <v/>
      </c>
      <c r="M26">
        <f>IF(G26=1,0.2*R26/E26,M25)</f>
        <v/>
      </c>
      <c r="N26">
        <f>IF(G26=1,0.2*R26/F26,N25)</f>
        <v/>
      </c>
      <c r="O26">
        <f>IF(G26=1,R26*(1-1.0),IF(H25=0,1,O25*(1+0.00023125256064071564)))</f>
        <v/>
      </c>
      <c r="P26">
        <f>IF(G26=1,IF(H25=0,1,ABS(0.2-J25*B26/I26)+ABS(0.2-K25*C26/I26)+ABS(0.2-L25*D26/I26)+ABS(0.2-M25*E26/I26)+ABS(0.2-N25*F26/I26)),0)</f>
        <v/>
      </c>
      <c r="Q26">
        <f>P26*0.0015</f>
        <v/>
      </c>
      <c r="R26">
        <f>I26*(1-Q26)</f>
        <v/>
      </c>
      <c r="S26">
        <f>R26/R25-1</f>
        <v/>
      </c>
      <c r="T26">
        <f>MAX(T25,R26)</f>
        <v/>
      </c>
      <c r="U26">
        <f>R26/T26-1</f>
        <v/>
      </c>
      <c r="V26" t="n">
        <v>1.029572482205202</v>
      </c>
      <c r="W26" s="5">
        <f>R26-V26</f>
        <v/>
      </c>
    </row>
    <row r="27">
      <c r="A27" s="3" t="n">
        <v>38481</v>
      </c>
      <c r="B27">
        <f>Prices!B27</f>
        <v/>
      </c>
      <c r="C27">
        <f>Prices!C27</f>
        <v/>
      </c>
      <c r="D27">
        <f>Prices!D27</f>
        <v/>
      </c>
      <c r="E27">
        <f>Prices!E27</f>
        <v/>
      </c>
      <c r="F27">
        <f>Prices!F27</f>
        <v/>
      </c>
      <c r="G27">
        <f>IF(AND(25&gt;=16,TEXT(A27,"yyyy-mm")&lt;&gt;TEXT(A28,"yyyy-mm")),1,0)</f>
        <v/>
      </c>
      <c r="H27">
        <f>IF(OR(H26=1,G27=1),1,0)</f>
        <v/>
      </c>
      <c r="I27">
        <f>IF(H26=0,1,SUMPRODUCT(J26:N26,B27:F27)+O26*(1+0.00023125256064071564))</f>
        <v/>
      </c>
      <c r="J27">
        <f>IF(G27=1,0.2*R27/B27,J26)</f>
        <v/>
      </c>
      <c r="K27">
        <f>IF(G27=1,0.2*R27/C27,K26)</f>
        <v/>
      </c>
      <c r="L27">
        <f>IF(G27=1,0.2*R27/D27,L26)</f>
        <v/>
      </c>
      <c r="M27">
        <f>IF(G27=1,0.2*R27/E27,M26)</f>
        <v/>
      </c>
      <c r="N27">
        <f>IF(G27=1,0.2*R27/F27,N26)</f>
        <v/>
      </c>
      <c r="O27">
        <f>IF(G27=1,R27*(1-1.0),IF(H26=0,1,O26*(1+0.00023125256064071564)))</f>
        <v/>
      </c>
      <c r="P27">
        <f>IF(G27=1,IF(H26=0,1,ABS(0.2-J26*B27/I27)+ABS(0.2-K26*C27/I27)+ABS(0.2-L26*D27/I27)+ABS(0.2-M26*E27/I27)+ABS(0.2-N26*F27/I27)),0)</f>
        <v/>
      </c>
      <c r="Q27">
        <f>P27*0.0015</f>
        <v/>
      </c>
      <c r="R27">
        <f>I27*(1-Q27)</f>
        <v/>
      </c>
      <c r="S27">
        <f>R27/R26-1</f>
        <v/>
      </c>
      <c r="T27">
        <f>MAX(T26,R27)</f>
        <v/>
      </c>
      <c r="U27">
        <f>R27/T27-1</f>
        <v/>
      </c>
      <c r="V27" t="n">
        <v>1.04264918748338</v>
      </c>
      <c r="W27" s="5">
        <f>R27-V27</f>
        <v/>
      </c>
    </row>
    <row r="28">
      <c r="A28" s="3" t="n">
        <v>38482</v>
      </c>
      <c r="B28">
        <f>Prices!B28</f>
        <v/>
      </c>
      <c r="C28">
        <f>Prices!C28</f>
        <v/>
      </c>
      <c r="D28">
        <f>Prices!D28</f>
        <v/>
      </c>
      <c r="E28">
        <f>Prices!E28</f>
        <v/>
      </c>
      <c r="F28">
        <f>Prices!F28</f>
        <v/>
      </c>
      <c r="G28">
        <f>IF(AND(26&gt;=16,TEXT(A28,"yyyy-mm")&lt;&gt;TEXT(A29,"yyyy-mm")),1,0)</f>
        <v/>
      </c>
      <c r="H28">
        <f>IF(OR(H27=1,G28=1),1,0)</f>
        <v/>
      </c>
      <c r="I28">
        <f>IF(H27=0,1,SUMPRODUCT(J27:N27,B28:F28)+O27*(1+0.00023125256064071564))</f>
        <v/>
      </c>
      <c r="J28">
        <f>IF(G28=1,0.2*R28/B28,J27)</f>
        <v/>
      </c>
      <c r="K28">
        <f>IF(G28=1,0.2*R28/C28,K27)</f>
        <v/>
      </c>
      <c r="L28">
        <f>IF(G28=1,0.2*R28/D28,L27)</f>
        <v/>
      </c>
      <c r="M28">
        <f>IF(G28=1,0.2*R28/E28,M27)</f>
        <v/>
      </c>
      <c r="N28">
        <f>IF(G28=1,0.2*R28/F28,N27)</f>
        <v/>
      </c>
      <c r="O28">
        <f>IF(G28=1,R28*(1-1.0),IF(H27=0,1,O27*(1+0.00023125256064071564)))</f>
        <v/>
      </c>
      <c r="P28">
        <f>IF(G28=1,IF(H27=0,1,ABS(0.2-J27*B28/I28)+ABS(0.2-K27*C28/I28)+ABS(0.2-L27*D28/I28)+ABS(0.2-M27*E28/I28)+ABS(0.2-N27*F28/I28)),0)</f>
        <v/>
      </c>
      <c r="Q28">
        <f>P28*0.0015</f>
        <v/>
      </c>
      <c r="R28">
        <f>I28*(1-Q28)</f>
        <v/>
      </c>
      <c r="S28">
        <f>R28/R27-1</f>
        <v/>
      </c>
      <c r="T28">
        <f>MAX(T27,R28)</f>
        <v/>
      </c>
      <c r="U28">
        <f>R28/T28-1</f>
        <v/>
      </c>
      <c r="V28" t="n">
        <v>1.04069855587647</v>
      </c>
      <c r="W28" s="5">
        <f>R28-V28</f>
        <v/>
      </c>
    </row>
    <row r="29">
      <c r="A29" s="3" t="n">
        <v>38483</v>
      </c>
      <c r="B29">
        <f>Prices!B29</f>
        <v/>
      </c>
      <c r="C29">
        <f>Prices!C29</f>
        <v/>
      </c>
      <c r="D29">
        <f>Prices!D29</f>
        <v/>
      </c>
      <c r="E29">
        <f>Prices!E29</f>
        <v/>
      </c>
      <c r="F29">
        <f>Prices!F29</f>
        <v/>
      </c>
      <c r="G29">
        <f>IF(AND(27&gt;=16,TEXT(A29,"yyyy-mm")&lt;&gt;TEXT(A30,"yyyy-mm")),1,0)</f>
        <v/>
      </c>
      <c r="H29">
        <f>IF(OR(H28=1,G29=1),1,0)</f>
        <v/>
      </c>
      <c r="I29">
        <f>IF(H28=0,1,SUMPRODUCT(J28:N28,B29:F29)+O28*(1+0.00023125256064071564))</f>
        <v/>
      </c>
      <c r="J29">
        <f>IF(G29=1,0.2*R29/B29,J28)</f>
        <v/>
      </c>
      <c r="K29">
        <f>IF(G29=1,0.2*R29/C29,K28)</f>
        <v/>
      </c>
      <c r="L29">
        <f>IF(G29=1,0.2*R29/D29,L28)</f>
        <v/>
      </c>
      <c r="M29">
        <f>IF(G29=1,0.2*R29/E29,M28)</f>
        <v/>
      </c>
      <c r="N29">
        <f>IF(G29=1,0.2*R29/F29,N28)</f>
        <v/>
      </c>
      <c r="O29">
        <f>IF(G29=1,R29*(1-1.0),IF(H28=0,1,O28*(1+0.00023125256064071564)))</f>
        <v/>
      </c>
      <c r="P29">
        <f>IF(G29=1,IF(H28=0,1,ABS(0.2-J28*B29/I29)+ABS(0.2-K28*C29/I29)+ABS(0.2-L28*D29/I29)+ABS(0.2-M28*E29/I29)+ABS(0.2-N28*F29/I29)),0)</f>
        <v/>
      </c>
      <c r="Q29">
        <f>P29*0.0015</f>
        <v/>
      </c>
      <c r="R29">
        <f>I29*(1-Q29)</f>
        <v/>
      </c>
      <c r="S29">
        <f>R29/R28-1</f>
        <v/>
      </c>
      <c r="T29">
        <f>MAX(T28,R29)</f>
        <v/>
      </c>
      <c r="U29">
        <f>R29/T29-1</f>
        <v/>
      </c>
      <c r="V29" t="n">
        <v>1.039658430766828</v>
      </c>
      <c r="W29" s="5">
        <f>R29-V29</f>
        <v/>
      </c>
    </row>
    <row r="30">
      <c r="A30" s="3" t="n">
        <v>38484</v>
      </c>
      <c r="B30">
        <f>Prices!B30</f>
        <v/>
      </c>
      <c r="C30">
        <f>Prices!C30</f>
        <v/>
      </c>
      <c r="D30">
        <f>Prices!D30</f>
        <v/>
      </c>
      <c r="E30">
        <f>Prices!E30</f>
        <v/>
      </c>
      <c r="F30">
        <f>Prices!F30</f>
        <v/>
      </c>
      <c r="G30">
        <f>IF(AND(28&gt;=16,TEXT(A30,"yyyy-mm")&lt;&gt;TEXT(A31,"yyyy-mm")),1,0)</f>
        <v/>
      </c>
      <c r="H30">
        <f>IF(OR(H29=1,G30=1),1,0)</f>
        <v/>
      </c>
      <c r="I30">
        <f>IF(H29=0,1,SUMPRODUCT(J29:N29,B30:F30)+O29*(1+0.00023125256064071564))</f>
        <v/>
      </c>
      <c r="J30">
        <f>IF(G30=1,0.2*R30/B30,J29)</f>
        <v/>
      </c>
      <c r="K30">
        <f>IF(G30=1,0.2*R30/C30,K29)</f>
        <v/>
      </c>
      <c r="L30">
        <f>IF(G30=1,0.2*R30/D30,L29)</f>
        <v/>
      </c>
      <c r="M30">
        <f>IF(G30=1,0.2*R30/E30,M29)</f>
        <v/>
      </c>
      <c r="N30">
        <f>IF(G30=1,0.2*R30/F30,N29)</f>
        <v/>
      </c>
      <c r="O30">
        <f>IF(G30=1,R30*(1-1.0),IF(H29=0,1,O29*(1+0.00023125256064071564)))</f>
        <v/>
      </c>
      <c r="P30">
        <f>IF(G30=1,IF(H29=0,1,ABS(0.2-J29*B30/I30)+ABS(0.2-K29*C30/I30)+ABS(0.2-L29*D30/I30)+ABS(0.2-M29*E30/I30)+ABS(0.2-N29*F30/I30)),0)</f>
        <v/>
      </c>
      <c r="Q30">
        <f>P30*0.0015</f>
        <v/>
      </c>
      <c r="R30">
        <f>I30*(1-Q30)</f>
        <v/>
      </c>
      <c r="S30">
        <f>R30/R29-1</f>
        <v/>
      </c>
      <c r="T30">
        <f>MAX(T29,R30)</f>
        <v/>
      </c>
      <c r="U30">
        <f>R30/T30-1</f>
        <v/>
      </c>
      <c r="V30" t="n">
        <v>1.049513179688098</v>
      </c>
      <c r="W30" s="5">
        <f>R30-V30</f>
        <v/>
      </c>
    </row>
    <row r="31">
      <c r="A31" s="3" t="n">
        <v>38485</v>
      </c>
      <c r="B31">
        <f>Prices!B31</f>
        <v/>
      </c>
      <c r="C31">
        <f>Prices!C31</f>
        <v/>
      </c>
      <c r="D31">
        <f>Prices!D31</f>
        <v/>
      </c>
      <c r="E31">
        <f>Prices!E31</f>
        <v/>
      </c>
      <c r="F31">
        <f>Prices!F31</f>
        <v/>
      </c>
      <c r="G31">
        <f>IF(AND(29&gt;=16,TEXT(A31,"yyyy-mm")&lt;&gt;TEXT(A32,"yyyy-mm")),1,0)</f>
        <v/>
      </c>
      <c r="H31">
        <f>IF(OR(H30=1,G31=1),1,0)</f>
        <v/>
      </c>
      <c r="I31">
        <f>IF(H30=0,1,SUMPRODUCT(J30:N30,B31:F31)+O30*(1+0.00023125256064071564))</f>
        <v/>
      </c>
      <c r="J31">
        <f>IF(G31=1,0.2*R31/B31,J30)</f>
        <v/>
      </c>
      <c r="K31">
        <f>IF(G31=1,0.2*R31/C31,K30)</f>
        <v/>
      </c>
      <c r="L31">
        <f>IF(G31=1,0.2*R31/D31,L30)</f>
        <v/>
      </c>
      <c r="M31">
        <f>IF(G31=1,0.2*R31/E31,M30)</f>
        <v/>
      </c>
      <c r="N31">
        <f>IF(G31=1,0.2*R31/F31,N30)</f>
        <v/>
      </c>
      <c r="O31">
        <f>IF(G31=1,R31*(1-1.0),IF(H30=0,1,O30*(1+0.00023125256064071564)))</f>
        <v/>
      </c>
      <c r="P31">
        <f>IF(G31=1,IF(H30=0,1,ABS(0.2-J30*B31/I31)+ABS(0.2-K30*C31/I31)+ABS(0.2-L30*D31/I31)+ABS(0.2-M30*E31/I31)+ABS(0.2-N30*F31/I31)),0)</f>
        <v/>
      </c>
      <c r="Q31">
        <f>P31*0.0015</f>
        <v/>
      </c>
      <c r="R31">
        <f>I31*(1-Q31)</f>
        <v/>
      </c>
      <c r="S31">
        <f>R31/R30-1</f>
        <v/>
      </c>
      <c r="T31">
        <f>MAX(T30,R31)</f>
        <v/>
      </c>
      <c r="U31">
        <f>R31/T31-1</f>
        <v/>
      </c>
      <c r="V31" t="n">
        <v>1.053999864628905</v>
      </c>
      <c r="W31" s="5">
        <f>R31-V31</f>
        <v/>
      </c>
    </row>
    <row r="32">
      <c r="A32" s="3" t="n">
        <v>38488</v>
      </c>
      <c r="B32">
        <f>Prices!B32</f>
        <v/>
      </c>
      <c r="C32">
        <f>Prices!C32</f>
        <v/>
      </c>
      <c r="D32">
        <f>Prices!D32</f>
        <v/>
      </c>
      <c r="E32">
        <f>Prices!E32</f>
        <v/>
      </c>
      <c r="F32">
        <f>Prices!F32</f>
        <v/>
      </c>
      <c r="G32">
        <f>IF(AND(30&gt;=16,TEXT(A32,"yyyy-mm")&lt;&gt;TEXT(A33,"yyyy-mm")),1,0)</f>
        <v/>
      </c>
      <c r="H32">
        <f>IF(OR(H31=1,G32=1),1,0)</f>
        <v/>
      </c>
      <c r="I32">
        <f>IF(H31=0,1,SUMPRODUCT(J31:N31,B32:F32)+O31*(1+0.00023125256064071564))</f>
        <v/>
      </c>
      <c r="J32">
        <f>IF(G32=1,0.2*R32/B32,J31)</f>
        <v/>
      </c>
      <c r="K32">
        <f>IF(G32=1,0.2*R32/C32,K31)</f>
        <v/>
      </c>
      <c r="L32">
        <f>IF(G32=1,0.2*R32/D32,L31)</f>
        <v/>
      </c>
      <c r="M32">
        <f>IF(G32=1,0.2*R32/E32,M31)</f>
        <v/>
      </c>
      <c r="N32">
        <f>IF(G32=1,0.2*R32/F32,N31)</f>
        <v/>
      </c>
      <c r="O32">
        <f>IF(G32=1,R32*(1-1.0),IF(H31=0,1,O31*(1+0.00023125256064071564)))</f>
        <v/>
      </c>
      <c r="P32">
        <f>IF(G32=1,IF(H31=0,1,ABS(0.2-J31*B32/I32)+ABS(0.2-K31*C32/I32)+ABS(0.2-L31*D32/I32)+ABS(0.2-M31*E32/I32)+ABS(0.2-N31*F32/I32)),0)</f>
        <v/>
      </c>
      <c r="Q32">
        <f>P32*0.0015</f>
        <v/>
      </c>
      <c r="R32">
        <f>I32*(1-Q32)</f>
        <v/>
      </c>
      <c r="S32">
        <f>R32/R31-1</f>
        <v/>
      </c>
      <c r="T32">
        <f>MAX(T31,R32)</f>
        <v/>
      </c>
      <c r="U32">
        <f>R32/T32-1</f>
        <v/>
      </c>
      <c r="V32" t="n">
        <v>1.066626429072471</v>
      </c>
      <c r="W32" s="5">
        <f>R32-V32</f>
        <v/>
      </c>
    </row>
    <row r="33">
      <c r="A33" s="3" t="n">
        <v>38489</v>
      </c>
      <c r="B33">
        <f>Prices!B33</f>
        <v/>
      </c>
      <c r="C33">
        <f>Prices!C33</f>
        <v/>
      </c>
      <c r="D33">
        <f>Prices!D33</f>
        <v/>
      </c>
      <c r="E33">
        <f>Prices!E33</f>
        <v/>
      </c>
      <c r="F33">
        <f>Prices!F33</f>
        <v/>
      </c>
      <c r="G33">
        <f>IF(AND(31&gt;=16,TEXT(A33,"yyyy-mm")&lt;&gt;TEXT(A34,"yyyy-mm")),1,0)</f>
        <v/>
      </c>
      <c r="H33">
        <f>IF(OR(H32=1,G33=1),1,0)</f>
        <v/>
      </c>
      <c r="I33">
        <f>IF(H32=0,1,SUMPRODUCT(J32:N32,B33:F33)+O32*(1+0.00023125256064071564))</f>
        <v/>
      </c>
      <c r="J33">
        <f>IF(G33=1,0.2*R33/B33,J32)</f>
        <v/>
      </c>
      <c r="K33">
        <f>IF(G33=1,0.2*R33/C33,K32)</f>
        <v/>
      </c>
      <c r="L33">
        <f>IF(G33=1,0.2*R33/D33,L32)</f>
        <v/>
      </c>
      <c r="M33">
        <f>IF(G33=1,0.2*R33/E33,M32)</f>
        <v/>
      </c>
      <c r="N33">
        <f>IF(G33=1,0.2*R33/F33,N32)</f>
        <v/>
      </c>
      <c r="O33">
        <f>IF(G33=1,R33*(1-1.0),IF(H32=0,1,O32*(1+0.00023125256064071564)))</f>
        <v/>
      </c>
      <c r="P33">
        <f>IF(G33=1,IF(H32=0,1,ABS(0.2-J32*B33/I33)+ABS(0.2-K32*C33/I33)+ABS(0.2-L32*D33/I33)+ABS(0.2-M32*E33/I33)+ABS(0.2-N32*F33/I33)),0)</f>
        <v/>
      </c>
      <c r="Q33">
        <f>P33*0.0015</f>
        <v/>
      </c>
      <c r="R33">
        <f>I33*(1-Q33)</f>
        <v/>
      </c>
      <c r="S33">
        <f>R33/R32-1</f>
        <v/>
      </c>
      <c r="T33">
        <f>MAX(T32,R33)</f>
        <v/>
      </c>
      <c r="U33">
        <f>R33/T33-1</f>
        <v/>
      </c>
      <c r="V33" t="n">
        <v>1.055721789385241</v>
      </c>
      <c r="W33" s="5">
        <f>R33-V33</f>
        <v/>
      </c>
    </row>
    <row r="34">
      <c r="A34" s="3" t="n">
        <v>38490</v>
      </c>
      <c r="B34">
        <f>Prices!B34</f>
        <v/>
      </c>
      <c r="C34">
        <f>Prices!C34</f>
        <v/>
      </c>
      <c r="D34">
        <f>Prices!D34</f>
        <v/>
      </c>
      <c r="E34">
        <f>Prices!E34</f>
        <v/>
      </c>
      <c r="F34">
        <f>Prices!F34</f>
        <v/>
      </c>
      <c r="G34">
        <f>IF(AND(32&gt;=16,TEXT(A34,"yyyy-mm")&lt;&gt;TEXT(A35,"yyyy-mm")),1,0)</f>
        <v/>
      </c>
      <c r="H34">
        <f>IF(OR(H33=1,G34=1),1,0)</f>
        <v/>
      </c>
      <c r="I34">
        <f>IF(H33=0,1,SUMPRODUCT(J33:N33,B34:F34)+O33*(1+0.00023125256064071564))</f>
        <v/>
      </c>
      <c r="J34">
        <f>IF(G34=1,0.2*R34/B34,J33)</f>
        <v/>
      </c>
      <c r="K34">
        <f>IF(G34=1,0.2*R34/C34,K33)</f>
        <v/>
      </c>
      <c r="L34">
        <f>IF(G34=1,0.2*R34/D34,L33)</f>
        <v/>
      </c>
      <c r="M34">
        <f>IF(G34=1,0.2*R34/E34,M33)</f>
        <v/>
      </c>
      <c r="N34">
        <f>IF(G34=1,0.2*R34/F34,N33)</f>
        <v/>
      </c>
      <c r="O34">
        <f>IF(G34=1,R34*(1-1.0),IF(H33=0,1,O33*(1+0.00023125256064071564)))</f>
        <v/>
      </c>
      <c r="P34">
        <f>IF(G34=1,IF(H33=0,1,ABS(0.2-J33*B34/I34)+ABS(0.2-K33*C34/I34)+ABS(0.2-L33*D34/I34)+ABS(0.2-M33*E34/I34)+ABS(0.2-N33*F34/I34)),0)</f>
        <v/>
      </c>
      <c r="Q34">
        <f>P34*0.0015</f>
        <v/>
      </c>
      <c r="R34">
        <f>I34*(1-Q34)</f>
        <v/>
      </c>
      <c r="S34">
        <f>R34/R33-1</f>
        <v/>
      </c>
      <c r="T34">
        <f>MAX(T33,R34)</f>
        <v/>
      </c>
      <c r="U34">
        <f>R34/T34-1</f>
        <v/>
      </c>
      <c r="V34" t="n">
        <v>1.056247389402128</v>
      </c>
      <c r="W34" s="5">
        <f>R34-V34</f>
        <v/>
      </c>
    </row>
    <row r="35">
      <c r="A35" s="3" t="n">
        <v>38491</v>
      </c>
      <c r="B35">
        <f>Prices!B35</f>
        <v/>
      </c>
      <c r="C35">
        <f>Prices!C35</f>
        <v/>
      </c>
      <c r="D35">
        <f>Prices!D35</f>
        <v/>
      </c>
      <c r="E35">
        <f>Prices!E35</f>
        <v/>
      </c>
      <c r="F35">
        <f>Prices!F35</f>
        <v/>
      </c>
      <c r="G35">
        <f>IF(AND(33&gt;=16,TEXT(A35,"yyyy-mm")&lt;&gt;TEXT(A36,"yyyy-mm")),1,0)</f>
        <v/>
      </c>
      <c r="H35">
        <f>IF(OR(H34=1,G35=1),1,0)</f>
        <v/>
      </c>
      <c r="I35">
        <f>IF(H34=0,1,SUMPRODUCT(J34:N34,B35:F35)+O34*(1+0.00023125256064071564))</f>
        <v/>
      </c>
      <c r="J35">
        <f>IF(G35=1,0.2*R35/B35,J34)</f>
        <v/>
      </c>
      <c r="K35">
        <f>IF(G35=1,0.2*R35/C35,K34)</f>
        <v/>
      </c>
      <c r="L35">
        <f>IF(G35=1,0.2*R35/D35,L34)</f>
        <v/>
      </c>
      <c r="M35">
        <f>IF(G35=1,0.2*R35/E35,M34)</f>
        <v/>
      </c>
      <c r="N35">
        <f>IF(G35=1,0.2*R35/F35,N34)</f>
        <v/>
      </c>
      <c r="O35">
        <f>IF(G35=1,R35*(1-1.0),IF(H34=0,1,O34*(1+0.00023125256064071564)))</f>
        <v/>
      </c>
      <c r="P35">
        <f>IF(G35=1,IF(H34=0,1,ABS(0.2-J34*B35/I35)+ABS(0.2-K34*C35/I35)+ABS(0.2-L34*D35/I35)+ABS(0.2-M34*E35/I35)+ABS(0.2-N34*F35/I35)),0)</f>
        <v/>
      </c>
      <c r="Q35">
        <f>P35*0.0015</f>
        <v/>
      </c>
      <c r="R35">
        <f>I35*(1-Q35)</f>
        <v/>
      </c>
      <c r="S35">
        <f>R35/R34-1</f>
        <v/>
      </c>
      <c r="T35">
        <f>MAX(T34,R35)</f>
        <v/>
      </c>
      <c r="U35">
        <f>R35/T35-1</f>
        <v/>
      </c>
      <c r="V35" t="n">
        <v>1.064381559090361</v>
      </c>
      <c r="W35" s="5">
        <f>R35-V35</f>
        <v/>
      </c>
    </row>
    <row r="36">
      <c r="A36" s="3" t="n">
        <v>38492</v>
      </c>
      <c r="B36">
        <f>Prices!B36</f>
        <v/>
      </c>
      <c r="C36">
        <f>Prices!C36</f>
        <v/>
      </c>
      <c r="D36">
        <f>Prices!D36</f>
        <v/>
      </c>
      <c r="E36">
        <f>Prices!E36</f>
        <v/>
      </c>
      <c r="F36">
        <f>Prices!F36</f>
        <v/>
      </c>
      <c r="G36">
        <f>IF(AND(34&gt;=16,TEXT(A36,"yyyy-mm")&lt;&gt;TEXT(A37,"yyyy-mm")),1,0)</f>
        <v/>
      </c>
      <c r="H36">
        <f>IF(OR(H35=1,G36=1),1,0)</f>
        <v/>
      </c>
      <c r="I36">
        <f>IF(H35=0,1,SUMPRODUCT(J35:N35,B36:F36)+O35*(1+0.00023125256064071564))</f>
        <v/>
      </c>
      <c r="J36">
        <f>IF(G36=1,0.2*R36/B36,J35)</f>
        <v/>
      </c>
      <c r="K36">
        <f>IF(G36=1,0.2*R36/C36,K35)</f>
        <v/>
      </c>
      <c r="L36">
        <f>IF(G36=1,0.2*R36/D36,L35)</f>
        <v/>
      </c>
      <c r="M36">
        <f>IF(G36=1,0.2*R36/E36,M35)</f>
        <v/>
      </c>
      <c r="N36">
        <f>IF(G36=1,0.2*R36/F36,N35)</f>
        <v/>
      </c>
      <c r="O36">
        <f>IF(G36=1,R36*(1-1.0),IF(H35=0,1,O35*(1+0.00023125256064071564)))</f>
        <v/>
      </c>
      <c r="P36">
        <f>IF(G36=1,IF(H35=0,1,ABS(0.2-J35*B36/I36)+ABS(0.2-K35*C36/I36)+ABS(0.2-L35*D36/I36)+ABS(0.2-M35*E36/I36)+ABS(0.2-N35*F36/I36)),0)</f>
        <v/>
      </c>
      <c r="Q36">
        <f>P36*0.0015</f>
        <v/>
      </c>
      <c r="R36">
        <f>I36*(1-Q36)</f>
        <v/>
      </c>
      <c r="S36">
        <f>R36/R35-1</f>
        <v/>
      </c>
      <c r="T36">
        <f>MAX(T35,R36)</f>
        <v/>
      </c>
      <c r="U36">
        <f>R36/T36-1</f>
        <v/>
      </c>
      <c r="V36" t="n">
        <v>1.063548998471999</v>
      </c>
      <c r="W36" s="5">
        <f>R36-V36</f>
        <v/>
      </c>
    </row>
    <row r="37">
      <c r="A37" s="3" t="n">
        <v>38495</v>
      </c>
      <c r="B37">
        <f>Prices!B37</f>
        <v/>
      </c>
      <c r="C37">
        <f>Prices!C37</f>
        <v/>
      </c>
      <c r="D37">
        <f>Prices!D37</f>
        <v/>
      </c>
      <c r="E37">
        <f>Prices!E37</f>
        <v/>
      </c>
      <c r="F37">
        <f>Prices!F37</f>
        <v/>
      </c>
      <c r="G37">
        <f>IF(AND(35&gt;=16,TEXT(A37,"yyyy-mm")&lt;&gt;TEXT(A38,"yyyy-mm")),1,0)</f>
        <v/>
      </c>
      <c r="H37">
        <f>IF(OR(H36=1,G37=1),1,0)</f>
        <v/>
      </c>
      <c r="I37">
        <f>IF(H36=0,1,SUMPRODUCT(J36:N36,B37:F37)+O36*(1+0.00023125256064071564))</f>
        <v/>
      </c>
      <c r="J37">
        <f>IF(G37=1,0.2*R37/B37,J36)</f>
        <v/>
      </c>
      <c r="K37">
        <f>IF(G37=1,0.2*R37/C37,K36)</f>
        <v/>
      </c>
      <c r="L37">
        <f>IF(G37=1,0.2*R37/D37,L36)</f>
        <v/>
      </c>
      <c r="M37">
        <f>IF(G37=1,0.2*R37/E37,M36)</f>
        <v/>
      </c>
      <c r="N37">
        <f>IF(G37=1,0.2*R37/F37,N36)</f>
        <v/>
      </c>
      <c r="O37">
        <f>IF(G37=1,R37*(1-1.0),IF(H36=0,1,O36*(1+0.00023125256064071564)))</f>
        <v/>
      </c>
      <c r="P37">
        <f>IF(G37=1,IF(H36=0,1,ABS(0.2-J36*B37/I37)+ABS(0.2-K36*C37/I37)+ABS(0.2-L36*D37/I37)+ABS(0.2-M36*E37/I37)+ABS(0.2-N36*F37/I37)),0)</f>
        <v/>
      </c>
      <c r="Q37">
        <f>P37*0.0015</f>
        <v/>
      </c>
      <c r="R37">
        <f>I37*(1-Q37)</f>
        <v/>
      </c>
      <c r="S37">
        <f>R37/R36-1</f>
        <v/>
      </c>
      <c r="T37">
        <f>MAX(T36,R37)</f>
        <v/>
      </c>
      <c r="U37">
        <f>R37/T37-1</f>
        <v/>
      </c>
      <c r="V37" t="n">
        <v>1.070126599023424</v>
      </c>
      <c r="W37" s="5">
        <f>R37-V37</f>
        <v/>
      </c>
    </row>
    <row r="38">
      <c r="A38" s="3" t="n">
        <v>38496</v>
      </c>
      <c r="B38">
        <f>Prices!B38</f>
        <v/>
      </c>
      <c r="C38">
        <f>Prices!C38</f>
        <v/>
      </c>
      <c r="D38">
        <f>Prices!D38</f>
        <v/>
      </c>
      <c r="E38">
        <f>Prices!E38</f>
        <v/>
      </c>
      <c r="F38">
        <f>Prices!F38</f>
        <v/>
      </c>
      <c r="G38">
        <f>IF(AND(36&gt;=16,TEXT(A38,"yyyy-mm")&lt;&gt;TEXT(A39,"yyyy-mm")),1,0)</f>
        <v/>
      </c>
      <c r="H38">
        <f>IF(OR(H37=1,G38=1),1,0)</f>
        <v/>
      </c>
      <c r="I38">
        <f>IF(H37=0,1,SUMPRODUCT(J37:N37,B38:F38)+O37*(1+0.00023125256064071564))</f>
        <v/>
      </c>
      <c r="J38">
        <f>IF(G38=1,0.2*R38/B38,J37)</f>
        <v/>
      </c>
      <c r="K38">
        <f>IF(G38=1,0.2*R38/C38,K37)</f>
        <v/>
      </c>
      <c r="L38">
        <f>IF(G38=1,0.2*R38/D38,L37)</f>
        <v/>
      </c>
      <c r="M38">
        <f>IF(G38=1,0.2*R38/E38,M37)</f>
        <v/>
      </c>
      <c r="N38">
        <f>IF(G38=1,0.2*R38/F38,N37)</f>
        <v/>
      </c>
      <c r="O38">
        <f>IF(G38=1,R38*(1-1.0),IF(H37=0,1,O37*(1+0.00023125256064071564)))</f>
        <v/>
      </c>
      <c r="P38">
        <f>IF(G38=1,IF(H37=0,1,ABS(0.2-J37*B38/I38)+ABS(0.2-K37*C38/I38)+ABS(0.2-L37*D38/I38)+ABS(0.2-M37*E38/I38)+ABS(0.2-N37*F38/I38)),0)</f>
        <v/>
      </c>
      <c r="Q38">
        <f>P38*0.0015</f>
        <v/>
      </c>
      <c r="R38">
        <f>I38*(1-Q38)</f>
        <v/>
      </c>
      <c r="S38">
        <f>R38/R37-1</f>
        <v/>
      </c>
      <c r="T38">
        <f>MAX(T37,R38)</f>
        <v/>
      </c>
      <c r="U38">
        <f>R38/T38-1</f>
        <v/>
      </c>
      <c r="V38" t="n">
        <v>1.074595800977732</v>
      </c>
      <c r="W38" s="5">
        <f>R38-V38</f>
        <v/>
      </c>
    </row>
    <row r="39">
      <c r="A39" s="3" t="n">
        <v>38497</v>
      </c>
      <c r="B39">
        <f>Prices!B39</f>
        <v/>
      </c>
      <c r="C39">
        <f>Prices!C39</f>
        <v/>
      </c>
      <c r="D39">
        <f>Prices!D39</f>
        <v/>
      </c>
      <c r="E39">
        <f>Prices!E39</f>
        <v/>
      </c>
      <c r="F39">
        <f>Prices!F39</f>
        <v/>
      </c>
      <c r="G39">
        <f>IF(AND(37&gt;=16,TEXT(A39,"yyyy-mm")&lt;&gt;TEXT(A40,"yyyy-mm")),1,0)</f>
        <v/>
      </c>
      <c r="H39">
        <f>IF(OR(H38=1,G39=1),1,0)</f>
        <v/>
      </c>
      <c r="I39">
        <f>IF(H38=0,1,SUMPRODUCT(J38:N38,B39:F39)+O38*(1+0.00023125256064071564))</f>
        <v/>
      </c>
      <c r="J39">
        <f>IF(G39=1,0.2*R39/B39,J38)</f>
        <v/>
      </c>
      <c r="K39">
        <f>IF(G39=1,0.2*R39/C39,K38)</f>
        <v/>
      </c>
      <c r="L39">
        <f>IF(G39=1,0.2*R39/D39,L38)</f>
        <v/>
      </c>
      <c r="M39">
        <f>IF(G39=1,0.2*R39/E39,M38)</f>
        <v/>
      </c>
      <c r="N39">
        <f>IF(G39=1,0.2*R39/F39,N38)</f>
        <v/>
      </c>
      <c r="O39">
        <f>IF(G39=1,R39*(1-1.0),IF(H38=0,1,O38*(1+0.00023125256064071564)))</f>
        <v/>
      </c>
      <c r="P39">
        <f>IF(G39=1,IF(H38=0,1,ABS(0.2-J38*B39/I39)+ABS(0.2-K38*C39/I39)+ABS(0.2-L38*D39/I39)+ABS(0.2-M38*E39/I39)+ABS(0.2-N38*F39/I39)),0)</f>
        <v/>
      </c>
      <c r="Q39">
        <f>P39*0.0015</f>
        <v/>
      </c>
      <c r="R39">
        <f>I39*(1-Q39)</f>
        <v/>
      </c>
      <c r="S39">
        <f>R39/R38-1</f>
        <v/>
      </c>
      <c r="T39">
        <f>MAX(T38,R39)</f>
        <v/>
      </c>
      <c r="U39">
        <f>R39/T39-1</f>
        <v/>
      </c>
      <c r="V39" t="n">
        <v>1.079764675545265</v>
      </c>
      <c r="W39" s="5">
        <f>R39-V39</f>
        <v/>
      </c>
    </row>
    <row r="40">
      <c r="A40" s="3" t="n">
        <v>38498</v>
      </c>
      <c r="B40">
        <f>Prices!B40</f>
        <v/>
      </c>
      <c r="C40">
        <f>Prices!C40</f>
        <v/>
      </c>
      <c r="D40">
        <f>Prices!D40</f>
        <v/>
      </c>
      <c r="E40">
        <f>Prices!E40</f>
        <v/>
      </c>
      <c r="F40">
        <f>Prices!F40</f>
        <v/>
      </c>
      <c r="G40">
        <f>IF(AND(38&gt;=16,TEXT(A40,"yyyy-mm")&lt;&gt;TEXT(A41,"yyyy-mm")),1,0)</f>
        <v/>
      </c>
      <c r="H40">
        <f>IF(OR(H39=1,G40=1),1,0)</f>
        <v/>
      </c>
      <c r="I40">
        <f>IF(H39=0,1,SUMPRODUCT(J39:N39,B40:F40)+O39*(1+0.00023125256064071564))</f>
        <v/>
      </c>
      <c r="J40">
        <f>IF(G40=1,0.2*R40/B40,J39)</f>
        <v/>
      </c>
      <c r="K40">
        <f>IF(G40=1,0.2*R40/C40,K39)</f>
        <v/>
      </c>
      <c r="L40">
        <f>IF(G40=1,0.2*R40/D40,L39)</f>
        <v/>
      </c>
      <c r="M40">
        <f>IF(G40=1,0.2*R40/E40,M39)</f>
        <v/>
      </c>
      <c r="N40">
        <f>IF(G40=1,0.2*R40/F40,N39)</f>
        <v/>
      </c>
      <c r="O40">
        <f>IF(G40=1,R40*(1-1.0),IF(H39=0,1,O39*(1+0.00023125256064071564)))</f>
        <v/>
      </c>
      <c r="P40">
        <f>IF(G40=1,IF(H39=0,1,ABS(0.2-J39*B40/I40)+ABS(0.2-K39*C40/I40)+ABS(0.2-L39*D40/I40)+ABS(0.2-M39*E40/I40)+ABS(0.2-N39*F40/I40)),0)</f>
        <v/>
      </c>
      <c r="Q40">
        <f>P40*0.0015</f>
        <v/>
      </c>
      <c r="R40">
        <f>I40*(1-Q40)</f>
        <v/>
      </c>
      <c r="S40">
        <f>R40/R39-1</f>
        <v/>
      </c>
      <c r="T40">
        <f>MAX(T39,R40)</f>
        <v/>
      </c>
      <c r="U40">
        <f>R40/T40-1</f>
        <v/>
      </c>
      <c r="V40" t="n">
        <v>1.079537851800485</v>
      </c>
      <c r="W40" s="5">
        <f>R40-V40</f>
        <v/>
      </c>
    </row>
    <row r="41">
      <c r="A41" s="3" t="n">
        <v>38499</v>
      </c>
      <c r="B41">
        <f>Prices!B41</f>
        <v/>
      </c>
      <c r="C41">
        <f>Prices!C41</f>
        <v/>
      </c>
      <c r="D41">
        <f>Prices!D41</f>
        <v/>
      </c>
      <c r="E41">
        <f>Prices!E41</f>
        <v/>
      </c>
      <c r="F41">
        <f>Prices!F41</f>
        <v/>
      </c>
      <c r="G41">
        <f>IF(AND(39&gt;=16,TEXT(A41,"yyyy-mm")&lt;&gt;TEXT(A42,"yyyy-mm")),1,0)</f>
        <v/>
      </c>
      <c r="H41">
        <f>IF(OR(H40=1,G41=1),1,0)</f>
        <v/>
      </c>
      <c r="I41">
        <f>IF(H40=0,1,SUMPRODUCT(J40:N40,B41:F41)+O40*(1+0.00023125256064071564))</f>
        <v/>
      </c>
      <c r="J41">
        <f>IF(G41=1,0.2*R41/B41,J40)</f>
        <v/>
      </c>
      <c r="K41">
        <f>IF(G41=1,0.2*R41/C41,K40)</f>
        <v/>
      </c>
      <c r="L41">
        <f>IF(G41=1,0.2*R41/D41,L40)</f>
        <v/>
      </c>
      <c r="M41">
        <f>IF(G41=1,0.2*R41/E41,M40)</f>
        <v/>
      </c>
      <c r="N41">
        <f>IF(G41=1,0.2*R41/F41,N40)</f>
        <v/>
      </c>
      <c r="O41">
        <f>IF(G41=1,R41*(1-1.0),IF(H40=0,1,O40*(1+0.00023125256064071564)))</f>
        <v/>
      </c>
      <c r="P41">
        <f>IF(G41=1,IF(H40=0,1,ABS(0.2-J40*B41/I41)+ABS(0.2-K40*C41/I41)+ABS(0.2-L40*D41/I41)+ABS(0.2-M40*E41/I41)+ABS(0.2-N40*F41/I41)),0)</f>
        <v/>
      </c>
      <c r="Q41">
        <f>P41*0.0015</f>
        <v/>
      </c>
      <c r="R41">
        <f>I41*(1-Q41)</f>
        <v/>
      </c>
      <c r="S41">
        <f>R41/R40-1</f>
        <v/>
      </c>
      <c r="T41">
        <f>MAX(T40,R41)</f>
        <v/>
      </c>
      <c r="U41">
        <f>R41/T41-1</f>
        <v/>
      </c>
      <c r="V41" t="n">
        <v>1.079066766660838</v>
      </c>
      <c r="W41" s="5">
        <f>R41-V41</f>
        <v/>
      </c>
    </row>
    <row r="42">
      <c r="A42" s="3" t="n">
        <v>38502</v>
      </c>
      <c r="B42">
        <f>Prices!B42</f>
        <v/>
      </c>
      <c r="C42">
        <f>Prices!C42</f>
        <v/>
      </c>
      <c r="D42">
        <f>Prices!D42</f>
        <v/>
      </c>
      <c r="E42">
        <f>Prices!E42</f>
        <v/>
      </c>
      <c r="F42">
        <f>Prices!F42</f>
        <v/>
      </c>
      <c r="G42">
        <f>IF(AND(40&gt;=16,TEXT(A42,"yyyy-mm")&lt;&gt;TEXT(A43,"yyyy-mm")),1,0)</f>
        <v/>
      </c>
      <c r="H42">
        <f>IF(OR(H41=1,G42=1),1,0)</f>
        <v/>
      </c>
      <c r="I42">
        <f>IF(H41=0,1,SUMPRODUCT(J41:N41,B42:F42)+O41*(1+0.00023125256064071564))</f>
        <v/>
      </c>
      <c r="J42">
        <f>IF(G42=1,0.2*R42/B42,J41)</f>
        <v/>
      </c>
      <c r="K42">
        <f>IF(G42=1,0.2*R42/C42,K41)</f>
        <v/>
      </c>
      <c r="L42">
        <f>IF(G42=1,0.2*R42/D42,L41)</f>
        <v/>
      </c>
      <c r="M42">
        <f>IF(G42=1,0.2*R42/E42,M41)</f>
        <v/>
      </c>
      <c r="N42">
        <f>IF(G42=1,0.2*R42/F42,N41)</f>
        <v/>
      </c>
      <c r="O42">
        <f>IF(G42=1,R42*(1-1.0),IF(H41=0,1,O41*(1+0.00023125256064071564)))</f>
        <v/>
      </c>
      <c r="P42">
        <f>IF(G42=1,IF(H41=0,1,ABS(0.2-J41*B42/I42)+ABS(0.2-K41*C42/I42)+ABS(0.2-L41*D42/I42)+ABS(0.2-M41*E42/I42)+ABS(0.2-N41*F42/I42)),0)</f>
        <v/>
      </c>
      <c r="Q42">
        <f>P42*0.0015</f>
        <v/>
      </c>
      <c r="R42">
        <f>I42*(1-Q42)</f>
        <v/>
      </c>
      <c r="S42">
        <f>R42/R41-1</f>
        <v/>
      </c>
      <c r="T42">
        <f>MAX(T41,R42)</f>
        <v/>
      </c>
      <c r="U42">
        <f>R42/T42-1</f>
        <v/>
      </c>
      <c r="V42" t="n">
        <v>1.072722083361468</v>
      </c>
      <c r="W42" s="5">
        <f>R42-V42</f>
        <v/>
      </c>
    </row>
    <row r="43">
      <c r="A43" s="3" t="n">
        <v>38503</v>
      </c>
      <c r="B43">
        <f>Prices!B43</f>
        <v/>
      </c>
      <c r="C43">
        <f>Prices!C43</f>
        <v/>
      </c>
      <c r="D43">
        <f>Prices!D43</f>
        <v/>
      </c>
      <c r="E43">
        <f>Prices!E43</f>
        <v/>
      </c>
      <c r="F43">
        <f>Prices!F43</f>
        <v/>
      </c>
      <c r="G43">
        <f>IF(AND(41&gt;=16,TEXT(A43,"yyyy-mm")&lt;&gt;TEXT(A44,"yyyy-mm")),1,0)</f>
        <v/>
      </c>
      <c r="H43">
        <f>IF(OR(H42=1,G43=1),1,0)</f>
        <v/>
      </c>
      <c r="I43">
        <f>IF(H42=0,1,SUMPRODUCT(J42:N42,B43:F43)+O42*(1+0.00023125256064071564))</f>
        <v/>
      </c>
      <c r="J43">
        <f>IF(G43=1,0.2*R43/B43,J42)</f>
        <v/>
      </c>
      <c r="K43">
        <f>IF(G43=1,0.2*R43/C43,K42)</f>
        <v/>
      </c>
      <c r="L43">
        <f>IF(G43=1,0.2*R43/D43,L42)</f>
        <v/>
      </c>
      <c r="M43">
        <f>IF(G43=1,0.2*R43/E43,M42)</f>
        <v/>
      </c>
      <c r="N43">
        <f>IF(G43=1,0.2*R43/F43,N42)</f>
        <v/>
      </c>
      <c r="O43">
        <f>IF(G43=1,R43*(1-1.0),IF(H42=0,1,O42*(1+0.00023125256064071564)))</f>
        <v/>
      </c>
      <c r="P43">
        <f>IF(G43=1,IF(H42=0,1,ABS(0.2-J42*B43/I43)+ABS(0.2-K42*C43/I43)+ABS(0.2-L42*D43/I43)+ABS(0.2-M42*E43/I43)+ABS(0.2-N42*F43/I43)),0)</f>
        <v/>
      </c>
      <c r="Q43">
        <f>P43*0.0015</f>
        <v/>
      </c>
      <c r="R43">
        <f>I43*(1-Q43)</f>
        <v/>
      </c>
      <c r="S43">
        <f>R43/R42-1</f>
        <v/>
      </c>
      <c r="T43">
        <f>MAX(T42,R43)</f>
        <v/>
      </c>
      <c r="U43">
        <f>R43/T43-1</f>
        <v/>
      </c>
      <c r="V43" t="n">
        <v>1.079531213827044</v>
      </c>
      <c r="W43" s="5">
        <f>R43-V43</f>
        <v/>
      </c>
    </row>
    <row r="44">
      <c r="A44" s="3" t="n">
        <v>38504</v>
      </c>
      <c r="B44">
        <f>Prices!B44</f>
        <v/>
      </c>
      <c r="C44">
        <f>Prices!C44</f>
        <v/>
      </c>
      <c r="D44">
        <f>Prices!D44</f>
        <v/>
      </c>
      <c r="E44">
        <f>Prices!E44</f>
        <v/>
      </c>
      <c r="F44">
        <f>Prices!F44</f>
        <v/>
      </c>
      <c r="G44">
        <f>IF(AND(42&gt;=16,TEXT(A44,"yyyy-mm")&lt;&gt;TEXT(A45,"yyyy-mm")),1,0)</f>
        <v/>
      </c>
      <c r="H44">
        <f>IF(OR(H43=1,G44=1),1,0)</f>
        <v/>
      </c>
      <c r="I44">
        <f>IF(H43=0,1,SUMPRODUCT(J43:N43,B44:F44)+O43*(1+0.00023125256064071564))</f>
        <v/>
      </c>
      <c r="J44">
        <f>IF(G44=1,0.2*R44/B44,J43)</f>
        <v/>
      </c>
      <c r="K44">
        <f>IF(G44=1,0.2*R44/C44,K43)</f>
        <v/>
      </c>
      <c r="L44">
        <f>IF(G44=1,0.2*R44/D44,L43)</f>
        <v/>
      </c>
      <c r="M44">
        <f>IF(G44=1,0.2*R44/E44,M43)</f>
        <v/>
      </c>
      <c r="N44">
        <f>IF(G44=1,0.2*R44/F44,N43)</f>
        <v/>
      </c>
      <c r="O44">
        <f>IF(G44=1,R44*(1-1.0),IF(H43=0,1,O43*(1+0.00023125256064071564)))</f>
        <v/>
      </c>
      <c r="P44">
        <f>IF(G44=1,IF(H43=0,1,ABS(0.2-J43*B44/I44)+ABS(0.2-K43*C44/I44)+ABS(0.2-L43*D44/I44)+ABS(0.2-M43*E44/I44)+ABS(0.2-N43*F44/I44)),0)</f>
        <v/>
      </c>
      <c r="Q44">
        <f>P44*0.0015</f>
        <v/>
      </c>
      <c r="R44">
        <f>I44*(1-Q44)</f>
        <v/>
      </c>
      <c r="S44">
        <f>R44/R43-1</f>
        <v/>
      </c>
      <c r="T44">
        <f>MAX(T43,R44)</f>
        <v/>
      </c>
      <c r="U44">
        <f>R44/T44-1</f>
        <v/>
      </c>
      <c r="V44" t="n">
        <v>1.084988203315109</v>
      </c>
      <c r="W44" s="5">
        <f>R44-V44</f>
        <v/>
      </c>
    </row>
    <row r="45">
      <c r="A45" s="3" t="n">
        <v>38505</v>
      </c>
      <c r="B45">
        <f>Prices!B45</f>
        <v/>
      </c>
      <c r="C45">
        <f>Prices!C45</f>
        <v/>
      </c>
      <c r="D45">
        <f>Prices!D45</f>
        <v/>
      </c>
      <c r="E45">
        <f>Prices!E45</f>
        <v/>
      </c>
      <c r="F45">
        <f>Prices!F45</f>
        <v/>
      </c>
      <c r="G45">
        <f>IF(AND(43&gt;=16,TEXT(A45,"yyyy-mm")&lt;&gt;TEXT(A46,"yyyy-mm")),1,0)</f>
        <v/>
      </c>
      <c r="H45">
        <f>IF(OR(H44=1,G45=1),1,0)</f>
        <v/>
      </c>
      <c r="I45">
        <f>IF(H44=0,1,SUMPRODUCT(J44:N44,B45:F45)+O44*(1+0.00023125256064071564))</f>
        <v/>
      </c>
      <c r="J45">
        <f>IF(G45=1,0.2*R45/B45,J44)</f>
        <v/>
      </c>
      <c r="K45">
        <f>IF(G45=1,0.2*R45/C45,K44)</f>
        <v/>
      </c>
      <c r="L45">
        <f>IF(G45=1,0.2*R45/D45,L44)</f>
        <v/>
      </c>
      <c r="M45">
        <f>IF(G45=1,0.2*R45/E45,M44)</f>
        <v/>
      </c>
      <c r="N45">
        <f>IF(G45=1,0.2*R45/F45,N44)</f>
        <v/>
      </c>
      <c r="O45">
        <f>IF(G45=1,R45*(1-1.0),IF(H44=0,1,O44*(1+0.00023125256064071564)))</f>
        <v/>
      </c>
      <c r="P45">
        <f>IF(G45=1,IF(H44=0,1,ABS(0.2-J44*B45/I45)+ABS(0.2-K44*C45/I45)+ABS(0.2-L44*D45/I45)+ABS(0.2-M44*E45/I45)+ABS(0.2-N44*F45/I45)),0)</f>
        <v/>
      </c>
      <c r="Q45">
        <f>P45*0.0015</f>
        <v/>
      </c>
      <c r="R45">
        <f>I45*(1-Q45)</f>
        <v/>
      </c>
      <c r="S45">
        <f>R45/R44-1</f>
        <v/>
      </c>
      <c r="T45">
        <f>MAX(T44,R45)</f>
        <v/>
      </c>
      <c r="U45">
        <f>R45/T45-1</f>
        <v/>
      </c>
      <c r="V45" t="n">
        <v>1.07768884451882</v>
      </c>
      <c r="W45" s="5">
        <f>R45-V45</f>
        <v/>
      </c>
    </row>
    <row r="46">
      <c r="A46" s="3" t="n">
        <v>38506</v>
      </c>
      <c r="B46">
        <f>Prices!B46</f>
        <v/>
      </c>
      <c r="C46">
        <f>Prices!C46</f>
        <v/>
      </c>
      <c r="D46">
        <f>Prices!D46</f>
        <v/>
      </c>
      <c r="E46">
        <f>Prices!E46</f>
        <v/>
      </c>
      <c r="F46">
        <f>Prices!F46</f>
        <v/>
      </c>
      <c r="G46">
        <f>IF(AND(44&gt;=16,TEXT(A46,"yyyy-mm")&lt;&gt;TEXT(A47,"yyyy-mm")),1,0)</f>
        <v/>
      </c>
      <c r="H46">
        <f>IF(OR(H45=1,G46=1),1,0)</f>
        <v/>
      </c>
      <c r="I46">
        <f>IF(H45=0,1,SUMPRODUCT(J45:N45,B46:F46)+O45*(1+0.00023125256064071564))</f>
        <v/>
      </c>
      <c r="J46">
        <f>IF(G46=1,0.2*R46/B46,J45)</f>
        <v/>
      </c>
      <c r="K46">
        <f>IF(G46=1,0.2*R46/C46,K45)</f>
        <v/>
      </c>
      <c r="L46">
        <f>IF(G46=1,0.2*R46/D46,L45)</f>
        <v/>
      </c>
      <c r="M46">
        <f>IF(G46=1,0.2*R46/E46,M45)</f>
        <v/>
      </c>
      <c r="N46">
        <f>IF(G46=1,0.2*R46/F46,N45)</f>
        <v/>
      </c>
      <c r="O46">
        <f>IF(G46=1,R46*(1-1.0),IF(H45=0,1,O45*(1+0.00023125256064071564)))</f>
        <v/>
      </c>
      <c r="P46">
        <f>IF(G46=1,IF(H45=0,1,ABS(0.2-J45*B46/I46)+ABS(0.2-K45*C46/I46)+ABS(0.2-L45*D46/I46)+ABS(0.2-M45*E46/I46)+ABS(0.2-N45*F46/I46)),0)</f>
        <v/>
      </c>
      <c r="Q46">
        <f>P46*0.0015</f>
        <v/>
      </c>
      <c r="R46">
        <f>I46*(1-Q46)</f>
        <v/>
      </c>
      <c r="S46">
        <f>R46/R45-1</f>
        <v/>
      </c>
      <c r="T46">
        <f>MAX(T45,R46)</f>
        <v/>
      </c>
      <c r="U46">
        <f>R46/T46-1</f>
        <v/>
      </c>
      <c r="V46" t="n">
        <v>1.086074105143645</v>
      </c>
      <c r="W46" s="5">
        <f>R46-V46</f>
        <v/>
      </c>
    </row>
    <row r="47">
      <c r="A47" s="3" t="n">
        <v>38507</v>
      </c>
      <c r="B47">
        <f>Prices!B47</f>
        <v/>
      </c>
      <c r="C47">
        <f>Prices!C47</f>
        <v/>
      </c>
      <c r="D47">
        <f>Prices!D47</f>
        <v/>
      </c>
      <c r="E47">
        <f>Prices!E47</f>
        <v/>
      </c>
      <c r="F47">
        <f>Prices!F47</f>
        <v/>
      </c>
      <c r="G47">
        <f>IF(AND(45&gt;=16,TEXT(A47,"yyyy-mm")&lt;&gt;TEXT(A48,"yyyy-mm")),1,0)</f>
        <v/>
      </c>
      <c r="H47">
        <f>IF(OR(H46=1,G47=1),1,0)</f>
        <v/>
      </c>
      <c r="I47">
        <f>IF(H46=0,1,SUMPRODUCT(J46:N46,B47:F47)+O46*(1+0.00023125256064071564))</f>
        <v/>
      </c>
      <c r="J47">
        <f>IF(G47=1,0.2*R47/B47,J46)</f>
        <v/>
      </c>
      <c r="K47">
        <f>IF(G47=1,0.2*R47/C47,K46)</f>
        <v/>
      </c>
      <c r="L47">
        <f>IF(G47=1,0.2*R47/D47,L46)</f>
        <v/>
      </c>
      <c r="M47">
        <f>IF(G47=1,0.2*R47/E47,M46)</f>
        <v/>
      </c>
      <c r="N47">
        <f>IF(G47=1,0.2*R47/F47,N46)</f>
        <v/>
      </c>
      <c r="O47">
        <f>IF(G47=1,R47*(1-1.0),IF(H46=0,1,O46*(1+0.00023125256064071564)))</f>
        <v/>
      </c>
      <c r="P47">
        <f>IF(G47=1,IF(H46=0,1,ABS(0.2-J46*B47/I47)+ABS(0.2-K46*C47/I47)+ABS(0.2-L46*D47/I47)+ABS(0.2-M46*E47/I47)+ABS(0.2-N46*F47/I47)),0)</f>
        <v/>
      </c>
      <c r="Q47">
        <f>P47*0.0015</f>
        <v/>
      </c>
      <c r="R47">
        <f>I47*(1-Q47)</f>
        <v/>
      </c>
      <c r="S47">
        <f>R47/R46-1</f>
        <v/>
      </c>
      <c r="T47">
        <f>MAX(T46,R47)</f>
        <v/>
      </c>
      <c r="U47">
        <f>R47/T47-1</f>
        <v/>
      </c>
      <c r="V47" t="n">
        <v>1.091518736004425</v>
      </c>
      <c r="W47" s="5">
        <f>R47-V47</f>
        <v/>
      </c>
    </row>
    <row r="48">
      <c r="A48" s="3" t="n">
        <v>38509</v>
      </c>
      <c r="B48">
        <f>Prices!B48</f>
        <v/>
      </c>
      <c r="C48">
        <f>Prices!C48</f>
        <v/>
      </c>
      <c r="D48">
        <f>Prices!D48</f>
        <v/>
      </c>
      <c r="E48">
        <f>Prices!E48</f>
        <v/>
      </c>
      <c r="F48">
        <f>Prices!F48</f>
        <v/>
      </c>
      <c r="G48">
        <f>IF(AND(46&gt;=16,TEXT(A48,"yyyy-mm")&lt;&gt;TEXT(A49,"yyyy-mm")),1,0)</f>
        <v/>
      </c>
      <c r="H48">
        <f>IF(OR(H47=1,G48=1),1,0)</f>
        <v/>
      </c>
      <c r="I48">
        <f>IF(H47=0,1,SUMPRODUCT(J47:N47,B48:F48)+O47*(1+0.00023125256064071564))</f>
        <v/>
      </c>
      <c r="J48">
        <f>IF(G48=1,0.2*R48/B48,J47)</f>
        <v/>
      </c>
      <c r="K48">
        <f>IF(G48=1,0.2*R48/C48,K47)</f>
        <v/>
      </c>
      <c r="L48">
        <f>IF(G48=1,0.2*R48/D48,L47)</f>
        <v/>
      </c>
      <c r="M48">
        <f>IF(G48=1,0.2*R48/E48,M47)</f>
        <v/>
      </c>
      <c r="N48">
        <f>IF(G48=1,0.2*R48/F48,N47)</f>
        <v/>
      </c>
      <c r="O48">
        <f>IF(G48=1,R48*(1-1.0),IF(H47=0,1,O47*(1+0.00023125256064071564)))</f>
        <v/>
      </c>
      <c r="P48">
        <f>IF(G48=1,IF(H47=0,1,ABS(0.2-J47*B48/I48)+ABS(0.2-K47*C48/I48)+ABS(0.2-L47*D48/I48)+ABS(0.2-M47*E48/I48)+ABS(0.2-N47*F48/I48)),0)</f>
        <v/>
      </c>
      <c r="Q48">
        <f>P48*0.0015</f>
        <v/>
      </c>
      <c r="R48">
        <f>I48*(1-Q48)</f>
        <v/>
      </c>
      <c r="S48">
        <f>R48/R47-1</f>
        <v/>
      </c>
      <c r="T48">
        <f>MAX(T47,R48)</f>
        <v/>
      </c>
      <c r="U48">
        <f>R48/T48-1</f>
        <v/>
      </c>
      <c r="V48" t="n">
        <v>1.092643364733199</v>
      </c>
      <c r="W48" s="5">
        <f>R48-V48</f>
        <v/>
      </c>
    </row>
    <row r="49">
      <c r="A49" s="3" t="n">
        <v>38510</v>
      </c>
      <c r="B49">
        <f>Prices!B49</f>
        <v/>
      </c>
      <c r="C49">
        <f>Prices!C49</f>
        <v/>
      </c>
      <c r="D49">
        <f>Prices!D49</f>
        <v/>
      </c>
      <c r="E49">
        <f>Prices!E49</f>
        <v/>
      </c>
      <c r="F49">
        <f>Prices!F49</f>
        <v/>
      </c>
      <c r="G49">
        <f>IF(AND(47&gt;=16,TEXT(A49,"yyyy-mm")&lt;&gt;TEXT(A50,"yyyy-mm")),1,0)</f>
        <v/>
      </c>
      <c r="H49">
        <f>IF(OR(H48=1,G49=1),1,0)</f>
        <v/>
      </c>
      <c r="I49">
        <f>IF(H48=0,1,SUMPRODUCT(J48:N48,B49:F49)+O48*(1+0.00023125256064071564))</f>
        <v/>
      </c>
      <c r="J49">
        <f>IF(G49=1,0.2*R49/B49,J48)</f>
        <v/>
      </c>
      <c r="K49">
        <f>IF(G49=1,0.2*R49/C49,K48)</f>
        <v/>
      </c>
      <c r="L49">
        <f>IF(G49=1,0.2*R49/D49,L48)</f>
        <v/>
      </c>
      <c r="M49">
        <f>IF(G49=1,0.2*R49/E49,M48)</f>
        <v/>
      </c>
      <c r="N49">
        <f>IF(G49=1,0.2*R49/F49,N48)</f>
        <v/>
      </c>
      <c r="O49">
        <f>IF(G49=1,R49*(1-1.0),IF(H48=0,1,O48*(1+0.00023125256064071564)))</f>
        <v/>
      </c>
      <c r="P49">
        <f>IF(G49=1,IF(H48=0,1,ABS(0.2-J48*B49/I49)+ABS(0.2-K48*C49/I49)+ABS(0.2-L48*D49/I49)+ABS(0.2-M48*E49/I49)+ABS(0.2-N48*F49/I49)),0)</f>
        <v/>
      </c>
      <c r="Q49">
        <f>P49*0.0015</f>
        <v/>
      </c>
      <c r="R49">
        <f>I49*(1-Q49)</f>
        <v/>
      </c>
      <c r="S49">
        <f>R49/R48-1</f>
        <v/>
      </c>
      <c r="T49">
        <f>MAX(T48,R49)</f>
        <v/>
      </c>
      <c r="U49">
        <f>R49/T49-1</f>
        <v/>
      </c>
      <c r="V49" t="n">
        <v>1.097412272441733</v>
      </c>
      <c r="W49" s="5">
        <f>R49-V49</f>
        <v/>
      </c>
    </row>
    <row r="50">
      <c r="A50" s="3" t="n">
        <v>38511</v>
      </c>
      <c r="B50">
        <f>Prices!B50</f>
        <v/>
      </c>
      <c r="C50">
        <f>Prices!C50</f>
        <v/>
      </c>
      <c r="D50">
        <f>Prices!D50</f>
        <v/>
      </c>
      <c r="E50">
        <f>Prices!E50</f>
        <v/>
      </c>
      <c r="F50">
        <f>Prices!F50</f>
        <v/>
      </c>
      <c r="G50">
        <f>IF(AND(48&gt;=16,TEXT(A50,"yyyy-mm")&lt;&gt;TEXT(A51,"yyyy-mm")),1,0)</f>
        <v/>
      </c>
      <c r="H50">
        <f>IF(OR(H49=1,G50=1),1,0)</f>
        <v/>
      </c>
      <c r="I50">
        <f>IF(H49=0,1,SUMPRODUCT(J49:N49,B50:F50)+O49*(1+0.00023125256064071564))</f>
        <v/>
      </c>
      <c r="J50">
        <f>IF(G50=1,0.2*R50/B50,J49)</f>
        <v/>
      </c>
      <c r="K50">
        <f>IF(G50=1,0.2*R50/C50,K49)</f>
        <v/>
      </c>
      <c r="L50">
        <f>IF(G50=1,0.2*R50/D50,L49)</f>
        <v/>
      </c>
      <c r="M50">
        <f>IF(G50=1,0.2*R50/E50,M49)</f>
        <v/>
      </c>
      <c r="N50">
        <f>IF(G50=1,0.2*R50/F50,N49)</f>
        <v/>
      </c>
      <c r="O50">
        <f>IF(G50=1,R50*(1-1.0),IF(H49=0,1,O49*(1+0.00023125256064071564)))</f>
        <v/>
      </c>
      <c r="P50">
        <f>IF(G50=1,IF(H49=0,1,ABS(0.2-J49*B50/I50)+ABS(0.2-K49*C50/I50)+ABS(0.2-L49*D50/I50)+ABS(0.2-M49*E50/I50)+ABS(0.2-N49*F50/I50)),0)</f>
        <v/>
      </c>
      <c r="Q50">
        <f>P50*0.0015</f>
        <v/>
      </c>
      <c r="R50">
        <f>I50*(1-Q50)</f>
        <v/>
      </c>
      <c r="S50">
        <f>R50/R49-1</f>
        <v/>
      </c>
      <c r="T50">
        <f>MAX(T49,R50)</f>
        <v/>
      </c>
      <c r="U50">
        <f>R50/T50-1</f>
        <v/>
      </c>
      <c r="V50" t="n">
        <v>1.102070600141608</v>
      </c>
      <c r="W50" s="5">
        <f>R50-V50</f>
        <v/>
      </c>
    </row>
    <row r="51">
      <c r="A51" s="3" t="n">
        <v>38512</v>
      </c>
      <c r="B51">
        <f>Prices!B51</f>
        <v/>
      </c>
      <c r="C51">
        <f>Prices!C51</f>
        <v/>
      </c>
      <c r="D51">
        <f>Prices!D51</f>
        <v/>
      </c>
      <c r="E51">
        <f>Prices!E51</f>
        <v/>
      </c>
      <c r="F51">
        <f>Prices!F51</f>
        <v/>
      </c>
      <c r="G51">
        <f>IF(AND(49&gt;=16,TEXT(A51,"yyyy-mm")&lt;&gt;TEXT(A52,"yyyy-mm")),1,0)</f>
        <v/>
      </c>
      <c r="H51">
        <f>IF(OR(H50=1,G51=1),1,0)</f>
        <v/>
      </c>
      <c r="I51">
        <f>IF(H50=0,1,SUMPRODUCT(J50:N50,B51:F51)+O50*(1+0.00023125256064071564))</f>
        <v/>
      </c>
      <c r="J51">
        <f>IF(G51=1,0.2*R51/B51,J50)</f>
        <v/>
      </c>
      <c r="K51">
        <f>IF(G51=1,0.2*R51/C51,K50)</f>
        <v/>
      </c>
      <c r="L51">
        <f>IF(G51=1,0.2*R51/D51,L50)</f>
        <v/>
      </c>
      <c r="M51">
        <f>IF(G51=1,0.2*R51/E51,M50)</f>
        <v/>
      </c>
      <c r="N51">
        <f>IF(G51=1,0.2*R51/F51,N50)</f>
        <v/>
      </c>
      <c r="O51">
        <f>IF(G51=1,R51*(1-1.0),IF(H50=0,1,O50*(1+0.00023125256064071564)))</f>
        <v/>
      </c>
      <c r="P51">
        <f>IF(G51=1,IF(H50=0,1,ABS(0.2-J50*B51/I51)+ABS(0.2-K50*C51/I51)+ABS(0.2-L50*D51/I51)+ABS(0.2-M50*E51/I51)+ABS(0.2-N50*F51/I51)),0)</f>
        <v/>
      </c>
      <c r="Q51">
        <f>P51*0.0015</f>
        <v/>
      </c>
      <c r="R51">
        <f>I51*(1-Q51)</f>
        <v/>
      </c>
      <c r="S51">
        <f>R51/R50-1</f>
        <v/>
      </c>
      <c r="T51">
        <f>MAX(T50,R51)</f>
        <v/>
      </c>
      <c r="U51">
        <f>R51/T51-1</f>
        <v/>
      </c>
      <c r="V51" t="n">
        <v>1.103425623565437</v>
      </c>
      <c r="W51" s="5">
        <f>R51-V51</f>
        <v/>
      </c>
    </row>
    <row r="52">
      <c r="A52" s="3" t="n">
        <v>38513</v>
      </c>
      <c r="B52">
        <f>Prices!B52</f>
        <v/>
      </c>
      <c r="C52">
        <f>Prices!C52</f>
        <v/>
      </c>
      <c r="D52">
        <f>Prices!D52</f>
        <v/>
      </c>
      <c r="E52">
        <f>Prices!E52</f>
        <v/>
      </c>
      <c r="F52">
        <f>Prices!F52</f>
        <v/>
      </c>
      <c r="G52">
        <f>IF(AND(50&gt;=16,TEXT(A52,"yyyy-mm")&lt;&gt;TEXT(A53,"yyyy-mm")),1,0)</f>
        <v/>
      </c>
      <c r="H52">
        <f>IF(OR(H51=1,G52=1),1,0)</f>
        <v/>
      </c>
      <c r="I52">
        <f>IF(H51=0,1,SUMPRODUCT(J51:N51,B52:F52)+O51*(1+0.00023125256064071564))</f>
        <v/>
      </c>
      <c r="J52">
        <f>IF(G52=1,0.2*R52/B52,J51)</f>
        <v/>
      </c>
      <c r="K52">
        <f>IF(G52=1,0.2*R52/C52,K51)</f>
        <v/>
      </c>
      <c r="L52">
        <f>IF(G52=1,0.2*R52/D52,L51)</f>
        <v/>
      </c>
      <c r="M52">
        <f>IF(G52=1,0.2*R52/E52,M51)</f>
        <v/>
      </c>
      <c r="N52">
        <f>IF(G52=1,0.2*R52/F52,N51)</f>
        <v/>
      </c>
      <c r="O52">
        <f>IF(G52=1,R52*(1-1.0),IF(H51=0,1,O51*(1+0.00023125256064071564)))</f>
        <v/>
      </c>
      <c r="P52">
        <f>IF(G52=1,IF(H51=0,1,ABS(0.2-J51*B52/I52)+ABS(0.2-K51*C52/I52)+ABS(0.2-L51*D52/I52)+ABS(0.2-M51*E52/I52)+ABS(0.2-N51*F52/I52)),0)</f>
        <v/>
      </c>
      <c r="Q52">
        <f>P52*0.0015</f>
        <v/>
      </c>
      <c r="R52">
        <f>I52*(1-Q52)</f>
        <v/>
      </c>
      <c r="S52">
        <f>R52/R51-1</f>
        <v/>
      </c>
      <c r="T52">
        <f>MAX(T51,R52)</f>
        <v/>
      </c>
      <c r="U52">
        <f>R52/T52-1</f>
        <v/>
      </c>
      <c r="V52" t="n">
        <v>1.09567896884475</v>
      </c>
      <c r="W52" s="5">
        <f>R52-V52</f>
        <v/>
      </c>
    </row>
    <row r="53">
      <c r="A53" s="3" t="n">
        <v>38516</v>
      </c>
      <c r="B53">
        <f>Prices!B53</f>
        <v/>
      </c>
      <c r="C53">
        <f>Prices!C53</f>
        <v/>
      </c>
      <c r="D53">
        <f>Prices!D53</f>
        <v/>
      </c>
      <c r="E53">
        <f>Prices!E53</f>
        <v/>
      </c>
      <c r="F53">
        <f>Prices!F53</f>
        <v/>
      </c>
      <c r="G53">
        <f>IF(AND(51&gt;=16,TEXT(A53,"yyyy-mm")&lt;&gt;TEXT(A54,"yyyy-mm")),1,0)</f>
        <v/>
      </c>
      <c r="H53">
        <f>IF(OR(H52=1,G53=1),1,0)</f>
        <v/>
      </c>
      <c r="I53">
        <f>IF(H52=0,1,SUMPRODUCT(J52:N52,B53:F53)+O52*(1+0.00023125256064071564))</f>
        <v/>
      </c>
      <c r="J53">
        <f>IF(G53=1,0.2*R53/B53,J52)</f>
        <v/>
      </c>
      <c r="K53">
        <f>IF(G53=1,0.2*R53/C53,K52)</f>
        <v/>
      </c>
      <c r="L53">
        <f>IF(G53=1,0.2*R53/D53,L52)</f>
        <v/>
      </c>
      <c r="M53">
        <f>IF(G53=1,0.2*R53/E53,M52)</f>
        <v/>
      </c>
      <c r="N53">
        <f>IF(G53=1,0.2*R53/F53,N52)</f>
        <v/>
      </c>
      <c r="O53">
        <f>IF(G53=1,R53*(1-1.0),IF(H52=0,1,O52*(1+0.00023125256064071564)))</f>
        <v/>
      </c>
      <c r="P53">
        <f>IF(G53=1,IF(H52=0,1,ABS(0.2-J52*B53/I53)+ABS(0.2-K52*C53/I53)+ABS(0.2-L52*D53/I53)+ABS(0.2-M52*E53/I53)+ABS(0.2-N52*F53/I53)),0)</f>
        <v/>
      </c>
      <c r="Q53">
        <f>P53*0.0015</f>
        <v/>
      </c>
      <c r="R53">
        <f>I53*(1-Q53)</f>
        <v/>
      </c>
      <c r="S53">
        <f>R53/R52-1</f>
        <v/>
      </c>
      <c r="T53">
        <f>MAX(T52,R53)</f>
        <v/>
      </c>
      <c r="U53">
        <f>R53/T53-1</f>
        <v/>
      </c>
      <c r="V53" t="n">
        <v>1.09497435706305</v>
      </c>
      <c r="W53" s="5">
        <f>R53-V53</f>
        <v/>
      </c>
    </row>
    <row r="54">
      <c r="A54" s="3" t="n">
        <v>38517</v>
      </c>
      <c r="B54">
        <f>Prices!B54</f>
        <v/>
      </c>
      <c r="C54">
        <f>Prices!C54</f>
        <v/>
      </c>
      <c r="D54">
        <f>Prices!D54</f>
        <v/>
      </c>
      <c r="E54">
        <f>Prices!E54</f>
        <v/>
      </c>
      <c r="F54">
        <f>Prices!F54</f>
        <v/>
      </c>
      <c r="G54">
        <f>IF(AND(52&gt;=16,TEXT(A54,"yyyy-mm")&lt;&gt;TEXT(A55,"yyyy-mm")),1,0)</f>
        <v/>
      </c>
      <c r="H54">
        <f>IF(OR(H53=1,G54=1),1,0)</f>
        <v/>
      </c>
      <c r="I54">
        <f>IF(H53=0,1,SUMPRODUCT(J53:N53,B54:F54)+O53*(1+0.00023125256064071564))</f>
        <v/>
      </c>
      <c r="J54">
        <f>IF(G54=1,0.2*R54/B54,J53)</f>
        <v/>
      </c>
      <c r="K54">
        <f>IF(G54=1,0.2*R54/C54,K53)</f>
        <v/>
      </c>
      <c r="L54">
        <f>IF(G54=1,0.2*R54/D54,L53)</f>
        <v/>
      </c>
      <c r="M54">
        <f>IF(G54=1,0.2*R54/E54,M53)</f>
        <v/>
      </c>
      <c r="N54">
        <f>IF(G54=1,0.2*R54/F54,N53)</f>
        <v/>
      </c>
      <c r="O54">
        <f>IF(G54=1,R54*(1-1.0),IF(H53=0,1,O53*(1+0.00023125256064071564)))</f>
        <v/>
      </c>
      <c r="P54">
        <f>IF(G54=1,IF(H53=0,1,ABS(0.2-J53*B54/I54)+ABS(0.2-K53*C54/I54)+ABS(0.2-L53*D54/I54)+ABS(0.2-M53*E54/I54)+ABS(0.2-N53*F54/I54)),0)</f>
        <v/>
      </c>
      <c r="Q54">
        <f>P54*0.0015</f>
        <v/>
      </c>
      <c r="R54">
        <f>I54*(1-Q54)</f>
        <v/>
      </c>
      <c r="S54">
        <f>R54/R53-1</f>
        <v/>
      </c>
      <c r="T54">
        <f>MAX(T53,R54)</f>
        <v/>
      </c>
      <c r="U54">
        <f>R54/T54-1</f>
        <v/>
      </c>
      <c r="V54" t="n">
        <v>1.098538766911681</v>
      </c>
      <c r="W54" s="5">
        <f>R54-V54</f>
        <v/>
      </c>
    </row>
    <row r="55">
      <c r="A55" s="3" t="n">
        <v>38518</v>
      </c>
      <c r="B55">
        <f>Prices!B55</f>
        <v/>
      </c>
      <c r="C55">
        <f>Prices!C55</f>
        <v/>
      </c>
      <c r="D55">
        <f>Prices!D55</f>
        <v/>
      </c>
      <c r="E55">
        <f>Prices!E55</f>
        <v/>
      </c>
      <c r="F55">
        <f>Prices!F55</f>
        <v/>
      </c>
      <c r="G55">
        <f>IF(AND(53&gt;=16,TEXT(A55,"yyyy-mm")&lt;&gt;TEXT(A56,"yyyy-mm")),1,0)</f>
        <v/>
      </c>
      <c r="H55">
        <f>IF(OR(H54=1,G55=1),1,0)</f>
        <v/>
      </c>
      <c r="I55">
        <f>IF(H54=0,1,SUMPRODUCT(J54:N54,B55:F55)+O54*(1+0.00023125256064071564))</f>
        <v/>
      </c>
      <c r="J55">
        <f>IF(G55=1,0.2*R55/B55,J54)</f>
        <v/>
      </c>
      <c r="K55">
        <f>IF(G55=1,0.2*R55/C55,K54)</f>
        <v/>
      </c>
      <c r="L55">
        <f>IF(G55=1,0.2*R55/D55,L54)</f>
        <v/>
      </c>
      <c r="M55">
        <f>IF(G55=1,0.2*R55/E55,M54)</f>
        <v/>
      </c>
      <c r="N55">
        <f>IF(G55=1,0.2*R55/F55,N54)</f>
        <v/>
      </c>
      <c r="O55">
        <f>IF(G55=1,R55*(1-1.0),IF(H54=0,1,O54*(1+0.00023125256064071564)))</f>
        <v/>
      </c>
      <c r="P55">
        <f>IF(G55=1,IF(H54=0,1,ABS(0.2-J54*B55/I55)+ABS(0.2-K54*C55/I55)+ABS(0.2-L54*D55/I55)+ABS(0.2-M54*E55/I55)+ABS(0.2-N54*F55/I55)),0)</f>
        <v/>
      </c>
      <c r="Q55">
        <f>P55*0.0015</f>
        <v/>
      </c>
      <c r="R55">
        <f>I55*(1-Q55)</f>
        <v/>
      </c>
      <c r="S55">
        <f>R55/R54-1</f>
        <v/>
      </c>
      <c r="T55">
        <f>MAX(T54,R55)</f>
        <v/>
      </c>
      <c r="U55">
        <f>R55/T55-1</f>
        <v/>
      </c>
      <c r="V55" t="n">
        <v>1.103506069394907</v>
      </c>
      <c r="W55" s="5">
        <f>R55-V55</f>
        <v/>
      </c>
    </row>
    <row r="56">
      <c r="A56" s="3" t="n">
        <v>38519</v>
      </c>
      <c r="B56">
        <f>Prices!B56</f>
        <v/>
      </c>
      <c r="C56">
        <f>Prices!C56</f>
        <v/>
      </c>
      <c r="D56">
        <f>Prices!D56</f>
        <v/>
      </c>
      <c r="E56">
        <f>Prices!E56</f>
        <v/>
      </c>
      <c r="F56">
        <f>Prices!F56</f>
        <v/>
      </c>
      <c r="G56">
        <f>IF(AND(54&gt;=16,TEXT(A56,"yyyy-mm")&lt;&gt;TEXT(A57,"yyyy-mm")),1,0)</f>
        <v/>
      </c>
      <c r="H56">
        <f>IF(OR(H55=1,G56=1),1,0)</f>
        <v/>
      </c>
      <c r="I56">
        <f>IF(H55=0,1,SUMPRODUCT(J55:N55,B56:F56)+O55*(1+0.00023125256064071564))</f>
        <v/>
      </c>
      <c r="J56">
        <f>IF(G56=1,0.2*R56/B56,J55)</f>
        <v/>
      </c>
      <c r="K56">
        <f>IF(G56=1,0.2*R56/C56,K55)</f>
        <v/>
      </c>
      <c r="L56">
        <f>IF(G56=1,0.2*R56/D56,L55)</f>
        <v/>
      </c>
      <c r="M56">
        <f>IF(G56=1,0.2*R56/E56,M55)</f>
        <v/>
      </c>
      <c r="N56">
        <f>IF(G56=1,0.2*R56/F56,N55)</f>
        <v/>
      </c>
      <c r="O56">
        <f>IF(G56=1,R56*(1-1.0),IF(H55=0,1,O55*(1+0.00023125256064071564)))</f>
        <v/>
      </c>
      <c r="P56">
        <f>IF(G56=1,IF(H55=0,1,ABS(0.2-J55*B56/I56)+ABS(0.2-K55*C56/I56)+ABS(0.2-L55*D56/I56)+ABS(0.2-M55*E56/I56)+ABS(0.2-N55*F56/I56)),0)</f>
        <v/>
      </c>
      <c r="Q56">
        <f>P56*0.0015</f>
        <v/>
      </c>
      <c r="R56">
        <f>I56*(1-Q56)</f>
        <v/>
      </c>
      <c r="S56">
        <f>R56/R55-1</f>
        <v/>
      </c>
      <c r="T56">
        <f>MAX(T55,R56)</f>
        <v/>
      </c>
      <c r="U56">
        <f>R56/T56-1</f>
        <v/>
      </c>
      <c r="V56" t="n">
        <v>1.089972352420407</v>
      </c>
      <c r="W56" s="5">
        <f>R56-V56</f>
        <v/>
      </c>
    </row>
    <row r="57">
      <c r="A57" s="3" t="n">
        <v>38520</v>
      </c>
      <c r="B57">
        <f>Prices!B57</f>
        <v/>
      </c>
      <c r="C57">
        <f>Prices!C57</f>
        <v/>
      </c>
      <c r="D57">
        <f>Prices!D57</f>
        <v/>
      </c>
      <c r="E57">
        <f>Prices!E57</f>
        <v/>
      </c>
      <c r="F57">
        <f>Prices!F57</f>
        <v/>
      </c>
      <c r="G57">
        <f>IF(AND(55&gt;=16,TEXT(A57,"yyyy-mm")&lt;&gt;TEXT(A58,"yyyy-mm")),1,0)</f>
        <v/>
      </c>
      <c r="H57">
        <f>IF(OR(H56=1,G57=1),1,0)</f>
        <v/>
      </c>
      <c r="I57">
        <f>IF(H56=0,1,SUMPRODUCT(J56:N56,B57:F57)+O56*(1+0.00023125256064071564))</f>
        <v/>
      </c>
      <c r="J57">
        <f>IF(G57=1,0.2*R57/B57,J56)</f>
        <v/>
      </c>
      <c r="K57">
        <f>IF(G57=1,0.2*R57/C57,K56)</f>
        <v/>
      </c>
      <c r="L57">
        <f>IF(G57=1,0.2*R57/D57,L56)</f>
        <v/>
      </c>
      <c r="M57">
        <f>IF(G57=1,0.2*R57/E57,M56)</f>
        <v/>
      </c>
      <c r="N57">
        <f>IF(G57=1,0.2*R57/F57,N56)</f>
        <v/>
      </c>
      <c r="O57">
        <f>IF(G57=1,R57*(1-1.0),IF(H56=0,1,O56*(1+0.00023125256064071564)))</f>
        <v/>
      </c>
      <c r="P57">
        <f>IF(G57=1,IF(H56=0,1,ABS(0.2-J56*B57/I57)+ABS(0.2-K56*C57/I57)+ABS(0.2-L56*D57/I57)+ABS(0.2-M56*E57/I57)+ABS(0.2-N56*F57/I57)),0)</f>
        <v/>
      </c>
      <c r="Q57">
        <f>P57*0.0015</f>
        <v/>
      </c>
      <c r="R57">
        <f>I57*(1-Q57)</f>
        <v/>
      </c>
      <c r="S57">
        <f>R57/R56-1</f>
        <v/>
      </c>
      <c r="T57">
        <f>MAX(T56,R57)</f>
        <v/>
      </c>
      <c r="U57">
        <f>R57/T57-1</f>
        <v/>
      </c>
      <c r="V57" t="n">
        <v>1.079187312869367</v>
      </c>
      <c r="W57" s="5">
        <f>R57-V57</f>
        <v/>
      </c>
    </row>
    <row r="58">
      <c r="A58" s="3" t="n">
        <v>38523</v>
      </c>
      <c r="B58">
        <f>Prices!B58</f>
        <v/>
      </c>
      <c r="C58">
        <f>Prices!C58</f>
        <v/>
      </c>
      <c r="D58">
        <f>Prices!D58</f>
        <v/>
      </c>
      <c r="E58">
        <f>Prices!E58</f>
        <v/>
      </c>
      <c r="F58">
        <f>Prices!F58</f>
        <v/>
      </c>
      <c r="G58">
        <f>IF(AND(56&gt;=16,TEXT(A58,"yyyy-mm")&lt;&gt;TEXT(A59,"yyyy-mm")),1,0)</f>
        <v/>
      </c>
      <c r="H58">
        <f>IF(OR(H57=1,G58=1),1,0)</f>
        <v/>
      </c>
      <c r="I58">
        <f>IF(H57=0,1,SUMPRODUCT(J57:N57,B58:F58)+O57*(1+0.00023125256064071564))</f>
        <v/>
      </c>
      <c r="J58">
        <f>IF(G58=1,0.2*R58/B58,J57)</f>
        <v/>
      </c>
      <c r="K58">
        <f>IF(G58=1,0.2*R58/C58,K57)</f>
        <v/>
      </c>
      <c r="L58">
        <f>IF(G58=1,0.2*R58/D58,L57)</f>
        <v/>
      </c>
      <c r="M58">
        <f>IF(G58=1,0.2*R58/E58,M57)</f>
        <v/>
      </c>
      <c r="N58">
        <f>IF(G58=1,0.2*R58/F58,N57)</f>
        <v/>
      </c>
      <c r="O58">
        <f>IF(G58=1,R58*(1-1.0),IF(H57=0,1,O57*(1+0.00023125256064071564)))</f>
        <v/>
      </c>
      <c r="P58">
        <f>IF(G58=1,IF(H57=0,1,ABS(0.2-J57*B58/I58)+ABS(0.2-K57*C58/I58)+ABS(0.2-L57*D58/I58)+ABS(0.2-M57*E58/I58)+ABS(0.2-N57*F58/I58)),0)</f>
        <v/>
      </c>
      <c r="Q58">
        <f>P58*0.0015</f>
        <v/>
      </c>
      <c r="R58">
        <f>I58*(1-Q58)</f>
        <v/>
      </c>
      <c r="S58">
        <f>R58/R57-1</f>
        <v/>
      </c>
      <c r="T58">
        <f>MAX(T57,R58)</f>
        <v/>
      </c>
      <c r="U58">
        <f>R58/T58-1</f>
        <v/>
      </c>
      <c r="V58" t="n">
        <v>1.074858131655786</v>
      </c>
      <c r="W58" s="5">
        <f>R58-V58</f>
        <v/>
      </c>
    </row>
    <row r="59">
      <c r="A59" s="3" t="n">
        <v>38524</v>
      </c>
      <c r="B59">
        <f>Prices!B59</f>
        <v/>
      </c>
      <c r="C59">
        <f>Prices!C59</f>
        <v/>
      </c>
      <c r="D59">
        <f>Prices!D59</f>
        <v/>
      </c>
      <c r="E59">
        <f>Prices!E59</f>
        <v/>
      </c>
      <c r="F59">
        <f>Prices!F59</f>
        <v/>
      </c>
      <c r="G59">
        <f>IF(AND(57&gt;=16,TEXT(A59,"yyyy-mm")&lt;&gt;TEXT(A60,"yyyy-mm")),1,0)</f>
        <v/>
      </c>
      <c r="H59">
        <f>IF(OR(H58=1,G59=1),1,0)</f>
        <v/>
      </c>
      <c r="I59">
        <f>IF(H58=0,1,SUMPRODUCT(J58:N58,B59:F59)+O58*(1+0.00023125256064071564))</f>
        <v/>
      </c>
      <c r="J59">
        <f>IF(G59=1,0.2*R59/B59,J58)</f>
        <v/>
      </c>
      <c r="K59">
        <f>IF(G59=1,0.2*R59/C59,K58)</f>
        <v/>
      </c>
      <c r="L59">
        <f>IF(G59=1,0.2*R59/D59,L58)</f>
        <v/>
      </c>
      <c r="M59">
        <f>IF(G59=1,0.2*R59/E59,M58)</f>
        <v/>
      </c>
      <c r="N59">
        <f>IF(G59=1,0.2*R59/F59,N58)</f>
        <v/>
      </c>
      <c r="O59">
        <f>IF(G59=1,R59*(1-1.0),IF(H58=0,1,O58*(1+0.00023125256064071564)))</f>
        <v/>
      </c>
      <c r="P59">
        <f>IF(G59=1,IF(H58=0,1,ABS(0.2-J58*B59/I59)+ABS(0.2-K58*C59/I59)+ABS(0.2-L58*D59/I59)+ABS(0.2-M58*E59/I59)+ABS(0.2-N58*F59/I59)),0)</f>
        <v/>
      </c>
      <c r="Q59">
        <f>P59*0.0015</f>
        <v/>
      </c>
      <c r="R59">
        <f>I59*(1-Q59)</f>
        <v/>
      </c>
      <c r="S59">
        <f>R59/R58-1</f>
        <v/>
      </c>
      <c r="T59">
        <f>MAX(T58,R59)</f>
        <v/>
      </c>
      <c r="U59">
        <f>R59/T59-1</f>
        <v/>
      </c>
      <c r="V59" t="n">
        <v>1.082064100500002</v>
      </c>
      <c r="W59" s="5">
        <f>R59-V59</f>
        <v/>
      </c>
    </row>
    <row r="60">
      <c r="A60" s="3" t="n">
        <v>38525</v>
      </c>
      <c r="B60">
        <f>Prices!B60</f>
        <v/>
      </c>
      <c r="C60">
        <f>Prices!C60</f>
        <v/>
      </c>
      <c r="D60">
        <f>Prices!D60</f>
        <v/>
      </c>
      <c r="E60">
        <f>Prices!E60</f>
        <v/>
      </c>
      <c r="F60">
        <f>Prices!F60</f>
        <v/>
      </c>
      <c r="G60">
        <f>IF(AND(58&gt;=16,TEXT(A60,"yyyy-mm")&lt;&gt;TEXT(A61,"yyyy-mm")),1,0)</f>
        <v/>
      </c>
      <c r="H60">
        <f>IF(OR(H59=1,G60=1),1,0)</f>
        <v/>
      </c>
      <c r="I60">
        <f>IF(H59=0,1,SUMPRODUCT(J59:N59,B60:F60)+O59*(1+0.00023125256064071564))</f>
        <v/>
      </c>
      <c r="J60">
        <f>IF(G60=1,0.2*R60/B60,J59)</f>
        <v/>
      </c>
      <c r="K60">
        <f>IF(G60=1,0.2*R60/C60,K59)</f>
        <v/>
      </c>
      <c r="L60">
        <f>IF(G60=1,0.2*R60/D60,L59)</f>
        <v/>
      </c>
      <c r="M60">
        <f>IF(G60=1,0.2*R60/E60,M59)</f>
        <v/>
      </c>
      <c r="N60">
        <f>IF(G60=1,0.2*R60/F60,N59)</f>
        <v/>
      </c>
      <c r="O60">
        <f>IF(G60=1,R60*(1-1.0),IF(H59=0,1,O59*(1+0.00023125256064071564)))</f>
        <v/>
      </c>
      <c r="P60">
        <f>IF(G60=1,IF(H59=0,1,ABS(0.2-J59*B60/I60)+ABS(0.2-K59*C60/I60)+ABS(0.2-L59*D60/I60)+ABS(0.2-M59*E60/I60)+ABS(0.2-N59*F60/I60)),0)</f>
        <v/>
      </c>
      <c r="Q60">
        <f>P60*0.0015</f>
        <v/>
      </c>
      <c r="R60">
        <f>I60*(1-Q60)</f>
        <v/>
      </c>
      <c r="S60">
        <f>R60/R59-1</f>
        <v/>
      </c>
      <c r="T60">
        <f>MAX(T59,R60)</f>
        <v/>
      </c>
      <c r="U60">
        <f>R60/T60-1</f>
        <v/>
      </c>
      <c r="V60" t="n">
        <v>1.08513921290536</v>
      </c>
      <c r="W60" s="5">
        <f>R60-V60</f>
        <v/>
      </c>
    </row>
    <row r="61">
      <c r="A61" s="3" t="n">
        <v>38526</v>
      </c>
      <c r="B61">
        <f>Prices!B61</f>
        <v/>
      </c>
      <c r="C61">
        <f>Prices!C61</f>
        <v/>
      </c>
      <c r="D61">
        <f>Prices!D61</f>
        <v/>
      </c>
      <c r="E61">
        <f>Prices!E61</f>
        <v/>
      </c>
      <c r="F61">
        <f>Prices!F61</f>
        <v/>
      </c>
      <c r="G61">
        <f>IF(AND(59&gt;=16,TEXT(A61,"yyyy-mm")&lt;&gt;TEXT(A62,"yyyy-mm")),1,0)</f>
        <v/>
      </c>
      <c r="H61">
        <f>IF(OR(H60=1,G61=1),1,0)</f>
        <v/>
      </c>
      <c r="I61">
        <f>IF(H60=0,1,SUMPRODUCT(J60:N60,B61:F61)+O60*(1+0.00023125256064071564))</f>
        <v/>
      </c>
      <c r="J61">
        <f>IF(G61=1,0.2*R61/B61,J60)</f>
        <v/>
      </c>
      <c r="K61">
        <f>IF(G61=1,0.2*R61/C61,K60)</f>
        <v/>
      </c>
      <c r="L61">
        <f>IF(G61=1,0.2*R61/D61,L60)</f>
        <v/>
      </c>
      <c r="M61">
        <f>IF(G61=1,0.2*R61/E61,M60)</f>
        <v/>
      </c>
      <c r="N61">
        <f>IF(G61=1,0.2*R61/F61,N60)</f>
        <v/>
      </c>
      <c r="O61">
        <f>IF(G61=1,R61*(1-1.0),IF(H60=0,1,O60*(1+0.00023125256064071564)))</f>
        <v/>
      </c>
      <c r="P61">
        <f>IF(G61=1,IF(H60=0,1,ABS(0.2-J60*B61/I61)+ABS(0.2-K60*C61/I61)+ABS(0.2-L60*D61/I61)+ABS(0.2-M60*E61/I61)+ABS(0.2-N60*F61/I61)),0)</f>
        <v/>
      </c>
      <c r="Q61">
        <f>P61*0.0015</f>
        <v/>
      </c>
      <c r="R61">
        <f>I61*(1-Q61)</f>
        <v/>
      </c>
      <c r="S61">
        <f>R61/R60-1</f>
        <v/>
      </c>
      <c r="T61">
        <f>MAX(T60,R61)</f>
        <v/>
      </c>
      <c r="U61">
        <f>R61/T61-1</f>
        <v/>
      </c>
      <c r="V61" t="n">
        <v>1.089107709085262</v>
      </c>
      <c r="W61" s="5">
        <f>R61-V61</f>
        <v/>
      </c>
    </row>
    <row r="62">
      <c r="A62" s="3" t="n">
        <v>38527</v>
      </c>
      <c r="B62">
        <f>Prices!B62</f>
        <v/>
      </c>
      <c r="C62">
        <f>Prices!C62</f>
        <v/>
      </c>
      <c r="D62">
        <f>Prices!D62</f>
        <v/>
      </c>
      <c r="E62">
        <f>Prices!E62</f>
        <v/>
      </c>
      <c r="F62">
        <f>Prices!F62</f>
        <v/>
      </c>
      <c r="G62">
        <f>IF(AND(60&gt;=16,TEXT(A62,"yyyy-mm")&lt;&gt;TEXT(A63,"yyyy-mm")),1,0)</f>
        <v/>
      </c>
      <c r="H62">
        <f>IF(OR(H61=1,G62=1),1,0)</f>
        <v/>
      </c>
      <c r="I62">
        <f>IF(H61=0,1,SUMPRODUCT(J61:N61,B62:F62)+O61*(1+0.00023125256064071564))</f>
        <v/>
      </c>
      <c r="J62">
        <f>IF(G62=1,0.2*R62/B62,J61)</f>
        <v/>
      </c>
      <c r="K62">
        <f>IF(G62=1,0.2*R62/C62,K61)</f>
        <v/>
      </c>
      <c r="L62">
        <f>IF(G62=1,0.2*R62/D62,L61)</f>
        <v/>
      </c>
      <c r="M62">
        <f>IF(G62=1,0.2*R62/E62,M61)</f>
        <v/>
      </c>
      <c r="N62">
        <f>IF(G62=1,0.2*R62/F62,N61)</f>
        <v/>
      </c>
      <c r="O62">
        <f>IF(G62=1,R62*(1-1.0),IF(H61=0,1,O61*(1+0.00023125256064071564)))</f>
        <v/>
      </c>
      <c r="P62">
        <f>IF(G62=1,IF(H61=0,1,ABS(0.2-J61*B62/I62)+ABS(0.2-K61*C62/I62)+ABS(0.2-L61*D62/I62)+ABS(0.2-M61*E62/I62)+ABS(0.2-N61*F62/I62)),0)</f>
        <v/>
      </c>
      <c r="Q62">
        <f>P62*0.0015</f>
        <v/>
      </c>
      <c r="R62">
        <f>I62*(1-Q62)</f>
        <v/>
      </c>
      <c r="S62">
        <f>R62/R61-1</f>
        <v/>
      </c>
      <c r="T62">
        <f>MAX(T61,R62)</f>
        <v/>
      </c>
      <c r="U62">
        <f>R62/T62-1</f>
        <v/>
      </c>
      <c r="V62" t="n">
        <v>1.096948601914172</v>
      </c>
      <c r="W62" s="5">
        <f>R62-V62</f>
        <v/>
      </c>
    </row>
    <row r="63">
      <c r="A63" s="3" t="n">
        <v>38530</v>
      </c>
      <c r="B63">
        <f>Prices!B63</f>
        <v/>
      </c>
      <c r="C63">
        <f>Prices!C63</f>
        <v/>
      </c>
      <c r="D63">
        <f>Prices!D63</f>
        <v/>
      </c>
      <c r="E63">
        <f>Prices!E63</f>
        <v/>
      </c>
      <c r="F63">
        <f>Prices!F63</f>
        <v/>
      </c>
      <c r="G63">
        <f>IF(AND(61&gt;=16,TEXT(A63,"yyyy-mm")&lt;&gt;TEXT(A64,"yyyy-mm")),1,0)</f>
        <v/>
      </c>
      <c r="H63">
        <f>IF(OR(H62=1,G63=1),1,0)</f>
        <v/>
      </c>
      <c r="I63">
        <f>IF(H62=0,1,SUMPRODUCT(J62:N62,B63:F63)+O62*(1+0.00023125256064071564))</f>
        <v/>
      </c>
      <c r="J63">
        <f>IF(G63=1,0.2*R63/B63,J62)</f>
        <v/>
      </c>
      <c r="K63">
        <f>IF(G63=1,0.2*R63/C63,K62)</f>
        <v/>
      </c>
      <c r="L63">
        <f>IF(G63=1,0.2*R63/D63,L62)</f>
        <v/>
      </c>
      <c r="M63">
        <f>IF(G63=1,0.2*R63/E63,M62)</f>
        <v/>
      </c>
      <c r="N63">
        <f>IF(G63=1,0.2*R63/F63,N62)</f>
        <v/>
      </c>
      <c r="O63">
        <f>IF(G63=1,R63*(1-1.0),IF(H62=0,1,O62*(1+0.00023125256064071564)))</f>
        <v/>
      </c>
      <c r="P63">
        <f>IF(G63=1,IF(H62=0,1,ABS(0.2-J62*B63/I63)+ABS(0.2-K62*C63/I63)+ABS(0.2-L62*D63/I63)+ABS(0.2-M62*E63/I63)+ABS(0.2-N62*F63/I63)),0)</f>
        <v/>
      </c>
      <c r="Q63">
        <f>P63*0.0015</f>
        <v/>
      </c>
      <c r="R63">
        <f>I63*(1-Q63)</f>
        <v/>
      </c>
      <c r="S63">
        <f>R63/R62-1</f>
        <v/>
      </c>
      <c r="T63">
        <f>MAX(T62,R63)</f>
        <v/>
      </c>
      <c r="U63">
        <f>R63/T63-1</f>
        <v/>
      </c>
      <c r="V63" t="n">
        <v>1.09611347646183</v>
      </c>
      <c r="W63" s="5">
        <f>R63-V63</f>
        <v/>
      </c>
    </row>
    <row r="64">
      <c r="A64" s="3" t="n">
        <v>38531</v>
      </c>
      <c r="B64">
        <f>Prices!B64</f>
        <v/>
      </c>
      <c r="C64">
        <f>Prices!C64</f>
        <v/>
      </c>
      <c r="D64">
        <f>Prices!D64</f>
        <v/>
      </c>
      <c r="E64">
        <f>Prices!E64</f>
        <v/>
      </c>
      <c r="F64">
        <f>Prices!F64</f>
        <v/>
      </c>
      <c r="G64">
        <f>IF(AND(62&gt;=16,TEXT(A64,"yyyy-mm")&lt;&gt;TEXT(A65,"yyyy-mm")),1,0)</f>
        <v/>
      </c>
      <c r="H64">
        <f>IF(OR(H63=1,G64=1),1,0)</f>
        <v/>
      </c>
      <c r="I64">
        <f>IF(H63=0,1,SUMPRODUCT(J63:N63,B64:F64)+O63*(1+0.00023125256064071564))</f>
        <v/>
      </c>
      <c r="J64">
        <f>IF(G64=1,0.2*R64/B64,J63)</f>
        <v/>
      </c>
      <c r="K64">
        <f>IF(G64=1,0.2*R64/C64,K63)</f>
        <v/>
      </c>
      <c r="L64">
        <f>IF(G64=1,0.2*R64/D64,L63)</f>
        <v/>
      </c>
      <c r="M64">
        <f>IF(G64=1,0.2*R64/E64,M63)</f>
        <v/>
      </c>
      <c r="N64">
        <f>IF(G64=1,0.2*R64/F64,N63)</f>
        <v/>
      </c>
      <c r="O64">
        <f>IF(G64=1,R64*(1-1.0),IF(H63=0,1,O63*(1+0.00023125256064071564)))</f>
        <v/>
      </c>
      <c r="P64">
        <f>IF(G64=1,IF(H63=0,1,ABS(0.2-J63*B64/I64)+ABS(0.2-K63*C64/I64)+ABS(0.2-L63*D64/I64)+ABS(0.2-M63*E64/I64)+ABS(0.2-N63*F64/I64)),0)</f>
        <v/>
      </c>
      <c r="Q64">
        <f>P64*0.0015</f>
        <v/>
      </c>
      <c r="R64">
        <f>I64*(1-Q64)</f>
        <v/>
      </c>
      <c r="S64">
        <f>R64/R63-1</f>
        <v/>
      </c>
      <c r="T64">
        <f>MAX(T63,R64)</f>
        <v/>
      </c>
      <c r="U64">
        <f>R64/T64-1</f>
        <v/>
      </c>
      <c r="V64" t="n">
        <v>1.077457391164416</v>
      </c>
      <c r="W64" s="5">
        <f>R64-V64</f>
        <v/>
      </c>
    </row>
    <row r="65">
      <c r="A65" s="3" t="n">
        <v>38532</v>
      </c>
      <c r="B65">
        <f>Prices!B65</f>
        <v/>
      </c>
      <c r="C65">
        <f>Prices!C65</f>
        <v/>
      </c>
      <c r="D65">
        <f>Prices!D65</f>
        <v/>
      </c>
      <c r="E65">
        <f>Prices!E65</f>
        <v/>
      </c>
      <c r="F65">
        <f>Prices!F65</f>
        <v/>
      </c>
      <c r="G65">
        <f>IF(AND(63&gt;=16,TEXT(A65,"yyyy-mm")&lt;&gt;TEXT(A66,"yyyy-mm")),1,0)</f>
        <v/>
      </c>
      <c r="H65">
        <f>IF(OR(H64=1,G65=1),1,0)</f>
        <v/>
      </c>
      <c r="I65">
        <f>IF(H64=0,1,SUMPRODUCT(J64:N64,B65:F65)+O64*(1+0.00023125256064071564))</f>
        <v/>
      </c>
      <c r="J65">
        <f>IF(G65=1,0.2*R65/B65,J64)</f>
        <v/>
      </c>
      <c r="K65">
        <f>IF(G65=1,0.2*R65/C65,K64)</f>
        <v/>
      </c>
      <c r="L65">
        <f>IF(G65=1,0.2*R65/D65,L64)</f>
        <v/>
      </c>
      <c r="M65">
        <f>IF(G65=1,0.2*R65/E65,M64)</f>
        <v/>
      </c>
      <c r="N65">
        <f>IF(G65=1,0.2*R65/F65,N64)</f>
        <v/>
      </c>
      <c r="O65">
        <f>IF(G65=1,R65*(1-1.0),IF(H64=0,1,O64*(1+0.00023125256064071564)))</f>
        <v/>
      </c>
      <c r="P65">
        <f>IF(G65=1,IF(H64=0,1,ABS(0.2-J64*B65/I65)+ABS(0.2-K64*C65/I65)+ABS(0.2-L64*D65/I65)+ABS(0.2-M64*E65/I65)+ABS(0.2-N64*F65/I65)),0)</f>
        <v/>
      </c>
      <c r="Q65">
        <f>P65*0.0015</f>
        <v/>
      </c>
      <c r="R65">
        <f>I65*(1-Q65)</f>
        <v/>
      </c>
      <c r="S65">
        <f>R65/R64-1</f>
        <v/>
      </c>
      <c r="T65">
        <f>MAX(T64,R65)</f>
        <v/>
      </c>
      <c r="U65">
        <f>R65/T65-1</f>
        <v/>
      </c>
      <c r="V65" t="n">
        <v>1.087653302429158</v>
      </c>
      <c r="W65" s="5">
        <f>R65-V65</f>
        <v/>
      </c>
    </row>
    <row r="66">
      <c r="A66" s="3" t="n">
        <v>38533</v>
      </c>
      <c r="B66">
        <f>Prices!B66</f>
        <v/>
      </c>
      <c r="C66">
        <f>Prices!C66</f>
        <v/>
      </c>
      <c r="D66">
        <f>Prices!D66</f>
        <v/>
      </c>
      <c r="E66">
        <f>Prices!E66</f>
        <v/>
      </c>
      <c r="F66">
        <f>Prices!F66</f>
        <v/>
      </c>
      <c r="G66">
        <f>IF(AND(64&gt;=16,TEXT(A66,"yyyy-mm")&lt;&gt;TEXT(A67,"yyyy-mm")),1,0)</f>
        <v/>
      </c>
      <c r="H66">
        <f>IF(OR(H65=1,G66=1),1,0)</f>
        <v/>
      </c>
      <c r="I66">
        <f>IF(H65=0,1,SUMPRODUCT(J65:N65,B66:F66)+O65*(1+0.00023125256064071564))</f>
        <v/>
      </c>
      <c r="J66">
        <f>IF(G66=1,0.2*R66/B66,J65)</f>
        <v/>
      </c>
      <c r="K66">
        <f>IF(G66=1,0.2*R66/C66,K65)</f>
        <v/>
      </c>
      <c r="L66">
        <f>IF(G66=1,0.2*R66/D66,L65)</f>
        <v/>
      </c>
      <c r="M66">
        <f>IF(G66=1,0.2*R66/E66,M65)</f>
        <v/>
      </c>
      <c r="N66">
        <f>IF(G66=1,0.2*R66/F66,N65)</f>
        <v/>
      </c>
      <c r="O66">
        <f>IF(G66=1,R66*(1-1.0),IF(H65=0,1,O65*(1+0.00023125256064071564)))</f>
        <v/>
      </c>
      <c r="P66">
        <f>IF(G66=1,IF(H65=0,1,ABS(0.2-J65*B66/I66)+ABS(0.2-K65*C66/I66)+ABS(0.2-L65*D66/I66)+ABS(0.2-M65*E66/I66)+ABS(0.2-N65*F66/I66)),0)</f>
        <v/>
      </c>
      <c r="Q66">
        <f>P66*0.0015</f>
        <v/>
      </c>
      <c r="R66">
        <f>I66*(1-Q66)</f>
        <v/>
      </c>
      <c r="S66">
        <f>R66/R65-1</f>
        <v/>
      </c>
      <c r="T66">
        <f>MAX(T65,R66)</f>
        <v/>
      </c>
      <c r="U66">
        <f>R66/T66-1</f>
        <v/>
      </c>
      <c r="V66" t="n">
        <v>1.090205173219508</v>
      </c>
      <c r="W66" s="5">
        <f>R66-V66</f>
        <v/>
      </c>
    </row>
    <row r="67">
      <c r="A67" s="3" t="n">
        <v>38534</v>
      </c>
      <c r="B67">
        <f>Prices!B67</f>
        <v/>
      </c>
      <c r="C67">
        <f>Prices!C67</f>
        <v/>
      </c>
      <c r="D67">
        <f>Prices!D67</f>
        <v/>
      </c>
      <c r="E67">
        <f>Prices!E67</f>
        <v/>
      </c>
      <c r="F67">
        <f>Prices!F67</f>
        <v/>
      </c>
      <c r="G67">
        <f>IF(AND(65&gt;=16,TEXT(A67,"yyyy-mm")&lt;&gt;TEXT(A68,"yyyy-mm")),1,0)</f>
        <v/>
      </c>
      <c r="H67">
        <f>IF(OR(H66=1,G67=1),1,0)</f>
        <v/>
      </c>
      <c r="I67">
        <f>IF(H66=0,1,SUMPRODUCT(J66:N66,B67:F67)+O66*(1+0.00023125256064071564))</f>
        <v/>
      </c>
      <c r="J67">
        <f>IF(G67=1,0.2*R67/B67,J66)</f>
        <v/>
      </c>
      <c r="K67">
        <f>IF(G67=1,0.2*R67/C67,K66)</f>
        <v/>
      </c>
      <c r="L67">
        <f>IF(G67=1,0.2*R67/D67,L66)</f>
        <v/>
      </c>
      <c r="M67">
        <f>IF(G67=1,0.2*R67/E67,M66)</f>
        <v/>
      </c>
      <c r="N67">
        <f>IF(G67=1,0.2*R67/F67,N66)</f>
        <v/>
      </c>
      <c r="O67">
        <f>IF(G67=1,R67*(1-1.0),IF(H66=0,1,O66*(1+0.00023125256064071564)))</f>
        <v/>
      </c>
      <c r="P67">
        <f>IF(G67=1,IF(H66=0,1,ABS(0.2-J66*B67/I67)+ABS(0.2-K66*C67/I67)+ABS(0.2-L66*D67/I67)+ABS(0.2-M66*E67/I67)+ABS(0.2-N66*F67/I67)),0)</f>
        <v/>
      </c>
      <c r="Q67">
        <f>P67*0.0015</f>
        <v/>
      </c>
      <c r="R67">
        <f>I67*(1-Q67)</f>
        <v/>
      </c>
      <c r="S67">
        <f>R67/R66-1</f>
        <v/>
      </c>
      <c r="T67">
        <f>MAX(T66,R67)</f>
        <v/>
      </c>
      <c r="U67">
        <f>R67/T67-1</f>
        <v/>
      </c>
      <c r="V67" t="n">
        <v>1.103044747551766</v>
      </c>
      <c r="W67" s="5">
        <f>R67-V67</f>
        <v/>
      </c>
    </row>
    <row r="68">
      <c r="A68" s="3" t="n">
        <v>38537</v>
      </c>
      <c r="B68">
        <f>Prices!B68</f>
        <v/>
      </c>
      <c r="C68">
        <f>Prices!C68</f>
        <v/>
      </c>
      <c r="D68">
        <f>Prices!D68</f>
        <v/>
      </c>
      <c r="E68">
        <f>Prices!E68</f>
        <v/>
      </c>
      <c r="F68">
        <f>Prices!F68</f>
        <v/>
      </c>
      <c r="G68">
        <f>IF(AND(66&gt;=16,TEXT(A68,"yyyy-mm")&lt;&gt;TEXT(A69,"yyyy-mm")),1,0)</f>
        <v/>
      </c>
      <c r="H68">
        <f>IF(OR(H67=1,G68=1),1,0)</f>
        <v/>
      </c>
      <c r="I68">
        <f>IF(H67=0,1,SUMPRODUCT(J67:N67,B68:F68)+O67*(1+0.00023125256064071564))</f>
        <v/>
      </c>
      <c r="J68">
        <f>IF(G68=1,0.2*R68/B68,J67)</f>
        <v/>
      </c>
      <c r="K68">
        <f>IF(G68=1,0.2*R68/C68,K67)</f>
        <v/>
      </c>
      <c r="L68">
        <f>IF(G68=1,0.2*R68/D68,L67)</f>
        <v/>
      </c>
      <c r="M68">
        <f>IF(G68=1,0.2*R68/E68,M67)</f>
        <v/>
      </c>
      <c r="N68">
        <f>IF(G68=1,0.2*R68/F68,N67)</f>
        <v/>
      </c>
      <c r="O68">
        <f>IF(G68=1,R68*(1-1.0),IF(H67=0,1,O67*(1+0.00023125256064071564)))</f>
        <v/>
      </c>
      <c r="P68">
        <f>IF(G68=1,IF(H67=0,1,ABS(0.2-J67*B68/I68)+ABS(0.2-K67*C68/I68)+ABS(0.2-L67*D68/I68)+ABS(0.2-M67*E68/I68)+ABS(0.2-N67*F68/I68)),0)</f>
        <v/>
      </c>
      <c r="Q68">
        <f>P68*0.0015</f>
        <v/>
      </c>
      <c r="R68">
        <f>I68*(1-Q68)</f>
        <v/>
      </c>
      <c r="S68">
        <f>R68/R67-1</f>
        <v/>
      </c>
      <c r="T68">
        <f>MAX(T67,R68)</f>
        <v/>
      </c>
      <c r="U68">
        <f>R68/T68-1</f>
        <v/>
      </c>
      <c r="V68" t="n">
        <v>1.117872433618062</v>
      </c>
      <c r="W68" s="5">
        <f>R68-V68</f>
        <v/>
      </c>
    </row>
    <row r="69">
      <c r="A69" s="3" t="n">
        <v>38538</v>
      </c>
      <c r="B69">
        <f>Prices!B69</f>
        <v/>
      </c>
      <c r="C69">
        <f>Prices!C69</f>
        <v/>
      </c>
      <c r="D69">
        <f>Prices!D69</f>
        <v/>
      </c>
      <c r="E69">
        <f>Prices!E69</f>
        <v/>
      </c>
      <c r="F69">
        <f>Prices!F69</f>
        <v/>
      </c>
      <c r="G69">
        <f>IF(AND(67&gt;=16,TEXT(A69,"yyyy-mm")&lt;&gt;TEXT(A70,"yyyy-mm")),1,0)</f>
        <v/>
      </c>
      <c r="H69">
        <f>IF(OR(H68=1,G69=1),1,0)</f>
        <v/>
      </c>
      <c r="I69">
        <f>IF(H68=0,1,SUMPRODUCT(J68:N68,B69:F69)+O68*(1+0.00023125256064071564))</f>
        <v/>
      </c>
      <c r="J69">
        <f>IF(G69=1,0.2*R69/B69,J68)</f>
        <v/>
      </c>
      <c r="K69">
        <f>IF(G69=1,0.2*R69/C69,K68)</f>
        <v/>
      </c>
      <c r="L69">
        <f>IF(G69=1,0.2*R69/D69,L68)</f>
        <v/>
      </c>
      <c r="M69">
        <f>IF(G69=1,0.2*R69/E69,M68)</f>
        <v/>
      </c>
      <c r="N69">
        <f>IF(G69=1,0.2*R69/F69,N68)</f>
        <v/>
      </c>
      <c r="O69">
        <f>IF(G69=1,R69*(1-1.0),IF(H68=0,1,O68*(1+0.00023125256064071564)))</f>
        <v/>
      </c>
      <c r="P69">
        <f>IF(G69=1,IF(H68=0,1,ABS(0.2-J68*B69/I69)+ABS(0.2-K68*C69/I69)+ABS(0.2-L68*D69/I69)+ABS(0.2-M68*E69/I69)+ABS(0.2-N68*F69/I69)),0)</f>
        <v/>
      </c>
      <c r="Q69">
        <f>P69*0.0015</f>
        <v/>
      </c>
      <c r="R69">
        <f>I69*(1-Q69)</f>
        <v/>
      </c>
      <c r="S69">
        <f>R69/R68-1</f>
        <v/>
      </c>
      <c r="T69">
        <f>MAX(T68,R69)</f>
        <v/>
      </c>
      <c r="U69">
        <f>R69/T69-1</f>
        <v/>
      </c>
      <c r="V69" t="n">
        <v>1.110850386276188</v>
      </c>
      <c r="W69" s="5">
        <f>R69-V69</f>
        <v/>
      </c>
    </row>
    <row r="70">
      <c r="A70" s="3" t="n">
        <v>38539</v>
      </c>
      <c r="B70">
        <f>Prices!B70</f>
        <v/>
      </c>
      <c r="C70">
        <f>Prices!C70</f>
        <v/>
      </c>
      <c r="D70">
        <f>Prices!D70</f>
        <v/>
      </c>
      <c r="E70">
        <f>Prices!E70</f>
        <v/>
      </c>
      <c r="F70">
        <f>Prices!F70</f>
        <v/>
      </c>
      <c r="G70">
        <f>IF(AND(68&gt;=16,TEXT(A70,"yyyy-mm")&lt;&gt;TEXT(A71,"yyyy-mm")),1,0)</f>
        <v/>
      </c>
      <c r="H70">
        <f>IF(OR(H69=1,G70=1),1,0)</f>
        <v/>
      </c>
      <c r="I70">
        <f>IF(H69=0,1,SUMPRODUCT(J69:N69,B70:F70)+O69*(1+0.00023125256064071564))</f>
        <v/>
      </c>
      <c r="J70">
        <f>IF(G70=1,0.2*R70/B70,J69)</f>
        <v/>
      </c>
      <c r="K70">
        <f>IF(G70=1,0.2*R70/C70,K69)</f>
        <v/>
      </c>
      <c r="L70">
        <f>IF(G70=1,0.2*R70/D70,L69)</f>
        <v/>
      </c>
      <c r="M70">
        <f>IF(G70=1,0.2*R70/E70,M69)</f>
        <v/>
      </c>
      <c r="N70">
        <f>IF(G70=1,0.2*R70/F70,N69)</f>
        <v/>
      </c>
      <c r="O70">
        <f>IF(G70=1,R70*(1-1.0),IF(H69=0,1,O69*(1+0.00023125256064071564)))</f>
        <v/>
      </c>
      <c r="P70">
        <f>IF(G70=1,IF(H69=0,1,ABS(0.2-J69*B70/I70)+ABS(0.2-K69*C70/I70)+ABS(0.2-L69*D70/I70)+ABS(0.2-M69*E70/I70)+ABS(0.2-N69*F70/I70)),0)</f>
        <v/>
      </c>
      <c r="Q70">
        <f>P70*0.0015</f>
        <v/>
      </c>
      <c r="R70">
        <f>I70*(1-Q70)</f>
        <v/>
      </c>
      <c r="S70">
        <f>R70/R69-1</f>
        <v/>
      </c>
      <c r="T70">
        <f>MAX(T69,R70)</f>
        <v/>
      </c>
      <c r="U70">
        <f>R70/T70-1</f>
        <v/>
      </c>
      <c r="V70" t="n">
        <v>1.127850660399135</v>
      </c>
      <c r="W70" s="5">
        <f>R70-V70</f>
        <v/>
      </c>
    </row>
    <row r="71">
      <c r="A71" s="3" t="n">
        <v>38540</v>
      </c>
      <c r="B71">
        <f>Prices!B71</f>
        <v/>
      </c>
      <c r="C71">
        <f>Prices!C71</f>
        <v/>
      </c>
      <c r="D71">
        <f>Prices!D71</f>
        <v/>
      </c>
      <c r="E71">
        <f>Prices!E71</f>
        <v/>
      </c>
      <c r="F71">
        <f>Prices!F71</f>
        <v/>
      </c>
      <c r="G71">
        <f>IF(AND(69&gt;=16,TEXT(A71,"yyyy-mm")&lt;&gt;TEXT(A72,"yyyy-mm")),1,0)</f>
        <v/>
      </c>
      <c r="H71">
        <f>IF(OR(H70=1,G71=1),1,0)</f>
        <v/>
      </c>
      <c r="I71">
        <f>IF(H70=0,1,SUMPRODUCT(J70:N70,B71:F71)+O70*(1+0.00023125256064071564))</f>
        <v/>
      </c>
      <c r="J71">
        <f>IF(G71=1,0.2*R71/B71,J70)</f>
        <v/>
      </c>
      <c r="K71">
        <f>IF(G71=1,0.2*R71/C71,K70)</f>
        <v/>
      </c>
      <c r="L71">
        <f>IF(G71=1,0.2*R71/D71,L70)</f>
        <v/>
      </c>
      <c r="M71">
        <f>IF(G71=1,0.2*R71/E71,M70)</f>
        <v/>
      </c>
      <c r="N71">
        <f>IF(G71=1,0.2*R71/F71,N70)</f>
        <v/>
      </c>
      <c r="O71">
        <f>IF(G71=1,R71*(1-1.0),IF(H70=0,1,O70*(1+0.00023125256064071564)))</f>
        <v/>
      </c>
      <c r="P71">
        <f>IF(G71=1,IF(H70=0,1,ABS(0.2-J70*B71/I71)+ABS(0.2-K70*C71/I71)+ABS(0.2-L70*D71/I71)+ABS(0.2-M70*E71/I71)+ABS(0.2-N70*F71/I71)),0)</f>
        <v/>
      </c>
      <c r="Q71">
        <f>P71*0.0015</f>
        <v/>
      </c>
      <c r="R71">
        <f>I71*(1-Q71)</f>
        <v/>
      </c>
      <c r="S71">
        <f>R71/R70-1</f>
        <v/>
      </c>
      <c r="T71">
        <f>MAX(T70,R71)</f>
        <v/>
      </c>
      <c r="U71">
        <f>R71/T71-1</f>
        <v/>
      </c>
      <c r="V71" t="n">
        <v>1.11139042820946</v>
      </c>
      <c r="W71" s="5">
        <f>R71-V71</f>
        <v/>
      </c>
    </row>
    <row r="72">
      <c r="A72" s="3" t="n">
        <v>38541</v>
      </c>
      <c r="B72">
        <f>Prices!B72</f>
        <v/>
      </c>
      <c r="C72">
        <f>Prices!C72</f>
        <v/>
      </c>
      <c r="D72">
        <f>Prices!D72</f>
        <v/>
      </c>
      <c r="E72">
        <f>Prices!E72</f>
        <v/>
      </c>
      <c r="F72">
        <f>Prices!F72</f>
        <v/>
      </c>
      <c r="G72">
        <f>IF(AND(70&gt;=16,TEXT(A72,"yyyy-mm")&lt;&gt;TEXT(A73,"yyyy-mm")),1,0)</f>
        <v/>
      </c>
      <c r="H72">
        <f>IF(OR(H71=1,G72=1),1,0)</f>
        <v/>
      </c>
      <c r="I72">
        <f>IF(H71=0,1,SUMPRODUCT(J71:N71,B72:F72)+O71*(1+0.00023125256064071564))</f>
        <v/>
      </c>
      <c r="J72">
        <f>IF(G72=1,0.2*R72/B72,J71)</f>
        <v/>
      </c>
      <c r="K72">
        <f>IF(G72=1,0.2*R72/C72,K71)</f>
        <v/>
      </c>
      <c r="L72">
        <f>IF(G72=1,0.2*R72/D72,L71)</f>
        <v/>
      </c>
      <c r="M72">
        <f>IF(G72=1,0.2*R72/E72,M71)</f>
        <v/>
      </c>
      <c r="N72">
        <f>IF(G72=1,0.2*R72/F72,N71)</f>
        <v/>
      </c>
      <c r="O72">
        <f>IF(G72=1,R72*(1-1.0),IF(H71=0,1,O71*(1+0.00023125256064071564)))</f>
        <v/>
      </c>
      <c r="P72">
        <f>IF(G72=1,IF(H71=0,1,ABS(0.2-J71*B72/I72)+ABS(0.2-K71*C72/I72)+ABS(0.2-L71*D72/I72)+ABS(0.2-M71*E72/I72)+ABS(0.2-N71*F72/I72)),0)</f>
        <v/>
      </c>
      <c r="Q72">
        <f>P72*0.0015</f>
        <v/>
      </c>
      <c r="R72">
        <f>I72*(1-Q72)</f>
        <v/>
      </c>
      <c r="S72">
        <f>R72/R71-1</f>
        <v/>
      </c>
      <c r="T72">
        <f>MAX(T71,R72)</f>
        <v/>
      </c>
      <c r="U72">
        <f>R72/T72-1</f>
        <v/>
      </c>
      <c r="V72" t="n">
        <v>1.12922986982997</v>
      </c>
      <c r="W72" s="5">
        <f>R72-V72</f>
        <v/>
      </c>
    </row>
    <row r="73">
      <c r="A73" s="3" t="n">
        <v>38544</v>
      </c>
      <c r="B73">
        <f>Prices!B73</f>
        <v/>
      </c>
      <c r="C73">
        <f>Prices!C73</f>
        <v/>
      </c>
      <c r="D73">
        <f>Prices!D73</f>
        <v/>
      </c>
      <c r="E73">
        <f>Prices!E73</f>
        <v/>
      </c>
      <c r="F73">
        <f>Prices!F73</f>
        <v/>
      </c>
      <c r="G73">
        <f>IF(AND(71&gt;=16,TEXT(A73,"yyyy-mm")&lt;&gt;TEXT(A74,"yyyy-mm")),1,0)</f>
        <v/>
      </c>
      <c r="H73">
        <f>IF(OR(H72=1,G73=1),1,0)</f>
        <v/>
      </c>
      <c r="I73">
        <f>IF(H72=0,1,SUMPRODUCT(J72:N72,B73:F73)+O72*(1+0.00023125256064071564))</f>
        <v/>
      </c>
      <c r="J73">
        <f>IF(G73=1,0.2*R73/B73,J72)</f>
        <v/>
      </c>
      <c r="K73">
        <f>IF(G73=1,0.2*R73/C73,K72)</f>
        <v/>
      </c>
      <c r="L73">
        <f>IF(G73=1,0.2*R73/D73,L72)</f>
        <v/>
      </c>
      <c r="M73">
        <f>IF(G73=1,0.2*R73/E73,M72)</f>
        <v/>
      </c>
      <c r="N73">
        <f>IF(G73=1,0.2*R73/F73,N72)</f>
        <v/>
      </c>
      <c r="O73">
        <f>IF(G73=1,R73*(1-1.0),IF(H72=0,1,O72*(1+0.00023125256064071564)))</f>
        <v/>
      </c>
      <c r="P73">
        <f>IF(G73=1,IF(H72=0,1,ABS(0.2-J72*B73/I73)+ABS(0.2-K72*C73/I73)+ABS(0.2-L72*D73/I73)+ABS(0.2-M72*E73/I73)+ABS(0.2-N72*F73/I73)),0)</f>
        <v/>
      </c>
      <c r="Q73">
        <f>P73*0.0015</f>
        <v/>
      </c>
      <c r="R73">
        <f>I73*(1-Q73)</f>
        <v/>
      </c>
      <c r="S73">
        <f>R73/R72-1</f>
        <v/>
      </c>
      <c r="T73">
        <f>MAX(T72,R73)</f>
        <v/>
      </c>
      <c r="U73">
        <f>R73/T73-1</f>
        <v/>
      </c>
      <c r="V73" t="n">
        <v>1.146878459226652</v>
      </c>
      <c r="W73" s="5">
        <f>R73-V73</f>
        <v/>
      </c>
    </row>
    <row r="74">
      <c r="A74" s="3" t="n">
        <v>38545</v>
      </c>
      <c r="B74">
        <f>Prices!B74</f>
        <v/>
      </c>
      <c r="C74">
        <f>Prices!C74</f>
        <v/>
      </c>
      <c r="D74">
        <f>Prices!D74</f>
        <v/>
      </c>
      <c r="E74">
        <f>Prices!E74</f>
        <v/>
      </c>
      <c r="F74">
        <f>Prices!F74</f>
        <v/>
      </c>
      <c r="G74">
        <f>IF(AND(72&gt;=16,TEXT(A74,"yyyy-mm")&lt;&gt;TEXT(A75,"yyyy-mm")),1,0)</f>
        <v/>
      </c>
      <c r="H74">
        <f>IF(OR(H73=1,G74=1),1,0)</f>
        <v/>
      </c>
      <c r="I74">
        <f>IF(H73=0,1,SUMPRODUCT(J73:N73,B74:F74)+O73*(1+0.00023125256064071564))</f>
        <v/>
      </c>
      <c r="J74">
        <f>IF(G74=1,0.2*R74/B74,J73)</f>
        <v/>
      </c>
      <c r="K74">
        <f>IF(G74=1,0.2*R74/C74,K73)</f>
        <v/>
      </c>
      <c r="L74">
        <f>IF(G74=1,0.2*R74/D74,L73)</f>
        <v/>
      </c>
      <c r="M74">
        <f>IF(G74=1,0.2*R74/E74,M73)</f>
        <v/>
      </c>
      <c r="N74">
        <f>IF(G74=1,0.2*R74/F74,N73)</f>
        <v/>
      </c>
      <c r="O74">
        <f>IF(G74=1,R74*(1-1.0),IF(H73=0,1,O73*(1+0.00023125256064071564)))</f>
        <v/>
      </c>
      <c r="P74">
        <f>IF(G74=1,IF(H73=0,1,ABS(0.2-J73*B74/I74)+ABS(0.2-K73*C74/I74)+ABS(0.2-L73*D74/I74)+ABS(0.2-M73*E74/I74)+ABS(0.2-N73*F74/I74)),0)</f>
        <v/>
      </c>
      <c r="Q74">
        <f>P74*0.0015</f>
        <v/>
      </c>
      <c r="R74">
        <f>I74*(1-Q74)</f>
        <v/>
      </c>
      <c r="S74">
        <f>R74/R73-1</f>
        <v/>
      </c>
      <c r="T74">
        <f>MAX(T73,R74)</f>
        <v/>
      </c>
      <c r="U74">
        <f>R74/T74-1</f>
        <v/>
      </c>
      <c r="V74" t="n">
        <v>1.150096973138556</v>
      </c>
      <c r="W74" s="5">
        <f>R74-V74</f>
        <v/>
      </c>
    </row>
    <row r="75">
      <c r="A75" s="3" t="n">
        <v>38546</v>
      </c>
      <c r="B75">
        <f>Prices!B75</f>
        <v/>
      </c>
      <c r="C75">
        <f>Prices!C75</f>
        <v/>
      </c>
      <c r="D75">
        <f>Prices!D75</f>
        <v/>
      </c>
      <c r="E75">
        <f>Prices!E75</f>
        <v/>
      </c>
      <c r="F75">
        <f>Prices!F75</f>
        <v/>
      </c>
      <c r="G75">
        <f>IF(AND(73&gt;=16,TEXT(A75,"yyyy-mm")&lt;&gt;TEXT(A76,"yyyy-mm")),1,0)</f>
        <v/>
      </c>
      <c r="H75">
        <f>IF(OR(H74=1,G75=1),1,0)</f>
        <v/>
      </c>
      <c r="I75">
        <f>IF(H74=0,1,SUMPRODUCT(J74:N74,B75:F75)+O74*(1+0.00023125256064071564))</f>
        <v/>
      </c>
      <c r="J75">
        <f>IF(G75=1,0.2*R75/B75,J74)</f>
        <v/>
      </c>
      <c r="K75">
        <f>IF(G75=1,0.2*R75/C75,K74)</f>
        <v/>
      </c>
      <c r="L75">
        <f>IF(G75=1,0.2*R75/D75,L74)</f>
        <v/>
      </c>
      <c r="M75">
        <f>IF(G75=1,0.2*R75/E75,M74)</f>
        <v/>
      </c>
      <c r="N75">
        <f>IF(G75=1,0.2*R75/F75,N74)</f>
        <v/>
      </c>
      <c r="O75">
        <f>IF(G75=1,R75*(1-1.0),IF(H74=0,1,O74*(1+0.00023125256064071564)))</f>
        <v/>
      </c>
      <c r="P75">
        <f>IF(G75=1,IF(H74=0,1,ABS(0.2-J74*B75/I75)+ABS(0.2-K74*C75/I75)+ABS(0.2-L74*D75/I75)+ABS(0.2-M74*E75/I75)+ABS(0.2-N74*F75/I75)),0)</f>
        <v/>
      </c>
      <c r="Q75">
        <f>P75*0.0015</f>
        <v/>
      </c>
      <c r="R75">
        <f>I75*(1-Q75)</f>
        <v/>
      </c>
      <c r="S75">
        <f>R75/R74-1</f>
        <v/>
      </c>
      <c r="T75">
        <f>MAX(T74,R75)</f>
        <v/>
      </c>
      <c r="U75">
        <f>R75/T75-1</f>
        <v/>
      </c>
      <c r="V75" t="n">
        <v>1.153197974639231</v>
      </c>
      <c r="W75" s="5">
        <f>R75-V75</f>
        <v/>
      </c>
    </row>
    <row r="76">
      <c r="A76" s="3" t="n">
        <v>38547</v>
      </c>
      <c r="B76">
        <f>Prices!B76</f>
        <v/>
      </c>
      <c r="C76">
        <f>Prices!C76</f>
        <v/>
      </c>
      <c r="D76">
        <f>Prices!D76</f>
        <v/>
      </c>
      <c r="E76">
        <f>Prices!E76</f>
        <v/>
      </c>
      <c r="F76">
        <f>Prices!F76</f>
        <v/>
      </c>
      <c r="G76">
        <f>IF(AND(74&gt;=16,TEXT(A76,"yyyy-mm")&lt;&gt;TEXT(A77,"yyyy-mm")),1,0)</f>
        <v/>
      </c>
      <c r="H76">
        <f>IF(OR(H75=1,G76=1),1,0)</f>
        <v/>
      </c>
      <c r="I76">
        <f>IF(H75=0,1,SUMPRODUCT(J75:N75,B76:F76)+O75*(1+0.00023125256064071564))</f>
        <v/>
      </c>
      <c r="J76">
        <f>IF(G76=1,0.2*R76/B76,J75)</f>
        <v/>
      </c>
      <c r="K76">
        <f>IF(G76=1,0.2*R76/C76,K75)</f>
        <v/>
      </c>
      <c r="L76">
        <f>IF(G76=1,0.2*R76/D76,L75)</f>
        <v/>
      </c>
      <c r="M76">
        <f>IF(G76=1,0.2*R76/E76,M75)</f>
        <v/>
      </c>
      <c r="N76">
        <f>IF(G76=1,0.2*R76/F76,N75)</f>
        <v/>
      </c>
      <c r="O76">
        <f>IF(G76=1,R76*(1-1.0),IF(H75=0,1,O75*(1+0.00023125256064071564)))</f>
        <v/>
      </c>
      <c r="P76">
        <f>IF(G76=1,IF(H75=0,1,ABS(0.2-J75*B76/I76)+ABS(0.2-K75*C76/I76)+ABS(0.2-L75*D76/I76)+ABS(0.2-M75*E76/I76)+ABS(0.2-N75*F76/I76)),0)</f>
        <v/>
      </c>
      <c r="Q76">
        <f>P76*0.0015</f>
        <v/>
      </c>
      <c r="R76">
        <f>I76*(1-Q76)</f>
        <v/>
      </c>
      <c r="S76">
        <f>R76/R75-1</f>
        <v/>
      </c>
      <c r="T76">
        <f>MAX(T75,R76)</f>
        <v/>
      </c>
      <c r="U76">
        <f>R76/T76-1</f>
        <v/>
      </c>
      <c r="V76" t="n">
        <v>1.151119507234918</v>
      </c>
      <c r="W76" s="5">
        <f>R76-V76</f>
        <v/>
      </c>
    </row>
    <row r="77">
      <c r="A77" s="3" t="n">
        <v>38548</v>
      </c>
      <c r="B77">
        <f>Prices!B77</f>
        <v/>
      </c>
      <c r="C77">
        <f>Prices!C77</f>
        <v/>
      </c>
      <c r="D77">
        <f>Prices!D77</f>
        <v/>
      </c>
      <c r="E77">
        <f>Prices!E77</f>
        <v/>
      </c>
      <c r="F77">
        <f>Prices!F77</f>
        <v/>
      </c>
      <c r="G77">
        <f>IF(AND(75&gt;=16,TEXT(A77,"yyyy-mm")&lt;&gt;TEXT(A78,"yyyy-mm")),1,0)</f>
        <v/>
      </c>
      <c r="H77">
        <f>IF(OR(H76=1,G77=1),1,0)</f>
        <v/>
      </c>
      <c r="I77">
        <f>IF(H76=0,1,SUMPRODUCT(J76:N76,B77:F77)+O76*(1+0.00023125256064071564))</f>
        <v/>
      </c>
      <c r="J77">
        <f>IF(G77=1,0.2*R77/B77,J76)</f>
        <v/>
      </c>
      <c r="K77">
        <f>IF(G77=1,0.2*R77/C77,K76)</f>
        <v/>
      </c>
      <c r="L77">
        <f>IF(G77=1,0.2*R77/D77,L76)</f>
        <v/>
      </c>
      <c r="M77">
        <f>IF(G77=1,0.2*R77/E77,M76)</f>
        <v/>
      </c>
      <c r="N77">
        <f>IF(G77=1,0.2*R77/F77,N76)</f>
        <v/>
      </c>
      <c r="O77">
        <f>IF(G77=1,R77*(1-1.0),IF(H76=0,1,O76*(1+0.00023125256064071564)))</f>
        <v/>
      </c>
      <c r="P77">
        <f>IF(G77=1,IF(H76=0,1,ABS(0.2-J76*B77/I77)+ABS(0.2-K76*C77/I77)+ABS(0.2-L76*D77/I77)+ABS(0.2-M76*E77/I77)+ABS(0.2-N76*F77/I77)),0)</f>
        <v/>
      </c>
      <c r="Q77">
        <f>P77*0.0015</f>
        <v/>
      </c>
      <c r="R77">
        <f>I77*(1-Q77)</f>
        <v/>
      </c>
      <c r="S77">
        <f>R77/R76-1</f>
        <v/>
      </c>
      <c r="T77">
        <f>MAX(T76,R77)</f>
        <v/>
      </c>
      <c r="U77">
        <f>R77/T77-1</f>
        <v/>
      </c>
      <c r="V77" t="n">
        <v>1.163306681663079</v>
      </c>
      <c r="W77" s="5">
        <f>R77-V77</f>
        <v/>
      </c>
    </row>
    <row r="78">
      <c r="A78" s="3" t="n">
        <v>38551</v>
      </c>
      <c r="B78">
        <f>Prices!B78</f>
        <v/>
      </c>
      <c r="C78">
        <f>Prices!C78</f>
        <v/>
      </c>
      <c r="D78">
        <f>Prices!D78</f>
        <v/>
      </c>
      <c r="E78">
        <f>Prices!E78</f>
        <v/>
      </c>
      <c r="F78">
        <f>Prices!F78</f>
        <v/>
      </c>
      <c r="G78">
        <f>IF(AND(76&gt;=16,TEXT(A78,"yyyy-mm")&lt;&gt;TEXT(A79,"yyyy-mm")),1,0)</f>
        <v/>
      </c>
      <c r="H78">
        <f>IF(OR(H77=1,G78=1),1,0)</f>
        <v/>
      </c>
      <c r="I78">
        <f>IF(H77=0,1,SUMPRODUCT(J77:N77,B78:F78)+O77*(1+0.00023125256064071564))</f>
        <v/>
      </c>
      <c r="J78">
        <f>IF(G78=1,0.2*R78/B78,J77)</f>
        <v/>
      </c>
      <c r="K78">
        <f>IF(G78=1,0.2*R78/C78,K77)</f>
        <v/>
      </c>
      <c r="L78">
        <f>IF(G78=1,0.2*R78/D78,L77)</f>
        <v/>
      </c>
      <c r="M78">
        <f>IF(G78=1,0.2*R78/E78,M77)</f>
        <v/>
      </c>
      <c r="N78">
        <f>IF(G78=1,0.2*R78/F78,N77)</f>
        <v/>
      </c>
      <c r="O78">
        <f>IF(G78=1,R78*(1-1.0),IF(H77=0,1,O77*(1+0.00023125256064071564)))</f>
        <v/>
      </c>
      <c r="P78">
        <f>IF(G78=1,IF(H77=0,1,ABS(0.2-J77*B78/I78)+ABS(0.2-K77*C78/I78)+ABS(0.2-L77*D78/I78)+ABS(0.2-M77*E78/I78)+ABS(0.2-N77*F78/I78)),0)</f>
        <v/>
      </c>
      <c r="Q78">
        <f>P78*0.0015</f>
        <v/>
      </c>
      <c r="R78">
        <f>I78*(1-Q78)</f>
        <v/>
      </c>
      <c r="S78">
        <f>R78/R77-1</f>
        <v/>
      </c>
      <c r="T78">
        <f>MAX(T77,R78)</f>
        <v/>
      </c>
      <c r="U78">
        <f>R78/T78-1</f>
        <v/>
      </c>
      <c r="V78" t="n">
        <v>1.182650806874568</v>
      </c>
      <c r="W78" s="5">
        <f>R78-V78</f>
        <v/>
      </c>
    </row>
    <row r="79">
      <c r="A79" s="3" t="n">
        <v>38552</v>
      </c>
      <c r="B79">
        <f>Prices!B79</f>
        <v/>
      </c>
      <c r="C79">
        <f>Prices!C79</f>
        <v/>
      </c>
      <c r="D79">
        <f>Prices!D79</f>
        <v/>
      </c>
      <c r="E79">
        <f>Prices!E79</f>
        <v/>
      </c>
      <c r="F79">
        <f>Prices!F79</f>
        <v/>
      </c>
      <c r="G79">
        <f>IF(AND(77&gt;=16,TEXT(A79,"yyyy-mm")&lt;&gt;TEXT(A80,"yyyy-mm")),1,0)</f>
        <v/>
      </c>
      <c r="H79">
        <f>IF(OR(H78=1,G79=1),1,0)</f>
        <v/>
      </c>
      <c r="I79">
        <f>IF(H78=0,1,SUMPRODUCT(J78:N78,B79:F79)+O78*(1+0.00023125256064071564))</f>
        <v/>
      </c>
      <c r="J79">
        <f>IF(G79=1,0.2*R79/B79,J78)</f>
        <v/>
      </c>
      <c r="K79">
        <f>IF(G79=1,0.2*R79/C79,K78)</f>
        <v/>
      </c>
      <c r="L79">
        <f>IF(G79=1,0.2*R79/D79,L78)</f>
        <v/>
      </c>
      <c r="M79">
        <f>IF(G79=1,0.2*R79/E79,M78)</f>
        <v/>
      </c>
      <c r="N79">
        <f>IF(G79=1,0.2*R79/F79,N78)</f>
        <v/>
      </c>
      <c r="O79">
        <f>IF(G79=1,R79*(1-1.0),IF(H78=0,1,O78*(1+0.00023125256064071564)))</f>
        <v/>
      </c>
      <c r="P79">
        <f>IF(G79=1,IF(H78=0,1,ABS(0.2-J78*B79/I79)+ABS(0.2-K78*C79/I79)+ABS(0.2-L78*D79/I79)+ABS(0.2-M78*E79/I79)+ABS(0.2-N78*F79/I79)),0)</f>
        <v/>
      </c>
      <c r="Q79">
        <f>P79*0.0015</f>
        <v/>
      </c>
      <c r="R79">
        <f>I79*(1-Q79)</f>
        <v/>
      </c>
      <c r="S79">
        <f>R79/R78-1</f>
        <v/>
      </c>
      <c r="T79">
        <f>MAX(T78,R79)</f>
        <v/>
      </c>
      <c r="U79">
        <f>R79/T79-1</f>
        <v/>
      </c>
      <c r="V79" t="n">
        <v>1.187076472963368</v>
      </c>
      <c r="W79" s="5">
        <f>R79-V79</f>
        <v/>
      </c>
    </row>
    <row r="80">
      <c r="A80" s="3" t="n">
        <v>38553</v>
      </c>
      <c r="B80">
        <f>Prices!B80</f>
        <v/>
      </c>
      <c r="C80">
        <f>Prices!C80</f>
        <v/>
      </c>
      <c r="D80">
        <f>Prices!D80</f>
        <v/>
      </c>
      <c r="E80">
        <f>Prices!E80</f>
        <v/>
      </c>
      <c r="F80">
        <f>Prices!F80</f>
        <v/>
      </c>
      <c r="G80">
        <f>IF(AND(78&gt;=16,TEXT(A80,"yyyy-mm")&lt;&gt;TEXT(A81,"yyyy-mm")),1,0)</f>
        <v/>
      </c>
      <c r="H80">
        <f>IF(OR(H79=1,G80=1),1,0)</f>
        <v/>
      </c>
      <c r="I80">
        <f>IF(H79=0,1,SUMPRODUCT(J79:N79,B80:F80)+O79*(1+0.00023125256064071564))</f>
        <v/>
      </c>
      <c r="J80">
        <f>IF(G80=1,0.2*R80/B80,J79)</f>
        <v/>
      </c>
      <c r="K80">
        <f>IF(G80=1,0.2*R80/C80,K79)</f>
        <v/>
      </c>
      <c r="L80">
        <f>IF(G80=1,0.2*R80/D80,L79)</f>
        <v/>
      </c>
      <c r="M80">
        <f>IF(G80=1,0.2*R80/E80,M79)</f>
        <v/>
      </c>
      <c r="N80">
        <f>IF(G80=1,0.2*R80/F80,N79)</f>
        <v/>
      </c>
      <c r="O80">
        <f>IF(G80=1,R80*(1-1.0),IF(H79=0,1,O79*(1+0.00023125256064071564)))</f>
        <v/>
      </c>
      <c r="P80">
        <f>IF(G80=1,IF(H79=0,1,ABS(0.2-J79*B80/I80)+ABS(0.2-K79*C80/I80)+ABS(0.2-L79*D80/I80)+ABS(0.2-M79*E80/I80)+ABS(0.2-N79*F80/I80)),0)</f>
        <v/>
      </c>
      <c r="Q80">
        <f>P80*0.0015</f>
        <v/>
      </c>
      <c r="R80">
        <f>I80*(1-Q80)</f>
        <v/>
      </c>
      <c r="S80">
        <f>R80/R79-1</f>
        <v/>
      </c>
      <c r="T80">
        <f>MAX(T79,R80)</f>
        <v/>
      </c>
      <c r="U80">
        <f>R80/T80-1</f>
        <v/>
      </c>
      <c r="V80" t="n">
        <v>1.18958574829047</v>
      </c>
      <c r="W80" s="5">
        <f>R80-V80</f>
        <v/>
      </c>
    </row>
    <row r="81">
      <c r="A81" s="3" t="n">
        <v>38554</v>
      </c>
      <c r="B81">
        <f>Prices!B81</f>
        <v/>
      </c>
      <c r="C81">
        <f>Prices!C81</f>
        <v/>
      </c>
      <c r="D81">
        <f>Prices!D81</f>
        <v/>
      </c>
      <c r="E81">
        <f>Prices!E81</f>
        <v/>
      </c>
      <c r="F81">
        <f>Prices!F81</f>
        <v/>
      </c>
      <c r="G81">
        <f>IF(AND(79&gt;=16,TEXT(A81,"yyyy-mm")&lt;&gt;TEXT(A82,"yyyy-mm")),1,0)</f>
        <v/>
      </c>
      <c r="H81">
        <f>IF(OR(H80=1,G81=1),1,0)</f>
        <v/>
      </c>
      <c r="I81">
        <f>IF(H80=0,1,SUMPRODUCT(J80:N80,B81:F81)+O80*(1+0.00023125256064071564))</f>
        <v/>
      </c>
      <c r="J81">
        <f>IF(G81=1,0.2*R81/B81,J80)</f>
        <v/>
      </c>
      <c r="K81">
        <f>IF(G81=1,0.2*R81/C81,K80)</f>
        <v/>
      </c>
      <c r="L81">
        <f>IF(G81=1,0.2*R81/D81,L80)</f>
        <v/>
      </c>
      <c r="M81">
        <f>IF(G81=1,0.2*R81/E81,M80)</f>
        <v/>
      </c>
      <c r="N81">
        <f>IF(G81=1,0.2*R81/F81,N80)</f>
        <v/>
      </c>
      <c r="O81">
        <f>IF(G81=1,R81*(1-1.0),IF(H80=0,1,O80*(1+0.00023125256064071564)))</f>
        <v/>
      </c>
      <c r="P81">
        <f>IF(G81=1,IF(H80=0,1,ABS(0.2-J80*B81/I81)+ABS(0.2-K80*C81/I81)+ABS(0.2-L80*D81/I81)+ABS(0.2-M80*E81/I81)+ABS(0.2-N80*F81/I81)),0)</f>
        <v/>
      </c>
      <c r="Q81">
        <f>P81*0.0015</f>
        <v/>
      </c>
      <c r="R81">
        <f>I81*(1-Q81)</f>
        <v/>
      </c>
      <c r="S81">
        <f>R81/R80-1</f>
        <v/>
      </c>
      <c r="T81">
        <f>MAX(T80,R81)</f>
        <v/>
      </c>
      <c r="U81">
        <f>R81/T81-1</f>
        <v/>
      </c>
      <c r="V81" t="n">
        <v>1.186553472046965</v>
      </c>
      <c r="W81" s="5">
        <f>R81-V81</f>
        <v/>
      </c>
    </row>
    <row r="82">
      <c r="A82" s="3" t="n">
        <v>38555</v>
      </c>
      <c r="B82">
        <f>Prices!B82</f>
        <v/>
      </c>
      <c r="C82">
        <f>Prices!C82</f>
        <v/>
      </c>
      <c r="D82">
        <f>Prices!D82</f>
        <v/>
      </c>
      <c r="E82">
        <f>Prices!E82</f>
        <v/>
      </c>
      <c r="F82">
        <f>Prices!F82</f>
        <v/>
      </c>
      <c r="G82">
        <f>IF(AND(80&gt;=16,TEXT(A82,"yyyy-mm")&lt;&gt;TEXT(A83,"yyyy-mm")),1,0)</f>
        <v/>
      </c>
      <c r="H82">
        <f>IF(OR(H81=1,G82=1),1,0)</f>
        <v/>
      </c>
      <c r="I82">
        <f>IF(H81=0,1,SUMPRODUCT(J81:N81,B82:F82)+O81*(1+0.00023125256064071564))</f>
        <v/>
      </c>
      <c r="J82">
        <f>IF(G82=1,0.2*R82/B82,J81)</f>
        <v/>
      </c>
      <c r="K82">
        <f>IF(G82=1,0.2*R82/C82,K81)</f>
        <v/>
      </c>
      <c r="L82">
        <f>IF(G82=1,0.2*R82/D82,L81)</f>
        <v/>
      </c>
      <c r="M82">
        <f>IF(G82=1,0.2*R82/E82,M81)</f>
        <v/>
      </c>
      <c r="N82">
        <f>IF(G82=1,0.2*R82/F82,N81)</f>
        <v/>
      </c>
      <c r="O82">
        <f>IF(G82=1,R82*(1-1.0),IF(H81=0,1,O81*(1+0.00023125256064071564)))</f>
        <v/>
      </c>
      <c r="P82">
        <f>IF(G82=1,IF(H81=0,1,ABS(0.2-J81*B82/I82)+ABS(0.2-K81*C82/I82)+ABS(0.2-L81*D82/I82)+ABS(0.2-M81*E82/I82)+ABS(0.2-N81*F82/I82)),0)</f>
        <v/>
      </c>
      <c r="Q82">
        <f>P82*0.0015</f>
        <v/>
      </c>
      <c r="R82">
        <f>I82*(1-Q82)</f>
        <v/>
      </c>
      <c r="S82">
        <f>R82/R81-1</f>
        <v/>
      </c>
      <c r="T82">
        <f>MAX(T81,R82)</f>
        <v/>
      </c>
      <c r="U82">
        <f>R82/T82-1</f>
        <v/>
      </c>
      <c r="V82" t="n">
        <v>1.202283115220053</v>
      </c>
      <c r="W82" s="5">
        <f>R82-V82</f>
        <v/>
      </c>
    </row>
    <row r="83">
      <c r="A83" s="3" t="n">
        <v>38558</v>
      </c>
      <c r="B83">
        <f>Prices!B83</f>
        <v/>
      </c>
      <c r="C83">
        <f>Prices!C83</f>
        <v/>
      </c>
      <c r="D83">
        <f>Prices!D83</f>
        <v/>
      </c>
      <c r="E83">
        <f>Prices!E83</f>
        <v/>
      </c>
      <c r="F83">
        <f>Prices!F83</f>
        <v/>
      </c>
      <c r="G83">
        <f>IF(AND(81&gt;=16,TEXT(A83,"yyyy-mm")&lt;&gt;TEXT(A84,"yyyy-mm")),1,0)</f>
        <v/>
      </c>
      <c r="H83">
        <f>IF(OR(H82=1,G83=1),1,0)</f>
        <v/>
      </c>
      <c r="I83">
        <f>IF(H82=0,1,SUMPRODUCT(J82:N82,B83:F83)+O82*(1+0.00023125256064071564))</f>
        <v/>
      </c>
      <c r="J83">
        <f>IF(G83=1,0.2*R83/B83,J82)</f>
        <v/>
      </c>
      <c r="K83">
        <f>IF(G83=1,0.2*R83/C83,K82)</f>
        <v/>
      </c>
      <c r="L83">
        <f>IF(G83=1,0.2*R83/D83,L82)</f>
        <v/>
      </c>
      <c r="M83">
        <f>IF(G83=1,0.2*R83/E83,M82)</f>
        <v/>
      </c>
      <c r="N83">
        <f>IF(G83=1,0.2*R83/F83,N82)</f>
        <v/>
      </c>
      <c r="O83">
        <f>IF(G83=1,R83*(1-1.0),IF(H82=0,1,O82*(1+0.00023125256064071564)))</f>
        <v/>
      </c>
      <c r="P83">
        <f>IF(G83=1,IF(H82=0,1,ABS(0.2-J82*B83/I83)+ABS(0.2-K82*C83/I83)+ABS(0.2-L82*D83/I83)+ABS(0.2-M82*E83/I83)+ABS(0.2-N82*F83/I83)),0)</f>
        <v/>
      </c>
      <c r="Q83">
        <f>P83*0.0015</f>
        <v/>
      </c>
      <c r="R83">
        <f>I83*(1-Q83)</f>
        <v/>
      </c>
      <c r="S83">
        <f>R83/R82-1</f>
        <v/>
      </c>
      <c r="T83">
        <f>MAX(T82,R83)</f>
        <v/>
      </c>
      <c r="U83">
        <f>R83/T83-1</f>
        <v/>
      </c>
      <c r="V83" t="n">
        <v>1.207356893888862</v>
      </c>
      <c r="W83" s="5">
        <f>R83-V83</f>
        <v/>
      </c>
    </row>
    <row r="84">
      <c r="A84" s="3" t="n">
        <v>38559</v>
      </c>
      <c r="B84">
        <f>Prices!B84</f>
        <v/>
      </c>
      <c r="C84">
        <f>Prices!C84</f>
        <v/>
      </c>
      <c r="D84">
        <f>Prices!D84</f>
        <v/>
      </c>
      <c r="E84">
        <f>Prices!E84</f>
        <v/>
      </c>
      <c r="F84">
        <f>Prices!F84</f>
        <v/>
      </c>
      <c r="G84">
        <f>IF(AND(82&gt;=16,TEXT(A84,"yyyy-mm")&lt;&gt;TEXT(A85,"yyyy-mm")),1,0)</f>
        <v/>
      </c>
      <c r="H84">
        <f>IF(OR(H83=1,G84=1),1,0)</f>
        <v/>
      </c>
      <c r="I84">
        <f>IF(H83=0,1,SUMPRODUCT(J83:N83,B84:F84)+O83*(1+0.00023125256064071564))</f>
        <v/>
      </c>
      <c r="J84">
        <f>IF(G84=1,0.2*R84/B84,J83)</f>
        <v/>
      </c>
      <c r="K84">
        <f>IF(G84=1,0.2*R84/C84,K83)</f>
        <v/>
      </c>
      <c r="L84">
        <f>IF(G84=1,0.2*R84/D84,L83)</f>
        <v/>
      </c>
      <c r="M84">
        <f>IF(G84=1,0.2*R84/E84,M83)</f>
        <v/>
      </c>
      <c r="N84">
        <f>IF(G84=1,0.2*R84/F84,N83)</f>
        <v/>
      </c>
      <c r="O84">
        <f>IF(G84=1,R84*(1-1.0),IF(H83=0,1,O83*(1+0.00023125256064071564)))</f>
        <v/>
      </c>
      <c r="P84">
        <f>IF(G84=1,IF(H83=0,1,ABS(0.2-J83*B84/I84)+ABS(0.2-K83*C84/I84)+ABS(0.2-L83*D84/I84)+ABS(0.2-M83*E84/I84)+ABS(0.2-N83*F84/I84)),0)</f>
        <v/>
      </c>
      <c r="Q84">
        <f>P84*0.0015</f>
        <v/>
      </c>
      <c r="R84">
        <f>I84*(1-Q84)</f>
        <v/>
      </c>
      <c r="S84">
        <f>R84/R83-1</f>
        <v/>
      </c>
      <c r="T84">
        <f>MAX(T83,R84)</f>
        <v/>
      </c>
      <c r="U84">
        <f>R84/T84-1</f>
        <v/>
      </c>
      <c r="V84" t="n">
        <v>1.206644732527202</v>
      </c>
      <c r="W84" s="5">
        <f>R84-V84</f>
        <v/>
      </c>
    </row>
    <row r="85">
      <c r="A85" s="3" t="n">
        <v>38560</v>
      </c>
      <c r="B85">
        <f>Prices!B85</f>
        <v/>
      </c>
      <c r="C85">
        <f>Prices!C85</f>
        <v/>
      </c>
      <c r="D85">
        <f>Prices!D85</f>
        <v/>
      </c>
      <c r="E85">
        <f>Prices!E85</f>
        <v/>
      </c>
      <c r="F85">
        <f>Prices!F85</f>
        <v/>
      </c>
      <c r="G85">
        <f>IF(AND(83&gt;=16,TEXT(A85,"yyyy-mm")&lt;&gt;TEXT(A86,"yyyy-mm")),1,0)</f>
        <v/>
      </c>
      <c r="H85">
        <f>IF(OR(H84=1,G85=1),1,0)</f>
        <v/>
      </c>
      <c r="I85">
        <f>IF(H84=0,1,SUMPRODUCT(J84:N84,B85:F85)+O84*(1+0.00023125256064071564))</f>
        <v/>
      </c>
      <c r="J85">
        <f>IF(G85=1,0.2*R85/B85,J84)</f>
        <v/>
      </c>
      <c r="K85">
        <f>IF(G85=1,0.2*R85/C85,K84)</f>
        <v/>
      </c>
      <c r="L85">
        <f>IF(G85=1,0.2*R85/D85,L84)</f>
        <v/>
      </c>
      <c r="M85">
        <f>IF(G85=1,0.2*R85/E85,M84)</f>
        <v/>
      </c>
      <c r="N85">
        <f>IF(G85=1,0.2*R85/F85,N84)</f>
        <v/>
      </c>
      <c r="O85">
        <f>IF(G85=1,R85*(1-1.0),IF(H84=0,1,O84*(1+0.00023125256064071564)))</f>
        <v/>
      </c>
      <c r="P85">
        <f>IF(G85=1,IF(H84=0,1,ABS(0.2-J84*B85/I85)+ABS(0.2-K84*C85/I85)+ABS(0.2-L84*D85/I85)+ABS(0.2-M84*E85/I85)+ABS(0.2-N84*F85/I85)),0)</f>
        <v/>
      </c>
      <c r="Q85">
        <f>P85*0.0015</f>
        <v/>
      </c>
      <c r="R85">
        <f>I85*(1-Q85)</f>
        <v/>
      </c>
      <c r="S85">
        <f>R85/R84-1</f>
        <v/>
      </c>
      <c r="T85">
        <f>MAX(T84,R85)</f>
        <v/>
      </c>
      <c r="U85">
        <f>R85/T85-1</f>
        <v/>
      </c>
      <c r="V85" t="n">
        <v>1.208761297632581</v>
      </c>
      <c r="W85" s="5">
        <f>R85-V85</f>
        <v/>
      </c>
    </row>
    <row r="86">
      <c r="A86" s="3" t="n">
        <v>38562</v>
      </c>
      <c r="B86">
        <f>Prices!B86</f>
        <v/>
      </c>
      <c r="C86">
        <f>Prices!C86</f>
        <v/>
      </c>
      <c r="D86">
        <f>Prices!D86</f>
        <v/>
      </c>
      <c r="E86">
        <f>Prices!E86</f>
        <v/>
      </c>
      <c r="F86">
        <f>Prices!F86</f>
        <v/>
      </c>
      <c r="G86">
        <f>IF(AND(84&gt;=16,TEXT(A86,"yyyy-mm")&lt;&gt;TEXT(A87,"yyyy-mm")),1,0)</f>
        <v/>
      </c>
      <c r="H86">
        <f>IF(OR(H85=1,G86=1),1,0)</f>
        <v/>
      </c>
      <c r="I86">
        <f>IF(H85=0,1,SUMPRODUCT(J85:N85,B86:F86)+O85*(1+0.00023125256064071564))</f>
        <v/>
      </c>
      <c r="J86">
        <f>IF(G86=1,0.2*R86/B86,J85)</f>
        <v/>
      </c>
      <c r="K86">
        <f>IF(G86=1,0.2*R86/C86,K85)</f>
        <v/>
      </c>
      <c r="L86">
        <f>IF(G86=1,0.2*R86/D86,L85)</f>
        <v/>
      </c>
      <c r="M86">
        <f>IF(G86=1,0.2*R86/E86,M85)</f>
        <v/>
      </c>
      <c r="N86">
        <f>IF(G86=1,0.2*R86/F86,N85)</f>
        <v/>
      </c>
      <c r="O86">
        <f>IF(G86=1,R86*(1-1.0),IF(H85=0,1,O85*(1+0.00023125256064071564)))</f>
        <v/>
      </c>
      <c r="P86">
        <f>IF(G86=1,IF(H85=0,1,ABS(0.2-J85*B86/I86)+ABS(0.2-K85*C86/I86)+ABS(0.2-L85*D86/I86)+ABS(0.2-M85*E86/I86)+ABS(0.2-N85*F86/I86)),0)</f>
        <v/>
      </c>
      <c r="Q86">
        <f>P86*0.0015</f>
        <v/>
      </c>
      <c r="R86">
        <f>I86*(1-Q86)</f>
        <v/>
      </c>
      <c r="S86">
        <f>R86/R85-1</f>
        <v/>
      </c>
      <c r="T86">
        <f>MAX(T85,R86)</f>
        <v/>
      </c>
      <c r="U86">
        <f>R86/T86-1</f>
        <v/>
      </c>
      <c r="V86" t="n">
        <v>1.199206868223773</v>
      </c>
      <c r="W86" s="5">
        <f>R86-V86</f>
        <v/>
      </c>
    </row>
    <row r="87">
      <c r="A87" s="3" t="n">
        <v>38565</v>
      </c>
      <c r="B87">
        <f>Prices!B87</f>
        <v/>
      </c>
      <c r="C87">
        <f>Prices!C87</f>
        <v/>
      </c>
      <c r="D87">
        <f>Prices!D87</f>
        <v/>
      </c>
      <c r="E87">
        <f>Prices!E87</f>
        <v/>
      </c>
      <c r="F87">
        <f>Prices!F87</f>
        <v/>
      </c>
      <c r="G87">
        <f>IF(AND(85&gt;=16,TEXT(A87,"yyyy-mm")&lt;&gt;TEXT(A88,"yyyy-mm")),1,0)</f>
        <v/>
      </c>
      <c r="H87">
        <f>IF(OR(H86=1,G87=1),1,0)</f>
        <v/>
      </c>
      <c r="I87">
        <f>IF(H86=0,1,SUMPRODUCT(J86:N86,B87:F87)+O86*(1+0.00023125256064071564))</f>
        <v/>
      </c>
      <c r="J87">
        <f>IF(G87=1,0.2*R87/B87,J86)</f>
        <v/>
      </c>
      <c r="K87">
        <f>IF(G87=1,0.2*R87/C87,K86)</f>
        <v/>
      </c>
      <c r="L87">
        <f>IF(G87=1,0.2*R87/D87,L86)</f>
        <v/>
      </c>
      <c r="M87">
        <f>IF(G87=1,0.2*R87/E87,M86)</f>
        <v/>
      </c>
      <c r="N87">
        <f>IF(G87=1,0.2*R87/F87,N86)</f>
        <v/>
      </c>
      <c r="O87">
        <f>IF(G87=1,R87*(1-1.0),IF(H86=0,1,O86*(1+0.00023125256064071564)))</f>
        <v/>
      </c>
      <c r="P87">
        <f>IF(G87=1,IF(H86=0,1,ABS(0.2-J86*B87/I87)+ABS(0.2-K86*C87/I87)+ABS(0.2-L86*D87/I87)+ABS(0.2-M86*E87/I87)+ABS(0.2-N86*F87/I87)),0)</f>
        <v/>
      </c>
      <c r="Q87">
        <f>P87*0.0015</f>
        <v/>
      </c>
      <c r="R87">
        <f>I87*(1-Q87)</f>
        <v/>
      </c>
      <c r="S87">
        <f>R87/R86-1</f>
        <v/>
      </c>
      <c r="T87">
        <f>MAX(T86,R87)</f>
        <v/>
      </c>
      <c r="U87">
        <f>R87/T87-1</f>
        <v/>
      </c>
      <c r="V87" t="n">
        <v>1.207974986451784</v>
      </c>
      <c r="W87" s="5">
        <f>R87-V87</f>
        <v/>
      </c>
    </row>
    <row r="88">
      <c r="A88" s="3" t="n">
        <v>38566</v>
      </c>
      <c r="B88">
        <f>Prices!B88</f>
        <v/>
      </c>
      <c r="C88">
        <f>Prices!C88</f>
        <v/>
      </c>
      <c r="D88">
        <f>Prices!D88</f>
        <v/>
      </c>
      <c r="E88">
        <f>Prices!E88</f>
        <v/>
      </c>
      <c r="F88">
        <f>Prices!F88</f>
        <v/>
      </c>
      <c r="G88">
        <f>IF(AND(86&gt;=16,TEXT(A88,"yyyy-mm")&lt;&gt;TEXT(A89,"yyyy-mm")),1,0)</f>
        <v/>
      </c>
      <c r="H88">
        <f>IF(OR(H87=1,G88=1),1,0)</f>
        <v/>
      </c>
      <c r="I88">
        <f>IF(H87=0,1,SUMPRODUCT(J87:N87,B88:F88)+O87*(1+0.00023125256064071564))</f>
        <v/>
      </c>
      <c r="J88">
        <f>IF(G88=1,0.2*R88/B88,J87)</f>
        <v/>
      </c>
      <c r="K88">
        <f>IF(G88=1,0.2*R88/C88,K87)</f>
        <v/>
      </c>
      <c r="L88">
        <f>IF(G88=1,0.2*R88/D88,L87)</f>
        <v/>
      </c>
      <c r="M88">
        <f>IF(G88=1,0.2*R88/E88,M87)</f>
        <v/>
      </c>
      <c r="N88">
        <f>IF(G88=1,0.2*R88/F88,N87)</f>
        <v/>
      </c>
      <c r="O88">
        <f>IF(G88=1,R88*(1-1.0),IF(H87=0,1,O87*(1+0.00023125256064071564)))</f>
        <v/>
      </c>
      <c r="P88">
        <f>IF(G88=1,IF(H87=0,1,ABS(0.2-J87*B88/I88)+ABS(0.2-K87*C88/I88)+ABS(0.2-L87*D88/I88)+ABS(0.2-M87*E88/I88)+ABS(0.2-N87*F88/I88)),0)</f>
        <v/>
      </c>
      <c r="Q88">
        <f>P88*0.0015</f>
        <v/>
      </c>
      <c r="R88">
        <f>I88*(1-Q88)</f>
        <v/>
      </c>
      <c r="S88">
        <f>R88/R87-1</f>
        <v/>
      </c>
      <c r="T88">
        <f>MAX(T87,R88)</f>
        <v/>
      </c>
      <c r="U88">
        <f>R88/T88-1</f>
        <v/>
      </c>
      <c r="V88" t="n">
        <v>1.235227931427717</v>
      </c>
      <c r="W88" s="5">
        <f>R88-V88</f>
        <v/>
      </c>
    </row>
    <row r="89">
      <c r="A89" s="3" t="n">
        <v>38567</v>
      </c>
      <c r="B89">
        <f>Prices!B89</f>
        <v/>
      </c>
      <c r="C89">
        <f>Prices!C89</f>
        <v/>
      </c>
      <c r="D89">
        <f>Prices!D89</f>
        <v/>
      </c>
      <c r="E89">
        <f>Prices!E89</f>
        <v/>
      </c>
      <c r="F89">
        <f>Prices!F89</f>
        <v/>
      </c>
      <c r="G89">
        <f>IF(AND(87&gt;=16,TEXT(A89,"yyyy-mm")&lt;&gt;TEXT(A90,"yyyy-mm")),1,0)</f>
        <v/>
      </c>
      <c r="H89">
        <f>IF(OR(H88=1,G89=1),1,0)</f>
        <v/>
      </c>
      <c r="I89">
        <f>IF(H88=0,1,SUMPRODUCT(J88:N88,B89:F89)+O88*(1+0.00023125256064071564))</f>
        <v/>
      </c>
      <c r="J89">
        <f>IF(G89=1,0.2*R89/B89,J88)</f>
        <v/>
      </c>
      <c r="K89">
        <f>IF(G89=1,0.2*R89/C89,K88)</f>
        <v/>
      </c>
      <c r="L89">
        <f>IF(G89=1,0.2*R89/D89,L88)</f>
        <v/>
      </c>
      <c r="M89">
        <f>IF(G89=1,0.2*R89/E89,M88)</f>
        <v/>
      </c>
      <c r="N89">
        <f>IF(G89=1,0.2*R89/F89,N88)</f>
        <v/>
      </c>
      <c r="O89">
        <f>IF(G89=1,R89*(1-1.0),IF(H88=0,1,O88*(1+0.00023125256064071564)))</f>
        <v/>
      </c>
      <c r="P89">
        <f>IF(G89=1,IF(H88=0,1,ABS(0.2-J88*B89/I89)+ABS(0.2-K88*C89/I89)+ABS(0.2-L88*D89/I89)+ABS(0.2-M88*E89/I89)+ABS(0.2-N88*F89/I89)),0)</f>
        <v/>
      </c>
      <c r="Q89">
        <f>P89*0.0015</f>
        <v/>
      </c>
      <c r="R89">
        <f>I89*(1-Q89)</f>
        <v/>
      </c>
      <c r="S89">
        <f>R89/R88-1</f>
        <v/>
      </c>
      <c r="T89">
        <f>MAX(T88,R89)</f>
        <v/>
      </c>
      <c r="U89">
        <f>R89/T89-1</f>
        <v/>
      </c>
      <c r="V89" t="n">
        <v>1.237093544924923</v>
      </c>
      <c r="W89" s="5">
        <f>R89-V89</f>
        <v/>
      </c>
    </row>
    <row r="90">
      <c r="A90" s="3" t="n">
        <v>38568</v>
      </c>
      <c r="B90">
        <f>Prices!B90</f>
        <v/>
      </c>
      <c r="C90">
        <f>Prices!C90</f>
        <v/>
      </c>
      <c r="D90">
        <f>Prices!D90</f>
        <v/>
      </c>
      <c r="E90">
        <f>Prices!E90</f>
        <v/>
      </c>
      <c r="F90">
        <f>Prices!F90</f>
        <v/>
      </c>
      <c r="G90">
        <f>IF(AND(88&gt;=16,TEXT(A90,"yyyy-mm")&lt;&gt;TEXT(A91,"yyyy-mm")),1,0)</f>
        <v/>
      </c>
      <c r="H90">
        <f>IF(OR(H89=1,G90=1),1,0)</f>
        <v/>
      </c>
      <c r="I90">
        <f>IF(H89=0,1,SUMPRODUCT(J89:N89,B90:F90)+O89*(1+0.00023125256064071564))</f>
        <v/>
      </c>
      <c r="J90">
        <f>IF(G90=1,0.2*R90/B90,J89)</f>
        <v/>
      </c>
      <c r="K90">
        <f>IF(G90=1,0.2*R90/C90,K89)</f>
        <v/>
      </c>
      <c r="L90">
        <f>IF(G90=1,0.2*R90/D90,L89)</f>
        <v/>
      </c>
      <c r="M90">
        <f>IF(G90=1,0.2*R90/E90,M89)</f>
        <v/>
      </c>
      <c r="N90">
        <f>IF(G90=1,0.2*R90/F90,N89)</f>
        <v/>
      </c>
      <c r="O90">
        <f>IF(G90=1,R90*(1-1.0),IF(H89=0,1,O89*(1+0.00023125256064071564)))</f>
        <v/>
      </c>
      <c r="P90">
        <f>IF(G90=1,IF(H89=0,1,ABS(0.2-J89*B90/I90)+ABS(0.2-K89*C90/I90)+ABS(0.2-L89*D90/I90)+ABS(0.2-M89*E90/I90)+ABS(0.2-N89*F90/I90)),0)</f>
        <v/>
      </c>
      <c r="Q90">
        <f>P90*0.0015</f>
        <v/>
      </c>
      <c r="R90">
        <f>I90*(1-Q90)</f>
        <v/>
      </c>
      <c r="S90">
        <f>R90/R89-1</f>
        <v/>
      </c>
      <c r="T90">
        <f>MAX(T89,R90)</f>
        <v/>
      </c>
      <c r="U90">
        <f>R90/T90-1</f>
        <v/>
      </c>
      <c r="V90" t="n">
        <v>1.246400195399528</v>
      </c>
      <c r="W90" s="5">
        <f>R90-V90</f>
        <v/>
      </c>
    </row>
    <row r="91">
      <c r="A91" s="3" t="n">
        <v>38569</v>
      </c>
      <c r="B91">
        <f>Prices!B91</f>
        <v/>
      </c>
      <c r="C91">
        <f>Prices!C91</f>
        <v/>
      </c>
      <c r="D91">
        <f>Prices!D91</f>
        <v/>
      </c>
      <c r="E91">
        <f>Prices!E91</f>
        <v/>
      </c>
      <c r="F91">
        <f>Prices!F91</f>
        <v/>
      </c>
      <c r="G91">
        <f>IF(AND(89&gt;=16,TEXT(A91,"yyyy-mm")&lt;&gt;TEXT(A92,"yyyy-mm")),1,0)</f>
        <v/>
      </c>
      <c r="H91">
        <f>IF(OR(H90=1,G91=1),1,0)</f>
        <v/>
      </c>
      <c r="I91">
        <f>IF(H90=0,1,SUMPRODUCT(J90:N90,B91:F91)+O90*(1+0.00023125256064071564))</f>
        <v/>
      </c>
      <c r="J91">
        <f>IF(G91=1,0.2*R91/B91,J90)</f>
        <v/>
      </c>
      <c r="K91">
        <f>IF(G91=1,0.2*R91/C91,K90)</f>
        <v/>
      </c>
      <c r="L91">
        <f>IF(G91=1,0.2*R91/D91,L90)</f>
        <v/>
      </c>
      <c r="M91">
        <f>IF(G91=1,0.2*R91/E91,M90)</f>
        <v/>
      </c>
      <c r="N91">
        <f>IF(G91=1,0.2*R91/F91,N90)</f>
        <v/>
      </c>
      <c r="O91">
        <f>IF(G91=1,R91*(1-1.0),IF(H90=0,1,O90*(1+0.00023125256064071564)))</f>
        <v/>
      </c>
      <c r="P91">
        <f>IF(G91=1,IF(H90=0,1,ABS(0.2-J90*B91/I91)+ABS(0.2-K90*C91/I91)+ABS(0.2-L90*D91/I91)+ABS(0.2-M90*E91/I91)+ABS(0.2-N90*F91/I91)),0)</f>
        <v/>
      </c>
      <c r="Q91">
        <f>P91*0.0015</f>
        <v/>
      </c>
      <c r="R91">
        <f>I91*(1-Q91)</f>
        <v/>
      </c>
      <c r="S91">
        <f>R91/R90-1</f>
        <v/>
      </c>
      <c r="T91">
        <f>MAX(T90,R91)</f>
        <v/>
      </c>
      <c r="U91">
        <f>R91/T91-1</f>
        <v/>
      </c>
      <c r="V91" t="n">
        <v>1.253153593612441</v>
      </c>
      <c r="W91" s="5">
        <f>R91-V91</f>
        <v/>
      </c>
    </row>
    <row r="92">
      <c r="A92" s="3" t="n">
        <v>38572</v>
      </c>
      <c r="B92">
        <f>Prices!B92</f>
        <v/>
      </c>
      <c r="C92">
        <f>Prices!C92</f>
        <v/>
      </c>
      <c r="D92">
        <f>Prices!D92</f>
        <v/>
      </c>
      <c r="E92">
        <f>Prices!E92</f>
        <v/>
      </c>
      <c r="F92">
        <f>Prices!F92</f>
        <v/>
      </c>
      <c r="G92">
        <f>IF(AND(90&gt;=16,TEXT(A92,"yyyy-mm")&lt;&gt;TEXT(A93,"yyyy-mm")),1,0)</f>
        <v/>
      </c>
      <c r="H92">
        <f>IF(OR(H91=1,G92=1),1,0)</f>
        <v/>
      </c>
      <c r="I92">
        <f>IF(H91=0,1,SUMPRODUCT(J91:N91,B92:F92)+O91*(1+0.00023125256064071564))</f>
        <v/>
      </c>
      <c r="J92">
        <f>IF(G92=1,0.2*R92/B92,J91)</f>
        <v/>
      </c>
      <c r="K92">
        <f>IF(G92=1,0.2*R92/C92,K91)</f>
        <v/>
      </c>
      <c r="L92">
        <f>IF(G92=1,0.2*R92/D92,L91)</f>
        <v/>
      </c>
      <c r="M92">
        <f>IF(G92=1,0.2*R92/E92,M91)</f>
        <v/>
      </c>
      <c r="N92">
        <f>IF(G92=1,0.2*R92/F92,N91)</f>
        <v/>
      </c>
      <c r="O92">
        <f>IF(G92=1,R92*(1-1.0),IF(H91=0,1,O91*(1+0.00023125256064071564)))</f>
        <v/>
      </c>
      <c r="P92">
        <f>IF(G92=1,IF(H91=0,1,ABS(0.2-J91*B92/I92)+ABS(0.2-K91*C92/I92)+ABS(0.2-L91*D92/I92)+ABS(0.2-M91*E92/I92)+ABS(0.2-N91*F92/I92)),0)</f>
        <v/>
      </c>
      <c r="Q92">
        <f>P92*0.0015</f>
        <v/>
      </c>
      <c r="R92">
        <f>I92*(1-Q92)</f>
        <v/>
      </c>
      <c r="S92">
        <f>R92/R91-1</f>
        <v/>
      </c>
      <c r="T92">
        <f>MAX(T91,R92)</f>
        <v/>
      </c>
      <c r="U92">
        <f>R92/T92-1</f>
        <v/>
      </c>
      <c r="V92" t="n">
        <v>1.233618961956408</v>
      </c>
      <c r="W92" s="5">
        <f>R92-V92</f>
        <v/>
      </c>
    </row>
    <row r="93">
      <c r="A93" s="3" t="n">
        <v>38573</v>
      </c>
      <c r="B93">
        <f>Prices!B93</f>
        <v/>
      </c>
      <c r="C93">
        <f>Prices!C93</f>
        <v/>
      </c>
      <c r="D93">
        <f>Prices!D93</f>
        <v/>
      </c>
      <c r="E93">
        <f>Prices!E93</f>
        <v/>
      </c>
      <c r="F93">
        <f>Prices!F93</f>
        <v/>
      </c>
      <c r="G93">
        <f>IF(AND(91&gt;=16,TEXT(A93,"yyyy-mm")&lt;&gt;TEXT(A94,"yyyy-mm")),1,0)</f>
        <v/>
      </c>
      <c r="H93">
        <f>IF(OR(H92=1,G93=1),1,0)</f>
        <v/>
      </c>
      <c r="I93">
        <f>IF(H92=0,1,SUMPRODUCT(J92:N92,B93:F93)+O92*(1+0.00023125256064071564))</f>
        <v/>
      </c>
      <c r="J93">
        <f>IF(G93=1,0.2*R93/B93,J92)</f>
        <v/>
      </c>
      <c r="K93">
        <f>IF(G93=1,0.2*R93/C93,K92)</f>
        <v/>
      </c>
      <c r="L93">
        <f>IF(G93=1,0.2*R93/D93,L92)</f>
        <v/>
      </c>
      <c r="M93">
        <f>IF(G93=1,0.2*R93/E93,M92)</f>
        <v/>
      </c>
      <c r="N93">
        <f>IF(G93=1,0.2*R93/F93,N92)</f>
        <v/>
      </c>
      <c r="O93">
        <f>IF(G93=1,R93*(1-1.0),IF(H92=0,1,O92*(1+0.00023125256064071564)))</f>
        <v/>
      </c>
      <c r="P93">
        <f>IF(G93=1,IF(H92=0,1,ABS(0.2-J92*B93/I93)+ABS(0.2-K92*C93/I93)+ABS(0.2-L92*D93/I93)+ABS(0.2-M92*E93/I93)+ABS(0.2-N92*F93/I93)),0)</f>
        <v/>
      </c>
      <c r="Q93">
        <f>P93*0.0015</f>
        <v/>
      </c>
      <c r="R93">
        <f>I93*(1-Q93)</f>
        <v/>
      </c>
      <c r="S93">
        <f>R93/R92-1</f>
        <v/>
      </c>
      <c r="T93">
        <f>MAX(T92,R93)</f>
        <v/>
      </c>
      <c r="U93">
        <f>R93/T93-1</f>
        <v/>
      </c>
      <c r="V93" t="n">
        <v>1.229664001894643</v>
      </c>
      <c r="W93" s="5">
        <f>R93-V93</f>
        <v/>
      </c>
    </row>
    <row r="94">
      <c r="A94" s="3" t="n">
        <v>38574</v>
      </c>
      <c r="B94">
        <f>Prices!B94</f>
        <v/>
      </c>
      <c r="C94">
        <f>Prices!C94</f>
        <v/>
      </c>
      <c r="D94">
        <f>Prices!D94</f>
        <v/>
      </c>
      <c r="E94">
        <f>Prices!E94</f>
        <v/>
      </c>
      <c r="F94">
        <f>Prices!F94</f>
        <v/>
      </c>
      <c r="G94">
        <f>IF(AND(92&gt;=16,TEXT(A94,"yyyy-mm")&lt;&gt;TEXT(A95,"yyyy-mm")),1,0)</f>
        <v/>
      </c>
      <c r="H94">
        <f>IF(OR(H93=1,G94=1),1,0)</f>
        <v/>
      </c>
      <c r="I94">
        <f>IF(H93=0,1,SUMPRODUCT(J93:N93,B94:F94)+O93*(1+0.00023125256064071564))</f>
        <v/>
      </c>
      <c r="J94">
        <f>IF(G94=1,0.2*R94/B94,J93)</f>
        <v/>
      </c>
      <c r="K94">
        <f>IF(G94=1,0.2*R94/C94,K93)</f>
        <v/>
      </c>
      <c r="L94">
        <f>IF(G94=1,0.2*R94/D94,L93)</f>
        <v/>
      </c>
      <c r="M94">
        <f>IF(G94=1,0.2*R94/E94,M93)</f>
        <v/>
      </c>
      <c r="N94">
        <f>IF(G94=1,0.2*R94/F94,N93)</f>
        <v/>
      </c>
      <c r="O94">
        <f>IF(G94=1,R94*(1-1.0),IF(H93=0,1,O93*(1+0.00023125256064071564)))</f>
        <v/>
      </c>
      <c r="P94">
        <f>IF(G94=1,IF(H93=0,1,ABS(0.2-J93*B94/I94)+ABS(0.2-K93*C94/I94)+ABS(0.2-L93*D94/I94)+ABS(0.2-M93*E94/I94)+ABS(0.2-N93*F94/I94)),0)</f>
        <v/>
      </c>
      <c r="Q94">
        <f>P94*0.0015</f>
        <v/>
      </c>
      <c r="R94">
        <f>I94*(1-Q94)</f>
        <v/>
      </c>
      <c r="S94">
        <f>R94/R93-1</f>
        <v/>
      </c>
      <c r="T94">
        <f>MAX(T93,R94)</f>
        <v/>
      </c>
      <c r="U94">
        <f>R94/T94-1</f>
        <v/>
      </c>
      <c r="V94" t="n">
        <v>1.256470562023053</v>
      </c>
      <c r="W94" s="5">
        <f>R94-V94</f>
        <v/>
      </c>
    </row>
    <row r="95">
      <c r="A95" s="3" t="n">
        <v>38575</v>
      </c>
      <c r="B95">
        <f>Prices!B95</f>
        <v/>
      </c>
      <c r="C95">
        <f>Prices!C95</f>
        <v/>
      </c>
      <c r="D95">
        <f>Prices!D95</f>
        <v/>
      </c>
      <c r="E95">
        <f>Prices!E95</f>
        <v/>
      </c>
      <c r="F95">
        <f>Prices!F95</f>
        <v/>
      </c>
      <c r="G95">
        <f>IF(AND(93&gt;=16,TEXT(A95,"yyyy-mm")&lt;&gt;TEXT(A96,"yyyy-mm")),1,0)</f>
        <v/>
      </c>
      <c r="H95">
        <f>IF(OR(H94=1,G95=1),1,0)</f>
        <v/>
      </c>
      <c r="I95">
        <f>IF(H94=0,1,SUMPRODUCT(J94:N94,B95:F95)+O94*(1+0.00023125256064071564))</f>
        <v/>
      </c>
      <c r="J95">
        <f>IF(G95=1,0.2*R95/B95,J94)</f>
        <v/>
      </c>
      <c r="K95">
        <f>IF(G95=1,0.2*R95/C95,K94)</f>
        <v/>
      </c>
      <c r="L95">
        <f>IF(G95=1,0.2*R95/D95,L94)</f>
        <v/>
      </c>
      <c r="M95">
        <f>IF(G95=1,0.2*R95/E95,M94)</f>
        <v/>
      </c>
      <c r="N95">
        <f>IF(G95=1,0.2*R95/F95,N94)</f>
        <v/>
      </c>
      <c r="O95">
        <f>IF(G95=1,R95*(1-1.0),IF(H94=0,1,O94*(1+0.00023125256064071564)))</f>
        <v/>
      </c>
      <c r="P95">
        <f>IF(G95=1,IF(H94=0,1,ABS(0.2-J94*B95/I95)+ABS(0.2-K94*C95/I95)+ABS(0.2-L94*D95/I95)+ABS(0.2-M94*E95/I95)+ABS(0.2-N94*F95/I95)),0)</f>
        <v/>
      </c>
      <c r="Q95">
        <f>P95*0.0015</f>
        <v/>
      </c>
      <c r="R95">
        <f>I95*(1-Q95)</f>
        <v/>
      </c>
      <c r="S95">
        <f>R95/R94-1</f>
        <v/>
      </c>
      <c r="T95">
        <f>MAX(T94,R95)</f>
        <v/>
      </c>
      <c r="U95">
        <f>R95/T95-1</f>
        <v/>
      </c>
      <c r="V95" t="n">
        <v>1.269276844689795</v>
      </c>
      <c r="W95" s="5">
        <f>R95-V95</f>
        <v/>
      </c>
    </row>
    <row r="96">
      <c r="A96" s="3" t="n">
        <v>38576</v>
      </c>
      <c r="B96">
        <f>Prices!B96</f>
        <v/>
      </c>
      <c r="C96">
        <f>Prices!C96</f>
        <v/>
      </c>
      <c r="D96">
        <f>Prices!D96</f>
        <v/>
      </c>
      <c r="E96">
        <f>Prices!E96</f>
        <v/>
      </c>
      <c r="F96">
        <f>Prices!F96</f>
        <v/>
      </c>
      <c r="G96">
        <f>IF(AND(94&gt;=16,TEXT(A96,"yyyy-mm")&lt;&gt;TEXT(A97,"yyyy-mm")),1,0)</f>
        <v/>
      </c>
      <c r="H96">
        <f>IF(OR(H95=1,G96=1),1,0)</f>
        <v/>
      </c>
      <c r="I96">
        <f>IF(H95=0,1,SUMPRODUCT(J95:N95,B96:F96)+O95*(1+0.00023125256064071564))</f>
        <v/>
      </c>
      <c r="J96">
        <f>IF(G96=1,0.2*R96/B96,J95)</f>
        <v/>
      </c>
      <c r="K96">
        <f>IF(G96=1,0.2*R96/C96,K95)</f>
        <v/>
      </c>
      <c r="L96">
        <f>IF(G96=1,0.2*R96/D96,L95)</f>
        <v/>
      </c>
      <c r="M96">
        <f>IF(G96=1,0.2*R96/E96,M95)</f>
        <v/>
      </c>
      <c r="N96">
        <f>IF(G96=1,0.2*R96/F96,N95)</f>
        <v/>
      </c>
      <c r="O96">
        <f>IF(G96=1,R96*(1-1.0),IF(H95=0,1,O95*(1+0.00023125256064071564)))</f>
        <v/>
      </c>
      <c r="P96">
        <f>IF(G96=1,IF(H95=0,1,ABS(0.2-J95*B96/I96)+ABS(0.2-K95*C96/I96)+ABS(0.2-L95*D96/I96)+ABS(0.2-M95*E96/I96)+ABS(0.2-N95*F96/I96)),0)</f>
        <v/>
      </c>
      <c r="Q96">
        <f>P96*0.0015</f>
        <v/>
      </c>
      <c r="R96">
        <f>I96*(1-Q96)</f>
        <v/>
      </c>
      <c r="S96">
        <f>R96/R95-1</f>
        <v/>
      </c>
      <c r="T96">
        <f>MAX(T95,R96)</f>
        <v/>
      </c>
      <c r="U96">
        <f>R96/T96-1</f>
        <v/>
      </c>
      <c r="V96" t="n">
        <v>1.273772840509117</v>
      </c>
      <c r="W96" s="5">
        <f>R96-V96</f>
        <v/>
      </c>
    </row>
    <row r="97">
      <c r="A97" s="3" t="n">
        <v>38580</v>
      </c>
      <c r="B97">
        <f>Prices!B97</f>
        <v/>
      </c>
      <c r="C97">
        <f>Prices!C97</f>
        <v/>
      </c>
      <c r="D97">
        <f>Prices!D97</f>
        <v/>
      </c>
      <c r="E97">
        <f>Prices!E97</f>
        <v/>
      </c>
      <c r="F97">
        <f>Prices!F97</f>
        <v/>
      </c>
      <c r="G97">
        <f>IF(AND(95&gt;=16,TEXT(A97,"yyyy-mm")&lt;&gt;TEXT(A98,"yyyy-mm")),1,0)</f>
        <v/>
      </c>
      <c r="H97">
        <f>IF(OR(H96=1,G97=1),1,0)</f>
        <v/>
      </c>
      <c r="I97">
        <f>IF(H96=0,1,SUMPRODUCT(J96:N96,B97:F97)+O96*(1+0.00023125256064071564))</f>
        <v/>
      </c>
      <c r="J97">
        <f>IF(G97=1,0.2*R97/B97,J96)</f>
        <v/>
      </c>
      <c r="K97">
        <f>IF(G97=1,0.2*R97/C97,K96)</f>
        <v/>
      </c>
      <c r="L97">
        <f>IF(G97=1,0.2*R97/D97,L96)</f>
        <v/>
      </c>
      <c r="M97">
        <f>IF(G97=1,0.2*R97/E97,M96)</f>
        <v/>
      </c>
      <c r="N97">
        <f>IF(G97=1,0.2*R97/F97,N96)</f>
        <v/>
      </c>
      <c r="O97">
        <f>IF(G97=1,R97*(1-1.0),IF(H96=0,1,O96*(1+0.00023125256064071564)))</f>
        <v/>
      </c>
      <c r="P97">
        <f>IF(G97=1,IF(H96=0,1,ABS(0.2-J96*B97/I97)+ABS(0.2-K96*C97/I97)+ABS(0.2-L96*D97/I97)+ABS(0.2-M96*E97/I97)+ABS(0.2-N96*F97/I97)),0)</f>
        <v/>
      </c>
      <c r="Q97">
        <f>P97*0.0015</f>
        <v/>
      </c>
      <c r="R97">
        <f>I97*(1-Q97)</f>
        <v/>
      </c>
      <c r="S97">
        <f>R97/R96-1</f>
        <v/>
      </c>
      <c r="T97">
        <f>MAX(T96,R97)</f>
        <v/>
      </c>
      <c r="U97">
        <f>R97/T97-1</f>
        <v/>
      </c>
      <c r="V97" t="n">
        <v>1.283791111088118</v>
      </c>
      <c r="W97" s="5">
        <f>R97-V97</f>
        <v/>
      </c>
    </row>
    <row r="98">
      <c r="A98" s="3" t="n">
        <v>38581</v>
      </c>
      <c r="B98">
        <f>Prices!B98</f>
        <v/>
      </c>
      <c r="C98">
        <f>Prices!C98</f>
        <v/>
      </c>
      <c r="D98">
        <f>Prices!D98</f>
        <v/>
      </c>
      <c r="E98">
        <f>Prices!E98</f>
        <v/>
      </c>
      <c r="F98">
        <f>Prices!F98</f>
        <v/>
      </c>
      <c r="G98">
        <f>IF(AND(96&gt;=16,TEXT(A98,"yyyy-mm")&lt;&gt;TEXT(A99,"yyyy-mm")),1,0)</f>
        <v/>
      </c>
      <c r="H98">
        <f>IF(OR(H97=1,G98=1),1,0)</f>
        <v/>
      </c>
      <c r="I98">
        <f>IF(H97=0,1,SUMPRODUCT(J97:N97,B98:F98)+O97*(1+0.00023125256064071564))</f>
        <v/>
      </c>
      <c r="J98">
        <f>IF(G98=1,0.2*R98/B98,J97)</f>
        <v/>
      </c>
      <c r="K98">
        <f>IF(G98=1,0.2*R98/C98,K97)</f>
        <v/>
      </c>
      <c r="L98">
        <f>IF(G98=1,0.2*R98/D98,L97)</f>
        <v/>
      </c>
      <c r="M98">
        <f>IF(G98=1,0.2*R98/E98,M97)</f>
        <v/>
      </c>
      <c r="N98">
        <f>IF(G98=1,0.2*R98/F98,N97)</f>
        <v/>
      </c>
      <c r="O98">
        <f>IF(G98=1,R98*(1-1.0),IF(H97=0,1,O97*(1+0.00023125256064071564)))</f>
        <v/>
      </c>
      <c r="P98">
        <f>IF(G98=1,IF(H97=0,1,ABS(0.2-J97*B98/I98)+ABS(0.2-K97*C98/I98)+ABS(0.2-L97*D98/I98)+ABS(0.2-M97*E98/I98)+ABS(0.2-N97*F98/I98)),0)</f>
        <v/>
      </c>
      <c r="Q98">
        <f>P98*0.0015</f>
        <v/>
      </c>
      <c r="R98">
        <f>I98*(1-Q98)</f>
        <v/>
      </c>
      <c r="S98">
        <f>R98/R97-1</f>
        <v/>
      </c>
      <c r="T98">
        <f>MAX(T97,R98)</f>
        <v/>
      </c>
      <c r="U98">
        <f>R98/T98-1</f>
        <v/>
      </c>
      <c r="V98" t="n">
        <v>1.297996128062501</v>
      </c>
      <c r="W98" s="5">
        <f>R98-V98</f>
        <v/>
      </c>
    </row>
    <row r="99">
      <c r="A99" s="3" t="n">
        <v>38582</v>
      </c>
      <c r="B99">
        <f>Prices!B99</f>
        <v/>
      </c>
      <c r="C99">
        <f>Prices!C99</f>
        <v/>
      </c>
      <c r="D99">
        <f>Prices!D99</f>
        <v/>
      </c>
      <c r="E99">
        <f>Prices!E99</f>
        <v/>
      </c>
      <c r="F99">
        <f>Prices!F99</f>
        <v/>
      </c>
      <c r="G99">
        <f>IF(AND(97&gt;=16,TEXT(A99,"yyyy-mm")&lt;&gt;TEXT(A100,"yyyy-mm")),1,0)</f>
        <v/>
      </c>
      <c r="H99">
        <f>IF(OR(H98=1,G99=1),1,0)</f>
        <v/>
      </c>
      <c r="I99">
        <f>IF(H98=0,1,SUMPRODUCT(J98:N98,B99:F99)+O98*(1+0.00023125256064071564))</f>
        <v/>
      </c>
      <c r="J99">
        <f>IF(G99=1,0.2*R99/B99,J98)</f>
        <v/>
      </c>
      <c r="K99">
        <f>IF(G99=1,0.2*R99/C99,K98)</f>
        <v/>
      </c>
      <c r="L99">
        <f>IF(G99=1,0.2*R99/D99,L98)</f>
        <v/>
      </c>
      <c r="M99">
        <f>IF(G99=1,0.2*R99/E99,M98)</f>
        <v/>
      </c>
      <c r="N99">
        <f>IF(G99=1,0.2*R99/F99,N98)</f>
        <v/>
      </c>
      <c r="O99">
        <f>IF(G99=1,R99*(1-1.0),IF(H98=0,1,O98*(1+0.00023125256064071564)))</f>
        <v/>
      </c>
      <c r="P99">
        <f>IF(G99=1,IF(H98=0,1,ABS(0.2-J98*B99/I99)+ABS(0.2-K98*C99/I99)+ABS(0.2-L98*D99/I99)+ABS(0.2-M98*E99/I99)+ABS(0.2-N98*F99/I99)),0)</f>
        <v/>
      </c>
      <c r="Q99">
        <f>P99*0.0015</f>
        <v/>
      </c>
      <c r="R99">
        <f>I99*(1-Q99)</f>
        <v/>
      </c>
      <c r="S99">
        <f>R99/R98-1</f>
        <v/>
      </c>
      <c r="T99">
        <f>MAX(T98,R99)</f>
        <v/>
      </c>
      <c r="U99">
        <f>R99/T99-1</f>
        <v/>
      </c>
      <c r="V99" t="n">
        <v>1.289253818681745</v>
      </c>
      <c r="W99" s="5">
        <f>R99-V99</f>
        <v/>
      </c>
    </row>
    <row r="100">
      <c r="A100" s="3" t="n">
        <v>38583</v>
      </c>
      <c r="B100">
        <f>Prices!B100</f>
        <v/>
      </c>
      <c r="C100">
        <f>Prices!C100</f>
        <v/>
      </c>
      <c r="D100">
        <f>Prices!D100</f>
        <v/>
      </c>
      <c r="E100">
        <f>Prices!E100</f>
        <v/>
      </c>
      <c r="F100">
        <f>Prices!F100</f>
        <v/>
      </c>
      <c r="G100">
        <f>IF(AND(98&gt;=16,TEXT(A100,"yyyy-mm")&lt;&gt;TEXT(A101,"yyyy-mm")),1,0)</f>
        <v/>
      </c>
      <c r="H100">
        <f>IF(OR(H99=1,G100=1),1,0)</f>
        <v/>
      </c>
      <c r="I100">
        <f>IF(H99=0,1,SUMPRODUCT(J99:N99,B100:F100)+O99*(1+0.00023125256064071564))</f>
        <v/>
      </c>
      <c r="J100">
        <f>IF(G100=1,0.2*R100/B100,J99)</f>
        <v/>
      </c>
      <c r="K100">
        <f>IF(G100=1,0.2*R100/C100,K99)</f>
        <v/>
      </c>
      <c r="L100">
        <f>IF(G100=1,0.2*R100/D100,L99)</f>
        <v/>
      </c>
      <c r="M100">
        <f>IF(G100=1,0.2*R100/E100,M99)</f>
        <v/>
      </c>
      <c r="N100">
        <f>IF(G100=1,0.2*R100/F100,N99)</f>
        <v/>
      </c>
      <c r="O100">
        <f>IF(G100=1,R100*(1-1.0),IF(H99=0,1,O99*(1+0.00023125256064071564)))</f>
        <v/>
      </c>
      <c r="P100">
        <f>IF(G100=1,IF(H99=0,1,ABS(0.2-J99*B100/I100)+ABS(0.2-K99*C100/I100)+ABS(0.2-L99*D100/I100)+ABS(0.2-M99*E100/I100)+ABS(0.2-N99*F100/I100)),0)</f>
        <v/>
      </c>
      <c r="Q100">
        <f>P100*0.0015</f>
        <v/>
      </c>
      <c r="R100">
        <f>I100*(1-Q100)</f>
        <v/>
      </c>
      <c r="S100">
        <f>R100/R99-1</f>
        <v/>
      </c>
      <c r="T100">
        <f>MAX(T99,R100)</f>
        <v/>
      </c>
      <c r="U100">
        <f>R100/T100-1</f>
        <v/>
      </c>
      <c r="V100" t="n">
        <v>1.29099226861572</v>
      </c>
      <c r="W100" s="5">
        <f>R100-V100</f>
        <v/>
      </c>
    </row>
    <row r="101">
      <c r="A101" s="3" t="n">
        <v>38586</v>
      </c>
      <c r="B101">
        <f>Prices!B101</f>
        <v/>
      </c>
      <c r="C101">
        <f>Prices!C101</f>
        <v/>
      </c>
      <c r="D101">
        <f>Prices!D101</f>
        <v/>
      </c>
      <c r="E101">
        <f>Prices!E101</f>
        <v/>
      </c>
      <c r="F101">
        <f>Prices!F101</f>
        <v/>
      </c>
      <c r="G101">
        <f>IF(AND(99&gt;=16,TEXT(A101,"yyyy-mm")&lt;&gt;TEXT(A102,"yyyy-mm")),1,0)</f>
        <v/>
      </c>
      <c r="H101">
        <f>IF(OR(H100=1,G101=1),1,0)</f>
        <v/>
      </c>
      <c r="I101">
        <f>IF(H100=0,1,SUMPRODUCT(J100:N100,B101:F101)+O100*(1+0.00023125256064071564))</f>
        <v/>
      </c>
      <c r="J101">
        <f>IF(G101=1,0.2*R101/B101,J100)</f>
        <v/>
      </c>
      <c r="K101">
        <f>IF(G101=1,0.2*R101/C101,K100)</f>
        <v/>
      </c>
      <c r="L101">
        <f>IF(G101=1,0.2*R101/D101,L100)</f>
        <v/>
      </c>
      <c r="M101">
        <f>IF(G101=1,0.2*R101/E101,M100)</f>
        <v/>
      </c>
      <c r="N101">
        <f>IF(G101=1,0.2*R101/F101,N100)</f>
        <v/>
      </c>
      <c r="O101">
        <f>IF(G101=1,R101*(1-1.0),IF(H100=0,1,O100*(1+0.00023125256064071564)))</f>
        <v/>
      </c>
      <c r="P101">
        <f>IF(G101=1,IF(H100=0,1,ABS(0.2-J100*B101/I101)+ABS(0.2-K100*C101/I101)+ABS(0.2-L100*D101/I101)+ABS(0.2-M100*E101/I101)+ABS(0.2-N100*F101/I101)),0)</f>
        <v/>
      </c>
      <c r="Q101">
        <f>P101*0.0015</f>
        <v/>
      </c>
      <c r="R101">
        <f>I101*(1-Q101)</f>
        <v/>
      </c>
      <c r="S101">
        <f>R101/R100-1</f>
        <v/>
      </c>
      <c r="T101">
        <f>MAX(T100,R101)</f>
        <v/>
      </c>
      <c r="U101">
        <f>R101/T101-1</f>
        <v/>
      </c>
      <c r="V101" t="n">
        <v>1.293199512099947</v>
      </c>
      <c r="W101" s="5">
        <f>R101-V101</f>
        <v/>
      </c>
    </row>
    <row r="102">
      <c r="A102" s="3" t="n">
        <v>38587</v>
      </c>
      <c r="B102">
        <f>Prices!B102</f>
        <v/>
      </c>
      <c r="C102">
        <f>Prices!C102</f>
        <v/>
      </c>
      <c r="D102">
        <f>Prices!D102</f>
        <v/>
      </c>
      <c r="E102">
        <f>Prices!E102</f>
        <v/>
      </c>
      <c r="F102">
        <f>Prices!F102</f>
        <v/>
      </c>
      <c r="G102">
        <f>IF(AND(100&gt;=16,TEXT(A102,"yyyy-mm")&lt;&gt;TEXT(A103,"yyyy-mm")),1,0)</f>
        <v/>
      </c>
      <c r="H102">
        <f>IF(OR(H101=1,G102=1),1,0)</f>
        <v/>
      </c>
      <c r="I102">
        <f>IF(H101=0,1,SUMPRODUCT(J101:N101,B102:F102)+O101*(1+0.00023125256064071564))</f>
        <v/>
      </c>
      <c r="J102">
        <f>IF(G102=1,0.2*R102/B102,J101)</f>
        <v/>
      </c>
      <c r="K102">
        <f>IF(G102=1,0.2*R102/C102,K101)</f>
        <v/>
      </c>
      <c r="L102">
        <f>IF(G102=1,0.2*R102/D102,L101)</f>
        <v/>
      </c>
      <c r="M102">
        <f>IF(G102=1,0.2*R102/E102,M101)</f>
        <v/>
      </c>
      <c r="N102">
        <f>IF(G102=1,0.2*R102/F102,N101)</f>
        <v/>
      </c>
      <c r="O102">
        <f>IF(G102=1,R102*(1-1.0),IF(H101=0,1,O101*(1+0.00023125256064071564)))</f>
        <v/>
      </c>
      <c r="P102">
        <f>IF(G102=1,IF(H101=0,1,ABS(0.2-J101*B102/I102)+ABS(0.2-K101*C102/I102)+ABS(0.2-L101*D102/I102)+ABS(0.2-M101*E102/I102)+ABS(0.2-N101*F102/I102)),0)</f>
        <v/>
      </c>
      <c r="Q102">
        <f>P102*0.0015</f>
        <v/>
      </c>
      <c r="R102">
        <f>I102*(1-Q102)</f>
        <v/>
      </c>
      <c r="S102">
        <f>R102/R101-1</f>
        <v/>
      </c>
      <c r="T102">
        <f>MAX(T101,R102)</f>
        <v/>
      </c>
      <c r="U102">
        <f>R102/T102-1</f>
        <v/>
      </c>
      <c r="V102" t="n">
        <v>1.262671713546727</v>
      </c>
      <c r="W102" s="5">
        <f>R102-V102</f>
        <v/>
      </c>
    </row>
    <row r="103">
      <c r="A103" s="3" t="n">
        <v>38588</v>
      </c>
      <c r="B103">
        <f>Prices!B103</f>
        <v/>
      </c>
      <c r="C103">
        <f>Prices!C103</f>
        <v/>
      </c>
      <c r="D103">
        <f>Prices!D103</f>
        <v/>
      </c>
      <c r="E103">
        <f>Prices!E103</f>
        <v/>
      </c>
      <c r="F103">
        <f>Prices!F103</f>
        <v/>
      </c>
      <c r="G103">
        <f>IF(AND(101&gt;=16,TEXT(A103,"yyyy-mm")&lt;&gt;TEXT(A104,"yyyy-mm")),1,0)</f>
        <v/>
      </c>
      <c r="H103">
        <f>IF(OR(H102=1,G103=1),1,0)</f>
        <v/>
      </c>
      <c r="I103">
        <f>IF(H102=0,1,SUMPRODUCT(J102:N102,B103:F103)+O102*(1+0.00023125256064071564))</f>
        <v/>
      </c>
      <c r="J103">
        <f>IF(G103=1,0.2*R103/B103,J102)</f>
        <v/>
      </c>
      <c r="K103">
        <f>IF(G103=1,0.2*R103/C103,K102)</f>
        <v/>
      </c>
      <c r="L103">
        <f>IF(G103=1,0.2*R103/D103,L102)</f>
        <v/>
      </c>
      <c r="M103">
        <f>IF(G103=1,0.2*R103/E103,M102)</f>
        <v/>
      </c>
      <c r="N103">
        <f>IF(G103=1,0.2*R103/F103,N102)</f>
        <v/>
      </c>
      <c r="O103">
        <f>IF(G103=1,R103*(1-1.0),IF(H102=0,1,O102*(1+0.00023125256064071564)))</f>
        <v/>
      </c>
      <c r="P103">
        <f>IF(G103=1,IF(H102=0,1,ABS(0.2-J102*B103/I103)+ABS(0.2-K102*C103/I103)+ABS(0.2-L102*D103/I103)+ABS(0.2-M102*E103/I103)+ABS(0.2-N102*F103/I103)),0)</f>
        <v/>
      </c>
      <c r="Q103">
        <f>P103*0.0015</f>
        <v/>
      </c>
      <c r="R103">
        <f>I103*(1-Q103)</f>
        <v/>
      </c>
      <c r="S103">
        <f>R103/R102-1</f>
        <v/>
      </c>
      <c r="T103">
        <f>MAX(T102,R103)</f>
        <v/>
      </c>
      <c r="U103">
        <f>R103/T103-1</f>
        <v/>
      </c>
      <c r="V103" t="n">
        <v>1.246831152128781</v>
      </c>
      <c r="W103" s="5">
        <f>R103-V103</f>
        <v/>
      </c>
    </row>
    <row r="104">
      <c r="A104" s="3" t="n">
        <v>38589</v>
      </c>
      <c r="B104">
        <f>Prices!B104</f>
        <v/>
      </c>
      <c r="C104">
        <f>Prices!C104</f>
        <v/>
      </c>
      <c r="D104">
        <f>Prices!D104</f>
        <v/>
      </c>
      <c r="E104">
        <f>Prices!E104</f>
        <v/>
      </c>
      <c r="F104">
        <f>Prices!F104</f>
        <v/>
      </c>
      <c r="G104">
        <f>IF(AND(102&gt;=16,TEXT(A104,"yyyy-mm")&lt;&gt;TEXT(A105,"yyyy-mm")),1,0)</f>
        <v/>
      </c>
      <c r="H104">
        <f>IF(OR(H103=1,G104=1),1,0)</f>
        <v/>
      </c>
      <c r="I104">
        <f>IF(H103=0,1,SUMPRODUCT(J103:N103,B104:F104)+O103*(1+0.00023125256064071564))</f>
        <v/>
      </c>
      <c r="J104">
        <f>IF(G104=1,0.2*R104/B104,J103)</f>
        <v/>
      </c>
      <c r="K104">
        <f>IF(G104=1,0.2*R104/C104,K103)</f>
        <v/>
      </c>
      <c r="L104">
        <f>IF(G104=1,0.2*R104/D104,L103)</f>
        <v/>
      </c>
      <c r="M104">
        <f>IF(G104=1,0.2*R104/E104,M103)</f>
        <v/>
      </c>
      <c r="N104">
        <f>IF(G104=1,0.2*R104/F104,N103)</f>
        <v/>
      </c>
      <c r="O104">
        <f>IF(G104=1,R104*(1-1.0),IF(H103=0,1,O103*(1+0.00023125256064071564)))</f>
        <v/>
      </c>
      <c r="P104">
        <f>IF(G104=1,IF(H103=0,1,ABS(0.2-J103*B104/I104)+ABS(0.2-K103*C104/I104)+ABS(0.2-L103*D104/I104)+ABS(0.2-M103*E104/I104)+ABS(0.2-N103*F104/I104)),0)</f>
        <v/>
      </c>
      <c r="Q104">
        <f>P104*0.0015</f>
        <v/>
      </c>
      <c r="R104">
        <f>I104*(1-Q104)</f>
        <v/>
      </c>
      <c r="S104">
        <f>R104/R103-1</f>
        <v/>
      </c>
      <c r="T104">
        <f>MAX(T103,R104)</f>
        <v/>
      </c>
      <c r="U104">
        <f>R104/T104-1</f>
        <v/>
      </c>
      <c r="V104" t="n">
        <v>1.261977812923153</v>
      </c>
      <c r="W104" s="5">
        <f>R104-V104</f>
        <v/>
      </c>
    </row>
    <row r="105">
      <c r="A105" s="3" t="n">
        <v>38590</v>
      </c>
      <c r="B105">
        <f>Prices!B105</f>
        <v/>
      </c>
      <c r="C105">
        <f>Prices!C105</f>
        <v/>
      </c>
      <c r="D105">
        <f>Prices!D105</f>
        <v/>
      </c>
      <c r="E105">
        <f>Prices!E105</f>
        <v/>
      </c>
      <c r="F105">
        <f>Prices!F105</f>
        <v/>
      </c>
      <c r="G105">
        <f>IF(AND(103&gt;=16,TEXT(A105,"yyyy-mm")&lt;&gt;TEXT(A106,"yyyy-mm")),1,0)</f>
        <v/>
      </c>
      <c r="H105">
        <f>IF(OR(H104=1,G105=1),1,0)</f>
        <v/>
      </c>
      <c r="I105">
        <f>IF(H104=0,1,SUMPRODUCT(J104:N104,B105:F105)+O104*(1+0.00023125256064071564))</f>
        <v/>
      </c>
      <c r="J105">
        <f>IF(G105=1,0.2*R105/B105,J104)</f>
        <v/>
      </c>
      <c r="K105">
        <f>IF(G105=1,0.2*R105/C105,K104)</f>
        <v/>
      </c>
      <c r="L105">
        <f>IF(G105=1,0.2*R105/D105,L104)</f>
        <v/>
      </c>
      <c r="M105">
        <f>IF(G105=1,0.2*R105/E105,M104)</f>
        <v/>
      </c>
      <c r="N105">
        <f>IF(G105=1,0.2*R105/F105,N104)</f>
        <v/>
      </c>
      <c r="O105">
        <f>IF(G105=1,R105*(1-1.0),IF(H104=0,1,O104*(1+0.00023125256064071564)))</f>
        <v/>
      </c>
      <c r="P105">
        <f>IF(G105=1,IF(H104=0,1,ABS(0.2-J104*B105/I105)+ABS(0.2-K104*C105/I105)+ABS(0.2-L104*D105/I105)+ABS(0.2-M104*E105/I105)+ABS(0.2-N104*F105/I105)),0)</f>
        <v/>
      </c>
      <c r="Q105">
        <f>P105*0.0015</f>
        <v/>
      </c>
      <c r="R105">
        <f>I105*(1-Q105)</f>
        <v/>
      </c>
      <c r="S105">
        <f>R105/R104-1</f>
        <v/>
      </c>
      <c r="T105">
        <f>MAX(T104,R105)</f>
        <v/>
      </c>
      <c r="U105">
        <f>R105/T105-1</f>
        <v/>
      </c>
      <c r="V105" t="n">
        <v>1.279517299424678</v>
      </c>
      <c r="W105" s="5">
        <f>R105-V105</f>
        <v/>
      </c>
    </row>
    <row r="106">
      <c r="A106" s="3" t="n">
        <v>38593</v>
      </c>
      <c r="B106">
        <f>Prices!B106</f>
        <v/>
      </c>
      <c r="C106">
        <f>Prices!C106</f>
        <v/>
      </c>
      <c r="D106">
        <f>Prices!D106</f>
        <v/>
      </c>
      <c r="E106">
        <f>Prices!E106</f>
        <v/>
      </c>
      <c r="F106">
        <f>Prices!F106</f>
        <v/>
      </c>
      <c r="G106">
        <f>IF(AND(104&gt;=16,TEXT(A106,"yyyy-mm")&lt;&gt;TEXT(A107,"yyyy-mm")),1,0)</f>
        <v/>
      </c>
      <c r="H106">
        <f>IF(OR(H105=1,G106=1),1,0)</f>
        <v/>
      </c>
      <c r="I106">
        <f>IF(H105=0,1,SUMPRODUCT(J105:N105,B106:F106)+O105*(1+0.00023125256064071564))</f>
        <v/>
      </c>
      <c r="J106">
        <f>IF(G106=1,0.2*R106/B106,J105)</f>
        <v/>
      </c>
      <c r="K106">
        <f>IF(G106=1,0.2*R106/C106,K105)</f>
        <v/>
      </c>
      <c r="L106">
        <f>IF(G106=1,0.2*R106/D106,L105)</f>
        <v/>
      </c>
      <c r="M106">
        <f>IF(G106=1,0.2*R106/E106,M105)</f>
        <v/>
      </c>
      <c r="N106">
        <f>IF(G106=1,0.2*R106/F106,N105)</f>
        <v/>
      </c>
      <c r="O106">
        <f>IF(G106=1,R106*(1-1.0),IF(H105=0,1,O105*(1+0.00023125256064071564)))</f>
        <v/>
      </c>
      <c r="P106">
        <f>IF(G106=1,IF(H105=0,1,ABS(0.2-J105*B106/I106)+ABS(0.2-K105*C106/I106)+ABS(0.2-L105*D106/I106)+ABS(0.2-M105*E106/I106)+ABS(0.2-N105*F106/I106)),0)</f>
        <v/>
      </c>
      <c r="Q106">
        <f>P106*0.0015</f>
        <v/>
      </c>
      <c r="R106">
        <f>I106*(1-Q106)</f>
        <v/>
      </c>
      <c r="S106">
        <f>R106/R105-1</f>
        <v/>
      </c>
      <c r="T106">
        <f>MAX(T105,R106)</f>
        <v/>
      </c>
      <c r="U106">
        <f>R106/T106-1</f>
        <v/>
      </c>
      <c r="V106" t="n">
        <v>1.274595145242693</v>
      </c>
      <c r="W106" s="5">
        <f>R106-V106</f>
        <v/>
      </c>
    </row>
    <row r="107">
      <c r="A107" s="3" t="n">
        <v>38594</v>
      </c>
      <c r="B107">
        <f>Prices!B107</f>
        <v/>
      </c>
      <c r="C107">
        <f>Prices!C107</f>
        <v/>
      </c>
      <c r="D107">
        <f>Prices!D107</f>
        <v/>
      </c>
      <c r="E107">
        <f>Prices!E107</f>
        <v/>
      </c>
      <c r="F107">
        <f>Prices!F107</f>
        <v/>
      </c>
      <c r="G107">
        <f>IF(AND(105&gt;=16,TEXT(A107,"yyyy-mm")&lt;&gt;TEXT(A108,"yyyy-mm")),1,0)</f>
        <v/>
      </c>
      <c r="H107">
        <f>IF(OR(H106=1,G107=1),1,0)</f>
        <v/>
      </c>
      <c r="I107">
        <f>IF(H106=0,1,SUMPRODUCT(J106:N106,B107:F107)+O106*(1+0.00023125256064071564))</f>
        <v/>
      </c>
      <c r="J107">
        <f>IF(G107=1,0.2*R107/B107,J106)</f>
        <v/>
      </c>
      <c r="K107">
        <f>IF(G107=1,0.2*R107/C107,K106)</f>
        <v/>
      </c>
      <c r="L107">
        <f>IF(G107=1,0.2*R107/D107,L106)</f>
        <v/>
      </c>
      <c r="M107">
        <f>IF(G107=1,0.2*R107/E107,M106)</f>
        <v/>
      </c>
      <c r="N107">
        <f>IF(G107=1,0.2*R107/F107,N106)</f>
        <v/>
      </c>
      <c r="O107">
        <f>IF(G107=1,R107*(1-1.0),IF(H106=0,1,O106*(1+0.00023125256064071564)))</f>
        <v/>
      </c>
      <c r="P107">
        <f>IF(G107=1,IF(H106=0,1,ABS(0.2-J106*B107/I107)+ABS(0.2-K106*C107/I107)+ABS(0.2-L106*D107/I107)+ABS(0.2-M106*E107/I107)+ABS(0.2-N106*F107/I107)),0)</f>
        <v/>
      </c>
      <c r="Q107">
        <f>P107*0.0015</f>
        <v/>
      </c>
      <c r="R107">
        <f>I107*(1-Q107)</f>
        <v/>
      </c>
      <c r="S107">
        <f>R107/R106-1</f>
        <v/>
      </c>
      <c r="T107">
        <f>MAX(T106,R107)</f>
        <v/>
      </c>
      <c r="U107">
        <f>R107/T107-1</f>
        <v/>
      </c>
      <c r="V107" t="n">
        <v>1.293773086289022</v>
      </c>
      <c r="W107" s="5">
        <f>R107-V107</f>
        <v/>
      </c>
    </row>
    <row r="108">
      <c r="A108" s="3" t="n">
        <v>38595</v>
      </c>
      <c r="B108">
        <f>Prices!B108</f>
        <v/>
      </c>
      <c r="C108">
        <f>Prices!C108</f>
        <v/>
      </c>
      <c r="D108">
        <f>Prices!D108</f>
        <v/>
      </c>
      <c r="E108">
        <f>Prices!E108</f>
        <v/>
      </c>
      <c r="F108">
        <f>Prices!F108</f>
        <v/>
      </c>
      <c r="G108">
        <f>IF(AND(106&gt;=16,TEXT(A108,"yyyy-mm")&lt;&gt;TEXT(A109,"yyyy-mm")),1,0)</f>
        <v/>
      </c>
      <c r="H108">
        <f>IF(OR(H107=1,G108=1),1,0)</f>
        <v/>
      </c>
      <c r="I108">
        <f>IF(H107=0,1,SUMPRODUCT(J107:N107,B108:F108)+O107*(1+0.00023125256064071564))</f>
        <v/>
      </c>
      <c r="J108">
        <f>IF(G108=1,0.2*R108/B108,J107)</f>
        <v/>
      </c>
      <c r="K108">
        <f>IF(G108=1,0.2*R108/C108,K107)</f>
        <v/>
      </c>
      <c r="L108">
        <f>IF(G108=1,0.2*R108/D108,L107)</f>
        <v/>
      </c>
      <c r="M108">
        <f>IF(G108=1,0.2*R108/E108,M107)</f>
        <v/>
      </c>
      <c r="N108">
        <f>IF(G108=1,0.2*R108/F108,N107)</f>
        <v/>
      </c>
      <c r="O108">
        <f>IF(G108=1,R108*(1-1.0),IF(H107=0,1,O107*(1+0.00023125256064071564)))</f>
        <v/>
      </c>
      <c r="P108">
        <f>IF(G108=1,IF(H107=0,1,ABS(0.2-J107*B108/I108)+ABS(0.2-K107*C108/I108)+ABS(0.2-L107*D108/I108)+ABS(0.2-M107*E108/I108)+ABS(0.2-N107*F108/I108)),0)</f>
        <v/>
      </c>
      <c r="Q108">
        <f>P108*0.0015</f>
        <v/>
      </c>
      <c r="R108">
        <f>I108*(1-Q108)</f>
        <v/>
      </c>
      <c r="S108">
        <f>R108/R107-1</f>
        <v/>
      </c>
      <c r="T108">
        <f>MAX(T107,R108)</f>
        <v/>
      </c>
      <c r="U108">
        <f>R108/T108-1</f>
        <v/>
      </c>
      <c r="V108" t="n">
        <v>1.304580185263099</v>
      </c>
      <c r="W108" s="5">
        <f>R108-V108</f>
        <v/>
      </c>
    </row>
    <row r="109">
      <c r="A109" s="3" t="n">
        <v>38596</v>
      </c>
      <c r="B109">
        <f>Prices!B109</f>
        <v/>
      </c>
      <c r="C109">
        <f>Prices!C109</f>
        <v/>
      </c>
      <c r="D109">
        <f>Prices!D109</f>
        <v/>
      </c>
      <c r="E109">
        <f>Prices!E109</f>
        <v/>
      </c>
      <c r="F109">
        <f>Prices!F109</f>
        <v/>
      </c>
      <c r="G109">
        <f>IF(AND(107&gt;=16,TEXT(A109,"yyyy-mm")&lt;&gt;TEXT(A110,"yyyy-mm")),1,0)</f>
        <v/>
      </c>
      <c r="H109">
        <f>IF(OR(H108=1,G109=1),1,0)</f>
        <v/>
      </c>
      <c r="I109">
        <f>IF(H108=0,1,SUMPRODUCT(J108:N108,B109:F109)+O108*(1+0.00023125256064071564))</f>
        <v/>
      </c>
      <c r="J109">
        <f>IF(G109=1,0.2*R109/B109,J108)</f>
        <v/>
      </c>
      <c r="K109">
        <f>IF(G109=1,0.2*R109/C109,K108)</f>
        <v/>
      </c>
      <c r="L109">
        <f>IF(G109=1,0.2*R109/D109,L108)</f>
        <v/>
      </c>
      <c r="M109">
        <f>IF(G109=1,0.2*R109/E109,M108)</f>
        <v/>
      </c>
      <c r="N109">
        <f>IF(G109=1,0.2*R109/F109,N108)</f>
        <v/>
      </c>
      <c r="O109">
        <f>IF(G109=1,R109*(1-1.0),IF(H108=0,1,O108*(1+0.00023125256064071564)))</f>
        <v/>
      </c>
      <c r="P109">
        <f>IF(G109=1,IF(H108=0,1,ABS(0.2-J108*B109/I109)+ABS(0.2-K108*C109/I109)+ABS(0.2-L108*D109/I109)+ABS(0.2-M108*E109/I109)+ABS(0.2-N108*F109/I109)),0)</f>
        <v/>
      </c>
      <c r="Q109">
        <f>P109*0.0015</f>
        <v/>
      </c>
      <c r="R109">
        <f>I109*(1-Q109)</f>
        <v/>
      </c>
      <c r="S109">
        <f>R109/R108-1</f>
        <v/>
      </c>
      <c r="T109">
        <f>MAX(T108,R109)</f>
        <v/>
      </c>
      <c r="U109">
        <f>R109/T109-1</f>
        <v/>
      </c>
      <c r="V109" t="n">
        <v>1.316595065798488</v>
      </c>
      <c r="W109" s="5">
        <f>R109-V109</f>
        <v/>
      </c>
    </row>
    <row r="110">
      <c r="A110" s="3" t="n">
        <v>38597</v>
      </c>
      <c r="B110">
        <f>Prices!B110</f>
        <v/>
      </c>
      <c r="C110">
        <f>Prices!C110</f>
        <v/>
      </c>
      <c r="D110">
        <f>Prices!D110</f>
        <v/>
      </c>
      <c r="E110">
        <f>Prices!E110</f>
        <v/>
      </c>
      <c r="F110">
        <f>Prices!F110</f>
        <v/>
      </c>
      <c r="G110">
        <f>IF(AND(108&gt;=16,TEXT(A110,"yyyy-mm")&lt;&gt;TEXT(A111,"yyyy-mm")),1,0)</f>
        <v/>
      </c>
      <c r="H110">
        <f>IF(OR(H109=1,G110=1),1,0)</f>
        <v/>
      </c>
      <c r="I110">
        <f>IF(H109=0,1,SUMPRODUCT(J109:N109,B110:F110)+O109*(1+0.00023125256064071564))</f>
        <v/>
      </c>
      <c r="J110">
        <f>IF(G110=1,0.2*R110/B110,J109)</f>
        <v/>
      </c>
      <c r="K110">
        <f>IF(G110=1,0.2*R110/C110,K109)</f>
        <v/>
      </c>
      <c r="L110">
        <f>IF(G110=1,0.2*R110/D110,L109)</f>
        <v/>
      </c>
      <c r="M110">
        <f>IF(G110=1,0.2*R110/E110,M109)</f>
        <v/>
      </c>
      <c r="N110">
        <f>IF(G110=1,0.2*R110/F110,N109)</f>
        <v/>
      </c>
      <c r="O110">
        <f>IF(G110=1,R110*(1-1.0),IF(H109=0,1,O109*(1+0.00023125256064071564)))</f>
        <v/>
      </c>
      <c r="P110">
        <f>IF(G110=1,IF(H109=0,1,ABS(0.2-J109*B110/I110)+ABS(0.2-K109*C110/I110)+ABS(0.2-L109*D110/I110)+ABS(0.2-M109*E110/I110)+ABS(0.2-N109*F110/I110)),0)</f>
        <v/>
      </c>
      <c r="Q110">
        <f>P110*0.0015</f>
        <v/>
      </c>
      <c r="R110">
        <f>I110*(1-Q110)</f>
        <v/>
      </c>
      <c r="S110">
        <f>R110/R109-1</f>
        <v/>
      </c>
      <c r="T110">
        <f>MAX(T109,R110)</f>
        <v/>
      </c>
      <c r="U110">
        <f>R110/T110-1</f>
        <v/>
      </c>
      <c r="V110" t="n">
        <v>1.320594467168218</v>
      </c>
      <c r="W110" s="5">
        <f>R110-V110</f>
        <v/>
      </c>
    </row>
    <row r="111">
      <c r="A111" s="3" t="n">
        <v>38600</v>
      </c>
      <c r="B111">
        <f>Prices!B111</f>
        <v/>
      </c>
      <c r="C111">
        <f>Prices!C111</f>
        <v/>
      </c>
      <c r="D111">
        <f>Prices!D111</f>
        <v/>
      </c>
      <c r="E111">
        <f>Prices!E111</f>
        <v/>
      </c>
      <c r="F111">
        <f>Prices!F111</f>
        <v/>
      </c>
      <c r="G111">
        <f>IF(AND(109&gt;=16,TEXT(A111,"yyyy-mm")&lt;&gt;TEXT(A112,"yyyy-mm")),1,0)</f>
        <v/>
      </c>
      <c r="H111">
        <f>IF(OR(H110=1,G111=1),1,0)</f>
        <v/>
      </c>
      <c r="I111">
        <f>IF(H110=0,1,SUMPRODUCT(J110:N110,B111:F111)+O110*(1+0.00023125256064071564))</f>
        <v/>
      </c>
      <c r="J111">
        <f>IF(G111=1,0.2*R111/B111,J110)</f>
        <v/>
      </c>
      <c r="K111">
        <f>IF(G111=1,0.2*R111/C111,K110)</f>
        <v/>
      </c>
      <c r="L111">
        <f>IF(G111=1,0.2*R111/D111,L110)</f>
        <v/>
      </c>
      <c r="M111">
        <f>IF(G111=1,0.2*R111/E111,M110)</f>
        <v/>
      </c>
      <c r="N111">
        <f>IF(G111=1,0.2*R111/F111,N110)</f>
        <v/>
      </c>
      <c r="O111">
        <f>IF(G111=1,R111*(1-1.0),IF(H110=0,1,O110*(1+0.00023125256064071564)))</f>
        <v/>
      </c>
      <c r="P111">
        <f>IF(G111=1,IF(H110=0,1,ABS(0.2-J110*B111/I111)+ABS(0.2-K110*C111/I111)+ABS(0.2-L110*D111/I111)+ABS(0.2-M110*E111/I111)+ABS(0.2-N110*F111/I111)),0)</f>
        <v/>
      </c>
      <c r="Q111">
        <f>P111*0.0015</f>
        <v/>
      </c>
      <c r="R111">
        <f>I111*(1-Q111)</f>
        <v/>
      </c>
      <c r="S111">
        <f>R111/R110-1</f>
        <v/>
      </c>
      <c r="T111">
        <f>MAX(T110,R111)</f>
        <v/>
      </c>
      <c r="U111">
        <f>R111/T111-1</f>
        <v/>
      </c>
      <c r="V111" t="n">
        <v>1.326585352636695</v>
      </c>
      <c r="W111" s="5">
        <f>R111-V111</f>
        <v/>
      </c>
    </row>
    <row r="112">
      <c r="A112" s="3" t="n">
        <v>38601</v>
      </c>
      <c r="B112">
        <f>Prices!B112</f>
        <v/>
      </c>
      <c r="C112">
        <f>Prices!C112</f>
        <v/>
      </c>
      <c r="D112">
        <f>Prices!D112</f>
        <v/>
      </c>
      <c r="E112">
        <f>Prices!E112</f>
        <v/>
      </c>
      <c r="F112">
        <f>Prices!F112</f>
        <v/>
      </c>
      <c r="G112">
        <f>IF(AND(110&gt;=16,TEXT(A112,"yyyy-mm")&lt;&gt;TEXT(A113,"yyyy-mm")),1,0)</f>
        <v/>
      </c>
      <c r="H112">
        <f>IF(OR(H111=1,G112=1),1,0)</f>
        <v/>
      </c>
      <c r="I112">
        <f>IF(H111=0,1,SUMPRODUCT(J111:N111,B112:F112)+O111*(1+0.00023125256064071564))</f>
        <v/>
      </c>
      <c r="J112">
        <f>IF(G112=1,0.2*R112/B112,J111)</f>
        <v/>
      </c>
      <c r="K112">
        <f>IF(G112=1,0.2*R112/C112,K111)</f>
        <v/>
      </c>
      <c r="L112">
        <f>IF(G112=1,0.2*R112/D112,L111)</f>
        <v/>
      </c>
      <c r="M112">
        <f>IF(G112=1,0.2*R112/E112,M111)</f>
        <v/>
      </c>
      <c r="N112">
        <f>IF(G112=1,0.2*R112/F112,N111)</f>
        <v/>
      </c>
      <c r="O112">
        <f>IF(G112=1,R112*(1-1.0),IF(H111=0,1,O111*(1+0.00023125256064071564)))</f>
        <v/>
      </c>
      <c r="P112">
        <f>IF(G112=1,IF(H111=0,1,ABS(0.2-J111*B112/I112)+ABS(0.2-K111*C112/I112)+ABS(0.2-L111*D112/I112)+ABS(0.2-M111*E112/I112)+ABS(0.2-N111*F112/I112)),0)</f>
        <v/>
      </c>
      <c r="Q112">
        <f>P112*0.0015</f>
        <v/>
      </c>
      <c r="R112">
        <f>I112*(1-Q112)</f>
        <v/>
      </c>
      <c r="S112">
        <f>R112/R111-1</f>
        <v/>
      </c>
      <c r="T112">
        <f>MAX(T111,R112)</f>
        <v/>
      </c>
      <c r="U112">
        <f>R112/T112-1</f>
        <v/>
      </c>
      <c r="V112" t="n">
        <v>1.330365101547971</v>
      </c>
      <c r="W112" s="5">
        <f>R112-V112</f>
        <v/>
      </c>
    </row>
    <row r="113">
      <c r="A113" s="3" t="n">
        <v>38603</v>
      </c>
      <c r="B113">
        <f>Prices!B113</f>
        <v/>
      </c>
      <c r="C113">
        <f>Prices!C113</f>
        <v/>
      </c>
      <c r="D113">
        <f>Prices!D113</f>
        <v/>
      </c>
      <c r="E113">
        <f>Prices!E113</f>
        <v/>
      </c>
      <c r="F113">
        <f>Prices!F113</f>
        <v/>
      </c>
      <c r="G113">
        <f>IF(AND(111&gt;=16,TEXT(A113,"yyyy-mm")&lt;&gt;TEXT(A114,"yyyy-mm")),1,0)</f>
        <v/>
      </c>
      <c r="H113">
        <f>IF(OR(H112=1,G113=1),1,0)</f>
        <v/>
      </c>
      <c r="I113">
        <f>IF(H112=0,1,SUMPRODUCT(J112:N112,B113:F113)+O112*(1+0.00023125256064071564))</f>
        <v/>
      </c>
      <c r="J113">
        <f>IF(G113=1,0.2*R113/B113,J112)</f>
        <v/>
      </c>
      <c r="K113">
        <f>IF(G113=1,0.2*R113/C113,K112)</f>
        <v/>
      </c>
      <c r="L113">
        <f>IF(G113=1,0.2*R113/D113,L112)</f>
        <v/>
      </c>
      <c r="M113">
        <f>IF(G113=1,0.2*R113/E113,M112)</f>
        <v/>
      </c>
      <c r="N113">
        <f>IF(G113=1,0.2*R113/F113,N112)</f>
        <v/>
      </c>
      <c r="O113">
        <f>IF(G113=1,R113*(1-1.0),IF(H112=0,1,O112*(1+0.00023125256064071564)))</f>
        <v/>
      </c>
      <c r="P113">
        <f>IF(G113=1,IF(H112=0,1,ABS(0.2-J112*B113/I113)+ABS(0.2-K112*C113/I113)+ABS(0.2-L112*D113/I113)+ABS(0.2-M112*E113/I113)+ABS(0.2-N112*F113/I113)),0)</f>
        <v/>
      </c>
      <c r="Q113">
        <f>P113*0.0015</f>
        <v/>
      </c>
      <c r="R113">
        <f>I113*(1-Q113)</f>
        <v/>
      </c>
      <c r="S113">
        <f>R113/R112-1</f>
        <v/>
      </c>
      <c r="T113">
        <f>MAX(T112,R113)</f>
        <v/>
      </c>
      <c r="U113">
        <f>R113/T113-1</f>
        <v/>
      </c>
      <c r="V113" t="n">
        <v>1.342988677474815</v>
      </c>
      <c r="W113" s="5">
        <f>R113-V113</f>
        <v/>
      </c>
    </row>
    <row r="114">
      <c r="A114" s="3" t="n">
        <v>38604</v>
      </c>
      <c r="B114">
        <f>Prices!B114</f>
        <v/>
      </c>
      <c r="C114">
        <f>Prices!C114</f>
        <v/>
      </c>
      <c r="D114">
        <f>Prices!D114</f>
        <v/>
      </c>
      <c r="E114">
        <f>Prices!E114</f>
        <v/>
      </c>
      <c r="F114">
        <f>Prices!F114</f>
        <v/>
      </c>
      <c r="G114">
        <f>IF(AND(112&gt;=16,TEXT(A114,"yyyy-mm")&lt;&gt;TEXT(A115,"yyyy-mm")),1,0)</f>
        <v/>
      </c>
      <c r="H114">
        <f>IF(OR(H113=1,G114=1),1,0)</f>
        <v/>
      </c>
      <c r="I114">
        <f>IF(H113=0,1,SUMPRODUCT(J113:N113,B114:F114)+O113*(1+0.00023125256064071564))</f>
        <v/>
      </c>
      <c r="J114">
        <f>IF(G114=1,0.2*R114/B114,J113)</f>
        <v/>
      </c>
      <c r="K114">
        <f>IF(G114=1,0.2*R114/C114,K113)</f>
        <v/>
      </c>
      <c r="L114">
        <f>IF(G114=1,0.2*R114/D114,L113)</f>
        <v/>
      </c>
      <c r="M114">
        <f>IF(G114=1,0.2*R114/E114,M113)</f>
        <v/>
      </c>
      <c r="N114">
        <f>IF(G114=1,0.2*R114/F114,N113)</f>
        <v/>
      </c>
      <c r="O114">
        <f>IF(G114=1,R114*(1-1.0),IF(H113=0,1,O113*(1+0.00023125256064071564)))</f>
        <v/>
      </c>
      <c r="P114">
        <f>IF(G114=1,IF(H113=0,1,ABS(0.2-J113*B114/I114)+ABS(0.2-K113*C114/I114)+ABS(0.2-L113*D114/I114)+ABS(0.2-M113*E114/I114)+ABS(0.2-N113*F114/I114)),0)</f>
        <v/>
      </c>
      <c r="Q114">
        <f>P114*0.0015</f>
        <v/>
      </c>
      <c r="R114">
        <f>I114*(1-Q114)</f>
        <v/>
      </c>
      <c r="S114">
        <f>R114/R113-1</f>
        <v/>
      </c>
      <c r="T114">
        <f>MAX(T113,R114)</f>
        <v/>
      </c>
      <c r="U114">
        <f>R114/T114-1</f>
        <v/>
      </c>
      <c r="V114" t="n">
        <v>1.339357920257199</v>
      </c>
      <c r="W114" s="5">
        <f>R114-V114</f>
        <v/>
      </c>
    </row>
    <row r="115">
      <c r="A115" s="3" t="n">
        <v>38607</v>
      </c>
      <c r="B115">
        <f>Prices!B115</f>
        <v/>
      </c>
      <c r="C115">
        <f>Prices!C115</f>
        <v/>
      </c>
      <c r="D115">
        <f>Prices!D115</f>
        <v/>
      </c>
      <c r="E115">
        <f>Prices!E115</f>
        <v/>
      </c>
      <c r="F115">
        <f>Prices!F115</f>
        <v/>
      </c>
      <c r="G115">
        <f>IF(AND(113&gt;=16,TEXT(A115,"yyyy-mm")&lt;&gt;TEXT(A116,"yyyy-mm")),1,0)</f>
        <v/>
      </c>
      <c r="H115">
        <f>IF(OR(H114=1,G115=1),1,0)</f>
        <v/>
      </c>
      <c r="I115">
        <f>IF(H114=0,1,SUMPRODUCT(J114:N114,B115:F115)+O114*(1+0.00023125256064071564))</f>
        <v/>
      </c>
      <c r="J115">
        <f>IF(G115=1,0.2*R115/B115,J114)</f>
        <v/>
      </c>
      <c r="K115">
        <f>IF(G115=1,0.2*R115/C115,K114)</f>
        <v/>
      </c>
      <c r="L115">
        <f>IF(G115=1,0.2*R115/D115,L114)</f>
        <v/>
      </c>
      <c r="M115">
        <f>IF(G115=1,0.2*R115/E115,M114)</f>
        <v/>
      </c>
      <c r="N115">
        <f>IF(G115=1,0.2*R115/F115,N114)</f>
        <v/>
      </c>
      <c r="O115">
        <f>IF(G115=1,R115*(1-1.0),IF(H114=0,1,O114*(1+0.00023125256064071564)))</f>
        <v/>
      </c>
      <c r="P115">
        <f>IF(G115=1,IF(H114=0,1,ABS(0.2-J114*B115/I115)+ABS(0.2-K114*C115/I115)+ABS(0.2-L114*D115/I115)+ABS(0.2-M114*E115/I115)+ABS(0.2-N114*F115/I115)),0)</f>
        <v/>
      </c>
      <c r="Q115">
        <f>P115*0.0015</f>
        <v/>
      </c>
      <c r="R115">
        <f>I115*(1-Q115)</f>
        <v/>
      </c>
      <c r="S115">
        <f>R115/R114-1</f>
        <v/>
      </c>
      <c r="T115">
        <f>MAX(T114,R115)</f>
        <v/>
      </c>
      <c r="U115">
        <f>R115/T115-1</f>
        <v/>
      </c>
      <c r="V115" t="n">
        <v>1.352799842855788</v>
      </c>
      <c r="W115" s="5">
        <f>R115-V115</f>
        <v/>
      </c>
    </row>
    <row r="116">
      <c r="A116" s="3" t="n">
        <v>38608</v>
      </c>
      <c r="B116">
        <f>Prices!B116</f>
        <v/>
      </c>
      <c r="C116">
        <f>Prices!C116</f>
        <v/>
      </c>
      <c r="D116">
        <f>Prices!D116</f>
        <v/>
      </c>
      <c r="E116">
        <f>Prices!E116</f>
        <v/>
      </c>
      <c r="F116">
        <f>Prices!F116</f>
        <v/>
      </c>
      <c r="G116">
        <f>IF(AND(114&gt;=16,TEXT(A116,"yyyy-mm")&lt;&gt;TEXT(A117,"yyyy-mm")),1,0)</f>
        <v/>
      </c>
      <c r="H116">
        <f>IF(OR(H115=1,G116=1),1,0)</f>
        <v/>
      </c>
      <c r="I116">
        <f>IF(H115=0,1,SUMPRODUCT(J115:N115,B116:F116)+O115*(1+0.00023125256064071564))</f>
        <v/>
      </c>
      <c r="J116">
        <f>IF(G116=1,0.2*R116/B116,J115)</f>
        <v/>
      </c>
      <c r="K116">
        <f>IF(G116=1,0.2*R116/C116,K115)</f>
        <v/>
      </c>
      <c r="L116">
        <f>IF(G116=1,0.2*R116/D116,L115)</f>
        <v/>
      </c>
      <c r="M116">
        <f>IF(G116=1,0.2*R116/E116,M115)</f>
        <v/>
      </c>
      <c r="N116">
        <f>IF(G116=1,0.2*R116/F116,N115)</f>
        <v/>
      </c>
      <c r="O116">
        <f>IF(G116=1,R116*(1-1.0),IF(H115=0,1,O115*(1+0.00023125256064071564)))</f>
        <v/>
      </c>
      <c r="P116">
        <f>IF(G116=1,IF(H115=0,1,ABS(0.2-J115*B116/I116)+ABS(0.2-K115*C116/I116)+ABS(0.2-L115*D116/I116)+ABS(0.2-M115*E116/I116)+ABS(0.2-N115*F116/I116)),0)</f>
        <v/>
      </c>
      <c r="Q116">
        <f>P116*0.0015</f>
        <v/>
      </c>
      <c r="R116">
        <f>I116*(1-Q116)</f>
        <v/>
      </c>
      <c r="S116">
        <f>R116/R115-1</f>
        <v/>
      </c>
      <c r="T116">
        <f>MAX(T115,R116)</f>
        <v/>
      </c>
      <c r="U116">
        <f>R116/T116-1</f>
        <v/>
      </c>
      <c r="V116" t="n">
        <v>1.361973668698517</v>
      </c>
      <c r="W116" s="5">
        <f>R116-V116</f>
        <v/>
      </c>
    </row>
    <row r="117">
      <c r="A117" s="3" t="n">
        <v>38609</v>
      </c>
      <c r="B117">
        <f>Prices!B117</f>
        <v/>
      </c>
      <c r="C117">
        <f>Prices!C117</f>
        <v/>
      </c>
      <c r="D117">
        <f>Prices!D117</f>
        <v/>
      </c>
      <c r="E117">
        <f>Prices!E117</f>
        <v/>
      </c>
      <c r="F117">
        <f>Prices!F117</f>
        <v/>
      </c>
      <c r="G117">
        <f>IF(AND(115&gt;=16,TEXT(A117,"yyyy-mm")&lt;&gt;TEXT(A118,"yyyy-mm")),1,0)</f>
        <v/>
      </c>
      <c r="H117">
        <f>IF(OR(H116=1,G117=1),1,0)</f>
        <v/>
      </c>
      <c r="I117">
        <f>IF(H116=0,1,SUMPRODUCT(J116:N116,B117:F117)+O116*(1+0.00023125256064071564))</f>
        <v/>
      </c>
      <c r="J117">
        <f>IF(G117=1,0.2*R117/B117,J116)</f>
        <v/>
      </c>
      <c r="K117">
        <f>IF(G117=1,0.2*R117/C117,K116)</f>
        <v/>
      </c>
      <c r="L117">
        <f>IF(G117=1,0.2*R117/D117,L116)</f>
        <v/>
      </c>
      <c r="M117">
        <f>IF(G117=1,0.2*R117/E117,M116)</f>
        <v/>
      </c>
      <c r="N117">
        <f>IF(G117=1,0.2*R117/F117,N116)</f>
        <v/>
      </c>
      <c r="O117">
        <f>IF(G117=1,R117*(1-1.0),IF(H116=0,1,O116*(1+0.00023125256064071564)))</f>
        <v/>
      </c>
      <c r="P117">
        <f>IF(G117=1,IF(H116=0,1,ABS(0.2-J116*B117/I117)+ABS(0.2-K116*C117/I117)+ABS(0.2-L116*D117/I117)+ABS(0.2-M116*E117/I117)+ABS(0.2-N116*F117/I117)),0)</f>
        <v/>
      </c>
      <c r="Q117">
        <f>P117*0.0015</f>
        <v/>
      </c>
      <c r="R117">
        <f>I117*(1-Q117)</f>
        <v/>
      </c>
      <c r="S117">
        <f>R117/R116-1</f>
        <v/>
      </c>
      <c r="T117">
        <f>MAX(T116,R117)</f>
        <v/>
      </c>
      <c r="U117">
        <f>R117/T117-1</f>
        <v/>
      </c>
      <c r="V117" t="n">
        <v>1.354508850356227</v>
      </c>
      <c r="W117" s="5">
        <f>R117-V117</f>
        <v/>
      </c>
    </row>
    <row r="118">
      <c r="A118" s="3" t="n">
        <v>38610</v>
      </c>
      <c r="B118">
        <f>Prices!B118</f>
        <v/>
      </c>
      <c r="C118">
        <f>Prices!C118</f>
        <v/>
      </c>
      <c r="D118">
        <f>Prices!D118</f>
        <v/>
      </c>
      <c r="E118">
        <f>Prices!E118</f>
        <v/>
      </c>
      <c r="F118">
        <f>Prices!F118</f>
        <v/>
      </c>
      <c r="G118">
        <f>IF(AND(116&gt;=16,TEXT(A118,"yyyy-mm")&lt;&gt;TEXT(A119,"yyyy-mm")),1,0)</f>
        <v/>
      </c>
      <c r="H118">
        <f>IF(OR(H117=1,G118=1),1,0)</f>
        <v/>
      </c>
      <c r="I118">
        <f>IF(H117=0,1,SUMPRODUCT(J117:N117,B118:F118)+O117*(1+0.00023125256064071564))</f>
        <v/>
      </c>
      <c r="J118">
        <f>IF(G118=1,0.2*R118/B118,J117)</f>
        <v/>
      </c>
      <c r="K118">
        <f>IF(G118=1,0.2*R118/C118,K117)</f>
        <v/>
      </c>
      <c r="L118">
        <f>IF(G118=1,0.2*R118/D118,L117)</f>
        <v/>
      </c>
      <c r="M118">
        <f>IF(G118=1,0.2*R118/E118,M117)</f>
        <v/>
      </c>
      <c r="N118">
        <f>IF(G118=1,0.2*R118/F118,N117)</f>
        <v/>
      </c>
      <c r="O118">
        <f>IF(G118=1,R118*(1-1.0),IF(H117=0,1,O117*(1+0.00023125256064071564)))</f>
        <v/>
      </c>
      <c r="P118">
        <f>IF(G118=1,IF(H117=0,1,ABS(0.2-J117*B118/I118)+ABS(0.2-K117*C118/I118)+ABS(0.2-L117*D118/I118)+ABS(0.2-M117*E118/I118)+ABS(0.2-N117*F118/I118)),0)</f>
        <v/>
      </c>
      <c r="Q118">
        <f>P118*0.0015</f>
        <v/>
      </c>
      <c r="R118">
        <f>I118*(1-Q118)</f>
        <v/>
      </c>
      <c r="S118">
        <f>R118/R117-1</f>
        <v/>
      </c>
      <c r="T118">
        <f>MAX(T117,R118)</f>
        <v/>
      </c>
      <c r="U118">
        <f>R118/T118-1</f>
        <v/>
      </c>
      <c r="V118" t="n">
        <v>1.375276770803647</v>
      </c>
      <c r="W118" s="5">
        <f>R118-V118</f>
        <v/>
      </c>
    </row>
    <row r="119">
      <c r="A119" s="3" t="n">
        <v>38611</v>
      </c>
      <c r="B119">
        <f>Prices!B119</f>
        <v/>
      </c>
      <c r="C119">
        <f>Prices!C119</f>
        <v/>
      </c>
      <c r="D119">
        <f>Prices!D119</f>
        <v/>
      </c>
      <c r="E119">
        <f>Prices!E119</f>
        <v/>
      </c>
      <c r="F119">
        <f>Prices!F119</f>
        <v/>
      </c>
      <c r="G119">
        <f>IF(AND(117&gt;=16,TEXT(A119,"yyyy-mm")&lt;&gt;TEXT(A120,"yyyy-mm")),1,0)</f>
        <v/>
      </c>
      <c r="H119">
        <f>IF(OR(H118=1,G119=1),1,0)</f>
        <v/>
      </c>
      <c r="I119">
        <f>IF(H118=0,1,SUMPRODUCT(J118:N118,B119:F119)+O118*(1+0.00023125256064071564))</f>
        <v/>
      </c>
      <c r="J119">
        <f>IF(G119=1,0.2*R119/B119,J118)</f>
        <v/>
      </c>
      <c r="K119">
        <f>IF(G119=1,0.2*R119/C119,K118)</f>
        <v/>
      </c>
      <c r="L119">
        <f>IF(G119=1,0.2*R119/D119,L118)</f>
        <v/>
      </c>
      <c r="M119">
        <f>IF(G119=1,0.2*R119/E119,M118)</f>
        <v/>
      </c>
      <c r="N119">
        <f>IF(G119=1,0.2*R119/F119,N118)</f>
        <v/>
      </c>
      <c r="O119">
        <f>IF(G119=1,R119*(1-1.0),IF(H118=0,1,O118*(1+0.00023125256064071564)))</f>
        <v/>
      </c>
      <c r="P119">
        <f>IF(G119=1,IF(H118=0,1,ABS(0.2-J118*B119/I119)+ABS(0.2-K118*C119/I119)+ABS(0.2-L118*D119/I119)+ABS(0.2-M118*E119/I119)+ABS(0.2-N118*F119/I119)),0)</f>
        <v/>
      </c>
      <c r="Q119">
        <f>P119*0.0015</f>
        <v/>
      </c>
      <c r="R119">
        <f>I119*(1-Q119)</f>
        <v/>
      </c>
      <c r="S119">
        <f>R119/R118-1</f>
        <v/>
      </c>
      <c r="T119">
        <f>MAX(T118,R119)</f>
        <v/>
      </c>
      <c r="U119">
        <f>R119/T119-1</f>
        <v/>
      </c>
      <c r="V119" t="n">
        <v>1.387545142092613</v>
      </c>
      <c r="W119" s="5">
        <f>R119-V119</f>
        <v/>
      </c>
    </row>
    <row r="120">
      <c r="A120" s="3" t="n">
        <v>38614</v>
      </c>
      <c r="B120">
        <f>Prices!B120</f>
        <v/>
      </c>
      <c r="C120">
        <f>Prices!C120</f>
        <v/>
      </c>
      <c r="D120">
        <f>Prices!D120</f>
        <v/>
      </c>
      <c r="E120">
        <f>Prices!E120</f>
        <v/>
      </c>
      <c r="F120">
        <f>Prices!F120</f>
        <v/>
      </c>
      <c r="G120">
        <f>IF(AND(118&gt;=16,TEXT(A120,"yyyy-mm")&lt;&gt;TEXT(A121,"yyyy-mm")),1,0)</f>
        <v/>
      </c>
      <c r="H120">
        <f>IF(OR(H119=1,G120=1),1,0)</f>
        <v/>
      </c>
      <c r="I120">
        <f>IF(H119=0,1,SUMPRODUCT(J119:N119,B120:F120)+O119*(1+0.00023125256064071564))</f>
        <v/>
      </c>
      <c r="J120">
        <f>IF(G120=1,0.2*R120/B120,J119)</f>
        <v/>
      </c>
      <c r="K120">
        <f>IF(G120=1,0.2*R120/C120,K119)</f>
        <v/>
      </c>
      <c r="L120">
        <f>IF(G120=1,0.2*R120/D120,L119)</f>
        <v/>
      </c>
      <c r="M120">
        <f>IF(G120=1,0.2*R120/E120,M119)</f>
        <v/>
      </c>
      <c r="N120">
        <f>IF(G120=1,0.2*R120/F120,N119)</f>
        <v/>
      </c>
      <c r="O120">
        <f>IF(G120=1,R120*(1-1.0),IF(H119=0,1,O119*(1+0.00023125256064071564)))</f>
        <v/>
      </c>
      <c r="P120">
        <f>IF(G120=1,IF(H119=0,1,ABS(0.2-J119*B120/I120)+ABS(0.2-K119*C120/I120)+ABS(0.2-L119*D120/I120)+ABS(0.2-M119*E120/I120)+ABS(0.2-N119*F120/I120)),0)</f>
        <v/>
      </c>
      <c r="Q120">
        <f>P120*0.0015</f>
        <v/>
      </c>
      <c r="R120">
        <f>I120*(1-Q120)</f>
        <v/>
      </c>
      <c r="S120">
        <f>R120/R119-1</f>
        <v/>
      </c>
      <c r="T120">
        <f>MAX(T119,R120)</f>
        <v/>
      </c>
      <c r="U120">
        <f>R120/T120-1</f>
        <v/>
      </c>
      <c r="V120" t="n">
        <v>1.40480988428947</v>
      </c>
      <c r="W120" s="5">
        <f>R120-V120</f>
        <v/>
      </c>
    </row>
    <row r="121">
      <c r="A121" s="3" t="n">
        <v>38615</v>
      </c>
      <c r="B121">
        <f>Prices!B121</f>
        <v/>
      </c>
      <c r="C121">
        <f>Prices!C121</f>
        <v/>
      </c>
      <c r="D121">
        <f>Prices!D121</f>
        <v/>
      </c>
      <c r="E121">
        <f>Prices!E121</f>
        <v/>
      </c>
      <c r="F121">
        <f>Prices!F121</f>
        <v/>
      </c>
      <c r="G121">
        <f>IF(AND(119&gt;=16,TEXT(A121,"yyyy-mm")&lt;&gt;TEXT(A122,"yyyy-mm")),1,0)</f>
        <v/>
      </c>
      <c r="H121">
        <f>IF(OR(H120=1,G121=1),1,0)</f>
        <v/>
      </c>
      <c r="I121">
        <f>IF(H120=0,1,SUMPRODUCT(J120:N120,B121:F121)+O120*(1+0.00023125256064071564))</f>
        <v/>
      </c>
      <c r="J121">
        <f>IF(G121=1,0.2*R121/B121,J120)</f>
        <v/>
      </c>
      <c r="K121">
        <f>IF(G121=1,0.2*R121/C121,K120)</f>
        <v/>
      </c>
      <c r="L121">
        <f>IF(G121=1,0.2*R121/D121,L120)</f>
        <v/>
      </c>
      <c r="M121">
        <f>IF(G121=1,0.2*R121/E121,M120)</f>
        <v/>
      </c>
      <c r="N121">
        <f>IF(G121=1,0.2*R121/F121,N120)</f>
        <v/>
      </c>
      <c r="O121">
        <f>IF(G121=1,R121*(1-1.0),IF(H120=0,1,O120*(1+0.00023125256064071564)))</f>
        <v/>
      </c>
      <c r="P121">
        <f>IF(G121=1,IF(H120=0,1,ABS(0.2-J120*B121/I121)+ABS(0.2-K120*C121/I121)+ABS(0.2-L120*D121/I121)+ABS(0.2-M120*E121/I121)+ABS(0.2-N120*F121/I121)),0)</f>
        <v/>
      </c>
      <c r="Q121">
        <f>P121*0.0015</f>
        <v/>
      </c>
      <c r="R121">
        <f>I121*(1-Q121)</f>
        <v/>
      </c>
      <c r="S121">
        <f>R121/R120-1</f>
        <v/>
      </c>
      <c r="T121">
        <f>MAX(T120,R121)</f>
        <v/>
      </c>
      <c r="U121">
        <f>R121/T121-1</f>
        <v/>
      </c>
      <c r="V121" t="n">
        <v>1.396072945926999</v>
      </c>
      <c r="W121" s="5">
        <f>R121-V121</f>
        <v/>
      </c>
    </row>
    <row r="122">
      <c r="A122" s="3" t="n">
        <v>38616</v>
      </c>
      <c r="B122">
        <f>Prices!B122</f>
        <v/>
      </c>
      <c r="C122">
        <f>Prices!C122</f>
        <v/>
      </c>
      <c r="D122">
        <f>Prices!D122</f>
        <v/>
      </c>
      <c r="E122">
        <f>Prices!E122</f>
        <v/>
      </c>
      <c r="F122">
        <f>Prices!F122</f>
        <v/>
      </c>
      <c r="G122">
        <f>IF(AND(120&gt;=16,TEXT(A122,"yyyy-mm")&lt;&gt;TEXT(A123,"yyyy-mm")),1,0)</f>
        <v/>
      </c>
      <c r="H122">
        <f>IF(OR(H121=1,G122=1),1,0)</f>
        <v/>
      </c>
      <c r="I122">
        <f>IF(H121=0,1,SUMPRODUCT(J121:N121,B122:F122)+O121*(1+0.00023125256064071564))</f>
        <v/>
      </c>
      <c r="J122">
        <f>IF(G122=1,0.2*R122/B122,J121)</f>
        <v/>
      </c>
      <c r="K122">
        <f>IF(G122=1,0.2*R122/C122,K121)</f>
        <v/>
      </c>
      <c r="L122">
        <f>IF(G122=1,0.2*R122/D122,L121)</f>
        <v/>
      </c>
      <c r="M122">
        <f>IF(G122=1,0.2*R122/E122,M121)</f>
        <v/>
      </c>
      <c r="N122">
        <f>IF(G122=1,0.2*R122/F122,N121)</f>
        <v/>
      </c>
      <c r="O122">
        <f>IF(G122=1,R122*(1-1.0),IF(H121=0,1,O121*(1+0.00023125256064071564)))</f>
        <v/>
      </c>
      <c r="P122">
        <f>IF(G122=1,IF(H121=0,1,ABS(0.2-J121*B122/I122)+ABS(0.2-K121*C122/I122)+ABS(0.2-L121*D122/I122)+ABS(0.2-M121*E122/I122)+ABS(0.2-N121*F122/I122)),0)</f>
        <v/>
      </c>
      <c r="Q122">
        <f>P122*0.0015</f>
        <v/>
      </c>
      <c r="R122">
        <f>I122*(1-Q122)</f>
        <v/>
      </c>
      <c r="S122">
        <f>R122/R121-1</f>
        <v/>
      </c>
      <c r="T122">
        <f>MAX(T121,R122)</f>
        <v/>
      </c>
      <c r="U122">
        <f>R122/T122-1</f>
        <v/>
      </c>
      <c r="V122" t="n">
        <v>1.367617127876728</v>
      </c>
      <c r="W122" s="5">
        <f>R122-V122</f>
        <v/>
      </c>
    </row>
    <row r="123">
      <c r="A123" s="3" t="n">
        <v>38617</v>
      </c>
      <c r="B123">
        <f>Prices!B123</f>
        <v/>
      </c>
      <c r="C123">
        <f>Prices!C123</f>
        <v/>
      </c>
      <c r="D123">
        <f>Prices!D123</f>
        <v/>
      </c>
      <c r="E123">
        <f>Prices!E123</f>
        <v/>
      </c>
      <c r="F123">
        <f>Prices!F123</f>
        <v/>
      </c>
      <c r="G123">
        <f>IF(AND(121&gt;=16,TEXT(A123,"yyyy-mm")&lt;&gt;TEXT(A124,"yyyy-mm")),1,0)</f>
        <v/>
      </c>
      <c r="H123">
        <f>IF(OR(H122=1,G123=1),1,0)</f>
        <v/>
      </c>
      <c r="I123">
        <f>IF(H122=0,1,SUMPRODUCT(J122:N122,B123:F123)+O122*(1+0.00023125256064071564))</f>
        <v/>
      </c>
      <c r="J123">
        <f>IF(G123=1,0.2*R123/B123,J122)</f>
        <v/>
      </c>
      <c r="K123">
        <f>IF(G123=1,0.2*R123/C123,K122)</f>
        <v/>
      </c>
      <c r="L123">
        <f>IF(G123=1,0.2*R123/D123,L122)</f>
        <v/>
      </c>
      <c r="M123">
        <f>IF(G123=1,0.2*R123/E123,M122)</f>
        <v/>
      </c>
      <c r="N123">
        <f>IF(G123=1,0.2*R123/F123,N122)</f>
        <v/>
      </c>
      <c r="O123">
        <f>IF(G123=1,R123*(1-1.0),IF(H122=0,1,O122*(1+0.00023125256064071564)))</f>
        <v/>
      </c>
      <c r="P123">
        <f>IF(G123=1,IF(H122=0,1,ABS(0.2-J122*B123/I123)+ABS(0.2-K122*C123/I123)+ABS(0.2-L122*D123/I123)+ABS(0.2-M122*E123/I123)+ABS(0.2-N122*F123/I123)),0)</f>
        <v/>
      </c>
      <c r="Q123">
        <f>P123*0.0015</f>
        <v/>
      </c>
      <c r="R123">
        <f>I123*(1-Q123)</f>
        <v/>
      </c>
      <c r="S123">
        <f>R123/R122-1</f>
        <v/>
      </c>
      <c r="T123">
        <f>MAX(T122,R123)</f>
        <v/>
      </c>
      <c r="U123">
        <f>R123/T123-1</f>
        <v/>
      </c>
      <c r="V123" t="n">
        <v>1.302789827240101</v>
      </c>
      <c r="W123" s="5">
        <f>R123-V123</f>
        <v/>
      </c>
    </row>
    <row r="124">
      <c r="A124" s="3" t="n">
        <v>38618</v>
      </c>
      <c r="B124">
        <f>Prices!B124</f>
        <v/>
      </c>
      <c r="C124">
        <f>Prices!C124</f>
        <v/>
      </c>
      <c r="D124">
        <f>Prices!D124</f>
        <v/>
      </c>
      <c r="E124">
        <f>Prices!E124</f>
        <v/>
      </c>
      <c r="F124">
        <f>Prices!F124</f>
        <v/>
      </c>
      <c r="G124">
        <f>IF(AND(122&gt;=16,TEXT(A124,"yyyy-mm")&lt;&gt;TEXT(A125,"yyyy-mm")),1,0)</f>
        <v/>
      </c>
      <c r="H124">
        <f>IF(OR(H123=1,G124=1),1,0)</f>
        <v/>
      </c>
      <c r="I124">
        <f>IF(H123=0,1,SUMPRODUCT(J123:N123,B124:F124)+O123*(1+0.00023125256064071564))</f>
        <v/>
      </c>
      <c r="J124">
        <f>IF(G124=1,0.2*R124/B124,J123)</f>
        <v/>
      </c>
      <c r="K124">
        <f>IF(G124=1,0.2*R124/C124,K123)</f>
        <v/>
      </c>
      <c r="L124">
        <f>IF(G124=1,0.2*R124/D124,L123)</f>
        <v/>
      </c>
      <c r="M124">
        <f>IF(G124=1,0.2*R124/E124,M123)</f>
        <v/>
      </c>
      <c r="N124">
        <f>IF(G124=1,0.2*R124/F124,N123)</f>
        <v/>
      </c>
      <c r="O124">
        <f>IF(G124=1,R124*(1-1.0),IF(H123=0,1,O123*(1+0.00023125256064071564)))</f>
        <v/>
      </c>
      <c r="P124">
        <f>IF(G124=1,IF(H123=0,1,ABS(0.2-J123*B124/I124)+ABS(0.2-K123*C124/I124)+ABS(0.2-L123*D124/I124)+ABS(0.2-M123*E124/I124)+ABS(0.2-N123*F124/I124)),0)</f>
        <v/>
      </c>
      <c r="Q124">
        <f>P124*0.0015</f>
        <v/>
      </c>
      <c r="R124">
        <f>I124*(1-Q124)</f>
        <v/>
      </c>
      <c r="S124">
        <f>R124/R123-1</f>
        <v/>
      </c>
      <c r="T124">
        <f>MAX(T123,R124)</f>
        <v/>
      </c>
      <c r="U124">
        <f>R124/T124-1</f>
        <v/>
      </c>
      <c r="V124" t="n">
        <v>1.313157784087179</v>
      </c>
      <c r="W124" s="5">
        <f>R124-V124</f>
        <v/>
      </c>
    </row>
    <row r="125">
      <c r="A125" s="3" t="n">
        <v>38621</v>
      </c>
      <c r="B125">
        <f>Prices!B125</f>
        <v/>
      </c>
      <c r="C125">
        <f>Prices!C125</f>
        <v/>
      </c>
      <c r="D125">
        <f>Prices!D125</f>
        <v/>
      </c>
      <c r="E125">
        <f>Prices!E125</f>
        <v/>
      </c>
      <c r="F125">
        <f>Prices!F125</f>
        <v/>
      </c>
      <c r="G125">
        <f>IF(AND(123&gt;=16,TEXT(A125,"yyyy-mm")&lt;&gt;TEXT(A126,"yyyy-mm")),1,0)</f>
        <v/>
      </c>
      <c r="H125">
        <f>IF(OR(H124=1,G125=1),1,0)</f>
        <v/>
      </c>
      <c r="I125">
        <f>IF(H124=0,1,SUMPRODUCT(J124:N124,B125:F125)+O124*(1+0.00023125256064071564))</f>
        <v/>
      </c>
      <c r="J125">
        <f>IF(G125=1,0.2*R125/B125,J124)</f>
        <v/>
      </c>
      <c r="K125">
        <f>IF(G125=1,0.2*R125/C125,K124)</f>
        <v/>
      </c>
      <c r="L125">
        <f>IF(G125=1,0.2*R125/D125,L124)</f>
        <v/>
      </c>
      <c r="M125">
        <f>IF(G125=1,0.2*R125/E125,M124)</f>
        <v/>
      </c>
      <c r="N125">
        <f>IF(G125=1,0.2*R125/F125,N124)</f>
        <v/>
      </c>
      <c r="O125">
        <f>IF(G125=1,R125*(1-1.0),IF(H124=0,1,O124*(1+0.00023125256064071564)))</f>
        <v/>
      </c>
      <c r="P125">
        <f>IF(G125=1,IF(H124=0,1,ABS(0.2-J124*B125/I125)+ABS(0.2-K124*C125/I125)+ABS(0.2-L124*D125/I125)+ABS(0.2-M124*E125/I125)+ABS(0.2-N124*F125/I125)),0)</f>
        <v/>
      </c>
      <c r="Q125">
        <f>P125*0.0015</f>
        <v/>
      </c>
      <c r="R125">
        <f>I125*(1-Q125)</f>
        <v/>
      </c>
      <c r="S125">
        <f>R125/R124-1</f>
        <v/>
      </c>
      <c r="T125">
        <f>MAX(T124,R125)</f>
        <v/>
      </c>
      <c r="U125">
        <f>R125/T125-1</f>
        <v/>
      </c>
      <c r="V125" t="n">
        <v>1.359723235663417</v>
      </c>
      <c r="W125" s="5">
        <f>R125-V125</f>
        <v/>
      </c>
    </row>
    <row r="126">
      <c r="A126" s="3" t="n">
        <v>38622</v>
      </c>
      <c r="B126">
        <f>Prices!B126</f>
        <v/>
      </c>
      <c r="C126">
        <f>Prices!C126</f>
        <v/>
      </c>
      <c r="D126">
        <f>Prices!D126</f>
        <v/>
      </c>
      <c r="E126">
        <f>Prices!E126</f>
        <v/>
      </c>
      <c r="F126">
        <f>Prices!F126</f>
        <v/>
      </c>
      <c r="G126">
        <f>IF(AND(124&gt;=16,TEXT(A126,"yyyy-mm")&lt;&gt;TEXT(A127,"yyyy-mm")),1,0)</f>
        <v/>
      </c>
      <c r="H126">
        <f>IF(OR(H125=1,G126=1),1,0)</f>
        <v/>
      </c>
      <c r="I126">
        <f>IF(H125=0,1,SUMPRODUCT(J125:N125,B126:F126)+O125*(1+0.00023125256064071564))</f>
        <v/>
      </c>
      <c r="J126">
        <f>IF(G126=1,0.2*R126/B126,J125)</f>
        <v/>
      </c>
      <c r="K126">
        <f>IF(G126=1,0.2*R126/C126,K125)</f>
        <v/>
      </c>
      <c r="L126">
        <f>IF(G126=1,0.2*R126/D126,L125)</f>
        <v/>
      </c>
      <c r="M126">
        <f>IF(G126=1,0.2*R126/E126,M125)</f>
        <v/>
      </c>
      <c r="N126">
        <f>IF(G126=1,0.2*R126/F126,N125)</f>
        <v/>
      </c>
      <c r="O126">
        <f>IF(G126=1,R126*(1-1.0),IF(H125=0,1,O125*(1+0.00023125256064071564)))</f>
        <v/>
      </c>
      <c r="P126">
        <f>IF(G126=1,IF(H125=0,1,ABS(0.2-J125*B126/I126)+ABS(0.2-K125*C126/I126)+ABS(0.2-L125*D126/I126)+ABS(0.2-M125*E126/I126)+ABS(0.2-N125*F126/I126)),0)</f>
        <v/>
      </c>
      <c r="Q126">
        <f>P126*0.0015</f>
        <v/>
      </c>
      <c r="R126">
        <f>I126*(1-Q126)</f>
        <v/>
      </c>
      <c r="S126">
        <f>R126/R125-1</f>
        <v/>
      </c>
      <c r="T126">
        <f>MAX(T125,R126)</f>
        <v/>
      </c>
      <c r="U126">
        <f>R126/T126-1</f>
        <v/>
      </c>
      <c r="V126" t="n">
        <v>1.375014612348361</v>
      </c>
      <c r="W126" s="5">
        <f>R126-V126</f>
        <v/>
      </c>
    </row>
    <row r="127">
      <c r="A127" s="3" t="n">
        <v>38623</v>
      </c>
      <c r="B127">
        <f>Prices!B127</f>
        <v/>
      </c>
      <c r="C127">
        <f>Prices!C127</f>
        <v/>
      </c>
      <c r="D127">
        <f>Prices!D127</f>
        <v/>
      </c>
      <c r="E127">
        <f>Prices!E127</f>
        <v/>
      </c>
      <c r="F127">
        <f>Prices!F127</f>
        <v/>
      </c>
      <c r="G127">
        <f>IF(AND(125&gt;=16,TEXT(A127,"yyyy-mm")&lt;&gt;TEXT(A128,"yyyy-mm")),1,0)</f>
        <v/>
      </c>
      <c r="H127">
        <f>IF(OR(H126=1,G127=1),1,0)</f>
        <v/>
      </c>
      <c r="I127">
        <f>IF(H126=0,1,SUMPRODUCT(J126:N126,B127:F127)+O126*(1+0.00023125256064071564))</f>
        <v/>
      </c>
      <c r="J127">
        <f>IF(G127=1,0.2*R127/B127,J126)</f>
        <v/>
      </c>
      <c r="K127">
        <f>IF(G127=1,0.2*R127/C127,K126)</f>
        <v/>
      </c>
      <c r="L127">
        <f>IF(G127=1,0.2*R127/D127,L126)</f>
        <v/>
      </c>
      <c r="M127">
        <f>IF(G127=1,0.2*R127/E127,M126)</f>
        <v/>
      </c>
      <c r="N127">
        <f>IF(G127=1,0.2*R127/F127,N126)</f>
        <v/>
      </c>
      <c r="O127">
        <f>IF(G127=1,R127*(1-1.0),IF(H126=0,1,O126*(1+0.00023125256064071564)))</f>
        <v/>
      </c>
      <c r="P127">
        <f>IF(G127=1,IF(H126=0,1,ABS(0.2-J126*B127/I127)+ABS(0.2-K126*C127/I127)+ABS(0.2-L126*D127/I127)+ABS(0.2-M126*E127/I127)+ABS(0.2-N126*F127/I127)),0)</f>
        <v/>
      </c>
      <c r="Q127">
        <f>P127*0.0015</f>
        <v/>
      </c>
      <c r="R127">
        <f>I127*(1-Q127)</f>
        <v/>
      </c>
      <c r="S127">
        <f>R127/R126-1</f>
        <v/>
      </c>
      <c r="T127">
        <f>MAX(T126,R127)</f>
        <v/>
      </c>
      <c r="U127">
        <f>R127/T127-1</f>
        <v/>
      </c>
      <c r="V127" t="n">
        <v>1.389387201085771</v>
      </c>
      <c r="W127" s="5">
        <f>R127-V127</f>
        <v/>
      </c>
    </row>
    <row r="128">
      <c r="A128" s="3" t="n">
        <v>38624</v>
      </c>
      <c r="B128">
        <f>Prices!B128</f>
        <v/>
      </c>
      <c r="C128">
        <f>Prices!C128</f>
        <v/>
      </c>
      <c r="D128">
        <f>Prices!D128</f>
        <v/>
      </c>
      <c r="E128">
        <f>Prices!E128</f>
        <v/>
      </c>
      <c r="F128">
        <f>Prices!F128</f>
        <v/>
      </c>
      <c r="G128">
        <f>IF(AND(126&gt;=16,TEXT(A128,"yyyy-mm")&lt;&gt;TEXT(A129,"yyyy-mm")),1,0)</f>
        <v/>
      </c>
      <c r="H128">
        <f>IF(OR(H127=1,G128=1),1,0)</f>
        <v/>
      </c>
      <c r="I128">
        <f>IF(H127=0,1,SUMPRODUCT(J127:N127,B128:F128)+O127*(1+0.00023125256064071564))</f>
        <v/>
      </c>
      <c r="J128">
        <f>IF(G128=1,0.2*R128/B128,J127)</f>
        <v/>
      </c>
      <c r="K128">
        <f>IF(G128=1,0.2*R128/C128,K127)</f>
        <v/>
      </c>
      <c r="L128">
        <f>IF(G128=1,0.2*R128/D128,L127)</f>
        <v/>
      </c>
      <c r="M128">
        <f>IF(G128=1,0.2*R128/E128,M127)</f>
        <v/>
      </c>
      <c r="N128">
        <f>IF(G128=1,0.2*R128/F128,N127)</f>
        <v/>
      </c>
      <c r="O128">
        <f>IF(G128=1,R128*(1-1.0),IF(H127=0,1,O127*(1+0.00023125256064071564)))</f>
        <v/>
      </c>
      <c r="P128">
        <f>IF(G128=1,IF(H127=0,1,ABS(0.2-J127*B128/I128)+ABS(0.2-K127*C128/I128)+ABS(0.2-L127*D128/I128)+ABS(0.2-M127*E128/I128)+ABS(0.2-N127*F128/I128)),0)</f>
        <v/>
      </c>
      <c r="Q128">
        <f>P128*0.0015</f>
        <v/>
      </c>
      <c r="R128">
        <f>I128*(1-Q128)</f>
        <v/>
      </c>
      <c r="S128">
        <f>R128/R127-1</f>
        <v/>
      </c>
      <c r="T128">
        <f>MAX(T127,R128)</f>
        <v/>
      </c>
      <c r="U128">
        <f>R128/T128-1</f>
        <v/>
      </c>
      <c r="V128" t="n">
        <v>1.390236180566167</v>
      </c>
      <c r="W128" s="5">
        <f>R128-V128</f>
        <v/>
      </c>
    </row>
    <row r="129">
      <c r="A129" s="3" t="n">
        <v>38625</v>
      </c>
      <c r="B129">
        <f>Prices!B129</f>
        <v/>
      </c>
      <c r="C129">
        <f>Prices!C129</f>
        <v/>
      </c>
      <c r="D129">
        <f>Prices!D129</f>
        <v/>
      </c>
      <c r="E129">
        <f>Prices!E129</f>
        <v/>
      </c>
      <c r="F129">
        <f>Prices!F129</f>
        <v/>
      </c>
      <c r="G129">
        <f>IF(AND(127&gt;=16,TEXT(A129,"yyyy-mm")&lt;&gt;TEXT(A130,"yyyy-mm")),1,0)</f>
        <v/>
      </c>
      <c r="H129">
        <f>IF(OR(H128=1,G129=1),1,0)</f>
        <v/>
      </c>
      <c r="I129">
        <f>IF(H128=0,1,SUMPRODUCT(J128:N128,B129:F129)+O128*(1+0.00023125256064071564))</f>
        <v/>
      </c>
      <c r="J129">
        <f>IF(G129=1,0.2*R129/B129,J128)</f>
        <v/>
      </c>
      <c r="K129">
        <f>IF(G129=1,0.2*R129/C129,K128)</f>
        <v/>
      </c>
      <c r="L129">
        <f>IF(G129=1,0.2*R129/D129,L128)</f>
        <v/>
      </c>
      <c r="M129">
        <f>IF(G129=1,0.2*R129/E129,M128)</f>
        <v/>
      </c>
      <c r="N129">
        <f>IF(G129=1,0.2*R129/F129,N128)</f>
        <v/>
      </c>
      <c r="O129">
        <f>IF(G129=1,R129*(1-1.0),IF(H128=0,1,O128*(1+0.00023125256064071564)))</f>
        <v/>
      </c>
      <c r="P129">
        <f>IF(G129=1,IF(H128=0,1,ABS(0.2-J128*B129/I129)+ABS(0.2-K128*C129/I129)+ABS(0.2-L128*D129/I129)+ABS(0.2-M128*E129/I129)+ABS(0.2-N128*F129/I129)),0)</f>
        <v/>
      </c>
      <c r="Q129">
        <f>P129*0.0015</f>
        <v/>
      </c>
      <c r="R129">
        <f>I129*(1-Q129)</f>
        <v/>
      </c>
      <c r="S129">
        <f>R129/R128-1</f>
        <v/>
      </c>
      <c r="T129">
        <f>MAX(T128,R129)</f>
        <v/>
      </c>
      <c r="U129">
        <f>R129/T129-1</f>
        <v/>
      </c>
      <c r="V129" t="n">
        <v>1.384430988039239</v>
      </c>
      <c r="W129" s="5">
        <f>R129-V129</f>
        <v/>
      </c>
    </row>
    <row r="130">
      <c r="A130" s="3" t="n">
        <v>38628</v>
      </c>
      <c r="B130">
        <f>Prices!B130</f>
        <v/>
      </c>
      <c r="C130">
        <f>Prices!C130</f>
        <v/>
      </c>
      <c r="D130">
        <f>Prices!D130</f>
        <v/>
      </c>
      <c r="E130">
        <f>Prices!E130</f>
        <v/>
      </c>
      <c r="F130">
        <f>Prices!F130</f>
        <v/>
      </c>
      <c r="G130">
        <f>IF(AND(128&gt;=16,TEXT(A130,"yyyy-mm")&lt;&gt;TEXT(A131,"yyyy-mm")),1,0)</f>
        <v/>
      </c>
      <c r="H130">
        <f>IF(OR(H129=1,G130=1),1,0)</f>
        <v/>
      </c>
      <c r="I130">
        <f>IF(H129=0,1,SUMPRODUCT(J129:N129,B130:F130)+O129*(1+0.00023125256064071564))</f>
        <v/>
      </c>
      <c r="J130">
        <f>IF(G130=1,0.2*R130/B130,J129)</f>
        <v/>
      </c>
      <c r="K130">
        <f>IF(G130=1,0.2*R130/C130,K129)</f>
        <v/>
      </c>
      <c r="L130">
        <f>IF(G130=1,0.2*R130/D130,L129)</f>
        <v/>
      </c>
      <c r="M130">
        <f>IF(G130=1,0.2*R130/E130,M129)</f>
        <v/>
      </c>
      <c r="N130">
        <f>IF(G130=1,0.2*R130/F130,N129)</f>
        <v/>
      </c>
      <c r="O130">
        <f>IF(G130=1,R130*(1-1.0),IF(H129=0,1,O129*(1+0.00023125256064071564)))</f>
        <v/>
      </c>
      <c r="P130">
        <f>IF(G130=1,IF(H129=0,1,ABS(0.2-J129*B130/I130)+ABS(0.2-K129*C130/I130)+ABS(0.2-L129*D130/I130)+ABS(0.2-M129*E130/I130)+ABS(0.2-N129*F130/I130)),0)</f>
        <v/>
      </c>
      <c r="Q130">
        <f>P130*0.0015</f>
        <v/>
      </c>
      <c r="R130">
        <f>I130*(1-Q130)</f>
        <v/>
      </c>
      <c r="S130">
        <f>R130/R129-1</f>
        <v/>
      </c>
      <c r="T130">
        <f>MAX(T129,R130)</f>
        <v/>
      </c>
      <c r="U130">
        <f>R130/T130-1</f>
        <v/>
      </c>
      <c r="V130" t="n">
        <v>1.398427883881008</v>
      </c>
      <c r="W130" s="5">
        <f>R130-V130</f>
        <v/>
      </c>
    </row>
    <row r="131">
      <c r="A131" s="3" t="n">
        <v>38629</v>
      </c>
      <c r="B131">
        <f>Prices!B131</f>
        <v/>
      </c>
      <c r="C131">
        <f>Prices!C131</f>
        <v/>
      </c>
      <c r="D131">
        <f>Prices!D131</f>
        <v/>
      </c>
      <c r="E131">
        <f>Prices!E131</f>
        <v/>
      </c>
      <c r="F131">
        <f>Prices!F131</f>
        <v/>
      </c>
      <c r="G131">
        <f>IF(AND(129&gt;=16,TEXT(A131,"yyyy-mm")&lt;&gt;TEXT(A132,"yyyy-mm")),1,0)</f>
        <v/>
      </c>
      <c r="H131">
        <f>IF(OR(H130=1,G131=1),1,0)</f>
        <v/>
      </c>
      <c r="I131">
        <f>IF(H130=0,1,SUMPRODUCT(J130:N130,B131:F131)+O130*(1+0.00023125256064071564))</f>
        <v/>
      </c>
      <c r="J131">
        <f>IF(G131=1,0.2*R131/B131,J130)</f>
        <v/>
      </c>
      <c r="K131">
        <f>IF(G131=1,0.2*R131/C131,K130)</f>
        <v/>
      </c>
      <c r="L131">
        <f>IF(G131=1,0.2*R131/D131,L130)</f>
        <v/>
      </c>
      <c r="M131">
        <f>IF(G131=1,0.2*R131/E131,M130)</f>
        <v/>
      </c>
      <c r="N131">
        <f>IF(G131=1,0.2*R131/F131,N130)</f>
        <v/>
      </c>
      <c r="O131">
        <f>IF(G131=1,R131*(1-1.0),IF(H130=0,1,O130*(1+0.00023125256064071564)))</f>
        <v/>
      </c>
      <c r="P131">
        <f>IF(G131=1,IF(H130=0,1,ABS(0.2-J130*B131/I131)+ABS(0.2-K130*C131/I131)+ABS(0.2-L130*D131/I131)+ABS(0.2-M130*E131/I131)+ABS(0.2-N130*F131/I131)),0)</f>
        <v/>
      </c>
      <c r="Q131">
        <f>P131*0.0015</f>
        <v/>
      </c>
      <c r="R131">
        <f>I131*(1-Q131)</f>
        <v/>
      </c>
      <c r="S131">
        <f>R131/R130-1</f>
        <v/>
      </c>
      <c r="T131">
        <f>MAX(T130,R131)</f>
        <v/>
      </c>
      <c r="U131">
        <f>R131/T131-1</f>
        <v/>
      </c>
      <c r="V131" t="n">
        <v>1.415746358404709</v>
      </c>
      <c r="W131" s="5">
        <f>R131-V131</f>
        <v/>
      </c>
    </row>
    <row r="132">
      <c r="A132" s="3" t="n">
        <v>38630</v>
      </c>
      <c r="B132">
        <f>Prices!B132</f>
        <v/>
      </c>
      <c r="C132">
        <f>Prices!C132</f>
        <v/>
      </c>
      <c r="D132">
        <f>Prices!D132</f>
        <v/>
      </c>
      <c r="E132">
        <f>Prices!E132</f>
        <v/>
      </c>
      <c r="F132">
        <f>Prices!F132</f>
        <v/>
      </c>
      <c r="G132">
        <f>IF(AND(130&gt;=16,TEXT(A132,"yyyy-mm")&lt;&gt;TEXT(A133,"yyyy-mm")),1,0)</f>
        <v/>
      </c>
      <c r="H132">
        <f>IF(OR(H131=1,G132=1),1,0)</f>
        <v/>
      </c>
      <c r="I132">
        <f>IF(H131=0,1,SUMPRODUCT(J131:N131,B132:F132)+O131*(1+0.00023125256064071564))</f>
        <v/>
      </c>
      <c r="J132">
        <f>IF(G132=1,0.2*R132/B132,J131)</f>
        <v/>
      </c>
      <c r="K132">
        <f>IF(G132=1,0.2*R132/C132,K131)</f>
        <v/>
      </c>
      <c r="L132">
        <f>IF(G132=1,0.2*R132/D132,L131)</f>
        <v/>
      </c>
      <c r="M132">
        <f>IF(G132=1,0.2*R132/E132,M131)</f>
        <v/>
      </c>
      <c r="N132">
        <f>IF(G132=1,0.2*R132/F132,N131)</f>
        <v/>
      </c>
      <c r="O132">
        <f>IF(G132=1,R132*(1-1.0),IF(H131=0,1,O131*(1+0.00023125256064071564)))</f>
        <v/>
      </c>
      <c r="P132">
        <f>IF(G132=1,IF(H131=0,1,ABS(0.2-J131*B132/I132)+ABS(0.2-K131*C132/I132)+ABS(0.2-L131*D132/I132)+ABS(0.2-M131*E132/I132)+ABS(0.2-N131*F132/I132)),0)</f>
        <v/>
      </c>
      <c r="Q132">
        <f>P132*0.0015</f>
        <v/>
      </c>
      <c r="R132">
        <f>I132*(1-Q132)</f>
        <v/>
      </c>
      <c r="S132">
        <f>R132/R131-1</f>
        <v/>
      </c>
      <c r="T132">
        <f>MAX(T131,R132)</f>
        <v/>
      </c>
      <c r="U132">
        <f>R132/T132-1</f>
        <v/>
      </c>
      <c r="V132" t="n">
        <v>1.408883470352152</v>
      </c>
      <c r="W132" s="5">
        <f>R132-V132</f>
        <v/>
      </c>
    </row>
    <row r="133">
      <c r="A133" s="3" t="n">
        <v>38631</v>
      </c>
      <c r="B133">
        <f>Prices!B133</f>
        <v/>
      </c>
      <c r="C133">
        <f>Prices!C133</f>
        <v/>
      </c>
      <c r="D133">
        <f>Prices!D133</f>
        <v/>
      </c>
      <c r="E133">
        <f>Prices!E133</f>
        <v/>
      </c>
      <c r="F133">
        <f>Prices!F133</f>
        <v/>
      </c>
      <c r="G133">
        <f>IF(AND(131&gt;=16,TEXT(A133,"yyyy-mm")&lt;&gt;TEXT(A134,"yyyy-mm")),1,0)</f>
        <v/>
      </c>
      <c r="H133">
        <f>IF(OR(H132=1,G133=1),1,0)</f>
        <v/>
      </c>
      <c r="I133">
        <f>IF(H132=0,1,SUMPRODUCT(J132:N132,B133:F133)+O132*(1+0.00023125256064071564))</f>
        <v/>
      </c>
      <c r="J133">
        <f>IF(G133=1,0.2*R133/B133,J132)</f>
        <v/>
      </c>
      <c r="K133">
        <f>IF(G133=1,0.2*R133/C133,K132)</f>
        <v/>
      </c>
      <c r="L133">
        <f>IF(G133=1,0.2*R133/D133,L132)</f>
        <v/>
      </c>
      <c r="M133">
        <f>IF(G133=1,0.2*R133/E133,M132)</f>
        <v/>
      </c>
      <c r="N133">
        <f>IF(G133=1,0.2*R133/F133,N132)</f>
        <v/>
      </c>
      <c r="O133">
        <f>IF(G133=1,R133*(1-1.0),IF(H132=0,1,O132*(1+0.00023125256064071564)))</f>
        <v/>
      </c>
      <c r="P133">
        <f>IF(G133=1,IF(H132=0,1,ABS(0.2-J132*B133/I133)+ABS(0.2-K132*C133/I133)+ABS(0.2-L132*D133/I133)+ABS(0.2-M132*E133/I133)+ABS(0.2-N132*F133/I133)),0)</f>
        <v/>
      </c>
      <c r="Q133">
        <f>P133*0.0015</f>
        <v/>
      </c>
      <c r="R133">
        <f>I133*(1-Q133)</f>
        <v/>
      </c>
      <c r="S133">
        <f>R133/R132-1</f>
        <v/>
      </c>
      <c r="T133">
        <f>MAX(T132,R133)</f>
        <v/>
      </c>
      <c r="U133">
        <f>R133/T133-1</f>
        <v/>
      </c>
      <c r="V133" t="n">
        <v>1.383458853376144</v>
      </c>
      <c r="W133" s="5">
        <f>R133-V133</f>
        <v/>
      </c>
    </row>
    <row r="134">
      <c r="A134" s="3" t="n">
        <v>38632</v>
      </c>
      <c r="B134">
        <f>Prices!B134</f>
        <v/>
      </c>
      <c r="C134">
        <f>Prices!C134</f>
        <v/>
      </c>
      <c r="D134">
        <f>Prices!D134</f>
        <v/>
      </c>
      <c r="E134">
        <f>Prices!E134</f>
        <v/>
      </c>
      <c r="F134">
        <f>Prices!F134</f>
        <v/>
      </c>
      <c r="G134">
        <f>IF(AND(132&gt;=16,TEXT(A134,"yyyy-mm")&lt;&gt;TEXT(A135,"yyyy-mm")),1,0)</f>
        <v/>
      </c>
      <c r="H134">
        <f>IF(OR(H133=1,G134=1),1,0)</f>
        <v/>
      </c>
      <c r="I134">
        <f>IF(H133=0,1,SUMPRODUCT(J133:N133,B134:F134)+O133*(1+0.00023125256064071564))</f>
        <v/>
      </c>
      <c r="J134">
        <f>IF(G134=1,0.2*R134/B134,J133)</f>
        <v/>
      </c>
      <c r="K134">
        <f>IF(G134=1,0.2*R134/C134,K133)</f>
        <v/>
      </c>
      <c r="L134">
        <f>IF(G134=1,0.2*R134/D134,L133)</f>
        <v/>
      </c>
      <c r="M134">
        <f>IF(G134=1,0.2*R134/E134,M133)</f>
        <v/>
      </c>
      <c r="N134">
        <f>IF(G134=1,0.2*R134/F134,N133)</f>
        <v/>
      </c>
      <c r="O134">
        <f>IF(G134=1,R134*(1-1.0),IF(H133=0,1,O133*(1+0.00023125256064071564)))</f>
        <v/>
      </c>
      <c r="P134">
        <f>IF(G134=1,IF(H133=0,1,ABS(0.2-J133*B134/I134)+ABS(0.2-K133*C134/I134)+ABS(0.2-L133*D134/I134)+ABS(0.2-M133*E134/I134)+ABS(0.2-N133*F134/I134)),0)</f>
        <v/>
      </c>
      <c r="Q134">
        <f>P134*0.0015</f>
        <v/>
      </c>
      <c r="R134">
        <f>I134*(1-Q134)</f>
        <v/>
      </c>
      <c r="S134">
        <f>R134/R133-1</f>
        <v/>
      </c>
      <c r="T134">
        <f>MAX(T133,R134)</f>
        <v/>
      </c>
      <c r="U134">
        <f>R134/T134-1</f>
        <v/>
      </c>
      <c r="V134" t="n">
        <v>1.375264883438194</v>
      </c>
      <c r="W134" s="5">
        <f>R134-V134</f>
        <v/>
      </c>
    </row>
    <row r="135">
      <c r="A135" s="3" t="n">
        <v>38635</v>
      </c>
      <c r="B135">
        <f>Prices!B135</f>
        <v/>
      </c>
      <c r="C135">
        <f>Prices!C135</f>
        <v/>
      </c>
      <c r="D135">
        <f>Prices!D135</f>
        <v/>
      </c>
      <c r="E135">
        <f>Prices!E135</f>
        <v/>
      </c>
      <c r="F135">
        <f>Prices!F135</f>
        <v/>
      </c>
      <c r="G135">
        <f>IF(AND(133&gt;=16,TEXT(A135,"yyyy-mm")&lt;&gt;TEXT(A136,"yyyy-mm")),1,0)</f>
        <v/>
      </c>
      <c r="H135">
        <f>IF(OR(H134=1,G135=1),1,0)</f>
        <v/>
      </c>
      <c r="I135">
        <f>IF(H134=0,1,SUMPRODUCT(J134:N134,B135:F135)+O134*(1+0.00023125256064071564))</f>
        <v/>
      </c>
      <c r="J135">
        <f>IF(G135=1,0.2*R135/B135,J134)</f>
        <v/>
      </c>
      <c r="K135">
        <f>IF(G135=1,0.2*R135/C135,K134)</f>
        <v/>
      </c>
      <c r="L135">
        <f>IF(G135=1,0.2*R135/D135,L134)</f>
        <v/>
      </c>
      <c r="M135">
        <f>IF(G135=1,0.2*R135/E135,M134)</f>
        <v/>
      </c>
      <c r="N135">
        <f>IF(G135=1,0.2*R135/F135,N134)</f>
        <v/>
      </c>
      <c r="O135">
        <f>IF(G135=1,R135*(1-1.0),IF(H134=0,1,O134*(1+0.00023125256064071564)))</f>
        <v/>
      </c>
      <c r="P135">
        <f>IF(G135=1,IF(H134=0,1,ABS(0.2-J134*B135/I135)+ABS(0.2-K134*C135/I135)+ABS(0.2-L134*D135/I135)+ABS(0.2-M134*E135/I135)+ABS(0.2-N134*F135/I135)),0)</f>
        <v/>
      </c>
      <c r="Q135">
        <f>P135*0.0015</f>
        <v/>
      </c>
      <c r="R135">
        <f>I135*(1-Q135)</f>
        <v/>
      </c>
      <c r="S135">
        <f>R135/R134-1</f>
        <v/>
      </c>
      <c r="T135">
        <f>MAX(T134,R135)</f>
        <v/>
      </c>
      <c r="U135">
        <f>R135/T135-1</f>
        <v/>
      </c>
      <c r="V135" t="n">
        <v>1.367836894311993</v>
      </c>
      <c r="W135" s="5">
        <f>R135-V135</f>
        <v/>
      </c>
    </row>
    <row r="136">
      <c r="A136" s="3" t="n">
        <v>38636</v>
      </c>
      <c r="B136">
        <f>Prices!B136</f>
        <v/>
      </c>
      <c r="C136">
        <f>Prices!C136</f>
        <v/>
      </c>
      <c r="D136">
        <f>Prices!D136</f>
        <v/>
      </c>
      <c r="E136">
        <f>Prices!E136</f>
        <v/>
      </c>
      <c r="F136">
        <f>Prices!F136</f>
        <v/>
      </c>
      <c r="G136">
        <f>IF(AND(134&gt;=16,TEXT(A136,"yyyy-mm")&lt;&gt;TEXT(A137,"yyyy-mm")),1,0)</f>
        <v/>
      </c>
      <c r="H136">
        <f>IF(OR(H135=1,G136=1),1,0)</f>
        <v/>
      </c>
      <c r="I136">
        <f>IF(H135=0,1,SUMPRODUCT(J135:N135,B136:F136)+O135*(1+0.00023125256064071564))</f>
        <v/>
      </c>
      <c r="J136">
        <f>IF(G136=1,0.2*R136/B136,J135)</f>
        <v/>
      </c>
      <c r="K136">
        <f>IF(G136=1,0.2*R136/C136,K135)</f>
        <v/>
      </c>
      <c r="L136">
        <f>IF(G136=1,0.2*R136/D136,L135)</f>
        <v/>
      </c>
      <c r="M136">
        <f>IF(G136=1,0.2*R136/E136,M135)</f>
        <v/>
      </c>
      <c r="N136">
        <f>IF(G136=1,0.2*R136/F136,N135)</f>
        <v/>
      </c>
      <c r="O136">
        <f>IF(G136=1,R136*(1-1.0),IF(H135=0,1,O135*(1+0.00023125256064071564)))</f>
        <v/>
      </c>
      <c r="P136">
        <f>IF(G136=1,IF(H135=0,1,ABS(0.2-J135*B136/I136)+ABS(0.2-K135*C136/I136)+ABS(0.2-L135*D136/I136)+ABS(0.2-M135*E136/I136)+ABS(0.2-N135*F136/I136)),0)</f>
        <v/>
      </c>
      <c r="Q136">
        <f>P136*0.0015</f>
        <v/>
      </c>
      <c r="R136">
        <f>I136*(1-Q136)</f>
        <v/>
      </c>
      <c r="S136">
        <f>R136/R135-1</f>
        <v/>
      </c>
      <c r="T136">
        <f>MAX(T135,R136)</f>
        <v/>
      </c>
      <c r="U136">
        <f>R136/T136-1</f>
        <v/>
      </c>
      <c r="V136" t="n">
        <v>1.365542331327529</v>
      </c>
      <c r="W136" s="5">
        <f>R136-V136</f>
        <v/>
      </c>
    </row>
    <row r="137">
      <c r="A137" s="3" t="n">
        <v>38638</v>
      </c>
      <c r="B137">
        <f>Prices!B137</f>
        <v/>
      </c>
      <c r="C137">
        <f>Prices!C137</f>
        <v/>
      </c>
      <c r="D137">
        <f>Prices!D137</f>
        <v/>
      </c>
      <c r="E137">
        <f>Prices!E137</f>
        <v/>
      </c>
      <c r="F137">
        <f>Prices!F137</f>
        <v/>
      </c>
      <c r="G137">
        <f>IF(AND(135&gt;=16,TEXT(A137,"yyyy-mm")&lt;&gt;TEXT(A138,"yyyy-mm")),1,0)</f>
        <v/>
      </c>
      <c r="H137">
        <f>IF(OR(H136=1,G137=1),1,0)</f>
        <v/>
      </c>
      <c r="I137">
        <f>IF(H136=0,1,SUMPRODUCT(J136:N136,B137:F137)+O136*(1+0.00023125256064071564))</f>
        <v/>
      </c>
      <c r="J137">
        <f>IF(G137=1,0.2*R137/B137,J136)</f>
        <v/>
      </c>
      <c r="K137">
        <f>IF(G137=1,0.2*R137/C137,K136)</f>
        <v/>
      </c>
      <c r="L137">
        <f>IF(G137=1,0.2*R137/D137,L136)</f>
        <v/>
      </c>
      <c r="M137">
        <f>IF(G137=1,0.2*R137/E137,M136)</f>
        <v/>
      </c>
      <c r="N137">
        <f>IF(G137=1,0.2*R137/F137,N136)</f>
        <v/>
      </c>
      <c r="O137">
        <f>IF(G137=1,R137*(1-1.0),IF(H136=0,1,O136*(1+0.00023125256064071564)))</f>
        <v/>
      </c>
      <c r="P137">
        <f>IF(G137=1,IF(H136=0,1,ABS(0.2-J136*B137/I137)+ABS(0.2-K136*C137/I137)+ABS(0.2-L136*D137/I137)+ABS(0.2-M136*E137/I137)+ABS(0.2-N136*F137/I137)),0)</f>
        <v/>
      </c>
      <c r="Q137">
        <f>P137*0.0015</f>
        <v/>
      </c>
      <c r="R137">
        <f>I137*(1-Q137)</f>
        <v/>
      </c>
      <c r="S137">
        <f>R137/R136-1</f>
        <v/>
      </c>
      <c r="T137">
        <f>MAX(T136,R137)</f>
        <v/>
      </c>
      <c r="U137">
        <f>R137/T137-1</f>
        <v/>
      </c>
      <c r="V137" t="n">
        <v>1.345505816908002</v>
      </c>
      <c r="W137" s="5">
        <f>R137-V137</f>
        <v/>
      </c>
    </row>
    <row r="138">
      <c r="A138" s="3" t="n">
        <v>38639</v>
      </c>
      <c r="B138">
        <f>Prices!B138</f>
        <v/>
      </c>
      <c r="C138">
        <f>Prices!C138</f>
        <v/>
      </c>
      <c r="D138">
        <f>Prices!D138</f>
        <v/>
      </c>
      <c r="E138">
        <f>Prices!E138</f>
        <v/>
      </c>
      <c r="F138">
        <f>Prices!F138</f>
        <v/>
      </c>
      <c r="G138">
        <f>IF(AND(136&gt;=16,TEXT(A138,"yyyy-mm")&lt;&gt;TEXT(A139,"yyyy-mm")),1,0)</f>
        <v/>
      </c>
      <c r="H138">
        <f>IF(OR(H137=1,G138=1),1,0)</f>
        <v/>
      </c>
      <c r="I138">
        <f>IF(H137=0,1,SUMPRODUCT(J137:N137,B138:F138)+O137*(1+0.00023125256064071564))</f>
        <v/>
      </c>
      <c r="J138">
        <f>IF(G138=1,0.2*R138/B138,J137)</f>
        <v/>
      </c>
      <c r="K138">
        <f>IF(G138=1,0.2*R138/C138,K137)</f>
        <v/>
      </c>
      <c r="L138">
        <f>IF(G138=1,0.2*R138/D138,L137)</f>
        <v/>
      </c>
      <c r="M138">
        <f>IF(G138=1,0.2*R138/E138,M137)</f>
        <v/>
      </c>
      <c r="N138">
        <f>IF(G138=1,0.2*R138/F138,N137)</f>
        <v/>
      </c>
      <c r="O138">
        <f>IF(G138=1,R138*(1-1.0),IF(H137=0,1,O137*(1+0.00023125256064071564)))</f>
        <v/>
      </c>
      <c r="P138">
        <f>IF(G138=1,IF(H137=0,1,ABS(0.2-J137*B138/I138)+ABS(0.2-K137*C138/I138)+ABS(0.2-L137*D138/I138)+ABS(0.2-M137*E138/I138)+ABS(0.2-N137*F138/I138)),0)</f>
        <v/>
      </c>
      <c r="Q138">
        <f>P138*0.0015</f>
        <v/>
      </c>
      <c r="R138">
        <f>I138*(1-Q138)</f>
        <v/>
      </c>
      <c r="S138">
        <f>R138/R137-1</f>
        <v/>
      </c>
      <c r="T138">
        <f>MAX(T137,R138)</f>
        <v/>
      </c>
      <c r="U138">
        <f>R138/T138-1</f>
        <v/>
      </c>
      <c r="V138" t="n">
        <v>1.316526491909235</v>
      </c>
      <c r="W138" s="5">
        <f>R138-V138</f>
        <v/>
      </c>
    </row>
    <row r="139">
      <c r="A139" s="3" t="n">
        <v>38642</v>
      </c>
      <c r="B139">
        <f>Prices!B139</f>
        <v/>
      </c>
      <c r="C139">
        <f>Prices!C139</f>
        <v/>
      </c>
      <c r="D139">
        <f>Prices!D139</f>
        <v/>
      </c>
      <c r="E139">
        <f>Prices!E139</f>
        <v/>
      </c>
      <c r="F139">
        <f>Prices!F139</f>
        <v/>
      </c>
      <c r="G139">
        <f>IF(AND(137&gt;=16,TEXT(A139,"yyyy-mm")&lt;&gt;TEXT(A140,"yyyy-mm")),1,0)</f>
        <v/>
      </c>
      <c r="H139">
        <f>IF(OR(H138=1,G139=1),1,0)</f>
        <v/>
      </c>
      <c r="I139">
        <f>IF(H138=0,1,SUMPRODUCT(J138:N138,B139:F139)+O138*(1+0.00023125256064071564))</f>
        <v/>
      </c>
      <c r="J139">
        <f>IF(G139=1,0.2*R139/B139,J138)</f>
        <v/>
      </c>
      <c r="K139">
        <f>IF(G139=1,0.2*R139/C139,K138)</f>
        <v/>
      </c>
      <c r="L139">
        <f>IF(G139=1,0.2*R139/D139,L138)</f>
        <v/>
      </c>
      <c r="M139">
        <f>IF(G139=1,0.2*R139/E139,M138)</f>
        <v/>
      </c>
      <c r="N139">
        <f>IF(G139=1,0.2*R139/F139,N138)</f>
        <v/>
      </c>
      <c r="O139">
        <f>IF(G139=1,R139*(1-1.0),IF(H138=0,1,O138*(1+0.00023125256064071564)))</f>
        <v/>
      </c>
      <c r="P139">
        <f>IF(G139=1,IF(H138=0,1,ABS(0.2-J138*B139/I139)+ABS(0.2-K138*C139/I139)+ABS(0.2-L138*D139/I139)+ABS(0.2-M138*E139/I139)+ABS(0.2-N138*F139/I139)),0)</f>
        <v/>
      </c>
      <c r="Q139">
        <f>P139*0.0015</f>
        <v/>
      </c>
      <c r="R139">
        <f>I139*(1-Q139)</f>
        <v/>
      </c>
      <c r="S139">
        <f>R139/R138-1</f>
        <v/>
      </c>
      <c r="T139">
        <f>MAX(T138,R139)</f>
        <v/>
      </c>
      <c r="U139">
        <f>R139/T139-1</f>
        <v/>
      </c>
      <c r="V139" t="n">
        <v>1.309416053517032</v>
      </c>
      <c r="W139" s="5">
        <f>R139-V139</f>
        <v/>
      </c>
    </row>
    <row r="140">
      <c r="A140" s="3" t="n">
        <v>38643</v>
      </c>
      <c r="B140">
        <f>Prices!B140</f>
        <v/>
      </c>
      <c r="C140">
        <f>Prices!C140</f>
        <v/>
      </c>
      <c r="D140">
        <f>Prices!D140</f>
        <v/>
      </c>
      <c r="E140">
        <f>Prices!E140</f>
        <v/>
      </c>
      <c r="F140">
        <f>Prices!F140</f>
        <v/>
      </c>
      <c r="G140">
        <f>IF(AND(138&gt;=16,TEXT(A140,"yyyy-mm")&lt;&gt;TEXT(A141,"yyyy-mm")),1,0)</f>
        <v/>
      </c>
      <c r="H140">
        <f>IF(OR(H139=1,G140=1),1,0)</f>
        <v/>
      </c>
      <c r="I140">
        <f>IF(H139=0,1,SUMPRODUCT(J139:N139,B140:F140)+O139*(1+0.00023125256064071564))</f>
        <v/>
      </c>
      <c r="J140">
        <f>IF(G140=1,0.2*R140/B140,J139)</f>
        <v/>
      </c>
      <c r="K140">
        <f>IF(G140=1,0.2*R140/C140,K139)</f>
        <v/>
      </c>
      <c r="L140">
        <f>IF(G140=1,0.2*R140/D140,L139)</f>
        <v/>
      </c>
      <c r="M140">
        <f>IF(G140=1,0.2*R140/E140,M139)</f>
        <v/>
      </c>
      <c r="N140">
        <f>IF(G140=1,0.2*R140/F140,N139)</f>
        <v/>
      </c>
      <c r="O140">
        <f>IF(G140=1,R140*(1-1.0),IF(H139=0,1,O139*(1+0.00023125256064071564)))</f>
        <v/>
      </c>
      <c r="P140">
        <f>IF(G140=1,IF(H139=0,1,ABS(0.2-J139*B140/I140)+ABS(0.2-K139*C140/I140)+ABS(0.2-L139*D140/I140)+ABS(0.2-M139*E140/I140)+ABS(0.2-N139*F140/I140)),0)</f>
        <v/>
      </c>
      <c r="Q140">
        <f>P140*0.0015</f>
        <v/>
      </c>
      <c r="R140">
        <f>I140*(1-Q140)</f>
        <v/>
      </c>
      <c r="S140">
        <f>R140/R139-1</f>
        <v/>
      </c>
      <c r="T140">
        <f>MAX(T139,R140)</f>
        <v/>
      </c>
      <c r="U140">
        <f>R140/T140-1</f>
        <v/>
      </c>
      <c r="V140" t="n">
        <v>1.302812713988756</v>
      </c>
      <c r="W140" s="5">
        <f>R140-V140</f>
        <v/>
      </c>
    </row>
    <row r="141">
      <c r="A141" s="3" t="n">
        <v>38644</v>
      </c>
      <c r="B141">
        <f>Prices!B141</f>
        <v/>
      </c>
      <c r="C141">
        <f>Prices!C141</f>
        <v/>
      </c>
      <c r="D141">
        <f>Prices!D141</f>
        <v/>
      </c>
      <c r="E141">
        <f>Prices!E141</f>
        <v/>
      </c>
      <c r="F141">
        <f>Prices!F141</f>
        <v/>
      </c>
      <c r="G141">
        <f>IF(AND(139&gt;=16,TEXT(A141,"yyyy-mm")&lt;&gt;TEXT(A142,"yyyy-mm")),1,0)</f>
        <v/>
      </c>
      <c r="H141">
        <f>IF(OR(H140=1,G141=1),1,0)</f>
        <v/>
      </c>
      <c r="I141">
        <f>IF(H140=0,1,SUMPRODUCT(J140:N140,B141:F141)+O140*(1+0.00023125256064071564))</f>
        <v/>
      </c>
      <c r="J141">
        <f>IF(G141=1,0.2*R141/B141,J140)</f>
        <v/>
      </c>
      <c r="K141">
        <f>IF(G141=1,0.2*R141/C141,K140)</f>
        <v/>
      </c>
      <c r="L141">
        <f>IF(G141=1,0.2*R141/D141,L140)</f>
        <v/>
      </c>
      <c r="M141">
        <f>IF(G141=1,0.2*R141/E141,M140)</f>
        <v/>
      </c>
      <c r="N141">
        <f>IF(G141=1,0.2*R141/F141,N140)</f>
        <v/>
      </c>
      <c r="O141">
        <f>IF(G141=1,R141*(1-1.0),IF(H140=0,1,O140*(1+0.00023125256064071564)))</f>
        <v/>
      </c>
      <c r="P141">
        <f>IF(G141=1,IF(H140=0,1,ABS(0.2-J140*B141/I141)+ABS(0.2-K140*C141/I141)+ABS(0.2-L140*D141/I141)+ABS(0.2-M140*E141/I141)+ABS(0.2-N140*F141/I141)),0)</f>
        <v/>
      </c>
      <c r="Q141">
        <f>P141*0.0015</f>
        <v/>
      </c>
      <c r="R141">
        <f>I141*(1-Q141)</f>
        <v/>
      </c>
      <c r="S141">
        <f>R141/R140-1</f>
        <v/>
      </c>
      <c r="T141">
        <f>MAX(T140,R141)</f>
        <v/>
      </c>
      <c r="U141">
        <f>R141/T141-1</f>
        <v/>
      </c>
      <c r="V141" t="n">
        <v>1.263933172591597</v>
      </c>
      <c r="W141" s="5">
        <f>R141-V141</f>
        <v/>
      </c>
    </row>
    <row r="142">
      <c r="A142" s="3" t="n">
        <v>38645</v>
      </c>
      <c r="B142">
        <f>Prices!B142</f>
        <v/>
      </c>
      <c r="C142">
        <f>Prices!C142</f>
        <v/>
      </c>
      <c r="D142">
        <f>Prices!D142</f>
        <v/>
      </c>
      <c r="E142">
        <f>Prices!E142</f>
        <v/>
      </c>
      <c r="F142">
        <f>Prices!F142</f>
        <v/>
      </c>
      <c r="G142">
        <f>IF(AND(140&gt;=16,TEXT(A142,"yyyy-mm")&lt;&gt;TEXT(A143,"yyyy-mm")),1,0)</f>
        <v/>
      </c>
      <c r="H142">
        <f>IF(OR(H141=1,G142=1),1,0)</f>
        <v/>
      </c>
      <c r="I142">
        <f>IF(H141=0,1,SUMPRODUCT(J141:N141,B142:F142)+O141*(1+0.00023125256064071564))</f>
        <v/>
      </c>
      <c r="J142">
        <f>IF(G142=1,0.2*R142/B142,J141)</f>
        <v/>
      </c>
      <c r="K142">
        <f>IF(G142=1,0.2*R142/C142,K141)</f>
        <v/>
      </c>
      <c r="L142">
        <f>IF(G142=1,0.2*R142/D142,L141)</f>
        <v/>
      </c>
      <c r="M142">
        <f>IF(G142=1,0.2*R142/E142,M141)</f>
        <v/>
      </c>
      <c r="N142">
        <f>IF(G142=1,0.2*R142/F142,N141)</f>
        <v/>
      </c>
      <c r="O142">
        <f>IF(G142=1,R142*(1-1.0),IF(H141=0,1,O141*(1+0.00023125256064071564)))</f>
        <v/>
      </c>
      <c r="P142">
        <f>IF(G142=1,IF(H141=0,1,ABS(0.2-J141*B142/I142)+ABS(0.2-K141*C142/I142)+ABS(0.2-L141*D142/I142)+ABS(0.2-M141*E142/I142)+ABS(0.2-N141*F142/I142)),0)</f>
        <v/>
      </c>
      <c r="Q142">
        <f>P142*0.0015</f>
        <v/>
      </c>
      <c r="R142">
        <f>I142*(1-Q142)</f>
        <v/>
      </c>
      <c r="S142">
        <f>R142/R141-1</f>
        <v/>
      </c>
      <c r="T142">
        <f>MAX(T141,R142)</f>
        <v/>
      </c>
      <c r="U142">
        <f>R142/T142-1</f>
        <v/>
      </c>
      <c r="V142" t="n">
        <v>1.244848458544122</v>
      </c>
      <c r="W142" s="5">
        <f>R142-V142</f>
        <v/>
      </c>
    </row>
    <row r="143">
      <c r="A143" s="3" t="n">
        <v>38646</v>
      </c>
      <c r="B143">
        <f>Prices!B143</f>
        <v/>
      </c>
      <c r="C143">
        <f>Prices!C143</f>
        <v/>
      </c>
      <c r="D143">
        <f>Prices!D143</f>
        <v/>
      </c>
      <c r="E143">
        <f>Prices!E143</f>
        <v/>
      </c>
      <c r="F143">
        <f>Prices!F143</f>
        <v/>
      </c>
      <c r="G143">
        <f>IF(AND(141&gt;=16,TEXT(A143,"yyyy-mm")&lt;&gt;TEXT(A144,"yyyy-mm")),1,0)</f>
        <v/>
      </c>
      <c r="H143">
        <f>IF(OR(H142=1,G143=1),1,0)</f>
        <v/>
      </c>
      <c r="I143">
        <f>IF(H142=0,1,SUMPRODUCT(J142:N142,B143:F143)+O142*(1+0.00023125256064071564))</f>
        <v/>
      </c>
      <c r="J143">
        <f>IF(G143=1,0.2*R143/B143,J142)</f>
        <v/>
      </c>
      <c r="K143">
        <f>IF(G143=1,0.2*R143/C143,K142)</f>
        <v/>
      </c>
      <c r="L143">
        <f>IF(G143=1,0.2*R143/D143,L142)</f>
        <v/>
      </c>
      <c r="M143">
        <f>IF(G143=1,0.2*R143/E143,M142)</f>
        <v/>
      </c>
      <c r="N143">
        <f>IF(G143=1,0.2*R143/F143,N142)</f>
        <v/>
      </c>
      <c r="O143">
        <f>IF(G143=1,R143*(1-1.0),IF(H142=0,1,O142*(1+0.00023125256064071564)))</f>
        <v/>
      </c>
      <c r="P143">
        <f>IF(G143=1,IF(H142=0,1,ABS(0.2-J142*B143/I143)+ABS(0.2-K142*C143/I143)+ABS(0.2-L142*D143/I143)+ABS(0.2-M142*E143/I143)+ABS(0.2-N142*F143/I143)),0)</f>
        <v/>
      </c>
      <c r="Q143">
        <f>P143*0.0015</f>
        <v/>
      </c>
      <c r="R143">
        <f>I143*(1-Q143)</f>
        <v/>
      </c>
      <c r="S143">
        <f>R143/R142-1</f>
        <v/>
      </c>
      <c r="T143">
        <f>MAX(T142,R143)</f>
        <v/>
      </c>
      <c r="U143">
        <f>R143/T143-1</f>
        <v/>
      </c>
      <c r="V143" t="n">
        <v>1.266295098726165</v>
      </c>
      <c r="W143" s="5">
        <f>R143-V143</f>
        <v/>
      </c>
    </row>
    <row r="144">
      <c r="A144" s="3" t="n">
        <v>38649</v>
      </c>
      <c r="B144">
        <f>Prices!B144</f>
        <v/>
      </c>
      <c r="C144">
        <f>Prices!C144</f>
        <v/>
      </c>
      <c r="D144">
        <f>Prices!D144</f>
        <v/>
      </c>
      <c r="E144">
        <f>Prices!E144</f>
        <v/>
      </c>
      <c r="F144">
        <f>Prices!F144</f>
        <v/>
      </c>
      <c r="G144">
        <f>IF(AND(142&gt;=16,TEXT(A144,"yyyy-mm")&lt;&gt;TEXT(A145,"yyyy-mm")),1,0)</f>
        <v/>
      </c>
      <c r="H144">
        <f>IF(OR(H143=1,G144=1),1,0)</f>
        <v/>
      </c>
      <c r="I144">
        <f>IF(H143=0,1,SUMPRODUCT(J143:N143,B144:F144)+O143*(1+0.00023125256064071564))</f>
        <v/>
      </c>
      <c r="J144">
        <f>IF(G144=1,0.2*R144/B144,J143)</f>
        <v/>
      </c>
      <c r="K144">
        <f>IF(G144=1,0.2*R144/C144,K143)</f>
        <v/>
      </c>
      <c r="L144">
        <f>IF(G144=1,0.2*R144/D144,L143)</f>
        <v/>
      </c>
      <c r="M144">
        <f>IF(G144=1,0.2*R144/E144,M143)</f>
        <v/>
      </c>
      <c r="N144">
        <f>IF(G144=1,0.2*R144/F144,N143)</f>
        <v/>
      </c>
      <c r="O144">
        <f>IF(G144=1,R144*(1-1.0),IF(H143=0,1,O143*(1+0.00023125256064071564)))</f>
        <v/>
      </c>
      <c r="P144">
        <f>IF(G144=1,IF(H143=0,1,ABS(0.2-J143*B144/I144)+ABS(0.2-K143*C144/I144)+ABS(0.2-L143*D144/I144)+ABS(0.2-M143*E144/I144)+ABS(0.2-N143*F144/I144)),0)</f>
        <v/>
      </c>
      <c r="Q144">
        <f>P144*0.0015</f>
        <v/>
      </c>
      <c r="R144">
        <f>I144*(1-Q144)</f>
        <v/>
      </c>
      <c r="S144">
        <f>R144/R143-1</f>
        <v/>
      </c>
      <c r="T144">
        <f>MAX(T143,R144)</f>
        <v/>
      </c>
      <c r="U144">
        <f>R144/T144-1</f>
        <v/>
      </c>
      <c r="V144" t="n">
        <v>1.25948785837941</v>
      </c>
      <c r="W144" s="5">
        <f>R144-V144</f>
        <v/>
      </c>
    </row>
    <row r="145">
      <c r="A145" s="3" t="n">
        <v>38650</v>
      </c>
      <c r="B145">
        <f>Prices!B145</f>
        <v/>
      </c>
      <c r="C145">
        <f>Prices!C145</f>
        <v/>
      </c>
      <c r="D145">
        <f>Prices!D145</f>
        <v/>
      </c>
      <c r="E145">
        <f>Prices!E145</f>
        <v/>
      </c>
      <c r="F145">
        <f>Prices!F145</f>
        <v/>
      </c>
      <c r="G145">
        <f>IF(AND(143&gt;=16,TEXT(A145,"yyyy-mm")&lt;&gt;TEXT(A146,"yyyy-mm")),1,0)</f>
        <v/>
      </c>
      <c r="H145">
        <f>IF(OR(H144=1,G145=1),1,0)</f>
        <v/>
      </c>
      <c r="I145">
        <f>IF(H144=0,1,SUMPRODUCT(J144:N144,B145:F145)+O144*(1+0.00023125256064071564))</f>
        <v/>
      </c>
      <c r="J145">
        <f>IF(G145=1,0.2*R145/B145,J144)</f>
        <v/>
      </c>
      <c r="K145">
        <f>IF(G145=1,0.2*R145/C145,K144)</f>
        <v/>
      </c>
      <c r="L145">
        <f>IF(G145=1,0.2*R145/D145,L144)</f>
        <v/>
      </c>
      <c r="M145">
        <f>IF(G145=1,0.2*R145/E145,M144)</f>
        <v/>
      </c>
      <c r="N145">
        <f>IF(G145=1,0.2*R145/F145,N144)</f>
        <v/>
      </c>
      <c r="O145">
        <f>IF(G145=1,R145*(1-1.0),IF(H144=0,1,O144*(1+0.00023125256064071564)))</f>
        <v/>
      </c>
      <c r="P145">
        <f>IF(G145=1,IF(H144=0,1,ABS(0.2-J144*B145/I145)+ABS(0.2-K144*C145/I145)+ABS(0.2-L144*D145/I145)+ABS(0.2-M144*E145/I145)+ABS(0.2-N144*F145/I145)),0)</f>
        <v/>
      </c>
      <c r="Q145">
        <f>P145*0.0015</f>
        <v/>
      </c>
      <c r="R145">
        <f>I145*(1-Q145)</f>
        <v/>
      </c>
      <c r="S145">
        <f>R145/R144-1</f>
        <v/>
      </c>
      <c r="T145">
        <f>MAX(T144,R145)</f>
        <v/>
      </c>
      <c r="U145">
        <f>R145/T145-1</f>
        <v/>
      </c>
      <c r="V145" t="n">
        <v>1.263156474213154</v>
      </c>
      <c r="W145" s="5">
        <f>R145-V145</f>
        <v/>
      </c>
    </row>
    <row r="146">
      <c r="A146" s="3" t="n">
        <v>38651</v>
      </c>
      <c r="B146">
        <f>Prices!B146</f>
        <v/>
      </c>
      <c r="C146">
        <f>Prices!C146</f>
        <v/>
      </c>
      <c r="D146">
        <f>Prices!D146</f>
        <v/>
      </c>
      <c r="E146">
        <f>Prices!E146</f>
        <v/>
      </c>
      <c r="F146">
        <f>Prices!F146</f>
        <v/>
      </c>
      <c r="G146">
        <f>IF(AND(144&gt;=16,TEXT(A146,"yyyy-mm")&lt;&gt;TEXT(A147,"yyyy-mm")),1,0)</f>
        <v/>
      </c>
      <c r="H146">
        <f>IF(OR(H145=1,G146=1),1,0)</f>
        <v/>
      </c>
      <c r="I146">
        <f>IF(H145=0,1,SUMPRODUCT(J145:N145,B146:F146)+O145*(1+0.00023125256064071564))</f>
        <v/>
      </c>
      <c r="J146">
        <f>IF(G146=1,0.2*R146/B146,J145)</f>
        <v/>
      </c>
      <c r="K146">
        <f>IF(G146=1,0.2*R146/C146,K145)</f>
        <v/>
      </c>
      <c r="L146">
        <f>IF(G146=1,0.2*R146/D146,L145)</f>
        <v/>
      </c>
      <c r="M146">
        <f>IF(G146=1,0.2*R146/E146,M145)</f>
        <v/>
      </c>
      <c r="N146">
        <f>IF(G146=1,0.2*R146/F146,N145)</f>
        <v/>
      </c>
      <c r="O146">
        <f>IF(G146=1,R146*(1-1.0),IF(H145=0,1,O145*(1+0.00023125256064071564)))</f>
        <v/>
      </c>
      <c r="P146">
        <f>IF(G146=1,IF(H145=0,1,ABS(0.2-J145*B146/I146)+ABS(0.2-K145*C146/I146)+ABS(0.2-L145*D146/I146)+ABS(0.2-M145*E146/I146)+ABS(0.2-N145*F146/I146)),0)</f>
        <v/>
      </c>
      <c r="Q146">
        <f>P146*0.0015</f>
        <v/>
      </c>
      <c r="R146">
        <f>I146*(1-Q146)</f>
        <v/>
      </c>
      <c r="S146">
        <f>R146/R145-1</f>
        <v/>
      </c>
      <c r="T146">
        <f>MAX(T145,R146)</f>
        <v/>
      </c>
      <c r="U146">
        <f>R146/T146-1</f>
        <v/>
      </c>
      <c r="V146" t="n">
        <v>1.257524739809865</v>
      </c>
      <c r="W146" s="5">
        <f>R146-V146</f>
        <v/>
      </c>
    </row>
    <row r="147">
      <c r="A147" s="3" t="n">
        <v>38652</v>
      </c>
      <c r="B147">
        <f>Prices!B147</f>
        <v/>
      </c>
      <c r="C147">
        <f>Prices!C147</f>
        <v/>
      </c>
      <c r="D147">
        <f>Prices!D147</f>
        <v/>
      </c>
      <c r="E147">
        <f>Prices!E147</f>
        <v/>
      </c>
      <c r="F147">
        <f>Prices!F147</f>
        <v/>
      </c>
      <c r="G147">
        <f>IF(AND(145&gt;=16,TEXT(A147,"yyyy-mm")&lt;&gt;TEXT(A148,"yyyy-mm")),1,0)</f>
        <v/>
      </c>
      <c r="H147">
        <f>IF(OR(H146=1,G147=1),1,0)</f>
        <v/>
      </c>
      <c r="I147">
        <f>IF(H146=0,1,SUMPRODUCT(J146:N146,B147:F147)+O146*(1+0.00023125256064071564))</f>
        <v/>
      </c>
      <c r="J147">
        <f>IF(G147=1,0.2*R147/B147,J146)</f>
        <v/>
      </c>
      <c r="K147">
        <f>IF(G147=1,0.2*R147/C147,K146)</f>
        <v/>
      </c>
      <c r="L147">
        <f>IF(G147=1,0.2*R147/D147,L146)</f>
        <v/>
      </c>
      <c r="M147">
        <f>IF(G147=1,0.2*R147/E147,M146)</f>
        <v/>
      </c>
      <c r="N147">
        <f>IF(G147=1,0.2*R147/F147,N146)</f>
        <v/>
      </c>
      <c r="O147">
        <f>IF(G147=1,R147*(1-1.0),IF(H146=0,1,O146*(1+0.00023125256064071564)))</f>
        <v/>
      </c>
      <c r="P147">
        <f>IF(G147=1,IF(H146=0,1,ABS(0.2-J146*B147/I147)+ABS(0.2-K146*C147/I147)+ABS(0.2-L146*D147/I147)+ABS(0.2-M146*E147/I147)+ABS(0.2-N146*F147/I147)),0)</f>
        <v/>
      </c>
      <c r="Q147">
        <f>P147*0.0015</f>
        <v/>
      </c>
      <c r="R147">
        <f>I147*(1-Q147)</f>
        <v/>
      </c>
      <c r="S147">
        <f>R147/R146-1</f>
        <v/>
      </c>
      <c r="T147">
        <f>MAX(T146,R147)</f>
        <v/>
      </c>
      <c r="U147">
        <f>R147/T147-1</f>
        <v/>
      </c>
      <c r="V147" t="n">
        <v>1.230030251022342</v>
      </c>
      <c r="W147" s="5">
        <f>R147-V147</f>
        <v/>
      </c>
    </row>
    <row r="148">
      <c r="A148" s="3" t="n">
        <v>38653</v>
      </c>
      <c r="B148">
        <f>Prices!B148</f>
        <v/>
      </c>
      <c r="C148">
        <f>Prices!C148</f>
        <v/>
      </c>
      <c r="D148">
        <f>Prices!D148</f>
        <v/>
      </c>
      <c r="E148">
        <f>Prices!E148</f>
        <v/>
      </c>
      <c r="F148">
        <f>Prices!F148</f>
        <v/>
      </c>
      <c r="G148">
        <f>IF(AND(146&gt;=16,TEXT(A148,"yyyy-mm")&lt;&gt;TEXT(A149,"yyyy-mm")),1,0)</f>
        <v/>
      </c>
      <c r="H148">
        <f>IF(OR(H147=1,G148=1),1,0)</f>
        <v/>
      </c>
      <c r="I148">
        <f>IF(H147=0,1,SUMPRODUCT(J147:N147,B148:F148)+O147*(1+0.00023125256064071564))</f>
        <v/>
      </c>
      <c r="J148">
        <f>IF(G148=1,0.2*R148/B148,J147)</f>
        <v/>
      </c>
      <c r="K148">
        <f>IF(G148=1,0.2*R148/C148,K147)</f>
        <v/>
      </c>
      <c r="L148">
        <f>IF(G148=1,0.2*R148/D148,L147)</f>
        <v/>
      </c>
      <c r="M148">
        <f>IF(G148=1,0.2*R148/E148,M147)</f>
        <v/>
      </c>
      <c r="N148">
        <f>IF(G148=1,0.2*R148/F148,N147)</f>
        <v/>
      </c>
      <c r="O148">
        <f>IF(G148=1,R148*(1-1.0),IF(H147=0,1,O147*(1+0.00023125256064071564)))</f>
        <v/>
      </c>
      <c r="P148">
        <f>IF(G148=1,IF(H147=0,1,ABS(0.2-J147*B148/I148)+ABS(0.2-K147*C148/I148)+ABS(0.2-L147*D148/I148)+ABS(0.2-M147*E148/I148)+ABS(0.2-N147*F148/I148)),0)</f>
        <v/>
      </c>
      <c r="Q148">
        <f>P148*0.0015</f>
        <v/>
      </c>
      <c r="R148">
        <f>I148*(1-Q148)</f>
        <v/>
      </c>
      <c r="S148">
        <f>R148/R147-1</f>
        <v/>
      </c>
      <c r="T148">
        <f>MAX(T147,R148)</f>
        <v/>
      </c>
      <c r="U148">
        <f>R148/T148-1</f>
        <v/>
      </c>
      <c r="V148" t="n">
        <v>1.207472346306569</v>
      </c>
      <c r="W148" s="5">
        <f>R148-V148</f>
        <v/>
      </c>
    </row>
    <row r="149">
      <c r="A149" s="3" t="n">
        <v>38656</v>
      </c>
      <c r="B149">
        <f>Prices!B149</f>
        <v/>
      </c>
      <c r="C149">
        <f>Prices!C149</f>
        <v/>
      </c>
      <c r="D149">
        <f>Prices!D149</f>
        <v/>
      </c>
      <c r="E149">
        <f>Prices!E149</f>
        <v/>
      </c>
      <c r="F149">
        <f>Prices!F149</f>
        <v/>
      </c>
      <c r="G149">
        <f>IF(AND(147&gt;=16,TEXT(A149,"yyyy-mm")&lt;&gt;TEXT(A150,"yyyy-mm")),1,0)</f>
        <v/>
      </c>
      <c r="H149">
        <f>IF(OR(H148=1,G149=1),1,0)</f>
        <v/>
      </c>
      <c r="I149">
        <f>IF(H148=0,1,SUMPRODUCT(J148:N148,B149:F149)+O148*(1+0.00023125256064071564))</f>
        <v/>
      </c>
      <c r="J149">
        <f>IF(G149=1,0.2*R149/B149,J148)</f>
        <v/>
      </c>
      <c r="K149">
        <f>IF(G149=1,0.2*R149/C149,K148)</f>
        <v/>
      </c>
      <c r="L149">
        <f>IF(G149=1,0.2*R149/D149,L148)</f>
        <v/>
      </c>
      <c r="M149">
        <f>IF(G149=1,0.2*R149/E149,M148)</f>
        <v/>
      </c>
      <c r="N149">
        <f>IF(G149=1,0.2*R149/F149,N148)</f>
        <v/>
      </c>
      <c r="O149">
        <f>IF(G149=1,R149*(1-1.0),IF(H148=0,1,O148*(1+0.00023125256064071564)))</f>
        <v/>
      </c>
      <c r="P149">
        <f>IF(G149=1,IF(H148=0,1,ABS(0.2-J148*B149/I149)+ABS(0.2-K148*C149/I149)+ABS(0.2-L148*D149/I149)+ABS(0.2-M148*E149/I149)+ABS(0.2-N148*F149/I149)),0)</f>
        <v/>
      </c>
      <c r="Q149">
        <f>P149*0.0015</f>
        <v/>
      </c>
      <c r="R149">
        <f>I149*(1-Q149)</f>
        <v/>
      </c>
      <c r="S149">
        <f>R149/R148-1</f>
        <v/>
      </c>
      <c r="T149">
        <f>MAX(T148,R149)</f>
        <v/>
      </c>
      <c r="U149">
        <f>R149/T149-1</f>
        <v/>
      </c>
      <c r="V149" t="n">
        <v>1.238075562749141</v>
      </c>
      <c r="W149" s="5">
        <f>R149-V149</f>
        <v/>
      </c>
    </row>
    <row r="150">
      <c r="A150" s="3" t="n">
        <v>38657</v>
      </c>
      <c r="B150">
        <f>Prices!B150</f>
        <v/>
      </c>
      <c r="C150">
        <f>Prices!C150</f>
        <v/>
      </c>
      <c r="D150">
        <f>Prices!D150</f>
        <v/>
      </c>
      <c r="E150">
        <f>Prices!E150</f>
        <v/>
      </c>
      <c r="F150">
        <f>Prices!F150</f>
        <v/>
      </c>
      <c r="G150">
        <f>IF(AND(148&gt;=16,TEXT(A150,"yyyy-mm")&lt;&gt;TEXT(A151,"yyyy-mm")),1,0)</f>
        <v/>
      </c>
      <c r="H150">
        <f>IF(OR(H149=1,G150=1),1,0)</f>
        <v/>
      </c>
      <c r="I150">
        <f>IF(H149=0,1,SUMPRODUCT(J149:N149,B150:F150)+O149*(1+0.00023125256064071564))</f>
        <v/>
      </c>
      <c r="J150">
        <f>IF(G150=1,0.2*R150/B150,J149)</f>
        <v/>
      </c>
      <c r="K150">
        <f>IF(G150=1,0.2*R150/C150,K149)</f>
        <v/>
      </c>
      <c r="L150">
        <f>IF(G150=1,0.2*R150/D150,L149)</f>
        <v/>
      </c>
      <c r="M150">
        <f>IF(G150=1,0.2*R150/E150,M149)</f>
        <v/>
      </c>
      <c r="N150">
        <f>IF(G150=1,0.2*R150/F150,N149)</f>
        <v/>
      </c>
      <c r="O150">
        <f>IF(G150=1,R150*(1-1.0),IF(H149=0,1,O149*(1+0.00023125256064071564)))</f>
        <v/>
      </c>
      <c r="P150">
        <f>IF(G150=1,IF(H149=0,1,ABS(0.2-J149*B150/I150)+ABS(0.2-K149*C150/I150)+ABS(0.2-L149*D150/I150)+ABS(0.2-M149*E150/I150)+ABS(0.2-N149*F150/I150)),0)</f>
        <v/>
      </c>
      <c r="Q150">
        <f>P150*0.0015</f>
        <v/>
      </c>
      <c r="R150">
        <f>I150*(1-Q150)</f>
        <v/>
      </c>
      <c r="S150">
        <f>R150/R149-1</f>
        <v/>
      </c>
      <c r="T150">
        <f>MAX(T149,R150)</f>
        <v/>
      </c>
      <c r="U150">
        <f>R150/T150-1</f>
        <v/>
      </c>
      <c r="V150" t="n">
        <v>1.253725504088182</v>
      </c>
      <c r="W150" s="5">
        <f>R150-V150</f>
        <v/>
      </c>
    </row>
    <row r="151">
      <c r="A151" s="3" t="n">
        <v>38658</v>
      </c>
      <c r="B151">
        <f>Prices!B151</f>
        <v/>
      </c>
      <c r="C151">
        <f>Prices!C151</f>
        <v/>
      </c>
      <c r="D151">
        <f>Prices!D151</f>
        <v/>
      </c>
      <c r="E151">
        <f>Prices!E151</f>
        <v/>
      </c>
      <c r="F151">
        <f>Prices!F151</f>
        <v/>
      </c>
      <c r="G151">
        <f>IF(AND(149&gt;=16,TEXT(A151,"yyyy-mm")&lt;&gt;TEXT(A152,"yyyy-mm")),1,0)</f>
        <v/>
      </c>
      <c r="H151">
        <f>IF(OR(H150=1,G151=1),1,0)</f>
        <v/>
      </c>
      <c r="I151">
        <f>IF(H150=0,1,SUMPRODUCT(J150:N150,B151:F151)+O150*(1+0.00023125256064071564))</f>
        <v/>
      </c>
      <c r="J151">
        <f>IF(G151=1,0.2*R151/B151,J150)</f>
        <v/>
      </c>
      <c r="K151">
        <f>IF(G151=1,0.2*R151/C151,K150)</f>
        <v/>
      </c>
      <c r="L151">
        <f>IF(G151=1,0.2*R151/D151,L150)</f>
        <v/>
      </c>
      <c r="M151">
        <f>IF(G151=1,0.2*R151/E151,M150)</f>
        <v/>
      </c>
      <c r="N151">
        <f>IF(G151=1,0.2*R151/F151,N150)</f>
        <v/>
      </c>
      <c r="O151">
        <f>IF(G151=1,R151*(1-1.0),IF(H150=0,1,O150*(1+0.00023125256064071564)))</f>
        <v/>
      </c>
      <c r="P151">
        <f>IF(G151=1,IF(H150=0,1,ABS(0.2-J150*B151/I151)+ABS(0.2-K150*C151/I151)+ABS(0.2-L150*D151/I151)+ABS(0.2-M150*E151/I151)+ABS(0.2-N150*F151/I151)),0)</f>
        <v/>
      </c>
      <c r="Q151">
        <f>P151*0.0015</f>
        <v/>
      </c>
      <c r="R151">
        <f>I151*(1-Q151)</f>
        <v/>
      </c>
      <c r="S151">
        <f>R151/R150-1</f>
        <v/>
      </c>
      <c r="T151">
        <f>MAX(T150,R151)</f>
        <v/>
      </c>
      <c r="U151">
        <f>R151/T151-1</f>
        <v/>
      </c>
      <c r="V151" t="n">
        <v>1.266839146891461</v>
      </c>
      <c r="W151" s="5">
        <f>R151-V151</f>
        <v/>
      </c>
    </row>
    <row r="152">
      <c r="A152" s="3" t="n">
        <v>38663</v>
      </c>
      <c r="B152">
        <f>Prices!B152</f>
        <v/>
      </c>
      <c r="C152">
        <f>Prices!C152</f>
        <v/>
      </c>
      <c r="D152">
        <f>Prices!D152</f>
        <v/>
      </c>
      <c r="E152">
        <f>Prices!E152</f>
        <v/>
      </c>
      <c r="F152">
        <f>Prices!F152</f>
        <v/>
      </c>
      <c r="G152">
        <f>IF(AND(150&gt;=16,TEXT(A152,"yyyy-mm")&lt;&gt;TEXT(A153,"yyyy-mm")),1,0)</f>
        <v/>
      </c>
      <c r="H152">
        <f>IF(OR(H151=1,G152=1),1,0)</f>
        <v/>
      </c>
      <c r="I152">
        <f>IF(H151=0,1,SUMPRODUCT(J151:N151,B152:F152)+O151*(1+0.00023125256064071564))</f>
        <v/>
      </c>
      <c r="J152">
        <f>IF(G152=1,0.2*R152/B152,J151)</f>
        <v/>
      </c>
      <c r="K152">
        <f>IF(G152=1,0.2*R152/C152,K151)</f>
        <v/>
      </c>
      <c r="L152">
        <f>IF(G152=1,0.2*R152/D152,L151)</f>
        <v/>
      </c>
      <c r="M152">
        <f>IF(G152=1,0.2*R152/E152,M151)</f>
        <v/>
      </c>
      <c r="N152">
        <f>IF(G152=1,0.2*R152/F152,N151)</f>
        <v/>
      </c>
      <c r="O152">
        <f>IF(G152=1,R152*(1-1.0),IF(H151=0,1,O151*(1+0.00023125256064071564)))</f>
        <v/>
      </c>
      <c r="P152">
        <f>IF(G152=1,IF(H151=0,1,ABS(0.2-J151*B152/I152)+ABS(0.2-K151*C152/I152)+ABS(0.2-L151*D152/I152)+ABS(0.2-M151*E152/I152)+ABS(0.2-N151*F152/I152)),0)</f>
        <v/>
      </c>
      <c r="Q152">
        <f>P152*0.0015</f>
        <v/>
      </c>
      <c r="R152">
        <f>I152*(1-Q152)</f>
        <v/>
      </c>
      <c r="S152">
        <f>R152/R151-1</f>
        <v/>
      </c>
      <c r="T152">
        <f>MAX(T151,R152)</f>
        <v/>
      </c>
      <c r="U152">
        <f>R152/T152-1</f>
        <v/>
      </c>
      <c r="V152" t="n">
        <v>1.290031411716901</v>
      </c>
      <c r="W152" s="5">
        <f>R152-V152</f>
        <v/>
      </c>
    </row>
    <row r="153">
      <c r="A153" s="3" t="n">
        <v>38664</v>
      </c>
      <c r="B153">
        <f>Prices!B153</f>
        <v/>
      </c>
      <c r="C153">
        <f>Prices!C153</f>
        <v/>
      </c>
      <c r="D153">
        <f>Prices!D153</f>
        <v/>
      </c>
      <c r="E153">
        <f>Prices!E153</f>
        <v/>
      </c>
      <c r="F153">
        <f>Prices!F153</f>
        <v/>
      </c>
      <c r="G153">
        <f>IF(AND(151&gt;=16,TEXT(A153,"yyyy-mm")&lt;&gt;TEXT(A154,"yyyy-mm")),1,0)</f>
        <v/>
      </c>
      <c r="H153">
        <f>IF(OR(H152=1,G153=1),1,0)</f>
        <v/>
      </c>
      <c r="I153">
        <f>IF(H152=0,1,SUMPRODUCT(J152:N152,B153:F153)+O152*(1+0.00023125256064071564))</f>
        <v/>
      </c>
      <c r="J153">
        <f>IF(G153=1,0.2*R153/B153,J152)</f>
        <v/>
      </c>
      <c r="K153">
        <f>IF(G153=1,0.2*R153/C153,K152)</f>
        <v/>
      </c>
      <c r="L153">
        <f>IF(G153=1,0.2*R153/D153,L152)</f>
        <v/>
      </c>
      <c r="M153">
        <f>IF(G153=1,0.2*R153/E153,M152)</f>
        <v/>
      </c>
      <c r="N153">
        <f>IF(G153=1,0.2*R153/F153,N152)</f>
        <v/>
      </c>
      <c r="O153">
        <f>IF(G153=1,R153*(1-1.0),IF(H152=0,1,O152*(1+0.00023125256064071564)))</f>
        <v/>
      </c>
      <c r="P153">
        <f>IF(G153=1,IF(H152=0,1,ABS(0.2-J152*B153/I153)+ABS(0.2-K152*C153/I153)+ABS(0.2-L152*D153/I153)+ABS(0.2-M152*E153/I153)+ABS(0.2-N152*F153/I153)),0)</f>
        <v/>
      </c>
      <c r="Q153">
        <f>P153*0.0015</f>
        <v/>
      </c>
      <c r="R153">
        <f>I153*(1-Q153)</f>
        <v/>
      </c>
      <c r="S153">
        <f>R153/R152-1</f>
        <v/>
      </c>
      <c r="T153">
        <f>MAX(T152,R153)</f>
        <v/>
      </c>
      <c r="U153">
        <f>R153/T153-1</f>
        <v/>
      </c>
      <c r="V153" t="n">
        <v>1.310980575750641</v>
      </c>
      <c r="W153" s="5">
        <f>R153-V153</f>
        <v/>
      </c>
    </row>
    <row r="154">
      <c r="A154" s="3" t="n">
        <v>38665</v>
      </c>
      <c r="B154">
        <f>Prices!B154</f>
        <v/>
      </c>
      <c r="C154">
        <f>Prices!C154</f>
        <v/>
      </c>
      <c r="D154">
        <f>Prices!D154</f>
        <v/>
      </c>
      <c r="E154">
        <f>Prices!E154</f>
        <v/>
      </c>
      <c r="F154">
        <f>Prices!F154</f>
        <v/>
      </c>
      <c r="G154">
        <f>IF(AND(152&gt;=16,TEXT(A154,"yyyy-mm")&lt;&gt;TEXT(A155,"yyyy-mm")),1,0)</f>
        <v/>
      </c>
      <c r="H154">
        <f>IF(OR(H153=1,G154=1),1,0)</f>
        <v/>
      </c>
      <c r="I154">
        <f>IF(H153=0,1,SUMPRODUCT(J153:N153,B154:F154)+O153*(1+0.00023125256064071564))</f>
        <v/>
      </c>
      <c r="J154">
        <f>IF(G154=1,0.2*R154/B154,J153)</f>
        <v/>
      </c>
      <c r="K154">
        <f>IF(G154=1,0.2*R154/C154,K153)</f>
        <v/>
      </c>
      <c r="L154">
        <f>IF(G154=1,0.2*R154/D154,L153)</f>
        <v/>
      </c>
      <c r="M154">
        <f>IF(G154=1,0.2*R154/E154,M153)</f>
        <v/>
      </c>
      <c r="N154">
        <f>IF(G154=1,0.2*R154/F154,N153)</f>
        <v/>
      </c>
      <c r="O154">
        <f>IF(G154=1,R154*(1-1.0),IF(H153=0,1,O153*(1+0.00023125256064071564)))</f>
        <v/>
      </c>
      <c r="P154">
        <f>IF(G154=1,IF(H153=0,1,ABS(0.2-J153*B154/I154)+ABS(0.2-K153*C154/I154)+ABS(0.2-L153*D154/I154)+ABS(0.2-M153*E154/I154)+ABS(0.2-N153*F154/I154)),0)</f>
        <v/>
      </c>
      <c r="Q154">
        <f>P154*0.0015</f>
        <v/>
      </c>
      <c r="R154">
        <f>I154*(1-Q154)</f>
        <v/>
      </c>
      <c r="S154">
        <f>R154/R153-1</f>
        <v/>
      </c>
      <c r="T154">
        <f>MAX(T153,R154)</f>
        <v/>
      </c>
      <c r="U154">
        <f>R154/T154-1</f>
        <v/>
      </c>
      <c r="V154" t="n">
        <v>1.309694243876198</v>
      </c>
      <c r="W154" s="5">
        <f>R154-V154</f>
        <v/>
      </c>
    </row>
    <row r="155">
      <c r="A155" s="3" t="n">
        <v>38666</v>
      </c>
      <c r="B155">
        <f>Prices!B155</f>
        <v/>
      </c>
      <c r="C155">
        <f>Prices!C155</f>
        <v/>
      </c>
      <c r="D155">
        <f>Prices!D155</f>
        <v/>
      </c>
      <c r="E155">
        <f>Prices!E155</f>
        <v/>
      </c>
      <c r="F155">
        <f>Prices!F155</f>
        <v/>
      </c>
      <c r="G155">
        <f>IF(AND(153&gt;=16,TEXT(A155,"yyyy-mm")&lt;&gt;TEXT(A156,"yyyy-mm")),1,0)</f>
        <v/>
      </c>
      <c r="H155">
        <f>IF(OR(H154=1,G155=1),1,0)</f>
        <v/>
      </c>
      <c r="I155">
        <f>IF(H154=0,1,SUMPRODUCT(J154:N154,B155:F155)+O154*(1+0.00023125256064071564))</f>
        <v/>
      </c>
      <c r="J155">
        <f>IF(G155=1,0.2*R155/B155,J154)</f>
        <v/>
      </c>
      <c r="K155">
        <f>IF(G155=1,0.2*R155/C155,K154)</f>
        <v/>
      </c>
      <c r="L155">
        <f>IF(G155=1,0.2*R155/D155,L154)</f>
        <v/>
      </c>
      <c r="M155">
        <f>IF(G155=1,0.2*R155/E155,M154)</f>
        <v/>
      </c>
      <c r="N155">
        <f>IF(G155=1,0.2*R155/F155,N154)</f>
        <v/>
      </c>
      <c r="O155">
        <f>IF(G155=1,R155*(1-1.0),IF(H154=0,1,O154*(1+0.00023125256064071564)))</f>
        <v/>
      </c>
      <c r="P155">
        <f>IF(G155=1,IF(H154=0,1,ABS(0.2-J154*B155/I155)+ABS(0.2-K154*C155/I155)+ABS(0.2-L154*D155/I155)+ABS(0.2-M154*E155/I155)+ABS(0.2-N154*F155/I155)),0)</f>
        <v/>
      </c>
      <c r="Q155">
        <f>P155*0.0015</f>
        <v/>
      </c>
      <c r="R155">
        <f>I155*(1-Q155)</f>
        <v/>
      </c>
      <c r="S155">
        <f>R155/R154-1</f>
        <v/>
      </c>
      <c r="T155">
        <f>MAX(T154,R155)</f>
        <v/>
      </c>
      <c r="U155">
        <f>R155/T155-1</f>
        <v/>
      </c>
      <c r="V155" t="n">
        <v>1.314462229915898</v>
      </c>
      <c r="W155" s="5">
        <f>R155-V155</f>
        <v/>
      </c>
    </row>
    <row r="156">
      <c r="A156" s="3" t="n">
        <v>38667</v>
      </c>
      <c r="B156">
        <f>Prices!B156</f>
        <v/>
      </c>
      <c r="C156">
        <f>Prices!C156</f>
        <v/>
      </c>
      <c r="D156">
        <f>Prices!D156</f>
        <v/>
      </c>
      <c r="E156">
        <f>Prices!E156</f>
        <v/>
      </c>
      <c r="F156">
        <f>Prices!F156</f>
        <v/>
      </c>
      <c r="G156">
        <f>IF(AND(154&gt;=16,TEXT(A156,"yyyy-mm")&lt;&gt;TEXT(A157,"yyyy-mm")),1,0)</f>
        <v/>
      </c>
      <c r="H156">
        <f>IF(OR(H155=1,G156=1),1,0)</f>
        <v/>
      </c>
      <c r="I156">
        <f>IF(H155=0,1,SUMPRODUCT(J155:N155,B156:F156)+O155*(1+0.00023125256064071564))</f>
        <v/>
      </c>
      <c r="J156">
        <f>IF(G156=1,0.2*R156/B156,J155)</f>
        <v/>
      </c>
      <c r="K156">
        <f>IF(G156=1,0.2*R156/C156,K155)</f>
        <v/>
      </c>
      <c r="L156">
        <f>IF(G156=1,0.2*R156/D156,L155)</f>
        <v/>
      </c>
      <c r="M156">
        <f>IF(G156=1,0.2*R156/E156,M155)</f>
        <v/>
      </c>
      <c r="N156">
        <f>IF(G156=1,0.2*R156/F156,N155)</f>
        <v/>
      </c>
      <c r="O156">
        <f>IF(G156=1,R156*(1-1.0),IF(H155=0,1,O155*(1+0.00023125256064071564)))</f>
        <v/>
      </c>
      <c r="P156">
        <f>IF(G156=1,IF(H155=0,1,ABS(0.2-J155*B156/I156)+ABS(0.2-K155*C156/I156)+ABS(0.2-L155*D156/I156)+ABS(0.2-M155*E156/I156)+ABS(0.2-N155*F156/I156)),0)</f>
        <v/>
      </c>
      <c r="Q156">
        <f>P156*0.0015</f>
        <v/>
      </c>
      <c r="R156">
        <f>I156*(1-Q156)</f>
        <v/>
      </c>
      <c r="S156">
        <f>R156/R155-1</f>
        <v/>
      </c>
      <c r="T156">
        <f>MAX(T155,R156)</f>
        <v/>
      </c>
      <c r="U156">
        <f>R156/T156-1</f>
        <v/>
      </c>
      <c r="V156" t="n">
        <v>1.340384285156892</v>
      </c>
      <c r="W156" s="5">
        <f>R156-V156</f>
        <v/>
      </c>
    </row>
    <row r="157">
      <c r="A157" s="3" t="n">
        <v>38670</v>
      </c>
      <c r="B157">
        <f>Prices!B157</f>
        <v/>
      </c>
      <c r="C157">
        <f>Prices!C157</f>
        <v/>
      </c>
      <c r="D157">
        <f>Prices!D157</f>
        <v/>
      </c>
      <c r="E157">
        <f>Prices!E157</f>
        <v/>
      </c>
      <c r="F157">
        <f>Prices!F157</f>
        <v/>
      </c>
      <c r="G157">
        <f>IF(AND(155&gt;=16,TEXT(A157,"yyyy-mm")&lt;&gt;TEXT(A158,"yyyy-mm")),1,0)</f>
        <v/>
      </c>
      <c r="H157">
        <f>IF(OR(H156=1,G157=1),1,0)</f>
        <v/>
      </c>
      <c r="I157">
        <f>IF(H156=0,1,SUMPRODUCT(J156:N156,B157:F157)+O156*(1+0.00023125256064071564))</f>
        <v/>
      </c>
      <c r="J157">
        <f>IF(G157=1,0.2*R157/B157,J156)</f>
        <v/>
      </c>
      <c r="K157">
        <f>IF(G157=1,0.2*R157/C157,K156)</f>
        <v/>
      </c>
      <c r="L157">
        <f>IF(G157=1,0.2*R157/D157,L156)</f>
        <v/>
      </c>
      <c r="M157">
        <f>IF(G157=1,0.2*R157/E157,M156)</f>
        <v/>
      </c>
      <c r="N157">
        <f>IF(G157=1,0.2*R157/F157,N156)</f>
        <v/>
      </c>
      <c r="O157">
        <f>IF(G157=1,R157*(1-1.0),IF(H156=0,1,O156*(1+0.00023125256064071564)))</f>
        <v/>
      </c>
      <c r="P157">
        <f>IF(G157=1,IF(H156=0,1,ABS(0.2-J156*B157/I157)+ABS(0.2-K156*C157/I157)+ABS(0.2-L156*D157/I157)+ABS(0.2-M156*E157/I157)+ABS(0.2-N156*F157/I157)),0)</f>
        <v/>
      </c>
      <c r="Q157">
        <f>P157*0.0015</f>
        <v/>
      </c>
      <c r="R157">
        <f>I157*(1-Q157)</f>
        <v/>
      </c>
      <c r="S157">
        <f>R157/R156-1</f>
        <v/>
      </c>
      <c r="T157">
        <f>MAX(T156,R157)</f>
        <v/>
      </c>
      <c r="U157">
        <f>R157/T157-1</f>
        <v/>
      </c>
      <c r="V157" t="n">
        <v>1.344259750382987</v>
      </c>
      <c r="W157" s="5">
        <f>R157-V157</f>
        <v/>
      </c>
    </row>
    <row r="158">
      <c r="A158" s="3" t="n">
        <v>38672</v>
      </c>
      <c r="B158">
        <f>Prices!B158</f>
        <v/>
      </c>
      <c r="C158">
        <f>Prices!C158</f>
        <v/>
      </c>
      <c r="D158">
        <f>Prices!D158</f>
        <v/>
      </c>
      <c r="E158">
        <f>Prices!E158</f>
        <v/>
      </c>
      <c r="F158">
        <f>Prices!F158</f>
        <v/>
      </c>
      <c r="G158">
        <f>IF(AND(156&gt;=16,TEXT(A158,"yyyy-mm")&lt;&gt;TEXT(A159,"yyyy-mm")),1,0)</f>
        <v/>
      </c>
      <c r="H158">
        <f>IF(OR(H157=1,G158=1),1,0)</f>
        <v/>
      </c>
      <c r="I158">
        <f>IF(H157=0,1,SUMPRODUCT(J157:N157,B158:F158)+O157*(1+0.00023125256064071564))</f>
        <v/>
      </c>
      <c r="J158">
        <f>IF(G158=1,0.2*R158/B158,J157)</f>
        <v/>
      </c>
      <c r="K158">
        <f>IF(G158=1,0.2*R158/C158,K157)</f>
        <v/>
      </c>
      <c r="L158">
        <f>IF(G158=1,0.2*R158/D158,L157)</f>
        <v/>
      </c>
      <c r="M158">
        <f>IF(G158=1,0.2*R158/E158,M157)</f>
        <v/>
      </c>
      <c r="N158">
        <f>IF(G158=1,0.2*R158/F158,N157)</f>
        <v/>
      </c>
      <c r="O158">
        <f>IF(G158=1,R158*(1-1.0),IF(H157=0,1,O157*(1+0.00023125256064071564)))</f>
        <v/>
      </c>
      <c r="P158">
        <f>IF(G158=1,IF(H157=0,1,ABS(0.2-J157*B158/I158)+ABS(0.2-K157*C158/I158)+ABS(0.2-L157*D158/I158)+ABS(0.2-M157*E158/I158)+ABS(0.2-N157*F158/I158)),0)</f>
        <v/>
      </c>
      <c r="Q158">
        <f>P158*0.0015</f>
        <v/>
      </c>
      <c r="R158">
        <f>I158*(1-Q158)</f>
        <v/>
      </c>
      <c r="S158">
        <f>R158/R157-1</f>
        <v/>
      </c>
      <c r="T158">
        <f>MAX(T157,R158)</f>
        <v/>
      </c>
      <c r="U158">
        <f>R158/T158-1</f>
        <v/>
      </c>
      <c r="V158" t="n">
        <v>1.354467220468115</v>
      </c>
      <c r="W158" s="5">
        <f>R158-V158</f>
        <v/>
      </c>
    </row>
    <row r="159">
      <c r="A159" s="3" t="n">
        <v>38673</v>
      </c>
      <c r="B159">
        <f>Prices!B159</f>
        <v/>
      </c>
      <c r="C159">
        <f>Prices!C159</f>
        <v/>
      </c>
      <c r="D159">
        <f>Prices!D159</f>
        <v/>
      </c>
      <c r="E159">
        <f>Prices!E159</f>
        <v/>
      </c>
      <c r="F159">
        <f>Prices!F159</f>
        <v/>
      </c>
      <c r="G159">
        <f>IF(AND(157&gt;=16,TEXT(A159,"yyyy-mm")&lt;&gt;TEXT(A160,"yyyy-mm")),1,0)</f>
        <v/>
      </c>
      <c r="H159">
        <f>IF(OR(H158=1,G159=1),1,0)</f>
        <v/>
      </c>
      <c r="I159">
        <f>IF(H158=0,1,SUMPRODUCT(J158:N158,B159:F159)+O158*(1+0.00023125256064071564))</f>
        <v/>
      </c>
      <c r="J159">
        <f>IF(G159=1,0.2*R159/B159,J158)</f>
        <v/>
      </c>
      <c r="K159">
        <f>IF(G159=1,0.2*R159/C159,K158)</f>
        <v/>
      </c>
      <c r="L159">
        <f>IF(G159=1,0.2*R159/D159,L158)</f>
        <v/>
      </c>
      <c r="M159">
        <f>IF(G159=1,0.2*R159/E159,M158)</f>
        <v/>
      </c>
      <c r="N159">
        <f>IF(G159=1,0.2*R159/F159,N158)</f>
        <v/>
      </c>
      <c r="O159">
        <f>IF(G159=1,R159*(1-1.0),IF(H158=0,1,O158*(1+0.00023125256064071564)))</f>
        <v/>
      </c>
      <c r="P159">
        <f>IF(G159=1,IF(H158=0,1,ABS(0.2-J158*B159/I159)+ABS(0.2-K158*C159/I159)+ABS(0.2-L158*D159/I159)+ABS(0.2-M158*E159/I159)+ABS(0.2-N158*F159/I159)),0)</f>
        <v/>
      </c>
      <c r="Q159">
        <f>P159*0.0015</f>
        <v/>
      </c>
      <c r="R159">
        <f>I159*(1-Q159)</f>
        <v/>
      </c>
      <c r="S159">
        <f>R159/R158-1</f>
        <v/>
      </c>
      <c r="T159">
        <f>MAX(T158,R159)</f>
        <v/>
      </c>
      <c r="U159">
        <f>R159/T159-1</f>
        <v/>
      </c>
      <c r="V159" t="n">
        <v>1.359682367935568</v>
      </c>
      <c r="W159" s="5">
        <f>R159-V159</f>
        <v/>
      </c>
    </row>
    <row r="160">
      <c r="A160" s="3" t="n">
        <v>38674</v>
      </c>
      <c r="B160">
        <f>Prices!B160</f>
        <v/>
      </c>
      <c r="C160">
        <f>Prices!C160</f>
        <v/>
      </c>
      <c r="D160">
        <f>Prices!D160</f>
        <v/>
      </c>
      <c r="E160">
        <f>Prices!E160</f>
        <v/>
      </c>
      <c r="F160">
        <f>Prices!F160</f>
        <v/>
      </c>
      <c r="G160">
        <f>IF(AND(158&gt;=16,TEXT(A160,"yyyy-mm")&lt;&gt;TEXT(A161,"yyyy-mm")),1,0)</f>
        <v/>
      </c>
      <c r="H160">
        <f>IF(OR(H159=1,G160=1),1,0)</f>
        <v/>
      </c>
      <c r="I160">
        <f>IF(H159=0,1,SUMPRODUCT(J159:N159,B160:F160)+O159*(1+0.00023125256064071564))</f>
        <v/>
      </c>
      <c r="J160">
        <f>IF(G160=1,0.2*R160/B160,J159)</f>
        <v/>
      </c>
      <c r="K160">
        <f>IF(G160=1,0.2*R160/C160,K159)</f>
        <v/>
      </c>
      <c r="L160">
        <f>IF(G160=1,0.2*R160/D160,L159)</f>
        <v/>
      </c>
      <c r="M160">
        <f>IF(G160=1,0.2*R160/E160,M159)</f>
        <v/>
      </c>
      <c r="N160">
        <f>IF(G160=1,0.2*R160/F160,N159)</f>
        <v/>
      </c>
      <c r="O160">
        <f>IF(G160=1,R160*(1-1.0),IF(H159=0,1,O159*(1+0.00023125256064071564)))</f>
        <v/>
      </c>
      <c r="P160">
        <f>IF(G160=1,IF(H159=0,1,ABS(0.2-J159*B160/I160)+ABS(0.2-K159*C160/I160)+ABS(0.2-L159*D160/I160)+ABS(0.2-M159*E160/I160)+ABS(0.2-N159*F160/I160)),0)</f>
        <v/>
      </c>
      <c r="Q160">
        <f>P160*0.0015</f>
        <v/>
      </c>
      <c r="R160">
        <f>I160*(1-Q160)</f>
        <v/>
      </c>
      <c r="S160">
        <f>R160/R159-1</f>
        <v/>
      </c>
      <c r="T160">
        <f>MAX(T159,R160)</f>
        <v/>
      </c>
      <c r="U160">
        <f>R160/T160-1</f>
        <v/>
      </c>
      <c r="V160" t="n">
        <v>1.363721175627381</v>
      </c>
      <c r="W160" s="5">
        <f>R160-V160</f>
        <v/>
      </c>
    </row>
    <row r="161">
      <c r="A161" s="3" t="n">
        <v>38677</v>
      </c>
      <c r="B161">
        <f>Prices!B161</f>
        <v/>
      </c>
      <c r="C161">
        <f>Prices!C161</f>
        <v/>
      </c>
      <c r="D161">
        <f>Prices!D161</f>
        <v/>
      </c>
      <c r="E161">
        <f>Prices!E161</f>
        <v/>
      </c>
      <c r="F161">
        <f>Prices!F161</f>
        <v/>
      </c>
      <c r="G161">
        <f>IF(AND(159&gt;=16,TEXT(A161,"yyyy-mm")&lt;&gt;TEXT(A162,"yyyy-mm")),1,0)</f>
        <v/>
      </c>
      <c r="H161">
        <f>IF(OR(H160=1,G161=1),1,0)</f>
        <v/>
      </c>
      <c r="I161">
        <f>IF(H160=0,1,SUMPRODUCT(J160:N160,B161:F161)+O160*(1+0.00023125256064071564))</f>
        <v/>
      </c>
      <c r="J161">
        <f>IF(G161=1,0.2*R161/B161,J160)</f>
        <v/>
      </c>
      <c r="K161">
        <f>IF(G161=1,0.2*R161/C161,K160)</f>
        <v/>
      </c>
      <c r="L161">
        <f>IF(G161=1,0.2*R161/D161,L160)</f>
        <v/>
      </c>
      <c r="M161">
        <f>IF(G161=1,0.2*R161/E161,M160)</f>
        <v/>
      </c>
      <c r="N161">
        <f>IF(G161=1,0.2*R161/F161,N160)</f>
        <v/>
      </c>
      <c r="O161">
        <f>IF(G161=1,R161*(1-1.0),IF(H160=0,1,O160*(1+0.00023125256064071564)))</f>
        <v/>
      </c>
      <c r="P161">
        <f>IF(G161=1,IF(H160=0,1,ABS(0.2-J160*B161/I161)+ABS(0.2-K160*C161/I161)+ABS(0.2-L160*D161/I161)+ABS(0.2-M160*E161/I161)+ABS(0.2-N160*F161/I161)),0)</f>
        <v/>
      </c>
      <c r="Q161">
        <f>P161*0.0015</f>
        <v/>
      </c>
      <c r="R161">
        <f>I161*(1-Q161)</f>
        <v/>
      </c>
      <c r="S161">
        <f>R161/R160-1</f>
        <v/>
      </c>
      <c r="T161">
        <f>MAX(T160,R161)</f>
        <v/>
      </c>
      <c r="U161">
        <f>R161/T161-1</f>
        <v/>
      </c>
      <c r="V161" t="n">
        <v>1.352581756638466</v>
      </c>
      <c r="W161" s="5">
        <f>R161-V161</f>
        <v/>
      </c>
    </row>
    <row r="162">
      <c r="A162" s="3" t="n">
        <v>38678</v>
      </c>
      <c r="B162">
        <f>Prices!B162</f>
        <v/>
      </c>
      <c r="C162">
        <f>Prices!C162</f>
        <v/>
      </c>
      <c r="D162">
        <f>Prices!D162</f>
        <v/>
      </c>
      <c r="E162">
        <f>Prices!E162</f>
        <v/>
      </c>
      <c r="F162">
        <f>Prices!F162</f>
        <v/>
      </c>
      <c r="G162">
        <f>IF(AND(160&gt;=16,TEXT(A162,"yyyy-mm")&lt;&gt;TEXT(A163,"yyyy-mm")),1,0)</f>
        <v/>
      </c>
      <c r="H162">
        <f>IF(OR(H161=1,G162=1),1,0)</f>
        <v/>
      </c>
      <c r="I162">
        <f>IF(H161=0,1,SUMPRODUCT(J161:N161,B162:F162)+O161*(1+0.00023125256064071564))</f>
        <v/>
      </c>
      <c r="J162">
        <f>IF(G162=1,0.2*R162/B162,J161)</f>
        <v/>
      </c>
      <c r="K162">
        <f>IF(G162=1,0.2*R162/C162,K161)</f>
        <v/>
      </c>
      <c r="L162">
        <f>IF(G162=1,0.2*R162/D162,L161)</f>
        <v/>
      </c>
      <c r="M162">
        <f>IF(G162=1,0.2*R162/E162,M161)</f>
        <v/>
      </c>
      <c r="N162">
        <f>IF(G162=1,0.2*R162/F162,N161)</f>
        <v/>
      </c>
      <c r="O162">
        <f>IF(G162=1,R162*(1-1.0),IF(H161=0,1,O161*(1+0.00023125256064071564)))</f>
        <v/>
      </c>
      <c r="P162">
        <f>IF(G162=1,IF(H161=0,1,ABS(0.2-J161*B162/I162)+ABS(0.2-K161*C162/I162)+ABS(0.2-L161*D162/I162)+ABS(0.2-M161*E162/I162)+ABS(0.2-N161*F162/I162)),0)</f>
        <v/>
      </c>
      <c r="Q162">
        <f>P162*0.0015</f>
        <v/>
      </c>
      <c r="R162">
        <f>I162*(1-Q162)</f>
        <v/>
      </c>
      <c r="S162">
        <f>R162/R161-1</f>
        <v/>
      </c>
      <c r="T162">
        <f>MAX(T161,R162)</f>
        <v/>
      </c>
      <c r="U162">
        <f>R162/T162-1</f>
        <v/>
      </c>
      <c r="V162" t="n">
        <v>1.342433328878047</v>
      </c>
      <c r="W162" s="5">
        <f>R162-V162</f>
        <v/>
      </c>
    </row>
    <row r="163">
      <c r="A163" s="3" t="n">
        <v>38679</v>
      </c>
      <c r="B163">
        <f>Prices!B163</f>
        <v/>
      </c>
      <c r="C163">
        <f>Prices!C163</f>
        <v/>
      </c>
      <c r="D163">
        <f>Prices!D163</f>
        <v/>
      </c>
      <c r="E163">
        <f>Prices!E163</f>
        <v/>
      </c>
      <c r="F163">
        <f>Prices!F163</f>
        <v/>
      </c>
      <c r="G163">
        <f>IF(AND(161&gt;=16,TEXT(A163,"yyyy-mm")&lt;&gt;TEXT(A164,"yyyy-mm")),1,0)</f>
        <v/>
      </c>
      <c r="H163">
        <f>IF(OR(H162=1,G163=1),1,0)</f>
        <v/>
      </c>
      <c r="I163">
        <f>IF(H162=0,1,SUMPRODUCT(J162:N162,B163:F163)+O162*(1+0.00023125256064071564))</f>
        <v/>
      </c>
      <c r="J163">
        <f>IF(G163=1,0.2*R163/B163,J162)</f>
        <v/>
      </c>
      <c r="K163">
        <f>IF(G163=1,0.2*R163/C163,K162)</f>
        <v/>
      </c>
      <c r="L163">
        <f>IF(G163=1,0.2*R163/D163,L162)</f>
        <v/>
      </c>
      <c r="M163">
        <f>IF(G163=1,0.2*R163/E163,M162)</f>
        <v/>
      </c>
      <c r="N163">
        <f>IF(G163=1,0.2*R163/F163,N162)</f>
        <v/>
      </c>
      <c r="O163">
        <f>IF(G163=1,R163*(1-1.0),IF(H162=0,1,O162*(1+0.00023125256064071564)))</f>
        <v/>
      </c>
      <c r="P163">
        <f>IF(G163=1,IF(H162=0,1,ABS(0.2-J162*B163/I163)+ABS(0.2-K162*C163/I163)+ABS(0.2-L162*D163/I163)+ABS(0.2-M162*E163/I163)+ABS(0.2-N162*F163/I163)),0)</f>
        <v/>
      </c>
      <c r="Q163">
        <f>P163*0.0015</f>
        <v/>
      </c>
      <c r="R163">
        <f>I163*(1-Q163)</f>
        <v/>
      </c>
      <c r="S163">
        <f>R163/R162-1</f>
        <v/>
      </c>
      <c r="T163">
        <f>MAX(T162,R163)</f>
        <v/>
      </c>
      <c r="U163">
        <f>R163/T163-1</f>
        <v/>
      </c>
      <c r="V163" t="n">
        <v>1.353004720888313</v>
      </c>
      <c r="W163" s="5">
        <f>R163-V163</f>
        <v/>
      </c>
    </row>
    <row r="164">
      <c r="A164" s="3" t="n">
        <v>38680</v>
      </c>
      <c r="B164">
        <f>Prices!B164</f>
        <v/>
      </c>
      <c r="C164">
        <f>Prices!C164</f>
        <v/>
      </c>
      <c r="D164">
        <f>Prices!D164</f>
        <v/>
      </c>
      <c r="E164">
        <f>Prices!E164</f>
        <v/>
      </c>
      <c r="F164">
        <f>Prices!F164</f>
        <v/>
      </c>
      <c r="G164">
        <f>IF(AND(162&gt;=16,TEXT(A164,"yyyy-mm")&lt;&gt;TEXT(A165,"yyyy-mm")),1,0)</f>
        <v/>
      </c>
      <c r="H164">
        <f>IF(OR(H163=1,G164=1),1,0)</f>
        <v/>
      </c>
      <c r="I164">
        <f>IF(H163=0,1,SUMPRODUCT(J163:N163,B164:F164)+O163*(1+0.00023125256064071564))</f>
        <v/>
      </c>
      <c r="J164">
        <f>IF(G164=1,0.2*R164/B164,J163)</f>
        <v/>
      </c>
      <c r="K164">
        <f>IF(G164=1,0.2*R164/C164,K163)</f>
        <v/>
      </c>
      <c r="L164">
        <f>IF(G164=1,0.2*R164/D164,L163)</f>
        <v/>
      </c>
      <c r="M164">
        <f>IF(G164=1,0.2*R164/E164,M163)</f>
        <v/>
      </c>
      <c r="N164">
        <f>IF(G164=1,0.2*R164/F164,N163)</f>
        <v/>
      </c>
      <c r="O164">
        <f>IF(G164=1,R164*(1-1.0),IF(H163=0,1,O163*(1+0.00023125256064071564)))</f>
        <v/>
      </c>
      <c r="P164">
        <f>IF(G164=1,IF(H163=0,1,ABS(0.2-J163*B164/I164)+ABS(0.2-K163*C164/I164)+ABS(0.2-L163*D164/I164)+ABS(0.2-M163*E164/I164)+ABS(0.2-N163*F164/I164)),0)</f>
        <v/>
      </c>
      <c r="Q164">
        <f>P164*0.0015</f>
        <v/>
      </c>
      <c r="R164">
        <f>I164*(1-Q164)</f>
        <v/>
      </c>
      <c r="S164">
        <f>R164/R163-1</f>
        <v/>
      </c>
      <c r="T164">
        <f>MAX(T163,R164)</f>
        <v/>
      </c>
      <c r="U164">
        <f>R164/T164-1</f>
        <v/>
      </c>
      <c r="V164" t="n">
        <v>1.362857441973578</v>
      </c>
      <c r="W164" s="5">
        <f>R164-V164</f>
        <v/>
      </c>
    </row>
    <row r="165">
      <c r="A165" s="3" t="n">
        <v>38681</v>
      </c>
      <c r="B165">
        <f>Prices!B165</f>
        <v/>
      </c>
      <c r="C165">
        <f>Prices!C165</f>
        <v/>
      </c>
      <c r="D165">
        <f>Prices!D165</f>
        <v/>
      </c>
      <c r="E165">
        <f>Prices!E165</f>
        <v/>
      </c>
      <c r="F165">
        <f>Prices!F165</f>
        <v/>
      </c>
      <c r="G165">
        <f>IF(AND(163&gt;=16,TEXT(A165,"yyyy-mm")&lt;&gt;TEXT(A166,"yyyy-mm")),1,0)</f>
        <v/>
      </c>
      <c r="H165">
        <f>IF(OR(H164=1,G165=1),1,0)</f>
        <v/>
      </c>
      <c r="I165">
        <f>IF(H164=0,1,SUMPRODUCT(J164:N164,B165:F165)+O164*(1+0.00023125256064071564))</f>
        <v/>
      </c>
      <c r="J165">
        <f>IF(G165=1,0.2*R165/B165,J164)</f>
        <v/>
      </c>
      <c r="K165">
        <f>IF(G165=1,0.2*R165/C165,K164)</f>
        <v/>
      </c>
      <c r="L165">
        <f>IF(G165=1,0.2*R165/D165,L164)</f>
        <v/>
      </c>
      <c r="M165">
        <f>IF(G165=1,0.2*R165/E165,M164)</f>
        <v/>
      </c>
      <c r="N165">
        <f>IF(G165=1,0.2*R165/F165,N164)</f>
        <v/>
      </c>
      <c r="O165">
        <f>IF(G165=1,R165*(1-1.0),IF(H164=0,1,O164*(1+0.00023125256064071564)))</f>
        <v/>
      </c>
      <c r="P165">
        <f>IF(G165=1,IF(H164=0,1,ABS(0.2-J164*B165/I165)+ABS(0.2-K164*C165/I165)+ABS(0.2-L164*D165/I165)+ABS(0.2-M164*E165/I165)+ABS(0.2-N164*F165/I165)),0)</f>
        <v/>
      </c>
      <c r="Q165">
        <f>P165*0.0015</f>
        <v/>
      </c>
      <c r="R165">
        <f>I165*(1-Q165)</f>
        <v/>
      </c>
      <c r="S165">
        <f>R165/R164-1</f>
        <v/>
      </c>
      <c r="T165">
        <f>MAX(T164,R165)</f>
        <v/>
      </c>
      <c r="U165">
        <f>R165/T165-1</f>
        <v/>
      </c>
      <c r="V165" t="n">
        <v>1.380516276544434</v>
      </c>
      <c r="W165" s="5">
        <f>R165-V165</f>
        <v/>
      </c>
    </row>
    <row r="166">
      <c r="A166" s="3" t="n">
        <v>38682</v>
      </c>
      <c r="B166">
        <f>Prices!B166</f>
        <v/>
      </c>
      <c r="C166">
        <f>Prices!C166</f>
        <v/>
      </c>
      <c r="D166">
        <f>Prices!D166</f>
        <v/>
      </c>
      <c r="E166">
        <f>Prices!E166</f>
        <v/>
      </c>
      <c r="F166">
        <f>Prices!F166</f>
        <v/>
      </c>
      <c r="G166">
        <f>IF(AND(164&gt;=16,TEXT(A166,"yyyy-mm")&lt;&gt;TEXT(A167,"yyyy-mm")),1,0)</f>
        <v/>
      </c>
      <c r="H166">
        <f>IF(OR(H165=1,G166=1),1,0)</f>
        <v/>
      </c>
      <c r="I166">
        <f>IF(H165=0,1,SUMPRODUCT(J165:N165,B166:F166)+O165*(1+0.00023125256064071564))</f>
        <v/>
      </c>
      <c r="J166">
        <f>IF(G166=1,0.2*R166/B166,J165)</f>
        <v/>
      </c>
      <c r="K166">
        <f>IF(G166=1,0.2*R166/C166,K165)</f>
        <v/>
      </c>
      <c r="L166">
        <f>IF(G166=1,0.2*R166/D166,L165)</f>
        <v/>
      </c>
      <c r="M166">
        <f>IF(G166=1,0.2*R166/E166,M165)</f>
        <v/>
      </c>
      <c r="N166">
        <f>IF(G166=1,0.2*R166/F166,N165)</f>
        <v/>
      </c>
      <c r="O166">
        <f>IF(G166=1,R166*(1-1.0),IF(H165=0,1,O165*(1+0.00023125256064071564)))</f>
        <v/>
      </c>
      <c r="P166">
        <f>IF(G166=1,IF(H165=0,1,ABS(0.2-J165*B166/I166)+ABS(0.2-K165*C166/I166)+ABS(0.2-L165*D166/I166)+ABS(0.2-M165*E166/I166)+ABS(0.2-N165*F166/I166)),0)</f>
        <v/>
      </c>
      <c r="Q166">
        <f>P166*0.0015</f>
        <v/>
      </c>
      <c r="R166">
        <f>I166*(1-Q166)</f>
        <v/>
      </c>
      <c r="S166">
        <f>R166/R165-1</f>
        <v/>
      </c>
      <c r="T166">
        <f>MAX(T165,R166)</f>
        <v/>
      </c>
      <c r="U166">
        <f>R166/T166-1</f>
        <v/>
      </c>
      <c r="V166" t="n">
        <v>1.395491172325112</v>
      </c>
      <c r="W166" s="5">
        <f>R166-V166</f>
        <v/>
      </c>
    </row>
    <row r="167">
      <c r="A167" s="3" t="n">
        <v>38684</v>
      </c>
      <c r="B167">
        <f>Prices!B167</f>
        <v/>
      </c>
      <c r="C167">
        <f>Prices!C167</f>
        <v/>
      </c>
      <c r="D167">
        <f>Prices!D167</f>
        <v/>
      </c>
      <c r="E167">
        <f>Prices!E167</f>
        <v/>
      </c>
      <c r="F167">
        <f>Prices!F167</f>
        <v/>
      </c>
      <c r="G167">
        <f>IF(AND(165&gt;=16,TEXT(A167,"yyyy-mm")&lt;&gt;TEXT(A168,"yyyy-mm")),1,0)</f>
        <v/>
      </c>
      <c r="H167">
        <f>IF(OR(H166=1,G167=1),1,0)</f>
        <v/>
      </c>
      <c r="I167">
        <f>IF(H166=0,1,SUMPRODUCT(J166:N166,B167:F167)+O166*(1+0.00023125256064071564))</f>
        <v/>
      </c>
      <c r="J167">
        <f>IF(G167=1,0.2*R167/B167,J166)</f>
        <v/>
      </c>
      <c r="K167">
        <f>IF(G167=1,0.2*R167/C167,K166)</f>
        <v/>
      </c>
      <c r="L167">
        <f>IF(G167=1,0.2*R167/D167,L166)</f>
        <v/>
      </c>
      <c r="M167">
        <f>IF(G167=1,0.2*R167/E167,M166)</f>
        <v/>
      </c>
      <c r="N167">
        <f>IF(G167=1,0.2*R167/F167,N166)</f>
        <v/>
      </c>
      <c r="O167">
        <f>IF(G167=1,R167*(1-1.0),IF(H166=0,1,O166*(1+0.00023125256064071564)))</f>
        <v/>
      </c>
      <c r="P167">
        <f>IF(G167=1,IF(H166=0,1,ABS(0.2-J166*B167/I167)+ABS(0.2-K166*C167/I167)+ABS(0.2-L166*D167/I167)+ABS(0.2-M166*E167/I167)+ABS(0.2-N166*F167/I167)),0)</f>
        <v/>
      </c>
      <c r="Q167">
        <f>P167*0.0015</f>
        <v/>
      </c>
      <c r="R167">
        <f>I167*(1-Q167)</f>
        <v/>
      </c>
      <c r="S167">
        <f>R167/R166-1</f>
        <v/>
      </c>
      <c r="T167">
        <f>MAX(T166,R167)</f>
        <v/>
      </c>
      <c r="U167">
        <f>R167/T167-1</f>
        <v/>
      </c>
      <c r="V167" t="n">
        <v>1.410608483237092</v>
      </c>
      <c r="W167" s="5">
        <f>R167-V167</f>
        <v/>
      </c>
    </row>
    <row r="168">
      <c r="A168" s="3" t="n">
        <v>38685</v>
      </c>
      <c r="B168">
        <f>Prices!B168</f>
        <v/>
      </c>
      <c r="C168">
        <f>Prices!C168</f>
        <v/>
      </c>
      <c r="D168">
        <f>Prices!D168</f>
        <v/>
      </c>
      <c r="E168">
        <f>Prices!E168</f>
        <v/>
      </c>
      <c r="F168">
        <f>Prices!F168</f>
        <v/>
      </c>
      <c r="G168">
        <f>IF(AND(166&gt;=16,TEXT(A168,"yyyy-mm")&lt;&gt;TEXT(A169,"yyyy-mm")),1,0)</f>
        <v/>
      </c>
      <c r="H168">
        <f>IF(OR(H167=1,G168=1),1,0)</f>
        <v/>
      </c>
      <c r="I168">
        <f>IF(H167=0,1,SUMPRODUCT(J167:N167,B168:F168)+O167*(1+0.00023125256064071564))</f>
        <v/>
      </c>
      <c r="J168">
        <f>IF(G168=1,0.2*R168/B168,J167)</f>
        <v/>
      </c>
      <c r="K168">
        <f>IF(G168=1,0.2*R168/C168,K167)</f>
        <v/>
      </c>
      <c r="L168">
        <f>IF(G168=1,0.2*R168/D168,L167)</f>
        <v/>
      </c>
      <c r="M168">
        <f>IF(G168=1,0.2*R168/E168,M167)</f>
        <v/>
      </c>
      <c r="N168">
        <f>IF(G168=1,0.2*R168/F168,N167)</f>
        <v/>
      </c>
      <c r="O168">
        <f>IF(G168=1,R168*(1-1.0),IF(H167=0,1,O167*(1+0.00023125256064071564)))</f>
        <v/>
      </c>
      <c r="P168">
        <f>IF(G168=1,IF(H167=0,1,ABS(0.2-J167*B168/I168)+ABS(0.2-K167*C168/I168)+ABS(0.2-L167*D168/I168)+ABS(0.2-M167*E168/I168)+ABS(0.2-N167*F168/I168)),0)</f>
        <v/>
      </c>
      <c r="Q168">
        <f>P168*0.0015</f>
        <v/>
      </c>
      <c r="R168">
        <f>I168*(1-Q168)</f>
        <v/>
      </c>
      <c r="S168">
        <f>R168/R167-1</f>
        <v/>
      </c>
      <c r="T168">
        <f>MAX(T167,R168)</f>
        <v/>
      </c>
      <c r="U168">
        <f>R168/T168-1</f>
        <v/>
      </c>
      <c r="V168" t="n">
        <v>1.403725622437904</v>
      </c>
      <c r="W168" s="5">
        <f>R168-V168</f>
        <v/>
      </c>
    </row>
    <row r="169">
      <c r="A169" s="3" t="n">
        <v>38686</v>
      </c>
      <c r="B169">
        <f>Prices!B169</f>
        <v/>
      </c>
      <c r="C169">
        <f>Prices!C169</f>
        <v/>
      </c>
      <c r="D169">
        <f>Prices!D169</f>
        <v/>
      </c>
      <c r="E169">
        <f>Prices!E169</f>
        <v/>
      </c>
      <c r="F169">
        <f>Prices!F169</f>
        <v/>
      </c>
      <c r="G169">
        <f>IF(AND(167&gt;=16,TEXT(A169,"yyyy-mm")&lt;&gt;TEXT(A170,"yyyy-mm")),1,0)</f>
        <v/>
      </c>
      <c r="H169">
        <f>IF(OR(H168=1,G169=1),1,0)</f>
        <v/>
      </c>
      <c r="I169">
        <f>IF(H168=0,1,SUMPRODUCT(J168:N168,B169:F169)+O168*(1+0.00023125256064071564))</f>
        <v/>
      </c>
      <c r="J169">
        <f>IF(G169=1,0.2*R169/B169,J168)</f>
        <v/>
      </c>
      <c r="K169">
        <f>IF(G169=1,0.2*R169/C169,K168)</f>
        <v/>
      </c>
      <c r="L169">
        <f>IF(G169=1,0.2*R169/D169,L168)</f>
        <v/>
      </c>
      <c r="M169">
        <f>IF(G169=1,0.2*R169/E169,M168)</f>
        <v/>
      </c>
      <c r="N169">
        <f>IF(G169=1,0.2*R169/F169,N168)</f>
        <v/>
      </c>
      <c r="O169">
        <f>IF(G169=1,R169*(1-1.0),IF(H168=0,1,O168*(1+0.00023125256064071564)))</f>
        <v/>
      </c>
      <c r="P169">
        <f>IF(G169=1,IF(H168=0,1,ABS(0.2-J168*B169/I169)+ABS(0.2-K168*C169/I169)+ABS(0.2-L168*D169/I169)+ABS(0.2-M168*E169/I169)+ABS(0.2-N168*F169/I169)),0)</f>
        <v/>
      </c>
      <c r="Q169">
        <f>P169*0.0015</f>
        <v/>
      </c>
      <c r="R169">
        <f>I169*(1-Q169)</f>
        <v/>
      </c>
      <c r="S169">
        <f>R169/R168-1</f>
        <v/>
      </c>
      <c r="T169">
        <f>MAX(T168,R169)</f>
        <v/>
      </c>
      <c r="U169">
        <f>R169/T169-1</f>
        <v/>
      </c>
      <c r="V169" t="n">
        <v>1.390891759525915</v>
      </c>
      <c r="W169" s="5">
        <f>R169-V169</f>
        <v/>
      </c>
    </row>
    <row r="170">
      <c r="A170" s="3" t="n">
        <v>38687</v>
      </c>
      <c r="B170">
        <f>Prices!B170</f>
        <v/>
      </c>
      <c r="C170">
        <f>Prices!C170</f>
        <v/>
      </c>
      <c r="D170">
        <f>Prices!D170</f>
        <v/>
      </c>
      <c r="E170">
        <f>Prices!E170</f>
        <v/>
      </c>
      <c r="F170">
        <f>Prices!F170</f>
        <v/>
      </c>
      <c r="G170">
        <f>IF(AND(168&gt;=16,TEXT(A170,"yyyy-mm")&lt;&gt;TEXT(A171,"yyyy-mm")),1,0)</f>
        <v/>
      </c>
      <c r="H170">
        <f>IF(OR(H169=1,G170=1),1,0)</f>
        <v/>
      </c>
      <c r="I170">
        <f>IF(H169=0,1,SUMPRODUCT(J169:N169,B170:F170)+O169*(1+0.00023125256064071564))</f>
        <v/>
      </c>
      <c r="J170">
        <f>IF(G170=1,0.2*R170/B170,J169)</f>
        <v/>
      </c>
      <c r="K170">
        <f>IF(G170=1,0.2*R170/C170,K169)</f>
        <v/>
      </c>
      <c r="L170">
        <f>IF(G170=1,0.2*R170/D170,L169)</f>
        <v/>
      </c>
      <c r="M170">
        <f>IF(G170=1,0.2*R170/E170,M169)</f>
        <v/>
      </c>
      <c r="N170">
        <f>IF(G170=1,0.2*R170/F170,N169)</f>
        <v/>
      </c>
      <c r="O170">
        <f>IF(G170=1,R170*(1-1.0),IF(H169=0,1,O169*(1+0.00023125256064071564)))</f>
        <v/>
      </c>
      <c r="P170">
        <f>IF(G170=1,IF(H169=0,1,ABS(0.2-J169*B170/I170)+ABS(0.2-K169*C170/I170)+ABS(0.2-L169*D170/I170)+ABS(0.2-M169*E170/I170)+ABS(0.2-N169*F170/I170)),0)</f>
        <v/>
      </c>
      <c r="Q170">
        <f>P170*0.0015</f>
        <v/>
      </c>
      <c r="R170">
        <f>I170*(1-Q170)</f>
        <v/>
      </c>
      <c r="S170">
        <f>R170/R169-1</f>
        <v/>
      </c>
      <c r="T170">
        <f>MAX(T169,R170)</f>
        <v/>
      </c>
      <c r="U170">
        <f>R170/T170-1</f>
        <v/>
      </c>
      <c r="V170" t="n">
        <v>1.412912539355285</v>
      </c>
      <c r="W170" s="5">
        <f>R170-V170</f>
        <v/>
      </c>
    </row>
    <row r="171">
      <c r="A171" s="3" t="n">
        <v>38688</v>
      </c>
      <c r="B171">
        <f>Prices!B171</f>
        <v/>
      </c>
      <c r="C171">
        <f>Prices!C171</f>
        <v/>
      </c>
      <c r="D171">
        <f>Prices!D171</f>
        <v/>
      </c>
      <c r="E171">
        <f>Prices!E171</f>
        <v/>
      </c>
      <c r="F171">
        <f>Prices!F171</f>
        <v/>
      </c>
      <c r="G171">
        <f>IF(AND(169&gt;=16,TEXT(A171,"yyyy-mm")&lt;&gt;TEXT(A172,"yyyy-mm")),1,0)</f>
        <v/>
      </c>
      <c r="H171">
        <f>IF(OR(H170=1,G171=1),1,0)</f>
        <v/>
      </c>
      <c r="I171">
        <f>IF(H170=0,1,SUMPRODUCT(J170:N170,B171:F171)+O170*(1+0.00023125256064071564))</f>
        <v/>
      </c>
      <c r="J171">
        <f>IF(G171=1,0.2*R171/B171,J170)</f>
        <v/>
      </c>
      <c r="K171">
        <f>IF(G171=1,0.2*R171/C171,K170)</f>
        <v/>
      </c>
      <c r="L171">
        <f>IF(G171=1,0.2*R171/D171,L170)</f>
        <v/>
      </c>
      <c r="M171">
        <f>IF(G171=1,0.2*R171/E171,M170)</f>
        <v/>
      </c>
      <c r="N171">
        <f>IF(G171=1,0.2*R171/F171,N170)</f>
        <v/>
      </c>
      <c r="O171">
        <f>IF(G171=1,R171*(1-1.0),IF(H170=0,1,O170*(1+0.00023125256064071564)))</f>
        <v/>
      </c>
      <c r="P171">
        <f>IF(G171=1,IF(H170=0,1,ABS(0.2-J170*B171/I171)+ABS(0.2-K170*C171/I171)+ABS(0.2-L170*D171/I171)+ABS(0.2-M170*E171/I171)+ABS(0.2-N170*F171/I171)),0)</f>
        <v/>
      </c>
      <c r="Q171">
        <f>P171*0.0015</f>
        <v/>
      </c>
      <c r="R171">
        <f>I171*(1-Q171)</f>
        <v/>
      </c>
      <c r="S171">
        <f>R171/R170-1</f>
        <v/>
      </c>
      <c r="T171">
        <f>MAX(T170,R171)</f>
        <v/>
      </c>
      <c r="U171">
        <f>R171/T171-1</f>
        <v/>
      </c>
      <c r="V171" t="n">
        <v>1.421420321893778</v>
      </c>
      <c r="W171" s="5">
        <f>R171-V171</f>
        <v/>
      </c>
    </row>
    <row r="172">
      <c r="A172" s="3" t="n">
        <v>38691</v>
      </c>
      <c r="B172">
        <f>Prices!B172</f>
        <v/>
      </c>
      <c r="C172">
        <f>Prices!C172</f>
        <v/>
      </c>
      <c r="D172">
        <f>Prices!D172</f>
        <v/>
      </c>
      <c r="E172">
        <f>Prices!E172</f>
        <v/>
      </c>
      <c r="F172">
        <f>Prices!F172</f>
        <v/>
      </c>
      <c r="G172">
        <f>IF(AND(170&gt;=16,TEXT(A172,"yyyy-mm")&lt;&gt;TEXT(A173,"yyyy-mm")),1,0)</f>
        <v/>
      </c>
      <c r="H172">
        <f>IF(OR(H171=1,G172=1),1,0)</f>
        <v/>
      </c>
      <c r="I172">
        <f>IF(H171=0,1,SUMPRODUCT(J171:N171,B172:F172)+O171*(1+0.00023125256064071564))</f>
        <v/>
      </c>
      <c r="J172">
        <f>IF(G172=1,0.2*R172/B172,J171)</f>
        <v/>
      </c>
      <c r="K172">
        <f>IF(G172=1,0.2*R172/C172,K171)</f>
        <v/>
      </c>
      <c r="L172">
        <f>IF(G172=1,0.2*R172/D172,L171)</f>
        <v/>
      </c>
      <c r="M172">
        <f>IF(G172=1,0.2*R172/E172,M171)</f>
        <v/>
      </c>
      <c r="N172">
        <f>IF(G172=1,0.2*R172/F172,N171)</f>
        <v/>
      </c>
      <c r="O172">
        <f>IF(G172=1,R172*(1-1.0),IF(H171=0,1,O171*(1+0.00023125256064071564)))</f>
        <v/>
      </c>
      <c r="P172">
        <f>IF(G172=1,IF(H171=0,1,ABS(0.2-J171*B172/I172)+ABS(0.2-K171*C172/I172)+ABS(0.2-L171*D172/I172)+ABS(0.2-M171*E172/I172)+ABS(0.2-N171*F172/I172)),0)</f>
        <v/>
      </c>
      <c r="Q172">
        <f>P172*0.0015</f>
        <v/>
      </c>
      <c r="R172">
        <f>I172*(1-Q172)</f>
        <v/>
      </c>
      <c r="S172">
        <f>R172/R171-1</f>
        <v/>
      </c>
      <c r="T172">
        <f>MAX(T171,R172)</f>
        <v/>
      </c>
      <c r="U172">
        <f>R172/T172-1</f>
        <v/>
      </c>
      <c r="V172" t="n">
        <v>1.412455260273093</v>
      </c>
      <c r="W172" s="5">
        <f>R172-V172</f>
        <v/>
      </c>
    </row>
    <row r="173">
      <c r="A173" s="3" t="n">
        <v>38692</v>
      </c>
      <c r="B173">
        <f>Prices!B173</f>
        <v/>
      </c>
      <c r="C173">
        <f>Prices!C173</f>
        <v/>
      </c>
      <c r="D173">
        <f>Prices!D173</f>
        <v/>
      </c>
      <c r="E173">
        <f>Prices!E173</f>
        <v/>
      </c>
      <c r="F173">
        <f>Prices!F173</f>
        <v/>
      </c>
      <c r="G173">
        <f>IF(AND(171&gt;=16,TEXT(A173,"yyyy-mm")&lt;&gt;TEXT(A174,"yyyy-mm")),1,0)</f>
        <v/>
      </c>
      <c r="H173">
        <f>IF(OR(H172=1,G173=1),1,0)</f>
        <v/>
      </c>
      <c r="I173">
        <f>IF(H172=0,1,SUMPRODUCT(J172:N172,B173:F173)+O172*(1+0.00023125256064071564))</f>
        <v/>
      </c>
      <c r="J173">
        <f>IF(G173=1,0.2*R173/B173,J172)</f>
        <v/>
      </c>
      <c r="K173">
        <f>IF(G173=1,0.2*R173/C173,K172)</f>
        <v/>
      </c>
      <c r="L173">
        <f>IF(G173=1,0.2*R173/D173,L172)</f>
        <v/>
      </c>
      <c r="M173">
        <f>IF(G173=1,0.2*R173/E173,M172)</f>
        <v/>
      </c>
      <c r="N173">
        <f>IF(G173=1,0.2*R173/F173,N172)</f>
        <v/>
      </c>
      <c r="O173">
        <f>IF(G173=1,R173*(1-1.0),IF(H172=0,1,O172*(1+0.00023125256064071564)))</f>
        <v/>
      </c>
      <c r="P173">
        <f>IF(G173=1,IF(H172=0,1,ABS(0.2-J172*B173/I173)+ABS(0.2-K172*C173/I173)+ABS(0.2-L172*D173/I173)+ABS(0.2-M172*E173/I173)+ABS(0.2-N172*F173/I173)),0)</f>
        <v/>
      </c>
      <c r="Q173">
        <f>P173*0.0015</f>
        <v/>
      </c>
      <c r="R173">
        <f>I173*(1-Q173)</f>
        <v/>
      </c>
      <c r="S173">
        <f>R173/R172-1</f>
        <v/>
      </c>
      <c r="T173">
        <f>MAX(T172,R173)</f>
        <v/>
      </c>
      <c r="U173">
        <f>R173/T173-1</f>
        <v/>
      </c>
      <c r="V173" t="n">
        <v>1.409713807990643</v>
      </c>
      <c r="W173" s="5">
        <f>R173-V173</f>
        <v/>
      </c>
    </row>
    <row r="174">
      <c r="A174" s="3" t="n">
        <v>38693</v>
      </c>
      <c r="B174">
        <f>Prices!B174</f>
        <v/>
      </c>
      <c r="C174">
        <f>Prices!C174</f>
        <v/>
      </c>
      <c r="D174">
        <f>Prices!D174</f>
        <v/>
      </c>
      <c r="E174">
        <f>Prices!E174</f>
        <v/>
      </c>
      <c r="F174">
        <f>Prices!F174</f>
        <v/>
      </c>
      <c r="G174">
        <f>IF(AND(172&gt;=16,TEXT(A174,"yyyy-mm")&lt;&gt;TEXT(A175,"yyyy-mm")),1,0)</f>
        <v/>
      </c>
      <c r="H174">
        <f>IF(OR(H173=1,G174=1),1,0)</f>
        <v/>
      </c>
      <c r="I174">
        <f>IF(H173=0,1,SUMPRODUCT(J173:N173,B174:F174)+O173*(1+0.00023125256064071564))</f>
        <v/>
      </c>
      <c r="J174">
        <f>IF(G174=1,0.2*R174/B174,J173)</f>
        <v/>
      </c>
      <c r="K174">
        <f>IF(G174=1,0.2*R174/C174,K173)</f>
        <v/>
      </c>
      <c r="L174">
        <f>IF(G174=1,0.2*R174/D174,L173)</f>
        <v/>
      </c>
      <c r="M174">
        <f>IF(G174=1,0.2*R174/E174,M173)</f>
        <v/>
      </c>
      <c r="N174">
        <f>IF(G174=1,0.2*R174/F174,N173)</f>
        <v/>
      </c>
      <c r="O174">
        <f>IF(G174=1,R174*(1-1.0),IF(H173=0,1,O173*(1+0.00023125256064071564)))</f>
        <v/>
      </c>
      <c r="P174">
        <f>IF(G174=1,IF(H173=0,1,ABS(0.2-J173*B174/I174)+ABS(0.2-K173*C174/I174)+ABS(0.2-L173*D174/I174)+ABS(0.2-M173*E174/I174)+ABS(0.2-N173*F174/I174)),0)</f>
        <v/>
      </c>
      <c r="Q174">
        <f>P174*0.0015</f>
        <v/>
      </c>
      <c r="R174">
        <f>I174*(1-Q174)</f>
        <v/>
      </c>
      <c r="S174">
        <f>R174/R173-1</f>
        <v/>
      </c>
      <c r="T174">
        <f>MAX(T173,R174)</f>
        <v/>
      </c>
      <c r="U174">
        <f>R174/T174-1</f>
        <v/>
      </c>
      <c r="V174" t="n">
        <v>1.418849762704242</v>
      </c>
      <c r="W174" s="5">
        <f>R174-V174</f>
        <v/>
      </c>
    </row>
    <row r="175">
      <c r="A175" s="3" t="n">
        <v>38694</v>
      </c>
      <c r="B175">
        <f>Prices!B175</f>
        <v/>
      </c>
      <c r="C175">
        <f>Prices!C175</f>
        <v/>
      </c>
      <c r="D175">
        <f>Prices!D175</f>
        <v/>
      </c>
      <c r="E175">
        <f>Prices!E175</f>
        <v/>
      </c>
      <c r="F175">
        <f>Prices!F175</f>
        <v/>
      </c>
      <c r="G175">
        <f>IF(AND(173&gt;=16,TEXT(A175,"yyyy-mm")&lt;&gt;TEXT(A176,"yyyy-mm")),1,0)</f>
        <v/>
      </c>
      <c r="H175">
        <f>IF(OR(H174=1,G175=1),1,0)</f>
        <v/>
      </c>
      <c r="I175">
        <f>IF(H174=0,1,SUMPRODUCT(J174:N174,B175:F175)+O174*(1+0.00023125256064071564))</f>
        <v/>
      </c>
      <c r="J175">
        <f>IF(G175=1,0.2*R175/B175,J174)</f>
        <v/>
      </c>
      <c r="K175">
        <f>IF(G175=1,0.2*R175/C175,K174)</f>
        <v/>
      </c>
      <c r="L175">
        <f>IF(G175=1,0.2*R175/D175,L174)</f>
        <v/>
      </c>
      <c r="M175">
        <f>IF(G175=1,0.2*R175/E175,M174)</f>
        <v/>
      </c>
      <c r="N175">
        <f>IF(G175=1,0.2*R175/F175,N174)</f>
        <v/>
      </c>
      <c r="O175">
        <f>IF(G175=1,R175*(1-1.0),IF(H174=0,1,O174*(1+0.00023125256064071564)))</f>
        <v/>
      </c>
      <c r="P175">
        <f>IF(G175=1,IF(H174=0,1,ABS(0.2-J174*B175/I175)+ABS(0.2-K174*C175/I175)+ABS(0.2-L174*D175/I175)+ABS(0.2-M174*E175/I175)+ABS(0.2-N174*F175/I175)),0)</f>
        <v/>
      </c>
      <c r="Q175">
        <f>P175*0.0015</f>
        <v/>
      </c>
      <c r="R175">
        <f>I175*(1-Q175)</f>
        <v/>
      </c>
      <c r="S175">
        <f>R175/R174-1</f>
        <v/>
      </c>
      <c r="T175">
        <f>MAX(T174,R175)</f>
        <v/>
      </c>
      <c r="U175">
        <f>R175/T175-1</f>
        <v/>
      </c>
      <c r="V175" t="n">
        <v>1.429646082386516</v>
      </c>
      <c r="W175" s="5">
        <f>R175-V175</f>
        <v/>
      </c>
    </row>
    <row r="176">
      <c r="A176" s="3" t="n">
        <v>38695</v>
      </c>
      <c r="B176">
        <f>Prices!B176</f>
        <v/>
      </c>
      <c r="C176">
        <f>Prices!C176</f>
        <v/>
      </c>
      <c r="D176">
        <f>Prices!D176</f>
        <v/>
      </c>
      <c r="E176">
        <f>Prices!E176</f>
        <v/>
      </c>
      <c r="F176">
        <f>Prices!F176</f>
        <v/>
      </c>
      <c r="G176">
        <f>IF(AND(174&gt;=16,TEXT(A176,"yyyy-mm")&lt;&gt;TEXT(A177,"yyyy-mm")),1,0)</f>
        <v/>
      </c>
      <c r="H176">
        <f>IF(OR(H175=1,G176=1),1,0)</f>
        <v/>
      </c>
      <c r="I176">
        <f>IF(H175=0,1,SUMPRODUCT(J175:N175,B176:F176)+O175*(1+0.00023125256064071564))</f>
        <v/>
      </c>
      <c r="J176">
        <f>IF(G176=1,0.2*R176/B176,J175)</f>
        <v/>
      </c>
      <c r="K176">
        <f>IF(G176=1,0.2*R176/C176,K175)</f>
        <v/>
      </c>
      <c r="L176">
        <f>IF(G176=1,0.2*R176/D176,L175)</f>
        <v/>
      </c>
      <c r="M176">
        <f>IF(G176=1,0.2*R176/E176,M175)</f>
        <v/>
      </c>
      <c r="N176">
        <f>IF(G176=1,0.2*R176/F176,N175)</f>
        <v/>
      </c>
      <c r="O176">
        <f>IF(G176=1,R176*(1-1.0),IF(H175=0,1,O175*(1+0.00023125256064071564)))</f>
        <v/>
      </c>
      <c r="P176">
        <f>IF(G176=1,IF(H175=0,1,ABS(0.2-J175*B176/I176)+ABS(0.2-K175*C176/I176)+ABS(0.2-L175*D176/I176)+ABS(0.2-M175*E176/I176)+ABS(0.2-N175*F176/I176)),0)</f>
        <v/>
      </c>
      <c r="Q176">
        <f>P176*0.0015</f>
        <v/>
      </c>
      <c r="R176">
        <f>I176*(1-Q176)</f>
        <v/>
      </c>
      <c r="S176">
        <f>R176/R175-1</f>
        <v/>
      </c>
      <c r="T176">
        <f>MAX(T175,R176)</f>
        <v/>
      </c>
      <c r="U176">
        <f>R176/T176-1</f>
        <v/>
      </c>
      <c r="V176" t="n">
        <v>1.448368123767608</v>
      </c>
      <c r="W176" s="5">
        <f>R176-V176</f>
        <v/>
      </c>
    </row>
    <row r="177">
      <c r="A177" s="3" t="n">
        <v>38698</v>
      </c>
      <c r="B177">
        <f>Prices!B177</f>
        <v/>
      </c>
      <c r="C177">
        <f>Prices!C177</f>
        <v/>
      </c>
      <c r="D177">
        <f>Prices!D177</f>
        <v/>
      </c>
      <c r="E177">
        <f>Prices!E177</f>
        <v/>
      </c>
      <c r="F177">
        <f>Prices!F177</f>
        <v/>
      </c>
      <c r="G177">
        <f>IF(AND(175&gt;=16,TEXT(A177,"yyyy-mm")&lt;&gt;TEXT(A178,"yyyy-mm")),1,0)</f>
        <v/>
      </c>
      <c r="H177">
        <f>IF(OR(H176=1,G177=1),1,0)</f>
        <v/>
      </c>
      <c r="I177">
        <f>IF(H176=0,1,SUMPRODUCT(J176:N176,B177:F177)+O176*(1+0.00023125256064071564))</f>
        <v/>
      </c>
      <c r="J177">
        <f>IF(G177=1,0.2*R177/B177,J176)</f>
        <v/>
      </c>
      <c r="K177">
        <f>IF(G177=1,0.2*R177/C177,K176)</f>
        <v/>
      </c>
      <c r="L177">
        <f>IF(G177=1,0.2*R177/D177,L176)</f>
        <v/>
      </c>
      <c r="M177">
        <f>IF(G177=1,0.2*R177/E177,M176)</f>
        <v/>
      </c>
      <c r="N177">
        <f>IF(G177=1,0.2*R177/F177,N176)</f>
        <v/>
      </c>
      <c r="O177">
        <f>IF(G177=1,R177*(1-1.0),IF(H176=0,1,O176*(1+0.00023125256064071564)))</f>
        <v/>
      </c>
      <c r="P177">
        <f>IF(G177=1,IF(H176=0,1,ABS(0.2-J176*B177/I177)+ABS(0.2-K176*C177/I177)+ABS(0.2-L176*D177/I177)+ABS(0.2-M176*E177/I177)+ABS(0.2-N176*F177/I177)),0)</f>
        <v/>
      </c>
      <c r="Q177">
        <f>P177*0.0015</f>
        <v/>
      </c>
      <c r="R177">
        <f>I177*(1-Q177)</f>
        <v/>
      </c>
      <c r="S177">
        <f>R177/R176-1</f>
        <v/>
      </c>
      <c r="T177">
        <f>MAX(T176,R177)</f>
        <v/>
      </c>
      <c r="U177">
        <f>R177/T177-1</f>
        <v/>
      </c>
      <c r="V177" t="n">
        <v>1.456156334265262</v>
      </c>
      <c r="W177" s="5">
        <f>R177-V177</f>
        <v/>
      </c>
    </row>
    <row r="178">
      <c r="A178" s="3" t="n">
        <v>38699</v>
      </c>
      <c r="B178">
        <f>Prices!B178</f>
        <v/>
      </c>
      <c r="C178">
        <f>Prices!C178</f>
        <v/>
      </c>
      <c r="D178">
        <f>Prices!D178</f>
        <v/>
      </c>
      <c r="E178">
        <f>Prices!E178</f>
        <v/>
      </c>
      <c r="F178">
        <f>Prices!F178</f>
        <v/>
      </c>
      <c r="G178">
        <f>IF(AND(176&gt;=16,TEXT(A178,"yyyy-mm")&lt;&gt;TEXT(A179,"yyyy-mm")),1,0)</f>
        <v/>
      </c>
      <c r="H178">
        <f>IF(OR(H177=1,G178=1),1,0)</f>
        <v/>
      </c>
      <c r="I178">
        <f>IF(H177=0,1,SUMPRODUCT(J177:N177,B178:F178)+O177*(1+0.00023125256064071564))</f>
        <v/>
      </c>
      <c r="J178">
        <f>IF(G178=1,0.2*R178/B178,J177)</f>
        <v/>
      </c>
      <c r="K178">
        <f>IF(G178=1,0.2*R178/C178,K177)</f>
        <v/>
      </c>
      <c r="L178">
        <f>IF(G178=1,0.2*R178/D178,L177)</f>
        <v/>
      </c>
      <c r="M178">
        <f>IF(G178=1,0.2*R178/E178,M177)</f>
        <v/>
      </c>
      <c r="N178">
        <f>IF(G178=1,0.2*R178/F178,N177)</f>
        <v/>
      </c>
      <c r="O178">
        <f>IF(G178=1,R178*(1-1.0),IF(H177=0,1,O177*(1+0.00023125256064071564)))</f>
        <v/>
      </c>
      <c r="P178">
        <f>IF(G178=1,IF(H177=0,1,ABS(0.2-J177*B178/I178)+ABS(0.2-K177*C178/I178)+ABS(0.2-L177*D178/I178)+ABS(0.2-M177*E178/I178)+ABS(0.2-N177*F178/I178)),0)</f>
        <v/>
      </c>
      <c r="Q178">
        <f>P178*0.0015</f>
        <v/>
      </c>
      <c r="R178">
        <f>I178*(1-Q178)</f>
        <v/>
      </c>
      <c r="S178">
        <f>R178/R177-1</f>
        <v/>
      </c>
      <c r="T178">
        <f>MAX(T177,R178)</f>
        <v/>
      </c>
      <c r="U178">
        <f>R178/T178-1</f>
        <v/>
      </c>
      <c r="V178" t="n">
        <v>1.467823076994583</v>
      </c>
      <c r="W178" s="5">
        <f>R178-V178</f>
        <v/>
      </c>
    </row>
    <row r="179">
      <c r="A179" s="3" t="n">
        <v>38700</v>
      </c>
      <c r="B179">
        <f>Prices!B179</f>
        <v/>
      </c>
      <c r="C179">
        <f>Prices!C179</f>
        <v/>
      </c>
      <c r="D179">
        <f>Prices!D179</f>
        <v/>
      </c>
      <c r="E179">
        <f>Prices!E179</f>
        <v/>
      </c>
      <c r="F179">
        <f>Prices!F179</f>
        <v/>
      </c>
      <c r="G179">
        <f>IF(AND(177&gt;=16,TEXT(A179,"yyyy-mm")&lt;&gt;TEXT(A180,"yyyy-mm")),1,0)</f>
        <v/>
      </c>
      <c r="H179">
        <f>IF(OR(H178=1,G179=1),1,0)</f>
        <v/>
      </c>
      <c r="I179">
        <f>IF(H178=0,1,SUMPRODUCT(J178:N178,B179:F179)+O178*(1+0.00023125256064071564))</f>
        <v/>
      </c>
      <c r="J179">
        <f>IF(G179=1,0.2*R179/B179,J178)</f>
        <v/>
      </c>
      <c r="K179">
        <f>IF(G179=1,0.2*R179/C179,K178)</f>
        <v/>
      </c>
      <c r="L179">
        <f>IF(G179=1,0.2*R179/D179,L178)</f>
        <v/>
      </c>
      <c r="M179">
        <f>IF(G179=1,0.2*R179/E179,M178)</f>
        <v/>
      </c>
      <c r="N179">
        <f>IF(G179=1,0.2*R179/F179,N178)</f>
        <v/>
      </c>
      <c r="O179">
        <f>IF(G179=1,R179*(1-1.0),IF(H178=0,1,O178*(1+0.00023125256064071564)))</f>
        <v/>
      </c>
      <c r="P179">
        <f>IF(G179=1,IF(H178=0,1,ABS(0.2-J178*B179/I179)+ABS(0.2-K178*C179/I179)+ABS(0.2-L178*D179/I179)+ABS(0.2-M178*E179/I179)+ABS(0.2-N178*F179/I179)),0)</f>
        <v/>
      </c>
      <c r="Q179">
        <f>P179*0.0015</f>
        <v/>
      </c>
      <c r="R179">
        <f>I179*(1-Q179)</f>
        <v/>
      </c>
      <c r="S179">
        <f>R179/R178-1</f>
        <v/>
      </c>
      <c r="T179">
        <f>MAX(T178,R179)</f>
        <v/>
      </c>
      <c r="U179">
        <f>R179/T179-1</f>
        <v/>
      </c>
      <c r="V179" t="n">
        <v>1.466440743093751</v>
      </c>
      <c r="W179" s="5">
        <f>R179-V179</f>
        <v/>
      </c>
    </row>
    <row r="180">
      <c r="A180" s="3" t="n">
        <v>38701</v>
      </c>
      <c r="B180">
        <f>Prices!B180</f>
        <v/>
      </c>
      <c r="C180">
        <f>Prices!C180</f>
        <v/>
      </c>
      <c r="D180">
        <f>Prices!D180</f>
        <v/>
      </c>
      <c r="E180">
        <f>Prices!E180</f>
        <v/>
      </c>
      <c r="F180">
        <f>Prices!F180</f>
        <v/>
      </c>
      <c r="G180">
        <f>IF(AND(178&gt;=16,TEXT(A180,"yyyy-mm")&lt;&gt;TEXT(A181,"yyyy-mm")),1,0)</f>
        <v/>
      </c>
      <c r="H180">
        <f>IF(OR(H179=1,G180=1),1,0)</f>
        <v/>
      </c>
      <c r="I180">
        <f>IF(H179=0,1,SUMPRODUCT(J179:N179,B180:F180)+O179*(1+0.00023125256064071564))</f>
        <v/>
      </c>
      <c r="J180">
        <f>IF(G180=1,0.2*R180/B180,J179)</f>
        <v/>
      </c>
      <c r="K180">
        <f>IF(G180=1,0.2*R180/C180,K179)</f>
        <v/>
      </c>
      <c r="L180">
        <f>IF(G180=1,0.2*R180/D180,L179)</f>
        <v/>
      </c>
      <c r="M180">
        <f>IF(G180=1,0.2*R180/E180,M179)</f>
        <v/>
      </c>
      <c r="N180">
        <f>IF(G180=1,0.2*R180/F180,N179)</f>
        <v/>
      </c>
      <c r="O180">
        <f>IF(G180=1,R180*(1-1.0),IF(H179=0,1,O179*(1+0.00023125256064071564)))</f>
        <v/>
      </c>
      <c r="P180">
        <f>IF(G180=1,IF(H179=0,1,ABS(0.2-J179*B180/I180)+ABS(0.2-K179*C180/I180)+ABS(0.2-L179*D180/I180)+ABS(0.2-M179*E180/I180)+ABS(0.2-N179*F180/I180)),0)</f>
        <v/>
      </c>
      <c r="Q180">
        <f>P180*0.0015</f>
        <v/>
      </c>
      <c r="R180">
        <f>I180*(1-Q180)</f>
        <v/>
      </c>
      <c r="S180">
        <f>R180/R179-1</f>
        <v/>
      </c>
      <c r="T180">
        <f>MAX(T179,R180)</f>
        <v/>
      </c>
      <c r="U180">
        <f>R180/T180-1</f>
        <v/>
      </c>
      <c r="V180" t="n">
        <v>1.448613350811869</v>
      </c>
      <c r="W180" s="5">
        <f>R180-V180</f>
        <v/>
      </c>
    </row>
    <row r="181">
      <c r="A181" s="3" t="n">
        <v>38702</v>
      </c>
      <c r="B181">
        <f>Prices!B181</f>
        <v/>
      </c>
      <c r="C181">
        <f>Prices!C181</f>
        <v/>
      </c>
      <c r="D181">
        <f>Prices!D181</f>
        <v/>
      </c>
      <c r="E181">
        <f>Prices!E181</f>
        <v/>
      </c>
      <c r="F181">
        <f>Prices!F181</f>
        <v/>
      </c>
      <c r="G181">
        <f>IF(AND(179&gt;=16,TEXT(A181,"yyyy-mm")&lt;&gt;TEXT(A182,"yyyy-mm")),1,0)</f>
        <v/>
      </c>
      <c r="H181">
        <f>IF(OR(H180=1,G181=1),1,0)</f>
        <v/>
      </c>
      <c r="I181">
        <f>IF(H180=0,1,SUMPRODUCT(J180:N180,B181:F181)+O180*(1+0.00023125256064071564))</f>
        <v/>
      </c>
      <c r="J181">
        <f>IF(G181=1,0.2*R181/B181,J180)</f>
        <v/>
      </c>
      <c r="K181">
        <f>IF(G181=1,0.2*R181/C181,K180)</f>
        <v/>
      </c>
      <c r="L181">
        <f>IF(G181=1,0.2*R181/D181,L180)</f>
        <v/>
      </c>
      <c r="M181">
        <f>IF(G181=1,0.2*R181/E181,M180)</f>
        <v/>
      </c>
      <c r="N181">
        <f>IF(G181=1,0.2*R181/F181,N180)</f>
        <v/>
      </c>
      <c r="O181">
        <f>IF(G181=1,R181*(1-1.0),IF(H180=0,1,O180*(1+0.00023125256064071564)))</f>
        <v/>
      </c>
      <c r="P181">
        <f>IF(G181=1,IF(H180=0,1,ABS(0.2-J180*B181/I181)+ABS(0.2-K180*C181/I181)+ABS(0.2-L180*D181/I181)+ABS(0.2-M180*E181/I181)+ABS(0.2-N180*F181/I181)),0)</f>
        <v/>
      </c>
      <c r="Q181">
        <f>P181*0.0015</f>
        <v/>
      </c>
      <c r="R181">
        <f>I181*(1-Q181)</f>
        <v/>
      </c>
      <c r="S181">
        <f>R181/R180-1</f>
        <v/>
      </c>
      <c r="T181">
        <f>MAX(T180,R181)</f>
        <v/>
      </c>
      <c r="U181">
        <f>R181/T181-1</f>
        <v/>
      </c>
      <c r="V181" t="n">
        <v>1.461593636546019</v>
      </c>
      <c r="W181" s="5">
        <f>R181-V181</f>
        <v/>
      </c>
    </row>
    <row r="182">
      <c r="A182" s="3" t="n">
        <v>38705</v>
      </c>
      <c r="B182">
        <f>Prices!B182</f>
        <v/>
      </c>
      <c r="C182">
        <f>Prices!C182</f>
        <v/>
      </c>
      <c r="D182">
        <f>Prices!D182</f>
        <v/>
      </c>
      <c r="E182">
        <f>Prices!E182</f>
        <v/>
      </c>
      <c r="F182">
        <f>Prices!F182</f>
        <v/>
      </c>
      <c r="G182">
        <f>IF(AND(180&gt;=16,TEXT(A182,"yyyy-mm")&lt;&gt;TEXT(A183,"yyyy-mm")),1,0)</f>
        <v/>
      </c>
      <c r="H182">
        <f>IF(OR(H181=1,G182=1),1,0)</f>
        <v/>
      </c>
      <c r="I182">
        <f>IF(H181=0,1,SUMPRODUCT(J181:N181,B182:F182)+O181*(1+0.00023125256064071564))</f>
        <v/>
      </c>
      <c r="J182">
        <f>IF(G182=1,0.2*R182/B182,J181)</f>
        <v/>
      </c>
      <c r="K182">
        <f>IF(G182=1,0.2*R182/C182,K181)</f>
        <v/>
      </c>
      <c r="L182">
        <f>IF(G182=1,0.2*R182/D182,L181)</f>
        <v/>
      </c>
      <c r="M182">
        <f>IF(G182=1,0.2*R182/E182,M181)</f>
        <v/>
      </c>
      <c r="N182">
        <f>IF(G182=1,0.2*R182/F182,N181)</f>
        <v/>
      </c>
      <c r="O182">
        <f>IF(G182=1,R182*(1-1.0),IF(H181=0,1,O181*(1+0.00023125256064071564)))</f>
        <v/>
      </c>
      <c r="P182">
        <f>IF(G182=1,IF(H181=0,1,ABS(0.2-J181*B182/I182)+ABS(0.2-K181*C182/I182)+ABS(0.2-L181*D182/I182)+ABS(0.2-M181*E182/I182)+ABS(0.2-N181*F182/I182)),0)</f>
        <v/>
      </c>
      <c r="Q182">
        <f>P182*0.0015</f>
        <v/>
      </c>
      <c r="R182">
        <f>I182*(1-Q182)</f>
        <v/>
      </c>
      <c r="S182">
        <f>R182/R181-1</f>
        <v/>
      </c>
      <c r="T182">
        <f>MAX(T181,R182)</f>
        <v/>
      </c>
      <c r="U182">
        <f>R182/T182-1</f>
        <v/>
      </c>
      <c r="V182" t="n">
        <v>1.479265067640969</v>
      </c>
      <c r="W182" s="5">
        <f>R182-V182</f>
        <v/>
      </c>
    </row>
    <row r="183">
      <c r="A183" s="3" t="n">
        <v>38706</v>
      </c>
      <c r="B183">
        <f>Prices!B183</f>
        <v/>
      </c>
      <c r="C183">
        <f>Prices!C183</f>
        <v/>
      </c>
      <c r="D183">
        <f>Prices!D183</f>
        <v/>
      </c>
      <c r="E183">
        <f>Prices!E183</f>
        <v/>
      </c>
      <c r="F183">
        <f>Prices!F183</f>
        <v/>
      </c>
      <c r="G183">
        <f>IF(AND(181&gt;=16,TEXT(A183,"yyyy-mm")&lt;&gt;TEXT(A184,"yyyy-mm")),1,0)</f>
        <v/>
      </c>
      <c r="H183">
        <f>IF(OR(H182=1,G183=1),1,0)</f>
        <v/>
      </c>
      <c r="I183">
        <f>IF(H182=0,1,SUMPRODUCT(J182:N182,B183:F183)+O182*(1+0.00023125256064071564))</f>
        <v/>
      </c>
      <c r="J183">
        <f>IF(G183=1,0.2*R183/B183,J182)</f>
        <v/>
      </c>
      <c r="K183">
        <f>IF(G183=1,0.2*R183/C183,K182)</f>
        <v/>
      </c>
      <c r="L183">
        <f>IF(G183=1,0.2*R183/D183,L182)</f>
        <v/>
      </c>
      <c r="M183">
        <f>IF(G183=1,0.2*R183/E183,M182)</f>
        <v/>
      </c>
      <c r="N183">
        <f>IF(G183=1,0.2*R183/F183,N182)</f>
        <v/>
      </c>
      <c r="O183">
        <f>IF(G183=1,R183*(1-1.0),IF(H182=0,1,O182*(1+0.00023125256064071564)))</f>
        <v/>
      </c>
      <c r="P183">
        <f>IF(G183=1,IF(H182=0,1,ABS(0.2-J182*B183/I183)+ABS(0.2-K182*C183/I183)+ABS(0.2-L182*D183/I183)+ABS(0.2-M182*E183/I183)+ABS(0.2-N182*F183/I183)),0)</f>
        <v/>
      </c>
      <c r="Q183">
        <f>P183*0.0015</f>
        <v/>
      </c>
      <c r="R183">
        <f>I183*(1-Q183)</f>
        <v/>
      </c>
      <c r="S183">
        <f>R183/R182-1</f>
        <v/>
      </c>
      <c r="T183">
        <f>MAX(T182,R183)</f>
        <v/>
      </c>
      <c r="U183">
        <f>R183/T183-1</f>
        <v/>
      </c>
      <c r="V183" t="n">
        <v>1.471229266632719</v>
      </c>
      <c r="W183" s="5">
        <f>R183-V183</f>
        <v/>
      </c>
    </row>
    <row r="184">
      <c r="A184" s="3" t="n">
        <v>38707</v>
      </c>
      <c r="B184">
        <f>Prices!B184</f>
        <v/>
      </c>
      <c r="C184">
        <f>Prices!C184</f>
        <v/>
      </c>
      <c r="D184">
        <f>Prices!D184</f>
        <v/>
      </c>
      <c r="E184">
        <f>Prices!E184</f>
        <v/>
      </c>
      <c r="F184">
        <f>Prices!F184</f>
        <v/>
      </c>
      <c r="G184">
        <f>IF(AND(182&gt;=16,TEXT(A184,"yyyy-mm")&lt;&gt;TEXT(A185,"yyyy-mm")),1,0)</f>
        <v/>
      </c>
      <c r="H184">
        <f>IF(OR(H183=1,G184=1),1,0)</f>
        <v/>
      </c>
      <c r="I184">
        <f>IF(H183=0,1,SUMPRODUCT(J183:N183,B184:F184)+O183*(1+0.00023125256064071564))</f>
        <v/>
      </c>
      <c r="J184">
        <f>IF(G184=1,0.2*R184/B184,J183)</f>
        <v/>
      </c>
      <c r="K184">
        <f>IF(G184=1,0.2*R184/C184,K183)</f>
        <v/>
      </c>
      <c r="L184">
        <f>IF(G184=1,0.2*R184/D184,L183)</f>
        <v/>
      </c>
      <c r="M184">
        <f>IF(G184=1,0.2*R184/E184,M183)</f>
        <v/>
      </c>
      <c r="N184">
        <f>IF(G184=1,0.2*R184/F184,N183)</f>
        <v/>
      </c>
      <c r="O184">
        <f>IF(G184=1,R184*(1-1.0),IF(H183=0,1,O183*(1+0.00023125256064071564)))</f>
        <v/>
      </c>
      <c r="P184">
        <f>IF(G184=1,IF(H183=0,1,ABS(0.2-J183*B184/I184)+ABS(0.2-K183*C184/I184)+ABS(0.2-L183*D184/I184)+ABS(0.2-M183*E184/I184)+ABS(0.2-N183*F184/I184)),0)</f>
        <v/>
      </c>
      <c r="Q184">
        <f>P184*0.0015</f>
        <v/>
      </c>
      <c r="R184">
        <f>I184*(1-Q184)</f>
        <v/>
      </c>
      <c r="S184">
        <f>R184/R183-1</f>
        <v/>
      </c>
      <c r="T184">
        <f>MAX(T183,R184)</f>
        <v/>
      </c>
      <c r="U184">
        <f>R184/T184-1</f>
        <v/>
      </c>
      <c r="V184" t="n">
        <v>1.471653028897891</v>
      </c>
      <c r="W184" s="5">
        <f>R184-V184</f>
        <v/>
      </c>
    </row>
    <row r="185">
      <c r="A185" s="3" t="n">
        <v>38708</v>
      </c>
      <c r="B185">
        <f>Prices!B185</f>
        <v/>
      </c>
      <c r="C185">
        <f>Prices!C185</f>
        <v/>
      </c>
      <c r="D185">
        <f>Prices!D185</f>
        <v/>
      </c>
      <c r="E185">
        <f>Prices!E185</f>
        <v/>
      </c>
      <c r="F185">
        <f>Prices!F185</f>
        <v/>
      </c>
      <c r="G185">
        <f>IF(AND(183&gt;=16,TEXT(A185,"yyyy-mm")&lt;&gt;TEXT(A186,"yyyy-mm")),1,0)</f>
        <v/>
      </c>
      <c r="H185">
        <f>IF(OR(H184=1,G185=1),1,0)</f>
        <v/>
      </c>
      <c r="I185">
        <f>IF(H184=0,1,SUMPRODUCT(J184:N184,B185:F185)+O184*(1+0.00023125256064071564))</f>
        <v/>
      </c>
      <c r="J185">
        <f>IF(G185=1,0.2*R185/B185,J184)</f>
        <v/>
      </c>
      <c r="K185">
        <f>IF(G185=1,0.2*R185/C185,K184)</f>
        <v/>
      </c>
      <c r="L185">
        <f>IF(G185=1,0.2*R185/D185,L184)</f>
        <v/>
      </c>
      <c r="M185">
        <f>IF(G185=1,0.2*R185/E185,M184)</f>
        <v/>
      </c>
      <c r="N185">
        <f>IF(G185=1,0.2*R185/F185,N184)</f>
        <v/>
      </c>
      <c r="O185">
        <f>IF(G185=1,R185*(1-1.0),IF(H184=0,1,O184*(1+0.00023125256064071564)))</f>
        <v/>
      </c>
      <c r="P185">
        <f>IF(G185=1,IF(H184=0,1,ABS(0.2-J184*B185/I185)+ABS(0.2-K184*C185/I185)+ABS(0.2-L184*D185/I185)+ABS(0.2-M184*E185/I185)+ABS(0.2-N184*F185/I185)),0)</f>
        <v/>
      </c>
      <c r="Q185">
        <f>P185*0.0015</f>
        <v/>
      </c>
      <c r="R185">
        <f>I185*(1-Q185)</f>
        <v/>
      </c>
      <c r="S185">
        <f>R185/R184-1</f>
        <v/>
      </c>
      <c r="T185">
        <f>MAX(T184,R185)</f>
        <v/>
      </c>
      <c r="U185">
        <f>R185/T185-1</f>
        <v/>
      </c>
      <c r="V185" t="n">
        <v>1.474020123124019</v>
      </c>
      <c r="W185" s="5">
        <f>R185-V185</f>
        <v/>
      </c>
    </row>
    <row r="186">
      <c r="A186" s="3" t="n">
        <v>38709</v>
      </c>
      <c r="B186">
        <f>Prices!B186</f>
        <v/>
      </c>
      <c r="C186">
        <f>Prices!C186</f>
        <v/>
      </c>
      <c r="D186">
        <f>Prices!D186</f>
        <v/>
      </c>
      <c r="E186">
        <f>Prices!E186</f>
        <v/>
      </c>
      <c r="F186">
        <f>Prices!F186</f>
        <v/>
      </c>
      <c r="G186">
        <f>IF(AND(184&gt;=16,TEXT(A186,"yyyy-mm")&lt;&gt;TEXT(A187,"yyyy-mm")),1,0)</f>
        <v/>
      </c>
      <c r="H186">
        <f>IF(OR(H185=1,G186=1),1,0)</f>
        <v/>
      </c>
      <c r="I186">
        <f>IF(H185=0,1,SUMPRODUCT(J185:N185,B186:F186)+O185*(1+0.00023125256064071564))</f>
        <v/>
      </c>
      <c r="J186">
        <f>IF(G186=1,0.2*R186/B186,J185)</f>
        <v/>
      </c>
      <c r="K186">
        <f>IF(G186=1,0.2*R186/C186,K185)</f>
        <v/>
      </c>
      <c r="L186">
        <f>IF(G186=1,0.2*R186/D186,L185)</f>
        <v/>
      </c>
      <c r="M186">
        <f>IF(G186=1,0.2*R186/E186,M185)</f>
        <v/>
      </c>
      <c r="N186">
        <f>IF(G186=1,0.2*R186/F186,N185)</f>
        <v/>
      </c>
      <c r="O186">
        <f>IF(G186=1,R186*(1-1.0),IF(H185=0,1,O185*(1+0.00023125256064071564)))</f>
        <v/>
      </c>
      <c r="P186">
        <f>IF(G186=1,IF(H185=0,1,ABS(0.2-J185*B186/I186)+ABS(0.2-K185*C186/I186)+ABS(0.2-L185*D186/I186)+ABS(0.2-M185*E186/I186)+ABS(0.2-N185*F186/I186)),0)</f>
        <v/>
      </c>
      <c r="Q186">
        <f>P186*0.0015</f>
        <v/>
      </c>
      <c r="R186">
        <f>I186*(1-Q186)</f>
        <v/>
      </c>
      <c r="S186">
        <f>R186/R185-1</f>
        <v/>
      </c>
      <c r="T186">
        <f>MAX(T185,R186)</f>
        <v/>
      </c>
      <c r="U186">
        <f>R186/T186-1</f>
        <v/>
      </c>
      <c r="V186" t="n">
        <v>1.462839502308273</v>
      </c>
      <c r="W186" s="5">
        <f>R186-V186</f>
        <v/>
      </c>
    </row>
    <row r="187">
      <c r="A187" s="3" t="n">
        <v>38712</v>
      </c>
      <c r="B187">
        <f>Prices!B187</f>
        <v/>
      </c>
      <c r="C187">
        <f>Prices!C187</f>
        <v/>
      </c>
      <c r="D187">
        <f>Prices!D187</f>
        <v/>
      </c>
      <c r="E187">
        <f>Prices!E187</f>
        <v/>
      </c>
      <c r="F187">
        <f>Prices!F187</f>
        <v/>
      </c>
      <c r="G187">
        <f>IF(AND(185&gt;=16,TEXT(A187,"yyyy-mm")&lt;&gt;TEXT(A188,"yyyy-mm")),1,0)</f>
        <v/>
      </c>
      <c r="H187">
        <f>IF(OR(H186=1,G187=1),1,0)</f>
        <v/>
      </c>
      <c r="I187">
        <f>IF(H186=0,1,SUMPRODUCT(J186:N186,B187:F187)+O186*(1+0.00023125256064071564))</f>
        <v/>
      </c>
      <c r="J187">
        <f>IF(G187=1,0.2*R187/B187,J186)</f>
        <v/>
      </c>
      <c r="K187">
        <f>IF(G187=1,0.2*R187/C187,K186)</f>
        <v/>
      </c>
      <c r="L187">
        <f>IF(G187=1,0.2*R187/D187,L186)</f>
        <v/>
      </c>
      <c r="M187">
        <f>IF(G187=1,0.2*R187/E187,M186)</f>
        <v/>
      </c>
      <c r="N187">
        <f>IF(G187=1,0.2*R187/F187,N186)</f>
        <v/>
      </c>
      <c r="O187">
        <f>IF(G187=1,R187*(1-1.0),IF(H186=0,1,O186*(1+0.00023125256064071564)))</f>
        <v/>
      </c>
      <c r="P187">
        <f>IF(G187=1,IF(H186=0,1,ABS(0.2-J186*B187/I187)+ABS(0.2-K186*C187/I187)+ABS(0.2-L186*D187/I187)+ABS(0.2-M186*E187/I187)+ABS(0.2-N186*F187/I187)),0)</f>
        <v/>
      </c>
      <c r="Q187">
        <f>P187*0.0015</f>
        <v/>
      </c>
      <c r="R187">
        <f>I187*(1-Q187)</f>
        <v/>
      </c>
      <c r="S187">
        <f>R187/R186-1</f>
        <v/>
      </c>
      <c r="T187">
        <f>MAX(T186,R187)</f>
        <v/>
      </c>
      <c r="U187">
        <f>R187/T187-1</f>
        <v/>
      </c>
      <c r="V187" t="n">
        <v>1.432070365916418</v>
      </c>
      <c r="W187" s="5">
        <f>R187-V187</f>
        <v/>
      </c>
    </row>
    <row r="188">
      <c r="A188" s="3" t="n">
        <v>38713</v>
      </c>
      <c r="B188">
        <f>Prices!B188</f>
        <v/>
      </c>
      <c r="C188">
        <f>Prices!C188</f>
        <v/>
      </c>
      <c r="D188">
        <f>Prices!D188</f>
        <v/>
      </c>
      <c r="E188">
        <f>Prices!E188</f>
        <v/>
      </c>
      <c r="F188">
        <f>Prices!F188</f>
        <v/>
      </c>
      <c r="G188">
        <f>IF(AND(186&gt;=16,TEXT(A188,"yyyy-mm")&lt;&gt;TEXT(A189,"yyyy-mm")),1,0)</f>
        <v/>
      </c>
      <c r="H188">
        <f>IF(OR(H187=1,G188=1),1,0)</f>
        <v/>
      </c>
      <c r="I188">
        <f>IF(H187=0,1,SUMPRODUCT(J187:N187,B188:F188)+O187*(1+0.00023125256064071564))</f>
        <v/>
      </c>
      <c r="J188">
        <f>IF(G188=1,0.2*R188/B188,J187)</f>
        <v/>
      </c>
      <c r="K188">
        <f>IF(G188=1,0.2*R188/C188,K187)</f>
        <v/>
      </c>
      <c r="L188">
        <f>IF(G188=1,0.2*R188/D188,L187)</f>
        <v/>
      </c>
      <c r="M188">
        <f>IF(G188=1,0.2*R188/E188,M187)</f>
        <v/>
      </c>
      <c r="N188">
        <f>IF(G188=1,0.2*R188/F188,N187)</f>
        <v/>
      </c>
      <c r="O188">
        <f>IF(G188=1,R188*(1-1.0),IF(H187=0,1,O187*(1+0.00023125256064071564)))</f>
        <v/>
      </c>
      <c r="P188">
        <f>IF(G188=1,IF(H187=0,1,ABS(0.2-J187*B188/I188)+ABS(0.2-K187*C188/I188)+ABS(0.2-L187*D188/I188)+ABS(0.2-M187*E188/I188)+ABS(0.2-N187*F188/I188)),0)</f>
        <v/>
      </c>
      <c r="Q188">
        <f>P188*0.0015</f>
        <v/>
      </c>
      <c r="R188">
        <f>I188*(1-Q188)</f>
        <v/>
      </c>
      <c r="S188">
        <f>R188/R187-1</f>
        <v/>
      </c>
      <c r="T188">
        <f>MAX(T187,R188)</f>
        <v/>
      </c>
      <c r="U188">
        <f>R188/T188-1</f>
        <v/>
      </c>
      <c r="V188" t="n">
        <v>1.459299920584121</v>
      </c>
      <c r="W188" s="5">
        <f>R188-V188</f>
        <v/>
      </c>
    </row>
    <row r="189">
      <c r="A189" s="3" t="n">
        <v>38714</v>
      </c>
      <c r="B189">
        <f>Prices!B189</f>
        <v/>
      </c>
      <c r="C189">
        <f>Prices!C189</f>
        <v/>
      </c>
      <c r="D189">
        <f>Prices!D189</f>
        <v/>
      </c>
      <c r="E189">
        <f>Prices!E189</f>
        <v/>
      </c>
      <c r="F189">
        <f>Prices!F189</f>
        <v/>
      </c>
      <c r="G189">
        <f>IF(AND(187&gt;=16,TEXT(A189,"yyyy-mm")&lt;&gt;TEXT(A190,"yyyy-mm")),1,0)</f>
        <v/>
      </c>
      <c r="H189">
        <f>IF(OR(H188=1,G189=1),1,0)</f>
        <v/>
      </c>
      <c r="I189">
        <f>IF(H188=0,1,SUMPRODUCT(J188:N188,B189:F189)+O188*(1+0.00023125256064071564))</f>
        <v/>
      </c>
      <c r="J189">
        <f>IF(G189=1,0.2*R189/B189,J188)</f>
        <v/>
      </c>
      <c r="K189">
        <f>IF(G189=1,0.2*R189/C189,K188)</f>
        <v/>
      </c>
      <c r="L189">
        <f>IF(G189=1,0.2*R189/D189,L188)</f>
        <v/>
      </c>
      <c r="M189">
        <f>IF(G189=1,0.2*R189/E189,M188)</f>
        <v/>
      </c>
      <c r="N189">
        <f>IF(G189=1,0.2*R189/F189,N188)</f>
        <v/>
      </c>
      <c r="O189">
        <f>IF(G189=1,R189*(1-1.0),IF(H188=0,1,O188*(1+0.00023125256064071564)))</f>
        <v/>
      </c>
      <c r="P189">
        <f>IF(G189=1,IF(H188=0,1,ABS(0.2-J188*B189/I189)+ABS(0.2-K188*C189/I189)+ABS(0.2-L188*D189/I189)+ABS(0.2-M188*E189/I189)+ABS(0.2-N188*F189/I189)),0)</f>
        <v/>
      </c>
      <c r="Q189">
        <f>P189*0.0015</f>
        <v/>
      </c>
      <c r="R189">
        <f>I189*(1-Q189)</f>
        <v/>
      </c>
      <c r="S189">
        <f>R189/R188-1</f>
        <v/>
      </c>
      <c r="T189">
        <f>MAX(T188,R189)</f>
        <v/>
      </c>
      <c r="U189">
        <f>R189/T189-1</f>
        <v/>
      </c>
      <c r="V189" t="n">
        <v>1.459706638642615</v>
      </c>
      <c r="W189" s="5">
        <f>R189-V189</f>
        <v/>
      </c>
    </row>
    <row r="190">
      <c r="A190" s="3" t="n">
        <v>38715</v>
      </c>
      <c r="B190">
        <f>Prices!B190</f>
        <v/>
      </c>
      <c r="C190">
        <f>Prices!C190</f>
        <v/>
      </c>
      <c r="D190">
        <f>Prices!D190</f>
        <v/>
      </c>
      <c r="E190">
        <f>Prices!E190</f>
        <v/>
      </c>
      <c r="F190">
        <f>Prices!F190</f>
        <v/>
      </c>
      <c r="G190">
        <f>IF(AND(188&gt;=16,TEXT(A190,"yyyy-mm")&lt;&gt;TEXT(A191,"yyyy-mm")),1,0)</f>
        <v/>
      </c>
      <c r="H190">
        <f>IF(OR(H189=1,G190=1),1,0)</f>
        <v/>
      </c>
      <c r="I190">
        <f>IF(H189=0,1,SUMPRODUCT(J189:N189,B190:F190)+O189*(1+0.00023125256064071564))</f>
        <v/>
      </c>
      <c r="J190">
        <f>IF(G190=1,0.2*R190/B190,J189)</f>
        <v/>
      </c>
      <c r="K190">
        <f>IF(G190=1,0.2*R190/C190,K189)</f>
        <v/>
      </c>
      <c r="L190">
        <f>IF(G190=1,0.2*R190/D190,L189)</f>
        <v/>
      </c>
      <c r="M190">
        <f>IF(G190=1,0.2*R190/E190,M189)</f>
        <v/>
      </c>
      <c r="N190">
        <f>IF(G190=1,0.2*R190/F190,N189)</f>
        <v/>
      </c>
      <c r="O190">
        <f>IF(G190=1,R190*(1-1.0),IF(H189=0,1,O189*(1+0.00023125256064071564)))</f>
        <v/>
      </c>
      <c r="P190">
        <f>IF(G190=1,IF(H189=0,1,ABS(0.2-J189*B190/I190)+ABS(0.2-K189*C190/I190)+ABS(0.2-L189*D190/I190)+ABS(0.2-M189*E190/I190)+ABS(0.2-N189*F190/I190)),0)</f>
        <v/>
      </c>
      <c r="Q190">
        <f>P190*0.0015</f>
        <v/>
      </c>
      <c r="R190">
        <f>I190*(1-Q190)</f>
        <v/>
      </c>
      <c r="S190">
        <f>R190/R189-1</f>
        <v/>
      </c>
      <c r="T190">
        <f>MAX(T189,R190)</f>
        <v/>
      </c>
      <c r="U190">
        <f>R190/T190-1</f>
        <v/>
      </c>
      <c r="V190" t="n">
        <v>1.472353916719795</v>
      </c>
      <c r="W190" s="5">
        <f>R190-V190</f>
        <v/>
      </c>
    </row>
    <row r="191">
      <c r="A191" s="3" t="n">
        <v>38716</v>
      </c>
      <c r="B191">
        <f>Prices!B191</f>
        <v/>
      </c>
      <c r="C191">
        <f>Prices!C191</f>
        <v/>
      </c>
      <c r="D191">
        <f>Prices!D191</f>
        <v/>
      </c>
      <c r="E191">
        <f>Prices!E191</f>
        <v/>
      </c>
      <c r="F191">
        <f>Prices!F191</f>
        <v/>
      </c>
      <c r="G191">
        <f>IF(AND(189&gt;=16,TEXT(A191,"yyyy-mm")&lt;&gt;TEXT(A192,"yyyy-mm")),1,0)</f>
        <v/>
      </c>
      <c r="H191">
        <f>IF(OR(H190=1,G191=1),1,0)</f>
        <v/>
      </c>
      <c r="I191">
        <f>IF(H190=0,1,SUMPRODUCT(J190:N190,B191:F191)+O190*(1+0.00023125256064071564))</f>
        <v/>
      </c>
      <c r="J191">
        <f>IF(G191=1,0.2*R191/B191,J190)</f>
        <v/>
      </c>
      <c r="K191">
        <f>IF(G191=1,0.2*R191/C191,K190)</f>
        <v/>
      </c>
      <c r="L191">
        <f>IF(G191=1,0.2*R191/D191,L190)</f>
        <v/>
      </c>
      <c r="M191">
        <f>IF(G191=1,0.2*R191/E191,M190)</f>
        <v/>
      </c>
      <c r="N191">
        <f>IF(G191=1,0.2*R191/F191,N190)</f>
        <v/>
      </c>
      <c r="O191">
        <f>IF(G191=1,R191*(1-1.0),IF(H190=0,1,O190*(1+0.00023125256064071564)))</f>
        <v/>
      </c>
      <c r="P191">
        <f>IF(G191=1,IF(H190=0,1,ABS(0.2-J190*B191/I191)+ABS(0.2-K190*C191/I191)+ABS(0.2-L190*D191/I191)+ABS(0.2-M190*E191/I191)+ABS(0.2-N190*F191/I191)),0)</f>
        <v/>
      </c>
      <c r="Q191">
        <f>P191*0.0015</f>
        <v/>
      </c>
      <c r="R191">
        <f>I191*(1-Q191)</f>
        <v/>
      </c>
      <c r="S191">
        <f>R191/R190-1</f>
        <v/>
      </c>
      <c r="T191">
        <f>MAX(T190,R191)</f>
        <v/>
      </c>
      <c r="U191">
        <f>R191/T191-1</f>
        <v/>
      </c>
      <c r="V191" t="n">
        <v>1.493150697752224</v>
      </c>
      <c r="W191" s="5">
        <f>R191-V191</f>
        <v/>
      </c>
    </row>
    <row r="192">
      <c r="A192" s="3" t="n">
        <v>38719</v>
      </c>
      <c r="B192">
        <f>Prices!B192</f>
        <v/>
      </c>
      <c r="C192">
        <f>Prices!C192</f>
        <v/>
      </c>
      <c r="D192">
        <f>Prices!D192</f>
        <v/>
      </c>
      <c r="E192">
        <f>Prices!E192</f>
        <v/>
      </c>
      <c r="F192">
        <f>Prices!F192</f>
        <v/>
      </c>
      <c r="G192">
        <f>IF(AND(190&gt;=16,TEXT(A192,"yyyy-mm")&lt;&gt;TEXT(A193,"yyyy-mm")),1,0)</f>
        <v/>
      </c>
      <c r="H192">
        <f>IF(OR(H191=1,G192=1),1,0)</f>
        <v/>
      </c>
      <c r="I192">
        <f>IF(H191=0,1,SUMPRODUCT(J191:N191,B192:F192)+O191*(1+0.00023125256064071564))</f>
        <v/>
      </c>
      <c r="J192">
        <f>IF(G192=1,0.2*R192/B192,J191)</f>
        <v/>
      </c>
      <c r="K192">
        <f>IF(G192=1,0.2*R192/C192,K191)</f>
        <v/>
      </c>
      <c r="L192">
        <f>IF(G192=1,0.2*R192/D192,L191)</f>
        <v/>
      </c>
      <c r="M192">
        <f>IF(G192=1,0.2*R192/E192,M191)</f>
        <v/>
      </c>
      <c r="N192">
        <f>IF(G192=1,0.2*R192/F192,N191)</f>
        <v/>
      </c>
      <c r="O192">
        <f>IF(G192=1,R192*(1-1.0),IF(H191=0,1,O191*(1+0.00023125256064071564)))</f>
        <v/>
      </c>
      <c r="P192">
        <f>IF(G192=1,IF(H191=0,1,ABS(0.2-J191*B192/I192)+ABS(0.2-K191*C192/I192)+ABS(0.2-L191*D192/I192)+ABS(0.2-M191*E192/I192)+ABS(0.2-N191*F192/I192)),0)</f>
        <v/>
      </c>
      <c r="Q192">
        <f>P192*0.0015</f>
        <v/>
      </c>
      <c r="R192">
        <f>I192*(1-Q192)</f>
        <v/>
      </c>
      <c r="S192">
        <f>R192/R191-1</f>
        <v/>
      </c>
      <c r="T192">
        <f>MAX(T191,R192)</f>
        <v/>
      </c>
      <c r="U192">
        <f>R192/T192-1</f>
        <v/>
      </c>
      <c r="V192" t="n">
        <v>1.506388536703963</v>
      </c>
      <c r="W192" s="5">
        <f>R192-V192</f>
        <v/>
      </c>
    </row>
    <row r="193">
      <c r="A193" s="3" t="n">
        <v>38720</v>
      </c>
      <c r="B193">
        <f>Prices!B193</f>
        <v/>
      </c>
      <c r="C193">
        <f>Prices!C193</f>
        <v/>
      </c>
      <c r="D193">
        <f>Prices!D193</f>
        <v/>
      </c>
      <c r="E193">
        <f>Prices!E193</f>
        <v/>
      </c>
      <c r="F193">
        <f>Prices!F193</f>
        <v/>
      </c>
      <c r="G193">
        <f>IF(AND(191&gt;=16,TEXT(A193,"yyyy-mm")&lt;&gt;TEXT(A194,"yyyy-mm")),1,0)</f>
        <v/>
      </c>
      <c r="H193">
        <f>IF(OR(H192=1,G193=1),1,0)</f>
        <v/>
      </c>
      <c r="I193">
        <f>IF(H192=0,1,SUMPRODUCT(J192:N192,B193:F193)+O192*(1+0.00023125256064071564))</f>
        <v/>
      </c>
      <c r="J193">
        <f>IF(G193=1,0.2*R193/B193,J192)</f>
        <v/>
      </c>
      <c r="K193">
        <f>IF(G193=1,0.2*R193/C193,K192)</f>
        <v/>
      </c>
      <c r="L193">
        <f>IF(G193=1,0.2*R193/D193,L192)</f>
        <v/>
      </c>
      <c r="M193">
        <f>IF(G193=1,0.2*R193/E193,M192)</f>
        <v/>
      </c>
      <c r="N193">
        <f>IF(G193=1,0.2*R193/F193,N192)</f>
        <v/>
      </c>
      <c r="O193">
        <f>IF(G193=1,R193*(1-1.0),IF(H192=0,1,O192*(1+0.00023125256064071564)))</f>
        <v/>
      </c>
      <c r="P193">
        <f>IF(G193=1,IF(H192=0,1,ABS(0.2-J192*B193/I193)+ABS(0.2-K192*C193/I193)+ABS(0.2-L192*D193/I193)+ABS(0.2-M192*E193/I193)+ABS(0.2-N192*F193/I193)),0)</f>
        <v/>
      </c>
      <c r="Q193">
        <f>P193*0.0015</f>
        <v/>
      </c>
      <c r="R193">
        <f>I193*(1-Q193)</f>
        <v/>
      </c>
      <c r="S193">
        <f>R193/R192-1</f>
        <v/>
      </c>
      <c r="T193">
        <f>MAX(T192,R193)</f>
        <v/>
      </c>
      <c r="U193">
        <f>R193/T193-1</f>
        <v/>
      </c>
      <c r="V193" t="n">
        <v>1.528715454611208</v>
      </c>
      <c r="W193" s="5">
        <f>R193-V193</f>
        <v/>
      </c>
    </row>
    <row r="194">
      <c r="A194" s="3" t="n">
        <v>38721</v>
      </c>
      <c r="B194">
        <f>Prices!B194</f>
        <v/>
      </c>
      <c r="C194">
        <f>Prices!C194</f>
        <v/>
      </c>
      <c r="D194">
        <f>Prices!D194</f>
        <v/>
      </c>
      <c r="E194">
        <f>Prices!E194</f>
        <v/>
      </c>
      <c r="F194">
        <f>Prices!F194</f>
        <v/>
      </c>
      <c r="G194">
        <f>IF(AND(192&gt;=16,TEXT(A194,"yyyy-mm")&lt;&gt;TEXT(A195,"yyyy-mm")),1,0)</f>
        <v/>
      </c>
      <c r="H194">
        <f>IF(OR(H193=1,G194=1),1,0)</f>
        <v/>
      </c>
      <c r="I194">
        <f>IF(H193=0,1,SUMPRODUCT(J193:N193,B194:F194)+O193*(1+0.00023125256064071564))</f>
        <v/>
      </c>
      <c r="J194">
        <f>IF(G194=1,0.2*R194/B194,J193)</f>
        <v/>
      </c>
      <c r="K194">
        <f>IF(G194=1,0.2*R194/C194,K193)</f>
        <v/>
      </c>
      <c r="L194">
        <f>IF(G194=1,0.2*R194/D194,L193)</f>
        <v/>
      </c>
      <c r="M194">
        <f>IF(G194=1,0.2*R194/E194,M193)</f>
        <v/>
      </c>
      <c r="N194">
        <f>IF(G194=1,0.2*R194/F194,N193)</f>
        <v/>
      </c>
      <c r="O194">
        <f>IF(G194=1,R194*(1-1.0),IF(H193=0,1,O193*(1+0.00023125256064071564)))</f>
        <v/>
      </c>
      <c r="P194">
        <f>IF(G194=1,IF(H193=0,1,ABS(0.2-J193*B194/I194)+ABS(0.2-K193*C194/I194)+ABS(0.2-L193*D194/I194)+ABS(0.2-M193*E194/I194)+ABS(0.2-N193*F194/I194)),0)</f>
        <v/>
      </c>
      <c r="Q194">
        <f>P194*0.0015</f>
        <v/>
      </c>
      <c r="R194">
        <f>I194*(1-Q194)</f>
        <v/>
      </c>
      <c r="S194">
        <f>R194/R193-1</f>
        <v/>
      </c>
      <c r="T194">
        <f>MAX(T193,R194)</f>
        <v/>
      </c>
      <c r="U194">
        <f>R194/T194-1</f>
        <v/>
      </c>
      <c r="V194" t="n">
        <v>1.540109390645063</v>
      </c>
      <c r="W194" s="5">
        <f>R194-V194</f>
        <v/>
      </c>
    </row>
    <row r="195">
      <c r="A195" s="3" t="n">
        <v>38722</v>
      </c>
      <c r="B195">
        <f>Prices!B195</f>
        <v/>
      </c>
      <c r="C195">
        <f>Prices!C195</f>
        <v/>
      </c>
      <c r="D195">
        <f>Prices!D195</f>
        <v/>
      </c>
      <c r="E195">
        <f>Prices!E195</f>
        <v/>
      </c>
      <c r="F195">
        <f>Prices!F195</f>
        <v/>
      </c>
      <c r="G195">
        <f>IF(AND(193&gt;=16,TEXT(A195,"yyyy-mm")&lt;&gt;TEXT(A196,"yyyy-mm")),1,0)</f>
        <v/>
      </c>
      <c r="H195">
        <f>IF(OR(H194=1,G195=1),1,0)</f>
        <v/>
      </c>
      <c r="I195">
        <f>IF(H194=0,1,SUMPRODUCT(J194:N194,B195:F195)+O194*(1+0.00023125256064071564))</f>
        <v/>
      </c>
      <c r="J195">
        <f>IF(G195=1,0.2*R195/B195,J194)</f>
        <v/>
      </c>
      <c r="K195">
        <f>IF(G195=1,0.2*R195/C195,K194)</f>
        <v/>
      </c>
      <c r="L195">
        <f>IF(G195=1,0.2*R195/D195,L194)</f>
        <v/>
      </c>
      <c r="M195">
        <f>IF(G195=1,0.2*R195/E195,M194)</f>
        <v/>
      </c>
      <c r="N195">
        <f>IF(G195=1,0.2*R195/F195,N194)</f>
        <v/>
      </c>
      <c r="O195">
        <f>IF(G195=1,R195*(1-1.0),IF(H194=0,1,O194*(1+0.00023125256064071564)))</f>
        <v/>
      </c>
      <c r="P195">
        <f>IF(G195=1,IF(H194=0,1,ABS(0.2-J194*B195/I195)+ABS(0.2-K194*C195/I195)+ABS(0.2-L194*D195/I195)+ABS(0.2-M194*E195/I195)+ABS(0.2-N194*F195/I195)),0)</f>
        <v/>
      </c>
      <c r="Q195">
        <f>P195*0.0015</f>
        <v/>
      </c>
      <c r="R195">
        <f>I195*(1-Q195)</f>
        <v/>
      </c>
      <c r="S195">
        <f>R195/R194-1</f>
        <v/>
      </c>
      <c r="T195">
        <f>MAX(T194,R195)</f>
        <v/>
      </c>
      <c r="U195">
        <f>R195/T195-1</f>
        <v/>
      </c>
      <c r="V195" t="n">
        <v>1.540451997406033</v>
      </c>
      <c r="W195" s="5">
        <f>R195-V195</f>
        <v/>
      </c>
    </row>
    <row r="196">
      <c r="A196" s="3" t="n">
        <v>38723</v>
      </c>
      <c r="B196">
        <f>Prices!B196</f>
        <v/>
      </c>
      <c r="C196">
        <f>Prices!C196</f>
        <v/>
      </c>
      <c r="D196">
        <f>Prices!D196</f>
        <v/>
      </c>
      <c r="E196">
        <f>Prices!E196</f>
        <v/>
      </c>
      <c r="F196">
        <f>Prices!F196</f>
        <v/>
      </c>
      <c r="G196">
        <f>IF(AND(194&gt;=16,TEXT(A196,"yyyy-mm")&lt;&gt;TEXT(A197,"yyyy-mm")),1,0)</f>
        <v/>
      </c>
      <c r="H196">
        <f>IF(OR(H195=1,G196=1),1,0)</f>
        <v/>
      </c>
      <c r="I196">
        <f>IF(H195=0,1,SUMPRODUCT(J195:N195,B196:F196)+O195*(1+0.00023125256064071564))</f>
        <v/>
      </c>
      <c r="J196">
        <f>IF(G196=1,0.2*R196/B196,J195)</f>
        <v/>
      </c>
      <c r="K196">
        <f>IF(G196=1,0.2*R196/C196,K195)</f>
        <v/>
      </c>
      <c r="L196">
        <f>IF(G196=1,0.2*R196/D196,L195)</f>
        <v/>
      </c>
      <c r="M196">
        <f>IF(G196=1,0.2*R196/E196,M195)</f>
        <v/>
      </c>
      <c r="N196">
        <f>IF(G196=1,0.2*R196/F196,N195)</f>
        <v/>
      </c>
      <c r="O196">
        <f>IF(G196=1,R196*(1-1.0),IF(H195=0,1,O195*(1+0.00023125256064071564)))</f>
        <v/>
      </c>
      <c r="P196">
        <f>IF(G196=1,IF(H195=0,1,ABS(0.2-J195*B196/I196)+ABS(0.2-K195*C196/I196)+ABS(0.2-L195*D196/I196)+ABS(0.2-M195*E196/I196)+ABS(0.2-N195*F196/I196)),0)</f>
        <v/>
      </c>
      <c r="Q196">
        <f>P196*0.0015</f>
        <v/>
      </c>
      <c r="R196">
        <f>I196*(1-Q196)</f>
        <v/>
      </c>
      <c r="S196">
        <f>R196/R195-1</f>
        <v/>
      </c>
      <c r="T196">
        <f>MAX(T195,R196)</f>
        <v/>
      </c>
      <c r="U196">
        <f>R196/T196-1</f>
        <v/>
      </c>
      <c r="V196" t="n">
        <v>1.551975706172607</v>
      </c>
      <c r="W196" s="5">
        <f>R196-V196</f>
        <v/>
      </c>
    </row>
    <row r="197">
      <c r="A197" s="3" t="n">
        <v>38726</v>
      </c>
      <c r="B197">
        <f>Prices!B197</f>
        <v/>
      </c>
      <c r="C197">
        <f>Prices!C197</f>
        <v/>
      </c>
      <c r="D197">
        <f>Prices!D197</f>
        <v/>
      </c>
      <c r="E197">
        <f>Prices!E197</f>
        <v/>
      </c>
      <c r="F197">
        <f>Prices!F197</f>
        <v/>
      </c>
      <c r="G197">
        <f>IF(AND(195&gt;=16,TEXT(A197,"yyyy-mm")&lt;&gt;TEXT(A198,"yyyy-mm")),1,0)</f>
        <v/>
      </c>
      <c r="H197">
        <f>IF(OR(H196=1,G197=1),1,0)</f>
        <v/>
      </c>
      <c r="I197">
        <f>IF(H196=0,1,SUMPRODUCT(J196:N196,B197:F197)+O196*(1+0.00023125256064071564))</f>
        <v/>
      </c>
      <c r="J197">
        <f>IF(G197=1,0.2*R197/B197,J196)</f>
        <v/>
      </c>
      <c r="K197">
        <f>IF(G197=1,0.2*R197/C197,K196)</f>
        <v/>
      </c>
      <c r="L197">
        <f>IF(G197=1,0.2*R197/D197,L196)</f>
        <v/>
      </c>
      <c r="M197">
        <f>IF(G197=1,0.2*R197/E197,M196)</f>
        <v/>
      </c>
      <c r="N197">
        <f>IF(G197=1,0.2*R197/F197,N196)</f>
        <v/>
      </c>
      <c r="O197">
        <f>IF(G197=1,R197*(1-1.0),IF(H196=0,1,O196*(1+0.00023125256064071564)))</f>
        <v/>
      </c>
      <c r="P197">
        <f>IF(G197=1,IF(H196=0,1,ABS(0.2-J196*B197/I197)+ABS(0.2-K196*C197/I197)+ABS(0.2-L196*D197/I197)+ABS(0.2-M196*E197/I197)+ABS(0.2-N196*F197/I197)),0)</f>
        <v/>
      </c>
      <c r="Q197">
        <f>P197*0.0015</f>
        <v/>
      </c>
      <c r="R197">
        <f>I197*(1-Q197)</f>
        <v/>
      </c>
      <c r="S197">
        <f>R197/R196-1</f>
        <v/>
      </c>
      <c r="T197">
        <f>MAX(T196,R197)</f>
        <v/>
      </c>
      <c r="U197">
        <f>R197/T197-1</f>
        <v/>
      </c>
      <c r="V197" t="n">
        <v>1.560132246034109</v>
      </c>
      <c r="W197" s="5">
        <f>R197-V197</f>
        <v/>
      </c>
    </row>
    <row r="198">
      <c r="A198" s="3" t="n">
        <v>38727</v>
      </c>
      <c r="B198">
        <f>Prices!B198</f>
        <v/>
      </c>
      <c r="C198">
        <f>Prices!C198</f>
        <v/>
      </c>
      <c r="D198">
        <f>Prices!D198</f>
        <v/>
      </c>
      <c r="E198">
        <f>Prices!E198</f>
        <v/>
      </c>
      <c r="F198">
        <f>Prices!F198</f>
        <v/>
      </c>
      <c r="G198">
        <f>IF(AND(196&gt;=16,TEXT(A198,"yyyy-mm")&lt;&gt;TEXT(A199,"yyyy-mm")),1,0)</f>
        <v/>
      </c>
      <c r="H198">
        <f>IF(OR(H197=1,G198=1),1,0)</f>
        <v/>
      </c>
      <c r="I198">
        <f>IF(H197=0,1,SUMPRODUCT(J197:N197,B198:F198)+O197*(1+0.00023125256064071564))</f>
        <v/>
      </c>
      <c r="J198">
        <f>IF(G198=1,0.2*R198/B198,J197)</f>
        <v/>
      </c>
      <c r="K198">
        <f>IF(G198=1,0.2*R198/C198,K197)</f>
        <v/>
      </c>
      <c r="L198">
        <f>IF(G198=1,0.2*R198/D198,L197)</f>
        <v/>
      </c>
      <c r="M198">
        <f>IF(G198=1,0.2*R198/E198,M197)</f>
        <v/>
      </c>
      <c r="N198">
        <f>IF(G198=1,0.2*R198/F198,N197)</f>
        <v/>
      </c>
      <c r="O198">
        <f>IF(G198=1,R198*(1-1.0),IF(H197=0,1,O197*(1+0.00023125256064071564)))</f>
        <v/>
      </c>
      <c r="P198">
        <f>IF(G198=1,IF(H197=0,1,ABS(0.2-J197*B198/I198)+ABS(0.2-K197*C198/I198)+ABS(0.2-L197*D198/I198)+ABS(0.2-M197*E198/I198)+ABS(0.2-N197*F198/I198)),0)</f>
        <v/>
      </c>
      <c r="Q198">
        <f>P198*0.0015</f>
        <v/>
      </c>
      <c r="R198">
        <f>I198*(1-Q198)</f>
        <v/>
      </c>
      <c r="S198">
        <f>R198/R197-1</f>
        <v/>
      </c>
      <c r="T198">
        <f>MAX(T197,R198)</f>
        <v/>
      </c>
      <c r="U198">
        <f>R198/T198-1</f>
        <v/>
      </c>
      <c r="V198" t="n">
        <v>1.545401535956457</v>
      </c>
      <c r="W198" s="5">
        <f>R198-V198</f>
        <v/>
      </c>
    </row>
    <row r="199">
      <c r="A199" s="3" t="n">
        <v>38729</v>
      </c>
      <c r="B199">
        <f>Prices!B199</f>
        <v/>
      </c>
      <c r="C199">
        <f>Prices!C199</f>
        <v/>
      </c>
      <c r="D199">
        <f>Prices!D199</f>
        <v/>
      </c>
      <c r="E199">
        <f>Prices!E199</f>
        <v/>
      </c>
      <c r="F199">
        <f>Prices!F199</f>
        <v/>
      </c>
      <c r="G199">
        <f>IF(AND(197&gt;=16,TEXT(A199,"yyyy-mm")&lt;&gt;TEXT(A200,"yyyy-mm")),1,0)</f>
        <v/>
      </c>
      <c r="H199">
        <f>IF(OR(H198=1,G199=1),1,0)</f>
        <v/>
      </c>
      <c r="I199">
        <f>IF(H198=0,1,SUMPRODUCT(J198:N198,B199:F199)+O198*(1+0.00023125256064071564))</f>
        <v/>
      </c>
      <c r="J199">
        <f>IF(G199=1,0.2*R199/B199,J198)</f>
        <v/>
      </c>
      <c r="K199">
        <f>IF(G199=1,0.2*R199/C199,K198)</f>
        <v/>
      </c>
      <c r="L199">
        <f>IF(G199=1,0.2*R199/D199,L198)</f>
        <v/>
      </c>
      <c r="M199">
        <f>IF(G199=1,0.2*R199/E199,M198)</f>
        <v/>
      </c>
      <c r="N199">
        <f>IF(G199=1,0.2*R199/F199,N198)</f>
        <v/>
      </c>
      <c r="O199">
        <f>IF(G199=1,R199*(1-1.0),IF(H198=0,1,O198*(1+0.00023125256064071564)))</f>
        <v/>
      </c>
      <c r="P199">
        <f>IF(G199=1,IF(H198=0,1,ABS(0.2-J198*B199/I199)+ABS(0.2-K198*C199/I199)+ABS(0.2-L198*D199/I199)+ABS(0.2-M198*E199/I199)+ABS(0.2-N198*F199/I199)),0)</f>
        <v/>
      </c>
      <c r="Q199">
        <f>P199*0.0015</f>
        <v/>
      </c>
      <c r="R199">
        <f>I199*(1-Q199)</f>
        <v/>
      </c>
      <c r="S199">
        <f>R199/R198-1</f>
        <v/>
      </c>
      <c r="T199">
        <f>MAX(T198,R199)</f>
        <v/>
      </c>
      <c r="U199">
        <f>R199/T199-1</f>
        <v/>
      </c>
      <c r="V199" t="n">
        <v>1.540112672854587</v>
      </c>
      <c r="W199" s="5">
        <f>R199-V199</f>
        <v/>
      </c>
    </row>
    <row r="200">
      <c r="A200" s="3" t="n">
        <v>38730</v>
      </c>
      <c r="B200">
        <f>Prices!B200</f>
        <v/>
      </c>
      <c r="C200">
        <f>Prices!C200</f>
        <v/>
      </c>
      <c r="D200">
        <f>Prices!D200</f>
        <v/>
      </c>
      <c r="E200">
        <f>Prices!E200</f>
        <v/>
      </c>
      <c r="F200">
        <f>Prices!F200</f>
        <v/>
      </c>
      <c r="G200">
        <f>IF(AND(198&gt;=16,TEXT(A200,"yyyy-mm")&lt;&gt;TEXT(A201,"yyyy-mm")),1,0)</f>
        <v/>
      </c>
      <c r="H200">
        <f>IF(OR(H199=1,G200=1),1,0)</f>
        <v/>
      </c>
      <c r="I200">
        <f>IF(H199=0,1,SUMPRODUCT(J199:N199,B200:F200)+O199*(1+0.00023125256064071564))</f>
        <v/>
      </c>
      <c r="J200">
        <f>IF(G200=1,0.2*R200/B200,J199)</f>
        <v/>
      </c>
      <c r="K200">
        <f>IF(G200=1,0.2*R200/C200,K199)</f>
        <v/>
      </c>
      <c r="L200">
        <f>IF(G200=1,0.2*R200/D200,L199)</f>
        <v/>
      </c>
      <c r="M200">
        <f>IF(G200=1,0.2*R200/E200,M199)</f>
        <v/>
      </c>
      <c r="N200">
        <f>IF(G200=1,0.2*R200/F200,N199)</f>
        <v/>
      </c>
      <c r="O200">
        <f>IF(G200=1,R200*(1-1.0),IF(H199=0,1,O199*(1+0.00023125256064071564)))</f>
        <v/>
      </c>
      <c r="P200">
        <f>IF(G200=1,IF(H199=0,1,ABS(0.2-J199*B200/I200)+ABS(0.2-K199*C200/I200)+ABS(0.2-L199*D200/I200)+ABS(0.2-M199*E200/I200)+ABS(0.2-N199*F200/I200)),0)</f>
        <v/>
      </c>
      <c r="Q200">
        <f>P200*0.0015</f>
        <v/>
      </c>
      <c r="R200">
        <f>I200*(1-Q200)</f>
        <v/>
      </c>
      <c r="S200">
        <f>R200/R199-1</f>
        <v/>
      </c>
      <c r="T200">
        <f>MAX(T199,R200)</f>
        <v/>
      </c>
      <c r="U200">
        <f>R200/T200-1</f>
        <v/>
      </c>
      <c r="V200" t="n">
        <v>1.542664993897086</v>
      </c>
      <c r="W200" s="5">
        <f>R200-V200</f>
        <v/>
      </c>
    </row>
    <row r="201">
      <c r="A201" s="3" t="n">
        <v>38733</v>
      </c>
      <c r="B201">
        <f>Prices!B201</f>
        <v/>
      </c>
      <c r="C201">
        <f>Prices!C201</f>
        <v/>
      </c>
      <c r="D201">
        <f>Prices!D201</f>
        <v/>
      </c>
      <c r="E201">
        <f>Prices!E201</f>
        <v/>
      </c>
      <c r="F201">
        <f>Prices!F201</f>
        <v/>
      </c>
      <c r="G201">
        <f>IF(AND(199&gt;=16,TEXT(A201,"yyyy-mm")&lt;&gt;TEXT(A202,"yyyy-mm")),1,0)</f>
        <v/>
      </c>
      <c r="H201">
        <f>IF(OR(H200=1,G201=1),1,0)</f>
        <v/>
      </c>
      <c r="I201">
        <f>IF(H200=0,1,SUMPRODUCT(J200:N200,B201:F201)+O200*(1+0.00023125256064071564))</f>
        <v/>
      </c>
      <c r="J201">
        <f>IF(G201=1,0.2*R201/B201,J200)</f>
        <v/>
      </c>
      <c r="K201">
        <f>IF(G201=1,0.2*R201/C201,K200)</f>
        <v/>
      </c>
      <c r="L201">
        <f>IF(G201=1,0.2*R201/D201,L200)</f>
        <v/>
      </c>
      <c r="M201">
        <f>IF(G201=1,0.2*R201/E201,M200)</f>
        <v/>
      </c>
      <c r="N201">
        <f>IF(G201=1,0.2*R201/F201,N200)</f>
        <v/>
      </c>
      <c r="O201">
        <f>IF(G201=1,R201*(1-1.0),IF(H200=0,1,O200*(1+0.00023125256064071564)))</f>
        <v/>
      </c>
      <c r="P201">
        <f>IF(G201=1,IF(H200=0,1,ABS(0.2-J200*B201/I201)+ABS(0.2-K200*C201/I201)+ABS(0.2-L200*D201/I201)+ABS(0.2-M200*E201/I201)+ABS(0.2-N200*F201/I201)),0)</f>
        <v/>
      </c>
      <c r="Q201">
        <f>P201*0.0015</f>
        <v/>
      </c>
      <c r="R201">
        <f>I201*(1-Q201)</f>
        <v/>
      </c>
      <c r="S201">
        <f>R201/R200-1</f>
        <v/>
      </c>
      <c r="T201">
        <f>MAX(T200,R201)</f>
        <v/>
      </c>
      <c r="U201">
        <f>R201/T201-1</f>
        <v/>
      </c>
      <c r="V201" t="n">
        <v>1.534549242821456</v>
      </c>
      <c r="W201" s="5">
        <f>R201-V201</f>
        <v/>
      </c>
    </row>
    <row r="202">
      <c r="A202" s="3" t="n">
        <v>38734</v>
      </c>
      <c r="B202">
        <f>Prices!B202</f>
        <v/>
      </c>
      <c r="C202">
        <f>Prices!C202</f>
        <v/>
      </c>
      <c r="D202">
        <f>Prices!D202</f>
        <v/>
      </c>
      <c r="E202">
        <f>Prices!E202</f>
        <v/>
      </c>
      <c r="F202">
        <f>Prices!F202</f>
        <v/>
      </c>
      <c r="G202">
        <f>IF(AND(200&gt;=16,TEXT(A202,"yyyy-mm")&lt;&gt;TEXT(A203,"yyyy-mm")),1,0)</f>
        <v/>
      </c>
      <c r="H202">
        <f>IF(OR(H201=1,G202=1),1,0)</f>
        <v/>
      </c>
      <c r="I202">
        <f>IF(H201=0,1,SUMPRODUCT(J201:N201,B202:F202)+O201*(1+0.00023125256064071564))</f>
        <v/>
      </c>
      <c r="J202">
        <f>IF(G202=1,0.2*R202/B202,J201)</f>
        <v/>
      </c>
      <c r="K202">
        <f>IF(G202=1,0.2*R202/C202,K201)</f>
        <v/>
      </c>
      <c r="L202">
        <f>IF(G202=1,0.2*R202/D202,L201)</f>
        <v/>
      </c>
      <c r="M202">
        <f>IF(G202=1,0.2*R202/E202,M201)</f>
        <v/>
      </c>
      <c r="N202">
        <f>IF(G202=1,0.2*R202/F202,N201)</f>
        <v/>
      </c>
      <c r="O202">
        <f>IF(G202=1,R202*(1-1.0),IF(H201=0,1,O201*(1+0.00023125256064071564)))</f>
        <v/>
      </c>
      <c r="P202">
        <f>IF(G202=1,IF(H201=0,1,ABS(0.2-J201*B202/I202)+ABS(0.2-K201*C202/I202)+ABS(0.2-L201*D202/I202)+ABS(0.2-M201*E202/I202)+ABS(0.2-N201*F202/I202)),0)</f>
        <v/>
      </c>
      <c r="Q202">
        <f>P202*0.0015</f>
        <v/>
      </c>
      <c r="R202">
        <f>I202*(1-Q202)</f>
        <v/>
      </c>
      <c r="S202">
        <f>R202/R201-1</f>
        <v/>
      </c>
      <c r="T202">
        <f>MAX(T201,R202)</f>
        <v/>
      </c>
      <c r="U202">
        <f>R202/T202-1</f>
        <v/>
      </c>
      <c r="V202" t="n">
        <v>1.520307680094612</v>
      </c>
      <c r="W202" s="5">
        <f>R202-V202</f>
        <v/>
      </c>
    </row>
    <row r="203">
      <c r="A203" s="3" t="n">
        <v>38735</v>
      </c>
      <c r="B203">
        <f>Prices!B203</f>
        <v/>
      </c>
      <c r="C203">
        <f>Prices!C203</f>
        <v/>
      </c>
      <c r="D203">
        <f>Prices!D203</f>
        <v/>
      </c>
      <c r="E203">
        <f>Prices!E203</f>
        <v/>
      </c>
      <c r="F203">
        <f>Prices!F203</f>
        <v/>
      </c>
      <c r="G203">
        <f>IF(AND(201&gt;=16,TEXT(A203,"yyyy-mm")&lt;&gt;TEXT(A204,"yyyy-mm")),1,0)</f>
        <v/>
      </c>
      <c r="H203">
        <f>IF(OR(H202=1,G203=1),1,0)</f>
        <v/>
      </c>
      <c r="I203">
        <f>IF(H202=0,1,SUMPRODUCT(J202:N202,B203:F203)+O202*(1+0.00023125256064071564))</f>
        <v/>
      </c>
      <c r="J203">
        <f>IF(G203=1,0.2*R203/B203,J202)</f>
        <v/>
      </c>
      <c r="K203">
        <f>IF(G203=1,0.2*R203/C203,K202)</f>
        <v/>
      </c>
      <c r="L203">
        <f>IF(G203=1,0.2*R203/D203,L202)</f>
        <v/>
      </c>
      <c r="M203">
        <f>IF(G203=1,0.2*R203/E203,M202)</f>
        <v/>
      </c>
      <c r="N203">
        <f>IF(G203=1,0.2*R203/F203,N202)</f>
        <v/>
      </c>
      <c r="O203">
        <f>IF(G203=1,R203*(1-1.0),IF(H202=0,1,O202*(1+0.00023125256064071564)))</f>
        <v/>
      </c>
      <c r="P203">
        <f>IF(G203=1,IF(H202=0,1,ABS(0.2-J202*B203/I203)+ABS(0.2-K202*C203/I203)+ABS(0.2-L202*D203/I203)+ABS(0.2-M202*E203/I203)+ABS(0.2-N202*F203/I203)),0)</f>
        <v/>
      </c>
      <c r="Q203">
        <f>P203*0.0015</f>
        <v/>
      </c>
      <c r="R203">
        <f>I203*(1-Q203)</f>
        <v/>
      </c>
      <c r="S203">
        <f>R203/R202-1</f>
        <v/>
      </c>
      <c r="T203">
        <f>MAX(T202,R203)</f>
        <v/>
      </c>
      <c r="U203">
        <f>R203/T203-1</f>
        <v/>
      </c>
      <c r="V203" t="n">
        <v>1.510139605159008</v>
      </c>
      <c r="W203" s="5">
        <f>R203-V203</f>
        <v/>
      </c>
    </row>
    <row r="204">
      <c r="A204" s="3" t="n">
        <v>38736</v>
      </c>
      <c r="B204">
        <f>Prices!B204</f>
        <v/>
      </c>
      <c r="C204">
        <f>Prices!C204</f>
        <v/>
      </c>
      <c r="D204">
        <f>Prices!D204</f>
        <v/>
      </c>
      <c r="E204">
        <f>Prices!E204</f>
        <v/>
      </c>
      <c r="F204">
        <f>Prices!F204</f>
        <v/>
      </c>
      <c r="G204">
        <f>IF(AND(202&gt;=16,TEXT(A204,"yyyy-mm")&lt;&gt;TEXT(A205,"yyyy-mm")),1,0)</f>
        <v/>
      </c>
      <c r="H204">
        <f>IF(OR(H203=1,G204=1),1,0)</f>
        <v/>
      </c>
      <c r="I204">
        <f>IF(H203=0,1,SUMPRODUCT(J203:N203,B204:F204)+O203*(1+0.00023125256064071564))</f>
        <v/>
      </c>
      <c r="J204">
        <f>IF(G204=1,0.2*R204/B204,J203)</f>
        <v/>
      </c>
      <c r="K204">
        <f>IF(G204=1,0.2*R204/C204,K203)</f>
        <v/>
      </c>
      <c r="L204">
        <f>IF(G204=1,0.2*R204/D204,L203)</f>
        <v/>
      </c>
      <c r="M204">
        <f>IF(G204=1,0.2*R204/E204,M203)</f>
        <v/>
      </c>
      <c r="N204">
        <f>IF(G204=1,0.2*R204/F204,N203)</f>
        <v/>
      </c>
      <c r="O204">
        <f>IF(G204=1,R204*(1-1.0),IF(H203=0,1,O203*(1+0.00023125256064071564)))</f>
        <v/>
      </c>
      <c r="P204">
        <f>IF(G204=1,IF(H203=0,1,ABS(0.2-J203*B204/I204)+ABS(0.2-K203*C204/I204)+ABS(0.2-L203*D204/I204)+ABS(0.2-M203*E204/I204)+ABS(0.2-N203*F204/I204)),0)</f>
        <v/>
      </c>
      <c r="Q204">
        <f>P204*0.0015</f>
        <v/>
      </c>
      <c r="R204">
        <f>I204*(1-Q204)</f>
        <v/>
      </c>
      <c r="S204">
        <f>R204/R203-1</f>
        <v/>
      </c>
      <c r="T204">
        <f>MAX(T203,R204)</f>
        <v/>
      </c>
      <c r="U204">
        <f>R204/T204-1</f>
        <v/>
      </c>
      <c r="V204" t="n">
        <v>1.543828568167992</v>
      </c>
      <c r="W204" s="5">
        <f>R204-V204</f>
        <v/>
      </c>
    </row>
    <row r="205">
      <c r="A205" s="3" t="n">
        <v>38737</v>
      </c>
      <c r="B205">
        <f>Prices!B205</f>
        <v/>
      </c>
      <c r="C205">
        <f>Prices!C205</f>
        <v/>
      </c>
      <c r="D205">
        <f>Prices!D205</f>
        <v/>
      </c>
      <c r="E205">
        <f>Prices!E205</f>
        <v/>
      </c>
      <c r="F205">
        <f>Prices!F205</f>
        <v/>
      </c>
      <c r="G205">
        <f>IF(AND(203&gt;=16,TEXT(A205,"yyyy-mm")&lt;&gt;TEXT(A206,"yyyy-mm")),1,0)</f>
        <v/>
      </c>
      <c r="H205">
        <f>IF(OR(H204=1,G205=1),1,0)</f>
        <v/>
      </c>
      <c r="I205">
        <f>IF(H204=0,1,SUMPRODUCT(J204:N204,B205:F205)+O204*(1+0.00023125256064071564))</f>
        <v/>
      </c>
      <c r="J205">
        <f>IF(G205=1,0.2*R205/B205,J204)</f>
        <v/>
      </c>
      <c r="K205">
        <f>IF(G205=1,0.2*R205/C205,K204)</f>
        <v/>
      </c>
      <c r="L205">
        <f>IF(G205=1,0.2*R205/D205,L204)</f>
        <v/>
      </c>
      <c r="M205">
        <f>IF(G205=1,0.2*R205/E205,M204)</f>
        <v/>
      </c>
      <c r="N205">
        <f>IF(G205=1,0.2*R205/F205,N204)</f>
        <v/>
      </c>
      <c r="O205">
        <f>IF(G205=1,R205*(1-1.0),IF(H204=0,1,O204*(1+0.00023125256064071564)))</f>
        <v/>
      </c>
      <c r="P205">
        <f>IF(G205=1,IF(H204=0,1,ABS(0.2-J204*B205/I205)+ABS(0.2-K204*C205/I205)+ABS(0.2-L204*D205/I205)+ABS(0.2-M204*E205/I205)+ABS(0.2-N204*F205/I205)),0)</f>
        <v/>
      </c>
      <c r="Q205">
        <f>P205*0.0015</f>
        <v/>
      </c>
      <c r="R205">
        <f>I205*(1-Q205)</f>
        <v/>
      </c>
      <c r="S205">
        <f>R205/R204-1</f>
        <v/>
      </c>
      <c r="T205">
        <f>MAX(T204,R205)</f>
        <v/>
      </c>
      <c r="U205">
        <f>R205/T205-1</f>
        <v/>
      </c>
      <c r="V205" t="n">
        <v>1.559240133134406</v>
      </c>
      <c r="W205" s="5">
        <f>R205-V205</f>
        <v/>
      </c>
    </row>
    <row r="206">
      <c r="A206" s="3" t="n">
        <v>38740</v>
      </c>
      <c r="B206">
        <f>Prices!B206</f>
        <v/>
      </c>
      <c r="C206">
        <f>Prices!C206</f>
        <v/>
      </c>
      <c r="D206">
        <f>Prices!D206</f>
        <v/>
      </c>
      <c r="E206">
        <f>Prices!E206</f>
        <v/>
      </c>
      <c r="F206">
        <f>Prices!F206</f>
        <v/>
      </c>
      <c r="G206">
        <f>IF(AND(204&gt;=16,TEXT(A206,"yyyy-mm")&lt;&gt;TEXT(A207,"yyyy-mm")),1,0)</f>
        <v/>
      </c>
      <c r="H206">
        <f>IF(OR(H205=1,G206=1),1,0)</f>
        <v/>
      </c>
      <c r="I206">
        <f>IF(H205=0,1,SUMPRODUCT(J205:N205,B206:F206)+O205*(1+0.00023125256064071564))</f>
        <v/>
      </c>
      <c r="J206">
        <f>IF(G206=1,0.2*R206/B206,J205)</f>
        <v/>
      </c>
      <c r="K206">
        <f>IF(G206=1,0.2*R206/C206,K205)</f>
        <v/>
      </c>
      <c r="L206">
        <f>IF(G206=1,0.2*R206/D206,L205)</f>
        <v/>
      </c>
      <c r="M206">
        <f>IF(G206=1,0.2*R206/E206,M205)</f>
        <v/>
      </c>
      <c r="N206">
        <f>IF(G206=1,0.2*R206/F206,N205)</f>
        <v/>
      </c>
      <c r="O206">
        <f>IF(G206=1,R206*(1-1.0),IF(H205=0,1,O205*(1+0.00023125256064071564)))</f>
        <v/>
      </c>
      <c r="P206">
        <f>IF(G206=1,IF(H205=0,1,ABS(0.2-J205*B206/I206)+ABS(0.2-K205*C206/I206)+ABS(0.2-L205*D206/I206)+ABS(0.2-M205*E206/I206)+ABS(0.2-N205*F206/I206)),0)</f>
        <v/>
      </c>
      <c r="Q206">
        <f>P206*0.0015</f>
        <v/>
      </c>
      <c r="R206">
        <f>I206*(1-Q206)</f>
        <v/>
      </c>
      <c r="S206">
        <f>R206/R205-1</f>
        <v/>
      </c>
      <c r="T206">
        <f>MAX(T205,R206)</f>
        <v/>
      </c>
      <c r="U206">
        <f>R206/T206-1</f>
        <v/>
      </c>
      <c r="V206" t="n">
        <v>1.558683513442302</v>
      </c>
      <c r="W206" s="5">
        <f>R206-V206</f>
        <v/>
      </c>
    </row>
    <row r="207">
      <c r="A207" s="3" t="n">
        <v>38741</v>
      </c>
      <c r="B207">
        <f>Prices!B207</f>
        <v/>
      </c>
      <c r="C207">
        <f>Prices!C207</f>
        <v/>
      </c>
      <c r="D207">
        <f>Prices!D207</f>
        <v/>
      </c>
      <c r="E207">
        <f>Prices!E207</f>
        <v/>
      </c>
      <c r="F207">
        <f>Prices!F207</f>
        <v/>
      </c>
      <c r="G207">
        <f>IF(AND(205&gt;=16,TEXT(A207,"yyyy-mm")&lt;&gt;TEXT(A208,"yyyy-mm")),1,0)</f>
        <v/>
      </c>
      <c r="H207">
        <f>IF(OR(H206=1,G207=1),1,0)</f>
        <v/>
      </c>
      <c r="I207">
        <f>IF(H206=0,1,SUMPRODUCT(J206:N206,B207:F207)+O206*(1+0.00023125256064071564))</f>
        <v/>
      </c>
      <c r="J207">
        <f>IF(G207=1,0.2*R207/B207,J206)</f>
        <v/>
      </c>
      <c r="K207">
        <f>IF(G207=1,0.2*R207/C207,K206)</f>
        <v/>
      </c>
      <c r="L207">
        <f>IF(G207=1,0.2*R207/D207,L206)</f>
        <v/>
      </c>
      <c r="M207">
        <f>IF(G207=1,0.2*R207/E207,M206)</f>
        <v/>
      </c>
      <c r="N207">
        <f>IF(G207=1,0.2*R207/F207,N206)</f>
        <v/>
      </c>
      <c r="O207">
        <f>IF(G207=1,R207*(1-1.0),IF(H206=0,1,O206*(1+0.00023125256064071564)))</f>
        <v/>
      </c>
      <c r="P207">
        <f>IF(G207=1,IF(H206=0,1,ABS(0.2-J206*B207/I207)+ABS(0.2-K206*C207/I207)+ABS(0.2-L206*D207/I207)+ABS(0.2-M206*E207/I207)+ABS(0.2-N206*F207/I207)),0)</f>
        <v/>
      </c>
      <c r="Q207">
        <f>P207*0.0015</f>
        <v/>
      </c>
      <c r="R207">
        <f>I207*(1-Q207)</f>
        <v/>
      </c>
      <c r="S207">
        <f>R207/R206-1</f>
        <v/>
      </c>
      <c r="T207">
        <f>MAX(T206,R207)</f>
        <v/>
      </c>
      <c r="U207">
        <f>R207/T207-1</f>
        <v/>
      </c>
      <c r="V207" t="n">
        <v>1.570053589920357</v>
      </c>
      <c r="W207" s="5">
        <f>R207-V207</f>
        <v/>
      </c>
    </row>
    <row r="208">
      <c r="A208" s="3" t="n">
        <v>38742</v>
      </c>
      <c r="B208">
        <f>Prices!B208</f>
        <v/>
      </c>
      <c r="C208">
        <f>Prices!C208</f>
        <v/>
      </c>
      <c r="D208">
        <f>Prices!D208</f>
        <v/>
      </c>
      <c r="E208">
        <f>Prices!E208</f>
        <v/>
      </c>
      <c r="F208">
        <f>Prices!F208</f>
        <v/>
      </c>
      <c r="G208">
        <f>IF(AND(206&gt;=16,TEXT(A208,"yyyy-mm")&lt;&gt;TEXT(A209,"yyyy-mm")),1,0)</f>
        <v/>
      </c>
      <c r="H208">
        <f>IF(OR(H207=1,G208=1),1,0)</f>
        <v/>
      </c>
      <c r="I208">
        <f>IF(H207=0,1,SUMPRODUCT(J207:N207,B208:F208)+O207*(1+0.00023125256064071564))</f>
        <v/>
      </c>
      <c r="J208">
        <f>IF(G208=1,0.2*R208/B208,J207)</f>
        <v/>
      </c>
      <c r="K208">
        <f>IF(G208=1,0.2*R208/C208,K207)</f>
        <v/>
      </c>
      <c r="L208">
        <f>IF(G208=1,0.2*R208/D208,L207)</f>
        <v/>
      </c>
      <c r="M208">
        <f>IF(G208=1,0.2*R208/E208,M207)</f>
        <v/>
      </c>
      <c r="N208">
        <f>IF(G208=1,0.2*R208/F208,N207)</f>
        <v/>
      </c>
      <c r="O208">
        <f>IF(G208=1,R208*(1-1.0),IF(H207=0,1,O207*(1+0.00023125256064071564)))</f>
        <v/>
      </c>
      <c r="P208">
        <f>IF(G208=1,IF(H207=0,1,ABS(0.2-J207*B208/I208)+ABS(0.2-K207*C208/I208)+ABS(0.2-L207*D208/I208)+ABS(0.2-M207*E208/I208)+ABS(0.2-N207*F208/I208)),0)</f>
        <v/>
      </c>
      <c r="Q208">
        <f>P208*0.0015</f>
        <v/>
      </c>
      <c r="R208">
        <f>I208*(1-Q208)</f>
        <v/>
      </c>
      <c r="S208">
        <f>R208/R207-1</f>
        <v/>
      </c>
      <c r="T208">
        <f>MAX(T207,R208)</f>
        <v/>
      </c>
      <c r="U208">
        <f>R208/T208-1</f>
        <v/>
      </c>
      <c r="V208" t="n">
        <v>1.567750134042364</v>
      </c>
      <c r="W208" s="5">
        <f>R208-V208</f>
        <v/>
      </c>
    </row>
    <row r="209">
      <c r="A209" s="3" t="n">
        <v>38744</v>
      </c>
      <c r="B209">
        <f>Prices!B209</f>
        <v/>
      </c>
      <c r="C209">
        <f>Prices!C209</f>
        <v/>
      </c>
      <c r="D209">
        <f>Prices!D209</f>
        <v/>
      </c>
      <c r="E209">
        <f>Prices!E209</f>
        <v/>
      </c>
      <c r="F209">
        <f>Prices!F209</f>
        <v/>
      </c>
      <c r="G209">
        <f>IF(AND(207&gt;=16,TEXT(A209,"yyyy-mm")&lt;&gt;TEXT(A210,"yyyy-mm")),1,0)</f>
        <v/>
      </c>
      <c r="H209">
        <f>IF(OR(H208=1,G209=1),1,0)</f>
        <v/>
      </c>
      <c r="I209">
        <f>IF(H208=0,1,SUMPRODUCT(J208:N208,B209:F209)+O208*(1+0.00023125256064071564))</f>
        <v/>
      </c>
      <c r="J209">
        <f>IF(G209=1,0.2*R209/B209,J208)</f>
        <v/>
      </c>
      <c r="K209">
        <f>IF(G209=1,0.2*R209/C209,K208)</f>
        <v/>
      </c>
      <c r="L209">
        <f>IF(G209=1,0.2*R209/D209,L208)</f>
        <v/>
      </c>
      <c r="M209">
        <f>IF(G209=1,0.2*R209/E209,M208)</f>
        <v/>
      </c>
      <c r="N209">
        <f>IF(G209=1,0.2*R209/F209,N208)</f>
        <v/>
      </c>
      <c r="O209">
        <f>IF(G209=1,R209*(1-1.0),IF(H208=0,1,O208*(1+0.00023125256064071564)))</f>
        <v/>
      </c>
      <c r="P209">
        <f>IF(G209=1,IF(H208=0,1,ABS(0.2-J208*B209/I209)+ABS(0.2-K208*C209/I209)+ABS(0.2-L208*D209/I209)+ABS(0.2-M208*E209/I209)+ABS(0.2-N208*F209/I209)),0)</f>
        <v/>
      </c>
      <c r="Q209">
        <f>P209*0.0015</f>
        <v/>
      </c>
      <c r="R209">
        <f>I209*(1-Q209)</f>
        <v/>
      </c>
      <c r="S209">
        <f>R209/R208-1</f>
        <v/>
      </c>
      <c r="T209">
        <f>MAX(T208,R209)</f>
        <v/>
      </c>
      <c r="U209">
        <f>R209/T209-1</f>
        <v/>
      </c>
      <c r="V209" t="n">
        <v>1.597277256588465</v>
      </c>
      <c r="W209" s="5">
        <f>R209-V209</f>
        <v/>
      </c>
    </row>
    <row r="210">
      <c r="A210" s="3" t="n">
        <v>38747</v>
      </c>
      <c r="B210">
        <f>Prices!B210</f>
        <v/>
      </c>
      <c r="C210">
        <f>Prices!C210</f>
        <v/>
      </c>
      <c r="D210">
        <f>Prices!D210</f>
        <v/>
      </c>
      <c r="E210">
        <f>Prices!E210</f>
        <v/>
      </c>
      <c r="F210">
        <f>Prices!F210</f>
        <v/>
      </c>
      <c r="G210">
        <f>IF(AND(208&gt;=16,TEXT(A210,"yyyy-mm")&lt;&gt;TEXT(A211,"yyyy-mm")),1,0)</f>
        <v/>
      </c>
      <c r="H210">
        <f>IF(OR(H209=1,G210=1),1,0)</f>
        <v/>
      </c>
      <c r="I210">
        <f>IF(H209=0,1,SUMPRODUCT(J209:N209,B210:F210)+O209*(1+0.00023125256064071564))</f>
        <v/>
      </c>
      <c r="J210">
        <f>IF(G210=1,0.2*R210/B210,J209)</f>
        <v/>
      </c>
      <c r="K210">
        <f>IF(G210=1,0.2*R210/C210,K209)</f>
        <v/>
      </c>
      <c r="L210">
        <f>IF(G210=1,0.2*R210/D210,L209)</f>
        <v/>
      </c>
      <c r="M210">
        <f>IF(G210=1,0.2*R210/E210,M209)</f>
        <v/>
      </c>
      <c r="N210">
        <f>IF(G210=1,0.2*R210/F210,N209)</f>
        <v/>
      </c>
      <c r="O210">
        <f>IF(G210=1,R210*(1-1.0),IF(H209=0,1,O209*(1+0.00023125256064071564)))</f>
        <v/>
      </c>
      <c r="P210">
        <f>IF(G210=1,IF(H209=0,1,ABS(0.2-J209*B210/I210)+ABS(0.2-K209*C210/I210)+ABS(0.2-L209*D210/I210)+ABS(0.2-M209*E210/I210)+ABS(0.2-N209*F210/I210)),0)</f>
        <v/>
      </c>
      <c r="Q210">
        <f>P210*0.0015</f>
        <v/>
      </c>
      <c r="R210">
        <f>I210*(1-Q210)</f>
        <v/>
      </c>
      <c r="S210">
        <f>R210/R209-1</f>
        <v/>
      </c>
      <c r="T210">
        <f>MAX(T209,R210)</f>
        <v/>
      </c>
      <c r="U210">
        <f>R210/T210-1</f>
        <v/>
      </c>
      <c r="V210" t="n">
        <v>1.582845570060722</v>
      </c>
      <c r="W210" s="5">
        <f>R210-V210</f>
        <v/>
      </c>
    </row>
    <row r="211">
      <c r="A211" s="3" t="n">
        <v>38748</v>
      </c>
      <c r="B211">
        <f>Prices!B211</f>
        <v/>
      </c>
      <c r="C211">
        <f>Prices!C211</f>
        <v/>
      </c>
      <c r="D211">
        <f>Prices!D211</f>
        <v/>
      </c>
      <c r="E211">
        <f>Prices!E211</f>
        <v/>
      </c>
      <c r="F211">
        <f>Prices!F211</f>
        <v/>
      </c>
      <c r="G211">
        <f>IF(AND(209&gt;=16,TEXT(A211,"yyyy-mm")&lt;&gt;TEXT(A212,"yyyy-mm")),1,0)</f>
        <v/>
      </c>
      <c r="H211">
        <f>IF(OR(H210=1,G211=1),1,0)</f>
        <v/>
      </c>
      <c r="I211">
        <f>IF(H210=0,1,SUMPRODUCT(J210:N210,B211:F211)+O210*(1+0.00023125256064071564))</f>
        <v/>
      </c>
      <c r="J211">
        <f>IF(G211=1,0.2*R211/B211,J210)</f>
        <v/>
      </c>
      <c r="K211">
        <f>IF(G211=1,0.2*R211/C211,K210)</f>
        <v/>
      </c>
      <c r="L211">
        <f>IF(G211=1,0.2*R211/D211,L210)</f>
        <v/>
      </c>
      <c r="M211">
        <f>IF(G211=1,0.2*R211/E211,M210)</f>
        <v/>
      </c>
      <c r="N211">
        <f>IF(G211=1,0.2*R211/F211,N210)</f>
        <v/>
      </c>
      <c r="O211">
        <f>IF(G211=1,R211*(1-1.0),IF(H210=0,1,O210*(1+0.00023125256064071564)))</f>
        <v/>
      </c>
      <c r="P211">
        <f>IF(G211=1,IF(H210=0,1,ABS(0.2-J210*B211/I211)+ABS(0.2-K210*C211/I211)+ABS(0.2-L210*D211/I211)+ABS(0.2-M210*E211/I211)+ABS(0.2-N210*F211/I211)),0)</f>
        <v/>
      </c>
      <c r="Q211">
        <f>P211*0.0015</f>
        <v/>
      </c>
      <c r="R211">
        <f>I211*(1-Q211)</f>
        <v/>
      </c>
      <c r="S211">
        <f>R211/R210-1</f>
        <v/>
      </c>
      <c r="T211">
        <f>MAX(T210,R211)</f>
        <v/>
      </c>
      <c r="U211">
        <f>R211/T211-1</f>
        <v/>
      </c>
      <c r="V211" t="n">
        <v>1.588058907414022</v>
      </c>
      <c r="W211" s="5">
        <f>R211-V211</f>
        <v/>
      </c>
    </row>
    <row r="212">
      <c r="A212" s="3" t="n">
        <v>38749</v>
      </c>
      <c r="B212">
        <f>Prices!B212</f>
        <v/>
      </c>
      <c r="C212">
        <f>Prices!C212</f>
        <v/>
      </c>
      <c r="D212">
        <f>Prices!D212</f>
        <v/>
      </c>
      <c r="E212">
        <f>Prices!E212</f>
        <v/>
      </c>
      <c r="F212">
        <f>Prices!F212</f>
        <v/>
      </c>
      <c r="G212">
        <f>IF(AND(210&gt;=16,TEXT(A212,"yyyy-mm")&lt;&gt;TEXT(A213,"yyyy-mm")),1,0)</f>
        <v/>
      </c>
      <c r="H212">
        <f>IF(OR(H211=1,G212=1),1,0)</f>
        <v/>
      </c>
      <c r="I212">
        <f>IF(H211=0,1,SUMPRODUCT(J211:N211,B212:F212)+O211*(1+0.00023125256064071564))</f>
        <v/>
      </c>
      <c r="J212">
        <f>IF(G212=1,0.2*R212/B212,J211)</f>
        <v/>
      </c>
      <c r="K212">
        <f>IF(G212=1,0.2*R212/C212,K211)</f>
        <v/>
      </c>
      <c r="L212">
        <f>IF(G212=1,0.2*R212/D212,L211)</f>
        <v/>
      </c>
      <c r="M212">
        <f>IF(G212=1,0.2*R212/E212,M211)</f>
        <v/>
      </c>
      <c r="N212">
        <f>IF(G212=1,0.2*R212/F212,N211)</f>
        <v/>
      </c>
      <c r="O212">
        <f>IF(G212=1,R212*(1-1.0),IF(H211=0,1,O211*(1+0.00023125256064071564)))</f>
        <v/>
      </c>
      <c r="P212">
        <f>IF(G212=1,IF(H211=0,1,ABS(0.2-J211*B212/I212)+ABS(0.2-K211*C212/I212)+ABS(0.2-L211*D212/I212)+ABS(0.2-M211*E212/I212)+ABS(0.2-N211*F212/I212)),0)</f>
        <v/>
      </c>
      <c r="Q212">
        <f>P212*0.0015</f>
        <v/>
      </c>
      <c r="R212">
        <f>I212*(1-Q212)</f>
        <v/>
      </c>
      <c r="S212">
        <f>R212/R211-1</f>
        <v/>
      </c>
      <c r="T212">
        <f>MAX(T211,R212)</f>
        <v/>
      </c>
      <c r="U212">
        <f>R212/T212-1</f>
        <v/>
      </c>
      <c r="V212" t="n">
        <v>1.566859779218659</v>
      </c>
      <c r="W212" s="5">
        <f>R212-V212</f>
        <v/>
      </c>
    </row>
    <row r="213">
      <c r="A213" s="3" t="n">
        <v>38750</v>
      </c>
      <c r="B213">
        <f>Prices!B213</f>
        <v/>
      </c>
      <c r="C213">
        <f>Prices!C213</f>
        <v/>
      </c>
      <c r="D213">
        <f>Prices!D213</f>
        <v/>
      </c>
      <c r="E213">
        <f>Prices!E213</f>
        <v/>
      </c>
      <c r="F213">
        <f>Prices!F213</f>
        <v/>
      </c>
      <c r="G213">
        <f>IF(AND(211&gt;=16,TEXT(A213,"yyyy-mm")&lt;&gt;TEXT(A214,"yyyy-mm")),1,0)</f>
        <v/>
      </c>
      <c r="H213">
        <f>IF(OR(H212=1,G213=1),1,0)</f>
        <v/>
      </c>
      <c r="I213">
        <f>IF(H212=0,1,SUMPRODUCT(J212:N212,B213:F213)+O212*(1+0.00023125256064071564))</f>
        <v/>
      </c>
      <c r="J213">
        <f>IF(G213=1,0.2*R213/B213,J212)</f>
        <v/>
      </c>
      <c r="K213">
        <f>IF(G213=1,0.2*R213/C213,K212)</f>
        <v/>
      </c>
      <c r="L213">
        <f>IF(G213=1,0.2*R213/D213,L212)</f>
        <v/>
      </c>
      <c r="M213">
        <f>IF(G213=1,0.2*R213/E213,M212)</f>
        <v/>
      </c>
      <c r="N213">
        <f>IF(G213=1,0.2*R213/F213,N212)</f>
        <v/>
      </c>
      <c r="O213">
        <f>IF(G213=1,R213*(1-1.0),IF(H212=0,1,O212*(1+0.00023125256064071564)))</f>
        <v/>
      </c>
      <c r="P213">
        <f>IF(G213=1,IF(H212=0,1,ABS(0.2-J212*B213/I213)+ABS(0.2-K212*C213/I213)+ABS(0.2-L212*D213/I213)+ABS(0.2-M212*E213/I213)+ABS(0.2-N212*F213/I213)),0)</f>
        <v/>
      </c>
      <c r="Q213">
        <f>P213*0.0015</f>
        <v/>
      </c>
      <c r="R213">
        <f>I213*(1-Q213)</f>
        <v/>
      </c>
      <c r="S213">
        <f>R213/R212-1</f>
        <v/>
      </c>
      <c r="T213">
        <f>MAX(T212,R213)</f>
        <v/>
      </c>
      <c r="U213">
        <f>R213/T213-1</f>
        <v/>
      </c>
      <c r="V213" t="n">
        <v>1.565864951158266</v>
      </c>
      <c r="W213" s="5">
        <f>R213-V213</f>
        <v/>
      </c>
    </row>
    <row r="214">
      <c r="A214" s="3" t="n">
        <v>38751</v>
      </c>
      <c r="B214">
        <f>Prices!B214</f>
        <v/>
      </c>
      <c r="C214">
        <f>Prices!C214</f>
        <v/>
      </c>
      <c r="D214">
        <f>Prices!D214</f>
        <v/>
      </c>
      <c r="E214">
        <f>Prices!E214</f>
        <v/>
      </c>
      <c r="F214">
        <f>Prices!F214</f>
        <v/>
      </c>
      <c r="G214">
        <f>IF(AND(212&gt;=16,TEXT(A214,"yyyy-mm")&lt;&gt;TEXT(A215,"yyyy-mm")),1,0)</f>
        <v/>
      </c>
      <c r="H214">
        <f>IF(OR(H213=1,G214=1),1,0)</f>
        <v/>
      </c>
      <c r="I214">
        <f>IF(H213=0,1,SUMPRODUCT(J213:N213,B214:F214)+O213*(1+0.00023125256064071564))</f>
        <v/>
      </c>
      <c r="J214">
        <f>IF(G214=1,0.2*R214/B214,J213)</f>
        <v/>
      </c>
      <c r="K214">
        <f>IF(G214=1,0.2*R214/C214,K213)</f>
        <v/>
      </c>
      <c r="L214">
        <f>IF(G214=1,0.2*R214/D214,L213)</f>
        <v/>
      </c>
      <c r="M214">
        <f>IF(G214=1,0.2*R214/E214,M213)</f>
        <v/>
      </c>
      <c r="N214">
        <f>IF(G214=1,0.2*R214/F214,N213)</f>
        <v/>
      </c>
      <c r="O214">
        <f>IF(G214=1,R214*(1-1.0),IF(H213=0,1,O213*(1+0.00023125256064071564)))</f>
        <v/>
      </c>
      <c r="P214">
        <f>IF(G214=1,IF(H213=0,1,ABS(0.2-J213*B214/I214)+ABS(0.2-K213*C214/I214)+ABS(0.2-L213*D214/I214)+ABS(0.2-M213*E214/I214)+ABS(0.2-N213*F214/I214)),0)</f>
        <v/>
      </c>
      <c r="Q214">
        <f>P214*0.0015</f>
        <v/>
      </c>
      <c r="R214">
        <f>I214*(1-Q214)</f>
        <v/>
      </c>
      <c r="S214">
        <f>R214/R213-1</f>
        <v/>
      </c>
      <c r="T214">
        <f>MAX(T213,R214)</f>
        <v/>
      </c>
      <c r="U214">
        <f>R214/T214-1</f>
        <v/>
      </c>
      <c r="V214" t="n">
        <v>1.561859245105392</v>
      </c>
      <c r="W214" s="5">
        <f>R214-V214</f>
        <v/>
      </c>
    </row>
    <row r="215">
      <c r="A215" s="3" t="n">
        <v>38754</v>
      </c>
      <c r="B215">
        <f>Prices!B215</f>
        <v/>
      </c>
      <c r="C215">
        <f>Prices!C215</f>
        <v/>
      </c>
      <c r="D215">
        <f>Prices!D215</f>
        <v/>
      </c>
      <c r="E215">
        <f>Prices!E215</f>
        <v/>
      </c>
      <c r="F215">
        <f>Prices!F215</f>
        <v/>
      </c>
      <c r="G215">
        <f>IF(AND(213&gt;=16,TEXT(A215,"yyyy-mm")&lt;&gt;TEXT(A216,"yyyy-mm")),1,0)</f>
        <v/>
      </c>
      <c r="H215">
        <f>IF(OR(H214=1,G215=1),1,0)</f>
        <v/>
      </c>
      <c r="I215">
        <f>IF(H214=0,1,SUMPRODUCT(J214:N214,B215:F215)+O214*(1+0.00023125256064071564))</f>
        <v/>
      </c>
      <c r="J215">
        <f>IF(G215=1,0.2*R215/B215,J214)</f>
        <v/>
      </c>
      <c r="K215">
        <f>IF(G215=1,0.2*R215/C215,K214)</f>
        <v/>
      </c>
      <c r="L215">
        <f>IF(G215=1,0.2*R215/D215,L214)</f>
        <v/>
      </c>
      <c r="M215">
        <f>IF(G215=1,0.2*R215/E215,M214)</f>
        <v/>
      </c>
      <c r="N215">
        <f>IF(G215=1,0.2*R215/F215,N214)</f>
        <v/>
      </c>
      <c r="O215">
        <f>IF(G215=1,R215*(1-1.0),IF(H214=0,1,O214*(1+0.00023125256064071564)))</f>
        <v/>
      </c>
      <c r="P215">
        <f>IF(G215=1,IF(H214=0,1,ABS(0.2-J214*B215/I215)+ABS(0.2-K214*C215/I215)+ABS(0.2-L214*D215/I215)+ABS(0.2-M214*E215/I215)+ABS(0.2-N214*F215/I215)),0)</f>
        <v/>
      </c>
      <c r="Q215">
        <f>P215*0.0015</f>
        <v/>
      </c>
      <c r="R215">
        <f>I215*(1-Q215)</f>
        <v/>
      </c>
      <c r="S215">
        <f>R215/R214-1</f>
        <v/>
      </c>
      <c r="T215">
        <f>MAX(T214,R215)</f>
        <v/>
      </c>
      <c r="U215">
        <f>R215/T215-1</f>
        <v/>
      </c>
      <c r="V215" t="n">
        <v>1.580598331166639</v>
      </c>
      <c r="W215" s="5">
        <f>R215-V215</f>
        <v/>
      </c>
    </row>
    <row r="216">
      <c r="A216" s="3" t="n">
        <v>38755</v>
      </c>
      <c r="B216">
        <f>Prices!B216</f>
        <v/>
      </c>
      <c r="C216">
        <f>Prices!C216</f>
        <v/>
      </c>
      <c r="D216">
        <f>Prices!D216</f>
        <v/>
      </c>
      <c r="E216">
        <f>Prices!E216</f>
        <v/>
      </c>
      <c r="F216">
        <f>Prices!F216</f>
        <v/>
      </c>
      <c r="G216">
        <f>IF(AND(214&gt;=16,TEXT(A216,"yyyy-mm")&lt;&gt;TEXT(A217,"yyyy-mm")),1,0)</f>
        <v/>
      </c>
      <c r="H216">
        <f>IF(OR(H215=1,G216=1),1,0)</f>
        <v/>
      </c>
      <c r="I216">
        <f>IF(H215=0,1,SUMPRODUCT(J215:N215,B216:F216)+O215*(1+0.00023125256064071564))</f>
        <v/>
      </c>
      <c r="J216">
        <f>IF(G216=1,0.2*R216/B216,J215)</f>
        <v/>
      </c>
      <c r="K216">
        <f>IF(G216=1,0.2*R216/C216,K215)</f>
        <v/>
      </c>
      <c r="L216">
        <f>IF(G216=1,0.2*R216/D216,L215)</f>
        <v/>
      </c>
      <c r="M216">
        <f>IF(G216=1,0.2*R216/E216,M215)</f>
        <v/>
      </c>
      <c r="N216">
        <f>IF(G216=1,0.2*R216/F216,N215)</f>
        <v/>
      </c>
      <c r="O216">
        <f>IF(G216=1,R216*(1-1.0),IF(H215=0,1,O215*(1+0.00023125256064071564)))</f>
        <v/>
      </c>
      <c r="P216">
        <f>IF(G216=1,IF(H215=0,1,ABS(0.2-J215*B216/I216)+ABS(0.2-K215*C216/I216)+ABS(0.2-L215*D216/I216)+ABS(0.2-M215*E216/I216)+ABS(0.2-N215*F216/I216)),0)</f>
        <v/>
      </c>
      <c r="Q216">
        <f>P216*0.0015</f>
        <v/>
      </c>
      <c r="R216">
        <f>I216*(1-Q216)</f>
        <v/>
      </c>
      <c r="S216">
        <f>R216/R215-1</f>
        <v/>
      </c>
      <c r="T216">
        <f>MAX(T215,R216)</f>
        <v/>
      </c>
      <c r="U216">
        <f>R216/T216-1</f>
        <v/>
      </c>
      <c r="V216" t="n">
        <v>1.597276486924417</v>
      </c>
      <c r="W216" s="5">
        <f>R216-V216</f>
        <v/>
      </c>
    </row>
    <row r="217">
      <c r="A217" s="3" t="n">
        <v>38756</v>
      </c>
      <c r="B217">
        <f>Prices!B217</f>
        <v/>
      </c>
      <c r="C217">
        <f>Prices!C217</f>
        <v/>
      </c>
      <c r="D217">
        <f>Prices!D217</f>
        <v/>
      </c>
      <c r="E217">
        <f>Prices!E217</f>
        <v/>
      </c>
      <c r="F217">
        <f>Prices!F217</f>
        <v/>
      </c>
      <c r="G217">
        <f>IF(AND(215&gt;=16,TEXT(A217,"yyyy-mm")&lt;&gt;TEXT(A218,"yyyy-mm")),1,0)</f>
        <v/>
      </c>
      <c r="H217">
        <f>IF(OR(H216=1,G217=1),1,0)</f>
        <v/>
      </c>
      <c r="I217">
        <f>IF(H216=0,1,SUMPRODUCT(J216:N216,B217:F217)+O216*(1+0.00023125256064071564))</f>
        <v/>
      </c>
      <c r="J217">
        <f>IF(G217=1,0.2*R217/B217,J216)</f>
        <v/>
      </c>
      <c r="K217">
        <f>IF(G217=1,0.2*R217/C217,K216)</f>
        <v/>
      </c>
      <c r="L217">
        <f>IF(G217=1,0.2*R217/D217,L216)</f>
        <v/>
      </c>
      <c r="M217">
        <f>IF(G217=1,0.2*R217/E217,M216)</f>
        <v/>
      </c>
      <c r="N217">
        <f>IF(G217=1,0.2*R217/F217,N216)</f>
        <v/>
      </c>
      <c r="O217">
        <f>IF(G217=1,R217*(1-1.0),IF(H216=0,1,O216*(1+0.00023125256064071564)))</f>
        <v/>
      </c>
      <c r="P217">
        <f>IF(G217=1,IF(H216=0,1,ABS(0.2-J216*B217/I217)+ABS(0.2-K216*C217/I217)+ABS(0.2-L216*D217/I217)+ABS(0.2-M216*E217/I217)+ABS(0.2-N216*F217/I217)),0)</f>
        <v/>
      </c>
      <c r="Q217">
        <f>P217*0.0015</f>
        <v/>
      </c>
      <c r="R217">
        <f>I217*(1-Q217)</f>
        <v/>
      </c>
      <c r="S217">
        <f>R217/R216-1</f>
        <v/>
      </c>
      <c r="T217">
        <f>MAX(T216,R217)</f>
        <v/>
      </c>
      <c r="U217">
        <f>R217/T217-1</f>
        <v/>
      </c>
      <c r="V217" t="n">
        <v>1.593270708552867</v>
      </c>
      <c r="W217" s="5">
        <f>R217-V217</f>
        <v/>
      </c>
    </row>
    <row r="218">
      <c r="A218" s="3" t="n">
        <v>38758</v>
      </c>
      <c r="B218">
        <f>Prices!B218</f>
        <v/>
      </c>
      <c r="C218">
        <f>Prices!C218</f>
        <v/>
      </c>
      <c r="D218">
        <f>Prices!D218</f>
        <v/>
      </c>
      <c r="E218">
        <f>Prices!E218</f>
        <v/>
      </c>
      <c r="F218">
        <f>Prices!F218</f>
        <v/>
      </c>
      <c r="G218">
        <f>IF(AND(216&gt;=16,TEXT(A218,"yyyy-mm")&lt;&gt;TEXT(A219,"yyyy-mm")),1,0)</f>
        <v/>
      </c>
      <c r="H218">
        <f>IF(OR(H217=1,G218=1),1,0)</f>
        <v/>
      </c>
      <c r="I218">
        <f>IF(H217=0,1,SUMPRODUCT(J217:N217,B218:F218)+O217*(1+0.00023125256064071564))</f>
        <v/>
      </c>
      <c r="J218">
        <f>IF(G218=1,0.2*R218/B218,J217)</f>
        <v/>
      </c>
      <c r="K218">
        <f>IF(G218=1,0.2*R218/C218,K217)</f>
        <v/>
      </c>
      <c r="L218">
        <f>IF(G218=1,0.2*R218/D218,L217)</f>
        <v/>
      </c>
      <c r="M218">
        <f>IF(G218=1,0.2*R218/E218,M217)</f>
        <v/>
      </c>
      <c r="N218">
        <f>IF(G218=1,0.2*R218/F218,N217)</f>
        <v/>
      </c>
      <c r="O218">
        <f>IF(G218=1,R218*(1-1.0),IF(H217=0,1,O217*(1+0.00023125256064071564)))</f>
        <v/>
      </c>
      <c r="P218">
        <f>IF(G218=1,IF(H217=0,1,ABS(0.2-J217*B218/I218)+ABS(0.2-K217*C218/I218)+ABS(0.2-L217*D218/I218)+ABS(0.2-M217*E218/I218)+ABS(0.2-N217*F218/I218)),0)</f>
        <v/>
      </c>
      <c r="Q218">
        <f>P218*0.0015</f>
        <v/>
      </c>
      <c r="R218">
        <f>I218*(1-Q218)</f>
        <v/>
      </c>
      <c r="S218">
        <f>R218/R217-1</f>
        <v/>
      </c>
      <c r="T218">
        <f>MAX(T217,R218)</f>
        <v/>
      </c>
      <c r="U218">
        <f>R218/T218-1</f>
        <v/>
      </c>
      <c r="V218" t="n">
        <v>1.613079838965265</v>
      </c>
      <c r="W218" s="5">
        <f>R218-V218</f>
        <v/>
      </c>
    </row>
    <row r="219">
      <c r="A219" s="3" t="n">
        <v>38761</v>
      </c>
      <c r="B219">
        <f>Prices!B219</f>
        <v/>
      </c>
      <c r="C219">
        <f>Prices!C219</f>
        <v/>
      </c>
      <c r="D219">
        <f>Prices!D219</f>
        <v/>
      </c>
      <c r="E219">
        <f>Prices!E219</f>
        <v/>
      </c>
      <c r="F219">
        <f>Prices!F219</f>
        <v/>
      </c>
      <c r="G219">
        <f>IF(AND(217&gt;=16,TEXT(A219,"yyyy-mm")&lt;&gt;TEXT(A220,"yyyy-mm")),1,0)</f>
        <v/>
      </c>
      <c r="H219">
        <f>IF(OR(H218=1,G219=1),1,0)</f>
        <v/>
      </c>
      <c r="I219">
        <f>IF(H218=0,1,SUMPRODUCT(J218:N218,B219:F219)+O218*(1+0.00023125256064071564))</f>
        <v/>
      </c>
      <c r="J219">
        <f>IF(G219=1,0.2*R219/B219,J218)</f>
        <v/>
      </c>
      <c r="K219">
        <f>IF(G219=1,0.2*R219/C219,K218)</f>
        <v/>
      </c>
      <c r="L219">
        <f>IF(G219=1,0.2*R219/D219,L218)</f>
        <v/>
      </c>
      <c r="M219">
        <f>IF(G219=1,0.2*R219/E219,M218)</f>
        <v/>
      </c>
      <c r="N219">
        <f>IF(G219=1,0.2*R219/F219,N218)</f>
        <v/>
      </c>
      <c r="O219">
        <f>IF(G219=1,R219*(1-1.0),IF(H218=0,1,O218*(1+0.00023125256064071564)))</f>
        <v/>
      </c>
      <c r="P219">
        <f>IF(G219=1,IF(H218=0,1,ABS(0.2-J218*B219/I219)+ABS(0.2-K218*C219/I219)+ABS(0.2-L218*D219/I219)+ABS(0.2-M218*E219/I219)+ABS(0.2-N218*F219/I219)),0)</f>
        <v/>
      </c>
      <c r="Q219">
        <f>P219*0.0015</f>
        <v/>
      </c>
      <c r="R219">
        <f>I219*(1-Q219)</f>
        <v/>
      </c>
      <c r="S219">
        <f>R219/R218-1</f>
        <v/>
      </c>
      <c r="T219">
        <f>MAX(T218,R219)</f>
        <v/>
      </c>
      <c r="U219">
        <f>R219/T219-1</f>
        <v/>
      </c>
      <c r="V219" t="n">
        <v>1.629464185124453</v>
      </c>
      <c r="W219" s="5">
        <f>R219-V219</f>
        <v/>
      </c>
    </row>
    <row r="220">
      <c r="A220" s="3" t="n">
        <v>38762</v>
      </c>
      <c r="B220">
        <f>Prices!B220</f>
        <v/>
      </c>
      <c r="C220">
        <f>Prices!C220</f>
        <v/>
      </c>
      <c r="D220">
        <f>Prices!D220</f>
        <v/>
      </c>
      <c r="E220">
        <f>Prices!E220</f>
        <v/>
      </c>
      <c r="F220">
        <f>Prices!F220</f>
        <v/>
      </c>
      <c r="G220">
        <f>IF(AND(218&gt;=16,TEXT(A220,"yyyy-mm")&lt;&gt;TEXT(A221,"yyyy-mm")),1,0)</f>
        <v/>
      </c>
      <c r="H220">
        <f>IF(OR(H219=1,G220=1),1,0)</f>
        <v/>
      </c>
      <c r="I220">
        <f>IF(H219=0,1,SUMPRODUCT(J219:N219,B220:F220)+O219*(1+0.00023125256064071564))</f>
        <v/>
      </c>
      <c r="J220">
        <f>IF(G220=1,0.2*R220/B220,J219)</f>
        <v/>
      </c>
      <c r="K220">
        <f>IF(G220=1,0.2*R220/C220,K219)</f>
        <v/>
      </c>
      <c r="L220">
        <f>IF(G220=1,0.2*R220/D220,L219)</f>
        <v/>
      </c>
      <c r="M220">
        <f>IF(G220=1,0.2*R220/E220,M219)</f>
        <v/>
      </c>
      <c r="N220">
        <f>IF(G220=1,0.2*R220/F220,N219)</f>
        <v/>
      </c>
      <c r="O220">
        <f>IF(G220=1,R220*(1-1.0),IF(H219=0,1,O219*(1+0.00023125256064071564)))</f>
        <v/>
      </c>
      <c r="P220">
        <f>IF(G220=1,IF(H219=0,1,ABS(0.2-J219*B220/I220)+ABS(0.2-K219*C220/I220)+ABS(0.2-L219*D220/I220)+ABS(0.2-M219*E220/I220)+ABS(0.2-N219*F220/I220)),0)</f>
        <v/>
      </c>
      <c r="Q220">
        <f>P220*0.0015</f>
        <v/>
      </c>
      <c r="R220">
        <f>I220*(1-Q220)</f>
        <v/>
      </c>
      <c r="S220">
        <f>R220/R219-1</f>
        <v/>
      </c>
      <c r="T220">
        <f>MAX(T219,R220)</f>
        <v/>
      </c>
      <c r="U220">
        <f>R220/T220-1</f>
        <v/>
      </c>
      <c r="V220" t="n">
        <v>1.618505472095218</v>
      </c>
      <c r="W220" s="5">
        <f>R220-V220</f>
        <v/>
      </c>
    </row>
    <row r="221">
      <c r="A221" s="3" t="n">
        <v>38763</v>
      </c>
      <c r="B221">
        <f>Prices!B221</f>
        <v/>
      </c>
      <c r="C221">
        <f>Prices!C221</f>
        <v/>
      </c>
      <c r="D221">
        <f>Prices!D221</f>
        <v/>
      </c>
      <c r="E221">
        <f>Prices!E221</f>
        <v/>
      </c>
      <c r="F221">
        <f>Prices!F221</f>
        <v/>
      </c>
      <c r="G221">
        <f>IF(AND(219&gt;=16,TEXT(A221,"yyyy-mm")&lt;&gt;TEXT(A222,"yyyy-mm")),1,0)</f>
        <v/>
      </c>
      <c r="H221">
        <f>IF(OR(H220=1,G221=1),1,0)</f>
        <v/>
      </c>
      <c r="I221">
        <f>IF(H220=0,1,SUMPRODUCT(J220:N220,B221:F221)+O220*(1+0.00023125256064071564))</f>
        <v/>
      </c>
      <c r="J221">
        <f>IF(G221=1,0.2*R221/B221,J220)</f>
        <v/>
      </c>
      <c r="K221">
        <f>IF(G221=1,0.2*R221/C221,K220)</f>
        <v/>
      </c>
      <c r="L221">
        <f>IF(G221=1,0.2*R221/D221,L220)</f>
        <v/>
      </c>
      <c r="M221">
        <f>IF(G221=1,0.2*R221/E221,M220)</f>
        <v/>
      </c>
      <c r="N221">
        <f>IF(G221=1,0.2*R221/F221,N220)</f>
        <v/>
      </c>
      <c r="O221">
        <f>IF(G221=1,R221*(1-1.0),IF(H220=0,1,O220*(1+0.00023125256064071564)))</f>
        <v/>
      </c>
      <c r="P221">
        <f>IF(G221=1,IF(H220=0,1,ABS(0.2-J220*B221/I221)+ABS(0.2-K220*C221/I221)+ABS(0.2-L220*D221/I221)+ABS(0.2-M220*E221/I221)+ABS(0.2-N220*F221/I221)),0)</f>
        <v/>
      </c>
      <c r="Q221">
        <f>P221*0.0015</f>
        <v/>
      </c>
      <c r="R221">
        <f>I221*(1-Q221)</f>
        <v/>
      </c>
      <c r="S221">
        <f>R221/R220-1</f>
        <v/>
      </c>
      <c r="T221">
        <f>MAX(T220,R221)</f>
        <v/>
      </c>
      <c r="U221">
        <f>R221/T221-1</f>
        <v/>
      </c>
      <c r="V221" t="n">
        <v>1.6204367785913</v>
      </c>
      <c r="W221" s="5">
        <f>R221-V221</f>
        <v/>
      </c>
    </row>
    <row r="222">
      <c r="A222" s="3" t="n">
        <v>38764</v>
      </c>
      <c r="B222">
        <f>Prices!B222</f>
        <v/>
      </c>
      <c r="C222">
        <f>Prices!C222</f>
        <v/>
      </c>
      <c r="D222">
        <f>Prices!D222</f>
        <v/>
      </c>
      <c r="E222">
        <f>Prices!E222</f>
        <v/>
      </c>
      <c r="F222">
        <f>Prices!F222</f>
        <v/>
      </c>
      <c r="G222">
        <f>IF(AND(220&gt;=16,TEXT(A222,"yyyy-mm")&lt;&gt;TEXT(A223,"yyyy-mm")),1,0)</f>
        <v/>
      </c>
      <c r="H222">
        <f>IF(OR(H221=1,G222=1),1,0)</f>
        <v/>
      </c>
      <c r="I222">
        <f>IF(H221=0,1,SUMPRODUCT(J221:N221,B222:F222)+O221*(1+0.00023125256064071564))</f>
        <v/>
      </c>
      <c r="J222">
        <f>IF(G222=1,0.2*R222/B222,J221)</f>
        <v/>
      </c>
      <c r="K222">
        <f>IF(G222=1,0.2*R222/C222,K221)</f>
        <v/>
      </c>
      <c r="L222">
        <f>IF(G222=1,0.2*R222/D222,L221)</f>
        <v/>
      </c>
      <c r="M222">
        <f>IF(G222=1,0.2*R222/E222,M221)</f>
        <v/>
      </c>
      <c r="N222">
        <f>IF(G222=1,0.2*R222/F222,N221)</f>
        <v/>
      </c>
      <c r="O222">
        <f>IF(G222=1,R222*(1-1.0),IF(H221=0,1,O221*(1+0.00023125256064071564)))</f>
        <v/>
      </c>
      <c r="P222">
        <f>IF(G222=1,IF(H221=0,1,ABS(0.2-J221*B222/I222)+ABS(0.2-K221*C222/I222)+ABS(0.2-L221*D222/I222)+ABS(0.2-M221*E222/I222)+ABS(0.2-N221*F222/I222)),0)</f>
        <v/>
      </c>
      <c r="Q222">
        <f>P222*0.0015</f>
        <v/>
      </c>
      <c r="R222">
        <f>I222*(1-Q222)</f>
        <v/>
      </c>
      <c r="S222">
        <f>R222/R221-1</f>
        <v/>
      </c>
      <c r="T222">
        <f>MAX(T221,R222)</f>
        <v/>
      </c>
      <c r="U222">
        <f>R222/T222-1</f>
        <v/>
      </c>
      <c r="V222" t="n">
        <v>1.631555159903339</v>
      </c>
      <c r="W222" s="5">
        <f>R222-V222</f>
        <v/>
      </c>
    </row>
    <row r="223">
      <c r="A223" s="3" t="n">
        <v>38765</v>
      </c>
      <c r="B223">
        <f>Prices!B223</f>
        <v/>
      </c>
      <c r="C223">
        <f>Prices!C223</f>
        <v/>
      </c>
      <c r="D223">
        <f>Prices!D223</f>
        <v/>
      </c>
      <c r="E223">
        <f>Prices!E223</f>
        <v/>
      </c>
      <c r="F223">
        <f>Prices!F223</f>
        <v/>
      </c>
      <c r="G223">
        <f>IF(AND(221&gt;=16,TEXT(A223,"yyyy-mm")&lt;&gt;TEXT(A224,"yyyy-mm")),1,0)</f>
        <v/>
      </c>
      <c r="H223">
        <f>IF(OR(H222=1,G223=1),1,0)</f>
        <v/>
      </c>
      <c r="I223">
        <f>IF(H222=0,1,SUMPRODUCT(J222:N222,B223:F223)+O222*(1+0.00023125256064071564))</f>
        <v/>
      </c>
      <c r="J223">
        <f>IF(G223=1,0.2*R223/B223,J222)</f>
        <v/>
      </c>
      <c r="K223">
        <f>IF(G223=1,0.2*R223/C223,K222)</f>
        <v/>
      </c>
      <c r="L223">
        <f>IF(G223=1,0.2*R223/D223,L222)</f>
        <v/>
      </c>
      <c r="M223">
        <f>IF(G223=1,0.2*R223/E223,M222)</f>
        <v/>
      </c>
      <c r="N223">
        <f>IF(G223=1,0.2*R223/F223,N222)</f>
        <v/>
      </c>
      <c r="O223">
        <f>IF(G223=1,R223*(1-1.0),IF(H222=0,1,O222*(1+0.00023125256064071564)))</f>
        <v/>
      </c>
      <c r="P223">
        <f>IF(G223=1,IF(H222=0,1,ABS(0.2-J222*B223/I223)+ABS(0.2-K222*C223/I223)+ABS(0.2-L222*D223/I223)+ABS(0.2-M222*E223/I223)+ABS(0.2-N222*F223/I223)),0)</f>
        <v/>
      </c>
      <c r="Q223">
        <f>P223*0.0015</f>
        <v/>
      </c>
      <c r="R223">
        <f>I223*(1-Q223)</f>
        <v/>
      </c>
      <c r="S223">
        <f>R223/R222-1</f>
        <v/>
      </c>
      <c r="T223">
        <f>MAX(T222,R223)</f>
        <v/>
      </c>
      <c r="U223">
        <f>R223/T223-1</f>
        <v/>
      </c>
      <c r="V223" t="n">
        <v>1.609160550393295</v>
      </c>
      <c r="W223" s="5">
        <f>R223-V223</f>
        <v/>
      </c>
    </row>
    <row r="224">
      <c r="A224" s="3" t="n">
        <v>38768</v>
      </c>
      <c r="B224">
        <f>Prices!B224</f>
        <v/>
      </c>
      <c r="C224">
        <f>Prices!C224</f>
        <v/>
      </c>
      <c r="D224">
        <f>Prices!D224</f>
        <v/>
      </c>
      <c r="E224">
        <f>Prices!E224</f>
        <v/>
      </c>
      <c r="F224">
        <f>Prices!F224</f>
        <v/>
      </c>
      <c r="G224">
        <f>IF(AND(222&gt;=16,TEXT(A224,"yyyy-mm")&lt;&gt;TEXT(A225,"yyyy-mm")),1,0)</f>
        <v/>
      </c>
      <c r="H224">
        <f>IF(OR(H223=1,G224=1),1,0)</f>
        <v/>
      </c>
      <c r="I224">
        <f>IF(H223=0,1,SUMPRODUCT(J223:N223,B224:F224)+O223*(1+0.00023125256064071564))</f>
        <v/>
      </c>
      <c r="J224">
        <f>IF(G224=1,0.2*R224/B224,J223)</f>
        <v/>
      </c>
      <c r="K224">
        <f>IF(G224=1,0.2*R224/C224,K223)</f>
        <v/>
      </c>
      <c r="L224">
        <f>IF(G224=1,0.2*R224/D224,L223)</f>
        <v/>
      </c>
      <c r="M224">
        <f>IF(G224=1,0.2*R224/E224,M223)</f>
        <v/>
      </c>
      <c r="N224">
        <f>IF(G224=1,0.2*R224/F224,N223)</f>
        <v/>
      </c>
      <c r="O224">
        <f>IF(G224=1,R224*(1-1.0),IF(H223=0,1,O223*(1+0.00023125256064071564)))</f>
        <v/>
      </c>
      <c r="P224">
        <f>IF(G224=1,IF(H223=0,1,ABS(0.2-J223*B224/I224)+ABS(0.2-K223*C224/I224)+ABS(0.2-L223*D224/I224)+ABS(0.2-M223*E224/I224)+ABS(0.2-N223*F224/I224)),0)</f>
        <v/>
      </c>
      <c r="Q224">
        <f>P224*0.0015</f>
        <v/>
      </c>
      <c r="R224">
        <f>I224*(1-Q224)</f>
        <v/>
      </c>
      <c r="S224">
        <f>R224/R223-1</f>
        <v/>
      </c>
      <c r="T224">
        <f>MAX(T223,R224)</f>
        <v/>
      </c>
      <c r="U224">
        <f>R224/T224-1</f>
        <v/>
      </c>
      <c r="V224" t="n">
        <v>1.604172111004481</v>
      </c>
      <c r="W224" s="5">
        <f>R224-V224</f>
        <v/>
      </c>
    </row>
    <row r="225">
      <c r="A225" s="3" t="n">
        <v>38769</v>
      </c>
      <c r="B225">
        <f>Prices!B225</f>
        <v/>
      </c>
      <c r="C225">
        <f>Prices!C225</f>
        <v/>
      </c>
      <c r="D225">
        <f>Prices!D225</f>
        <v/>
      </c>
      <c r="E225">
        <f>Prices!E225</f>
        <v/>
      </c>
      <c r="F225">
        <f>Prices!F225</f>
        <v/>
      </c>
      <c r="G225">
        <f>IF(AND(223&gt;=16,TEXT(A225,"yyyy-mm")&lt;&gt;TEXT(A226,"yyyy-mm")),1,0)</f>
        <v/>
      </c>
      <c r="H225">
        <f>IF(OR(H224=1,G225=1),1,0)</f>
        <v/>
      </c>
      <c r="I225">
        <f>IF(H224=0,1,SUMPRODUCT(J224:N224,B225:F225)+O224*(1+0.00023125256064071564))</f>
        <v/>
      </c>
      <c r="J225">
        <f>IF(G225=1,0.2*R225/B225,J224)</f>
        <v/>
      </c>
      <c r="K225">
        <f>IF(G225=1,0.2*R225/C225,K224)</f>
        <v/>
      </c>
      <c r="L225">
        <f>IF(G225=1,0.2*R225/D225,L224)</f>
        <v/>
      </c>
      <c r="M225">
        <f>IF(G225=1,0.2*R225/E225,M224)</f>
        <v/>
      </c>
      <c r="N225">
        <f>IF(G225=1,0.2*R225/F225,N224)</f>
        <v/>
      </c>
      <c r="O225">
        <f>IF(G225=1,R225*(1-1.0),IF(H224=0,1,O224*(1+0.00023125256064071564)))</f>
        <v/>
      </c>
      <c r="P225">
        <f>IF(G225=1,IF(H224=0,1,ABS(0.2-J224*B225/I225)+ABS(0.2-K224*C225/I225)+ABS(0.2-L224*D225/I225)+ABS(0.2-M224*E225/I225)+ABS(0.2-N224*F225/I225)),0)</f>
        <v/>
      </c>
      <c r="Q225">
        <f>P225*0.0015</f>
        <v/>
      </c>
      <c r="R225">
        <f>I225*(1-Q225)</f>
        <v/>
      </c>
      <c r="S225">
        <f>R225/R224-1</f>
        <v/>
      </c>
      <c r="T225">
        <f>MAX(T224,R225)</f>
        <v/>
      </c>
      <c r="U225">
        <f>R225/T225-1</f>
        <v/>
      </c>
      <c r="V225" t="n">
        <v>1.619564893813643</v>
      </c>
      <c r="W225" s="5">
        <f>R225-V225</f>
        <v/>
      </c>
    </row>
    <row r="226">
      <c r="A226" s="3" t="n">
        <v>38770</v>
      </c>
      <c r="B226">
        <f>Prices!B226</f>
        <v/>
      </c>
      <c r="C226">
        <f>Prices!C226</f>
        <v/>
      </c>
      <c r="D226">
        <f>Prices!D226</f>
        <v/>
      </c>
      <c r="E226">
        <f>Prices!E226</f>
        <v/>
      </c>
      <c r="F226">
        <f>Prices!F226</f>
        <v/>
      </c>
      <c r="G226">
        <f>IF(AND(224&gt;=16,TEXT(A226,"yyyy-mm")&lt;&gt;TEXT(A227,"yyyy-mm")),1,0)</f>
        <v/>
      </c>
      <c r="H226">
        <f>IF(OR(H225=1,G226=1),1,0)</f>
        <v/>
      </c>
      <c r="I226">
        <f>IF(H225=0,1,SUMPRODUCT(J225:N225,B226:F226)+O225*(1+0.00023125256064071564))</f>
        <v/>
      </c>
      <c r="J226">
        <f>IF(G226=1,0.2*R226/B226,J225)</f>
        <v/>
      </c>
      <c r="K226">
        <f>IF(G226=1,0.2*R226/C226,K225)</f>
        <v/>
      </c>
      <c r="L226">
        <f>IF(G226=1,0.2*R226/D226,L225)</f>
        <v/>
      </c>
      <c r="M226">
        <f>IF(G226=1,0.2*R226/E226,M225)</f>
        <v/>
      </c>
      <c r="N226">
        <f>IF(G226=1,0.2*R226/F226,N225)</f>
        <v/>
      </c>
      <c r="O226">
        <f>IF(G226=1,R226*(1-1.0),IF(H225=0,1,O225*(1+0.00023125256064071564)))</f>
        <v/>
      </c>
      <c r="P226">
        <f>IF(G226=1,IF(H225=0,1,ABS(0.2-J225*B226/I226)+ABS(0.2-K225*C226/I226)+ABS(0.2-L225*D226/I226)+ABS(0.2-M225*E226/I226)+ABS(0.2-N225*F226/I226)),0)</f>
        <v/>
      </c>
      <c r="Q226">
        <f>P226*0.0015</f>
        <v/>
      </c>
      <c r="R226">
        <f>I226*(1-Q226)</f>
        <v/>
      </c>
      <c r="S226">
        <f>R226/R225-1</f>
        <v/>
      </c>
      <c r="T226">
        <f>MAX(T225,R226)</f>
        <v/>
      </c>
      <c r="U226">
        <f>R226/T226-1</f>
        <v/>
      </c>
      <c r="V226" t="n">
        <v>1.621985523476004</v>
      </c>
      <c r="W226" s="5">
        <f>R226-V226</f>
        <v/>
      </c>
    </row>
    <row r="227">
      <c r="A227" s="3" t="n">
        <v>38771</v>
      </c>
      <c r="B227">
        <f>Prices!B227</f>
        <v/>
      </c>
      <c r="C227">
        <f>Prices!C227</f>
        <v/>
      </c>
      <c r="D227">
        <f>Prices!D227</f>
        <v/>
      </c>
      <c r="E227">
        <f>Prices!E227</f>
        <v/>
      </c>
      <c r="F227">
        <f>Prices!F227</f>
        <v/>
      </c>
      <c r="G227">
        <f>IF(AND(225&gt;=16,TEXT(A227,"yyyy-mm")&lt;&gt;TEXT(A228,"yyyy-mm")),1,0)</f>
        <v/>
      </c>
      <c r="H227">
        <f>IF(OR(H226=1,G227=1),1,0)</f>
        <v/>
      </c>
      <c r="I227">
        <f>IF(H226=0,1,SUMPRODUCT(J226:N226,B227:F227)+O226*(1+0.00023125256064071564))</f>
        <v/>
      </c>
      <c r="J227">
        <f>IF(G227=1,0.2*R227/B227,J226)</f>
        <v/>
      </c>
      <c r="K227">
        <f>IF(G227=1,0.2*R227/C227,K226)</f>
        <v/>
      </c>
      <c r="L227">
        <f>IF(G227=1,0.2*R227/D227,L226)</f>
        <v/>
      </c>
      <c r="M227">
        <f>IF(G227=1,0.2*R227/E227,M226)</f>
        <v/>
      </c>
      <c r="N227">
        <f>IF(G227=1,0.2*R227/F227,N226)</f>
        <v/>
      </c>
      <c r="O227">
        <f>IF(G227=1,R227*(1-1.0),IF(H226=0,1,O226*(1+0.00023125256064071564)))</f>
        <v/>
      </c>
      <c r="P227">
        <f>IF(G227=1,IF(H226=0,1,ABS(0.2-J226*B227/I227)+ABS(0.2-K226*C227/I227)+ABS(0.2-L226*D227/I227)+ABS(0.2-M226*E227/I227)+ABS(0.2-N226*F227/I227)),0)</f>
        <v/>
      </c>
      <c r="Q227">
        <f>P227*0.0015</f>
        <v/>
      </c>
      <c r="R227">
        <f>I227*(1-Q227)</f>
        <v/>
      </c>
      <c r="S227">
        <f>R227/R226-1</f>
        <v/>
      </c>
      <c r="T227">
        <f>MAX(T226,R227)</f>
        <v/>
      </c>
      <c r="U227">
        <f>R227/T227-1</f>
        <v/>
      </c>
      <c r="V227" t="n">
        <v>1.617613227519674</v>
      </c>
      <c r="W227" s="5">
        <f>R227-V227</f>
        <v/>
      </c>
    </row>
    <row r="228">
      <c r="A228" s="3" t="n">
        <v>38772</v>
      </c>
      <c r="B228">
        <f>Prices!B228</f>
        <v/>
      </c>
      <c r="C228">
        <f>Prices!C228</f>
        <v/>
      </c>
      <c r="D228">
        <f>Prices!D228</f>
        <v/>
      </c>
      <c r="E228">
        <f>Prices!E228</f>
        <v/>
      </c>
      <c r="F228">
        <f>Prices!F228</f>
        <v/>
      </c>
      <c r="G228">
        <f>IF(AND(226&gt;=16,TEXT(A228,"yyyy-mm")&lt;&gt;TEXT(A229,"yyyy-mm")),1,0)</f>
        <v/>
      </c>
      <c r="H228">
        <f>IF(OR(H227=1,G228=1),1,0)</f>
        <v/>
      </c>
      <c r="I228">
        <f>IF(H227=0,1,SUMPRODUCT(J227:N227,B228:F228)+O227*(1+0.00023125256064071564))</f>
        <v/>
      </c>
      <c r="J228">
        <f>IF(G228=1,0.2*R228/B228,J227)</f>
        <v/>
      </c>
      <c r="K228">
        <f>IF(G228=1,0.2*R228/C228,K227)</f>
        <v/>
      </c>
      <c r="L228">
        <f>IF(G228=1,0.2*R228/D228,L227)</f>
        <v/>
      </c>
      <c r="M228">
        <f>IF(G228=1,0.2*R228/E228,M227)</f>
        <v/>
      </c>
      <c r="N228">
        <f>IF(G228=1,0.2*R228/F228,N227)</f>
        <v/>
      </c>
      <c r="O228">
        <f>IF(G228=1,R228*(1-1.0),IF(H227=0,1,O227*(1+0.00023125256064071564)))</f>
        <v/>
      </c>
      <c r="P228">
        <f>IF(G228=1,IF(H227=0,1,ABS(0.2-J227*B228/I228)+ABS(0.2-K227*C228/I228)+ABS(0.2-L227*D228/I228)+ABS(0.2-M227*E228/I228)+ABS(0.2-N227*F228/I228)),0)</f>
        <v/>
      </c>
      <c r="Q228">
        <f>P228*0.0015</f>
        <v/>
      </c>
      <c r="R228">
        <f>I228*(1-Q228)</f>
        <v/>
      </c>
      <c r="S228">
        <f>R228/R227-1</f>
        <v/>
      </c>
      <c r="T228">
        <f>MAX(T227,R228)</f>
        <v/>
      </c>
      <c r="U228">
        <f>R228/T228-1</f>
        <v/>
      </c>
      <c r="V228" t="n">
        <v>1.620196987954148</v>
      </c>
      <c r="W228" s="5">
        <f>R228-V228</f>
        <v/>
      </c>
    </row>
    <row r="229">
      <c r="A229" s="3" t="n">
        <v>38775</v>
      </c>
      <c r="B229">
        <f>Prices!B229</f>
        <v/>
      </c>
      <c r="C229">
        <f>Prices!C229</f>
        <v/>
      </c>
      <c r="D229">
        <f>Prices!D229</f>
        <v/>
      </c>
      <c r="E229">
        <f>Prices!E229</f>
        <v/>
      </c>
      <c r="F229">
        <f>Prices!F229</f>
        <v/>
      </c>
      <c r="G229">
        <f>IF(AND(227&gt;=16,TEXT(A229,"yyyy-mm")&lt;&gt;TEXT(A230,"yyyy-mm")),1,0)</f>
        <v/>
      </c>
      <c r="H229">
        <f>IF(OR(H228=1,G229=1),1,0)</f>
        <v/>
      </c>
      <c r="I229">
        <f>IF(H228=0,1,SUMPRODUCT(J228:N228,B229:F229)+O228*(1+0.00023125256064071564))</f>
        <v/>
      </c>
      <c r="J229">
        <f>IF(G229=1,0.2*R229/B229,J228)</f>
        <v/>
      </c>
      <c r="K229">
        <f>IF(G229=1,0.2*R229/C229,K228)</f>
        <v/>
      </c>
      <c r="L229">
        <f>IF(G229=1,0.2*R229/D229,L228)</f>
        <v/>
      </c>
      <c r="M229">
        <f>IF(G229=1,0.2*R229/E229,M228)</f>
        <v/>
      </c>
      <c r="N229">
        <f>IF(G229=1,0.2*R229/F229,N228)</f>
        <v/>
      </c>
      <c r="O229">
        <f>IF(G229=1,R229*(1-1.0),IF(H228=0,1,O228*(1+0.00023125256064071564)))</f>
        <v/>
      </c>
      <c r="P229">
        <f>IF(G229=1,IF(H228=0,1,ABS(0.2-J228*B229/I229)+ABS(0.2-K228*C229/I229)+ABS(0.2-L228*D229/I229)+ABS(0.2-M228*E229/I229)+ABS(0.2-N228*F229/I229)),0)</f>
        <v/>
      </c>
      <c r="Q229">
        <f>P229*0.0015</f>
        <v/>
      </c>
      <c r="R229">
        <f>I229*(1-Q229)</f>
        <v/>
      </c>
      <c r="S229">
        <f>R229/R228-1</f>
        <v/>
      </c>
      <c r="T229">
        <f>MAX(T228,R229)</f>
        <v/>
      </c>
      <c r="U229">
        <f>R229/T229-1</f>
        <v/>
      </c>
      <c r="V229" t="n">
        <v>1.630985585123611</v>
      </c>
      <c r="W229" s="5">
        <f>R229-V229</f>
        <v/>
      </c>
    </row>
    <row r="230">
      <c r="A230" s="3" t="n">
        <v>38776</v>
      </c>
      <c r="B230">
        <f>Prices!B230</f>
        <v/>
      </c>
      <c r="C230">
        <f>Prices!C230</f>
        <v/>
      </c>
      <c r="D230">
        <f>Prices!D230</f>
        <v/>
      </c>
      <c r="E230">
        <f>Prices!E230</f>
        <v/>
      </c>
      <c r="F230">
        <f>Prices!F230</f>
        <v/>
      </c>
      <c r="G230">
        <f>IF(AND(228&gt;=16,TEXT(A230,"yyyy-mm")&lt;&gt;TEXT(A231,"yyyy-mm")),1,0)</f>
        <v/>
      </c>
      <c r="H230">
        <f>IF(OR(H229=1,G230=1),1,0)</f>
        <v/>
      </c>
      <c r="I230">
        <f>IF(H229=0,1,SUMPRODUCT(J229:N229,B230:F230)+O229*(1+0.00023125256064071564))</f>
        <v/>
      </c>
      <c r="J230">
        <f>IF(G230=1,0.2*R230/B230,J229)</f>
        <v/>
      </c>
      <c r="K230">
        <f>IF(G230=1,0.2*R230/C230,K229)</f>
        <v/>
      </c>
      <c r="L230">
        <f>IF(G230=1,0.2*R230/D230,L229)</f>
        <v/>
      </c>
      <c r="M230">
        <f>IF(G230=1,0.2*R230/E230,M229)</f>
        <v/>
      </c>
      <c r="N230">
        <f>IF(G230=1,0.2*R230/F230,N229)</f>
        <v/>
      </c>
      <c r="O230">
        <f>IF(G230=1,R230*(1-1.0),IF(H229=0,1,O229*(1+0.00023125256064071564)))</f>
        <v/>
      </c>
      <c r="P230">
        <f>IF(G230=1,IF(H229=0,1,ABS(0.2-J229*B230/I230)+ABS(0.2-K229*C230/I230)+ABS(0.2-L229*D230/I230)+ABS(0.2-M229*E230/I230)+ABS(0.2-N229*F230/I230)),0)</f>
        <v/>
      </c>
      <c r="Q230">
        <f>P230*0.0015</f>
        <v/>
      </c>
      <c r="R230">
        <f>I230*(1-Q230)</f>
        <v/>
      </c>
      <c r="S230">
        <f>R230/R229-1</f>
        <v/>
      </c>
      <c r="T230">
        <f>MAX(T229,R230)</f>
        <v/>
      </c>
      <c r="U230">
        <f>R230/T230-1</f>
        <v/>
      </c>
      <c r="V230" t="n">
        <v>1.629378916829482</v>
      </c>
      <c r="W230" s="5">
        <f>R230-V230</f>
        <v/>
      </c>
    </row>
    <row r="231">
      <c r="A231" s="3" t="n">
        <v>38777</v>
      </c>
      <c r="B231">
        <f>Prices!B231</f>
        <v/>
      </c>
      <c r="C231">
        <f>Prices!C231</f>
        <v/>
      </c>
      <c r="D231">
        <f>Prices!D231</f>
        <v/>
      </c>
      <c r="E231">
        <f>Prices!E231</f>
        <v/>
      </c>
      <c r="F231">
        <f>Prices!F231</f>
        <v/>
      </c>
      <c r="G231">
        <f>IF(AND(229&gt;=16,TEXT(A231,"yyyy-mm")&lt;&gt;TEXT(A232,"yyyy-mm")),1,0)</f>
        <v/>
      </c>
      <c r="H231">
        <f>IF(OR(H230=1,G231=1),1,0)</f>
        <v/>
      </c>
      <c r="I231">
        <f>IF(H230=0,1,SUMPRODUCT(J230:N230,B231:F231)+O230*(1+0.00023125256064071564))</f>
        <v/>
      </c>
      <c r="J231">
        <f>IF(G231=1,0.2*R231/B231,J230)</f>
        <v/>
      </c>
      <c r="K231">
        <f>IF(G231=1,0.2*R231/C231,K230)</f>
        <v/>
      </c>
      <c r="L231">
        <f>IF(G231=1,0.2*R231/D231,L230)</f>
        <v/>
      </c>
      <c r="M231">
        <f>IF(G231=1,0.2*R231/E231,M230)</f>
        <v/>
      </c>
      <c r="N231">
        <f>IF(G231=1,0.2*R231/F231,N230)</f>
        <v/>
      </c>
      <c r="O231">
        <f>IF(G231=1,R231*(1-1.0),IF(H230=0,1,O230*(1+0.00023125256064071564)))</f>
        <v/>
      </c>
      <c r="P231">
        <f>IF(G231=1,IF(H230=0,1,ABS(0.2-J230*B231/I231)+ABS(0.2-K230*C231/I231)+ABS(0.2-L230*D231/I231)+ABS(0.2-M230*E231/I231)+ABS(0.2-N230*F231/I231)),0)</f>
        <v/>
      </c>
      <c r="Q231">
        <f>P231*0.0015</f>
        <v/>
      </c>
      <c r="R231">
        <f>I231*(1-Q231)</f>
        <v/>
      </c>
      <c r="S231">
        <f>R231/R230-1</f>
        <v/>
      </c>
      <c r="T231">
        <f>MAX(T230,R231)</f>
        <v/>
      </c>
      <c r="U231">
        <f>R231/T231-1</f>
        <v/>
      </c>
      <c r="V231" t="n">
        <v>1.654367675803165</v>
      </c>
      <c r="W231" s="5">
        <f>R231-V231</f>
        <v/>
      </c>
    </row>
    <row r="232">
      <c r="A232" s="3" t="n">
        <v>38778</v>
      </c>
      <c r="B232">
        <f>Prices!B232</f>
        <v/>
      </c>
      <c r="C232">
        <f>Prices!C232</f>
        <v/>
      </c>
      <c r="D232">
        <f>Prices!D232</f>
        <v/>
      </c>
      <c r="E232">
        <f>Prices!E232</f>
        <v/>
      </c>
      <c r="F232">
        <f>Prices!F232</f>
        <v/>
      </c>
      <c r="G232">
        <f>IF(AND(230&gt;=16,TEXT(A232,"yyyy-mm")&lt;&gt;TEXT(A233,"yyyy-mm")),1,0)</f>
        <v/>
      </c>
      <c r="H232">
        <f>IF(OR(H231=1,G232=1),1,0)</f>
        <v/>
      </c>
      <c r="I232">
        <f>IF(H231=0,1,SUMPRODUCT(J231:N231,B232:F232)+O231*(1+0.00023125256064071564))</f>
        <v/>
      </c>
      <c r="J232">
        <f>IF(G232=1,0.2*R232/B232,J231)</f>
        <v/>
      </c>
      <c r="K232">
        <f>IF(G232=1,0.2*R232/C232,K231)</f>
        <v/>
      </c>
      <c r="L232">
        <f>IF(G232=1,0.2*R232/D232,L231)</f>
        <v/>
      </c>
      <c r="M232">
        <f>IF(G232=1,0.2*R232/E232,M231)</f>
        <v/>
      </c>
      <c r="N232">
        <f>IF(G232=1,0.2*R232/F232,N231)</f>
        <v/>
      </c>
      <c r="O232">
        <f>IF(G232=1,R232*(1-1.0),IF(H231=0,1,O231*(1+0.00023125256064071564)))</f>
        <v/>
      </c>
      <c r="P232">
        <f>IF(G232=1,IF(H231=0,1,ABS(0.2-J231*B232/I232)+ABS(0.2-K231*C232/I232)+ABS(0.2-L231*D232/I232)+ABS(0.2-M231*E232/I232)+ABS(0.2-N231*F232/I232)),0)</f>
        <v/>
      </c>
      <c r="Q232">
        <f>P232*0.0015</f>
        <v/>
      </c>
      <c r="R232">
        <f>I232*(1-Q232)</f>
        <v/>
      </c>
      <c r="S232">
        <f>R232/R231-1</f>
        <v/>
      </c>
      <c r="T232">
        <f>MAX(T231,R232)</f>
        <v/>
      </c>
      <c r="U232">
        <f>R232/T232-1</f>
        <v/>
      </c>
      <c r="V232" t="n">
        <v>1.672718220487335</v>
      </c>
      <c r="W232" s="5">
        <f>R232-V232</f>
        <v/>
      </c>
    </row>
    <row r="233">
      <c r="A233" s="3" t="n">
        <v>38779</v>
      </c>
      <c r="B233">
        <f>Prices!B233</f>
        <v/>
      </c>
      <c r="C233">
        <f>Prices!C233</f>
        <v/>
      </c>
      <c r="D233">
        <f>Prices!D233</f>
        <v/>
      </c>
      <c r="E233">
        <f>Prices!E233</f>
        <v/>
      </c>
      <c r="F233">
        <f>Prices!F233</f>
        <v/>
      </c>
      <c r="G233">
        <f>IF(AND(231&gt;=16,TEXT(A233,"yyyy-mm")&lt;&gt;TEXT(A234,"yyyy-mm")),1,0)</f>
        <v/>
      </c>
      <c r="H233">
        <f>IF(OR(H232=1,G233=1),1,0)</f>
        <v/>
      </c>
      <c r="I233">
        <f>IF(H232=0,1,SUMPRODUCT(J232:N232,B233:F233)+O232*(1+0.00023125256064071564))</f>
        <v/>
      </c>
      <c r="J233">
        <f>IF(G233=1,0.2*R233/B233,J232)</f>
        <v/>
      </c>
      <c r="K233">
        <f>IF(G233=1,0.2*R233/C233,K232)</f>
        <v/>
      </c>
      <c r="L233">
        <f>IF(G233=1,0.2*R233/D233,L232)</f>
        <v/>
      </c>
      <c r="M233">
        <f>IF(G233=1,0.2*R233/E233,M232)</f>
        <v/>
      </c>
      <c r="N233">
        <f>IF(G233=1,0.2*R233/F233,N232)</f>
        <v/>
      </c>
      <c r="O233">
        <f>IF(G233=1,R233*(1-1.0),IF(H232=0,1,O232*(1+0.00023125256064071564)))</f>
        <v/>
      </c>
      <c r="P233">
        <f>IF(G233=1,IF(H232=0,1,ABS(0.2-J232*B233/I233)+ABS(0.2-K232*C233/I233)+ABS(0.2-L232*D233/I233)+ABS(0.2-M232*E233/I233)+ABS(0.2-N232*F233/I233)),0)</f>
        <v/>
      </c>
      <c r="Q233">
        <f>P233*0.0015</f>
        <v/>
      </c>
      <c r="R233">
        <f>I233*(1-Q233)</f>
        <v/>
      </c>
      <c r="S233">
        <f>R233/R232-1</f>
        <v/>
      </c>
      <c r="T233">
        <f>MAX(T232,R233)</f>
        <v/>
      </c>
      <c r="U233">
        <f>R233/T233-1</f>
        <v/>
      </c>
      <c r="V233" t="n">
        <v>1.682063300644872</v>
      </c>
      <c r="W233" s="5">
        <f>R233-V233</f>
        <v/>
      </c>
    </row>
    <row r="234">
      <c r="A234" s="3" t="n">
        <v>38782</v>
      </c>
      <c r="B234">
        <f>Prices!B234</f>
        <v/>
      </c>
      <c r="C234">
        <f>Prices!C234</f>
        <v/>
      </c>
      <c r="D234">
        <f>Prices!D234</f>
        <v/>
      </c>
      <c r="E234">
        <f>Prices!E234</f>
        <v/>
      </c>
      <c r="F234">
        <f>Prices!F234</f>
        <v/>
      </c>
      <c r="G234">
        <f>IF(AND(232&gt;=16,TEXT(A234,"yyyy-mm")&lt;&gt;TEXT(A235,"yyyy-mm")),1,0)</f>
        <v/>
      </c>
      <c r="H234">
        <f>IF(OR(H233=1,G234=1),1,0)</f>
        <v/>
      </c>
      <c r="I234">
        <f>IF(H233=0,1,SUMPRODUCT(J233:N233,B234:F234)+O233*(1+0.00023125256064071564))</f>
        <v/>
      </c>
      <c r="J234">
        <f>IF(G234=1,0.2*R234/B234,J233)</f>
        <v/>
      </c>
      <c r="K234">
        <f>IF(G234=1,0.2*R234/C234,K233)</f>
        <v/>
      </c>
      <c r="L234">
        <f>IF(G234=1,0.2*R234/D234,L233)</f>
        <v/>
      </c>
      <c r="M234">
        <f>IF(G234=1,0.2*R234/E234,M233)</f>
        <v/>
      </c>
      <c r="N234">
        <f>IF(G234=1,0.2*R234/F234,N233)</f>
        <v/>
      </c>
      <c r="O234">
        <f>IF(G234=1,R234*(1-1.0),IF(H233=0,1,O233*(1+0.00023125256064071564)))</f>
        <v/>
      </c>
      <c r="P234">
        <f>IF(G234=1,IF(H233=0,1,ABS(0.2-J233*B234/I234)+ABS(0.2-K233*C234/I234)+ABS(0.2-L233*D234/I234)+ABS(0.2-M233*E234/I234)+ABS(0.2-N233*F234/I234)),0)</f>
        <v/>
      </c>
      <c r="Q234">
        <f>P234*0.0015</f>
        <v/>
      </c>
      <c r="R234">
        <f>I234*(1-Q234)</f>
        <v/>
      </c>
      <c r="S234">
        <f>R234/R233-1</f>
        <v/>
      </c>
      <c r="T234">
        <f>MAX(T233,R234)</f>
        <v/>
      </c>
      <c r="U234">
        <f>R234/T234-1</f>
        <v/>
      </c>
      <c r="V234" t="n">
        <v>1.704023292669691</v>
      </c>
      <c r="W234" s="5">
        <f>R234-V234</f>
        <v/>
      </c>
    </row>
    <row r="235">
      <c r="A235" s="3" t="n">
        <v>38783</v>
      </c>
      <c r="B235">
        <f>Prices!B235</f>
        <v/>
      </c>
      <c r="C235">
        <f>Prices!C235</f>
        <v/>
      </c>
      <c r="D235">
        <f>Prices!D235</f>
        <v/>
      </c>
      <c r="E235">
        <f>Prices!E235</f>
        <v/>
      </c>
      <c r="F235">
        <f>Prices!F235</f>
        <v/>
      </c>
      <c r="G235">
        <f>IF(AND(233&gt;=16,TEXT(A235,"yyyy-mm")&lt;&gt;TEXT(A236,"yyyy-mm")),1,0)</f>
        <v/>
      </c>
      <c r="H235">
        <f>IF(OR(H234=1,G235=1),1,0)</f>
        <v/>
      </c>
      <c r="I235">
        <f>IF(H234=0,1,SUMPRODUCT(J234:N234,B235:F235)+O234*(1+0.00023125256064071564))</f>
        <v/>
      </c>
      <c r="J235">
        <f>IF(G235=1,0.2*R235/B235,J234)</f>
        <v/>
      </c>
      <c r="K235">
        <f>IF(G235=1,0.2*R235/C235,K234)</f>
        <v/>
      </c>
      <c r="L235">
        <f>IF(G235=1,0.2*R235/D235,L234)</f>
        <v/>
      </c>
      <c r="M235">
        <f>IF(G235=1,0.2*R235/E235,M234)</f>
        <v/>
      </c>
      <c r="N235">
        <f>IF(G235=1,0.2*R235/F235,N234)</f>
        <v/>
      </c>
      <c r="O235">
        <f>IF(G235=1,R235*(1-1.0),IF(H234=0,1,O234*(1+0.00023125256064071564)))</f>
        <v/>
      </c>
      <c r="P235">
        <f>IF(G235=1,IF(H234=0,1,ABS(0.2-J234*B235/I235)+ABS(0.2-K234*C235/I235)+ABS(0.2-L234*D235/I235)+ABS(0.2-M234*E235/I235)+ABS(0.2-N234*F235/I235)),0)</f>
        <v/>
      </c>
      <c r="Q235">
        <f>P235*0.0015</f>
        <v/>
      </c>
      <c r="R235">
        <f>I235*(1-Q235)</f>
        <v/>
      </c>
      <c r="S235">
        <f>R235/R234-1</f>
        <v/>
      </c>
      <c r="T235">
        <f>MAX(T234,R235)</f>
        <v/>
      </c>
      <c r="U235">
        <f>R235/T235-1</f>
        <v/>
      </c>
      <c r="V235" t="n">
        <v>1.716937751111258</v>
      </c>
      <c r="W235" s="5">
        <f>R235-V235</f>
        <v/>
      </c>
    </row>
    <row r="236">
      <c r="A236" s="3" t="n">
        <v>38784</v>
      </c>
      <c r="B236">
        <f>Prices!B236</f>
        <v/>
      </c>
      <c r="C236">
        <f>Prices!C236</f>
        <v/>
      </c>
      <c r="D236">
        <f>Prices!D236</f>
        <v/>
      </c>
      <c r="E236">
        <f>Prices!E236</f>
        <v/>
      </c>
      <c r="F236">
        <f>Prices!F236</f>
        <v/>
      </c>
      <c r="G236">
        <f>IF(AND(234&gt;=16,TEXT(A236,"yyyy-mm")&lt;&gt;TEXT(A237,"yyyy-mm")),1,0)</f>
        <v/>
      </c>
      <c r="H236">
        <f>IF(OR(H235=1,G236=1),1,0)</f>
        <v/>
      </c>
      <c r="I236">
        <f>IF(H235=0,1,SUMPRODUCT(J235:N235,B236:F236)+O235*(1+0.00023125256064071564))</f>
        <v/>
      </c>
      <c r="J236">
        <f>IF(G236=1,0.2*R236/B236,J235)</f>
        <v/>
      </c>
      <c r="K236">
        <f>IF(G236=1,0.2*R236/C236,K235)</f>
        <v/>
      </c>
      <c r="L236">
        <f>IF(G236=1,0.2*R236/D236,L235)</f>
        <v/>
      </c>
      <c r="M236">
        <f>IF(G236=1,0.2*R236/E236,M235)</f>
        <v/>
      </c>
      <c r="N236">
        <f>IF(G236=1,0.2*R236/F236,N235)</f>
        <v/>
      </c>
      <c r="O236">
        <f>IF(G236=1,R236*(1-1.0),IF(H235=0,1,O235*(1+0.00023125256064071564)))</f>
        <v/>
      </c>
      <c r="P236">
        <f>IF(G236=1,IF(H235=0,1,ABS(0.2-J235*B236/I236)+ABS(0.2-K235*C236/I236)+ABS(0.2-L235*D236/I236)+ABS(0.2-M235*E236/I236)+ABS(0.2-N235*F236/I236)),0)</f>
        <v/>
      </c>
      <c r="Q236">
        <f>P236*0.0015</f>
        <v/>
      </c>
      <c r="R236">
        <f>I236*(1-Q236)</f>
        <v/>
      </c>
      <c r="S236">
        <f>R236/R235-1</f>
        <v/>
      </c>
      <c r="T236">
        <f>MAX(T235,R236)</f>
        <v/>
      </c>
      <c r="U236">
        <f>R236/T236-1</f>
        <v/>
      </c>
      <c r="V236" t="n">
        <v>1.685984535747123</v>
      </c>
      <c r="W236" s="5">
        <f>R236-V236</f>
        <v/>
      </c>
    </row>
    <row r="237">
      <c r="A237" s="3" t="n">
        <v>38785</v>
      </c>
      <c r="B237">
        <f>Prices!B237</f>
        <v/>
      </c>
      <c r="C237">
        <f>Prices!C237</f>
        <v/>
      </c>
      <c r="D237">
        <f>Prices!D237</f>
        <v/>
      </c>
      <c r="E237">
        <f>Prices!E237</f>
        <v/>
      </c>
      <c r="F237">
        <f>Prices!F237</f>
        <v/>
      </c>
      <c r="G237">
        <f>IF(AND(235&gt;=16,TEXT(A237,"yyyy-mm")&lt;&gt;TEXT(A238,"yyyy-mm")),1,0)</f>
        <v/>
      </c>
      <c r="H237">
        <f>IF(OR(H236=1,G237=1),1,0)</f>
        <v/>
      </c>
      <c r="I237">
        <f>IF(H236=0,1,SUMPRODUCT(J236:N236,B237:F237)+O236*(1+0.00023125256064071564))</f>
        <v/>
      </c>
      <c r="J237">
        <f>IF(G237=1,0.2*R237/B237,J236)</f>
        <v/>
      </c>
      <c r="K237">
        <f>IF(G237=1,0.2*R237/C237,K236)</f>
        <v/>
      </c>
      <c r="L237">
        <f>IF(G237=1,0.2*R237/D237,L236)</f>
        <v/>
      </c>
      <c r="M237">
        <f>IF(G237=1,0.2*R237/E237,M236)</f>
        <v/>
      </c>
      <c r="N237">
        <f>IF(G237=1,0.2*R237/F237,N236)</f>
        <v/>
      </c>
      <c r="O237">
        <f>IF(G237=1,R237*(1-1.0),IF(H236=0,1,O236*(1+0.00023125256064071564)))</f>
        <v/>
      </c>
      <c r="P237">
        <f>IF(G237=1,IF(H236=0,1,ABS(0.2-J236*B237/I237)+ABS(0.2-K236*C237/I237)+ABS(0.2-L236*D237/I237)+ABS(0.2-M236*E237/I237)+ABS(0.2-N236*F237/I237)),0)</f>
        <v/>
      </c>
      <c r="Q237">
        <f>P237*0.0015</f>
        <v/>
      </c>
      <c r="R237">
        <f>I237*(1-Q237)</f>
        <v/>
      </c>
      <c r="S237">
        <f>R237/R236-1</f>
        <v/>
      </c>
      <c r="T237">
        <f>MAX(T236,R237)</f>
        <v/>
      </c>
      <c r="U237">
        <f>R237/T237-1</f>
        <v/>
      </c>
      <c r="V237" t="n">
        <v>1.694673514320765</v>
      </c>
      <c r="W237" s="5">
        <f>R237-V237</f>
        <v/>
      </c>
    </row>
    <row r="238">
      <c r="A238" s="3" t="n">
        <v>38786</v>
      </c>
      <c r="B238">
        <f>Prices!B238</f>
        <v/>
      </c>
      <c r="C238">
        <f>Prices!C238</f>
        <v/>
      </c>
      <c r="D238">
        <f>Prices!D238</f>
        <v/>
      </c>
      <c r="E238">
        <f>Prices!E238</f>
        <v/>
      </c>
      <c r="F238">
        <f>Prices!F238</f>
        <v/>
      </c>
      <c r="G238">
        <f>IF(AND(236&gt;=16,TEXT(A238,"yyyy-mm")&lt;&gt;TEXT(A239,"yyyy-mm")),1,0)</f>
        <v/>
      </c>
      <c r="H238">
        <f>IF(OR(H237=1,G238=1),1,0)</f>
        <v/>
      </c>
      <c r="I238">
        <f>IF(H237=0,1,SUMPRODUCT(J237:N237,B238:F238)+O237*(1+0.00023125256064071564))</f>
        <v/>
      </c>
      <c r="J238">
        <f>IF(G238=1,0.2*R238/B238,J237)</f>
        <v/>
      </c>
      <c r="K238">
        <f>IF(G238=1,0.2*R238/C238,K237)</f>
        <v/>
      </c>
      <c r="L238">
        <f>IF(G238=1,0.2*R238/D238,L237)</f>
        <v/>
      </c>
      <c r="M238">
        <f>IF(G238=1,0.2*R238/E238,M237)</f>
        <v/>
      </c>
      <c r="N238">
        <f>IF(G238=1,0.2*R238/F238,N237)</f>
        <v/>
      </c>
      <c r="O238">
        <f>IF(G238=1,R238*(1-1.0),IF(H237=0,1,O237*(1+0.00023125256064071564)))</f>
        <v/>
      </c>
      <c r="P238">
        <f>IF(G238=1,IF(H237=0,1,ABS(0.2-J237*B238/I238)+ABS(0.2-K237*C238/I238)+ABS(0.2-L237*D238/I238)+ABS(0.2-M237*E238/I238)+ABS(0.2-N237*F238/I238)),0)</f>
        <v/>
      </c>
      <c r="Q238">
        <f>P238*0.0015</f>
        <v/>
      </c>
      <c r="R238">
        <f>I238*(1-Q238)</f>
        <v/>
      </c>
      <c r="S238">
        <f>R238/R237-1</f>
        <v/>
      </c>
      <c r="T238">
        <f>MAX(T237,R238)</f>
        <v/>
      </c>
      <c r="U238">
        <f>R238/T238-1</f>
        <v/>
      </c>
      <c r="V238" t="n">
        <v>1.720029808431601</v>
      </c>
      <c r="W238" s="5">
        <f>R238-V238</f>
        <v/>
      </c>
    </row>
    <row r="239">
      <c r="A239" s="3" t="n">
        <v>38789</v>
      </c>
      <c r="B239">
        <f>Prices!B239</f>
        <v/>
      </c>
      <c r="C239">
        <f>Prices!C239</f>
        <v/>
      </c>
      <c r="D239">
        <f>Prices!D239</f>
        <v/>
      </c>
      <c r="E239">
        <f>Prices!E239</f>
        <v/>
      </c>
      <c r="F239">
        <f>Prices!F239</f>
        <v/>
      </c>
      <c r="G239">
        <f>IF(AND(237&gt;=16,TEXT(A239,"yyyy-mm")&lt;&gt;TEXT(A240,"yyyy-mm")),1,0)</f>
        <v/>
      </c>
      <c r="H239">
        <f>IF(OR(H238=1,G239=1),1,0)</f>
        <v/>
      </c>
      <c r="I239">
        <f>IF(H238=0,1,SUMPRODUCT(J238:N238,B239:F239)+O238*(1+0.00023125256064071564))</f>
        <v/>
      </c>
      <c r="J239">
        <f>IF(G239=1,0.2*R239/B239,J238)</f>
        <v/>
      </c>
      <c r="K239">
        <f>IF(G239=1,0.2*R239/C239,K238)</f>
        <v/>
      </c>
      <c r="L239">
        <f>IF(G239=1,0.2*R239/D239,L238)</f>
        <v/>
      </c>
      <c r="M239">
        <f>IF(G239=1,0.2*R239/E239,M238)</f>
        <v/>
      </c>
      <c r="N239">
        <f>IF(G239=1,0.2*R239/F239,N238)</f>
        <v/>
      </c>
      <c r="O239">
        <f>IF(G239=1,R239*(1-1.0),IF(H238=0,1,O238*(1+0.00023125256064071564)))</f>
        <v/>
      </c>
      <c r="P239">
        <f>IF(G239=1,IF(H238=0,1,ABS(0.2-J238*B239/I239)+ABS(0.2-K238*C239/I239)+ABS(0.2-L238*D239/I239)+ABS(0.2-M238*E239/I239)+ABS(0.2-N238*F239/I239)),0)</f>
        <v/>
      </c>
      <c r="Q239">
        <f>P239*0.0015</f>
        <v/>
      </c>
      <c r="R239">
        <f>I239*(1-Q239)</f>
        <v/>
      </c>
      <c r="S239">
        <f>R239/R238-1</f>
        <v/>
      </c>
      <c r="T239">
        <f>MAX(T238,R239)</f>
        <v/>
      </c>
      <c r="U239">
        <f>R239/T239-1</f>
        <v/>
      </c>
      <c r="V239" t="n">
        <v>1.726527755587333</v>
      </c>
      <c r="W239" s="5">
        <f>R239-V239</f>
        <v/>
      </c>
    </row>
    <row r="240">
      <c r="A240" s="3" t="n">
        <v>38790</v>
      </c>
      <c r="B240">
        <f>Prices!B240</f>
        <v/>
      </c>
      <c r="C240">
        <f>Prices!C240</f>
        <v/>
      </c>
      <c r="D240">
        <f>Prices!D240</f>
        <v/>
      </c>
      <c r="E240">
        <f>Prices!E240</f>
        <v/>
      </c>
      <c r="F240">
        <f>Prices!F240</f>
        <v/>
      </c>
      <c r="G240">
        <f>IF(AND(238&gt;=16,TEXT(A240,"yyyy-mm")&lt;&gt;TEXT(A241,"yyyy-mm")),1,0)</f>
        <v/>
      </c>
      <c r="H240">
        <f>IF(OR(H239=1,G240=1),1,0)</f>
        <v/>
      </c>
      <c r="I240">
        <f>IF(H239=0,1,SUMPRODUCT(J239:N239,B240:F240)+O239*(1+0.00023125256064071564))</f>
        <v/>
      </c>
      <c r="J240">
        <f>IF(G240=1,0.2*R240/B240,J239)</f>
        <v/>
      </c>
      <c r="K240">
        <f>IF(G240=1,0.2*R240/C240,K239)</f>
        <v/>
      </c>
      <c r="L240">
        <f>IF(G240=1,0.2*R240/D240,L239)</f>
        <v/>
      </c>
      <c r="M240">
        <f>IF(G240=1,0.2*R240/E240,M239)</f>
        <v/>
      </c>
      <c r="N240">
        <f>IF(G240=1,0.2*R240/F240,N239)</f>
        <v/>
      </c>
      <c r="O240">
        <f>IF(G240=1,R240*(1-1.0),IF(H239=0,1,O239*(1+0.00023125256064071564)))</f>
        <v/>
      </c>
      <c r="P240">
        <f>IF(G240=1,IF(H239=0,1,ABS(0.2-J239*B240/I240)+ABS(0.2-K239*C240/I240)+ABS(0.2-L239*D240/I240)+ABS(0.2-M239*E240/I240)+ABS(0.2-N239*F240/I240)),0)</f>
        <v/>
      </c>
      <c r="Q240">
        <f>P240*0.0015</f>
        <v/>
      </c>
      <c r="R240">
        <f>I240*(1-Q240)</f>
        <v/>
      </c>
      <c r="S240">
        <f>R240/R239-1</f>
        <v/>
      </c>
      <c r="T240">
        <f>MAX(T239,R240)</f>
        <v/>
      </c>
      <c r="U240">
        <f>R240/T240-1</f>
        <v/>
      </c>
      <c r="V240" t="n">
        <v>1.719539118874213</v>
      </c>
      <c r="W240" s="5">
        <f>R240-V240</f>
        <v/>
      </c>
    </row>
    <row r="241">
      <c r="A241" s="3" t="n">
        <v>38792</v>
      </c>
      <c r="B241">
        <f>Prices!B241</f>
        <v/>
      </c>
      <c r="C241">
        <f>Prices!C241</f>
        <v/>
      </c>
      <c r="D241">
        <f>Prices!D241</f>
        <v/>
      </c>
      <c r="E241">
        <f>Prices!E241</f>
        <v/>
      </c>
      <c r="F241">
        <f>Prices!F241</f>
        <v/>
      </c>
      <c r="G241">
        <f>IF(AND(239&gt;=16,TEXT(A241,"yyyy-mm")&lt;&gt;TEXT(A242,"yyyy-mm")),1,0)</f>
        <v/>
      </c>
      <c r="H241">
        <f>IF(OR(H240=1,G241=1),1,0)</f>
        <v/>
      </c>
      <c r="I241">
        <f>IF(H240=0,1,SUMPRODUCT(J240:N240,B241:F241)+O240*(1+0.00023125256064071564))</f>
        <v/>
      </c>
      <c r="J241">
        <f>IF(G241=1,0.2*R241/B241,J240)</f>
        <v/>
      </c>
      <c r="K241">
        <f>IF(G241=1,0.2*R241/C241,K240)</f>
        <v/>
      </c>
      <c r="L241">
        <f>IF(G241=1,0.2*R241/D241,L240)</f>
        <v/>
      </c>
      <c r="M241">
        <f>IF(G241=1,0.2*R241/E241,M240)</f>
        <v/>
      </c>
      <c r="N241">
        <f>IF(G241=1,0.2*R241/F241,N240)</f>
        <v/>
      </c>
      <c r="O241">
        <f>IF(G241=1,R241*(1-1.0),IF(H240=0,1,O240*(1+0.00023125256064071564)))</f>
        <v/>
      </c>
      <c r="P241">
        <f>IF(G241=1,IF(H240=0,1,ABS(0.2-J240*B241/I241)+ABS(0.2-K240*C241/I241)+ABS(0.2-L240*D241/I241)+ABS(0.2-M240*E241/I241)+ABS(0.2-N240*F241/I241)),0)</f>
        <v/>
      </c>
      <c r="Q241">
        <f>P241*0.0015</f>
        <v/>
      </c>
      <c r="R241">
        <f>I241*(1-Q241)</f>
        <v/>
      </c>
      <c r="S241">
        <f>R241/R240-1</f>
        <v/>
      </c>
      <c r="T241">
        <f>MAX(T240,R241)</f>
        <v/>
      </c>
      <c r="U241">
        <f>R241/T241-1</f>
        <v/>
      </c>
      <c r="V241" t="n">
        <v>1.729924174900088</v>
      </c>
      <c r="W241" s="5">
        <f>R241-V241</f>
        <v/>
      </c>
    </row>
    <row r="242">
      <c r="A242" s="3" t="n">
        <v>38793</v>
      </c>
      <c r="B242">
        <f>Prices!B242</f>
        <v/>
      </c>
      <c r="C242">
        <f>Prices!C242</f>
        <v/>
      </c>
      <c r="D242">
        <f>Prices!D242</f>
        <v/>
      </c>
      <c r="E242">
        <f>Prices!E242</f>
        <v/>
      </c>
      <c r="F242">
        <f>Prices!F242</f>
        <v/>
      </c>
      <c r="G242">
        <f>IF(AND(240&gt;=16,TEXT(A242,"yyyy-mm")&lt;&gt;TEXT(A243,"yyyy-mm")),1,0)</f>
        <v/>
      </c>
      <c r="H242">
        <f>IF(OR(H241=1,G242=1),1,0)</f>
        <v/>
      </c>
      <c r="I242">
        <f>IF(H241=0,1,SUMPRODUCT(J241:N241,B242:F242)+O241*(1+0.00023125256064071564))</f>
        <v/>
      </c>
      <c r="J242">
        <f>IF(G242=1,0.2*R242/B242,J241)</f>
        <v/>
      </c>
      <c r="K242">
        <f>IF(G242=1,0.2*R242/C242,K241)</f>
        <v/>
      </c>
      <c r="L242">
        <f>IF(G242=1,0.2*R242/D242,L241)</f>
        <v/>
      </c>
      <c r="M242">
        <f>IF(G242=1,0.2*R242/E242,M241)</f>
        <v/>
      </c>
      <c r="N242">
        <f>IF(G242=1,0.2*R242/F242,N241)</f>
        <v/>
      </c>
      <c r="O242">
        <f>IF(G242=1,R242*(1-1.0),IF(H241=0,1,O241*(1+0.00023125256064071564)))</f>
        <v/>
      </c>
      <c r="P242">
        <f>IF(G242=1,IF(H241=0,1,ABS(0.2-J241*B242/I242)+ABS(0.2-K241*C242/I242)+ABS(0.2-L241*D242/I242)+ABS(0.2-M241*E242/I242)+ABS(0.2-N241*F242/I242)),0)</f>
        <v/>
      </c>
      <c r="Q242">
        <f>P242*0.0015</f>
        <v/>
      </c>
      <c r="R242">
        <f>I242*(1-Q242)</f>
        <v/>
      </c>
      <c r="S242">
        <f>R242/R241-1</f>
        <v/>
      </c>
      <c r="T242">
        <f>MAX(T241,R242)</f>
        <v/>
      </c>
      <c r="U242">
        <f>R242/T242-1</f>
        <v/>
      </c>
      <c r="V242" t="n">
        <v>1.724411889277172</v>
      </c>
      <c r="W242" s="5">
        <f>R242-V242</f>
        <v/>
      </c>
    </row>
    <row r="243">
      <c r="A243" s="3" t="n">
        <v>38796</v>
      </c>
      <c r="B243">
        <f>Prices!B243</f>
        <v/>
      </c>
      <c r="C243">
        <f>Prices!C243</f>
        <v/>
      </c>
      <c r="D243">
        <f>Prices!D243</f>
        <v/>
      </c>
      <c r="E243">
        <f>Prices!E243</f>
        <v/>
      </c>
      <c r="F243">
        <f>Prices!F243</f>
        <v/>
      </c>
      <c r="G243">
        <f>IF(AND(241&gt;=16,TEXT(A243,"yyyy-mm")&lt;&gt;TEXT(A244,"yyyy-mm")),1,0)</f>
        <v/>
      </c>
      <c r="H243">
        <f>IF(OR(H242=1,G243=1),1,0)</f>
        <v/>
      </c>
      <c r="I243">
        <f>IF(H242=0,1,SUMPRODUCT(J242:N242,B243:F243)+O242*(1+0.00023125256064071564))</f>
        <v/>
      </c>
      <c r="J243">
        <f>IF(G243=1,0.2*R243/B243,J242)</f>
        <v/>
      </c>
      <c r="K243">
        <f>IF(G243=1,0.2*R243/C243,K242)</f>
        <v/>
      </c>
      <c r="L243">
        <f>IF(G243=1,0.2*R243/D243,L242)</f>
        <v/>
      </c>
      <c r="M243">
        <f>IF(G243=1,0.2*R243/E243,M242)</f>
        <v/>
      </c>
      <c r="N243">
        <f>IF(G243=1,0.2*R243/F243,N242)</f>
        <v/>
      </c>
      <c r="O243">
        <f>IF(G243=1,R243*(1-1.0),IF(H242=0,1,O242*(1+0.00023125256064071564)))</f>
        <v/>
      </c>
      <c r="P243">
        <f>IF(G243=1,IF(H242=0,1,ABS(0.2-J242*B243/I243)+ABS(0.2-K242*C243/I243)+ABS(0.2-L242*D243/I243)+ABS(0.2-M242*E243/I243)+ABS(0.2-N242*F243/I243)),0)</f>
        <v/>
      </c>
      <c r="Q243">
        <f>P243*0.0015</f>
        <v/>
      </c>
      <c r="R243">
        <f>I243*(1-Q243)</f>
        <v/>
      </c>
      <c r="S243">
        <f>R243/R242-1</f>
        <v/>
      </c>
      <c r="T243">
        <f>MAX(T242,R243)</f>
        <v/>
      </c>
      <c r="U243">
        <f>R243/T243-1</f>
        <v/>
      </c>
      <c r="V243" t="n">
        <v>1.740669755844036</v>
      </c>
      <c r="W243" s="5">
        <f>R243-V243</f>
        <v/>
      </c>
    </row>
    <row r="244">
      <c r="A244" s="3" t="n">
        <v>38797</v>
      </c>
      <c r="B244">
        <f>Prices!B244</f>
        <v/>
      </c>
      <c r="C244">
        <f>Prices!C244</f>
        <v/>
      </c>
      <c r="D244">
        <f>Prices!D244</f>
        <v/>
      </c>
      <c r="E244">
        <f>Prices!E244</f>
        <v/>
      </c>
      <c r="F244">
        <f>Prices!F244</f>
        <v/>
      </c>
      <c r="G244">
        <f>IF(AND(242&gt;=16,TEXT(A244,"yyyy-mm")&lt;&gt;TEXT(A245,"yyyy-mm")),1,0)</f>
        <v/>
      </c>
      <c r="H244">
        <f>IF(OR(H243=1,G244=1),1,0)</f>
        <v/>
      </c>
      <c r="I244">
        <f>IF(H243=0,1,SUMPRODUCT(J243:N243,B244:F244)+O243*(1+0.00023125256064071564))</f>
        <v/>
      </c>
      <c r="J244">
        <f>IF(G244=1,0.2*R244/B244,J243)</f>
        <v/>
      </c>
      <c r="K244">
        <f>IF(G244=1,0.2*R244/C244,K243)</f>
        <v/>
      </c>
      <c r="L244">
        <f>IF(G244=1,0.2*R244/D244,L243)</f>
        <v/>
      </c>
      <c r="M244">
        <f>IF(G244=1,0.2*R244/E244,M243)</f>
        <v/>
      </c>
      <c r="N244">
        <f>IF(G244=1,0.2*R244/F244,N243)</f>
        <v/>
      </c>
      <c r="O244">
        <f>IF(G244=1,R244*(1-1.0),IF(H243=0,1,O243*(1+0.00023125256064071564)))</f>
        <v/>
      </c>
      <c r="P244">
        <f>IF(G244=1,IF(H243=0,1,ABS(0.2-J243*B244/I244)+ABS(0.2-K243*C244/I244)+ABS(0.2-L243*D244/I244)+ABS(0.2-M243*E244/I244)+ABS(0.2-N243*F244/I244)),0)</f>
        <v/>
      </c>
      <c r="Q244">
        <f>P244*0.0015</f>
        <v/>
      </c>
      <c r="R244">
        <f>I244*(1-Q244)</f>
        <v/>
      </c>
      <c r="S244">
        <f>R244/R243-1</f>
        <v/>
      </c>
      <c r="T244">
        <f>MAX(T243,R244)</f>
        <v/>
      </c>
      <c r="U244">
        <f>R244/T244-1</f>
        <v/>
      </c>
      <c r="V244" t="n">
        <v>1.744166840744481</v>
      </c>
      <c r="W244" s="5">
        <f>R244-V244</f>
        <v/>
      </c>
    </row>
    <row r="245">
      <c r="A245" s="3" t="n">
        <v>38798</v>
      </c>
      <c r="B245">
        <f>Prices!B245</f>
        <v/>
      </c>
      <c r="C245">
        <f>Prices!C245</f>
        <v/>
      </c>
      <c r="D245">
        <f>Prices!D245</f>
        <v/>
      </c>
      <c r="E245">
        <f>Prices!E245</f>
        <v/>
      </c>
      <c r="F245">
        <f>Prices!F245</f>
        <v/>
      </c>
      <c r="G245">
        <f>IF(AND(243&gt;=16,TEXT(A245,"yyyy-mm")&lt;&gt;TEXT(A246,"yyyy-mm")),1,0)</f>
        <v/>
      </c>
      <c r="H245">
        <f>IF(OR(H244=1,G245=1),1,0)</f>
        <v/>
      </c>
      <c r="I245">
        <f>IF(H244=0,1,SUMPRODUCT(J244:N244,B245:F245)+O244*(1+0.00023125256064071564))</f>
        <v/>
      </c>
      <c r="J245">
        <f>IF(G245=1,0.2*R245/B245,J244)</f>
        <v/>
      </c>
      <c r="K245">
        <f>IF(G245=1,0.2*R245/C245,K244)</f>
        <v/>
      </c>
      <c r="L245">
        <f>IF(G245=1,0.2*R245/D245,L244)</f>
        <v/>
      </c>
      <c r="M245">
        <f>IF(G245=1,0.2*R245/E245,M244)</f>
        <v/>
      </c>
      <c r="N245">
        <f>IF(G245=1,0.2*R245/F245,N244)</f>
        <v/>
      </c>
      <c r="O245">
        <f>IF(G245=1,R245*(1-1.0),IF(H244=0,1,O244*(1+0.00023125256064071564)))</f>
        <v/>
      </c>
      <c r="P245">
        <f>IF(G245=1,IF(H244=0,1,ABS(0.2-J244*B245/I245)+ABS(0.2-K244*C245/I245)+ABS(0.2-L244*D245/I245)+ABS(0.2-M244*E245/I245)+ABS(0.2-N244*F245/I245)),0)</f>
        <v/>
      </c>
      <c r="Q245">
        <f>P245*0.0015</f>
        <v/>
      </c>
      <c r="R245">
        <f>I245*(1-Q245)</f>
        <v/>
      </c>
      <c r="S245">
        <f>R245/R244-1</f>
        <v/>
      </c>
      <c r="T245">
        <f>MAX(T244,R245)</f>
        <v/>
      </c>
      <c r="U245">
        <f>R245/T245-1</f>
        <v/>
      </c>
      <c r="V245" t="n">
        <v>1.733035495620546</v>
      </c>
      <c r="W245" s="5">
        <f>R245-V245</f>
        <v/>
      </c>
    </row>
    <row r="246">
      <c r="A246" s="3" t="n">
        <v>38799</v>
      </c>
      <c r="B246">
        <f>Prices!B246</f>
        <v/>
      </c>
      <c r="C246">
        <f>Prices!C246</f>
        <v/>
      </c>
      <c r="D246">
        <f>Prices!D246</f>
        <v/>
      </c>
      <c r="E246">
        <f>Prices!E246</f>
        <v/>
      </c>
      <c r="F246">
        <f>Prices!F246</f>
        <v/>
      </c>
      <c r="G246">
        <f>IF(AND(244&gt;=16,TEXT(A246,"yyyy-mm")&lt;&gt;TEXT(A247,"yyyy-mm")),1,0)</f>
        <v/>
      </c>
      <c r="H246">
        <f>IF(OR(H245=1,G246=1),1,0)</f>
        <v/>
      </c>
      <c r="I246">
        <f>IF(H245=0,1,SUMPRODUCT(J245:N245,B246:F246)+O245*(1+0.00023125256064071564))</f>
        <v/>
      </c>
      <c r="J246">
        <f>IF(G246=1,0.2*R246/B246,J245)</f>
        <v/>
      </c>
      <c r="K246">
        <f>IF(G246=1,0.2*R246/C246,K245)</f>
        <v/>
      </c>
      <c r="L246">
        <f>IF(G246=1,0.2*R246/D246,L245)</f>
        <v/>
      </c>
      <c r="M246">
        <f>IF(G246=1,0.2*R246/E246,M245)</f>
        <v/>
      </c>
      <c r="N246">
        <f>IF(G246=1,0.2*R246/F246,N245)</f>
        <v/>
      </c>
      <c r="O246">
        <f>IF(G246=1,R246*(1-1.0),IF(H245=0,1,O245*(1+0.00023125256064071564)))</f>
        <v/>
      </c>
      <c r="P246">
        <f>IF(G246=1,IF(H245=0,1,ABS(0.2-J245*B246/I246)+ABS(0.2-K245*C246/I246)+ABS(0.2-L245*D246/I246)+ABS(0.2-M245*E246/I246)+ABS(0.2-N245*F246/I246)),0)</f>
        <v/>
      </c>
      <c r="Q246">
        <f>P246*0.0015</f>
        <v/>
      </c>
      <c r="R246">
        <f>I246*(1-Q246)</f>
        <v/>
      </c>
      <c r="S246">
        <f>R246/R245-1</f>
        <v/>
      </c>
      <c r="T246">
        <f>MAX(T245,R246)</f>
        <v/>
      </c>
      <c r="U246">
        <f>R246/T246-1</f>
        <v/>
      </c>
      <c r="V246" t="n">
        <v>1.738047821707299</v>
      </c>
      <c r="W246" s="5">
        <f>R246-V246</f>
        <v/>
      </c>
    </row>
    <row r="247">
      <c r="A247" s="3" t="n">
        <v>38800</v>
      </c>
      <c r="B247">
        <f>Prices!B247</f>
        <v/>
      </c>
      <c r="C247">
        <f>Prices!C247</f>
        <v/>
      </c>
      <c r="D247">
        <f>Prices!D247</f>
        <v/>
      </c>
      <c r="E247">
        <f>Prices!E247</f>
        <v/>
      </c>
      <c r="F247">
        <f>Prices!F247</f>
        <v/>
      </c>
      <c r="G247">
        <f>IF(AND(245&gt;=16,TEXT(A247,"yyyy-mm")&lt;&gt;TEXT(A248,"yyyy-mm")),1,0)</f>
        <v/>
      </c>
      <c r="H247">
        <f>IF(OR(H246=1,G247=1),1,0)</f>
        <v/>
      </c>
      <c r="I247">
        <f>IF(H246=0,1,SUMPRODUCT(J246:N246,B247:F247)+O246*(1+0.00023125256064071564))</f>
        <v/>
      </c>
      <c r="J247">
        <f>IF(G247=1,0.2*R247/B247,J246)</f>
        <v/>
      </c>
      <c r="K247">
        <f>IF(G247=1,0.2*R247/C247,K246)</f>
        <v/>
      </c>
      <c r="L247">
        <f>IF(G247=1,0.2*R247/D247,L246)</f>
        <v/>
      </c>
      <c r="M247">
        <f>IF(G247=1,0.2*R247/E247,M246)</f>
        <v/>
      </c>
      <c r="N247">
        <f>IF(G247=1,0.2*R247/F247,N246)</f>
        <v/>
      </c>
      <c r="O247">
        <f>IF(G247=1,R247*(1-1.0),IF(H246=0,1,O246*(1+0.00023125256064071564)))</f>
        <v/>
      </c>
      <c r="P247">
        <f>IF(G247=1,IF(H246=0,1,ABS(0.2-J246*B247/I247)+ABS(0.2-K246*C247/I247)+ABS(0.2-L246*D247/I247)+ABS(0.2-M246*E247/I247)+ABS(0.2-N246*F247/I247)),0)</f>
        <v/>
      </c>
      <c r="Q247">
        <f>P247*0.0015</f>
        <v/>
      </c>
      <c r="R247">
        <f>I247*(1-Q247)</f>
        <v/>
      </c>
      <c r="S247">
        <f>R247/R246-1</f>
        <v/>
      </c>
      <c r="T247">
        <f>MAX(T246,R247)</f>
        <v/>
      </c>
      <c r="U247">
        <f>R247/T247-1</f>
        <v/>
      </c>
      <c r="V247" t="n">
        <v>1.7600800326749</v>
      </c>
      <c r="W247" s="5">
        <f>R247-V247</f>
        <v/>
      </c>
    </row>
    <row r="248">
      <c r="A248" s="3" t="n">
        <v>38803</v>
      </c>
      <c r="B248">
        <f>Prices!B248</f>
        <v/>
      </c>
      <c r="C248">
        <f>Prices!C248</f>
        <v/>
      </c>
      <c r="D248">
        <f>Prices!D248</f>
        <v/>
      </c>
      <c r="E248">
        <f>Prices!E248</f>
        <v/>
      </c>
      <c r="F248">
        <f>Prices!F248</f>
        <v/>
      </c>
      <c r="G248">
        <f>IF(AND(246&gt;=16,TEXT(A248,"yyyy-mm")&lt;&gt;TEXT(A249,"yyyy-mm")),1,0)</f>
        <v/>
      </c>
      <c r="H248">
        <f>IF(OR(H247=1,G248=1),1,0)</f>
        <v/>
      </c>
      <c r="I248">
        <f>IF(H247=0,1,SUMPRODUCT(J247:N247,B248:F248)+O247*(1+0.00023125256064071564))</f>
        <v/>
      </c>
      <c r="J248">
        <f>IF(G248=1,0.2*R248/B248,J247)</f>
        <v/>
      </c>
      <c r="K248">
        <f>IF(G248=1,0.2*R248/C248,K247)</f>
        <v/>
      </c>
      <c r="L248">
        <f>IF(G248=1,0.2*R248/D248,L247)</f>
        <v/>
      </c>
      <c r="M248">
        <f>IF(G248=1,0.2*R248/E248,M247)</f>
        <v/>
      </c>
      <c r="N248">
        <f>IF(G248=1,0.2*R248/F248,N247)</f>
        <v/>
      </c>
      <c r="O248">
        <f>IF(G248=1,R248*(1-1.0),IF(H247=0,1,O247*(1+0.00023125256064071564)))</f>
        <v/>
      </c>
      <c r="P248">
        <f>IF(G248=1,IF(H247=0,1,ABS(0.2-J247*B248/I248)+ABS(0.2-K247*C248/I248)+ABS(0.2-L247*D248/I248)+ABS(0.2-M247*E248/I248)+ABS(0.2-N247*F248/I248)),0)</f>
        <v/>
      </c>
      <c r="Q248">
        <f>P248*0.0015</f>
        <v/>
      </c>
      <c r="R248">
        <f>I248*(1-Q248)</f>
        <v/>
      </c>
      <c r="S248">
        <f>R248/R247-1</f>
        <v/>
      </c>
      <c r="T248">
        <f>MAX(T247,R248)</f>
        <v/>
      </c>
      <c r="U248">
        <f>R248/T248-1</f>
        <v/>
      </c>
      <c r="V248" t="n">
        <v>1.781778084095861</v>
      </c>
      <c r="W248" s="5">
        <f>R248-V248</f>
        <v/>
      </c>
    </row>
    <row r="249">
      <c r="A249" s="3" t="n">
        <v>38804</v>
      </c>
      <c r="B249">
        <f>Prices!B249</f>
        <v/>
      </c>
      <c r="C249">
        <f>Prices!C249</f>
        <v/>
      </c>
      <c r="D249">
        <f>Prices!D249</f>
        <v/>
      </c>
      <c r="E249">
        <f>Prices!E249</f>
        <v/>
      </c>
      <c r="F249">
        <f>Prices!F249</f>
        <v/>
      </c>
      <c r="G249">
        <f>IF(AND(247&gt;=16,TEXT(A249,"yyyy-mm")&lt;&gt;TEXT(A250,"yyyy-mm")),1,0)</f>
        <v/>
      </c>
      <c r="H249">
        <f>IF(OR(H248=1,G249=1),1,0)</f>
        <v/>
      </c>
      <c r="I249">
        <f>IF(H248=0,1,SUMPRODUCT(J248:N248,B249:F249)+O248*(1+0.00023125256064071564))</f>
        <v/>
      </c>
      <c r="J249">
        <f>IF(G249=1,0.2*R249/B249,J248)</f>
        <v/>
      </c>
      <c r="K249">
        <f>IF(G249=1,0.2*R249/C249,K248)</f>
        <v/>
      </c>
      <c r="L249">
        <f>IF(G249=1,0.2*R249/D249,L248)</f>
        <v/>
      </c>
      <c r="M249">
        <f>IF(G249=1,0.2*R249/E249,M248)</f>
        <v/>
      </c>
      <c r="N249">
        <f>IF(G249=1,0.2*R249/F249,N248)</f>
        <v/>
      </c>
      <c r="O249">
        <f>IF(G249=1,R249*(1-1.0),IF(H248=0,1,O248*(1+0.00023125256064071564)))</f>
        <v/>
      </c>
      <c r="P249">
        <f>IF(G249=1,IF(H248=0,1,ABS(0.2-J248*B249/I249)+ABS(0.2-K248*C249/I249)+ABS(0.2-L248*D249/I249)+ABS(0.2-M248*E249/I249)+ABS(0.2-N248*F249/I249)),0)</f>
        <v/>
      </c>
      <c r="Q249">
        <f>P249*0.0015</f>
        <v/>
      </c>
      <c r="R249">
        <f>I249*(1-Q249)</f>
        <v/>
      </c>
      <c r="S249">
        <f>R249/R248-1</f>
        <v/>
      </c>
      <c r="T249">
        <f>MAX(T248,R249)</f>
        <v/>
      </c>
      <c r="U249">
        <f>R249/T249-1</f>
        <v/>
      </c>
      <c r="V249" t="n">
        <v>1.778385287312307</v>
      </c>
      <c r="W249" s="5">
        <f>R249-V249</f>
        <v/>
      </c>
    </row>
    <row r="250">
      <c r="A250" s="3" t="n">
        <v>38805</v>
      </c>
      <c r="B250">
        <f>Prices!B250</f>
        <v/>
      </c>
      <c r="C250">
        <f>Prices!C250</f>
        <v/>
      </c>
      <c r="D250">
        <f>Prices!D250</f>
        <v/>
      </c>
      <c r="E250">
        <f>Prices!E250</f>
        <v/>
      </c>
      <c r="F250">
        <f>Prices!F250</f>
        <v/>
      </c>
      <c r="G250">
        <f>IF(AND(248&gt;=16,TEXT(A250,"yyyy-mm")&lt;&gt;TEXT(A251,"yyyy-mm")),1,0)</f>
        <v/>
      </c>
      <c r="H250">
        <f>IF(OR(H249=1,G250=1),1,0)</f>
        <v/>
      </c>
      <c r="I250">
        <f>IF(H249=0,1,SUMPRODUCT(J249:N249,B250:F250)+O249*(1+0.00023125256064071564))</f>
        <v/>
      </c>
      <c r="J250">
        <f>IF(G250=1,0.2*R250/B250,J249)</f>
        <v/>
      </c>
      <c r="K250">
        <f>IF(G250=1,0.2*R250/C250,K249)</f>
        <v/>
      </c>
      <c r="L250">
        <f>IF(G250=1,0.2*R250/D250,L249)</f>
        <v/>
      </c>
      <c r="M250">
        <f>IF(G250=1,0.2*R250/E250,M249)</f>
        <v/>
      </c>
      <c r="N250">
        <f>IF(G250=1,0.2*R250/F250,N249)</f>
        <v/>
      </c>
      <c r="O250">
        <f>IF(G250=1,R250*(1-1.0),IF(H249=0,1,O249*(1+0.00023125256064071564)))</f>
        <v/>
      </c>
      <c r="P250">
        <f>IF(G250=1,IF(H249=0,1,ABS(0.2-J249*B250/I250)+ABS(0.2-K249*C250/I250)+ABS(0.2-L249*D250/I250)+ABS(0.2-M249*E250/I250)+ABS(0.2-N249*F250/I250)),0)</f>
        <v/>
      </c>
      <c r="Q250">
        <f>P250*0.0015</f>
        <v/>
      </c>
      <c r="R250">
        <f>I250*(1-Q250)</f>
        <v/>
      </c>
      <c r="S250">
        <f>R250/R249-1</f>
        <v/>
      </c>
      <c r="T250">
        <f>MAX(T249,R250)</f>
        <v/>
      </c>
      <c r="U250">
        <f>R250/T250-1</f>
        <v/>
      </c>
      <c r="V250" t="n">
        <v>1.788075716660817</v>
      </c>
      <c r="W250" s="5">
        <f>R250-V250</f>
        <v/>
      </c>
    </row>
    <row r="251">
      <c r="A251" s="3" t="n">
        <v>38806</v>
      </c>
      <c r="B251">
        <f>Prices!B251</f>
        <v/>
      </c>
      <c r="C251">
        <f>Prices!C251</f>
        <v/>
      </c>
      <c r="D251">
        <f>Prices!D251</f>
        <v/>
      </c>
      <c r="E251">
        <f>Prices!E251</f>
        <v/>
      </c>
      <c r="F251">
        <f>Prices!F251</f>
        <v/>
      </c>
      <c r="G251">
        <f>IF(AND(249&gt;=16,TEXT(A251,"yyyy-mm")&lt;&gt;TEXT(A252,"yyyy-mm")),1,0)</f>
        <v/>
      </c>
      <c r="H251">
        <f>IF(OR(H250=1,G251=1),1,0)</f>
        <v/>
      </c>
      <c r="I251">
        <f>IF(H250=0,1,SUMPRODUCT(J250:N250,B251:F251)+O250*(1+0.00023125256064071564))</f>
        <v/>
      </c>
      <c r="J251">
        <f>IF(G251=1,0.2*R251/B251,J250)</f>
        <v/>
      </c>
      <c r="K251">
        <f>IF(G251=1,0.2*R251/C251,K250)</f>
        <v/>
      </c>
      <c r="L251">
        <f>IF(G251=1,0.2*R251/D251,L250)</f>
        <v/>
      </c>
      <c r="M251">
        <f>IF(G251=1,0.2*R251/E251,M250)</f>
        <v/>
      </c>
      <c r="N251">
        <f>IF(G251=1,0.2*R251/F251,N250)</f>
        <v/>
      </c>
      <c r="O251">
        <f>IF(G251=1,R251*(1-1.0),IF(H250=0,1,O250*(1+0.00023125256064071564)))</f>
        <v/>
      </c>
      <c r="P251">
        <f>IF(G251=1,IF(H250=0,1,ABS(0.2-J250*B251/I251)+ABS(0.2-K250*C251/I251)+ABS(0.2-L250*D251/I251)+ABS(0.2-M250*E251/I251)+ABS(0.2-N250*F251/I251)),0)</f>
        <v/>
      </c>
      <c r="Q251">
        <f>P251*0.0015</f>
        <v/>
      </c>
      <c r="R251">
        <f>I251*(1-Q251)</f>
        <v/>
      </c>
      <c r="S251">
        <f>R251/R250-1</f>
        <v/>
      </c>
      <c r="T251">
        <f>MAX(T250,R251)</f>
        <v/>
      </c>
      <c r="U251">
        <f>R251/T251-1</f>
        <v/>
      </c>
      <c r="V251" t="n">
        <v>1.810710911441962</v>
      </c>
      <c r="W251" s="5">
        <f>R251-V251</f>
        <v/>
      </c>
    </row>
    <row r="252">
      <c r="A252" s="3" t="n">
        <v>38807</v>
      </c>
      <c r="B252">
        <f>Prices!B252</f>
        <v/>
      </c>
      <c r="C252">
        <f>Prices!C252</f>
        <v/>
      </c>
      <c r="D252">
        <f>Prices!D252</f>
        <v/>
      </c>
      <c r="E252">
        <f>Prices!E252</f>
        <v/>
      </c>
      <c r="F252">
        <f>Prices!F252</f>
        <v/>
      </c>
      <c r="G252">
        <f>IF(AND(250&gt;=16,TEXT(A252,"yyyy-mm")&lt;&gt;TEXT(A253,"yyyy-mm")),1,0)</f>
        <v/>
      </c>
      <c r="H252">
        <f>IF(OR(H251=1,G252=1),1,0)</f>
        <v/>
      </c>
      <c r="I252">
        <f>IF(H251=0,1,SUMPRODUCT(J251:N251,B252:F252)+O251*(1+0.00023125256064071564))</f>
        <v/>
      </c>
      <c r="J252">
        <f>IF(G252=1,0.2*R252/B252,J251)</f>
        <v/>
      </c>
      <c r="K252">
        <f>IF(G252=1,0.2*R252/C252,K251)</f>
        <v/>
      </c>
      <c r="L252">
        <f>IF(G252=1,0.2*R252/D252,L251)</f>
        <v/>
      </c>
      <c r="M252">
        <f>IF(G252=1,0.2*R252/E252,M251)</f>
        <v/>
      </c>
      <c r="N252">
        <f>IF(G252=1,0.2*R252/F252,N251)</f>
        <v/>
      </c>
      <c r="O252">
        <f>IF(G252=1,R252*(1-1.0),IF(H251=0,1,O251*(1+0.00023125256064071564)))</f>
        <v/>
      </c>
      <c r="P252">
        <f>IF(G252=1,IF(H251=0,1,ABS(0.2-J251*B252/I252)+ABS(0.2-K251*C252/I252)+ABS(0.2-L251*D252/I252)+ABS(0.2-M251*E252/I252)+ABS(0.2-N251*F252/I252)),0)</f>
        <v/>
      </c>
      <c r="Q252">
        <f>P252*0.0015</f>
        <v/>
      </c>
      <c r="R252">
        <f>I252*(1-Q252)</f>
        <v/>
      </c>
      <c r="S252">
        <f>R252/R251-1</f>
        <v/>
      </c>
      <c r="T252">
        <f>MAX(T251,R252)</f>
        <v/>
      </c>
      <c r="U252">
        <f>R252/T252-1</f>
        <v/>
      </c>
      <c r="V252" t="n">
        <v>1.823042045383406</v>
      </c>
      <c r="W252" s="5">
        <f>R252-V252</f>
        <v/>
      </c>
    </row>
    <row r="253">
      <c r="A253" s="3" t="n">
        <v>38810</v>
      </c>
      <c r="B253">
        <f>Prices!B253</f>
        <v/>
      </c>
      <c r="C253">
        <f>Prices!C253</f>
        <v/>
      </c>
      <c r="D253">
        <f>Prices!D253</f>
        <v/>
      </c>
      <c r="E253">
        <f>Prices!E253</f>
        <v/>
      </c>
      <c r="F253">
        <f>Prices!F253</f>
        <v/>
      </c>
      <c r="G253">
        <f>IF(AND(251&gt;=16,TEXT(A253,"yyyy-mm")&lt;&gt;TEXT(A254,"yyyy-mm")),1,0)</f>
        <v/>
      </c>
      <c r="H253">
        <f>IF(OR(H252=1,G253=1),1,0)</f>
        <v/>
      </c>
      <c r="I253">
        <f>IF(H252=0,1,SUMPRODUCT(J252:N252,B253:F253)+O252*(1+0.00023125256064071564))</f>
        <v/>
      </c>
      <c r="J253">
        <f>IF(G253=1,0.2*R253/B253,J252)</f>
        <v/>
      </c>
      <c r="K253">
        <f>IF(G253=1,0.2*R253/C253,K252)</f>
        <v/>
      </c>
      <c r="L253">
        <f>IF(G253=1,0.2*R253/D253,L252)</f>
        <v/>
      </c>
      <c r="M253">
        <f>IF(G253=1,0.2*R253/E253,M252)</f>
        <v/>
      </c>
      <c r="N253">
        <f>IF(G253=1,0.2*R253/F253,N252)</f>
        <v/>
      </c>
      <c r="O253">
        <f>IF(G253=1,R253*(1-1.0),IF(H252=0,1,O252*(1+0.00023125256064071564)))</f>
        <v/>
      </c>
      <c r="P253">
        <f>IF(G253=1,IF(H252=0,1,ABS(0.2-J252*B253/I253)+ABS(0.2-K252*C253/I253)+ABS(0.2-L252*D253/I253)+ABS(0.2-M252*E253/I253)+ABS(0.2-N252*F253/I253)),0)</f>
        <v/>
      </c>
      <c r="Q253">
        <f>P253*0.0015</f>
        <v/>
      </c>
      <c r="R253">
        <f>I253*(1-Q253)</f>
        <v/>
      </c>
      <c r="S253">
        <f>R253/R252-1</f>
        <v/>
      </c>
      <c r="T253">
        <f>MAX(T252,R253)</f>
        <v/>
      </c>
      <c r="U253">
        <f>R253/T253-1</f>
        <v/>
      </c>
      <c r="V253" t="n">
        <v>1.870028497846779</v>
      </c>
      <c r="W253" s="5">
        <f>R253-V253</f>
        <v/>
      </c>
    </row>
    <row r="254">
      <c r="A254" s="3" t="n">
        <v>38811</v>
      </c>
      <c r="B254">
        <f>Prices!B254</f>
        <v/>
      </c>
      <c r="C254">
        <f>Prices!C254</f>
        <v/>
      </c>
      <c r="D254">
        <f>Prices!D254</f>
        <v/>
      </c>
      <c r="E254">
        <f>Prices!E254</f>
        <v/>
      </c>
      <c r="F254">
        <f>Prices!F254</f>
        <v/>
      </c>
      <c r="G254">
        <f>IF(AND(252&gt;=16,TEXT(A254,"yyyy-mm")&lt;&gt;TEXT(A255,"yyyy-mm")),1,0)</f>
        <v/>
      </c>
      <c r="H254">
        <f>IF(OR(H253=1,G254=1),1,0)</f>
        <v/>
      </c>
      <c r="I254">
        <f>IF(H253=0,1,SUMPRODUCT(J253:N253,B254:F254)+O253*(1+0.00023125256064071564))</f>
        <v/>
      </c>
      <c r="J254">
        <f>IF(G254=1,0.2*R254/B254,J253)</f>
        <v/>
      </c>
      <c r="K254">
        <f>IF(G254=1,0.2*R254/C254,K253)</f>
        <v/>
      </c>
      <c r="L254">
        <f>IF(G254=1,0.2*R254/D254,L253)</f>
        <v/>
      </c>
      <c r="M254">
        <f>IF(G254=1,0.2*R254/E254,M253)</f>
        <v/>
      </c>
      <c r="N254">
        <f>IF(G254=1,0.2*R254/F254,N253)</f>
        <v/>
      </c>
      <c r="O254">
        <f>IF(G254=1,R254*(1-1.0),IF(H253=0,1,O253*(1+0.00023125256064071564)))</f>
        <v/>
      </c>
      <c r="P254">
        <f>IF(G254=1,IF(H253=0,1,ABS(0.2-J253*B254/I254)+ABS(0.2-K253*C254/I254)+ABS(0.2-L253*D254/I254)+ABS(0.2-M253*E254/I254)+ABS(0.2-N253*F254/I254)),0)</f>
        <v/>
      </c>
      <c r="Q254">
        <f>P254*0.0015</f>
        <v/>
      </c>
      <c r="R254">
        <f>I254*(1-Q254)</f>
        <v/>
      </c>
      <c r="S254">
        <f>R254/R253-1</f>
        <v/>
      </c>
      <c r="T254">
        <f>MAX(T253,R254)</f>
        <v/>
      </c>
      <c r="U254">
        <f>R254/T254-1</f>
        <v/>
      </c>
      <c r="V254" t="n">
        <v>1.888288590160408</v>
      </c>
      <c r="W254" s="5">
        <f>R254-V254</f>
        <v/>
      </c>
    </row>
    <row r="255">
      <c r="A255" s="3" t="n">
        <v>38812</v>
      </c>
      <c r="B255">
        <f>Prices!B255</f>
        <v/>
      </c>
      <c r="C255">
        <f>Prices!C255</f>
        <v/>
      </c>
      <c r="D255">
        <f>Prices!D255</f>
        <v/>
      </c>
      <c r="E255">
        <f>Prices!E255</f>
        <v/>
      </c>
      <c r="F255">
        <f>Prices!F255</f>
        <v/>
      </c>
      <c r="G255">
        <f>IF(AND(253&gt;=16,TEXT(A255,"yyyy-mm")&lt;&gt;TEXT(A256,"yyyy-mm")),1,0)</f>
        <v/>
      </c>
      <c r="H255">
        <f>IF(OR(H254=1,G255=1),1,0)</f>
        <v/>
      </c>
      <c r="I255">
        <f>IF(H254=0,1,SUMPRODUCT(J254:N254,B255:F255)+O254*(1+0.00023125256064071564))</f>
        <v/>
      </c>
      <c r="J255">
        <f>IF(G255=1,0.2*R255/B255,J254)</f>
        <v/>
      </c>
      <c r="K255">
        <f>IF(G255=1,0.2*R255/C255,K254)</f>
        <v/>
      </c>
      <c r="L255">
        <f>IF(G255=1,0.2*R255/D255,L254)</f>
        <v/>
      </c>
      <c r="M255">
        <f>IF(G255=1,0.2*R255/E255,M254)</f>
        <v/>
      </c>
      <c r="N255">
        <f>IF(G255=1,0.2*R255/F255,N254)</f>
        <v/>
      </c>
      <c r="O255">
        <f>IF(G255=1,R255*(1-1.0),IF(H254=0,1,O254*(1+0.00023125256064071564)))</f>
        <v/>
      </c>
      <c r="P255">
        <f>IF(G255=1,IF(H254=0,1,ABS(0.2-J254*B255/I255)+ABS(0.2-K254*C255/I255)+ABS(0.2-L254*D255/I255)+ABS(0.2-M254*E255/I255)+ABS(0.2-N254*F255/I255)),0)</f>
        <v/>
      </c>
      <c r="Q255">
        <f>P255*0.0015</f>
        <v/>
      </c>
      <c r="R255">
        <f>I255*(1-Q255)</f>
        <v/>
      </c>
      <c r="S255">
        <f>R255/R254-1</f>
        <v/>
      </c>
      <c r="T255">
        <f>MAX(T254,R255)</f>
        <v/>
      </c>
      <c r="U255">
        <f>R255/T255-1</f>
        <v/>
      </c>
      <c r="V255" t="n">
        <v>1.911747984515334</v>
      </c>
      <c r="W255" s="5">
        <f>R255-V255</f>
        <v/>
      </c>
    </row>
    <row r="256">
      <c r="A256" s="3" t="n">
        <v>38814</v>
      </c>
      <c r="B256">
        <f>Prices!B256</f>
        <v/>
      </c>
      <c r="C256">
        <f>Prices!C256</f>
        <v/>
      </c>
      <c r="D256">
        <f>Prices!D256</f>
        <v/>
      </c>
      <c r="E256">
        <f>Prices!E256</f>
        <v/>
      </c>
      <c r="F256">
        <f>Prices!F256</f>
        <v/>
      </c>
      <c r="G256">
        <f>IF(AND(254&gt;=16,TEXT(A256,"yyyy-mm")&lt;&gt;TEXT(A257,"yyyy-mm")),1,0)</f>
        <v/>
      </c>
      <c r="H256">
        <f>IF(OR(H255=1,G256=1),1,0)</f>
        <v/>
      </c>
      <c r="I256">
        <f>IF(H255=0,1,SUMPRODUCT(J255:N255,B256:F256)+O255*(1+0.00023125256064071564))</f>
        <v/>
      </c>
      <c r="J256">
        <f>IF(G256=1,0.2*R256/B256,J255)</f>
        <v/>
      </c>
      <c r="K256">
        <f>IF(G256=1,0.2*R256/C256,K255)</f>
        <v/>
      </c>
      <c r="L256">
        <f>IF(G256=1,0.2*R256/D256,L255)</f>
        <v/>
      </c>
      <c r="M256">
        <f>IF(G256=1,0.2*R256/E256,M255)</f>
        <v/>
      </c>
      <c r="N256">
        <f>IF(G256=1,0.2*R256/F256,N255)</f>
        <v/>
      </c>
      <c r="O256">
        <f>IF(G256=1,R256*(1-1.0),IF(H255=0,1,O255*(1+0.00023125256064071564)))</f>
        <v/>
      </c>
      <c r="P256">
        <f>IF(G256=1,IF(H255=0,1,ABS(0.2-J255*B256/I256)+ABS(0.2-K255*C256/I256)+ABS(0.2-L255*D256/I256)+ABS(0.2-M255*E256/I256)+ABS(0.2-N255*F256/I256)),0)</f>
        <v/>
      </c>
      <c r="Q256">
        <f>P256*0.0015</f>
        <v/>
      </c>
      <c r="R256">
        <f>I256*(1-Q256)</f>
        <v/>
      </c>
      <c r="S256">
        <f>R256/R255-1</f>
        <v/>
      </c>
      <c r="T256">
        <f>MAX(T255,R256)</f>
        <v/>
      </c>
      <c r="U256">
        <f>R256/T256-1</f>
        <v/>
      </c>
      <c r="V256" t="n">
        <v>1.879498441154416</v>
      </c>
      <c r="W256" s="5">
        <f>R256-V256</f>
        <v/>
      </c>
    </row>
    <row r="257">
      <c r="A257" s="3" t="n">
        <v>38817</v>
      </c>
      <c r="B257">
        <f>Prices!B257</f>
        <v/>
      </c>
      <c r="C257">
        <f>Prices!C257</f>
        <v/>
      </c>
      <c r="D257">
        <f>Prices!D257</f>
        <v/>
      </c>
      <c r="E257">
        <f>Prices!E257</f>
        <v/>
      </c>
      <c r="F257">
        <f>Prices!F257</f>
        <v/>
      </c>
      <c r="G257">
        <f>IF(AND(255&gt;=16,TEXT(A257,"yyyy-mm")&lt;&gt;TEXT(A258,"yyyy-mm")),1,0)</f>
        <v/>
      </c>
      <c r="H257">
        <f>IF(OR(H256=1,G257=1),1,0)</f>
        <v/>
      </c>
      <c r="I257">
        <f>IF(H256=0,1,SUMPRODUCT(J256:N256,B257:F257)+O256*(1+0.00023125256064071564))</f>
        <v/>
      </c>
      <c r="J257">
        <f>IF(G257=1,0.2*R257/B257,J256)</f>
        <v/>
      </c>
      <c r="K257">
        <f>IF(G257=1,0.2*R257/C257,K256)</f>
        <v/>
      </c>
      <c r="L257">
        <f>IF(G257=1,0.2*R257/D257,L256)</f>
        <v/>
      </c>
      <c r="M257">
        <f>IF(G257=1,0.2*R257/E257,M256)</f>
        <v/>
      </c>
      <c r="N257">
        <f>IF(G257=1,0.2*R257/F257,N256)</f>
        <v/>
      </c>
      <c r="O257">
        <f>IF(G257=1,R257*(1-1.0),IF(H256=0,1,O256*(1+0.00023125256064071564)))</f>
        <v/>
      </c>
      <c r="P257">
        <f>IF(G257=1,IF(H256=0,1,ABS(0.2-J256*B257/I257)+ABS(0.2-K256*C257/I257)+ABS(0.2-L256*D257/I257)+ABS(0.2-M256*E257/I257)+ABS(0.2-N256*F257/I257)),0)</f>
        <v/>
      </c>
      <c r="Q257">
        <f>P257*0.0015</f>
        <v/>
      </c>
      <c r="R257">
        <f>I257*(1-Q257)</f>
        <v/>
      </c>
      <c r="S257">
        <f>R257/R256-1</f>
        <v/>
      </c>
      <c r="T257">
        <f>MAX(T256,R257)</f>
        <v/>
      </c>
      <c r="U257">
        <f>R257/T257-1</f>
        <v/>
      </c>
      <c r="V257" t="n">
        <v>1.898295836504537</v>
      </c>
      <c r="W257" s="5">
        <f>R257-V257</f>
        <v/>
      </c>
    </row>
    <row r="258">
      <c r="A258" s="3" t="n">
        <v>38819</v>
      </c>
      <c r="B258">
        <f>Prices!B258</f>
        <v/>
      </c>
      <c r="C258">
        <f>Prices!C258</f>
        <v/>
      </c>
      <c r="D258">
        <f>Prices!D258</f>
        <v/>
      </c>
      <c r="E258">
        <f>Prices!E258</f>
        <v/>
      </c>
      <c r="F258">
        <f>Prices!F258</f>
        <v/>
      </c>
      <c r="G258">
        <f>IF(AND(256&gt;=16,TEXT(A258,"yyyy-mm")&lt;&gt;TEXT(A259,"yyyy-mm")),1,0)</f>
        <v/>
      </c>
      <c r="H258">
        <f>IF(OR(H257=1,G258=1),1,0)</f>
        <v/>
      </c>
      <c r="I258">
        <f>IF(H257=0,1,SUMPRODUCT(J257:N257,B258:F258)+O257*(1+0.00023125256064071564))</f>
        <v/>
      </c>
      <c r="J258">
        <f>IF(G258=1,0.2*R258/B258,J257)</f>
        <v/>
      </c>
      <c r="K258">
        <f>IF(G258=1,0.2*R258/C258,K257)</f>
        <v/>
      </c>
      <c r="L258">
        <f>IF(G258=1,0.2*R258/D258,L257)</f>
        <v/>
      </c>
      <c r="M258">
        <f>IF(G258=1,0.2*R258/E258,M257)</f>
        <v/>
      </c>
      <c r="N258">
        <f>IF(G258=1,0.2*R258/F258,N257)</f>
        <v/>
      </c>
      <c r="O258">
        <f>IF(G258=1,R258*(1-1.0),IF(H257=0,1,O257*(1+0.00023125256064071564)))</f>
        <v/>
      </c>
      <c r="P258">
        <f>IF(G258=1,IF(H257=0,1,ABS(0.2-J257*B258/I258)+ABS(0.2-K257*C258/I258)+ABS(0.2-L257*D258/I258)+ABS(0.2-M257*E258/I258)+ABS(0.2-N257*F258/I258)),0)</f>
        <v/>
      </c>
      <c r="Q258">
        <f>P258*0.0015</f>
        <v/>
      </c>
      <c r="R258">
        <f>I258*(1-Q258)</f>
        <v/>
      </c>
      <c r="S258">
        <f>R258/R257-1</f>
        <v/>
      </c>
      <c r="T258">
        <f>MAX(T257,R258)</f>
        <v/>
      </c>
      <c r="U258">
        <f>R258/T258-1</f>
        <v/>
      </c>
      <c r="V258" t="n">
        <v>1.856669775400462</v>
      </c>
      <c r="W258" s="5">
        <f>R258-V258</f>
        <v/>
      </c>
    </row>
    <row r="259">
      <c r="A259" s="3" t="n">
        <v>38820</v>
      </c>
      <c r="B259">
        <f>Prices!B259</f>
        <v/>
      </c>
      <c r="C259">
        <f>Prices!C259</f>
        <v/>
      </c>
      <c r="D259">
        <f>Prices!D259</f>
        <v/>
      </c>
      <c r="E259">
        <f>Prices!E259</f>
        <v/>
      </c>
      <c r="F259">
        <f>Prices!F259</f>
        <v/>
      </c>
      <c r="G259">
        <f>IF(AND(257&gt;=16,TEXT(A259,"yyyy-mm")&lt;&gt;TEXT(A260,"yyyy-mm")),1,0)</f>
        <v/>
      </c>
      <c r="H259">
        <f>IF(OR(H258=1,G259=1),1,0)</f>
        <v/>
      </c>
      <c r="I259">
        <f>IF(H258=0,1,SUMPRODUCT(J258:N258,B259:F259)+O258*(1+0.00023125256064071564))</f>
        <v/>
      </c>
      <c r="J259">
        <f>IF(G259=1,0.2*R259/B259,J258)</f>
        <v/>
      </c>
      <c r="K259">
        <f>IF(G259=1,0.2*R259/C259,K258)</f>
        <v/>
      </c>
      <c r="L259">
        <f>IF(G259=1,0.2*R259/D259,L258)</f>
        <v/>
      </c>
      <c r="M259">
        <f>IF(G259=1,0.2*R259/E259,M258)</f>
        <v/>
      </c>
      <c r="N259">
        <f>IF(G259=1,0.2*R259/F259,N258)</f>
        <v/>
      </c>
      <c r="O259">
        <f>IF(G259=1,R259*(1-1.0),IF(H258=0,1,O258*(1+0.00023125256064071564)))</f>
        <v/>
      </c>
      <c r="P259">
        <f>IF(G259=1,IF(H258=0,1,ABS(0.2-J258*B259/I259)+ABS(0.2-K258*C259/I259)+ABS(0.2-L258*D259/I259)+ABS(0.2-M258*E259/I259)+ABS(0.2-N258*F259/I259)),0)</f>
        <v/>
      </c>
      <c r="Q259">
        <f>P259*0.0015</f>
        <v/>
      </c>
      <c r="R259">
        <f>I259*(1-Q259)</f>
        <v/>
      </c>
      <c r="S259">
        <f>R259/R258-1</f>
        <v/>
      </c>
      <c r="T259">
        <f>MAX(T258,R259)</f>
        <v/>
      </c>
      <c r="U259">
        <f>R259/T259-1</f>
        <v/>
      </c>
      <c r="V259" t="n">
        <v>1.820874509239157</v>
      </c>
      <c r="W259" s="5">
        <f>R259-V259</f>
        <v/>
      </c>
    </row>
    <row r="260">
      <c r="A260" s="3" t="n">
        <v>38824</v>
      </c>
      <c r="B260">
        <f>Prices!B260</f>
        <v/>
      </c>
      <c r="C260">
        <f>Prices!C260</f>
        <v/>
      </c>
      <c r="D260">
        <f>Prices!D260</f>
        <v/>
      </c>
      <c r="E260">
        <f>Prices!E260</f>
        <v/>
      </c>
      <c r="F260">
        <f>Prices!F260</f>
        <v/>
      </c>
      <c r="G260">
        <f>IF(AND(258&gt;=16,TEXT(A260,"yyyy-mm")&lt;&gt;TEXT(A261,"yyyy-mm")),1,0)</f>
        <v/>
      </c>
      <c r="H260">
        <f>IF(OR(H259=1,G260=1),1,0)</f>
        <v/>
      </c>
      <c r="I260">
        <f>IF(H259=0,1,SUMPRODUCT(J259:N259,B260:F260)+O259*(1+0.00023125256064071564))</f>
        <v/>
      </c>
      <c r="J260">
        <f>IF(G260=1,0.2*R260/B260,J259)</f>
        <v/>
      </c>
      <c r="K260">
        <f>IF(G260=1,0.2*R260/C260,K259)</f>
        <v/>
      </c>
      <c r="L260">
        <f>IF(G260=1,0.2*R260/D260,L259)</f>
        <v/>
      </c>
      <c r="M260">
        <f>IF(G260=1,0.2*R260/E260,M259)</f>
        <v/>
      </c>
      <c r="N260">
        <f>IF(G260=1,0.2*R260/F260,N259)</f>
        <v/>
      </c>
      <c r="O260">
        <f>IF(G260=1,R260*(1-1.0),IF(H259=0,1,O259*(1+0.00023125256064071564)))</f>
        <v/>
      </c>
      <c r="P260">
        <f>IF(G260=1,IF(H259=0,1,ABS(0.2-J259*B260/I260)+ABS(0.2-K259*C260/I260)+ABS(0.2-L259*D260/I260)+ABS(0.2-M259*E260/I260)+ABS(0.2-N259*F260/I260)),0)</f>
        <v/>
      </c>
      <c r="Q260">
        <f>P260*0.0015</f>
        <v/>
      </c>
      <c r="R260">
        <f>I260*(1-Q260)</f>
        <v/>
      </c>
      <c r="S260">
        <f>R260/R259-1</f>
        <v/>
      </c>
      <c r="T260">
        <f>MAX(T259,R260)</f>
        <v/>
      </c>
      <c r="U260">
        <f>R260/T260-1</f>
        <v/>
      </c>
      <c r="V260" t="n">
        <v>1.859483699396763</v>
      </c>
      <c r="W260" s="5">
        <f>R260-V260</f>
        <v/>
      </c>
    </row>
    <row r="261">
      <c r="A261" s="3" t="n">
        <v>38825</v>
      </c>
      <c r="B261">
        <f>Prices!B261</f>
        <v/>
      </c>
      <c r="C261">
        <f>Prices!C261</f>
        <v/>
      </c>
      <c r="D261">
        <f>Prices!D261</f>
        <v/>
      </c>
      <c r="E261">
        <f>Prices!E261</f>
        <v/>
      </c>
      <c r="F261">
        <f>Prices!F261</f>
        <v/>
      </c>
      <c r="G261">
        <f>IF(AND(259&gt;=16,TEXT(A261,"yyyy-mm")&lt;&gt;TEXT(A262,"yyyy-mm")),1,0)</f>
        <v/>
      </c>
      <c r="H261">
        <f>IF(OR(H260=1,G261=1),1,0)</f>
        <v/>
      </c>
      <c r="I261">
        <f>IF(H260=0,1,SUMPRODUCT(J260:N260,B261:F261)+O260*(1+0.00023125256064071564))</f>
        <v/>
      </c>
      <c r="J261">
        <f>IF(G261=1,0.2*R261/B261,J260)</f>
        <v/>
      </c>
      <c r="K261">
        <f>IF(G261=1,0.2*R261/C261,K260)</f>
        <v/>
      </c>
      <c r="L261">
        <f>IF(G261=1,0.2*R261/D261,L260)</f>
        <v/>
      </c>
      <c r="M261">
        <f>IF(G261=1,0.2*R261/E261,M260)</f>
        <v/>
      </c>
      <c r="N261">
        <f>IF(G261=1,0.2*R261/F261,N260)</f>
        <v/>
      </c>
      <c r="O261">
        <f>IF(G261=1,R261*(1-1.0),IF(H260=0,1,O260*(1+0.00023125256064071564)))</f>
        <v/>
      </c>
      <c r="P261">
        <f>IF(G261=1,IF(H260=0,1,ABS(0.2-J260*B261/I261)+ABS(0.2-K260*C261/I261)+ABS(0.2-L260*D261/I261)+ABS(0.2-M260*E261/I261)+ABS(0.2-N260*F261/I261)),0)</f>
        <v/>
      </c>
      <c r="Q261">
        <f>P261*0.0015</f>
        <v/>
      </c>
      <c r="R261">
        <f>I261*(1-Q261)</f>
        <v/>
      </c>
      <c r="S261">
        <f>R261/R260-1</f>
        <v/>
      </c>
      <c r="T261">
        <f>MAX(T260,R261)</f>
        <v/>
      </c>
      <c r="U261">
        <f>R261/T261-1</f>
        <v/>
      </c>
      <c r="V261" t="n">
        <v>1.887340022435988</v>
      </c>
      <c r="W261" s="5">
        <f>R261-V261</f>
        <v/>
      </c>
    </row>
    <row r="262">
      <c r="A262" s="3" t="n">
        <v>38826</v>
      </c>
      <c r="B262">
        <f>Prices!B262</f>
        <v/>
      </c>
      <c r="C262">
        <f>Prices!C262</f>
        <v/>
      </c>
      <c r="D262">
        <f>Prices!D262</f>
        <v/>
      </c>
      <c r="E262">
        <f>Prices!E262</f>
        <v/>
      </c>
      <c r="F262">
        <f>Prices!F262</f>
        <v/>
      </c>
      <c r="G262">
        <f>IF(AND(260&gt;=16,TEXT(A262,"yyyy-mm")&lt;&gt;TEXT(A263,"yyyy-mm")),1,0)</f>
        <v/>
      </c>
      <c r="H262">
        <f>IF(OR(H261=1,G262=1),1,0)</f>
        <v/>
      </c>
      <c r="I262">
        <f>IF(H261=0,1,SUMPRODUCT(J261:N261,B262:F262)+O261*(1+0.00023125256064071564))</f>
        <v/>
      </c>
      <c r="J262">
        <f>IF(G262=1,0.2*R262/B262,J261)</f>
        <v/>
      </c>
      <c r="K262">
        <f>IF(G262=1,0.2*R262/C262,K261)</f>
        <v/>
      </c>
      <c r="L262">
        <f>IF(G262=1,0.2*R262/D262,L261)</f>
        <v/>
      </c>
      <c r="M262">
        <f>IF(G262=1,0.2*R262/E262,M261)</f>
        <v/>
      </c>
      <c r="N262">
        <f>IF(G262=1,0.2*R262/F262,N261)</f>
        <v/>
      </c>
      <c r="O262">
        <f>IF(G262=1,R262*(1-1.0),IF(H261=0,1,O261*(1+0.00023125256064071564)))</f>
        <v/>
      </c>
      <c r="P262">
        <f>IF(G262=1,IF(H261=0,1,ABS(0.2-J261*B262/I262)+ABS(0.2-K261*C262/I262)+ABS(0.2-L261*D262/I262)+ABS(0.2-M261*E262/I262)+ABS(0.2-N261*F262/I262)),0)</f>
        <v/>
      </c>
      <c r="Q262">
        <f>P262*0.0015</f>
        <v/>
      </c>
      <c r="R262">
        <f>I262*(1-Q262)</f>
        <v/>
      </c>
      <c r="S262">
        <f>R262/R261-1</f>
        <v/>
      </c>
      <c r="T262">
        <f>MAX(T261,R262)</f>
        <v/>
      </c>
      <c r="U262">
        <f>R262/T262-1</f>
        <v/>
      </c>
      <c r="V262" t="n">
        <v>1.890574339016362</v>
      </c>
      <c r="W262" s="5">
        <f>R262-V262</f>
        <v/>
      </c>
    </row>
    <row r="263">
      <c r="A263" s="3" t="n">
        <v>38827</v>
      </c>
      <c r="B263">
        <f>Prices!B263</f>
        <v/>
      </c>
      <c r="C263">
        <f>Prices!C263</f>
        <v/>
      </c>
      <c r="D263">
        <f>Prices!D263</f>
        <v/>
      </c>
      <c r="E263">
        <f>Prices!E263</f>
        <v/>
      </c>
      <c r="F263">
        <f>Prices!F263</f>
        <v/>
      </c>
      <c r="G263">
        <f>IF(AND(261&gt;=16,TEXT(A263,"yyyy-mm")&lt;&gt;TEXT(A264,"yyyy-mm")),1,0)</f>
        <v/>
      </c>
      <c r="H263">
        <f>IF(OR(H262=1,G263=1),1,0)</f>
        <v/>
      </c>
      <c r="I263">
        <f>IF(H262=0,1,SUMPRODUCT(J262:N262,B263:F263)+O262*(1+0.00023125256064071564))</f>
        <v/>
      </c>
      <c r="J263">
        <f>IF(G263=1,0.2*R263/B263,J262)</f>
        <v/>
      </c>
      <c r="K263">
        <f>IF(G263=1,0.2*R263/C263,K262)</f>
        <v/>
      </c>
      <c r="L263">
        <f>IF(G263=1,0.2*R263/D263,L262)</f>
        <v/>
      </c>
      <c r="M263">
        <f>IF(G263=1,0.2*R263/E263,M262)</f>
        <v/>
      </c>
      <c r="N263">
        <f>IF(G263=1,0.2*R263/F263,N262)</f>
        <v/>
      </c>
      <c r="O263">
        <f>IF(G263=1,R263*(1-1.0),IF(H262=0,1,O262*(1+0.00023125256064071564)))</f>
        <v/>
      </c>
      <c r="P263">
        <f>IF(G263=1,IF(H262=0,1,ABS(0.2-J262*B263/I263)+ABS(0.2-K262*C263/I263)+ABS(0.2-L262*D263/I263)+ABS(0.2-M262*E263/I263)+ABS(0.2-N262*F263/I263)),0)</f>
        <v/>
      </c>
      <c r="Q263">
        <f>P263*0.0015</f>
        <v/>
      </c>
      <c r="R263">
        <f>I263*(1-Q263)</f>
        <v/>
      </c>
      <c r="S263">
        <f>R263/R262-1</f>
        <v/>
      </c>
      <c r="T263">
        <f>MAX(T262,R263)</f>
        <v/>
      </c>
      <c r="U263">
        <f>R263/T263-1</f>
        <v/>
      </c>
      <c r="V263" t="n">
        <v>1.903860742734529</v>
      </c>
      <c r="W263" s="5">
        <f>R263-V263</f>
        <v/>
      </c>
    </row>
    <row r="264">
      <c r="A264" s="3" t="n">
        <v>38828</v>
      </c>
      <c r="B264">
        <f>Prices!B264</f>
        <v/>
      </c>
      <c r="C264">
        <f>Prices!C264</f>
        <v/>
      </c>
      <c r="D264">
        <f>Prices!D264</f>
        <v/>
      </c>
      <c r="E264">
        <f>Prices!E264</f>
        <v/>
      </c>
      <c r="F264">
        <f>Prices!F264</f>
        <v/>
      </c>
      <c r="G264">
        <f>IF(AND(262&gt;=16,TEXT(A264,"yyyy-mm")&lt;&gt;TEXT(A265,"yyyy-mm")),1,0)</f>
        <v/>
      </c>
      <c r="H264">
        <f>IF(OR(H263=1,G264=1),1,0)</f>
        <v/>
      </c>
      <c r="I264">
        <f>IF(H263=0,1,SUMPRODUCT(J263:N263,B264:F264)+O263*(1+0.00023125256064071564))</f>
        <v/>
      </c>
      <c r="J264">
        <f>IF(G264=1,0.2*R264/B264,J263)</f>
        <v/>
      </c>
      <c r="K264">
        <f>IF(G264=1,0.2*R264/C264,K263)</f>
        <v/>
      </c>
      <c r="L264">
        <f>IF(G264=1,0.2*R264/D264,L263)</f>
        <v/>
      </c>
      <c r="M264">
        <f>IF(G264=1,0.2*R264/E264,M263)</f>
        <v/>
      </c>
      <c r="N264">
        <f>IF(G264=1,0.2*R264/F264,N263)</f>
        <v/>
      </c>
      <c r="O264">
        <f>IF(G264=1,R264*(1-1.0),IF(H263=0,1,O263*(1+0.00023125256064071564)))</f>
        <v/>
      </c>
      <c r="P264">
        <f>IF(G264=1,IF(H263=0,1,ABS(0.2-J263*B264/I264)+ABS(0.2-K263*C264/I264)+ABS(0.2-L263*D264/I264)+ABS(0.2-M263*E264/I264)+ABS(0.2-N263*F264/I264)),0)</f>
        <v/>
      </c>
      <c r="Q264">
        <f>P264*0.0015</f>
        <v/>
      </c>
      <c r="R264">
        <f>I264*(1-Q264)</f>
        <v/>
      </c>
      <c r="S264">
        <f>R264/R263-1</f>
        <v/>
      </c>
      <c r="T264">
        <f>MAX(T263,R264)</f>
        <v/>
      </c>
      <c r="U264">
        <f>R264/T264-1</f>
        <v/>
      </c>
      <c r="V264" t="n">
        <v>1.904284390533979</v>
      </c>
      <c r="W264" s="5">
        <f>R264-V264</f>
        <v/>
      </c>
    </row>
    <row r="265">
      <c r="A265" s="3" t="n">
        <v>38831</v>
      </c>
      <c r="B265">
        <f>Prices!B265</f>
        <v/>
      </c>
      <c r="C265">
        <f>Prices!C265</f>
        <v/>
      </c>
      <c r="D265">
        <f>Prices!D265</f>
        <v/>
      </c>
      <c r="E265">
        <f>Prices!E265</f>
        <v/>
      </c>
      <c r="F265">
        <f>Prices!F265</f>
        <v/>
      </c>
      <c r="G265">
        <f>IF(AND(263&gt;=16,TEXT(A265,"yyyy-mm")&lt;&gt;TEXT(A266,"yyyy-mm")),1,0)</f>
        <v/>
      </c>
      <c r="H265">
        <f>IF(OR(H264=1,G265=1),1,0)</f>
        <v/>
      </c>
      <c r="I265">
        <f>IF(H264=0,1,SUMPRODUCT(J264:N264,B265:F265)+O264*(1+0.00023125256064071564))</f>
        <v/>
      </c>
      <c r="J265">
        <f>IF(G265=1,0.2*R265/B265,J264)</f>
        <v/>
      </c>
      <c r="K265">
        <f>IF(G265=1,0.2*R265/C265,K264)</f>
        <v/>
      </c>
      <c r="L265">
        <f>IF(G265=1,0.2*R265/D265,L264)</f>
        <v/>
      </c>
      <c r="M265">
        <f>IF(G265=1,0.2*R265/E265,M264)</f>
        <v/>
      </c>
      <c r="N265">
        <f>IF(G265=1,0.2*R265/F265,N264)</f>
        <v/>
      </c>
      <c r="O265">
        <f>IF(G265=1,R265*(1-1.0),IF(H264=0,1,O264*(1+0.00023125256064071564)))</f>
        <v/>
      </c>
      <c r="P265">
        <f>IF(G265=1,IF(H264=0,1,ABS(0.2-J264*B265/I265)+ABS(0.2-K264*C265/I265)+ABS(0.2-L264*D265/I265)+ABS(0.2-M264*E265/I265)+ABS(0.2-N264*F265/I265)),0)</f>
        <v/>
      </c>
      <c r="Q265">
        <f>P265*0.0015</f>
        <v/>
      </c>
      <c r="R265">
        <f>I265*(1-Q265)</f>
        <v/>
      </c>
      <c r="S265">
        <f>R265/R264-1</f>
        <v/>
      </c>
      <c r="T265">
        <f>MAX(T264,R265)</f>
        <v/>
      </c>
      <c r="U265">
        <f>R265/T265-1</f>
        <v/>
      </c>
      <c r="V265" t="n">
        <v>1.902115113561853</v>
      </c>
      <c r="W265" s="5">
        <f>R265-V265</f>
        <v/>
      </c>
    </row>
    <row r="266">
      <c r="A266" s="3" t="n">
        <v>38832</v>
      </c>
      <c r="B266">
        <f>Prices!B266</f>
        <v/>
      </c>
      <c r="C266">
        <f>Prices!C266</f>
        <v/>
      </c>
      <c r="D266">
        <f>Prices!D266</f>
        <v/>
      </c>
      <c r="E266">
        <f>Prices!E266</f>
        <v/>
      </c>
      <c r="F266">
        <f>Prices!F266</f>
        <v/>
      </c>
      <c r="G266">
        <f>IF(AND(264&gt;=16,TEXT(A266,"yyyy-mm")&lt;&gt;TEXT(A267,"yyyy-mm")),1,0)</f>
        <v/>
      </c>
      <c r="H266">
        <f>IF(OR(H265=1,G266=1),1,0)</f>
        <v/>
      </c>
      <c r="I266">
        <f>IF(H265=0,1,SUMPRODUCT(J265:N265,B266:F266)+O265*(1+0.00023125256064071564))</f>
        <v/>
      </c>
      <c r="J266">
        <f>IF(G266=1,0.2*R266/B266,J265)</f>
        <v/>
      </c>
      <c r="K266">
        <f>IF(G266=1,0.2*R266/C266,K265)</f>
        <v/>
      </c>
      <c r="L266">
        <f>IF(G266=1,0.2*R266/D266,L265)</f>
        <v/>
      </c>
      <c r="M266">
        <f>IF(G266=1,0.2*R266/E266,M265)</f>
        <v/>
      </c>
      <c r="N266">
        <f>IF(G266=1,0.2*R266/F266,N265)</f>
        <v/>
      </c>
      <c r="O266">
        <f>IF(G266=1,R266*(1-1.0),IF(H265=0,1,O265*(1+0.00023125256064071564)))</f>
        <v/>
      </c>
      <c r="P266">
        <f>IF(G266=1,IF(H265=0,1,ABS(0.2-J265*B266/I266)+ABS(0.2-K265*C266/I266)+ABS(0.2-L265*D266/I266)+ABS(0.2-M265*E266/I266)+ABS(0.2-N265*F266/I266)),0)</f>
        <v/>
      </c>
      <c r="Q266">
        <f>P266*0.0015</f>
        <v/>
      </c>
      <c r="R266">
        <f>I266*(1-Q266)</f>
        <v/>
      </c>
      <c r="S266">
        <f>R266/R265-1</f>
        <v/>
      </c>
      <c r="T266">
        <f>MAX(T265,R266)</f>
        <v/>
      </c>
      <c r="U266">
        <f>R266/T266-1</f>
        <v/>
      </c>
      <c r="V266" t="n">
        <v>1.866600833938863</v>
      </c>
      <c r="W266" s="5">
        <f>R266-V266</f>
        <v/>
      </c>
    </row>
    <row r="267">
      <c r="A267" s="3" t="n">
        <v>38833</v>
      </c>
      <c r="B267">
        <f>Prices!B267</f>
        <v/>
      </c>
      <c r="C267">
        <f>Prices!C267</f>
        <v/>
      </c>
      <c r="D267">
        <f>Prices!D267</f>
        <v/>
      </c>
      <c r="E267">
        <f>Prices!E267</f>
        <v/>
      </c>
      <c r="F267">
        <f>Prices!F267</f>
        <v/>
      </c>
      <c r="G267">
        <f>IF(AND(265&gt;=16,TEXT(A267,"yyyy-mm")&lt;&gt;TEXT(A268,"yyyy-mm")),1,0)</f>
        <v/>
      </c>
      <c r="H267">
        <f>IF(OR(H266=1,G267=1),1,0)</f>
        <v/>
      </c>
      <c r="I267">
        <f>IF(H266=0,1,SUMPRODUCT(J266:N266,B267:F267)+O266*(1+0.00023125256064071564))</f>
        <v/>
      </c>
      <c r="J267">
        <f>IF(G267=1,0.2*R267/B267,J266)</f>
        <v/>
      </c>
      <c r="K267">
        <f>IF(G267=1,0.2*R267/C267,K266)</f>
        <v/>
      </c>
      <c r="L267">
        <f>IF(G267=1,0.2*R267/D267,L266)</f>
        <v/>
      </c>
      <c r="M267">
        <f>IF(G267=1,0.2*R267/E267,M266)</f>
        <v/>
      </c>
      <c r="N267">
        <f>IF(G267=1,0.2*R267/F267,N266)</f>
        <v/>
      </c>
      <c r="O267">
        <f>IF(G267=1,R267*(1-1.0),IF(H266=0,1,O266*(1+0.00023125256064071564)))</f>
        <v/>
      </c>
      <c r="P267">
        <f>IF(G267=1,IF(H266=0,1,ABS(0.2-J266*B267/I267)+ABS(0.2-K266*C267/I267)+ABS(0.2-L266*D267/I267)+ABS(0.2-M266*E267/I267)+ABS(0.2-N266*F267/I267)),0)</f>
        <v/>
      </c>
      <c r="Q267">
        <f>P267*0.0015</f>
        <v/>
      </c>
      <c r="R267">
        <f>I267*(1-Q267)</f>
        <v/>
      </c>
      <c r="S267">
        <f>R267/R266-1</f>
        <v/>
      </c>
      <c r="T267">
        <f>MAX(T266,R267)</f>
        <v/>
      </c>
      <c r="U267">
        <f>R267/T267-1</f>
        <v/>
      </c>
      <c r="V267" t="n">
        <v>1.910910494041379</v>
      </c>
      <c r="W267" s="5">
        <f>R267-V267</f>
        <v/>
      </c>
    </row>
    <row r="268">
      <c r="A268" s="3" t="n">
        <v>38834</v>
      </c>
      <c r="B268">
        <f>Prices!B268</f>
        <v/>
      </c>
      <c r="C268">
        <f>Prices!C268</f>
        <v/>
      </c>
      <c r="D268">
        <f>Prices!D268</f>
        <v/>
      </c>
      <c r="E268">
        <f>Prices!E268</f>
        <v/>
      </c>
      <c r="F268">
        <f>Prices!F268</f>
        <v/>
      </c>
      <c r="G268">
        <f>IF(AND(266&gt;=16,TEXT(A268,"yyyy-mm")&lt;&gt;TEXT(A269,"yyyy-mm")),1,0)</f>
        <v/>
      </c>
      <c r="H268">
        <f>IF(OR(H267=1,G268=1),1,0)</f>
        <v/>
      </c>
      <c r="I268">
        <f>IF(H267=0,1,SUMPRODUCT(J267:N267,B268:F268)+O267*(1+0.00023125256064071564))</f>
        <v/>
      </c>
      <c r="J268">
        <f>IF(G268=1,0.2*R268/B268,J267)</f>
        <v/>
      </c>
      <c r="K268">
        <f>IF(G268=1,0.2*R268/C268,K267)</f>
        <v/>
      </c>
      <c r="L268">
        <f>IF(G268=1,0.2*R268/D268,L267)</f>
        <v/>
      </c>
      <c r="M268">
        <f>IF(G268=1,0.2*R268/E268,M267)</f>
        <v/>
      </c>
      <c r="N268">
        <f>IF(G268=1,0.2*R268/F268,N267)</f>
        <v/>
      </c>
      <c r="O268">
        <f>IF(G268=1,R268*(1-1.0),IF(H267=0,1,O267*(1+0.00023125256064071564)))</f>
        <v/>
      </c>
      <c r="P268">
        <f>IF(G268=1,IF(H267=0,1,ABS(0.2-J267*B268/I268)+ABS(0.2-K267*C268/I268)+ABS(0.2-L267*D268/I268)+ABS(0.2-M267*E268/I268)+ABS(0.2-N267*F268/I268)),0)</f>
        <v/>
      </c>
      <c r="Q268">
        <f>P268*0.0015</f>
        <v/>
      </c>
      <c r="R268">
        <f>I268*(1-Q268)</f>
        <v/>
      </c>
      <c r="S268">
        <f>R268/R267-1</f>
        <v/>
      </c>
      <c r="T268">
        <f>MAX(T267,R268)</f>
        <v/>
      </c>
      <c r="U268">
        <f>R268/T268-1</f>
        <v/>
      </c>
      <c r="V268" t="n">
        <v>1.903271243970445</v>
      </c>
      <c r="W268" s="5">
        <f>R268-V268</f>
        <v/>
      </c>
    </row>
    <row r="269">
      <c r="A269" s="3" t="n">
        <v>38835</v>
      </c>
      <c r="B269">
        <f>Prices!B269</f>
        <v/>
      </c>
      <c r="C269">
        <f>Prices!C269</f>
        <v/>
      </c>
      <c r="D269">
        <f>Prices!D269</f>
        <v/>
      </c>
      <c r="E269">
        <f>Prices!E269</f>
        <v/>
      </c>
      <c r="F269">
        <f>Prices!F269</f>
        <v/>
      </c>
      <c r="G269">
        <f>IF(AND(267&gt;=16,TEXT(A269,"yyyy-mm")&lt;&gt;TEXT(A270,"yyyy-mm")),1,0)</f>
        <v/>
      </c>
      <c r="H269">
        <f>IF(OR(H268=1,G269=1),1,0)</f>
        <v/>
      </c>
      <c r="I269">
        <f>IF(H268=0,1,SUMPRODUCT(J268:N268,B269:F269)+O268*(1+0.00023125256064071564))</f>
        <v/>
      </c>
      <c r="J269">
        <f>IF(G269=1,0.2*R269/B269,J268)</f>
        <v/>
      </c>
      <c r="K269">
        <f>IF(G269=1,0.2*R269/C269,K268)</f>
        <v/>
      </c>
      <c r="L269">
        <f>IF(G269=1,0.2*R269/D269,L268)</f>
        <v/>
      </c>
      <c r="M269">
        <f>IF(G269=1,0.2*R269/E269,M268)</f>
        <v/>
      </c>
      <c r="N269">
        <f>IF(G269=1,0.2*R269/F269,N268)</f>
        <v/>
      </c>
      <c r="O269">
        <f>IF(G269=1,R269*(1-1.0),IF(H268=0,1,O268*(1+0.00023125256064071564)))</f>
        <v/>
      </c>
      <c r="P269">
        <f>IF(G269=1,IF(H268=0,1,ABS(0.2-J268*B269/I269)+ABS(0.2-K268*C269/I269)+ABS(0.2-L268*D269/I269)+ABS(0.2-M268*E269/I269)+ABS(0.2-N268*F269/I269)),0)</f>
        <v/>
      </c>
      <c r="Q269">
        <f>P269*0.0015</f>
        <v/>
      </c>
      <c r="R269">
        <f>I269*(1-Q269)</f>
        <v/>
      </c>
      <c r="S269">
        <f>R269/R268-1</f>
        <v/>
      </c>
      <c r="T269">
        <f>MAX(T268,R269)</f>
        <v/>
      </c>
      <c r="U269">
        <f>R269/T269-1</f>
        <v/>
      </c>
      <c r="V269" t="n">
        <v>1.90875594697784</v>
      </c>
      <c r="W269" s="5">
        <f>R269-V269</f>
        <v/>
      </c>
    </row>
    <row r="270">
      <c r="A270" s="3" t="n">
        <v>38836</v>
      </c>
      <c r="B270">
        <f>Prices!B270</f>
        <v/>
      </c>
      <c r="C270">
        <f>Prices!C270</f>
        <v/>
      </c>
      <c r="D270">
        <f>Prices!D270</f>
        <v/>
      </c>
      <c r="E270">
        <f>Prices!E270</f>
        <v/>
      </c>
      <c r="F270">
        <f>Prices!F270</f>
        <v/>
      </c>
      <c r="G270">
        <f>IF(AND(268&gt;=16,TEXT(A270,"yyyy-mm")&lt;&gt;TEXT(A271,"yyyy-mm")),1,0)</f>
        <v/>
      </c>
      <c r="H270">
        <f>IF(OR(H269=1,G270=1),1,0)</f>
        <v/>
      </c>
      <c r="I270">
        <f>IF(H269=0,1,SUMPRODUCT(J269:N269,B270:F270)+O269*(1+0.00023125256064071564))</f>
        <v/>
      </c>
      <c r="J270">
        <f>IF(G270=1,0.2*R270/B270,J269)</f>
        <v/>
      </c>
      <c r="K270">
        <f>IF(G270=1,0.2*R270/C270,K269)</f>
        <v/>
      </c>
      <c r="L270">
        <f>IF(G270=1,0.2*R270/D270,L269)</f>
        <v/>
      </c>
      <c r="M270">
        <f>IF(G270=1,0.2*R270/E270,M269)</f>
        <v/>
      </c>
      <c r="N270">
        <f>IF(G270=1,0.2*R270/F270,N269)</f>
        <v/>
      </c>
      <c r="O270">
        <f>IF(G270=1,R270*(1-1.0),IF(H269=0,1,O269*(1+0.00023125256064071564)))</f>
        <v/>
      </c>
      <c r="P270">
        <f>IF(G270=1,IF(H269=0,1,ABS(0.2-J269*B270/I270)+ABS(0.2-K269*C270/I270)+ABS(0.2-L269*D270/I270)+ABS(0.2-M269*E270/I270)+ABS(0.2-N269*F270/I270)),0)</f>
        <v/>
      </c>
      <c r="Q270">
        <f>P270*0.0015</f>
        <v/>
      </c>
      <c r="R270">
        <f>I270*(1-Q270)</f>
        <v/>
      </c>
      <c r="S270">
        <f>R270/R269-1</f>
        <v/>
      </c>
      <c r="T270">
        <f>MAX(T269,R270)</f>
        <v/>
      </c>
      <c r="U270">
        <f>R270/T270-1</f>
        <v/>
      </c>
      <c r="V270" t="n">
        <v>1.944202211571866</v>
      </c>
      <c r="W270" s="5">
        <f>R270-V270</f>
        <v/>
      </c>
    </row>
    <row r="271">
      <c r="A271" s="3" t="n">
        <v>38839</v>
      </c>
      <c r="B271">
        <f>Prices!B271</f>
        <v/>
      </c>
      <c r="C271">
        <f>Prices!C271</f>
        <v/>
      </c>
      <c r="D271">
        <f>Prices!D271</f>
        <v/>
      </c>
      <c r="E271">
        <f>Prices!E271</f>
        <v/>
      </c>
      <c r="F271">
        <f>Prices!F271</f>
        <v/>
      </c>
      <c r="G271">
        <f>IF(AND(269&gt;=16,TEXT(A271,"yyyy-mm")&lt;&gt;TEXT(A272,"yyyy-mm")),1,0)</f>
        <v/>
      </c>
      <c r="H271">
        <f>IF(OR(H270=1,G271=1),1,0)</f>
        <v/>
      </c>
      <c r="I271">
        <f>IF(H270=0,1,SUMPRODUCT(J270:N270,B271:F271)+O270*(1+0.00023125256064071564))</f>
        <v/>
      </c>
      <c r="J271">
        <f>IF(G271=1,0.2*R271/B271,J270)</f>
        <v/>
      </c>
      <c r="K271">
        <f>IF(G271=1,0.2*R271/C271,K270)</f>
        <v/>
      </c>
      <c r="L271">
        <f>IF(G271=1,0.2*R271/D271,L270)</f>
        <v/>
      </c>
      <c r="M271">
        <f>IF(G271=1,0.2*R271/E271,M270)</f>
        <v/>
      </c>
      <c r="N271">
        <f>IF(G271=1,0.2*R271/F271,N270)</f>
        <v/>
      </c>
      <c r="O271">
        <f>IF(G271=1,R271*(1-1.0),IF(H270=0,1,O270*(1+0.00023125256064071564)))</f>
        <v/>
      </c>
      <c r="P271">
        <f>IF(G271=1,IF(H270=0,1,ABS(0.2-J270*B271/I271)+ABS(0.2-K270*C271/I271)+ABS(0.2-L270*D271/I271)+ABS(0.2-M270*E271/I271)+ABS(0.2-N270*F271/I271)),0)</f>
        <v/>
      </c>
      <c r="Q271">
        <f>P271*0.0015</f>
        <v/>
      </c>
      <c r="R271">
        <f>I271*(1-Q271)</f>
        <v/>
      </c>
      <c r="S271">
        <f>R271/R270-1</f>
        <v/>
      </c>
      <c r="T271">
        <f>MAX(T270,R271)</f>
        <v/>
      </c>
      <c r="U271">
        <f>R271/T271-1</f>
        <v/>
      </c>
      <c r="V271" t="n">
        <v>1.968316754431093</v>
      </c>
      <c r="W271" s="5">
        <f>R271-V271</f>
        <v/>
      </c>
    </row>
    <row r="272">
      <c r="A272" s="3" t="n">
        <v>38840</v>
      </c>
      <c r="B272">
        <f>Prices!B272</f>
        <v/>
      </c>
      <c r="C272">
        <f>Prices!C272</f>
        <v/>
      </c>
      <c r="D272">
        <f>Prices!D272</f>
        <v/>
      </c>
      <c r="E272">
        <f>Prices!E272</f>
        <v/>
      </c>
      <c r="F272">
        <f>Prices!F272</f>
        <v/>
      </c>
      <c r="G272">
        <f>IF(AND(270&gt;=16,TEXT(A272,"yyyy-mm")&lt;&gt;TEXT(A273,"yyyy-mm")),1,0)</f>
        <v/>
      </c>
      <c r="H272">
        <f>IF(OR(H271=1,G272=1),1,0)</f>
        <v/>
      </c>
      <c r="I272">
        <f>IF(H271=0,1,SUMPRODUCT(J271:N271,B272:F272)+O271*(1+0.00023125256064071564))</f>
        <v/>
      </c>
      <c r="J272">
        <f>IF(G272=1,0.2*R272/B272,J271)</f>
        <v/>
      </c>
      <c r="K272">
        <f>IF(G272=1,0.2*R272/C272,K271)</f>
        <v/>
      </c>
      <c r="L272">
        <f>IF(G272=1,0.2*R272/D272,L271)</f>
        <v/>
      </c>
      <c r="M272">
        <f>IF(G272=1,0.2*R272/E272,M271)</f>
        <v/>
      </c>
      <c r="N272">
        <f>IF(G272=1,0.2*R272/F272,N271)</f>
        <v/>
      </c>
      <c r="O272">
        <f>IF(G272=1,R272*(1-1.0),IF(H271=0,1,O271*(1+0.00023125256064071564)))</f>
        <v/>
      </c>
      <c r="P272">
        <f>IF(G272=1,IF(H271=0,1,ABS(0.2-J271*B272/I272)+ABS(0.2-K271*C272/I272)+ABS(0.2-L271*D272/I272)+ABS(0.2-M271*E272/I272)+ABS(0.2-N271*F272/I272)),0)</f>
        <v/>
      </c>
      <c r="Q272">
        <f>P272*0.0015</f>
        <v/>
      </c>
      <c r="R272">
        <f>I272*(1-Q272)</f>
        <v/>
      </c>
      <c r="S272">
        <f>R272/R271-1</f>
        <v/>
      </c>
      <c r="T272">
        <f>MAX(T271,R272)</f>
        <v/>
      </c>
      <c r="U272">
        <f>R272/T272-1</f>
        <v/>
      </c>
      <c r="V272" t="n">
        <v>1.979971362599999</v>
      </c>
      <c r="W272" s="5">
        <f>R272-V272</f>
        <v/>
      </c>
    </row>
    <row r="273">
      <c r="A273" s="3" t="n">
        <v>38841</v>
      </c>
      <c r="B273">
        <f>Prices!B273</f>
        <v/>
      </c>
      <c r="C273">
        <f>Prices!C273</f>
        <v/>
      </c>
      <c r="D273">
        <f>Prices!D273</f>
        <v/>
      </c>
      <c r="E273">
        <f>Prices!E273</f>
        <v/>
      </c>
      <c r="F273">
        <f>Prices!F273</f>
        <v/>
      </c>
      <c r="G273">
        <f>IF(AND(271&gt;=16,TEXT(A273,"yyyy-mm")&lt;&gt;TEXT(A274,"yyyy-mm")),1,0)</f>
        <v/>
      </c>
      <c r="H273">
        <f>IF(OR(H272=1,G273=1),1,0)</f>
        <v/>
      </c>
      <c r="I273">
        <f>IF(H272=0,1,SUMPRODUCT(J272:N272,B273:F273)+O272*(1+0.00023125256064071564))</f>
        <v/>
      </c>
      <c r="J273">
        <f>IF(G273=1,0.2*R273/B273,J272)</f>
        <v/>
      </c>
      <c r="K273">
        <f>IF(G273=1,0.2*R273/C273,K272)</f>
        <v/>
      </c>
      <c r="L273">
        <f>IF(G273=1,0.2*R273/D273,L272)</f>
        <v/>
      </c>
      <c r="M273">
        <f>IF(G273=1,0.2*R273/E273,M272)</f>
        <v/>
      </c>
      <c r="N273">
        <f>IF(G273=1,0.2*R273/F273,N272)</f>
        <v/>
      </c>
      <c r="O273">
        <f>IF(G273=1,R273*(1-1.0),IF(H272=0,1,O272*(1+0.00023125256064071564)))</f>
        <v/>
      </c>
      <c r="P273">
        <f>IF(G273=1,IF(H272=0,1,ABS(0.2-J272*B273/I273)+ABS(0.2-K272*C273/I273)+ABS(0.2-L272*D273/I273)+ABS(0.2-M272*E273/I273)+ABS(0.2-N272*F273/I273)),0)</f>
        <v/>
      </c>
      <c r="Q273">
        <f>P273*0.0015</f>
        <v/>
      </c>
      <c r="R273">
        <f>I273*(1-Q273)</f>
        <v/>
      </c>
      <c r="S273">
        <f>R273/R272-1</f>
        <v/>
      </c>
      <c r="T273">
        <f>MAX(T272,R273)</f>
        <v/>
      </c>
      <c r="U273">
        <f>R273/T273-1</f>
        <v/>
      </c>
      <c r="V273" t="n">
        <v>1.984986742968575</v>
      </c>
      <c r="W273" s="5">
        <f>R273-V273</f>
        <v/>
      </c>
    </row>
    <row r="274">
      <c r="A274" s="3" t="n">
        <v>38842</v>
      </c>
      <c r="B274">
        <f>Prices!B274</f>
        <v/>
      </c>
      <c r="C274">
        <f>Prices!C274</f>
        <v/>
      </c>
      <c r="D274">
        <f>Prices!D274</f>
        <v/>
      </c>
      <c r="E274">
        <f>Prices!E274</f>
        <v/>
      </c>
      <c r="F274">
        <f>Prices!F274</f>
        <v/>
      </c>
      <c r="G274">
        <f>IF(AND(272&gt;=16,TEXT(A274,"yyyy-mm")&lt;&gt;TEXT(A275,"yyyy-mm")),1,0)</f>
        <v/>
      </c>
      <c r="H274">
        <f>IF(OR(H273=1,G274=1),1,0)</f>
        <v/>
      </c>
      <c r="I274">
        <f>IF(H273=0,1,SUMPRODUCT(J273:N273,B274:F274)+O273*(1+0.00023125256064071564))</f>
        <v/>
      </c>
      <c r="J274">
        <f>IF(G274=1,0.2*R274/B274,J273)</f>
        <v/>
      </c>
      <c r="K274">
        <f>IF(G274=1,0.2*R274/C274,K273)</f>
        <v/>
      </c>
      <c r="L274">
        <f>IF(G274=1,0.2*R274/D274,L273)</f>
        <v/>
      </c>
      <c r="M274">
        <f>IF(G274=1,0.2*R274/E274,M273)</f>
        <v/>
      </c>
      <c r="N274">
        <f>IF(G274=1,0.2*R274/F274,N273)</f>
        <v/>
      </c>
      <c r="O274">
        <f>IF(G274=1,R274*(1-1.0),IF(H273=0,1,O273*(1+0.00023125256064071564)))</f>
        <v/>
      </c>
      <c r="P274">
        <f>IF(G274=1,IF(H273=0,1,ABS(0.2-J273*B274/I274)+ABS(0.2-K273*C274/I274)+ABS(0.2-L273*D274/I274)+ABS(0.2-M273*E274/I274)+ABS(0.2-N273*F274/I274)),0)</f>
        <v/>
      </c>
      <c r="Q274">
        <f>P274*0.0015</f>
        <v/>
      </c>
      <c r="R274">
        <f>I274*(1-Q274)</f>
        <v/>
      </c>
      <c r="S274">
        <f>R274/R273-1</f>
        <v/>
      </c>
      <c r="T274">
        <f>MAX(T273,R274)</f>
        <v/>
      </c>
      <c r="U274">
        <f>R274/T274-1</f>
        <v/>
      </c>
      <c r="V274" t="n">
        <v>1.996441732117902</v>
      </c>
      <c r="W274" s="5">
        <f>R274-V274</f>
        <v/>
      </c>
    </row>
    <row r="275">
      <c r="A275" s="3" t="n">
        <v>38845</v>
      </c>
      <c r="B275">
        <f>Prices!B275</f>
        <v/>
      </c>
      <c r="C275">
        <f>Prices!C275</f>
        <v/>
      </c>
      <c r="D275">
        <f>Prices!D275</f>
        <v/>
      </c>
      <c r="E275">
        <f>Prices!E275</f>
        <v/>
      </c>
      <c r="F275">
        <f>Prices!F275</f>
        <v/>
      </c>
      <c r="G275">
        <f>IF(AND(273&gt;=16,TEXT(A275,"yyyy-mm")&lt;&gt;TEXT(A276,"yyyy-mm")),1,0)</f>
        <v/>
      </c>
      <c r="H275">
        <f>IF(OR(H274=1,G275=1),1,0)</f>
        <v/>
      </c>
      <c r="I275">
        <f>IF(H274=0,1,SUMPRODUCT(J274:N274,B275:F275)+O274*(1+0.00023125256064071564))</f>
        <v/>
      </c>
      <c r="J275">
        <f>IF(G275=1,0.2*R275/B275,J274)</f>
        <v/>
      </c>
      <c r="K275">
        <f>IF(G275=1,0.2*R275/C275,K274)</f>
        <v/>
      </c>
      <c r="L275">
        <f>IF(G275=1,0.2*R275/D275,L274)</f>
        <v/>
      </c>
      <c r="M275">
        <f>IF(G275=1,0.2*R275/E275,M274)</f>
        <v/>
      </c>
      <c r="N275">
        <f>IF(G275=1,0.2*R275/F275,N274)</f>
        <v/>
      </c>
      <c r="O275">
        <f>IF(G275=1,R275*(1-1.0),IF(H274=0,1,O274*(1+0.00023125256064071564)))</f>
        <v/>
      </c>
      <c r="P275">
        <f>IF(G275=1,IF(H274=0,1,ABS(0.2-J274*B275/I275)+ABS(0.2-K274*C275/I275)+ABS(0.2-L274*D275/I275)+ABS(0.2-M274*E275/I275)+ABS(0.2-N274*F275/I275)),0)</f>
        <v/>
      </c>
      <c r="Q275">
        <f>P275*0.0015</f>
        <v/>
      </c>
      <c r="R275">
        <f>I275*(1-Q275)</f>
        <v/>
      </c>
      <c r="S275">
        <f>R275/R274-1</f>
        <v/>
      </c>
      <c r="T275">
        <f>MAX(T274,R275)</f>
        <v/>
      </c>
      <c r="U275">
        <f>R275/T275-1</f>
        <v/>
      </c>
      <c r="V275" t="n">
        <v>2.005960024940344</v>
      </c>
      <c r="W275" s="5">
        <f>R275-V275</f>
        <v/>
      </c>
    </row>
    <row r="276">
      <c r="A276" s="3" t="n">
        <v>38846</v>
      </c>
      <c r="B276">
        <f>Prices!B276</f>
        <v/>
      </c>
      <c r="C276">
        <f>Prices!C276</f>
        <v/>
      </c>
      <c r="D276">
        <f>Prices!D276</f>
        <v/>
      </c>
      <c r="E276">
        <f>Prices!E276</f>
        <v/>
      </c>
      <c r="F276">
        <f>Prices!F276</f>
        <v/>
      </c>
      <c r="G276">
        <f>IF(AND(274&gt;=16,TEXT(A276,"yyyy-mm")&lt;&gt;TEXT(A277,"yyyy-mm")),1,0)</f>
        <v/>
      </c>
      <c r="H276">
        <f>IF(OR(H275=1,G276=1),1,0)</f>
        <v/>
      </c>
      <c r="I276">
        <f>IF(H275=0,1,SUMPRODUCT(J275:N275,B276:F276)+O275*(1+0.00023125256064071564))</f>
        <v/>
      </c>
      <c r="J276">
        <f>IF(G276=1,0.2*R276/B276,J275)</f>
        <v/>
      </c>
      <c r="K276">
        <f>IF(G276=1,0.2*R276/C276,K275)</f>
        <v/>
      </c>
      <c r="L276">
        <f>IF(G276=1,0.2*R276/D276,L275)</f>
        <v/>
      </c>
      <c r="M276">
        <f>IF(G276=1,0.2*R276/E276,M275)</f>
        <v/>
      </c>
      <c r="N276">
        <f>IF(G276=1,0.2*R276/F276,N275)</f>
        <v/>
      </c>
      <c r="O276">
        <f>IF(G276=1,R276*(1-1.0),IF(H275=0,1,O275*(1+0.00023125256064071564)))</f>
        <v/>
      </c>
      <c r="P276">
        <f>IF(G276=1,IF(H275=0,1,ABS(0.2-J275*B276/I276)+ABS(0.2-K275*C276/I276)+ABS(0.2-L275*D276/I276)+ABS(0.2-M275*E276/I276)+ABS(0.2-N275*F276/I276)),0)</f>
        <v/>
      </c>
      <c r="Q276">
        <f>P276*0.0015</f>
        <v/>
      </c>
      <c r="R276">
        <f>I276*(1-Q276)</f>
        <v/>
      </c>
      <c r="S276">
        <f>R276/R275-1</f>
        <v/>
      </c>
      <c r="T276">
        <f>MAX(T275,R276)</f>
        <v/>
      </c>
      <c r="U276">
        <f>R276/T276-1</f>
        <v/>
      </c>
      <c r="V276" t="n">
        <v>2.015894654621092</v>
      </c>
      <c r="W276" s="5">
        <f>R276-V276</f>
        <v/>
      </c>
    </row>
    <row r="277">
      <c r="A277" s="3" t="n">
        <v>38847</v>
      </c>
      <c r="B277">
        <f>Prices!B277</f>
        <v/>
      </c>
      <c r="C277">
        <f>Prices!C277</f>
        <v/>
      </c>
      <c r="D277">
        <f>Prices!D277</f>
        <v/>
      </c>
      <c r="E277">
        <f>Prices!E277</f>
        <v/>
      </c>
      <c r="F277">
        <f>Prices!F277</f>
        <v/>
      </c>
      <c r="G277">
        <f>IF(AND(275&gt;=16,TEXT(A277,"yyyy-mm")&lt;&gt;TEXT(A278,"yyyy-mm")),1,0)</f>
        <v/>
      </c>
      <c r="H277">
        <f>IF(OR(H276=1,G277=1),1,0)</f>
        <v/>
      </c>
      <c r="I277">
        <f>IF(H276=0,1,SUMPRODUCT(J276:N276,B277:F277)+O276*(1+0.00023125256064071564))</f>
        <v/>
      </c>
      <c r="J277">
        <f>IF(G277=1,0.2*R277/B277,J276)</f>
        <v/>
      </c>
      <c r="K277">
        <f>IF(G277=1,0.2*R277/C277,K276)</f>
        <v/>
      </c>
      <c r="L277">
        <f>IF(G277=1,0.2*R277/D277,L276)</f>
        <v/>
      </c>
      <c r="M277">
        <f>IF(G277=1,0.2*R277/E277,M276)</f>
        <v/>
      </c>
      <c r="N277">
        <f>IF(G277=1,0.2*R277/F277,N276)</f>
        <v/>
      </c>
      <c r="O277">
        <f>IF(G277=1,R277*(1-1.0),IF(H276=0,1,O276*(1+0.00023125256064071564)))</f>
        <v/>
      </c>
      <c r="P277">
        <f>IF(G277=1,IF(H276=0,1,ABS(0.2-J276*B277/I277)+ABS(0.2-K276*C277/I277)+ABS(0.2-L276*D277/I277)+ABS(0.2-M276*E277/I277)+ABS(0.2-N276*F277/I277)),0)</f>
        <v/>
      </c>
      <c r="Q277">
        <f>P277*0.0015</f>
        <v/>
      </c>
      <c r="R277">
        <f>I277*(1-Q277)</f>
        <v/>
      </c>
      <c r="S277">
        <f>R277/R276-1</f>
        <v/>
      </c>
      <c r="T277">
        <f>MAX(T276,R277)</f>
        <v/>
      </c>
      <c r="U277">
        <f>R277/T277-1</f>
        <v/>
      </c>
      <c r="V277" t="n">
        <v>2.032070895508802</v>
      </c>
      <c r="W277" s="5">
        <f>R277-V277</f>
        <v/>
      </c>
    </row>
    <row r="278">
      <c r="A278" s="3" t="n">
        <v>38848</v>
      </c>
      <c r="B278">
        <f>Prices!B278</f>
        <v/>
      </c>
      <c r="C278">
        <f>Prices!C278</f>
        <v/>
      </c>
      <c r="D278">
        <f>Prices!D278</f>
        <v/>
      </c>
      <c r="E278">
        <f>Prices!E278</f>
        <v/>
      </c>
      <c r="F278">
        <f>Prices!F278</f>
        <v/>
      </c>
      <c r="G278">
        <f>IF(AND(276&gt;=16,TEXT(A278,"yyyy-mm")&lt;&gt;TEXT(A279,"yyyy-mm")),1,0)</f>
        <v/>
      </c>
      <c r="H278">
        <f>IF(OR(H277=1,G278=1),1,0)</f>
        <v/>
      </c>
      <c r="I278">
        <f>IF(H277=0,1,SUMPRODUCT(J277:N277,B278:F278)+O277*(1+0.00023125256064071564))</f>
        <v/>
      </c>
      <c r="J278">
        <f>IF(G278=1,0.2*R278/B278,J277)</f>
        <v/>
      </c>
      <c r="K278">
        <f>IF(G278=1,0.2*R278/C278,K277)</f>
        <v/>
      </c>
      <c r="L278">
        <f>IF(G278=1,0.2*R278/D278,L277)</f>
        <v/>
      </c>
      <c r="M278">
        <f>IF(G278=1,0.2*R278/E278,M277)</f>
        <v/>
      </c>
      <c r="N278">
        <f>IF(G278=1,0.2*R278/F278,N277)</f>
        <v/>
      </c>
      <c r="O278">
        <f>IF(G278=1,R278*(1-1.0),IF(H277=0,1,O277*(1+0.00023125256064071564)))</f>
        <v/>
      </c>
      <c r="P278">
        <f>IF(G278=1,IF(H277=0,1,ABS(0.2-J277*B278/I278)+ABS(0.2-K277*C278/I278)+ABS(0.2-L277*D278/I278)+ABS(0.2-M277*E278/I278)+ABS(0.2-N277*F278/I278)),0)</f>
        <v/>
      </c>
      <c r="Q278">
        <f>P278*0.0015</f>
        <v/>
      </c>
      <c r="R278">
        <f>I278*(1-Q278)</f>
        <v/>
      </c>
      <c r="S278">
        <f>R278/R277-1</f>
        <v/>
      </c>
      <c r="T278">
        <f>MAX(T277,R278)</f>
        <v/>
      </c>
      <c r="U278">
        <f>R278/T278-1</f>
        <v/>
      </c>
      <c r="V278" t="n">
        <v>2.012813058797368</v>
      </c>
      <c r="W278" s="5">
        <f>R278-V278</f>
        <v/>
      </c>
    </row>
    <row r="279">
      <c r="A279" s="3" t="n">
        <v>38849</v>
      </c>
      <c r="B279">
        <f>Prices!B279</f>
        <v/>
      </c>
      <c r="C279">
        <f>Prices!C279</f>
        <v/>
      </c>
      <c r="D279">
        <f>Prices!D279</f>
        <v/>
      </c>
      <c r="E279">
        <f>Prices!E279</f>
        <v/>
      </c>
      <c r="F279">
        <f>Prices!F279</f>
        <v/>
      </c>
      <c r="G279">
        <f>IF(AND(277&gt;=16,TEXT(A279,"yyyy-mm")&lt;&gt;TEXT(A280,"yyyy-mm")),1,0)</f>
        <v/>
      </c>
      <c r="H279">
        <f>IF(OR(H278=1,G279=1),1,0)</f>
        <v/>
      </c>
      <c r="I279">
        <f>IF(H278=0,1,SUMPRODUCT(J278:N278,B279:F279)+O278*(1+0.00023125256064071564))</f>
        <v/>
      </c>
      <c r="J279">
        <f>IF(G279=1,0.2*R279/B279,J278)</f>
        <v/>
      </c>
      <c r="K279">
        <f>IF(G279=1,0.2*R279/C279,K278)</f>
        <v/>
      </c>
      <c r="L279">
        <f>IF(G279=1,0.2*R279/D279,L278)</f>
        <v/>
      </c>
      <c r="M279">
        <f>IF(G279=1,0.2*R279/E279,M278)</f>
        <v/>
      </c>
      <c r="N279">
        <f>IF(G279=1,0.2*R279/F279,N278)</f>
        <v/>
      </c>
      <c r="O279">
        <f>IF(G279=1,R279*(1-1.0),IF(H278=0,1,O278*(1+0.00023125256064071564)))</f>
        <v/>
      </c>
      <c r="P279">
        <f>IF(G279=1,IF(H278=0,1,ABS(0.2-J278*B279/I279)+ABS(0.2-K278*C279/I279)+ABS(0.2-L278*D279/I279)+ABS(0.2-M278*E279/I279)+ABS(0.2-N278*F279/I279)),0)</f>
        <v/>
      </c>
      <c r="Q279">
        <f>P279*0.0015</f>
        <v/>
      </c>
      <c r="R279">
        <f>I279*(1-Q279)</f>
        <v/>
      </c>
      <c r="S279">
        <f>R279/R278-1</f>
        <v/>
      </c>
      <c r="T279">
        <f>MAX(T278,R279)</f>
        <v/>
      </c>
      <c r="U279">
        <f>R279/T279-1</f>
        <v/>
      </c>
      <c r="V279" t="n">
        <v>1.998198503467225</v>
      </c>
      <c r="W279" s="5">
        <f>R279-V279</f>
        <v/>
      </c>
    </row>
    <row r="280">
      <c r="A280" s="3" t="n">
        <v>38852</v>
      </c>
      <c r="B280">
        <f>Prices!B280</f>
        <v/>
      </c>
      <c r="C280">
        <f>Prices!C280</f>
        <v/>
      </c>
      <c r="D280">
        <f>Prices!D280</f>
        <v/>
      </c>
      <c r="E280">
        <f>Prices!E280</f>
        <v/>
      </c>
      <c r="F280">
        <f>Prices!F280</f>
        <v/>
      </c>
      <c r="G280">
        <f>IF(AND(278&gt;=16,TEXT(A280,"yyyy-mm")&lt;&gt;TEXT(A281,"yyyy-mm")),1,0)</f>
        <v/>
      </c>
      <c r="H280">
        <f>IF(OR(H279=1,G280=1),1,0)</f>
        <v/>
      </c>
      <c r="I280">
        <f>IF(H279=0,1,SUMPRODUCT(J279:N279,B280:F280)+O279*(1+0.00023125256064071564))</f>
        <v/>
      </c>
      <c r="J280">
        <f>IF(G280=1,0.2*R280/B280,J279)</f>
        <v/>
      </c>
      <c r="K280">
        <f>IF(G280=1,0.2*R280/C280,K279)</f>
        <v/>
      </c>
      <c r="L280">
        <f>IF(G280=1,0.2*R280/D280,L279)</f>
        <v/>
      </c>
      <c r="M280">
        <f>IF(G280=1,0.2*R280/E280,M279)</f>
        <v/>
      </c>
      <c r="N280">
        <f>IF(G280=1,0.2*R280/F280,N279)</f>
        <v/>
      </c>
      <c r="O280">
        <f>IF(G280=1,R280*(1-1.0),IF(H279=0,1,O279*(1+0.00023125256064071564)))</f>
        <v/>
      </c>
      <c r="P280">
        <f>IF(G280=1,IF(H279=0,1,ABS(0.2-J279*B280/I280)+ABS(0.2-K279*C280/I280)+ABS(0.2-L279*D280/I280)+ABS(0.2-M279*E280/I280)+ABS(0.2-N279*F280/I280)),0)</f>
        <v/>
      </c>
      <c r="Q280">
        <f>P280*0.0015</f>
        <v/>
      </c>
      <c r="R280">
        <f>I280*(1-Q280)</f>
        <v/>
      </c>
      <c r="S280">
        <f>R280/R279-1</f>
        <v/>
      </c>
      <c r="T280">
        <f>MAX(T279,R280)</f>
        <v/>
      </c>
      <c r="U280">
        <f>R280/T280-1</f>
        <v/>
      </c>
      <c r="V280" t="n">
        <v>1.914326707281506</v>
      </c>
      <c r="W280" s="5">
        <f>R280-V280</f>
        <v/>
      </c>
    </row>
    <row r="281">
      <c r="A281" s="3" t="n">
        <v>38853</v>
      </c>
      <c r="B281">
        <f>Prices!B281</f>
        <v/>
      </c>
      <c r="C281">
        <f>Prices!C281</f>
        <v/>
      </c>
      <c r="D281">
        <f>Prices!D281</f>
        <v/>
      </c>
      <c r="E281">
        <f>Prices!E281</f>
        <v/>
      </c>
      <c r="F281">
        <f>Prices!F281</f>
        <v/>
      </c>
      <c r="G281">
        <f>IF(AND(279&gt;=16,TEXT(A281,"yyyy-mm")&lt;&gt;TEXT(A282,"yyyy-mm")),1,0)</f>
        <v/>
      </c>
      <c r="H281">
        <f>IF(OR(H280=1,G281=1),1,0)</f>
        <v/>
      </c>
      <c r="I281">
        <f>IF(H280=0,1,SUMPRODUCT(J280:N280,B281:F281)+O280*(1+0.00023125256064071564))</f>
        <v/>
      </c>
      <c r="J281">
        <f>IF(G281=1,0.2*R281/B281,J280)</f>
        <v/>
      </c>
      <c r="K281">
        <f>IF(G281=1,0.2*R281/C281,K280)</f>
        <v/>
      </c>
      <c r="L281">
        <f>IF(G281=1,0.2*R281/D281,L280)</f>
        <v/>
      </c>
      <c r="M281">
        <f>IF(G281=1,0.2*R281/E281,M280)</f>
        <v/>
      </c>
      <c r="N281">
        <f>IF(G281=1,0.2*R281/F281,N280)</f>
        <v/>
      </c>
      <c r="O281">
        <f>IF(G281=1,R281*(1-1.0),IF(H280=0,1,O280*(1+0.00023125256064071564)))</f>
        <v/>
      </c>
      <c r="P281">
        <f>IF(G281=1,IF(H280=0,1,ABS(0.2-J280*B281/I281)+ABS(0.2-K280*C281/I281)+ABS(0.2-L280*D281/I281)+ABS(0.2-M280*E281/I281)+ABS(0.2-N280*F281/I281)),0)</f>
        <v/>
      </c>
      <c r="Q281">
        <f>P281*0.0015</f>
        <v/>
      </c>
      <c r="R281">
        <f>I281*(1-Q281)</f>
        <v/>
      </c>
      <c r="S281">
        <f>R281/R280-1</f>
        <v/>
      </c>
      <c r="T281">
        <f>MAX(T280,R281)</f>
        <v/>
      </c>
      <c r="U281">
        <f>R281/T281-1</f>
        <v/>
      </c>
      <c r="V281" t="n">
        <v>1.910522984520129</v>
      </c>
      <c r="W281" s="5">
        <f>R281-V281</f>
        <v/>
      </c>
    </row>
    <row r="282">
      <c r="A282" s="3" t="n">
        <v>38854</v>
      </c>
      <c r="B282">
        <f>Prices!B282</f>
        <v/>
      </c>
      <c r="C282">
        <f>Prices!C282</f>
        <v/>
      </c>
      <c r="D282">
        <f>Prices!D282</f>
        <v/>
      </c>
      <c r="E282">
        <f>Prices!E282</f>
        <v/>
      </c>
      <c r="F282">
        <f>Prices!F282</f>
        <v/>
      </c>
      <c r="G282">
        <f>IF(AND(280&gt;=16,TEXT(A282,"yyyy-mm")&lt;&gt;TEXT(A283,"yyyy-mm")),1,0)</f>
        <v/>
      </c>
      <c r="H282">
        <f>IF(OR(H281=1,G282=1),1,0)</f>
        <v/>
      </c>
      <c r="I282">
        <f>IF(H281=0,1,SUMPRODUCT(J281:N281,B282:F282)+O281*(1+0.00023125256064071564))</f>
        <v/>
      </c>
      <c r="J282">
        <f>IF(G282=1,0.2*R282/B282,J281)</f>
        <v/>
      </c>
      <c r="K282">
        <f>IF(G282=1,0.2*R282/C282,K281)</f>
        <v/>
      </c>
      <c r="L282">
        <f>IF(G282=1,0.2*R282/D282,L281)</f>
        <v/>
      </c>
      <c r="M282">
        <f>IF(G282=1,0.2*R282/E282,M281)</f>
        <v/>
      </c>
      <c r="N282">
        <f>IF(G282=1,0.2*R282/F282,N281)</f>
        <v/>
      </c>
      <c r="O282">
        <f>IF(G282=1,R282*(1-1.0),IF(H281=0,1,O281*(1+0.00023125256064071564)))</f>
        <v/>
      </c>
      <c r="P282">
        <f>IF(G282=1,IF(H281=0,1,ABS(0.2-J281*B282/I282)+ABS(0.2-K281*C282/I282)+ABS(0.2-L281*D282/I282)+ABS(0.2-M281*E282/I282)+ABS(0.2-N281*F282/I282)),0)</f>
        <v/>
      </c>
      <c r="Q282">
        <f>P282*0.0015</f>
        <v/>
      </c>
      <c r="R282">
        <f>I282*(1-Q282)</f>
        <v/>
      </c>
      <c r="S282">
        <f>R282/R281-1</f>
        <v/>
      </c>
      <c r="T282">
        <f>MAX(T281,R282)</f>
        <v/>
      </c>
      <c r="U282">
        <f>R282/T282-1</f>
        <v/>
      </c>
      <c r="V282" t="n">
        <v>1.971421003581867</v>
      </c>
      <c r="W282" s="5">
        <f>R282-V282</f>
        <v/>
      </c>
    </row>
    <row r="283">
      <c r="A283" s="3" t="n">
        <v>38855</v>
      </c>
      <c r="B283">
        <f>Prices!B283</f>
        <v/>
      </c>
      <c r="C283">
        <f>Prices!C283</f>
        <v/>
      </c>
      <c r="D283">
        <f>Prices!D283</f>
        <v/>
      </c>
      <c r="E283">
        <f>Prices!E283</f>
        <v/>
      </c>
      <c r="F283">
        <f>Prices!F283</f>
        <v/>
      </c>
      <c r="G283">
        <f>IF(AND(281&gt;=16,TEXT(A283,"yyyy-mm")&lt;&gt;TEXT(A284,"yyyy-mm")),1,0)</f>
        <v/>
      </c>
      <c r="H283">
        <f>IF(OR(H282=1,G283=1),1,0)</f>
        <v/>
      </c>
      <c r="I283">
        <f>IF(H282=0,1,SUMPRODUCT(J282:N282,B283:F283)+O282*(1+0.00023125256064071564))</f>
        <v/>
      </c>
      <c r="J283">
        <f>IF(G283=1,0.2*R283/B283,J282)</f>
        <v/>
      </c>
      <c r="K283">
        <f>IF(G283=1,0.2*R283/C283,K282)</f>
        <v/>
      </c>
      <c r="L283">
        <f>IF(G283=1,0.2*R283/D283,L282)</f>
        <v/>
      </c>
      <c r="M283">
        <f>IF(G283=1,0.2*R283/E283,M282)</f>
        <v/>
      </c>
      <c r="N283">
        <f>IF(G283=1,0.2*R283/F283,N282)</f>
        <v/>
      </c>
      <c r="O283">
        <f>IF(G283=1,R283*(1-1.0),IF(H282=0,1,O282*(1+0.00023125256064071564)))</f>
        <v/>
      </c>
      <c r="P283">
        <f>IF(G283=1,IF(H282=0,1,ABS(0.2-J282*B283/I283)+ABS(0.2-K282*C283/I283)+ABS(0.2-L282*D283/I283)+ABS(0.2-M282*E283/I283)+ABS(0.2-N282*F283/I283)),0)</f>
        <v/>
      </c>
      <c r="Q283">
        <f>P283*0.0015</f>
        <v/>
      </c>
      <c r="R283">
        <f>I283*(1-Q283)</f>
        <v/>
      </c>
      <c r="S283">
        <f>R283/R282-1</f>
        <v/>
      </c>
      <c r="T283">
        <f>MAX(T282,R283)</f>
        <v/>
      </c>
      <c r="U283">
        <f>R283/T283-1</f>
        <v/>
      </c>
      <c r="V283" t="n">
        <v>1.831819904843712</v>
      </c>
      <c r="W283" s="5">
        <f>R283-V283</f>
        <v/>
      </c>
    </row>
    <row r="284">
      <c r="A284" s="3" t="n">
        <v>38856</v>
      </c>
      <c r="B284">
        <f>Prices!B284</f>
        <v/>
      </c>
      <c r="C284">
        <f>Prices!C284</f>
        <v/>
      </c>
      <c r="D284">
        <f>Prices!D284</f>
        <v/>
      </c>
      <c r="E284">
        <f>Prices!E284</f>
        <v/>
      </c>
      <c r="F284">
        <f>Prices!F284</f>
        <v/>
      </c>
      <c r="G284">
        <f>IF(AND(282&gt;=16,TEXT(A284,"yyyy-mm")&lt;&gt;TEXT(A285,"yyyy-mm")),1,0)</f>
        <v/>
      </c>
      <c r="H284">
        <f>IF(OR(H283=1,G284=1),1,0)</f>
        <v/>
      </c>
      <c r="I284">
        <f>IF(H283=0,1,SUMPRODUCT(J283:N283,B284:F284)+O283*(1+0.00023125256064071564))</f>
        <v/>
      </c>
      <c r="J284">
        <f>IF(G284=1,0.2*R284/B284,J283)</f>
        <v/>
      </c>
      <c r="K284">
        <f>IF(G284=1,0.2*R284/C284,K283)</f>
        <v/>
      </c>
      <c r="L284">
        <f>IF(G284=1,0.2*R284/D284,L283)</f>
        <v/>
      </c>
      <c r="M284">
        <f>IF(G284=1,0.2*R284/E284,M283)</f>
        <v/>
      </c>
      <c r="N284">
        <f>IF(G284=1,0.2*R284/F284,N283)</f>
        <v/>
      </c>
      <c r="O284">
        <f>IF(G284=1,R284*(1-1.0),IF(H283=0,1,O283*(1+0.00023125256064071564)))</f>
        <v/>
      </c>
      <c r="P284">
        <f>IF(G284=1,IF(H283=0,1,ABS(0.2-J283*B284/I284)+ABS(0.2-K283*C284/I284)+ABS(0.2-L283*D284/I284)+ABS(0.2-M283*E284/I284)+ABS(0.2-N283*F284/I284)),0)</f>
        <v/>
      </c>
      <c r="Q284">
        <f>P284*0.0015</f>
        <v/>
      </c>
      <c r="R284">
        <f>I284*(1-Q284)</f>
        <v/>
      </c>
      <c r="S284">
        <f>R284/R283-1</f>
        <v/>
      </c>
      <c r="T284">
        <f>MAX(T283,R284)</f>
        <v/>
      </c>
      <c r="U284">
        <f>R284/T284-1</f>
        <v/>
      </c>
      <c r="V284" t="n">
        <v>1.743645939650579</v>
      </c>
      <c r="W284" s="5">
        <f>R284-V284</f>
        <v/>
      </c>
    </row>
    <row r="285">
      <c r="A285" s="3" t="n">
        <v>38859</v>
      </c>
      <c r="B285">
        <f>Prices!B285</f>
        <v/>
      </c>
      <c r="C285">
        <f>Prices!C285</f>
        <v/>
      </c>
      <c r="D285">
        <f>Prices!D285</f>
        <v/>
      </c>
      <c r="E285">
        <f>Prices!E285</f>
        <v/>
      </c>
      <c r="F285">
        <f>Prices!F285</f>
        <v/>
      </c>
      <c r="G285">
        <f>IF(AND(283&gt;=16,TEXT(A285,"yyyy-mm")&lt;&gt;TEXT(A286,"yyyy-mm")),1,0)</f>
        <v/>
      </c>
      <c r="H285">
        <f>IF(OR(H284=1,G285=1),1,0)</f>
        <v/>
      </c>
      <c r="I285">
        <f>IF(H284=0,1,SUMPRODUCT(J284:N284,B285:F285)+O284*(1+0.00023125256064071564))</f>
        <v/>
      </c>
      <c r="J285">
        <f>IF(G285=1,0.2*R285/B285,J284)</f>
        <v/>
      </c>
      <c r="K285">
        <f>IF(G285=1,0.2*R285/C285,K284)</f>
        <v/>
      </c>
      <c r="L285">
        <f>IF(G285=1,0.2*R285/D285,L284)</f>
        <v/>
      </c>
      <c r="M285">
        <f>IF(G285=1,0.2*R285/E285,M284)</f>
        <v/>
      </c>
      <c r="N285">
        <f>IF(G285=1,0.2*R285/F285,N284)</f>
        <v/>
      </c>
      <c r="O285">
        <f>IF(G285=1,R285*(1-1.0),IF(H284=0,1,O284*(1+0.00023125256064071564)))</f>
        <v/>
      </c>
      <c r="P285">
        <f>IF(G285=1,IF(H284=0,1,ABS(0.2-J284*B285/I285)+ABS(0.2-K284*C285/I285)+ABS(0.2-L284*D285/I285)+ABS(0.2-M284*E285/I285)+ABS(0.2-N284*F285/I285)),0)</f>
        <v/>
      </c>
      <c r="Q285">
        <f>P285*0.0015</f>
        <v/>
      </c>
      <c r="R285">
        <f>I285*(1-Q285)</f>
        <v/>
      </c>
      <c r="S285">
        <f>R285/R284-1</f>
        <v/>
      </c>
      <c r="T285">
        <f>MAX(T284,R285)</f>
        <v/>
      </c>
      <c r="U285">
        <f>R285/T285-1</f>
        <v/>
      </c>
      <c r="V285" t="n">
        <v>1.638837885922563</v>
      </c>
      <c r="W285" s="5">
        <f>R285-V285</f>
        <v/>
      </c>
    </row>
    <row r="286">
      <c r="A286" s="3" t="n">
        <v>38860</v>
      </c>
      <c r="B286">
        <f>Prices!B286</f>
        <v/>
      </c>
      <c r="C286">
        <f>Prices!C286</f>
        <v/>
      </c>
      <c r="D286">
        <f>Prices!D286</f>
        <v/>
      </c>
      <c r="E286">
        <f>Prices!E286</f>
        <v/>
      </c>
      <c r="F286">
        <f>Prices!F286</f>
        <v/>
      </c>
      <c r="G286">
        <f>IF(AND(284&gt;=16,TEXT(A286,"yyyy-mm")&lt;&gt;TEXT(A287,"yyyy-mm")),1,0)</f>
        <v/>
      </c>
      <c r="H286">
        <f>IF(OR(H285=1,G286=1),1,0)</f>
        <v/>
      </c>
      <c r="I286">
        <f>IF(H285=0,1,SUMPRODUCT(J285:N285,B286:F286)+O285*(1+0.00023125256064071564))</f>
        <v/>
      </c>
      <c r="J286">
        <f>IF(G286=1,0.2*R286/B286,J285)</f>
        <v/>
      </c>
      <c r="K286">
        <f>IF(G286=1,0.2*R286/C286,K285)</f>
        <v/>
      </c>
      <c r="L286">
        <f>IF(G286=1,0.2*R286/D286,L285)</f>
        <v/>
      </c>
      <c r="M286">
        <f>IF(G286=1,0.2*R286/E286,M285)</f>
        <v/>
      </c>
      <c r="N286">
        <f>IF(G286=1,0.2*R286/F286,N285)</f>
        <v/>
      </c>
      <c r="O286">
        <f>IF(G286=1,R286*(1-1.0),IF(H285=0,1,O285*(1+0.00023125256064071564)))</f>
        <v/>
      </c>
      <c r="P286">
        <f>IF(G286=1,IF(H285=0,1,ABS(0.2-J285*B286/I286)+ABS(0.2-K285*C286/I286)+ABS(0.2-L285*D286/I286)+ABS(0.2-M285*E286/I286)+ABS(0.2-N285*F286/I286)),0)</f>
        <v/>
      </c>
      <c r="Q286">
        <f>P286*0.0015</f>
        <v/>
      </c>
      <c r="R286">
        <f>I286*(1-Q286)</f>
        <v/>
      </c>
      <c r="S286">
        <f>R286/R285-1</f>
        <v/>
      </c>
      <c r="T286">
        <f>MAX(T285,R286)</f>
        <v/>
      </c>
      <c r="U286">
        <f>R286/T286-1</f>
        <v/>
      </c>
      <c r="V286" t="n">
        <v>1.708772831466637</v>
      </c>
      <c r="W286" s="5">
        <f>R286-V286</f>
        <v/>
      </c>
    </row>
    <row r="287">
      <c r="A287" s="3" t="n">
        <v>38861</v>
      </c>
      <c r="B287">
        <f>Prices!B287</f>
        <v/>
      </c>
      <c r="C287">
        <f>Prices!C287</f>
        <v/>
      </c>
      <c r="D287">
        <f>Prices!D287</f>
        <v/>
      </c>
      <c r="E287">
        <f>Prices!E287</f>
        <v/>
      </c>
      <c r="F287">
        <f>Prices!F287</f>
        <v/>
      </c>
      <c r="G287">
        <f>IF(AND(285&gt;=16,TEXT(A287,"yyyy-mm")&lt;&gt;TEXT(A288,"yyyy-mm")),1,0)</f>
        <v/>
      </c>
      <c r="H287">
        <f>IF(OR(H286=1,G287=1),1,0)</f>
        <v/>
      </c>
      <c r="I287">
        <f>IF(H286=0,1,SUMPRODUCT(J286:N286,B287:F287)+O286*(1+0.00023125256064071564))</f>
        <v/>
      </c>
      <c r="J287">
        <f>IF(G287=1,0.2*R287/B287,J286)</f>
        <v/>
      </c>
      <c r="K287">
        <f>IF(G287=1,0.2*R287/C287,K286)</f>
        <v/>
      </c>
      <c r="L287">
        <f>IF(G287=1,0.2*R287/D287,L286)</f>
        <v/>
      </c>
      <c r="M287">
        <f>IF(G287=1,0.2*R287/E287,M286)</f>
        <v/>
      </c>
      <c r="N287">
        <f>IF(G287=1,0.2*R287/F287,N286)</f>
        <v/>
      </c>
      <c r="O287">
        <f>IF(G287=1,R287*(1-1.0),IF(H286=0,1,O286*(1+0.00023125256064071564)))</f>
        <v/>
      </c>
      <c r="P287">
        <f>IF(G287=1,IF(H286=0,1,ABS(0.2-J286*B287/I287)+ABS(0.2-K286*C287/I287)+ABS(0.2-L286*D287/I287)+ABS(0.2-M286*E287/I287)+ABS(0.2-N286*F287/I287)),0)</f>
        <v/>
      </c>
      <c r="Q287">
        <f>P287*0.0015</f>
        <v/>
      </c>
      <c r="R287">
        <f>I287*(1-Q287)</f>
        <v/>
      </c>
      <c r="S287">
        <f>R287/R286-1</f>
        <v/>
      </c>
      <c r="T287">
        <f>MAX(T286,R287)</f>
        <v/>
      </c>
      <c r="U287">
        <f>R287/T287-1</f>
        <v/>
      </c>
      <c r="V287" t="n">
        <v>1.686531793781139</v>
      </c>
      <c r="W287" s="5">
        <f>R287-V287</f>
        <v/>
      </c>
    </row>
    <row r="288">
      <c r="A288" s="3" t="n">
        <v>38862</v>
      </c>
      <c r="B288">
        <f>Prices!B288</f>
        <v/>
      </c>
      <c r="C288">
        <f>Prices!C288</f>
        <v/>
      </c>
      <c r="D288">
        <f>Prices!D288</f>
        <v/>
      </c>
      <c r="E288">
        <f>Prices!E288</f>
        <v/>
      </c>
      <c r="F288">
        <f>Prices!F288</f>
        <v/>
      </c>
      <c r="G288">
        <f>IF(AND(286&gt;=16,TEXT(A288,"yyyy-mm")&lt;&gt;TEXT(A289,"yyyy-mm")),1,0)</f>
        <v/>
      </c>
      <c r="H288">
        <f>IF(OR(H287=1,G288=1),1,0)</f>
        <v/>
      </c>
      <c r="I288">
        <f>IF(H287=0,1,SUMPRODUCT(J287:N287,B288:F288)+O287*(1+0.00023125256064071564))</f>
        <v/>
      </c>
      <c r="J288">
        <f>IF(G288=1,0.2*R288/B288,J287)</f>
        <v/>
      </c>
      <c r="K288">
        <f>IF(G288=1,0.2*R288/C288,K287)</f>
        <v/>
      </c>
      <c r="L288">
        <f>IF(G288=1,0.2*R288/D288,L287)</f>
        <v/>
      </c>
      <c r="M288">
        <f>IF(G288=1,0.2*R288/E288,M287)</f>
        <v/>
      </c>
      <c r="N288">
        <f>IF(G288=1,0.2*R288/F288,N287)</f>
        <v/>
      </c>
      <c r="O288">
        <f>IF(G288=1,R288*(1-1.0),IF(H287=0,1,O287*(1+0.00023125256064071564)))</f>
        <v/>
      </c>
      <c r="P288">
        <f>IF(G288=1,IF(H287=0,1,ABS(0.2-J287*B288/I288)+ABS(0.2-K287*C288/I288)+ABS(0.2-L287*D288/I288)+ABS(0.2-M287*E288/I288)+ABS(0.2-N287*F288/I288)),0)</f>
        <v/>
      </c>
      <c r="Q288">
        <f>P288*0.0015</f>
        <v/>
      </c>
      <c r="R288">
        <f>I288*(1-Q288)</f>
        <v/>
      </c>
      <c r="S288">
        <f>R288/R287-1</f>
        <v/>
      </c>
      <c r="T288">
        <f>MAX(T287,R288)</f>
        <v/>
      </c>
      <c r="U288">
        <f>R288/T288-1</f>
        <v/>
      </c>
      <c r="V288" t="n">
        <v>1.691796342200756</v>
      </c>
      <c r="W288" s="5">
        <f>R288-V288</f>
        <v/>
      </c>
    </row>
    <row r="289">
      <c r="A289" s="3" t="n">
        <v>38863</v>
      </c>
      <c r="B289">
        <f>Prices!B289</f>
        <v/>
      </c>
      <c r="C289">
        <f>Prices!C289</f>
        <v/>
      </c>
      <c r="D289">
        <f>Prices!D289</f>
        <v/>
      </c>
      <c r="E289">
        <f>Prices!E289</f>
        <v/>
      </c>
      <c r="F289">
        <f>Prices!F289</f>
        <v/>
      </c>
      <c r="G289">
        <f>IF(AND(287&gt;=16,TEXT(A289,"yyyy-mm")&lt;&gt;TEXT(A290,"yyyy-mm")),1,0)</f>
        <v/>
      </c>
      <c r="H289">
        <f>IF(OR(H288=1,G289=1),1,0)</f>
        <v/>
      </c>
      <c r="I289">
        <f>IF(H288=0,1,SUMPRODUCT(J288:N288,B289:F289)+O288*(1+0.00023125256064071564))</f>
        <v/>
      </c>
      <c r="J289">
        <f>IF(G289=1,0.2*R289/B289,J288)</f>
        <v/>
      </c>
      <c r="K289">
        <f>IF(G289=1,0.2*R289/C289,K288)</f>
        <v/>
      </c>
      <c r="L289">
        <f>IF(G289=1,0.2*R289/D289,L288)</f>
        <v/>
      </c>
      <c r="M289">
        <f>IF(G289=1,0.2*R289/E289,M288)</f>
        <v/>
      </c>
      <c r="N289">
        <f>IF(G289=1,0.2*R289/F289,N288)</f>
        <v/>
      </c>
      <c r="O289">
        <f>IF(G289=1,R289*(1-1.0),IF(H288=0,1,O288*(1+0.00023125256064071564)))</f>
        <v/>
      </c>
      <c r="P289">
        <f>IF(G289=1,IF(H288=0,1,ABS(0.2-J288*B289/I289)+ABS(0.2-K288*C289/I289)+ABS(0.2-L288*D289/I289)+ABS(0.2-M288*E289/I289)+ABS(0.2-N288*F289/I289)),0)</f>
        <v/>
      </c>
      <c r="Q289">
        <f>P289*0.0015</f>
        <v/>
      </c>
      <c r="R289">
        <f>I289*(1-Q289)</f>
        <v/>
      </c>
      <c r="S289">
        <f>R289/R288-1</f>
        <v/>
      </c>
      <c r="T289">
        <f>MAX(T288,R289)</f>
        <v/>
      </c>
      <c r="U289">
        <f>R289/T289-1</f>
        <v/>
      </c>
      <c r="V289" t="n">
        <v>1.734920382647439</v>
      </c>
      <c r="W289" s="5">
        <f>R289-V289</f>
        <v/>
      </c>
    </row>
    <row r="290">
      <c r="A290" s="3" t="n">
        <v>38866</v>
      </c>
      <c r="B290">
        <f>Prices!B290</f>
        <v/>
      </c>
      <c r="C290">
        <f>Prices!C290</f>
        <v/>
      </c>
      <c r="D290">
        <f>Prices!D290</f>
        <v/>
      </c>
      <c r="E290">
        <f>Prices!E290</f>
        <v/>
      </c>
      <c r="F290">
        <f>Prices!F290</f>
        <v/>
      </c>
      <c r="G290">
        <f>IF(AND(288&gt;=16,TEXT(A290,"yyyy-mm")&lt;&gt;TEXT(A291,"yyyy-mm")),1,0)</f>
        <v/>
      </c>
      <c r="H290">
        <f>IF(OR(H289=1,G290=1),1,0)</f>
        <v/>
      </c>
      <c r="I290">
        <f>IF(H289=0,1,SUMPRODUCT(J289:N289,B290:F290)+O289*(1+0.00023125256064071564))</f>
        <v/>
      </c>
      <c r="J290">
        <f>IF(G290=1,0.2*R290/B290,J289)</f>
        <v/>
      </c>
      <c r="K290">
        <f>IF(G290=1,0.2*R290/C290,K289)</f>
        <v/>
      </c>
      <c r="L290">
        <f>IF(G290=1,0.2*R290/D290,L289)</f>
        <v/>
      </c>
      <c r="M290">
        <f>IF(G290=1,0.2*R290/E290,M289)</f>
        <v/>
      </c>
      <c r="N290">
        <f>IF(G290=1,0.2*R290/F290,N289)</f>
        <v/>
      </c>
      <c r="O290">
        <f>IF(G290=1,R290*(1-1.0),IF(H289=0,1,O289*(1+0.00023125256064071564)))</f>
        <v/>
      </c>
      <c r="P290">
        <f>IF(G290=1,IF(H289=0,1,ABS(0.2-J289*B290/I290)+ABS(0.2-K289*C290/I290)+ABS(0.2-L289*D290/I290)+ABS(0.2-M289*E290/I290)+ABS(0.2-N289*F290/I290)),0)</f>
        <v/>
      </c>
      <c r="Q290">
        <f>P290*0.0015</f>
        <v/>
      </c>
      <c r="R290">
        <f>I290*(1-Q290)</f>
        <v/>
      </c>
      <c r="S290">
        <f>R290/R289-1</f>
        <v/>
      </c>
      <c r="T290">
        <f>MAX(T289,R290)</f>
        <v/>
      </c>
      <c r="U290">
        <f>R290/T290-1</f>
        <v/>
      </c>
      <c r="V290" t="n">
        <v>1.752734755917905</v>
      </c>
      <c r="W290" s="5">
        <f>R290-V290</f>
        <v/>
      </c>
    </row>
    <row r="291">
      <c r="A291" s="3" t="n">
        <v>38867</v>
      </c>
      <c r="B291">
        <f>Prices!B291</f>
        <v/>
      </c>
      <c r="C291">
        <f>Prices!C291</f>
        <v/>
      </c>
      <c r="D291">
        <f>Prices!D291</f>
        <v/>
      </c>
      <c r="E291">
        <f>Prices!E291</f>
        <v/>
      </c>
      <c r="F291">
        <f>Prices!F291</f>
        <v/>
      </c>
      <c r="G291">
        <f>IF(AND(289&gt;=16,TEXT(A291,"yyyy-mm")&lt;&gt;TEXT(A292,"yyyy-mm")),1,0)</f>
        <v/>
      </c>
      <c r="H291">
        <f>IF(OR(H290=1,G291=1),1,0)</f>
        <v/>
      </c>
      <c r="I291">
        <f>IF(H290=0,1,SUMPRODUCT(J290:N290,B291:F291)+O290*(1+0.00023125256064071564))</f>
        <v/>
      </c>
      <c r="J291">
        <f>IF(G291=1,0.2*R291/B291,J290)</f>
        <v/>
      </c>
      <c r="K291">
        <f>IF(G291=1,0.2*R291/C291,K290)</f>
        <v/>
      </c>
      <c r="L291">
        <f>IF(G291=1,0.2*R291/D291,L290)</f>
        <v/>
      </c>
      <c r="M291">
        <f>IF(G291=1,0.2*R291/E291,M290)</f>
        <v/>
      </c>
      <c r="N291">
        <f>IF(G291=1,0.2*R291/F291,N290)</f>
        <v/>
      </c>
      <c r="O291">
        <f>IF(G291=1,R291*(1-1.0),IF(H290=0,1,O290*(1+0.00023125256064071564)))</f>
        <v/>
      </c>
      <c r="P291">
        <f>IF(G291=1,IF(H290=0,1,ABS(0.2-J290*B291/I291)+ABS(0.2-K290*C291/I291)+ABS(0.2-L290*D291/I291)+ABS(0.2-M290*E291/I291)+ABS(0.2-N290*F291/I291)),0)</f>
        <v/>
      </c>
      <c r="Q291">
        <f>P291*0.0015</f>
        <v/>
      </c>
      <c r="R291">
        <f>I291*(1-Q291)</f>
        <v/>
      </c>
      <c r="S291">
        <f>R291/R290-1</f>
        <v/>
      </c>
      <c r="T291">
        <f>MAX(T290,R291)</f>
        <v/>
      </c>
      <c r="U291">
        <f>R291/T291-1</f>
        <v/>
      </c>
      <c r="V291" t="n">
        <v>1.745988365441808</v>
      </c>
      <c r="W291" s="5">
        <f>R291-V291</f>
        <v/>
      </c>
    </row>
    <row r="292">
      <c r="A292" s="3" t="n">
        <v>38868</v>
      </c>
      <c r="B292">
        <f>Prices!B292</f>
        <v/>
      </c>
      <c r="C292">
        <f>Prices!C292</f>
        <v/>
      </c>
      <c r="D292">
        <f>Prices!D292</f>
        <v/>
      </c>
      <c r="E292">
        <f>Prices!E292</f>
        <v/>
      </c>
      <c r="F292">
        <f>Prices!F292</f>
        <v/>
      </c>
      <c r="G292">
        <f>IF(AND(290&gt;=16,TEXT(A292,"yyyy-mm")&lt;&gt;TEXT(A293,"yyyy-mm")),1,0)</f>
        <v/>
      </c>
      <c r="H292">
        <f>IF(OR(H291=1,G292=1),1,0)</f>
        <v/>
      </c>
      <c r="I292">
        <f>IF(H291=0,1,SUMPRODUCT(J291:N291,B292:F292)+O291*(1+0.00023125256064071564))</f>
        <v/>
      </c>
      <c r="J292">
        <f>IF(G292=1,0.2*R292/B292,J291)</f>
        <v/>
      </c>
      <c r="K292">
        <f>IF(G292=1,0.2*R292/C292,K291)</f>
        <v/>
      </c>
      <c r="L292">
        <f>IF(G292=1,0.2*R292/D292,L291)</f>
        <v/>
      </c>
      <c r="M292">
        <f>IF(G292=1,0.2*R292/E292,M291)</f>
        <v/>
      </c>
      <c r="N292">
        <f>IF(G292=1,0.2*R292/F292,N291)</f>
        <v/>
      </c>
      <c r="O292">
        <f>IF(G292=1,R292*(1-1.0),IF(H291=0,1,O291*(1+0.00023125256064071564)))</f>
        <v/>
      </c>
      <c r="P292">
        <f>IF(G292=1,IF(H291=0,1,ABS(0.2-J291*B292/I292)+ABS(0.2-K291*C292/I292)+ABS(0.2-L291*D292/I292)+ABS(0.2-M291*E292/I292)+ABS(0.2-N291*F292/I292)),0)</f>
        <v/>
      </c>
      <c r="Q292">
        <f>P292*0.0015</f>
        <v/>
      </c>
      <c r="R292">
        <f>I292*(1-Q292)</f>
        <v/>
      </c>
      <c r="S292">
        <f>R292/R291-1</f>
        <v/>
      </c>
      <c r="T292">
        <f>MAX(T291,R292)</f>
        <v/>
      </c>
      <c r="U292">
        <f>R292/T292-1</f>
        <v/>
      </c>
      <c r="V292" t="n">
        <v>1.691946912065455</v>
      </c>
      <c r="W292" s="5">
        <f>R292-V292</f>
        <v/>
      </c>
    </row>
    <row r="293">
      <c r="A293" s="3" t="n">
        <v>38869</v>
      </c>
      <c r="B293">
        <f>Prices!B293</f>
        <v/>
      </c>
      <c r="C293">
        <f>Prices!C293</f>
        <v/>
      </c>
      <c r="D293">
        <f>Prices!D293</f>
        <v/>
      </c>
      <c r="E293">
        <f>Prices!E293</f>
        <v/>
      </c>
      <c r="F293">
        <f>Prices!F293</f>
        <v/>
      </c>
      <c r="G293">
        <f>IF(AND(291&gt;=16,TEXT(A293,"yyyy-mm")&lt;&gt;TEXT(A294,"yyyy-mm")),1,0)</f>
        <v/>
      </c>
      <c r="H293">
        <f>IF(OR(H292=1,G293=1),1,0)</f>
        <v/>
      </c>
      <c r="I293">
        <f>IF(H292=0,1,SUMPRODUCT(J292:N292,B293:F293)+O292*(1+0.00023125256064071564))</f>
        <v/>
      </c>
      <c r="J293">
        <f>IF(G293=1,0.2*R293/B293,J292)</f>
        <v/>
      </c>
      <c r="K293">
        <f>IF(G293=1,0.2*R293/C293,K292)</f>
        <v/>
      </c>
      <c r="L293">
        <f>IF(G293=1,0.2*R293/D293,L292)</f>
        <v/>
      </c>
      <c r="M293">
        <f>IF(G293=1,0.2*R293/E293,M292)</f>
        <v/>
      </c>
      <c r="N293">
        <f>IF(G293=1,0.2*R293/F293,N292)</f>
        <v/>
      </c>
      <c r="O293">
        <f>IF(G293=1,R293*(1-1.0),IF(H292=0,1,O292*(1+0.00023125256064071564)))</f>
        <v/>
      </c>
      <c r="P293">
        <f>IF(G293=1,IF(H292=0,1,ABS(0.2-J292*B293/I293)+ABS(0.2-K292*C293/I293)+ABS(0.2-L292*D293/I293)+ABS(0.2-M292*E293/I293)+ABS(0.2-N292*F293/I293)),0)</f>
        <v/>
      </c>
      <c r="Q293">
        <f>P293*0.0015</f>
        <v/>
      </c>
      <c r="R293">
        <f>I293*(1-Q293)</f>
        <v/>
      </c>
      <c r="S293">
        <f>R293/R292-1</f>
        <v/>
      </c>
      <c r="T293">
        <f>MAX(T292,R293)</f>
        <v/>
      </c>
      <c r="U293">
        <f>R293/T293-1</f>
        <v/>
      </c>
      <c r="V293" t="n">
        <v>1.63672410611207</v>
      </c>
      <c r="W293" s="5">
        <f>R293-V293</f>
        <v/>
      </c>
    </row>
    <row r="294">
      <c r="A294" s="3" t="n">
        <v>38870</v>
      </c>
      <c r="B294">
        <f>Prices!B294</f>
        <v/>
      </c>
      <c r="C294">
        <f>Prices!C294</f>
        <v/>
      </c>
      <c r="D294">
        <f>Prices!D294</f>
        <v/>
      </c>
      <c r="E294">
        <f>Prices!E294</f>
        <v/>
      </c>
      <c r="F294">
        <f>Prices!F294</f>
        <v/>
      </c>
      <c r="G294">
        <f>IF(AND(292&gt;=16,TEXT(A294,"yyyy-mm")&lt;&gt;TEXT(A295,"yyyy-mm")),1,0)</f>
        <v/>
      </c>
      <c r="H294">
        <f>IF(OR(H293=1,G294=1),1,0)</f>
        <v/>
      </c>
      <c r="I294">
        <f>IF(H293=0,1,SUMPRODUCT(J293:N293,B294:F294)+O293*(1+0.00023125256064071564))</f>
        <v/>
      </c>
      <c r="J294">
        <f>IF(G294=1,0.2*R294/B294,J293)</f>
        <v/>
      </c>
      <c r="K294">
        <f>IF(G294=1,0.2*R294/C294,K293)</f>
        <v/>
      </c>
      <c r="L294">
        <f>IF(G294=1,0.2*R294/D294,L293)</f>
        <v/>
      </c>
      <c r="M294">
        <f>IF(G294=1,0.2*R294/E294,M293)</f>
        <v/>
      </c>
      <c r="N294">
        <f>IF(G294=1,0.2*R294/F294,N293)</f>
        <v/>
      </c>
      <c r="O294">
        <f>IF(G294=1,R294*(1-1.0),IF(H293=0,1,O293*(1+0.00023125256064071564)))</f>
        <v/>
      </c>
      <c r="P294">
        <f>IF(G294=1,IF(H293=0,1,ABS(0.2-J293*B294/I294)+ABS(0.2-K293*C294/I294)+ABS(0.2-L293*D294/I294)+ABS(0.2-M293*E294/I294)+ABS(0.2-N293*F294/I294)),0)</f>
        <v/>
      </c>
      <c r="Q294">
        <f>P294*0.0015</f>
        <v/>
      </c>
      <c r="R294">
        <f>I294*(1-Q294)</f>
        <v/>
      </c>
      <c r="S294">
        <f>R294/R293-1</f>
        <v/>
      </c>
      <c r="T294">
        <f>MAX(T293,R294)</f>
        <v/>
      </c>
      <c r="U294">
        <f>R294/T294-1</f>
        <v/>
      </c>
      <c r="V294" t="n">
        <v>1.663522308478407</v>
      </c>
      <c r="W294" s="5">
        <f>R294-V294</f>
        <v/>
      </c>
    </row>
    <row r="295">
      <c r="A295" s="3" t="n">
        <v>38873</v>
      </c>
      <c r="B295">
        <f>Prices!B295</f>
        <v/>
      </c>
      <c r="C295">
        <f>Prices!C295</f>
        <v/>
      </c>
      <c r="D295">
        <f>Prices!D295</f>
        <v/>
      </c>
      <c r="E295">
        <f>Prices!E295</f>
        <v/>
      </c>
      <c r="F295">
        <f>Prices!F295</f>
        <v/>
      </c>
      <c r="G295">
        <f>IF(AND(293&gt;=16,TEXT(A295,"yyyy-mm")&lt;&gt;TEXT(A296,"yyyy-mm")),1,0)</f>
        <v/>
      </c>
      <c r="H295">
        <f>IF(OR(H294=1,G295=1),1,0)</f>
        <v/>
      </c>
      <c r="I295">
        <f>IF(H294=0,1,SUMPRODUCT(J294:N294,B295:F295)+O294*(1+0.00023125256064071564))</f>
        <v/>
      </c>
      <c r="J295">
        <f>IF(G295=1,0.2*R295/B295,J294)</f>
        <v/>
      </c>
      <c r="K295">
        <f>IF(G295=1,0.2*R295/C295,K294)</f>
        <v/>
      </c>
      <c r="L295">
        <f>IF(G295=1,0.2*R295/D295,L294)</f>
        <v/>
      </c>
      <c r="M295">
        <f>IF(G295=1,0.2*R295/E295,M294)</f>
        <v/>
      </c>
      <c r="N295">
        <f>IF(G295=1,0.2*R295/F295,N294)</f>
        <v/>
      </c>
      <c r="O295">
        <f>IF(G295=1,R295*(1-1.0),IF(H294=0,1,O294*(1+0.00023125256064071564)))</f>
        <v/>
      </c>
      <c r="P295">
        <f>IF(G295=1,IF(H294=0,1,ABS(0.2-J294*B295/I295)+ABS(0.2-K294*C295/I295)+ABS(0.2-L294*D295/I295)+ABS(0.2-M294*E295/I295)+ABS(0.2-N294*F295/I295)),0)</f>
        <v/>
      </c>
      <c r="Q295">
        <f>P295*0.0015</f>
        <v/>
      </c>
      <c r="R295">
        <f>I295*(1-Q295)</f>
        <v/>
      </c>
      <c r="S295">
        <f>R295/R294-1</f>
        <v/>
      </c>
      <c r="T295">
        <f>MAX(T294,R295)</f>
        <v/>
      </c>
      <c r="U295">
        <f>R295/T295-1</f>
        <v/>
      </c>
      <c r="V295" t="n">
        <v>1.627562678135077</v>
      </c>
      <c r="W295" s="5">
        <f>R295-V295</f>
        <v/>
      </c>
    </row>
    <row r="296">
      <c r="A296" s="3" t="n">
        <v>38874</v>
      </c>
      <c r="B296">
        <f>Prices!B296</f>
        <v/>
      </c>
      <c r="C296">
        <f>Prices!C296</f>
        <v/>
      </c>
      <c r="D296">
        <f>Prices!D296</f>
        <v/>
      </c>
      <c r="E296">
        <f>Prices!E296</f>
        <v/>
      </c>
      <c r="F296">
        <f>Prices!F296</f>
        <v/>
      </c>
      <c r="G296">
        <f>IF(AND(294&gt;=16,TEXT(A296,"yyyy-mm")&lt;&gt;TEXT(A297,"yyyy-mm")),1,0)</f>
        <v/>
      </c>
      <c r="H296">
        <f>IF(OR(H295=1,G296=1),1,0)</f>
        <v/>
      </c>
      <c r="I296">
        <f>IF(H295=0,1,SUMPRODUCT(J295:N295,B296:F296)+O295*(1+0.00023125256064071564))</f>
        <v/>
      </c>
      <c r="J296">
        <f>IF(G296=1,0.2*R296/B296,J295)</f>
        <v/>
      </c>
      <c r="K296">
        <f>IF(G296=1,0.2*R296/C296,K295)</f>
        <v/>
      </c>
      <c r="L296">
        <f>IF(G296=1,0.2*R296/D296,L295)</f>
        <v/>
      </c>
      <c r="M296">
        <f>IF(G296=1,0.2*R296/E296,M295)</f>
        <v/>
      </c>
      <c r="N296">
        <f>IF(G296=1,0.2*R296/F296,N295)</f>
        <v/>
      </c>
      <c r="O296">
        <f>IF(G296=1,R296*(1-1.0),IF(H295=0,1,O295*(1+0.00023125256064071564)))</f>
        <v/>
      </c>
      <c r="P296">
        <f>IF(G296=1,IF(H295=0,1,ABS(0.2-J295*B296/I296)+ABS(0.2-K295*C296/I296)+ABS(0.2-L295*D296/I296)+ABS(0.2-M295*E296/I296)+ABS(0.2-N295*F296/I296)),0)</f>
        <v/>
      </c>
      <c r="Q296">
        <f>P296*0.0015</f>
        <v/>
      </c>
      <c r="R296">
        <f>I296*(1-Q296)</f>
        <v/>
      </c>
      <c r="S296">
        <f>R296/R295-1</f>
        <v/>
      </c>
      <c r="T296">
        <f>MAX(T295,R296)</f>
        <v/>
      </c>
      <c r="U296">
        <f>R296/T296-1</f>
        <v/>
      </c>
      <c r="V296" t="n">
        <v>1.574779031553798</v>
      </c>
      <c r="W296" s="5">
        <f>R296-V296</f>
        <v/>
      </c>
    </row>
    <row r="297">
      <c r="A297" s="3" t="n">
        <v>38875</v>
      </c>
      <c r="B297">
        <f>Prices!B297</f>
        <v/>
      </c>
      <c r="C297">
        <f>Prices!C297</f>
        <v/>
      </c>
      <c r="D297">
        <f>Prices!D297</f>
        <v/>
      </c>
      <c r="E297">
        <f>Prices!E297</f>
        <v/>
      </c>
      <c r="F297">
        <f>Prices!F297</f>
        <v/>
      </c>
      <c r="G297">
        <f>IF(AND(295&gt;=16,TEXT(A297,"yyyy-mm")&lt;&gt;TEXT(A298,"yyyy-mm")),1,0)</f>
        <v/>
      </c>
      <c r="H297">
        <f>IF(OR(H296=1,G297=1),1,0)</f>
        <v/>
      </c>
      <c r="I297">
        <f>IF(H296=0,1,SUMPRODUCT(J296:N296,B297:F297)+O296*(1+0.00023125256064071564))</f>
        <v/>
      </c>
      <c r="J297">
        <f>IF(G297=1,0.2*R297/B297,J296)</f>
        <v/>
      </c>
      <c r="K297">
        <f>IF(G297=1,0.2*R297/C297,K296)</f>
        <v/>
      </c>
      <c r="L297">
        <f>IF(G297=1,0.2*R297/D297,L296)</f>
        <v/>
      </c>
      <c r="M297">
        <f>IF(G297=1,0.2*R297/E297,M296)</f>
        <v/>
      </c>
      <c r="N297">
        <f>IF(G297=1,0.2*R297/F297,N296)</f>
        <v/>
      </c>
      <c r="O297">
        <f>IF(G297=1,R297*(1-1.0),IF(H296=0,1,O296*(1+0.00023125256064071564)))</f>
        <v/>
      </c>
      <c r="P297">
        <f>IF(G297=1,IF(H296=0,1,ABS(0.2-J296*B297/I297)+ABS(0.2-K296*C297/I297)+ABS(0.2-L296*D297/I297)+ABS(0.2-M296*E297/I297)+ABS(0.2-N296*F297/I297)),0)</f>
        <v/>
      </c>
      <c r="Q297">
        <f>P297*0.0015</f>
        <v/>
      </c>
      <c r="R297">
        <f>I297*(1-Q297)</f>
        <v/>
      </c>
      <c r="S297">
        <f>R297/R296-1</f>
        <v/>
      </c>
      <c r="T297">
        <f>MAX(T296,R297)</f>
        <v/>
      </c>
      <c r="U297">
        <f>R297/T297-1</f>
        <v/>
      </c>
      <c r="V297" t="n">
        <v>1.492696777489487</v>
      </c>
      <c r="W297" s="5">
        <f>R297-V297</f>
        <v/>
      </c>
    </row>
    <row r="298">
      <c r="A298" s="3" t="n">
        <v>38876</v>
      </c>
      <c r="B298">
        <f>Prices!B298</f>
        <v/>
      </c>
      <c r="C298">
        <f>Prices!C298</f>
        <v/>
      </c>
      <c r="D298">
        <f>Prices!D298</f>
        <v/>
      </c>
      <c r="E298">
        <f>Prices!E298</f>
        <v/>
      </c>
      <c r="F298">
        <f>Prices!F298</f>
        <v/>
      </c>
      <c r="G298">
        <f>IF(AND(296&gt;=16,TEXT(A298,"yyyy-mm")&lt;&gt;TEXT(A299,"yyyy-mm")),1,0)</f>
        <v/>
      </c>
      <c r="H298">
        <f>IF(OR(H297=1,G298=1),1,0)</f>
        <v/>
      </c>
      <c r="I298">
        <f>IF(H297=0,1,SUMPRODUCT(J297:N297,B298:F298)+O297*(1+0.00023125256064071564))</f>
        <v/>
      </c>
      <c r="J298">
        <f>IF(G298=1,0.2*R298/B298,J297)</f>
        <v/>
      </c>
      <c r="K298">
        <f>IF(G298=1,0.2*R298/C298,K297)</f>
        <v/>
      </c>
      <c r="L298">
        <f>IF(G298=1,0.2*R298/D298,L297)</f>
        <v/>
      </c>
      <c r="M298">
        <f>IF(G298=1,0.2*R298/E298,M297)</f>
        <v/>
      </c>
      <c r="N298">
        <f>IF(G298=1,0.2*R298/F298,N297)</f>
        <v/>
      </c>
      <c r="O298">
        <f>IF(G298=1,R298*(1-1.0),IF(H297=0,1,O297*(1+0.00023125256064071564)))</f>
        <v/>
      </c>
      <c r="P298">
        <f>IF(G298=1,IF(H297=0,1,ABS(0.2-J297*B298/I298)+ABS(0.2-K297*C298/I298)+ABS(0.2-L297*D298/I298)+ABS(0.2-M297*E298/I298)+ABS(0.2-N297*F298/I298)),0)</f>
        <v/>
      </c>
      <c r="Q298">
        <f>P298*0.0015</f>
        <v/>
      </c>
      <c r="R298">
        <f>I298*(1-Q298)</f>
        <v/>
      </c>
      <c r="S298">
        <f>R298/R297-1</f>
        <v/>
      </c>
      <c r="T298">
        <f>MAX(T297,R298)</f>
        <v/>
      </c>
      <c r="U298">
        <f>R298/T298-1</f>
        <v/>
      </c>
      <c r="V298" t="n">
        <v>1.396580208388792</v>
      </c>
      <c r="W298" s="5">
        <f>R298-V298</f>
        <v/>
      </c>
    </row>
    <row r="299">
      <c r="A299" s="3" t="n">
        <v>38877</v>
      </c>
      <c r="B299">
        <f>Prices!B299</f>
        <v/>
      </c>
      <c r="C299">
        <f>Prices!C299</f>
        <v/>
      </c>
      <c r="D299">
        <f>Prices!D299</f>
        <v/>
      </c>
      <c r="E299">
        <f>Prices!E299</f>
        <v/>
      </c>
      <c r="F299">
        <f>Prices!F299</f>
        <v/>
      </c>
      <c r="G299">
        <f>IF(AND(297&gt;=16,TEXT(A299,"yyyy-mm")&lt;&gt;TEXT(A300,"yyyy-mm")),1,0)</f>
        <v/>
      </c>
      <c r="H299">
        <f>IF(OR(H298=1,G299=1),1,0)</f>
        <v/>
      </c>
      <c r="I299">
        <f>IF(H298=0,1,SUMPRODUCT(J298:N298,B299:F299)+O298*(1+0.00023125256064071564))</f>
        <v/>
      </c>
      <c r="J299">
        <f>IF(G299=1,0.2*R299/B299,J298)</f>
        <v/>
      </c>
      <c r="K299">
        <f>IF(G299=1,0.2*R299/C299,K298)</f>
        <v/>
      </c>
      <c r="L299">
        <f>IF(G299=1,0.2*R299/D299,L298)</f>
        <v/>
      </c>
      <c r="M299">
        <f>IF(G299=1,0.2*R299/E299,M298)</f>
        <v/>
      </c>
      <c r="N299">
        <f>IF(G299=1,0.2*R299/F299,N298)</f>
        <v/>
      </c>
      <c r="O299">
        <f>IF(G299=1,R299*(1-1.0),IF(H298=0,1,O298*(1+0.00023125256064071564)))</f>
        <v/>
      </c>
      <c r="P299">
        <f>IF(G299=1,IF(H298=0,1,ABS(0.2-J298*B299/I299)+ABS(0.2-K298*C299/I299)+ABS(0.2-L298*D299/I299)+ABS(0.2-M298*E299/I299)+ABS(0.2-N298*F299/I299)),0)</f>
        <v/>
      </c>
      <c r="Q299">
        <f>P299*0.0015</f>
        <v/>
      </c>
      <c r="R299">
        <f>I299*(1-Q299)</f>
        <v/>
      </c>
      <c r="S299">
        <f>R299/R298-1</f>
        <v/>
      </c>
      <c r="T299">
        <f>MAX(T298,R299)</f>
        <v/>
      </c>
      <c r="U299">
        <f>R299/T299-1</f>
        <v/>
      </c>
      <c r="V299" t="n">
        <v>1.471945811670139</v>
      </c>
      <c r="W299" s="5">
        <f>R299-V299</f>
        <v/>
      </c>
    </row>
    <row r="300">
      <c r="A300" s="3" t="n">
        <v>38880</v>
      </c>
      <c r="B300">
        <f>Prices!B300</f>
        <v/>
      </c>
      <c r="C300">
        <f>Prices!C300</f>
        <v/>
      </c>
      <c r="D300">
        <f>Prices!D300</f>
        <v/>
      </c>
      <c r="E300">
        <f>Prices!E300</f>
        <v/>
      </c>
      <c r="F300">
        <f>Prices!F300</f>
        <v/>
      </c>
      <c r="G300">
        <f>IF(AND(298&gt;=16,TEXT(A300,"yyyy-mm")&lt;&gt;TEXT(A301,"yyyy-mm")),1,0)</f>
        <v/>
      </c>
      <c r="H300">
        <f>IF(OR(H299=1,G300=1),1,0)</f>
        <v/>
      </c>
      <c r="I300">
        <f>IF(H299=0,1,SUMPRODUCT(J299:N299,B300:F300)+O299*(1+0.00023125256064071564))</f>
        <v/>
      </c>
      <c r="J300">
        <f>IF(G300=1,0.2*R300/B300,J299)</f>
        <v/>
      </c>
      <c r="K300">
        <f>IF(G300=1,0.2*R300/C300,K299)</f>
        <v/>
      </c>
      <c r="L300">
        <f>IF(G300=1,0.2*R300/D300,L299)</f>
        <v/>
      </c>
      <c r="M300">
        <f>IF(G300=1,0.2*R300/E300,M299)</f>
        <v/>
      </c>
      <c r="N300">
        <f>IF(G300=1,0.2*R300/F300,N299)</f>
        <v/>
      </c>
      <c r="O300">
        <f>IF(G300=1,R300*(1-1.0),IF(H299=0,1,O299*(1+0.00023125256064071564)))</f>
        <v/>
      </c>
      <c r="P300">
        <f>IF(G300=1,IF(H299=0,1,ABS(0.2-J299*B300/I300)+ABS(0.2-K299*C300/I300)+ABS(0.2-L299*D300/I300)+ABS(0.2-M299*E300/I300)+ABS(0.2-N299*F300/I300)),0)</f>
        <v/>
      </c>
      <c r="Q300">
        <f>P300*0.0015</f>
        <v/>
      </c>
      <c r="R300">
        <f>I300*(1-Q300)</f>
        <v/>
      </c>
      <c r="S300">
        <f>R300/R299-1</f>
        <v/>
      </c>
      <c r="T300">
        <f>MAX(T299,R300)</f>
        <v/>
      </c>
      <c r="U300">
        <f>R300/T300-1</f>
        <v/>
      </c>
      <c r="V300" t="n">
        <v>1.430846601502893</v>
      </c>
      <c r="W300" s="5">
        <f>R300-V300</f>
        <v/>
      </c>
    </row>
    <row r="301">
      <c r="A301" s="3" t="n">
        <v>38881</v>
      </c>
      <c r="B301">
        <f>Prices!B301</f>
        <v/>
      </c>
      <c r="C301">
        <f>Prices!C301</f>
        <v/>
      </c>
      <c r="D301">
        <f>Prices!D301</f>
        <v/>
      </c>
      <c r="E301">
        <f>Prices!E301</f>
        <v/>
      </c>
      <c r="F301">
        <f>Prices!F301</f>
        <v/>
      </c>
      <c r="G301">
        <f>IF(AND(299&gt;=16,TEXT(A301,"yyyy-mm")&lt;&gt;TEXT(A302,"yyyy-mm")),1,0)</f>
        <v/>
      </c>
      <c r="H301">
        <f>IF(OR(H300=1,G301=1),1,0)</f>
        <v/>
      </c>
      <c r="I301">
        <f>IF(H300=0,1,SUMPRODUCT(J300:N300,B301:F301)+O300*(1+0.00023125256064071564))</f>
        <v/>
      </c>
      <c r="J301">
        <f>IF(G301=1,0.2*R301/B301,J300)</f>
        <v/>
      </c>
      <c r="K301">
        <f>IF(G301=1,0.2*R301/C301,K300)</f>
        <v/>
      </c>
      <c r="L301">
        <f>IF(G301=1,0.2*R301/D301,L300)</f>
        <v/>
      </c>
      <c r="M301">
        <f>IF(G301=1,0.2*R301/E301,M300)</f>
        <v/>
      </c>
      <c r="N301">
        <f>IF(G301=1,0.2*R301/F301,N300)</f>
        <v/>
      </c>
      <c r="O301">
        <f>IF(G301=1,R301*(1-1.0),IF(H300=0,1,O300*(1+0.00023125256064071564)))</f>
        <v/>
      </c>
      <c r="P301">
        <f>IF(G301=1,IF(H300=0,1,ABS(0.2-J300*B301/I301)+ABS(0.2-K300*C301/I301)+ABS(0.2-L300*D301/I301)+ABS(0.2-M300*E301/I301)+ABS(0.2-N300*F301/I301)),0)</f>
        <v/>
      </c>
      <c r="Q301">
        <f>P301*0.0015</f>
        <v/>
      </c>
      <c r="R301">
        <f>I301*(1-Q301)</f>
        <v/>
      </c>
      <c r="S301">
        <f>R301/R300-1</f>
        <v/>
      </c>
      <c r="T301">
        <f>MAX(T300,R301)</f>
        <v/>
      </c>
      <c r="U301">
        <f>R301/T301-1</f>
        <v/>
      </c>
      <c r="V301" t="n">
        <v>1.349107264958145</v>
      </c>
      <c r="W301" s="5">
        <f>R301-V301</f>
        <v/>
      </c>
    </row>
    <row r="302">
      <c r="A302" s="3" t="n">
        <v>38882</v>
      </c>
      <c r="B302">
        <f>Prices!B302</f>
        <v/>
      </c>
      <c r="C302">
        <f>Prices!C302</f>
        <v/>
      </c>
      <c r="D302">
        <f>Prices!D302</f>
        <v/>
      </c>
      <c r="E302">
        <f>Prices!E302</f>
        <v/>
      </c>
      <c r="F302">
        <f>Prices!F302</f>
        <v/>
      </c>
      <c r="G302">
        <f>IF(AND(300&gt;=16,TEXT(A302,"yyyy-mm")&lt;&gt;TEXT(A303,"yyyy-mm")),1,0)</f>
        <v/>
      </c>
      <c r="H302">
        <f>IF(OR(H301=1,G302=1),1,0)</f>
        <v/>
      </c>
      <c r="I302">
        <f>IF(H301=0,1,SUMPRODUCT(J301:N301,B302:F302)+O301*(1+0.00023125256064071564))</f>
        <v/>
      </c>
      <c r="J302">
        <f>IF(G302=1,0.2*R302/B302,J301)</f>
        <v/>
      </c>
      <c r="K302">
        <f>IF(G302=1,0.2*R302/C302,K301)</f>
        <v/>
      </c>
      <c r="L302">
        <f>IF(G302=1,0.2*R302/D302,L301)</f>
        <v/>
      </c>
      <c r="M302">
        <f>IF(G302=1,0.2*R302/E302,M301)</f>
        <v/>
      </c>
      <c r="N302">
        <f>IF(G302=1,0.2*R302/F302,N301)</f>
        <v/>
      </c>
      <c r="O302">
        <f>IF(G302=1,R302*(1-1.0),IF(H301=0,1,O301*(1+0.00023125256064071564)))</f>
        <v/>
      </c>
      <c r="P302">
        <f>IF(G302=1,IF(H301=0,1,ABS(0.2-J301*B302/I302)+ABS(0.2-K301*C302/I302)+ABS(0.2-L301*D302/I302)+ABS(0.2-M301*E302/I302)+ABS(0.2-N301*F302/I302)),0)</f>
        <v/>
      </c>
      <c r="Q302">
        <f>P302*0.0015</f>
        <v/>
      </c>
      <c r="R302">
        <f>I302*(1-Q302)</f>
        <v/>
      </c>
      <c r="S302">
        <f>R302/R301-1</f>
        <v/>
      </c>
      <c r="T302">
        <f>MAX(T301,R302)</f>
        <v/>
      </c>
      <c r="U302">
        <f>R302/T302-1</f>
        <v/>
      </c>
      <c r="V302" t="n">
        <v>1.318067159692068</v>
      </c>
      <c r="W302" s="5">
        <f>R302-V302</f>
        <v/>
      </c>
    </row>
    <row r="303">
      <c r="A303" s="3" t="n">
        <v>38883</v>
      </c>
      <c r="B303">
        <f>Prices!B303</f>
        <v/>
      </c>
      <c r="C303">
        <f>Prices!C303</f>
        <v/>
      </c>
      <c r="D303">
        <f>Prices!D303</f>
        <v/>
      </c>
      <c r="E303">
        <f>Prices!E303</f>
        <v/>
      </c>
      <c r="F303">
        <f>Prices!F303</f>
        <v/>
      </c>
      <c r="G303">
        <f>IF(AND(301&gt;=16,TEXT(A303,"yyyy-mm")&lt;&gt;TEXT(A304,"yyyy-mm")),1,0)</f>
        <v/>
      </c>
      <c r="H303">
        <f>IF(OR(H302=1,G303=1),1,0)</f>
        <v/>
      </c>
      <c r="I303">
        <f>IF(H302=0,1,SUMPRODUCT(J302:N302,B303:F303)+O302*(1+0.00023125256064071564))</f>
        <v/>
      </c>
      <c r="J303">
        <f>IF(G303=1,0.2*R303/B303,J302)</f>
        <v/>
      </c>
      <c r="K303">
        <f>IF(G303=1,0.2*R303/C303,K302)</f>
        <v/>
      </c>
      <c r="L303">
        <f>IF(G303=1,0.2*R303/D303,L302)</f>
        <v/>
      </c>
      <c r="M303">
        <f>IF(G303=1,0.2*R303/E303,M302)</f>
        <v/>
      </c>
      <c r="N303">
        <f>IF(G303=1,0.2*R303/F303,N302)</f>
        <v/>
      </c>
      <c r="O303">
        <f>IF(G303=1,R303*(1-1.0),IF(H302=0,1,O302*(1+0.00023125256064071564)))</f>
        <v/>
      </c>
      <c r="P303">
        <f>IF(G303=1,IF(H302=0,1,ABS(0.2-J302*B303/I303)+ABS(0.2-K302*C303/I303)+ABS(0.2-L302*D303/I303)+ABS(0.2-M302*E303/I303)+ABS(0.2-N302*F303/I303)),0)</f>
        <v/>
      </c>
      <c r="Q303">
        <f>P303*0.0015</f>
        <v/>
      </c>
      <c r="R303">
        <f>I303*(1-Q303)</f>
        <v/>
      </c>
      <c r="S303">
        <f>R303/R302-1</f>
        <v/>
      </c>
      <c r="T303">
        <f>MAX(T302,R303)</f>
        <v/>
      </c>
      <c r="U303">
        <f>R303/T303-1</f>
        <v/>
      </c>
      <c r="V303" t="n">
        <v>1.40341120861696</v>
      </c>
      <c r="W303" s="5">
        <f>R303-V303</f>
        <v/>
      </c>
    </row>
    <row r="304">
      <c r="A304" s="3" t="n">
        <v>38884</v>
      </c>
      <c r="B304">
        <f>Prices!B304</f>
        <v/>
      </c>
      <c r="C304">
        <f>Prices!C304</f>
        <v/>
      </c>
      <c r="D304">
        <f>Prices!D304</f>
        <v/>
      </c>
      <c r="E304">
        <f>Prices!E304</f>
        <v/>
      </c>
      <c r="F304">
        <f>Prices!F304</f>
        <v/>
      </c>
      <c r="G304">
        <f>IF(AND(302&gt;=16,TEXT(A304,"yyyy-mm")&lt;&gt;TEXT(A305,"yyyy-mm")),1,0)</f>
        <v/>
      </c>
      <c r="H304">
        <f>IF(OR(H303=1,G304=1),1,0)</f>
        <v/>
      </c>
      <c r="I304">
        <f>IF(H303=0,1,SUMPRODUCT(J303:N303,B304:F304)+O303*(1+0.00023125256064071564))</f>
        <v/>
      </c>
      <c r="J304">
        <f>IF(G304=1,0.2*R304/B304,J303)</f>
        <v/>
      </c>
      <c r="K304">
        <f>IF(G304=1,0.2*R304/C304,K303)</f>
        <v/>
      </c>
      <c r="L304">
        <f>IF(G304=1,0.2*R304/D304,L303)</f>
        <v/>
      </c>
      <c r="M304">
        <f>IF(G304=1,0.2*R304/E304,M303)</f>
        <v/>
      </c>
      <c r="N304">
        <f>IF(G304=1,0.2*R304/F304,N303)</f>
        <v/>
      </c>
      <c r="O304">
        <f>IF(G304=1,R304*(1-1.0),IF(H303=0,1,O303*(1+0.00023125256064071564)))</f>
        <v/>
      </c>
      <c r="P304">
        <f>IF(G304=1,IF(H303=0,1,ABS(0.2-J303*B304/I304)+ABS(0.2-K303*C304/I304)+ABS(0.2-L303*D304/I304)+ABS(0.2-M303*E304/I304)+ABS(0.2-N303*F304/I304)),0)</f>
        <v/>
      </c>
      <c r="Q304">
        <f>P304*0.0015</f>
        <v/>
      </c>
      <c r="R304">
        <f>I304*(1-Q304)</f>
        <v/>
      </c>
      <c r="S304">
        <f>R304/R303-1</f>
        <v/>
      </c>
      <c r="T304">
        <f>MAX(T303,R304)</f>
        <v/>
      </c>
      <c r="U304">
        <f>R304/T304-1</f>
        <v/>
      </c>
      <c r="V304" t="n">
        <v>1.456624300092961</v>
      </c>
      <c r="W304" s="5">
        <f>R304-V304</f>
        <v/>
      </c>
    </row>
    <row r="305">
      <c r="A305" s="3" t="n">
        <v>38887</v>
      </c>
      <c r="B305">
        <f>Prices!B305</f>
        <v/>
      </c>
      <c r="C305">
        <f>Prices!C305</f>
        <v/>
      </c>
      <c r="D305">
        <f>Prices!D305</f>
        <v/>
      </c>
      <c r="E305">
        <f>Prices!E305</f>
        <v/>
      </c>
      <c r="F305">
        <f>Prices!F305</f>
        <v/>
      </c>
      <c r="G305">
        <f>IF(AND(303&gt;=16,TEXT(A305,"yyyy-mm")&lt;&gt;TEXT(A306,"yyyy-mm")),1,0)</f>
        <v/>
      </c>
      <c r="H305">
        <f>IF(OR(H304=1,G305=1),1,0)</f>
        <v/>
      </c>
      <c r="I305">
        <f>IF(H304=0,1,SUMPRODUCT(J304:N304,B305:F305)+O304*(1+0.00023125256064071564))</f>
        <v/>
      </c>
      <c r="J305">
        <f>IF(G305=1,0.2*R305/B305,J304)</f>
        <v/>
      </c>
      <c r="K305">
        <f>IF(G305=1,0.2*R305/C305,K304)</f>
        <v/>
      </c>
      <c r="L305">
        <f>IF(G305=1,0.2*R305/D305,L304)</f>
        <v/>
      </c>
      <c r="M305">
        <f>IF(G305=1,0.2*R305/E305,M304)</f>
        <v/>
      </c>
      <c r="N305">
        <f>IF(G305=1,0.2*R305/F305,N304)</f>
        <v/>
      </c>
      <c r="O305">
        <f>IF(G305=1,R305*(1-1.0),IF(H304=0,1,O304*(1+0.00023125256064071564)))</f>
        <v/>
      </c>
      <c r="P305">
        <f>IF(G305=1,IF(H304=0,1,ABS(0.2-J304*B305/I305)+ABS(0.2-K304*C305/I305)+ABS(0.2-L304*D305/I305)+ABS(0.2-M304*E305/I305)+ABS(0.2-N304*F305/I305)),0)</f>
        <v/>
      </c>
      <c r="Q305">
        <f>P305*0.0015</f>
        <v/>
      </c>
      <c r="R305">
        <f>I305*(1-Q305)</f>
        <v/>
      </c>
      <c r="S305">
        <f>R305/R304-1</f>
        <v/>
      </c>
      <c r="T305">
        <f>MAX(T304,R305)</f>
        <v/>
      </c>
      <c r="U305">
        <f>R305/T305-1</f>
        <v/>
      </c>
      <c r="V305" t="n">
        <v>1.485656150029851</v>
      </c>
      <c r="W305" s="5">
        <f>R305-V305</f>
        <v/>
      </c>
    </row>
    <row r="306">
      <c r="A306" s="3" t="n">
        <v>38888</v>
      </c>
      <c r="B306">
        <f>Prices!B306</f>
        <v/>
      </c>
      <c r="C306">
        <f>Prices!C306</f>
        <v/>
      </c>
      <c r="D306">
        <f>Prices!D306</f>
        <v/>
      </c>
      <c r="E306">
        <f>Prices!E306</f>
        <v/>
      </c>
      <c r="F306">
        <f>Prices!F306</f>
        <v/>
      </c>
      <c r="G306">
        <f>IF(AND(304&gt;=16,TEXT(A306,"yyyy-mm")&lt;&gt;TEXT(A307,"yyyy-mm")),1,0)</f>
        <v/>
      </c>
      <c r="H306">
        <f>IF(OR(H305=1,G306=1),1,0)</f>
        <v/>
      </c>
      <c r="I306">
        <f>IF(H305=0,1,SUMPRODUCT(J305:N305,B306:F306)+O305*(1+0.00023125256064071564))</f>
        <v/>
      </c>
      <c r="J306">
        <f>IF(G306=1,0.2*R306/B306,J305)</f>
        <v/>
      </c>
      <c r="K306">
        <f>IF(G306=1,0.2*R306/C306,K305)</f>
        <v/>
      </c>
      <c r="L306">
        <f>IF(G306=1,0.2*R306/D306,L305)</f>
        <v/>
      </c>
      <c r="M306">
        <f>IF(G306=1,0.2*R306/E306,M305)</f>
        <v/>
      </c>
      <c r="N306">
        <f>IF(G306=1,0.2*R306/F306,N305)</f>
        <v/>
      </c>
      <c r="O306">
        <f>IF(G306=1,R306*(1-1.0),IF(H305=0,1,O305*(1+0.00023125256064071564)))</f>
        <v/>
      </c>
      <c r="P306">
        <f>IF(G306=1,IF(H305=0,1,ABS(0.2-J305*B306/I306)+ABS(0.2-K305*C306/I306)+ABS(0.2-L305*D306/I306)+ABS(0.2-M305*E306/I306)+ABS(0.2-N305*F306/I306)),0)</f>
        <v/>
      </c>
      <c r="Q306">
        <f>P306*0.0015</f>
        <v/>
      </c>
      <c r="R306">
        <f>I306*(1-Q306)</f>
        <v/>
      </c>
      <c r="S306">
        <f>R306/R305-1</f>
        <v/>
      </c>
      <c r="T306">
        <f>MAX(T305,R306)</f>
        <v/>
      </c>
      <c r="U306">
        <f>R306/T306-1</f>
        <v/>
      </c>
      <c r="V306" t="n">
        <v>1.477214157075142</v>
      </c>
      <c r="W306" s="5">
        <f>R306-V306</f>
        <v/>
      </c>
    </row>
    <row r="307">
      <c r="A307" s="3" t="n">
        <v>38889</v>
      </c>
      <c r="B307">
        <f>Prices!B307</f>
        <v/>
      </c>
      <c r="C307">
        <f>Prices!C307</f>
        <v/>
      </c>
      <c r="D307">
        <f>Prices!D307</f>
        <v/>
      </c>
      <c r="E307">
        <f>Prices!E307</f>
        <v/>
      </c>
      <c r="F307">
        <f>Prices!F307</f>
        <v/>
      </c>
      <c r="G307">
        <f>IF(AND(305&gt;=16,TEXT(A307,"yyyy-mm")&lt;&gt;TEXT(A308,"yyyy-mm")),1,0)</f>
        <v/>
      </c>
      <c r="H307">
        <f>IF(OR(H306=1,G307=1),1,0)</f>
        <v/>
      </c>
      <c r="I307">
        <f>IF(H306=0,1,SUMPRODUCT(J306:N306,B307:F307)+O306*(1+0.00023125256064071564))</f>
        <v/>
      </c>
      <c r="J307">
        <f>IF(G307=1,0.2*R307/B307,J306)</f>
        <v/>
      </c>
      <c r="K307">
        <f>IF(G307=1,0.2*R307/C307,K306)</f>
        <v/>
      </c>
      <c r="L307">
        <f>IF(G307=1,0.2*R307/D307,L306)</f>
        <v/>
      </c>
      <c r="M307">
        <f>IF(G307=1,0.2*R307/E307,M306)</f>
        <v/>
      </c>
      <c r="N307">
        <f>IF(G307=1,0.2*R307/F307,N306)</f>
        <v/>
      </c>
      <c r="O307">
        <f>IF(G307=1,R307*(1-1.0),IF(H306=0,1,O306*(1+0.00023125256064071564)))</f>
        <v/>
      </c>
      <c r="P307">
        <f>IF(G307=1,IF(H306=0,1,ABS(0.2-J306*B307/I307)+ABS(0.2-K306*C307/I307)+ABS(0.2-L306*D307/I307)+ABS(0.2-M306*E307/I307)+ABS(0.2-N306*F307/I307)),0)</f>
        <v/>
      </c>
      <c r="Q307">
        <f>P307*0.0015</f>
        <v/>
      </c>
      <c r="R307">
        <f>I307*(1-Q307)</f>
        <v/>
      </c>
      <c r="S307">
        <f>R307/R306-1</f>
        <v/>
      </c>
      <c r="T307">
        <f>MAX(T306,R307)</f>
        <v/>
      </c>
      <c r="U307">
        <f>R307/T307-1</f>
        <v/>
      </c>
      <c r="V307" t="n">
        <v>1.513261716938561</v>
      </c>
      <c r="W307" s="5">
        <f>R307-V307</f>
        <v/>
      </c>
    </row>
    <row r="308">
      <c r="A308" s="3" t="n">
        <v>38890</v>
      </c>
      <c r="B308">
        <f>Prices!B308</f>
        <v/>
      </c>
      <c r="C308">
        <f>Prices!C308</f>
        <v/>
      </c>
      <c r="D308">
        <f>Prices!D308</f>
        <v/>
      </c>
      <c r="E308">
        <f>Prices!E308</f>
        <v/>
      </c>
      <c r="F308">
        <f>Prices!F308</f>
        <v/>
      </c>
      <c r="G308">
        <f>IF(AND(306&gt;=16,TEXT(A308,"yyyy-mm")&lt;&gt;TEXT(A309,"yyyy-mm")),1,0)</f>
        <v/>
      </c>
      <c r="H308">
        <f>IF(OR(H307=1,G308=1),1,0)</f>
        <v/>
      </c>
      <c r="I308">
        <f>IF(H307=0,1,SUMPRODUCT(J307:N307,B308:F308)+O307*(1+0.00023125256064071564))</f>
        <v/>
      </c>
      <c r="J308">
        <f>IF(G308=1,0.2*R308/B308,J307)</f>
        <v/>
      </c>
      <c r="K308">
        <f>IF(G308=1,0.2*R308/C308,K307)</f>
        <v/>
      </c>
      <c r="L308">
        <f>IF(G308=1,0.2*R308/D308,L307)</f>
        <v/>
      </c>
      <c r="M308">
        <f>IF(G308=1,0.2*R308/E308,M307)</f>
        <v/>
      </c>
      <c r="N308">
        <f>IF(G308=1,0.2*R308/F308,N307)</f>
        <v/>
      </c>
      <c r="O308">
        <f>IF(G308=1,R308*(1-1.0),IF(H307=0,1,O307*(1+0.00023125256064071564)))</f>
        <v/>
      </c>
      <c r="P308">
        <f>IF(G308=1,IF(H307=0,1,ABS(0.2-J307*B308/I308)+ABS(0.2-K307*C308/I308)+ABS(0.2-L307*D308/I308)+ABS(0.2-M307*E308/I308)+ABS(0.2-N307*F308/I308)),0)</f>
        <v/>
      </c>
      <c r="Q308">
        <f>P308*0.0015</f>
        <v/>
      </c>
      <c r="R308">
        <f>I308*(1-Q308)</f>
        <v/>
      </c>
      <c r="S308">
        <f>R308/R307-1</f>
        <v/>
      </c>
      <c r="T308">
        <f>MAX(T307,R308)</f>
        <v/>
      </c>
      <c r="U308">
        <f>R308/T308-1</f>
        <v/>
      </c>
      <c r="V308" t="n">
        <v>1.551158090371316</v>
      </c>
      <c r="W308" s="5">
        <f>R308-V308</f>
        <v/>
      </c>
    </row>
    <row r="309">
      <c r="A309" s="3" t="n">
        <v>38891</v>
      </c>
      <c r="B309">
        <f>Prices!B309</f>
        <v/>
      </c>
      <c r="C309">
        <f>Prices!C309</f>
        <v/>
      </c>
      <c r="D309">
        <f>Prices!D309</f>
        <v/>
      </c>
      <c r="E309">
        <f>Prices!E309</f>
        <v/>
      </c>
      <c r="F309">
        <f>Prices!F309</f>
        <v/>
      </c>
      <c r="G309">
        <f>IF(AND(307&gt;=16,TEXT(A309,"yyyy-mm")&lt;&gt;TEXT(A310,"yyyy-mm")),1,0)</f>
        <v/>
      </c>
      <c r="H309">
        <f>IF(OR(H308=1,G309=1),1,0)</f>
        <v/>
      </c>
      <c r="I309">
        <f>IF(H308=0,1,SUMPRODUCT(J308:N308,B309:F309)+O308*(1+0.00023125256064071564))</f>
        <v/>
      </c>
      <c r="J309">
        <f>IF(G309=1,0.2*R309/B309,J308)</f>
        <v/>
      </c>
      <c r="K309">
        <f>IF(G309=1,0.2*R309/C309,K308)</f>
        <v/>
      </c>
      <c r="L309">
        <f>IF(G309=1,0.2*R309/D309,L308)</f>
        <v/>
      </c>
      <c r="M309">
        <f>IF(G309=1,0.2*R309/E309,M308)</f>
        <v/>
      </c>
      <c r="N309">
        <f>IF(G309=1,0.2*R309/F309,N308)</f>
        <v/>
      </c>
      <c r="O309">
        <f>IF(G309=1,R309*(1-1.0),IF(H308=0,1,O308*(1+0.00023125256064071564)))</f>
        <v/>
      </c>
      <c r="P309">
        <f>IF(G309=1,IF(H308=0,1,ABS(0.2-J308*B309/I309)+ABS(0.2-K308*C309/I309)+ABS(0.2-L308*D309/I309)+ABS(0.2-M308*E309/I309)+ABS(0.2-N308*F309/I309)),0)</f>
        <v/>
      </c>
      <c r="Q309">
        <f>P309*0.0015</f>
        <v/>
      </c>
      <c r="R309">
        <f>I309*(1-Q309)</f>
        <v/>
      </c>
      <c r="S309">
        <f>R309/R308-1</f>
        <v/>
      </c>
      <c r="T309">
        <f>MAX(T308,R309)</f>
        <v/>
      </c>
      <c r="U309">
        <f>R309/T309-1</f>
        <v/>
      </c>
      <c r="V309" t="n">
        <v>1.563444288608792</v>
      </c>
      <c r="W309" s="5">
        <f>R309-V309</f>
        <v/>
      </c>
    </row>
    <row r="310">
      <c r="A310" s="3" t="n">
        <v>38893</v>
      </c>
      <c r="B310">
        <f>Prices!B310</f>
        <v/>
      </c>
      <c r="C310">
        <f>Prices!C310</f>
        <v/>
      </c>
      <c r="D310">
        <f>Prices!D310</f>
        <v/>
      </c>
      <c r="E310">
        <f>Prices!E310</f>
        <v/>
      </c>
      <c r="F310">
        <f>Prices!F310</f>
        <v/>
      </c>
      <c r="G310">
        <f>IF(AND(308&gt;=16,TEXT(A310,"yyyy-mm")&lt;&gt;TEXT(A311,"yyyy-mm")),1,0)</f>
        <v/>
      </c>
      <c r="H310">
        <f>IF(OR(H309=1,G310=1),1,0)</f>
        <v/>
      </c>
      <c r="I310">
        <f>IF(H309=0,1,SUMPRODUCT(J309:N309,B310:F310)+O309*(1+0.00023125256064071564))</f>
        <v/>
      </c>
      <c r="J310">
        <f>IF(G310=1,0.2*R310/B310,J309)</f>
        <v/>
      </c>
      <c r="K310">
        <f>IF(G310=1,0.2*R310/C310,K309)</f>
        <v/>
      </c>
      <c r="L310">
        <f>IF(G310=1,0.2*R310/D310,L309)</f>
        <v/>
      </c>
      <c r="M310">
        <f>IF(G310=1,0.2*R310/E310,M309)</f>
        <v/>
      </c>
      <c r="N310">
        <f>IF(G310=1,0.2*R310/F310,N309)</f>
        <v/>
      </c>
      <c r="O310">
        <f>IF(G310=1,R310*(1-1.0),IF(H309=0,1,O309*(1+0.00023125256064071564)))</f>
        <v/>
      </c>
      <c r="P310">
        <f>IF(G310=1,IF(H309=0,1,ABS(0.2-J309*B310/I310)+ABS(0.2-K309*C310/I310)+ABS(0.2-L309*D310/I310)+ABS(0.2-M309*E310/I310)+ABS(0.2-N309*F310/I310)),0)</f>
        <v/>
      </c>
      <c r="Q310">
        <f>P310*0.0015</f>
        <v/>
      </c>
      <c r="R310">
        <f>I310*(1-Q310)</f>
        <v/>
      </c>
      <c r="S310">
        <f>R310/R309-1</f>
        <v/>
      </c>
      <c r="T310">
        <f>MAX(T309,R310)</f>
        <v/>
      </c>
      <c r="U310">
        <f>R310/T310-1</f>
        <v/>
      </c>
      <c r="V310" t="n">
        <v>1.575599955189563</v>
      </c>
      <c r="W310" s="5">
        <f>R310-V310</f>
        <v/>
      </c>
    </row>
    <row r="311">
      <c r="A311" s="3" t="n">
        <v>38894</v>
      </c>
      <c r="B311">
        <f>Prices!B311</f>
        <v/>
      </c>
      <c r="C311">
        <f>Prices!C311</f>
        <v/>
      </c>
      <c r="D311">
        <f>Prices!D311</f>
        <v/>
      </c>
      <c r="E311">
        <f>Prices!E311</f>
        <v/>
      </c>
      <c r="F311">
        <f>Prices!F311</f>
        <v/>
      </c>
      <c r="G311">
        <f>IF(AND(309&gt;=16,TEXT(A311,"yyyy-mm")&lt;&gt;TEXT(A312,"yyyy-mm")),1,0)</f>
        <v/>
      </c>
      <c r="H311">
        <f>IF(OR(H310=1,G311=1),1,0)</f>
        <v/>
      </c>
      <c r="I311">
        <f>IF(H310=0,1,SUMPRODUCT(J310:N310,B311:F311)+O310*(1+0.00023125256064071564))</f>
        <v/>
      </c>
      <c r="J311">
        <f>IF(G311=1,0.2*R311/B311,J310)</f>
        <v/>
      </c>
      <c r="K311">
        <f>IF(G311=1,0.2*R311/C311,K310)</f>
        <v/>
      </c>
      <c r="L311">
        <f>IF(G311=1,0.2*R311/D311,L310)</f>
        <v/>
      </c>
      <c r="M311">
        <f>IF(G311=1,0.2*R311/E311,M310)</f>
        <v/>
      </c>
      <c r="N311">
        <f>IF(G311=1,0.2*R311/F311,N310)</f>
        <v/>
      </c>
      <c r="O311">
        <f>IF(G311=1,R311*(1-1.0),IF(H310=0,1,O310*(1+0.00023125256064071564)))</f>
        <v/>
      </c>
      <c r="P311">
        <f>IF(G311=1,IF(H310=0,1,ABS(0.2-J310*B311/I311)+ABS(0.2-K310*C311/I311)+ABS(0.2-L310*D311/I311)+ABS(0.2-M310*E311/I311)+ABS(0.2-N310*F311/I311)),0)</f>
        <v/>
      </c>
      <c r="Q311">
        <f>P311*0.0015</f>
        <v/>
      </c>
      <c r="R311">
        <f>I311*(1-Q311)</f>
        <v/>
      </c>
      <c r="S311">
        <f>R311/R310-1</f>
        <v/>
      </c>
      <c r="T311">
        <f>MAX(T310,R311)</f>
        <v/>
      </c>
      <c r="U311">
        <f>R311/T311-1</f>
        <v/>
      </c>
      <c r="V311" t="n">
        <v>1.511991391226737</v>
      </c>
      <c r="W311" s="5">
        <f>R311-V311</f>
        <v/>
      </c>
    </row>
    <row r="312">
      <c r="A312" s="3" t="n">
        <v>38895</v>
      </c>
      <c r="B312">
        <f>Prices!B312</f>
        <v/>
      </c>
      <c r="C312">
        <f>Prices!C312</f>
        <v/>
      </c>
      <c r="D312">
        <f>Prices!D312</f>
        <v/>
      </c>
      <c r="E312">
        <f>Prices!E312</f>
        <v/>
      </c>
      <c r="F312">
        <f>Prices!F312</f>
        <v/>
      </c>
      <c r="G312">
        <f>IF(AND(310&gt;=16,TEXT(A312,"yyyy-mm")&lt;&gt;TEXT(A313,"yyyy-mm")),1,0)</f>
        <v/>
      </c>
      <c r="H312">
        <f>IF(OR(H311=1,G312=1),1,0)</f>
        <v/>
      </c>
      <c r="I312">
        <f>IF(H311=0,1,SUMPRODUCT(J311:N311,B312:F312)+O311*(1+0.00023125256064071564))</f>
        <v/>
      </c>
      <c r="J312">
        <f>IF(G312=1,0.2*R312/B312,J311)</f>
        <v/>
      </c>
      <c r="K312">
        <f>IF(G312=1,0.2*R312/C312,K311)</f>
        <v/>
      </c>
      <c r="L312">
        <f>IF(G312=1,0.2*R312/D312,L311)</f>
        <v/>
      </c>
      <c r="M312">
        <f>IF(G312=1,0.2*R312/E312,M311)</f>
        <v/>
      </c>
      <c r="N312">
        <f>IF(G312=1,0.2*R312/F312,N311)</f>
        <v/>
      </c>
      <c r="O312">
        <f>IF(G312=1,R312*(1-1.0),IF(H311=0,1,O311*(1+0.00023125256064071564)))</f>
        <v/>
      </c>
      <c r="P312">
        <f>IF(G312=1,IF(H311=0,1,ABS(0.2-J311*B312/I312)+ABS(0.2-K311*C312/I312)+ABS(0.2-L311*D312/I312)+ABS(0.2-M311*E312/I312)+ABS(0.2-N311*F312/I312)),0)</f>
        <v/>
      </c>
      <c r="Q312">
        <f>P312*0.0015</f>
        <v/>
      </c>
      <c r="R312">
        <f>I312*(1-Q312)</f>
        <v/>
      </c>
      <c r="S312">
        <f>R312/R311-1</f>
        <v/>
      </c>
      <c r="T312">
        <f>MAX(T311,R312)</f>
        <v/>
      </c>
      <c r="U312">
        <f>R312/T312-1</f>
        <v/>
      </c>
      <c r="V312" t="n">
        <v>1.518126738606171</v>
      </c>
      <c r="W312" s="5">
        <f>R312-V312</f>
        <v/>
      </c>
    </row>
    <row r="313">
      <c r="A313" s="3" t="n">
        <v>38896</v>
      </c>
      <c r="B313">
        <f>Prices!B313</f>
        <v/>
      </c>
      <c r="C313">
        <f>Prices!C313</f>
        <v/>
      </c>
      <c r="D313">
        <f>Prices!D313</f>
        <v/>
      </c>
      <c r="E313">
        <f>Prices!E313</f>
        <v/>
      </c>
      <c r="F313">
        <f>Prices!F313</f>
        <v/>
      </c>
      <c r="G313">
        <f>IF(AND(311&gt;=16,TEXT(A313,"yyyy-mm")&lt;&gt;TEXT(A314,"yyyy-mm")),1,0)</f>
        <v/>
      </c>
      <c r="H313">
        <f>IF(OR(H312=1,G313=1),1,0)</f>
        <v/>
      </c>
      <c r="I313">
        <f>IF(H312=0,1,SUMPRODUCT(J312:N312,B313:F313)+O312*(1+0.00023125256064071564))</f>
        <v/>
      </c>
      <c r="J313">
        <f>IF(G313=1,0.2*R313/B313,J312)</f>
        <v/>
      </c>
      <c r="K313">
        <f>IF(G313=1,0.2*R313/C313,K312)</f>
        <v/>
      </c>
      <c r="L313">
        <f>IF(G313=1,0.2*R313/D313,L312)</f>
        <v/>
      </c>
      <c r="M313">
        <f>IF(G313=1,0.2*R313/E313,M312)</f>
        <v/>
      </c>
      <c r="N313">
        <f>IF(G313=1,0.2*R313/F313,N312)</f>
        <v/>
      </c>
      <c r="O313">
        <f>IF(G313=1,R313*(1-1.0),IF(H312=0,1,O312*(1+0.00023125256064071564)))</f>
        <v/>
      </c>
      <c r="P313">
        <f>IF(G313=1,IF(H312=0,1,ABS(0.2-J312*B313/I313)+ABS(0.2-K312*C313/I313)+ABS(0.2-L312*D313/I313)+ABS(0.2-M312*E313/I313)+ABS(0.2-N312*F313/I313)),0)</f>
        <v/>
      </c>
      <c r="Q313">
        <f>P313*0.0015</f>
        <v/>
      </c>
      <c r="R313">
        <f>I313*(1-Q313)</f>
        <v/>
      </c>
      <c r="S313">
        <f>R313/R312-1</f>
        <v/>
      </c>
      <c r="T313">
        <f>MAX(T312,R313)</f>
        <v/>
      </c>
      <c r="U313">
        <f>R313/T313-1</f>
        <v/>
      </c>
      <c r="V313" t="n">
        <v>1.516731518046625</v>
      </c>
      <c r="W313" s="5">
        <f>R313-V313</f>
        <v/>
      </c>
    </row>
    <row r="314">
      <c r="A314" s="3" t="n">
        <v>38897</v>
      </c>
      <c r="B314">
        <f>Prices!B314</f>
        <v/>
      </c>
      <c r="C314">
        <f>Prices!C314</f>
        <v/>
      </c>
      <c r="D314">
        <f>Prices!D314</f>
        <v/>
      </c>
      <c r="E314">
        <f>Prices!E314</f>
        <v/>
      </c>
      <c r="F314">
        <f>Prices!F314</f>
        <v/>
      </c>
      <c r="G314">
        <f>IF(AND(312&gt;=16,TEXT(A314,"yyyy-mm")&lt;&gt;TEXT(A315,"yyyy-mm")),1,0)</f>
        <v/>
      </c>
      <c r="H314">
        <f>IF(OR(H313=1,G314=1),1,0)</f>
        <v/>
      </c>
      <c r="I314">
        <f>IF(H313=0,1,SUMPRODUCT(J313:N313,B314:F314)+O313*(1+0.00023125256064071564))</f>
        <v/>
      </c>
      <c r="J314">
        <f>IF(G314=1,0.2*R314/B314,J313)</f>
        <v/>
      </c>
      <c r="K314">
        <f>IF(G314=1,0.2*R314/C314,K313)</f>
        <v/>
      </c>
      <c r="L314">
        <f>IF(G314=1,0.2*R314/D314,L313)</f>
        <v/>
      </c>
      <c r="M314">
        <f>IF(G314=1,0.2*R314/E314,M313)</f>
        <v/>
      </c>
      <c r="N314">
        <f>IF(G314=1,0.2*R314/F314,N313)</f>
        <v/>
      </c>
      <c r="O314">
        <f>IF(G314=1,R314*(1-1.0),IF(H313=0,1,O313*(1+0.00023125256064071564)))</f>
        <v/>
      </c>
      <c r="P314">
        <f>IF(G314=1,IF(H313=0,1,ABS(0.2-J313*B314/I314)+ABS(0.2-K313*C314/I314)+ABS(0.2-L313*D314/I314)+ABS(0.2-M313*E314/I314)+ABS(0.2-N313*F314/I314)),0)</f>
        <v/>
      </c>
      <c r="Q314">
        <f>P314*0.0015</f>
        <v/>
      </c>
      <c r="R314">
        <f>I314*(1-Q314)</f>
        <v/>
      </c>
      <c r="S314">
        <f>R314/R313-1</f>
        <v/>
      </c>
      <c r="T314">
        <f>MAX(T313,R314)</f>
        <v/>
      </c>
      <c r="U314">
        <f>R314/T314-1</f>
        <v/>
      </c>
      <c r="V314" t="n">
        <v>1.522702182375882</v>
      </c>
      <c r="W314" s="5">
        <f>R314-V314</f>
        <v/>
      </c>
    </row>
    <row r="315">
      <c r="A315" s="3" t="n">
        <v>38898</v>
      </c>
      <c r="B315">
        <f>Prices!B315</f>
        <v/>
      </c>
      <c r="C315">
        <f>Prices!C315</f>
        <v/>
      </c>
      <c r="D315">
        <f>Prices!D315</f>
        <v/>
      </c>
      <c r="E315">
        <f>Prices!E315</f>
        <v/>
      </c>
      <c r="F315">
        <f>Prices!F315</f>
        <v/>
      </c>
      <c r="G315">
        <f>IF(AND(313&gt;=16,TEXT(A315,"yyyy-mm")&lt;&gt;TEXT(A316,"yyyy-mm")),1,0)</f>
        <v/>
      </c>
      <c r="H315">
        <f>IF(OR(H314=1,G315=1),1,0)</f>
        <v/>
      </c>
      <c r="I315">
        <f>IF(H314=0,1,SUMPRODUCT(J314:N314,B315:F315)+O314*(1+0.00023125256064071564))</f>
        <v/>
      </c>
      <c r="J315">
        <f>IF(G315=1,0.2*R315/B315,J314)</f>
        <v/>
      </c>
      <c r="K315">
        <f>IF(G315=1,0.2*R315/C315,K314)</f>
        <v/>
      </c>
      <c r="L315">
        <f>IF(G315=1,0.2*R315/D315,L314)</f>
        <v/>
      </c>
      <c r="M315">
        <f>IF(G315=1,0.2*R315/E315,M314)</f>
        <v/>
      </c>
      <c r="N315">
        <f>IF(G315=1,0.2*R315/F315,N314)</f>
        <v/>
      </c>
      <c r="O315">
        <f>IF(G315=1,R315*(1-1.0),IF(H314=0,1,O314*(1+0.00023125256064071564)))</f>
        <v/>
      </c>
      <c r="P315">
        <f>IF(G315=1,IF(H314=0,1,ABS(0.2-J314*B315/I315)+ABS(0.2-K314*C315/I315)+ABS(0.2-L314*D315/I315)+ABS(0.2-M314*E315/I315)+ABS(0.2-N314*F315/I315)),0)</f>
        <v/>
      </c>
      <c r="Q315">
        <f>P315*0.0015</f>
        <v/>
      </c>
      <c r="R315">
        <f>I315*(1-Q315)</f>
        <v/>
      </c>
      <c r="S315">
        <f>R315/R314-1</f>
        <v/>
      </c>
      <c r="T315">
        <f>MAX(T314,R315)</f>
        <v/>
      </c>
      <c r="U315">
        <f>R315/T315-1</f>
        <v/>
      </c>
      <c r="V315" t="n">
        <v>1.582992426025014</v>
      </c>
      <c r="W315" s="5">
        <f>R315-V315</f>
        <v/>
      </c>
    </row>
    <row r="316">
      <c r="A316" s="3" t="n">
        <v>38901</v>
      </c>
      <c r="B316">
        <f>Prices!B316</f>
        <v/>
      </c>
      <c r="C316">
        <f>Prices!C316</f>
        <v/>
      </c>
      <c r="D316">
        <f>Prices!D316</f>
        <v/>
      </c>
      <c r="E316">
        <f>Prices!E316</f>
        <v/>
      </c>
      <c r="F316">
        <f>Prices!F316</f>
        <v/>
      </c>
      <c r="G316">
        <f>IF(AND(314&gt;=16,TEXT(A316,"yyyy-mm")&lt;&gt;TEXT(A317,"yyyy-mm")),1,0)</f>
        <v/>
      </c>
      <c r="H316">
        <f>IF(OR(H315=1,G316=1),1,0)</f>
        <v/>
      </c>
      <c r="I316">
        <f>IF(H315=0,1,SUMPRODUCT(J315:N315,B316:F316)+O315*(1+0.00023125256064071564))</f>
        <v/>
      </c>
      <c r="J316">
        <f>IF(G316=1,0.2*R316/B316,J315)</f>
        <v/>
      </c>
      <c r="K316">
        <f>IF(G316=1,0.2*R316/C316,K315)</f>
        <v/>
      </c>
      <c r="L316">
        <f>IF(G316=1,0.2*R316/D316,L315)</f>
        <v/>
      </c>
      <c r="M316">
        <f>IF(G316=1,0.2*R316/E316,M315)</f>
        <v/>
      </c>
      <c r="N316">
        <f>IF(G316=1,0.2*R316/F316,N315)</f>
        <v/>
      </c>
      <c r="O316">
        <f>IF(G316=1,R316*(1-1.0),IF(H315=0,1,O315*(1+0.00023125256064071564)))</f>
        <v/>
      </c>
      <c r="P316">
        <f>IF(G316=1,IF(H315=0,1,ABS(0.2-J315*B316/I316)+ABS(0.2-K315*C316/I316)+ABS(0.2-L315*D316/I316)+ABS(0.2-M315*E316/I316)+ABS(0.2-N315*F316/I316)),0)</f>
        <v/>
      </c>
      <c r="Q316">
        <f>P316*0.0015</f>
        <v/>
      </c>
      <c r="R316">
        <f>I316*(1-Q316)</f>
        <v/>
      </c>
      <c r="S316">
        <f>R316/R315-1</f>
        <v/>
      </c>
      <c r="T316">
        <f>MAX(T315,R316)</f>
        <v/>
      </c>
      <c r="U316">
        <f>R316/T316-1</f>
        <v/>
      </c>
      <c r="V316" t="n">
        <v>1.590939434228047</v>
      </c>
      <c r="W316" s="5">
        <f>R316-V316</f>
        <v/>
      </c>
    </row>
    <row r="317">
      <c r="A317" s="3" t="n">
        <v>38902</v>
      </c>
      <c r="B317">
        <f>Prices!B317</f>
        <v/>
      </c>
      <c r="C317">
        <f>Prices!C317</f>
        <v/>
      </c>
      <c r="D317">
        <f>Prices!D317</f>
        <v/>
      </c>
      <c r="E317">
        <f>Prices!E317</f>
        <v/>
      </c>
      <c r="F317">
        <f>Prices!F317</f>
        <v/>
      </c>
      <c r="G317">
        <f>IF(AND(315&gt;=16,TEXT(A317,"yyyy-mm")&lt;&gt;TEXT(A318,"yyyy-mm")),1,0)</f>
        <v/>
      </c>
      <c r="H317">
        <f>IF(OR(H316=1,G317=1),1,0)</f>
        <v/>
      </c>
      <c r="I317">
        <f>IF(H316=0,1,SUMPRODUCT(J316:N316,B317:F317)+O316*(1+0.00023125256064071564))</f>
        <v/>
      </c>
      <c r="J317">
        <f>IF(G317=1,0.2*R317/B317,J316)</f>
        <v/>
      </c>
      <c r="K317">
        <f>IF(G317=1,0.2*R317/C317,K316)</f>
        <v/>
      </c>
      <c r="L317">
        <f>IF(G317=1,0.2*R317/D317,L316)</f>
        <v/>
      </c>
      <c r="M317">
        <f>IF(G317=1,0.2*R317/E317,M316)</f>
        <v/>
      </c>
      <c r="N317">
        <f>IF(G317=1,0.2*R317/F317,N316)</f>
        <v/>
      </c>
      <c r="O317">
        <f>IF(G317=1,R317*(1-1.0),IF(H316=0,1,O316*(1+0.00023125256064071564)))</f>
        <v/>
      </c>
      <c r="P317">
        <f>IF(G317=1,IF(H316=0,1,ABS(0.2-J316*B317/I317)+ABS(0.2-K316*C317/I317)+ABS(0.2-L316*D317/I317)+ABS(0.2-M316*E317/I317)+ABS(0.2-N316*F317/I317)),0)</f>
        <v/>
      </c>
      <c r="Q317">
        <f>P317*0.0015</f>
        <v/>
      </c>
      <c r="R317">
        <f>I317*(1-Q317)</f>
        <v/>
      </c>
      <c r="S317">
        <f>R317/R316-1</f>
        <v/>
      </c>
      <c r="T317">
        <f>MAX(T316,R317)</f>
        <v/>
      </c>
      <c r="U317">
        <f>R317/T317-1</f>
        <v/>
      </c>
      <c r="V317" t="n">
        <v>1.587762189877628</v>
      </c>
      <c r="W317" s="5">
        <f>R317-V317</f>
        <v/>
      </c>
    </row>
    <row r="318">
      <c r="A318" s="3" t="n">
        <v>38903</v>
      </c>
      <c r="B318">
        <f>Prices!B318</f>
        <v/>
      </c>
      <c r="C318">
        <f>Prices!C318</f>
        <v/>
      </c>
      <c r="D318">
        <f>Prices!D318</f>
        <v/>
      </c>
      <c r="E318">
        <f>Prices!E318</f>
        <v/>
      </c>
      <c r="F318">
        <f>Prices!F318</f>
        <v/>
      </c>
      <c r="G318">
        <f>IF(AND(316&gt;=16,TEXT(A318,"yyyy-mm")&lt;&gt;TEXT(A319,"yyyy-mm")),1,0)</f>
        <v/>
      </c>
      <c r="H318">
        <f>IF(OR(H317=1,G318=1),1,0)</f>
        <v/>
      </c>
      <c r="I318">
        <f>IF(H317=0,1,SUMPRODUCT(J317:N317,B318:F318)+O317*(1+0.00023125256064071564))</f>
        <v/>
      </c>
      <c r="J318">
        <f>IF(G318=1,0.2*R318/B318,J317)</f>
        <v/>
      </c>
      <c r="K318">
        <f>IF(G318=1,0.2*R318/C318,K317)</f>
        <v/>
      </c>
      <c r="L318">
        <f>IF(G318=1,0.2*R318/D318,L317)</f>
        <v/>
      </c>
      <c r="M318">
        <f>IF(G318=1,0.2*R318/E318,M317)</f>
        <v/>
      </c>
      <c r="N318">
        <f>IF(G318=1,0.2*R318/F318,N317)</f>
        <v/>
      </c>
      <c r="O318">
        <f>IF(G318=1,R318*(1-1.0),IF(H317=0,1,O317*(1+0.00023125256064071564)))</f>
        <v/>
      </c>
      <c r="P318">
        <f>IF(G318=1,IF(H317=0,1,ABS(0.2-J317*B318/I318)+ABS(0.2-K317*C318/I318)+ABS(0.2-L317*D318/I318)+ABS(0.2-M317*E318/I318)+ABS(0.2-N317*F318/I318)),0)</f>
        <v/>
      </c>
      <c r="Q318">
        <f>P318*0.0015</f>
        <v/>
      </c>
      <c r="R318">
        <f>I318*(1-Q318)</f>
        <v/>
      </c>
      <c r="S318">
        <f>R318/R317-1</f>
        <v/>
      </c>
      <c r="T318">
        <f>MAX(T317,R318)</f>
        <v/>
      </c>
      <c r="U318">
        <f>R318/T318-1</f>
        <v/>
      </c>
      <c r="V318" t="n">
        <v>1.616070801777907</v>
      </c>
      <c r="W318" s="5">
        <f>R318-V318</f>
        <v/>
      </c>
    </row>
    <row r="319">
      <c r="A319" s="3" t="n">
        <v>38904</v>
      </c>
      <c r="B319">
        <f>Prices!B319</f>
        <v/>
      </c>
      <c r="C319">
        <f>Prices!C319</f>
        <v/>
      </c>
      <c r="D319">
        <f>Prices!D319</f>
        <v/>
      </c>
      <c r="E319">
        <f>Prices!E319</f>
        <v/>
      </c>
      <c r="F319">
        <f>Prices!F319</f>
        <v/>
      </c>
      <c r="G319">
        <f>IF(AND(317&gt;=16,TEXT(A319,"yyyy-mm")&lt;&gt;TEXT(A320,"yyyy-mm")),1,0)</f>
        <v/>
      </c>
      <c r="H319">
        <f>IF(OR(H318=1,G319=1),1,0)</f>
        <v/>
      </c>
      <c r="I319">
        <f>IF(H318=0,1,SUMPRODUCT(J318:N318,B319:F319)+O318*(1+0.00023125256064071564))</f>
        <v/>
      </c>
      <c r="J319">
        <f>IF(G319=1,0.2*R319/B319,J318)</f>
        <v/>
      </c>
      <c r="K319">
        <f>IF(G319=1,0.2*R319/C319,K318)</f>
        <v/>
      </c>
      <c r="L319">
        <f>IF(G319=1,0.2*R319/D319,L318)</f>
        <v/>
      </c>
      <c r="M319">
        <f>IF(G319=1,0.2*R319/E319,M318)</f>
        <v/>
      </c>
      <c r="N319">
        <f>IF(G319=1,0.2*R319/F319,N318)</f>
        <v/>
      </c>
      <c r="O319">
        <f>IF(G319=1,R319*(1-1.0),IF(H318=0,1,O318*(1+0.00023125256064071564)))</f>
        <v/>
      </c>
      <c r="P319">
        <f>IF(G319=1,IF(H318=0,1,ABS(0.2-J318*B319/I319)+ABS(0.2-K318*C319/I319)+ABS(0.2-L318*D319/I319)+ABS(0.2-M318*E319/I319)+ABS(0.2-N318*F319/I319)),0)</f>
        <v/>
      </c>
      <c r="Q319">
        <f>P319*0.0015</f>
        <v/>
      </c>
      <c r="R319">
        <f>I319*(1-Q319)</f>
        <v/>
      </c>
      <c r="S319">
        <f>R319/R318-1</f>
        <v/>
      </c>
      <c r="T319">
        <f>MAX(T318,R319)</f>
        <v/>
      </c>
      <c r="U319">
        <f>R319/T319-1</f>
        <v/>
      </c>
      <c r="V319" t="n">
        <v>1.609299620404208</v>
      </c>
      <c r="W319" s="5">
        <f>R319-V319</f>
        <v/>
      </c>
    </row>
    <row r="320">
      <c r="A320" s="3" t="n">
        <v>38905</v>
      </c>
      <c r="B320">
        <f>Prices!B320</f>
        <v/>
      </c>
      <c r="C320">
        <f>Prices!C320</f>
        <v/>
      </c>
      <c r="D320">
        <f>Prices!D320</f>
        <v/>
      </c>
      <c r="E320">
        <f>Prices!E320</f>
        <v/>
      </c>
      <c r="F320">
        <f>Prices!F320</f>
        <v/>
      </c>
      <c r="G320">
        <f>IF(AND(318&gt;=16,TEXT(A320,"yyyy-mm")&lt;&gt;TEXT(A321,"yyyy-mm")),1,0)</f>
        <v/>
      </c>
      <c r="H320">
        <f>IF(OR(H319=1,G320=1),1,0)</f>
        <v/>
      </c>
      <c r="I320">
        <f>IF(H319=0,1,SUMPRODUCT(J319:N319,B320:F320)+O319*(1+0.00023125256064071564))</f>
        <v/>
      </c>
      <c r="J320">
        <f>IF(G320=1,0.2*R320/B320,J319)</f>
        <v/>
      </c>
      <c r="K320">
        <f>IF(G320=1,0.2*R320/C320,K319)</f>
        <v/>
      </c>
      <c r="L320">
        <f>IF(G320=1,0.2*R320/D320,L319)</f>
        <v/>
      </c>
      <c r="M320">
        <f>IF(G320=1,0.2*R320/E320,M319)</f>
        <v/>
      </c>
      <c r="N320">
        <f>IF(G320=1,0.2*R320/F320,N319)</f>
        <v/>
      </c>
      <c r="O320">
        <f>IF(G320=1,R320*(1-1.0),IF(H319=0,1,O319*(1+0.00023125256064071564)))</f>
        <v/>
      </c>
      <c r="P320">
        <f>IF(G320=1,IF(H319=0,1,ABS(0.2-J319*B320/I320)+ABS(0.2-K319*C320/I320)+ABS(0.2-L319*D320/I320)+ABS(0.2-M319*E320/I320)+ABS(0.2-N319*F320/I320)),0)</f>
        <v/>
      </c>
      <c r="Q320">
        <f>P320*0.0015</f>
        <v/>
      </c>
      <c r="R320">
        <f>I320*(1-Q320)</f>
        <v/>
      </c>
      <c r="S320">
        <f>R320/R319-1</f>
        <v/>
      </c>
      <c r="T320">
        <f>MAX(T319,R320)</f>
        <v/>
      </c>
      <c r="U320">
        <f>R320/T320-1</f>
        <v/>
      </c>
      <c r="V320" t="n">
        <v>1.579360447972142</v>
      </c>
      <c r="W320" s="5">
        <f>R320-V320</f>
        <v/>
      </c>
    </row>
    <row r="321">
      <c r="A321" s="3" t="n">
        <v>38908</v>
      </c>
      <c r="B321">
        <f>Prices!B321</f>
        <v/>
      </c>
      <c r="C321">
        <f>Prices!C321</f>
        <v/>
      </c>
      <c r="D321">
        <f>Prices!D321</f>
        <v/>
      </c>
      <c r="E321">
        <f>Prices!E321</f>
        <v/>
      </c>
      <c r="F321">
        <f>Prices!F321</f>
        <v/>
      </c>
      <c r="G321">
        <f>IF(AND(319&gt;=16,TEXT(A321,"yyyy-mm")&lt;&gt;TEXT(A322,"yyyy-mm")),1,0)</f>
        <v/>
      </c>
      <c r="H321">
        <f>IF(OR(H320=1,G321=1),1,0)</f>
        <v/>
      </c>
      <c r="I321">
        <f>IF(H320=0,1,SUMPRODUCT(J320:N320,B321:F321)+O320*(1+0.00023125256064071564))</f>
        <v/>
      </c>
      <c r="J321">
        <f>IF(G321=1,0.2*R321/B321,J320)</f>
        <v/>
      </c>
      <c r="K321">
        <f>IF(G321=1,0.2*R321/C321,K320)</f>
        <v/>
      </c>
      <c r="L321">
        <f>IF(G321=1,0.2*R321/D321,L320)</f>
        <v/>
      </c>
      <c r="M321">
        <f>IF(G321=1,0.2*R321/E321,M320)</f>
        <v/>
      </c>
      <c r="N321">
        <f>IF(G321=1,0.2*R321/F321,N320)</f>
        <v/>
      </c>
      <c r="O321">
        <f>IF(G321=1,R321*(1-1.0),IF(H320=0,1,O320*(1+0.00023125256064071564)))</f>
        <v/>
      </c>
      <c r="P321">
        <f>IF(G321=1,IF(H320=0,1,ABS(0.2-J320*B321/I321)+ABS(0.2-K320*C321/I321)+ABS(0.2-L320*D321/I321)+ABS(0.2-M320*E321/I321)+ABS(0.2-N320*F321/I321)),0)</f>
        <v/>
      </c>
      <c r="Q321">
        <f>P321*0.0015</f>
        <v/>
      </c>
      <c r="R321">
        <f>I321*(1-Q321)</f>
        <v/>
      </c>
      <c r="S321">
        <f>R321/R320-1</f>
        <v/>
      </c>
      <c r="T321">
        <f>MAX(T320,R321)</f>
        <v/>
      </c>
      <c r="U321">
        <f>R321/T321-1</f>
        <v/>
      </c>
      <c r="V321" t="n">
        <v>1.590277537143495</v>
      </c>
      <c r="W321" s="5">
        <f>R321-V321</f>
        <v/>
      </c>
    </row>
    <row r="322">
      <c r="A322" s="3" t="n">
        <v>38909</v>
      </c>
      <c r="B322">
        <f>Prices!B322</f>
        <v/>
      </c>
      <c r="C322">
        <f>Prices!C322</f>
        <v/>
      </c>
      <c r="D322">
        <f>Prices!D322</f>
        <v/>
      </c>
      <c r="E322">
        <f>Prices!E322</f>
        <v/>
      </c>
      <c r="F322">
        <f>Prices!F322</f>
        <v/>
      </c>
      <c r="G322">
        <f>IF(AND(320&gt;=16,TEXT(A322,"yyyy-mm")&lt;&gt;TEXT(A323,"yyyy-mm")),1,0)</f>
        <v/>
      </c>
      <c r="H322">
        <f>IF(OR(H321=1,G322=1),1,0)</f>
        <v/>
      </c>
      <c r="I322">
        <f>IF(H321=0,1,SUMPRODUCT(J321:N321,B322:F322)+O321*(1+0.00023125256064071564))</f>
        <v/>
      </c>
      <c r="J322">
        <f>IF(G322=1,0.2*R322/B322,J321)</f>
        <v/>
      </c>
      <c r="K322">
        <f>IF(G322=1,0.2*R322/C322,K321)</f>
        <v/>
      </c>
      <c r="L322">
        <f>IF(G322=1,0.2*R322/D322,L321)</f>
        <v/>
      </c>
      <c r="M322">
        <f>IF(G322=1,0.2*R322/E322,M321)</f>
        <v/>
      </c>
      <c r="N322">
        <f>IF(G322=1,0.2*R322/F322,N321)</f>
        <v/>
      </c>
      <c r="O322">
        <f>IF(G322=1,R322*(1-1.0),IF(H321=0,1,O321*(1+0.00023125256064071564)))</f>
        <v/>
      </c>
      <c r="P322">
        <f>IF(G322=1,IF(H321=0,1,ABS(0.2-J321*B322/I322)+ABS(0.2-K321*C322/I322)+ABS(0.2-L321*D322/I322)+ABS(0.2-M321*E322/I322)+ABS(0.2-N321*F322/I322)),0)</f>
        <v/>
      </c>
      <c r="Q322">
        <f>P322*0.0015</f>
        <v/>
      </c>
      <c r="R322">
        <f>I322*(1-Q322)</f>
        <v/>
      </c>
      <c r="S322">
        <f>R322/R321-1</f>
        <v/>
      </c>
      <c r="T322">
        <f>MAX(T321,R322)</f>
        <v/>
      </c>
      <c r="U322">
        <f>R322/T322-1</f>
        <v/>
      </c>
      <c r="V322" t="n">
        <v>1.582335174896354</v>
      </c>
      <c r="W322" s="5">
        <f>R322-V322</f>
        <v/>
      </c>
    </row>
    <row r="323">
      <c r="A323" s="3" t="n">
        <v>38910</v>
      </c>
      <c r="B323">
        <f>Prices!B323</f>
        <v/>
      </c>
      <c r="C323">
        <f>Prices!C323</f>
        <v/>
      </c>
      <c r="D323">
        <f>Prices!D323</f>
        <v/>
      </c>
      <c r="E323">
        <f>Prices!E323</f>
        <v/>
      </c>
      <c r="F323">
        <f>Prices!F323</f>
        <v/>
      </c>
      <c r="G323">
        <f>IF(AND(321&gt;=16,TEXT(A323,"yyyy-mm")&lt;&gt;TEXT(A324,"yyyy-mm")),1,0)</f>
        <v/>
      </c>
      <c r="H323">
        <f>IF(OR(H322=1,G323=1),1,0)</f>
        <v/>
      </c>
      <c r="I323">
        <f>IF(H322=0,1,SUMPRODUCT(J322:N322,B323:F323)+O322*(1+0.00023125256064071564))</f>
        <v/>
      </c>
      <c r="J323">
        <f>IF(G323=1,0.2*R323/B323,J322)</f>
        <v/>
      </c>
      <c r="K323">
        <f>IF(G323=1,0.2*R323/C323,K322)</f>
        <v/>
      </c>
      <c r="L323">
        <f>IF(G323=1,0.2*R323/D323,L322)</f>
        <v/>
      </c>
      <c r="M323">
        <f>IF(G323=1,0.2*R323/E323,M322)</f>
        <v/>
      </c>
      <c r="N323">
        <f>IF(G323=1,0.2*R323/F323,N322)</f>
        <v/>
      </c>
      <c r="O323">
        <f>IF(G323=1,R323*(1-1.0),IF(H322=0,1,O322*(1+0.00023125256064071564)))</f>
        <v/>
      </c>
      <c r="P323">
        <f>IF(G323=1,IF(H322=0,1,ABS(0.2-J322*B323/I323)+ABS(0.2-K322*C323/I323)+ABS(0.2-L322*D323/I323)+ABS(0.2-M322*E323/I323)+ABS(0.2-N322*F323/I323)),0)</f>
        <v/>
      </c>
      <c r="Q323">
        <f>P323*0.0015</f>
        <v/>
      </c>
      <c r="R323">
        <f>I323*(1-Q323)</f>
        <v/>
      </c>
      <c r="S323">
        <f>R323/R322-1</f>
        <v/>
      </c>
      <c r="T323">
        <f>MAX(T322,R323)</f>
        <v/>
      </c>
      <c r="U323">
        <f>R323/T323-1</f>
        <v/>
      </c>
      <c r="V323" t="n">
        <v>1.596737267939178</v>
      </c>
      <c r="W323" s="5">
        <f>R323-V323</f>
        <v/>
      </c>
    </row>
    <row r="324">
      <c r="A324" s="3" t="n">
        <v>38911</v>
      </c>
      <c r="B324">
        <f>Prices!B324</f>
        <v/>
      </c>
      <c r="C324">
        <f>Prices!C324</f>
        <v/>
      </c>
      <c r="D324">
        <f>Prices!D324</f>
        <v/>
      </c>
      <c r="E324">
        <f>Prices!E324</f>
        <v/>
      </c>
      <c r="F324">
        <f>Prices!F324</f>
        <v/>
      </c>
      <c r="G324">
        <f>IF(AND(322&gt;=16,TEXT(A324,"yyyy-mm")&lt;&gt;TEXT(A325,"yyyy-mm")),1,0)</f>
        <v/>
      </c>
      <c r="H324">
        <f>IF(OR(H323=1,G324=1),1,0)</f>
        <v/>
      </c>
      <c r="I324">
        <f>IF(H323=0,1,SUMPRODUCT(J323:N323,B324:F324)+O323*(1+0.00023125256064071564))</f>
        <v/>
      </c>
      <c r="J324">
        <f>IF(G324=1,0.2*R324/B324,J323)</f>
        <v/>
      </c>
      <c r="K324">
        <f>IF(G324=1,0.2*R324/C324,K323)</f>
        <v/>
      </c>
      <c r="L324">
        <f>IF(G324=1,0.2*R324/D324,L323)</f>
        <v/>
      </c>
      <c r="M324">
        <f>IF(G324=1,0.2*R324/E324,M323)</f>
        <v/>
      </c>
      <c r="N324">
        <f>IF(G324=1,0.2*R324/F324,N323)</f>
        <v/>
      </c>
      <c r="O324">
        <f>IF(G324=1,R324*(1-1.0),IF(H323=0,1,O323*(1+0.00023125256064071564)))</f>
        <v/>
      </c>
      <c r="P324">
        <f>IF(G324=1,IF(H323=0,1,ABS(0.2-J323*B324/I324)+ABS(0.2-K323*C324/I324)+ABS(0.2-L323*D324/I324)+ABS(0.2-M323*E324/I324)+ABS(0.2-N323*F324/I324)),0)</f>
        <v/>
      </c>
      <c r="Q324">
        <f>P324*0.0015</f>
        <v/>
      </c>
      <c r="R324">
        <f>I324*(1-Q324)</f>
        <v/>
      </c>
      <c r="S324">
        <f>R324/R323-1</f>
        <v/>
      </c>
      <c r="T324">
        <f>MAX(T323,R324)</f>
        <v/>
      </c>
      <c r="U324">
        <f>R324/T324-1</f>
        <v/>
      </c>
      <c r="V324" t="n">
        <v>1.58757231764953</v>
      </c>
      <c r="W324" s="5">
        <f>R324-V324</f>
        <v/>
      </c>
    </row>
    <row r="325">
      <c r="A325" s="3" t="n">
        <v>38912</v>
      </c>
      <c r="B325">
        <f>Prices!B325</f>
        <v/>
      </c>
      <c r="C325">
        <f>Prices!C325</f>
        <v/>
      </c>
      <c r="D325">
        <f>Prices!D325</f>
        <v/>
      </c>
      <c r="E325">
        <f>Prices!E325</f>
        <v/>
      </c>
      <c r="F325">
        <f>Prices!F325</f>
        <v/>
      </c>
      <c r="G325">
        <f>IF(AND(323&gt;=16,TEXT(A325,"yyyy-mm")&lt;&gt;TEXT(A326,"yyyy-mm")),1,0)</f>
        <v/>
      </c>
      <c r="H325">
        <f>IF(OR(H324=1,G325=1),1,0)</f>
        <v/>
      </c>
      <c r="I325">
        <f>IF(H324=0,1,SUMPRODUCT(J324:N324,B325:F325)+O324*(1+0.00023125256064071564))</f>
        <v/>
      </c>
      <c r="J325">
        <f>IF(G325=1,0.2*R325/B325,J324)</f>
        <v/>
      </c>
      <c r="K325">
        <f>IF(G325=1,0.2*R325/C325,K324)</f>
        <v/>
      </c>
      <c r="L325">
        <f>IF(G325=1,0.2*R325/D325,L324)</f>
        <v/>
      </c>
      <c r="M325">
        <f>IF(G325=1,0.2*R325/E325,M324)</f>
        <v/>
      </c>
      <c r="N325">
        <f>IF(G325=1,0.2*R325/F325,N324)</f>
        <v/>
      </c>
      <c r="O325">
        <f>IF(G325=1,R325*(1-1.0),IF(H324=0,1,O324*(1+0.00023125256064071564)))</f>
        <v/>
      </c>
      <c r="P325">
        <f>IF(G325=1,IF(H324=0,1,ABS(0.2-J324*B325/I325)+ABS(0.2-K324*C325/I325)+ABS(0.2-L324*D325/I325)+ABS(0.2-M324*E325/I325)+ABS(0.2-N324*F325/I325)),0)</f>
        <v/>
      </c>
      <c r="Q325">
        <f>P325*0.0015</f>
        <v/>
      </c>
      <c r="R325">
        <f>I325*(1-Q325)</f>
        <v/>
      </c>
      <c r="S325">
        <f>R325/R324-1</f>
        <v/>
      </c>
      <c r="T325">
        <f>MAX(T324,R325)</f>
        <v/>
      </c>
      <c r="U325">
        <f>R325/T325-1</f>
        <v/>
      </c>
      <c r="V325" t="n">
        <v>1.56265302026575</v>
      </c>
      <c r="W325" s="5">
        <f>R325-V325</f>
        <v/>
      </c>
    </row>
    <row r="326">
      <c r="A326" s="3" t="n">
        <v>38915</v>
      </c>
      <c r="B326">
        <f>Prices!B326</f>
        <v/>
      </c>
      <c r="C326">
        <f>Prices!C326</f>
        <v/>
      </c>
      <c r="D326">
        <f>Prices!D326</f>
        <v/>
      </c>
      <c r="E326">
        <f>Prices!E326</f>
        <v/>
      </c>
      <c r="F326">
        <f>Prices!F326</f>
        <v/>
      </c>
      <c r="G326">
        <f>IF(AND(324&gt;=16,TEXT(A326,"yyyy-mm")&lt;&gt;TEXT(A327,"yyyy-mm")),1,0)</f>
        <v/>
      </c>
      <c r="H326">
        <f>IF(OR(H325=1,G326=1),1,0)</f>
        <v/>
      </c>
      <c r="I326">
        <f>IF(H325=0,1,SUMPRODUCT(J325:N325,B326:F326)+O325*(1+0.00023125256064071564))</f>
        <v/>
      </c>
      <c r="J326">
        <f>IF(G326=1,0.2*R326/B326,J325)</f>
        <v/>
      </c>
      <c r="K326">
        <f>IF(G326=1,0.2*R326/C326,K325)</f>
        <v/>
      </c>
      <c r="L326">
        <f>IF(G326=1,0.2*R326/D326,L325)</f>
        <v/>
      </c>
      <c r="M326">
        <f>IF(G326=1,0.2*R326/E326,M325)</f>
        <v/>
      </c>
      <c r="N326">
        <f>IF(G326=1,0.2*R326/F326,N325)</f>
        <v/>
      </c>
      <c r="O326">
        <f>IF(G326=1,R326*(1-1.0),IF(H325=0,1,O325*(1+0.00023125256064071564)))</f>
        <v/>
      </c>
      <c r="P326">
        <f>IF(G326=1,IF(H325=0,1,ABS(0.2-J325*B326/I326)+ABS(0.2-K325*C326/I326)+ABS(0.2-L325*D326/I326)+ABS(0.2-M325*E326/I326)+ABS(0.2-N325*F326/I326)),0)</f>
        <v/>
      </c>
      <c r="Q326">
        <f>P326*0.0015</f>
        <v/>
      </c>
      <c r="R326">
        <f>I326*(1-Q326)</f>
        <v/>
      </c>
      <c r="S326">
        <f>R326/R325-1</f>
        <v/>
      </c>
      <c r="T326">
        <f>MAX(T325,R326)</f>
        <v/>
      </c>
      <c r="U326">
        <f>R326/T326-1</f>
        <v/>
      </c>
      <c r="V326" t="n">
        <v>1.513057435716249</v>
      </c>
      <c r="W326" s="5">
        <f>R326-V326</f>
        <v/>
      </c>
    </row>
    <row r="327">
      <c r="A327" s="3" t="n">
        <v>38916</v>
      </c>
      <c r="B327">
        <f>Prices!B327</f>
        <v/>
      </c>
      <c r="C327">
        <f>Prices!C327</f>
        <v/>
      </c>
      <c r="D327">
        <f>Prices!D327</f>
        <v/>
      </c>
      <c r="E327">
        <f>Prices!E327</f>
        <v/>
      </c>
      <c r="F327">
        <f>Prices!F327</f>
        <v/>
      </c>
      <c r="G327">
        <f>IF(AND(325&gt;=16,TEXT(A327,"yyyy-mm")&lt;&gt;TEXT(A328,"yyyy-mm")),1,0)</f>
        <v/>
      </c>
      <c r="H327">
        <f>IF(OR(H326=1,G327=1),1,0)</f>
        <v/>
      </c>
      <c r="I327">
        <f>IF(H326=0,1,SUMPRODUCT(J326:N326,B327:F327)+O326*(1+0.00023125256064071564))</f>
        <v/>
      </c>
      <c r="J327">
        <f>IF(G327=1,0.2*R327/B327,J326)</f>
        <v/>
      </c>
      <c r="K327">
        <f>IF(G327=1,0.2*R327/C327,K326)</f>
        <v/>
      </c>
      <c r="L327">
        <f>IF(G327=1,0.2*R327/D327,L326)</f>
        <v/>
      </c>
      <c r="M327">
        <f>IF(G327=1,0.2*R327/E327,M326)</f>
        <v/>
      </c>
      <c r="N327">
        <f>IF(G327=1,0.2*R327/F327,N326)</f>
        <v/>
      </c>
      <c r="O327">
        <f>IF(G327=1,R327*(1-1.0),IF(H326=0,1,O326*(1+0.00023125256064071564)))</f>
        <v/>
      </c>
      <c r="P327">
        <f>IF(G327=1,IF(H326=0,1,ABS(0.2-J326*B327/I327)+ABS(0.2-K326*C327/I327)+ABS(0.2-L326*D327/I327)+ABS(0.2-M326*E327/I327)+ABS(0.2-N326*F327/I327)),0)</f>
        <v/>
      </c>
      <c r="Q327">
        <f>P327*0.0015</f>
        <v/>
      </c>
      <c r="R327">
        <f>I327*(1-Q327)</f>
        <v/>
      </c>
      <c r="S327">
        <f>R327/R326-1</f>
        <v/>
      </c>
      <c r="T327">
        <f>MAX(T326,R327)</f>
        <v/>
      </c>
      <c r="U327">
        <f>R327/T327-1</f>
        <v/>
      </c>
      <c r="V327" t="n">
        <v>1.489823984715907</v>
      </c>
      <c r="W327" s="5">
        <f>R327-V327</f>
        <v/>
      </c>
    </row>
    <row r="328">
      <c r="A328" s="3" t="n">
        <v>38917</v>
      </c>
      <c r="B328">
        <f>Prices!B328</f>
        <v/>
      </c>
      <c r="C328">
        <f>Prices!C328</f>
        <v/>
      </c>
      <c r="D328">
        <f>Prices!D328</f>
        <v/>
      </c>
      <c r="E328">
        <f>Prices!E328</f>
        <v/>
      </c>
      <c r="F328">
        <f>Prices!F328</f>
        <v/>
      </c>
      <c r="G328">
        <f>IF(AND(326&gt;=16,TEXT(A328,"yyyy-mm")&lt;&gt;TEXT(A329,"yyyy-mm")),1,0)</f>
        <v/>
      </c>
      <c r="H328">
        <f>IF(OR(H327=1,G328=1),1,0)</f>
        <v/>
      </c>
      <c r="I328">
        <f>IF(H327=0,1,SUMPRODUCT(J327:N327,B328:F328)+O327*(1+0.00023125256064071564))</f>
        <v/>
      </c>
      <c r="J328">
        <f>IF(G328=1,0.2*R328/B328,J327)</f>
        <v/>
      </c>
      <c r="K328">
        <f>IF(G328=1,0.2*R328/C328,K327)</f>
        <v/>
      </c>
      <c r="L328">
        <f>IF(G328=1,0.2*R328/D328,L327)</f>
        <v/>
      </c>
      <c r="M328">
        <f>IF(G328=1,0.2*R328/E328,M327)</f>
        <v/>
      </c>
      <c r="N328">
        <f>IF(G328=1,0.2*R328/F328,N327)</f>
        <v/>
      </c>
      <c r="O328">
        <f>IF(G328=1,R328*(1-1.0),IF(H327=0,1,O327*(1+0.00023125256064071564)))</f>
        <v/>
      </c>
      <c r="P328">
        <f>IF(G328=1,IF(H327=0,1,ABS(0.2-J327*B328/I328)+ABS(0.2-K327*C328/I328)+ABS(0.2-L327*D328/I328)+ABS(0.2-M327*E328/I328)+ABS(0.2-N327*F328/I328)),0)</f>
        <v/>
      </c>
      <c r="Q328">
        <f>P328*0.0015</f>
        <v/>
      </c>
      <c r="R328">
        <f>I328*(1-Q328)</f>
        <v/>
      </c>
      <c r="S328">
        <f>R328/R327-1</f>
        <v/>
      </c>
      <c r="T328">
        <f>MAX(T327,R328)</f>
        <v/>
      </c>
      <c r="U328">
        <f>R328/T328-1</f>
        <v/>
      </c>
      <c r="V328" t="n">
        <v>1.443511438150096</v>
      </c>
      <c r="W328" s="5">
        <f>R328-V328</f>
        <v/>
      </c>
    </row>
    <row r="329">
      <c r="A329" s="3" t="n">
        <v>38918</v>
      </c>
      <c r="B329">
        <f>Prices!B329</f>
        <v/>
      </c>
      <c r="C329">
        <f>Prices!C329</f>
        <v/>
      </c>
      <c r="D329">
        <f>Prices!D329</f>
        <v/>
      </c>
      <c r="E329">
        <f>Prices!E329</f>
        <v/>
      </c>
      <c r="F329">
        <f>Prices!F329</f>
        <v/>
      </c>
      <c r="G329">
        <f>IF(AND(327&gt;=16,TEXT(A329,"yyyy-mm")&lt;&gt;TEXT(A330,"yyyy-mm")),1,0)</f>
        <v/>
      </c>
      <c r="H329">
        <f>IF(OR(H328=1,G329=1),1,0)</f>
        <v/>
      </c>
      <c r="I329">
        <f>IF(H328=0,1,SUMPRODUCT(J328:N328,B329:F329)+O328*(1+0.00023125256064071564))</f>
        <v/>
      </c>
      <c r="J329">
        <f>IF(G329=1,0.2*R329/B329,J328)</f>
        <v/>
      </c>
      <c r="K329">
        <f>IF(G329=1,0.2*R329/C329,K328)</f>
        <v/>
      </c>
      <c r="L329">
        <f>IF(G329=1,0.2*R329/D329,L328)</f>
        <v/>
      </c>
      <c r="M329">
        <f>IF(G329=1,0.2*R329/E329,M328)</f>
        <v/>
      </c>
      <c r="N329">
        <f>IF(G329=1,0.2*R329/F329,N328)</f>
        <v/>
      </c>
      <c r="O329">
        <f>IF(G329=1,R329*(1-1.0),IF(H328=0,1,O328*(1+0.00023125256064071564)))</f>
        <v/>
      </c>
      <c r="P329">
        <f>IF(G329=1,IF(H328=0,1,ABS(0.2-J328*B329/I329)+ABS(0.2-K328*C329/I329)+ABS(0.2-L328*D329/I329)+ABS(0.2-M328*E329/I329)+ABS(0.2-N328*F329/I329)),0)</f>
        <v/>
      </c>
      <c r="Q329">
        <f>P329*0.0015</f>
        <v/>
      </c>
      <c r="R329">
        <f>I329*(1-Q329)</f>
        <v/>
      </c>
      <c r="S329">
        <f>R329/R328-1</f>
        <v/>
      </c>
      <c r="T329">
        <f>MAX(T328,R329)</f>
        <v/>
      </c>
      <c r="U329">
        <f>R329/T329-1</f>
        <v/>
      </c>
      <c r="V329" t="n">
        <v>1.478527489291946</v>
      </c>
      <c r="W329" s="5">
        <f>R329-V329</f>
        <v/>
      </c>
    </row>
    <row r="330">
      <c r="A330" s="3" t="n">
        <v>38919</v>
      </c>
      <c r="B330">
        <f>Prices!B330</f>
        <v/>
      </c>
      <c r="C330">
        <f>Prices!C330</f>
        <v/>
      </c>
      <c r="D330">
        <f>Prices!D330</f>
        <v/>
      </c>
      <c r="E330">
        <f>Prices!E330</f>
        <v/>
      </c>
      <c r="F330">
        <f>Prices!F330</f>
        <v/>
      </c>
      <c r="G330">
        <f>IF(AND(328&gt;=16,TEXT(A330,"yyyy-mm")&lt;&gt;TEXT(A331,"yyyy-mm")),1,0)</f>
        <v/>
      </c>
      <c r="H330">
        <f>IF(OR(H329=1,G330=1),1,0)</f>
        <v/>
      </c>
      <c r="I330">
        <f>IF(H329=0,1,SUMPRODUCT(J329:N329,B330:F330)+O329*(1+0.00023125256064071564))</f>
        <v/>
      </c>
      <c r="J330">
        <f>IF(G330=1,0.2*R330/B330,J329)</f>
        <v/>
      </c>
      <c r="K330">
        <f>IF(G330=1,0.2*R330/C330,K329)</f>
        <v/>
      </c>
      <c r="L330">
        <f>IF(G330=1,0.2*R330/D330,L329)</f>
        <v/>
      </c>
      <c r="M330">
        <f>IF(G330=1,0.2*R330/E330,M329)</f>
        <v/>
      </c>
      <c r="N330">
        <f>IF(G330=1,0.2*R330/F330,N329)</f>
        <v/>
      </c>
      <c r="O330">
        <f>IF(G330=1,R330*(1-1.0),IF(H329=0,1,O329*(1+0.00023125256064071564)))</f>
        <v/>
      </c>
      <c r="P330">
        <f>IF(G330=1,IF(H329=0,1,ABS(0.2-J329*B330/I330)+ABS(0.2-K329*C330/I330)+ABS(0.2-L329*D330/I330)+ABS(0.2-M329*E330/I330)+ABS(0.2-N329*F330/I330)),0)</f>
        <v/>
      </c>
      <c r="Q330">
        <f>P330*0.0015</f>
        <v/>
      </c>
      <c r="R330">
        <f>I330*(1-Q330)</f>
        <v/>
      </c>
      <c r="S330">
        <f>R330/R329-1</f>
        <v/>
      </c>
      <c r="T330">
        <f>MAX(T329,R330)</f>
        <v/>
      </c>
      <c r="U330">
        <f>R330/T330-1</f>
        <v/>
      </c>
      <c r="V330" t="n">
        <v>1.440445790316524</v>
      </c>
      <c r="W330" s="5">
        <f>R330-V330</f>
        <v/>
      </c>
    </row>
    <row r="331">
      <c r="A331" s="3" t="n">
        <v>38922</v>
      </c>
      <c r="B331">
        <f>Prices!B331</f>
        <v/>
      </c>
      <c r="C331">
        <f>Prices!C331</f>
        <v/>
      </c>
      <c r="D331">
        <f>Prices!D331</f>
        <v/>
      </c>
      <c r="E331">
        <f>Prices!E331</f>
        <v/>
      </c>
      <c r="F331">
        <f>Prices!F331</f>
        <v/>
      </c>
      <c r="G331">
        <f>IF(AND(329&gt;=16,TEXT(A331,"yyyy-mm")&lt;&gt;TEXT(A332,"yyyy-mm")),1,0)</f>
        <v/>
      </c>
      <c r="H331">
        <f>IF(OR(H330=1,G331=1),1,0)</f>
        <v/>
      </c>
      <c r="I331">
        <f>IF(H330=0,1,SUMPRODUCT(J330:N330,B331:F331)+O330*(1+0.00023125256064071564))</f>
        <v/>
      </c>
      <c r="J331">
        <f>IF(G331=1,0.2*R331/B331,J330)</f>
        <v/>
      </c>
      <c r="K331">
        <f>IF(G331=1,0.2*R331/C331,K330)</f>
        <v/>
      </c>
      <c r="L331">
        <f>IF(G331=1,0.2*R331/D331,L330)</f>
        <v/>
      </c>
      <c r="M331">
        <f>IF(G331=1,0.2*R331/E331,M330)</f>
        <v/>
      </c>
      <c r="N331">
        <f>IF(G331=1,0.2*R331/F331,N330)</f>
        <v/>
      </c>
      <c r="O331">
        <f>IF(G331=1,R331*(1-1.0),IF(H330=0,1,O330*(1+0.00023125256064071564)))</f>
        <v/>
      </c>
      <c r="P331">
        <f>IF(G331=1,IF(H330=0,1,ABS(0.2-J330*B331/I331)+ABS(0.2-K330*C331/I331)+ABS(0.2-L330*D331/I331)+ABS(0.2-M330*E331/I331)+ABS(0.2-N330*F331/I331)),0)</f>
        <v/>
      </c>
      <c r="Q331">
        <f>P331*0.0015</f>
        <v/>
      </c>
      <c r="R331">
        <f>I331*(1-Q331)</f>
        <v/>
      </c>
      <c r="S331">
        <f>R331/R330-1</f>
        <v/>
      </c>
      <c r="T331">
        <f>MAX(T330,R331)</f>
        <v/>
      </c>
      <c r="U331">
        <f>R331/T331-1</f>
        <v/>
      </c>
      <c r="V331" t="n">
        <v>1.439210664354427</v>
      </c>
      <c r="W331" s="5">
        <f>R331-V331</f>
        <v/>
      </c>
    </row>
    <row r="332">
      <c r="A332" s="3" t="n">
        <v>38923</v>
      </c>
      <c r="B332">
        <f>Prices!B332</f>
        <v/>
      </c>
      <c r="C332">
        <f>Prices!C332</f>
        <v/>
      </c>
      <c r="D332">
        <f>Prices!D332</f>
        <v/>
      </c>
      <c r="E332">
        <f>Prices!E332</f>
        <v/>
      </c>
      <c r="F332">
        <f>Prices!F332</f>
        <v/>
      </c>
      <c r="G332">
        <f>IF(AND(330&gt;=16,TEXT(A332,"yyyy-mm")&lt;&gt;TEXT(A333,"yyyy-mm")),1,0)</f>
        <v/>
      </c>
      <c r="H332">
        <f>IF(OR(H331=1,G332=1),1,0)</f>
        <v/>
      </c>
      <c r="I332">
        <f>IF(H331=0,1,SUMPRODUCT(J331:N331,B332:F332)+O331*(1+0.00023125256064071564))</f>
        <v/>
      </c>
      <c r="J332">
        <f>IF(G332=1,0.2*R332/B332,J331)</f>
        <v/>
      </c>
      <c r="K332">
        <f>IF(G332=1,0.2*R332/C332,K331)</f>
        <v/>
      </c>
      <c r="L332">
        <f>IF(G332=1,0.2*R332/D332,L331)</f>
        <v/>
      </c>
      <c r="M332">
        <f>IF(G332=1,0.2*R332/E332,M331)</f>
        <v/>
      </c>
      <c r="N332">
        <f>IF(G332=1,0.2*R332/F332,N331)</f>
        <v/>
      </c>
      <c r="O332">
        <f>IF(G332=1,R332*(1-1.0),IF(H331=0,1,O331*(1+0.00023125256064071564)))</f>
        <v/>
      </c>
      <c r="P332">
        <f>IF(G332=1,IF(H331=0,1,ABS(0.2-J331*B332/I332)+ABS(0.2-K331*C332/I332)+ABS(0.2-L331*D332/I332)+ABS(0.2-M331*E332/I332)+ABS(0.2-N331*F332/I332)),0)</f>
        <v/>
      </c>
      <c r="Q332">
        <f>P332*0.0015</f>
        <v/>
      </c>
      <c r="R332">
        <f>I332*(1-Q332)</f>
        <v/>
      </c>
      <c r="S332">
        <f>R332/R331-1</f>
        <v/>
      </c>
      <c r="T332">
        <f>MAX(T331,R332)</f>
        <v/>
      </c>
      <c r="U332">
        <f>R332/T332-1</f>
        <v/>
      </c>
      <c r="V332" t="n">
        <v>1.472259042911884</v>
      </c>
      <c r="W332" s="5">
        <f>R332-V332</f>
        <v/>
      </c>
    </row>
    <row r="333">
      <c r="A333" s="3" t="n">
        <v>38924</v>
      </c>
      <c r="B333">
        <f>Prices!B333</f>
        <v/>
      </c>
      <c r="C333">
        <f>Prices!C333</f>
        <v/>
      </c>
      <c r="D333">
        <f>Prices!D333</f>
        <v/>
      </c>
      <c r="E333">
        <f>Prices!E333</f>
        <v/>
      </c>
      <c r="F333">
        <f>Prices!F333</f>
        <v/>
      </c>
      <c r="G333">
        <f>IF(AND(331&gt;=16,TEXT(A333,"yyyy-mm")&lt;&gt;TEXT(A334,"yyyy-mm")),1,0)</f>
        <v/>
      </c>
      <c r="H333">
        <f>IF(OR(H332=1,G333=1),1,0)</f>
        <v/>
      </c>
      <c r="I333">
        <f>IF(H332=0,1,SUMPRODUCT(J332:N332,B333:F333)+O332*(1+0.00023125256064071564))</f>
        <v/>
      </c>
      <c r="J333">
        <f>IF(G333=1,0.2*R333/B333,J332)</f>
        <v/>
      </c>
      <c r="K333">
        <f>IF(G333=1,0.2*R333/C333,K332)</f>
        <v/>
      </c>
      <c r="L333">
        <f>IF(G333=1,0.2*R333/D333,L332)</f>
        <v/>
      </c>
      <c r="M333">
        <f>IF(G333=1,0.2*R333/E333,M332)</f>
        <v/>
      </c>
      <c r="N333">
        <f>IF(G333=1,0.2*R333/F333,N332)</f>
        <v/>
      </c>
      <c r="O333">
        <f>IF(G333=1,R333*(1-1.0),IF(H332=0,1,O332*(1+0.00023125256064071564)))</f>
        <v/>
      </c>
      <c r="P333">
        <f>IF(G333=1,IF(H332=0,1,ABS(0.2-J332*B333/I333)+ABS(0.2-K332*C333/I333)+ABS(0.2-L332*D333/I333)+ABS(0.2-M332*E333/I333)+ABS(0.2-N332*F333/I333)),0)</f>
        <v/>
      </c>
      <c r="Q333">
        <f>P333*0.0015</f>
        <v/>
      </c>
      <c r="R333">
        <f>I333*(1-Q333)</f>
        <v/>
      </c>
      <c r="S333">
        <f>R333/R332-1</f>
        <v/>
      </c>
      <c r="T333">
        <f>MAX(T332,R333)</f>
        <v/>
      </c>
      <c r="U333">
        <f>R333/T333-1</f>
        <v/>
      </c>
      <c r="V333" t="n">
        <v>1.503957584508519</v>
      </c>
      <c r="W333" s="5">
        <f>R333-V333</f>
        <v/>
      </c>
    </row>
    <row r="334">
      <c r="A334" s="3" t="n">
        <v>38925</v>
      </c>
      <c r="B334">
        <f>Prices!B334</f>
        <v/>
      </c>
      <c r="C334">
        <f>Prices!C334</f>
        <v/>
      </c>
      <c r="D334">
        <f>Prices!D334</f>
        <v/>
      </c>
      <c r="E334">
        <f>Prices!E334</f>
        <v/>
      </c>
      <c r="F334">
        <f>Prices!F334</f>
        <v/>
      </c>
      <c r="G334">
        <f>IF(AND(332&gt;=16,TEXT(A334,"yyyy-mm")&lt;&gt;TEXT(A335,"yyyy-mm")),1,0)</f>
        <v/>
      </c>
      <c r="H334">
        <f>IF(OR(H333=1,G334=1),1,0)</f>
        <v/>
      </c>
      <c r="I334">
        <f>IF(H333=0,1,SUMPRODUCT(J333:N333,B334:F334)+O333*(1+0.00023125256064071564))</f>
        <v/>
      </c>
      <c r="J334">
        <f>IF(G334=1,0.2*R334/B334,J333)</f>
        <v/>
      </c>
      <c r="K334">
        <f>IF(G334=1,0.2*R334/C334,K333)</f>
        <v/>
      </c>
      <c r="L334">
        <f>IF(G334=1,0.2*R334/D334,L333)</f>
        <v/>
      </c>
      <c r="M334">
        <f>IF(G334=1,0.2*R334/E334,M333)</f>
        <v/>
      </c>
      <c r="N334">
        <f>IF(G334=1,0.2*R334/F334,N333)</f>
        <v/>
      </c>
      <c r="O334">
        <f>IF(G334=1,R334*(1-1.0),IF(H333=0,1,O333*(1+0.00023125256064071564)))</f>
        <v/>
      </c>
      <c r="P334">
        <f>IF(G334=1,IF(H333=0,1,ABS(0.2-J333*B334/I334)+ABS(0.2-K333*C334/I334)+ABS(0.2-L333*D334/I334)+ABS(0.2-M333*E334/I334)+ABS(0.2-N333*F334/I334)),0)</f>
        <v/>
      </c>
      <c r="Q334">
        <f>P334*0.0015</f>
        <v/>
      </c>
      <c r="R334">
        <f>I334*(1-Q334)</f>
        <v/>
      </c>
      <c r="S334">
        <f>R334/R333-1</f>
        <v/>
      </c>
      <c r="T334">
        <f>MAX(T333,R334)</f>
        <v/>
      </c>
      <c r="U334">
        <f>R334/T334-1</f>
        <v/>
      </c>
      <c r="V334" t="n">
        <v>1.52363974142176</v>
      </c>
      <c r="W334" s="5">
        <f>R334-V334</f>
        <v/>
      </c>
    </row>
    <row r="335">
      <c r="A335" s="3" t="n">
        <v>38926</v>
      </c>
      <c r="B335">
        <f>Prices!B335</f>
        <v/>
      </c>
      <c r="C335">
        <f>Prices!C335</f>
        <v/>
      </c>
      <c r="D335">
        <f>Prices!D335</f>
        <v/>
      </c>
      <c r="E335">
        <f>Prices!E335</f>
        <v/>
      </c>
      <c r="F335">
        <f>Prices!F335</f>
        <v/>
      </c>
      <c r="G335">
        <f>IF(AND(333&gt;=16,TEXT(A335,"yyyy-mm")&lt;&gt;TEXT(A336,"yyyy-mm")),1,0)</f>
        <v/>
      </c>
      <c r="H335">
        <f>IF(OR(H334=1,G335=1),1,0)</f>
        <v/>
      </c>
      <c r="I335">
        <f>IF(H334=0,1,SUMPRODUCT(J334:N334,B335:F335)+O334*(1+0.00023125256064071564))</f>
        <v/>
      </c>
      <c r="J335">
        <f>IF(G335=1,0.2*R335/B335,J334)</f>
        <v/>
      </c>
      <c r="K335">
        <f>IF(G335=1,0.2*R335/C335,K334)</f>
        <v/>
      </c>
      <c r="L335">
        <f>IF(G335=1,0.2*R335/D335,L334)</f>
        <v/>
      </c>
      <c r="M335">
        <f>IF(G335=1,0.2*R335/E335,M334)</f>
        <v/>
      </c>
      <c r="N335">
        <f>IF(G335=1,0.2*R335/F335,N334)</f>
        <v/>
      </c>
      <c r="O335">
        <f>IF(G335=1,R335*(1-1.0),IF(H334=0,1,O334*(1+0.00023125256064071564)))</f>
        <v/>
      </c>
      <c r="P335">
        <f>IF(G335=1,IF(H334=0,1,ABS(0.2-J334*B335/I335)+ABS(0.2-K334*C335/I335)+ABS(0.2-L334*D335/I335)+ABS(0.2-M334*E335/I335)+ABS(0.2-N334*F335/I335)),0)</f>
        <v/>
      </c>
      <c r="Q335">
        <f>P335*0.0015</f>
        <v/>
      </c>
      <c r="R335">
        <f>I335*(1-Q335)</f>
        <v/>
      </c>
      <c r="S335">
        <f>R335/R334-1</f>
        <v/>
      </c>
      <c r="T335">
        <f>MAX(T334,R335)</f>
        <v/>
      </c>
      <c r="U335">
        <f>R335/T335-1</f>
        <v/>
      </c>
      <c r="V335" t="n">
        <v>1.535158407865596</v>
      </c>
      <c r="W335" s="5">
        <f>R335-V335</f>
        <v/>
      </c>
    </row>
    <row r="336">
      <c r="A336" s="3" t="n">
        <v>38929</v>
      </c>
      <c r="B336">
        <f>Prices!B336</f>
        <v/>
      </c>
      <c r="C336">
        <f>Prices!C336</f>
        <v/>
      </c>
      <c r="D336">
        <f>Prices!D336</f>
        <v/>
      </c>
      <c r="E336">
        <f>Prices!E336</f>
        <v/>
      </c>
      <c r="F336">
        <f>Prices!F336</f>
        <v/>
      </c>
      <c r="G336">
        <f>IF(AND(334&gt;=16,TEXT(A336,"yyyy-mm")&lt;&gt;TEXT(A337,"yyyy-mm")),1,0)</f>
        <v/>
      </c>
      <c r="H336">
        <f>IF(OR(H335=1,G336=1),1,0)</f>
        <v/>
      </c>
      <c r="I336">
        <f>IF(H335=0,1,SUMPRODUCT(J335:N335,B336:F336)+O335*(1+0.00023125256064071564))</f>
        <v/>
      </c>
      <c r="J336">
        <f>IF(G336=1,0.2*R336/B336,J335)</f>
        <v/>
      </c>
      <c r="K336">
        <f>IF(G336=1,0.2*R336/C336,K335)</f>
        <v/>
      </c>
      <c r="L336">
        <f>IF(G336=1,0.2*R336/D336,L335)</f>
        <v/>
      </c>
      <c r="M336">
        <f>IF(G336=1,0.2*R336/E336,M335)</f>
        <v/>
      </c>
      <c r="N336">
        <f>IF(G336=1,0.2*R336/F336,N335)</f>
        <v/>
      </c>
      <c r="O336">
        <f>IF(G336=1,R336*(1-1.0),IF(H335=0,1,O335*(1+0.00023125256064071564)))</f>
        <v/>
      </c>
      <c r="P336">
        <f>IF(G336=1,IF(H335=0,1,ABS(0.2-J335*B336/I336)+ABS(0.2-K335*C336/I336)+ABS(0.2-L335*D336/I336)+ABS(0.2-M335*E336/I336)+ABS(0.2-N335*F336/I336)),0)</f>
        <v/>
      </c>
      <c r="Q336">
        <f>P336*0.0015</f>
        <v/>
      </c>
      <c r="R336">
        <f>I336*(1-Q336)</f>
        <v/>
      </c>
      <c r="S336">
        <f>R336/R335-1</f>
        <v/>
      </c>
      <c r="T336">
        <f>MAX(T335,R336)</f>
        <v/>
      </c>
      <c r="U336">
        <f>R336/T336-1</f>
        <v/>
      </c>
      <c r="V336" t="n">
        <v>1.550076472468628</v>
      </c>
      <c r="W336" s="5">
        <f>R336-V336</f>
        <v/>
      </c>
    </row>
    <row r="337">
      <c r="A337" s="3" t="n">
        <v>38930</v>
      </c>
      <c r="B337">
        <f>Prices!B337</f>
        <v/>
      </c>
      <c r="C337">
        <f>Prices!C337</f>
        <v/>
      </c>
      <c r="D337">
        <f>Prices!D337</f>
        <v/>
      </c>
      <c r="E337">
        <f>Prices!E337</f>
        <v/>
      </c>
      <c r="F337">
        <f>Prices!F337</f>
        <v/>
      </c>
      <c r="G337">
        <f>IF(AND(335&gt;=16,TEXT(A337,"yyyy-mm")&lt;&gt;TEXT(A338,"yyyy-mm")),1,0)</f>
        <v/>
      </c>
      <c r="H337">
        <f>IF(OR(H336=1,G337=1),1,0)</f>
        <v/>
      </c>
      <c r="I337">
        <f>IF(H336=0,1,SUMPRODUCT(J336:N336,B337:F337)+O336*(1+0.00023125256064071564))</f>
        <v/>
      </c>
      <c r="J337">
        <f>IF(G337=1,0.2*R337/B337,J336)</f>
        <v/>
      </c>
      <c r="K337">
        <f>IF(G337=1,0.2*R337/C337,K336)</f>
        <v/>
      </c>
      <c r="L337">
        <f>IF(G337=1,0.2*R337/D337,L336)</f>
        <v/>
      </c>
      <c r="M337">
        <f>IF(G337=1,0.2*R337/E337,M336)</f>
        <v/>
      </c>
      <c r="N337">
        <f>IF(G337=1,0.2*R337/F337,N336)</f>
        <v/>
      </c>
      <c r="O337">
        <f>IF(G337=1,R337*(1-1.0),IF(H336=0,1,O336*(1+0.00023125256064071564)))</f>
        <v/>
      </c>
      <c r="P337">
        <f>IF(G337=1,IF(H336=0,1,ABS(0.2-J336*B337/I337)+ABS(0.2-K336*C337/I337)+ABS(0.2-L336*D337/I337)+ABS(0.2-M336*E337/I337)+ABS(0.2-N336*F337/I337)),0)</f>
        <v/>
      </c>
      <c r="Q337">
        <f>P337*0.0015</f>
        <v/>
      </c>
      <c r="R337">
        <f>I337*(1-Q337)</f>
        <v/>
      </c>
      <c r="S337">
        <f>R337/R336-1</f>
        <v/>
      </c>
      <c r="T337">
        <f>MAX(T336,R337)</f>
        <v/>
      </c>
      <c r="U337">
        <f>R337/T337-1</f>
        <v/>
      </c>
      <c r="V337" t="n">
        <v>1.539225985890659</v>
      </c>
      <c r="W337" s="5">
        <f>R337-V337</f>
        <v/>
      </c>
    </row>
    <row r="338">
      <c r="A338" s="3" t="n">
        <v>38931</v>
      </c>
      <c r="B338">
        <f>Prices!B338</f>
        <v/>
      </c>
      <c r="C338">
        <f>Prices!C338</f>
        <v/>
      </c>
      <c r="D338">
        <f>Prices!D338</f>
        <v/>
      </c>
      <c r="E338">
        <f>Prices!E338</f>
        <v/>
      </c>
      <c r="F338">
        <f>Prices!F338</f>
        <v/>
      </c>
      <c r="G338">
        <f>IF(AND(336&gt;=16,TEXT(A338,"yyyy-mm")&lt;&gt;TEXT(A339,"yyyy-mm")),1,0)</f>
        <v/>
      </c>
      <c r="H338">
        <f>IF(OR(H337=1,G338=1),1,0)</f>
        <v/>
      </c>
      <c r="I338">
        <f>IF(H337=0,1,SUMPRODUCT(J337:N337,B338:F338)+O337*(1+0.00023125256064071564))</f>
        <v/>
      </c>
      <c r="J338">
        <f>IF(G338=1,0.2*R338/B338,J337)</f>
        <v/>
      </c>
      <c r="K338">
        <f>IF(G338=1,0.2*R338/C338,K337)</f>
        <v/>
      </c>
      <c r="L338">
        <f>IF(G338=1,0.2*R338/D338,L337)</f>
        <v/>
      </c>
      <c r="M338">
        <f>IF(G338=1,0.2*R338/E338,M337)</f>
        <v/>
      </c>
      <c r="N338">
        <f>IF(G338=1,0.2*R338/F338,N337)</f>
        <v/>
      </c>
      <c r="O338">
        <f>IF(G338=1,R338*(1-1.0),IF(H337=0,1,O337*(1+0.00023125256064071564)))</f>
        <v/>
      </c>
      <c r="P338">
        <f>IF(G338=1,IF(H337=0,1,ABS(0.2-J337*B338/I338)+ABS(0.2-K337*C338/I338)+ABS(0.2-L337*D338/I338)+ABS(0.2-M337*E338/I338)+ABS(0.2-N337*F338/I338)),0)</f>
        <v/>
      </c>
      <c r="Q338">
        <f>P338*0.0015</f>
        <v/>
      </c>
      <c r="R338">
        <f>I338*(1-Q338)</f>
        <v/>
      </c>
      <c r="S338">
        <f>R338/R337-1</f>
        <v/>
      </c>
      <c r="T338">
        <f>MAX(T337,R338)</f>
        <v/>
      </c>
      <c r="U338">
        <f>R338/T338-1</f>
        <v/>
      </c>
      <c r="V338" t="n">
        <v>1.559359387864288</v>
      </c>
      <c r="W338" s="5">
        <f>R338-V338</f>
        <v/>
      </c>
    </row>
    <row r="339">
      <c r="A339" s="3" t="n">
        <v>38932</v>
      </c>
      <c r="B339">
        <f>Prices!B339</f>
        <v/>
      </c>
      <c r="C339">
        <f>Prices!C339</f>
        <v/>
      </c>
      <c r="D339">
        <f>Prices!D339</f>
        <v/>
      </c>
      <c r="E339">
        <f>Prices!E339</f>
        <v/>
      </c>
      <c r="F339">
        <f>Prices!F339</f>
        <v/>
      </c>
      <c r="G339">
        <f>IF(AND(337&gt;=16,TEXT(A339,"yyyy-mm")&lt;&gt;TEXT(A340,"yyyy-mm")),1,0)</f>
        <v/>
      </c>
      <c r="H339">
        <f>IF(OR(H338=1,G339=1),1,0)</f>
        <v/>
      </c>
      <c r="I339">
        <f>IF(H338=0,1,SUMPRODUCT(J338:N338,B339:F339)+O338*(1+0.00023125256064071564))</f>
        <v/>
      </c>
      <c r="J339">
        <f>IF(G339=1,0.2*R339/B339,J338)</f>
        <v/>
      </c>
      <c r="K339">
        <f>IF(G339=1,0.2*R339/C339,K338)</f>
        <v/>
      </c>
      <c r="L339">
        <f>IF(G339=1,0.2*R339/D339,L338)</f>
        <v/>
      </c>
      <c r="M339">
        <f>IF(G339=1,0.2*R339/E339,M338)</f>
        <v/>
      </c>
      <c r="N339">
        <f>IF(G339=1,0.2*R339/F339,N338)</f>
        <v/>
      </c>
      <c r="O339">
        <f>IF(G339=1,R339*(1-1.0),IF(H338=0,1,O338*(1+0.00023125256064071564)))</f>
        <v/>
      </c>
      <c r="P339">
        <f>IF(G339=1,IF(H338=0,1,ABS(0.2-J338*B339/I339)+ABS(0.2-K338*C339/I339)+ABS(0.2-L338*D339/I339)+ABS(0.2-M338*E339/I339)+ABS(0.2-N338*F339/I339)),0)</f>
        <v/>
      </c>
      <c r="Q339">
        <f>P339*0.0015</f>
        <v/>
      </c>
      <c r="R339">
        <f>I339*(1-Q339)</f>
        <v/>
      </c>
      <c r="S339">
        <f>R339/R338-1</f>
        <v/>
      </c>
      <c r="T339">
        <f>MAX(T338,R339)</f>
        <v/>
      </c>
      <c r="U339">
        <f>R339/T339-1</f>
        <v/>
      </c>
      <c r="V339" t="n">
        <v>1.566547071201087</v>
      </c>
      <c r="W339" s="5">
        <f>R339-V339</f>
        <v/>
      </c>
    </row>
    <row r="340">
      <c r="A340" s="3" t="n">
        <v>38933</v>
      </c>
      <c r="B340">
        <f>Prices!B340</f>
        <v/>
      </c>
      <c r="C340">
        <f>Prices!C340</f>
        <v/>
      </c>
      <c r="D340">
        <f>Prices!D340</f>
        <v/>
      </c>
      <c r="E340">
        <f>Prices!E340</f>
        <v/>
      </c>
      <c r="F340">
        <f>Prices!F340</f>
        <v/>
      </c>
      <c r="G340">
        <f>IF(AND(338&gt;=16,TEXT(A340,"yyyy-mm")&lt;&gt;TEXT(A341,"yyyy-mm")),1,0)</f>
        <v/>
      </c>
      <c r="H340">
        <f>IF(OR(H339=1,G340=1),1,0)</f>
        <v/>
      </c>
      <c r="I340">
        <f>IF(H339=0,1,SUMPRODUCT(J339:N339,B340:F340)+O339*(1+0.00023125256064071564))</f>
        <v/>
      </c>
      <c r="J340">
        <f>IF(G340=1,0.2*R340/B340,J339)</f>
        <v/>
      </c>
      <c r="K340">
        <f>IF(G340=1,0.2*R340/C340,K339)</f>
        <v/>
      </c>
      <c r="L340">
        <f>IF(G340=1,0.2*R340/D340,L339)</f>
        <v/>
      </c>
      <c r="M340">
        <f>IF(G340=1,0.2*R340/E340,M339)</f>
        <v/>
      </c>
      <c r="N340">
        <f>IF(G340=1,0.2*R340/F340,N339)</f>
        <v/>
      </c>
      <c r="O340">
        <f>IF(G340=1,R340*(1-1.0),IF(H339=0,1,O339*(1+0.00023125256064071564)))</f>
        <v/>
      </c>
      <c r="P340">
        <f>IF(G340=1,IF(H339=0,1,ABS(0.2-J339*B340/I340)+ABS(0.2-K339*C340/I340)+ABS(0.2-L339*D340/I340)+ABS(0.2-M339*E340/I340)+ABS(0.2-N339*F340/I340)),0)</f>
        <v/>
      </c>
      <c r="Q340">
        <f>P340*0.0015</f>
        <v/>
      </c>
      <c r="R340">
        <f>I340*(1-Q340)</f>
        <v/>
      </c>
      <c r="S340">
        <f>R340/R339-1</f>
        <v/>
      </c>
      <c r="T340">
        <f>MAX(T339,R340)</f>
        <v/>
      </c>
      <c r="U340">
        <f>R340/T340-1</f>
        <v/>
      </c>
      <c r="V340" t="n">
        <v>1.559299807289659</v>
      </c>
      <c r="W340" s="5">
        <f>R340-V340</f>
        <v/>
      </c>
    </row>
    <row r="341">
      <c r="A341" s="3" t="n">
        <v>38936</v>
      </c>
      <c r="B341">
        <f>Prices!B341</f>
        <v/>
      </c>
      <c r="C341">
        <f>Prices!C341</f>
        <v/>
      </c>
      <c r="D341">
        <f>Prices!D341</f>
        <v/>
      </c>
      <c r="E341">
        <f>Prices!E341</f>
        <v/>
      </c>
      <c r="F341">
        <f>Prices!F341</f>
        <v/>
      </c>
      <c r="G341">
        <f>IF(AND(339&gt;=16,TEXT(A341,"yyyy-mm")&lt;&gt;TEXT(A342,"yyyy-mm")),1,0)</f>
        <v/>
      </c>
      <c r="H341">
        <f>IF(OR(H340=1,G341=1),1,0)</f>
        <v/>
      </c>
      <c r="I341">
        <f>IF(H340=0,1,SUMPRODUCT(J340:N340,B341:F341)+O340*(1+0.00023125256064071564))</f>
        <v/>
      </c>
      <c r="J341">
        <f>IF(G341=1,0.2*R341/B341,J340)</f>
        <v/>
      </c>
      <c r="K341">
        <f>IF(G341=1,0.2*R341/C341,K340)</f>
        <v/>
      </c>
      <c r="L341">
        <f>IF(G341=1,0.2*R341/D341,L340)</f>
        <v/>
      </c>
      <c r="M341">
        <f>IF(G341=1,0.2*R341/E341,M340)</f>
        <v/>
      </c>
      <c r="N341">
        <f>IF(G341=1,0.2*R341/F341,N340)</f>
        <v/>
      </c>
      <c r="O341">
        <f>IF(G341=1,R341*(1-1.0),IF(H340=0,1,O340*(1+0.00023125256064071564)))</f>
        <v/>
      </c>
      <c r="P341">
        <f>IF(G341=1,IF(H340=0,1,ABS(0.2-J340*B341/I341)+ABS(0.2-K340*C341/I341)+ABS(0.2-L340*D341/I341)+ABS(0.2-M340*E341/I341)+ABS(0.2-N340*F341/I341)),0)</f>
        <v/>
      </c>
      <c r="Q341">
        <f>P341*0.0015</f>
        <v/>
      </c>
      <c r="R341">
        <f>I341*(1-Q341)</f>
        <v/>
      </c>
      <c r="S341">
        <f>R341/R340-1</f>
        <v/>
      </c>
      <c r="T341">
        <f>MAX(T340,R341)</f>
        <v/>
      </c>
      <c r="U341">
        <f>R341/T341-1</f>
        <v/>
      </c>
      <c r="V341" t="n">
        <v>1.554666962273358</v>
      </c>
      <c r="W341" s="5">
        <f>R341-V341</f>
        <v/>
      </c>
    </row>
    <row r="342">
      <c r="A342" s="3" t="n">
        <v>38937</v>
      </c>
      <c r="B342">
        <f>Prices!B342</f>
        <v/>
      </c>
      <c r="C342">
        <f>Prices!C342</f>
        <v/>
      </c>
      <c r="D342">
        <f>Prices!D342</f>
        <v/>
      </c>
      <c r="E342">
        <f>Prices!E342</f>
        <v/>
      </c>
      <c r="F342">
        <f>Prices!F342</f>
        <v/>
      </c>
      <c r="G342">
        <f>IF(AND(340&gt;=16,TEXT(A342,"yyyy-mm")&lt;&gt;TEXT(A343,"yyyy-mm")),1,0)</f>
        <v/>
      </c>
      <c r="H342">
        <f>IF(OR(H341=1,G342=1),1,0)</f>
        <v/>
      </c>
      <c r="I342">
        <f>IF(H341=0,1,SUMPRODUCT(J341:N341,B342:F342)+O341*(1+0.00023125256064071564))</f>
        <v/>
      </c>
      <c r="J342">
        <f>IF(G342=1,0.2*R342/B342,J341)</f>
        <v/>
      </c>
      <c r="K342">
        <f>IF(G342=1,0.2*R342/C342,K341)</f>
        <v/>
      </c>
      <c r="L342">
        <f>IF(G342=1,0.2*R342/D342,L341)</f>
        <v/>
      </c>
      <c r="M342">
        <f>IF(G342=1,0.2*R342/E342,M341)</f>
        <v/>
      </c>
      <c r="N342">
        <f>IF(G342=1,0.2*R342/F342,N341)</f>
        <v/>
      </c>
      <c r="O342">
        <f>IF(G342=1,R342*(1-1.0),IF(H341=0,1,O341*(1+0.00023125256064071564)))</f>
        <v/>
      </c>
      <c r="P342">
        <f>IF(G342=1,IF(H341=0,1,ABS(0.2-J341*B342/I342)+ABS(0.2-K341*C342/I342)+ABS(0.2-L341*D342/I342)+ABS(0.2-M341*E342/I342)+ABS(0.2-N341*F342/I342)),0)</f>
        <v/>
      </c>
      <c r="Q342">
        <f>P342*0.0015</f>
        <v/>
      </c>
      <c r="R342">
        <f>I342*(1-Q342)</f>
        <v/>
      </c>
      <c r="S342">
        <f>R342/R341-1</f>
        <v/>
      </c>
      <c r="T342">
        <f>MAX(T341,R342)</f>
        <v/>
      </c>
      <c r="U342">
        <f>R342/T342-1</f>
        <v/>
      </c>
      <c r="V342" t="n">
        <v>1.580409207494712</v>
      </c>
      <c r="W342" s="5">
        <f>R342-V342</f>
        <v/>
      </c>
    </row>
    <row r="343">
      <c r="A343" s="3" t="n">
        <v>38938</v>
      </c>
      <c r="B343">
        <f>Prices!B343</f>
        <v/>
      </c>
      <c r="C343">
        <f>Prices!C343</f>
        <v/>
      </c>
      <c r="D343">
        <f>Prices!D343</f>
        <v/>
      </c>
      <c r="E343">
        <f>Prices!E343</f>
        <v/>
      </c>
      <c r="F343">
        <f>Prices!F343</f>
        <v/>
      </c>
      <c r="G343">
        <f>IF(AND(341&gt;=16,TEXT(A343,"yyyy-mm")&lt;&gt;TEXT(A344,"yyyy-mm")),1,0)</f>
        <v/>
      </c>
      <c r="H343">
        <f>IF(OR(H342=1,G343=1),1,0)</f>
        <v/>
      </c>
      <c r="I343">
        <f>IF(H342=0,1,SUMPRODUCT(J342:N342,B343:F343)+O342*(1+0.00023125256064071564))</f>
        <v/>
      </c>
      <c r="J343">
        <f>IF(G343=1,0.2*R343/B343,J342)</f>
        <v/>
      </c>
      <c r="K343">
        <f>IF(G343=1,0.2*R343/C343,K342)</f>
        <v/>
      </c>
      <c r="L343">
        <f>IF(G343=1,0.2*R343/D343,L342)</f>
        <v/>
      </c>
      <c r="M343">
        <f>IF(G343=1,0.2*R343/E343,M342)</f>
        <v/>
      </c>
      <c r="N343">
        <f>IF(G343=1,0.2*R343/F343,N342)</f>
        <v/>
      </c>
      <c r="O343">
        <f>IF(G343=1,R343*(1-1.0),IF(H342=0,1,O342*(1+0.00023125256064071564)))</f>
        <v/>
      </c>
      <c r="P343">
        <f>IF(G343=1,IF(H342=0,1,ABS(0.2-J342*B343/I343)+ABS(0.2-K342*C343/I343)+ABS(0.2-L342*D343/I343)+ABS(0.2-M342*E343/I343)+ABS(0.2-N342*F343/I343)),0)</f>
        <v/>
      </c>
      <c r="Q343">
        <f>P343*0.0015</f>
        <v/>
      </c>
      <c r="R343">
        <f>I343*(1-Q343)</f>
        <v/>
      </c>
      <c r="S343">
        <f>R343/R342-1</f>
        <v/>
      </c>
      <c r="T343">
        <f>MAX(T342,R343)</f>
        <v/>
      </c>
      <c r="U343">
        <f>R343/T343-1</f>
        <v/>
      </c>
      <c r="V343" t="n">
        <v>1.606192195406911</v>
      </c>
      <c r="W343" s="5">
        <f>R343-V343</f>
        <v/>
      </c>
    </row>
    <row r="344">
      <c r="A344" s="3" t="n">
        <v>38939</v>
      </c>
      <c r="B344">
        <f>Prices!B344</f>
        <v/>
      </c>
      <c r="C344">
        <f>Prices!C344</f>
        <v/>
      </c>
      <c r="D344">
        <f>Prices!D344</f>
        <v/>
      </c>
      <c r="E344">
        <f>Prices!E344</f>
        <v/>
      </c>
      <c r="F344">
        <f>Prices!F344</f>
        <v/>
      </c>
      <c r="G344">
        <f>IF(AND(342&gt;=16,TEXT(A344,"yyyy-mm")&lt;&gt;TEXT(A345,"yyyy-mm")),1,0)</f>
        <v/>
      </c>
      <c r="H344">
        <f>IF(OR(H343=1,G344=1),1,0)</f>
        <v/>
      </c>
      <c r="I344">
        <f>IF(H343=0,1,SUMPRODUCT(J343:N343,B344:F344)+O343*(1+0.00023125256064071564))</f>
        <v/>
      </c>
      <c r="J344">
        <f>IF(G344=1,0.2*R344/B344,J343)</f>
        <v/>
      </c>
      <c r="K344">
        <f>IF(G344=1,0.2*R344/C344,K343)</f>
        <v/>
      </c>
      <c r="L344">
        <f>IF(G344=1,0.2*R344/D344,L343)</f>
        <v/>
      </c>
      <c r="M344">
        <f>IF(G344=1,0.2*R344/E344,M343)</f>
        <v/>
      </c>
      <c r="N344">
        <f>IF(G344=1,0.2*R344/F344,N343)</f>
        <v/>
      </c>
      <c r="O344">
        <f>IF(G344=1,R344*(1-1.0),IF(H343=0,1,O343*(1+0.00023125256064071564)))</f>
        <v/>
      </c>
      <c r="P344">
        <f>IF(G344=1,IF(H343=0,1,ABS(0.2-J343*B344/I344)+ABS(0.2-K343*C344/I344)+ABS(0.2-L343*D344/I344)+ABS(0.2-M343*E344/I344)+ABS(0.2-N343*F344/I344)),0)</f>
        <v/>
      </c>
      <c r="Q344">
        <f>P344*0.0015</f>
        <v/>
      </c>
      <c r="R344">
        <f>I344*(1-Q344)</f>
        <v/>
      </c>
      <c r="S344">
        <f>R344/R343-1</f>
        <v/>
      </c>
      <c r="T344">
        <f>MAX(T343,R344)</f>
        <v/>
      </c>
      <c r="U344">
        <f>R344/T344-1</f>
        <v/>
      </c>
      <c r="V344" t="n">
        <v>1.628590070351693</v>
      </c>
      <c r="W344" s="5">
        <f>R344-V344</f>
        <v/>
      </c>
    </row>
    <row r="345">
      <c r="A345" s="3" t="n">
        <v>38940</v>
      </c>
      <c r="B345">
        <f>Prices!B345</f>
        <v/>
      </c>
      <c r="C345">
        <f>Prices!C345</f>
        <v/>
      </c>
      <c r="D345">
        <f>Prices!D345</f>
        <v/>
      </c>
      <c r="E345">
        <f>Prices!E345</f>
        <v/>
      </c>
      <c r="F345">
        <f>Prices!F345</f>
        <v/>
      </c>
      <c r="G345">
        <f>IF(AND(343&gt;=16,TEXT(A345,"yyyy-mm")&lt;&gt;TEXT(A346,"yyyy-mm")),1,0)</f>
        <v/>
      </c>
      <c r="H345">
        <f>IF(OR(H344=1,G345=1),1,0)</f>
        <v/>
      </c>
      <c r="I345">
        <f>IF(H344=0,1,SUMPRODUCT(J344:N344,B345:F345)+O344*(1+0.00023125256064071564))</f>
        <v/>
      </c>
      <c r="J345">
        <f>IF(G345=1,0.2*R345/B345,J344)</f>
        <v/>
      </c>
      <c r="K345">
        <f>IF(G345=1,0.2*R345/C345,K344)</f>
        <v/>
      </c>
      <c r="L345">
        <f>IF(G345=1,0.2*R345/D345,L344)</f>
        <v/>
      </c>
      <c r="M345">
        <f>IF(G345=1,0.2*R345/E345,M344)</f>
        <v/>
      </c>
      <c r="N345">
        <f>IF(G345=1,0.2*R345/F345,N344)</f>
        <v/>
      </c>
      <c r="O345">
        <f>IF(G345=1,R345*(1-1.0),IF(H344=0,1,O344*(1+0.00023125256064071564)))</f>
        <v/>
      </c>
      <c r="P345">
        <f>IF(G345=1,IF(H344=0,1,ABS(0.2-J344*B345/I345)+ABS(0.2-K344*C345/I345)+ABS(0.2-L344*D345/I345)+ABS(0.2-M344*E345/I345)+ABS(0.2-N344*F345/I345)),0)</f>
        <v/>
      </c>
      <c r="Q345">
        <f>P345*0.0015</f>
        <v/>
      </c>
      <c r="R345">
        <f>I345*(1-Q345)</f>
        <v/>
      </c>
      <c r="S345">
        <f>R345/R344-1</f>
        <v/>
      </c>
      <c r="T345">
        <f>MAX(T344,R345)</f>
        <v/>
      </c>
      <c r="U345">
        <f>R345/T345-1</f>
        <v/>
      </c>
      <c r="V345" t="n">
        <v>1.647392526156219</v>
      </c>
      <c r="W345" s="5">
        <f>R345-V345</f>
        <v/>
      </c>
    </row>
    <row r="346">
      <c r="A346" s="3" t="n">
        <v>38943</v>
      </c>
      <c r="B346">
        <f>Prices!B346</f>
        <v/>
      </c>
      <c r="C346">
        <f>Prices!C346</f>
        <v/>
      </c>
      <c r="D346">
        <f>Prices!D346</f>
        <v/>
      </c>
      <c r="E346">
        <f>Prices!E346</f>
        <v/>
      </c>
      <c r="F346">
        <f>Prices!F346</f>
        <v/>
      </c>
      <c r="G346">
        <f>IF(AND(344&gt;=16,TEXT(A346,"yyyy-mm")&lt;&gt;TEXT(A347,"yyyy-mm")),1,0)</f>
        <v/>
      </c>
      <c r="H346">
        <f>IF(OR(H345=1,G346=1),1,0)</f>
        <v/>
      </c>
      <c r="I346">
        <f>IF(H345=0,1,SUMPRODUCT(J345:N345,B346:F346)+O345*(1+0.00023125256064071564))</f>
        <v/>
      </c>
      <c r="J346">
        <f>IF(G346=1,0.2*R346/B346,J345)</f>
        <v/>
      </c>
      <c r="K346">
        <f>IF(G346=1,0.2*R346/C346,K345)</f>
        <v/>
      </c>
      <c r="L346">
        <f>IF(G346=1,0.2*R346/D346,L345)</f>
        <v/>
      </c>
      <c r="M346">
        <f>IF(G346=1,0.2*R346/E346,M345)</f>
        <v/>
      </c>
      <c r="N346">
        <f>IF(G346=1,0.2*R346/F346,N345)</f>
        <v/>
      </c>
      <c r="O346">
        <f>IF(G346=1,R346*(1-1.0),IF(H345=0,1,O345*(1+0.00023125256064071564)))</f>
        <v/>
      </c>
      <c r="P346">
        <f>IF(G346=1,IF(H345=0,1,ABS(0.2-J345*B346/I346)+ABS(0.2-K345*C346/I346)+ABS(0.2-L345*D346/I346)+ABS(0.2-M345*E346/I346)+ABS(0.2-N345*F346/I346)),0)</f>
        <v/>
      </c>
      <c r="Q346">
        <f>P346*0.0015</f>
        <v/>
      </c>
      <c r="R346">
        <f>I346*(1-Q346)</f>
        <v/>
      </c>
      <c r="S346">
        <f>R346/R345-1</f>
        <v/>
      </c>
      <c r="T346">
        <f>MAX(T345,R346)</f>
        <v/>
      </c>
      <c r="U346">
        <f>R346/T346-1</f>
        <v/>
      </c>
      <c r="V346" t="n">
        <v>1.675776684536535</v>
      </c>
      <c r="W346" s="5">
        <f>R346-V346</f>
        <v/>
      </c>
    </row>
    <row r="347">
      <c r="A347" s="3" t="n">
        <v>38945</v>
      </c>
      <c r="B347">
        <f>Prices!B347</f>
        <v/>
      </c>
      <c r="C347">
        <f>Prices!C347</f>
        <v/>
      </c>
      <c r="D347">
        <f>Prices!D347</f>
        <v/>
      </c>
      <c r="E347">
        <f>Prices!E347</f>
        <v/>
      </c>
      <c r="F347">
        <f>Prices!F347</f>
        <v/>
      </c>
      <c r="G347">
        <f>IF(AND(345&gt;=16,TEXT(A347,"yyyy-mm")&lt;&gt;TEXT(A348,"yyyy-mm")),1,0)</f>
        <v/>
      </c>
      <c r="H347">
        <f>IF(OR(H346=1,G347=1),1,0)</f>
        <v/>
      </c>
      <c r="I347">
        <f>IF(H346=0,1,SUMPRODUCT(J346:N346,B347:F347)+O346*(1+0.00023125256064071564))</f>
        <v/>
      </c>
      <c r="J347">
        <f>IF(G347=1,0.2*R347/B347,J346)</f>
        <v/>
      </c>
      <c r="K347">
        <f>IF(G347=1,0.2*R347/C347,K346)</f>
        <v/>
      </c>
      <c r="L347">
        <f>IF(G347=1,0.2*R347/D347,L346)</f>
        <v/>
      </c>
      <c r="M347">
        <f>IF(G347=1,0.2*R347/E347,M346)</f>
        <v/>
      </c>
      <c r="N347">
        <f>IF(G347=1,0.2*R347/F347,N346)</f>
        <v/>
      </c>
      <c r="O347">
        <f>IF(G347=1,R347*(1-1.0),IF(H346=0,1,O346*(1+0.00023125256064071564)))</f>
        <v/>
      </c>
      <c r="P347">
        <f>IF(G347=1,IF(H346=0,1,ABS(0.2-J346*B347/I347)+ABS(0.2-K346*C347/I347)+ABS(0.2-L346*D347/I347)+ABS(0.2-M346*E347/I347)+ABS(0.2-N346*F347/I347)),0)</f>
        <v/>
      </c>
      <c r="Q347">
        <f>P347*0.0015</f>
        <v/>
      </c>
      <c r="R347">
        <f>I347*(1-Q347)</f>
        <v/>
      </c>
      <c r="S347">
        <f>R347/R346-1</f>
        <v/>
      </c>
      <c r="T347">
        <f>MAX(T346,R347)</f>
        <v/>
      </c>
      <c r="U347">
        <f>R347/T347-1</f>
        <v/>
      </c>
      <c r="V347" t="n">
        <v>1.704167548400684</v>
      </c>
      <c r="W347" s="5">
        <f>R347-V347</f>
        <v/>
      </c>
    </row>
    <row r="348">
      <c r="A348" s="3" t="n">
        <v>38946</v>
      </c>
      <c r="B348">
        <f>Prices!B348</f>
        <v/>
      </c>
      <c r="C348">
        <f>Prices!C348</f>
        <v/>
      </c>
      <c r="D348">
        <f>Prices!D348</f>
        <v/>
      </c>
      <c r="E348">
        <f>Prices!E348</f>
        <v/>
      </c>
      <c r="F348">
        <f>Prices!F348</f>
        <v/>
      </c>
      <c r="G348">
        <f>IF(AND(346&gt;=16,TEXT(A348,"yyyy-mm")&lt;&gt;TEXT(A349,"yyyy-mm")),1,0)</f>
        <v/>
      </c>
      <c r="H348">
        <f>IF(OR(H347=1,G348=1),1,0)</f>
        <v/>
      </c>
      <c r="I348">
        <f>IF(H347=0,1,SUMPRODUCT(J347:N347,B348:F348)+O347*(1+0.00023125256064071564))</f>
        <v/>
      </c>
      <c r="J348">
        <f>IF(G348=1,0.2*R348/B348,J347)</f>
        <v/>
      </c>
      <c r="K348">
        <f>IF(G348=1,0.2*R348/C348,K347)</f>
        <v/>
      </c>
      <c r="L348">
        <f>IF(G348=1,0.2*R348/D348,L347)</f>
        <v/>
      </c>
      <c r="M348">
        <f>IF(G348=1,0.2*R348/E348,M347)</f>
        <v/>
      </c>
      <c r="N348">
        <f>IF(G348=1,0.2*R348/F348,N347)</f>
        <v/>
      </c>
      <c r="O348">
        <f>IF(G348=1,R348*(1-1.0),IF(H347=0,1,O347*(1+0.00023125256064071564)))</f>
        <v/>
      </c>
      <c r="P348">
        <f>IF(G348=1,IF(H347=0,1,ABS(0.2-J347*B348/I348)+ABS(0.2-K347*C348/I348)+ABS(0.2-L347*D348/I348)+ABS(0.2-M347*E348/I348)+ABS(0.2-N347*F348/I348)),0)</f>
        <v/>
      </c>
      <c r="Q348">
        <f>P348*0.0015</f>
        <v/>
      </c>
      <c r="R348">
        <f>I348*(1-Q348)</f>
        <v/>
      </c>
      <c r="S348">
        <f>R348/R347-1</f>
        <v/>
      </c>
      <c r="T348">
        <f>MAX(T347,R348)</f>
        <v/>
      </c>
      <c r="U348">
        <f>R348/T348-1</f>
        <v/>
      </c>
      <c r="V348" t="n">
        <v>1.692055408447881</v>
      </c>
      <c r="W348" s="5">
        <f>R348-V348</f>
        <v/>
      </c>
    </row>
    <row r="349">
      <c r="A349" s="3" t="n">
        <v>38947</v>
      </c>
      <c r="B349">
        <f>Prices!B349</f>
        <v/>
      </c>
      <c r="C349">
        <f>Prices!C349</f>
        <v/>
      </c>
      <c r="D349">
        <f>Prices!D349</f>
        <v/>
      </c>
      <c r="E349">
        <f>Prices!E349</f>
        <v/>
      </c>
      <c r="F349">
        <f>Prices!F349</f>
        <v/>
      </c>
      <c r="G349">
        <f>IF(AND(347&gt;=16,TEXT(A349,"yyyy-mm")&lt;&gt;TEXT(A350,"yyyy-mm")),1,0)</f>
        <v/>
      </c>
      <c r="H349">
        <f>IF(OR(H348=1,G349=1),1,0)</f>
        <v/>
      </c>
      <c r="I349">
        <f>IF(H348=0,1,SUMPRODUCT(J348:N348,B349:F349)+O348*(1+0.00023125256064071564))</f>
        <v/>
      </c>
      <c r="J349">
        <f>IF(G349=1,0.2*R349/B349,J348)</f>
        <v/>
      </c>
      <c r="K349">
        <f>IF(G349=1,0.2*R349/C349,K348)</f>
        <v/>
      </c>
      <c r="L349">
        <f>IF(G349=1,0.2*R349/D349,L348)</f>
        <v/>
      </c>
      <c r="M349">
        <f>IF(G349=1,0.2*R349/E349,M348)</f>
        <v/>
      </c>
      <c r="N349">
        <f>IF(G349=1,0.2*R349/F349,N348)</f>
        <v/>
      </c>
      <c r="O349">
        <f>IF(G349=1,R349*(1-1.0),IF(H348=0,1,O348*(1+0.00023125256064071564)))</f>
        <v/>
      </c>
      <c r="P349">
        <f>IF(G349=1,IF(H348=0,1,ABS(0.2-J348*B349/I349)+ABS(0.2-K348*C349/I349)+ABS(0.2-L348*D349/I349)+ABS(0.2-M348*E349/I349)+ABS(0.2-N348*F349/I349)),0)</f>
        <v/>
      </c>
      <c r="Q349">
        <f>P349*0.0015</f>
        <v/>
      </c>
      <c r="R349">
        <f>I349*(1-Q349)</f>
        <v/>
      </c>
      <c r="S349">
        <f>R349/R348-1</f>
        <v/>
      </c>
      <c r="T349">
        <f>MAX(T348,R349)</f>
        <v/>
      </c>
      <c r="U349">
        <f>R349/T349-1</f>
        <v/>
      </c>
      <c r="V349" t="n">
        <v>1.703758292596564</v>
      </c>
      <c r="W349" s="5">
        <f>R349-V349</f>
        <v/>
      </c>
    </row>
    <row r="350">
      <c r="A350" s="3" t="n">
        <v>38950</v>
      </c>
      <c r="B350">
        <f>Prices!B350</f>
        <v/>
      </c>
      <c r="C350">
        <f>Prices!C350</f>
        <v/>
      </c>
      <c r="D350">
        <f>Prices!D350</f>
        <v/>
      </c>
      <c r="E350">
        <f>Prices!E350</f>
        <v/>
      </c>
      <c r="F350">
        <f>Prices!F350</f>
        <v/>
      </c>
      <c r="G350">
        <f>IF(AND(348&gt;=16,TEXT(A350,"yyyy-mm")&lt;&gt;TEXT(A351,"yyyy-mm")),1,0)</f>
        <v/>
      </c>
      <c r="H350">
        <f>IF(OR(H349=1,G350=1),1,0)</f>
        <v/>
      </c>
      <c r="I350">
        <f>IF(H349=0,1,SUMPRODUCT(J349:N349,B350:F350)+O349*(1+0.00023125256064071564))</f>
        <v/>
      </c>
      <c r="J350">
        <f>IF(G350=1,0.2*R350/B350,J349)</f>
        <v/>
      </c>
      <c r="K350">
        <f>IF(G350=1,0.2*R350/C350,K349)</f>
        <v/>
      </c>
      <c r="L350">
        <f>IF(G350=1,0.2*R350/D350,L349)</f>
        <v/>
      </c>
      <c r="M350">
        <f>IF(G350=1,0.2*R350/E350,M349)</f>
        <v/>
      </c>
      <c r="N350">
        <f>IF(G350=1,0.2*R350/F350,N349)</f>
        <v/>
      </c>
      <c r="O350">
        <f>IF(G350=1,R350*(1-1.0),IF(H349=0,1,O349*(1+0.00023125256064071564)))</f>
        <v/>
      </c>
      <c r="P350">
        <f>IF(G350=1,IF(H349=0,1,ABS(0.2-J349*B350/I350)+ABS(0.2-K349*C350/I350)+ABS(0.2-L349*D350/I350)+ABS(0.2-M349*E350/I350)+ABS(0.2-N349*F350/I350)),0)</f>
        <v/>
      </c>
      <c r="Q350">
        <f>P350*0.0015</f>
        <v/>
      </c>
      <c r="R350">
        <f>I350*(1-Q350)</f>
        <v/>
      </c>
      <c r="S350">
        <f>R350/R349-1</f>
        <v/>
      </c>
      <c r="T350">
        <f>MAX(T349,R350)</f>
        <v/>
      </c>
      <c r="U350">
        <f>R350/T350-1</f>
        <v/>
      </c>
      <c r="V350" t="n">
        <v>1.712720020900298</v>
      </c>
      <c r="W350" s="5">
        <f>R350-V350</f>
        <v/>
      </c>
    </row>
    <row r="351">
      <c r="A351" s="3" t="n">
        <v>38951</v>
      </c>
      <c r="B351">
        <f>Prices!B351</f>
        <v/>
      </c>
      <c r="C351">
        <f>Prices!C351</f>
        <v/>
      </c>
      <c r="D351">
        <f>Prices!D351</f>
        <v/>
      </c>
      <c r="E351">
        <f>Prices!E351</f>
        <v/>
      </c>
      <c r="F351">
        <f>Prices!F351</f>
        <v/>
      </c>
      <c r="G351">
        <f>IF(AND(349&gt;=16,TEXT(A351,"yyyy-mm")&lt;&gt;TEXT(A352,"yyyy-mm")),1,0)</f>
        <v/>
      </c>
      <c r="H351">
        <f>IF(OR(H350=1,G351=1),1,0)</f>
        <v/>
      </c>
      <c r="I351">
        <f>IF(H350=0,1,SUMPRODUCT(J350:N350,B351:F351)+O350*(1+0.00023125256064071564))</f>
        <v/>
      </c>
      <c r="J351">
        <f>IF(G351=1,0.2*R351/B351,J350)</f>
        <v/>
      </c>
      <c r="K351">
        <f>IF(G351=1,0.2*R351/C351,K350)</f>
        <v/>
      </c>
      <c r="L351">
        <f>IF(G351=1,0.2*R351/D351,L350)</f>
        <v/>
      </c>
      <c r="M351">
        <f>IF(G351=1,0.2*R351/E351,M350)</f>
        <v/>
      </c>
      <c r="N351">
        <f>IF(G351=1,0.2*R351/F351,N350)</f>
        <v/>
      </c>
      <c r="O351">
        <f>IF(G351=1,R351*(1-1.0),IF(H350=0,1,O350*(1+0.00023125256064071564)))</f>
        <v/>
      </c>
      <c r="P351">
        <f>IF(G351=1,IF(H350=0,1,ABS(0.2-J350*B351/I351)+ABS(0.2-K350*C351/I351)+ABS(0.2-L350*D351/I351)+ABS(0.2-M350*E351/I351)+ABS(0.2-N350*F351/I351)),0)</f>
        <v/>
      </c>
      <c r="Q351">
        <f>P351*0.0015</f>
        <v/>
      </c>
      <c r="R351">
        <f>I351*(1-Q351)</f>
        <v/>
      </c>
      <c r="S351">
        <f>R351/R350-1</f>
        <v/>
      </c>
      <c r="T351">
        <f>MAX(T350,R351)</f>
        <v/>
      </c>
      <c r="U351">
        <f>R351/T351-1</f>
        <v/>
      </c>
      <c r="V351" t="n">
        <v>1.705125055056999</v>
      </c>
      <c r="W351" s="5">
        <f>R351-V351</f>
        <v/>
      </c>
    </row>
    <row r="352">
      <c r="A352" s="3" t="n">
        <v>38952</v>
      </c>
      <c r="B352">
        <f>Prices!B352</f>
        <v/>
      </c>
      <c r="C352">
        <f>Prices!C352</f>
        <v/>
      </c>
      <c r="D352">
        <f>Prices!D352</f>
        <v/>
      </c>
      <c r="E352">
        <f>Prices!E352</f>
        <v/>
      </c>
      <c r="F352">
        <f>Prices!F352</f>
        <v/>
      </c>
      <c r="G352">
        <f>IF(AND(350&gt;=16,TEXT(A352,"yyyy-mm")&lt;&gt;TEXT(A353,"yyyy-mm")),1,0)</f>
        <v/>
      </c>
      <c r="H352">
        <f>IF(OR(H351=1,G352=1),1,0)</f>
        <v/>
      </c>
      <c r="I352">
        <f>IF(H351=0,1,SUMPRODUCT(J351:N351,B352:F352)+O351*(1+0.00023125256064071564))</f>
        <v/>
      </c>
      <c r="J352">
        <f>IF(G352=1,0.2*R352/B352,J351)</f>
        <v/>
      </c>
      <c r="K352">
        <f>IF(G352=1,0.2*R352/C352,K351)</f>
        <v/>
      </c>
      <c r="L352">
        <f>IF(G352=1,0.2*R352/D352,L351)</f>
        <v/>
      </c>
      <c r="M352">
        <f>IF(G352=1,0.2*R352/E352,M351)</f>
        <v/>
      </c>
      <c r="N352">
        <f>IF(G352=1,0.2*R352/F352,N351)</f>
        <v/>
      </c>
      <c r="O352">
        <f>IF(G352=1,R352*(1-1.0),IF(H351=0,1,O351*(1+0.00023125256064071564)))</f>
        <v/>
      </c>
      <c r="P352">
        <f>IF(G352=1,IF(H351=0,1,ABS(0.2-J351*B352/I352)+ABS(0.2-K351*C352/I352)+ABS(0.2-L351*D352/I352)+ABS(0.2-M351*E352/I352)+ABS(0.2-N351*F352/I352)),0)</f>
        <v/>
      </c>
      <c r="Q352">
        <f>P352*0.0015</f>
        <v/>
      </c>
      <c r="R352">
        <f>I352*(1-Q352)</f>
        <v/>
      </c>
      <c r="S352">
        <f>R352/R351-1</f>
        <v/>
      </c>
      <c r="T352">
        <f>MAX(T351,R352)</f>
        <v/>
      </c>
      <c r="U352">
        <f>R352/T352-1</f>
        <v/>
      </c>
      <c r="V352" t="n">
        <v>1.679230716105127</v>
      </c>
      <c r="W352" s="5">
        <f>R352-V352</f>
        <v/>
      </c>
    </row>
    <row r="353">
      <c r="A353" s="3" t="n">
        <v>38953</v>
      </c>
      <c r="B353">
        <f>Prices!B353</f>
        <v/>
      </c>
      <c r="C353">
        <f>Prices!C353</f>
        <v/>
      </c>
      <c r="D353">
        <f>Prices!D353</f>
        <v/>
      </c>
      <c r="E353">
        <f>Prices!E353</f>
        <v/>
      </c>
      <c r="F353">
        <f>Prices!F353</f>
        <v/>
      </c>
      <c r="G353">
        <f>IF(AND(351&gt;=16,TEXT(A353,"yyyy-mm")&lt;&gt;TEXT(A354,"yyyy-mm")),1,0)</f>
        <v/>
      </c>
      <c r="H353">
        <f>IF(OR(H352=1,G353=1),1,0)</f>
        <v/>
      </c>
      <c r="I353">
        <f>IF(H352=0,1,SUMPRODUCT(J352:N352,B353:F353)+O352*(1+0.00023125256064071564))</f>
        <v/>
      </c>
      <c r="J353">
        <f>IF(G353=1,0.2*R353/B353,J352)</f>
        <v/>
      </c>
      <c r="K353">
        <f>IF(G353=1,0.2*R353/C353,K352)</f>
        <v/>
      </c>
      <c r="L353">
        <f>IF(G353=1,0.2*R353/D353,L352)</f>
        <v/>
      </c>
      <c r="M353">
        <f>IF(G353=1,0.2*R353/E353,M352)</f>
        <v/>
      </c>
      <c r="N353">
        <f>IF(G353=1,0.2*R353/F353,N352)</f>
        <v/>
      </c>
      <c r="O353">
        <f>IF(G353=1,R353*(1-1.0),IF(H352=0,1,O352*(1+0.00023125256064071564)))</f>
        <v/>
      </c>
      <c r="P353">
        <f>IF(G353=1,IF(H352=0,1,ABS(0.2-J352*B353/I353)+ABS(0.2-K352*C353/I353)+ABS(0.2-L352*D353/I353)+ABS(0.2-M352*E353/I353)+ABS(0.2-N352*F353/I353)),0)</f>
        <v/>
      </c>
      <c r="Q353">
        <f>P353*0.0015</f>
        <v/>
      </c>
      <c r="R353">
        <f>I353*(1-Q353)</f>
        <v/>
      </c>
      <c r="S353">
        <f>R353/R352-1</f>
        <v/>
      </c>
      <c r="T353">
        <f>MAX(T352,R353)</f>
        <v/>
      </c>
      <c r="U353">
        <f>R353/T353-1</f>
        <v/>
      </c>
      <c r="V353" t="n">
        <v>1.688250701956588</v>
      </c>
      <c r="W353" s="5">
        <f>R353-V353</f>
        <v/>
      </c>
    </row>
    <row r="354">
      <c r="A354" s="3" t="n">
        <v>38954</v>
      </c>
      <c r="B354">
        <f>Prices!B354</f>
        <v/>
      </c>
      <c r="C354">
        <f>Prices!C354</f>
        <v/>
      </c>
      <c r="D354">
        <f>Prices!D354</f>
        <v/>
      </c>
      <c r="E354">
        <f>Prices!E354</f>
        <v/>
      </c>
      <c r="F354">
        <f>Prices!F354</f>
        <v/>
      </c>
      <c r="G354">
        <f>IF(AND(352&gt;=16,TEXT(A354,"yyyy-mm")&lt;&gt;TEXT(A355,"yyyy-mm")),1,0)</f>
        <v/>
      </c>
      <c r="H354">
        <f>IF(OR(H353=1,G354=1),1,0)</f>
        <v/>
      </c>
      <c r="I354">
        <f>IF(H353=0,1,SUMPRODUCT(J353:N353,B354:F354)+O353*(1+0.00023125256064071564))</f>
        <v/>
      </c>
      <c r="J354">
        <f>IF(G354=1,0.2*R354/B354,J353)</f>
        <v/>
      </c>
      <c r="K354">
        <f>IF(G354=1,0.2*R354/C354,K353)</f>
        <v/>
      </c>
      <c r="L354">
        <f>IF(G354=1,0.2*R354/D354,L353)</f>
        <v/>
      </c>
      <c r="M354">
        <f>IF(G354=1,0.2*R354/E354,M353)</f>
        <v/>
      </c>
      <c r="N354">
        <f>IF(G354=1,0.2*R354/F354,N353)</f>
        <v/>
      </c>
      <c r="O354">
        <f>IF(G354=1,R354*(1-1.0),IF(H353=0,1,O353*(1+0.00023125256064071564)))</f>
        <v/>
      </c>
      <c r="P354">
        <f>IF(G354=1,IF(H353=0,1,ABS(0.2-J353*B354/I354)+ABS(0.2-K353*C354/I354)+ABS(0.2-L353*D354/I354)+ABS(0.2-M353*E354/I354)+ABS(0.2-N353*F354/I354)),0)</f>
        <v/>
      </c>
      <c r="Q354">
        <f>P354*0.0015</f>
        <v/>
      </c>
      <c r="R354">
        <f>I354*(1-Q354)</f>
        <v/>
      </c>
      <c r="S354">
        <f>R354/R353-1</f>
        <v/>
      </c>
      <c r="T354">
        <f>MAX(T353,R354)</f>
        <v/>
      </c>
      <c r="U354">
        <f>R354/T354-1</f>
        <v/>
      </c>
      <c r="V354" t="n">
        <v>1.702254789598048</v>
      </c>
      <c r="W354" s="5">
        <f>R354-V354</f>
        <v/>
      </c>
    </row>
    <row r="355">
      <c r="A355" s="3" t="n">
        <v>38957</v>
      </c>
      <c r="B355">
        <f>Prices!B355</f>
        <v/>
      </c>
      <c r="C355">
        <f>Prices!C355</f>
        <v/>
      </c>
      <c r="D355">
        <f>Prices!D355</f>
        <v/>
      </c>
      <c r="E355">
        <f>Prices!E355</f>
        <v/>
      </c>
      <c r="F355">
        <f>Prices!F355</f>
        <v/>
      </c>
      <c r="G355">
        <f>IF(AND(353&gt;=16,TEXT(A355,"yyyy-mm")&lt;&gt;TEXT(A356,"yyyy-mm")),1,0)</f>
        <v/>
      </c>
      <c r="H355">
        <f>IF(OR(H354=1,G355=1),1,0)</f>
        <v/>
      </c>
      <c r="I355">
        <f>IF(H354=0,1,SUMPRODUCT(J354:N354,B355:F355)+O354*(1+0.00023125256064071564))</f>
        <v/>
      </c>
      <c r="J355">
        <f>IF(G355=1,0.2*R355/B355,J354)</f>
        <v/>
      </c>
      <c r="K355">
        <f>IF(G355=1,0.2*R355/C355,K354)</f>
        <v/>
      </c>
      <c r="L355">
        <f>IF(G355=1,0.2*R355/D355,L354)</f>
        <v/>
      </c>
      <c r="M355">
        <f>IF(G355=1,0.2*R355/E355,M354)</f>
        <v/>
      </c>
      <c r="N355">
        <f>IF(G355=1,0.2*R355/F355,N354)</f>
        <v/>
      </c>
      <c r="O355">
        <f>IF(G355=1,R355*(1-1.0),IF(H354=0,1,O354*(1+0.00023125256064071564)))</f>
        <v/>
      </c>
      <c r="P355">
        <f>IF(G355=1,IF(H354=0,1,ABS(0.2-J354*B355/I355)+ABS(0.2-K354*C355/I355)+ABS(0.2-L354*D355/I355)+ABS(0.2-M354*E355/I355)+ABS(0.2-N354*F355/I355)),0)</f>
        <v/>
      </c>
      <c r="Q355">
        <f>P355*0.0015</f>
        <v/>
      </c>
      <c r="R355">
        <f>I355*(1-Q355)</f>
        <v/>
      </c>
      <c r="S355">
        <f>R355/R354-1</f>
        <v/>
      </c>
      <c r="T355">
        <f>MAX(T354,R355)</f>
        <v/>
      </c>
      <c r="U355">
        <f>R355/T355-1</f>
        <v/>
      </c>
      <c r="V355" t="n">
        <v>1.71213596462955</v>
      </c>
      <c r="W355" s="5">
        <f>R355-V355</f>
        <v/>
      </c>
    </row>
    <row r="356">
      <c r="A356" s="3" t="n">
        <v>38958</v>
      </c>
      <c r="B356">
        <f>Prices!B356</f>
        <v/>
      </c>
      <c r="C356">
        <f>Prices!C356</f>
        <v/>
      </c>
      <c r="D356">
        <f>Prices!D356</f>
        <v/>
      </c>
      <c r="E356">
        <f>Prices!E356</f>
        <v/>
      </c>
      <c r="F356">
        <f>Prices!F356</f>
        <v/>
      </c>
      <c r="G356">
        <f>IF(AND(354&gt;=16,TEXT(A356,"yyyy-mm")&lt;&gt;TEXT(A357,"yyyy-mm")),1,0)</f>
        <v/>
      </c>
      <c r="H356">
        <f>IF(OR(H355=1,G356=1),1,0)</f>
        <v/>
      </c>
      <c r="I356">
        <f>IF(H355=0,1,SUMPRODUCT(J355:N355,B356:F356)+O355*(1+0.00023125256064071564))</f>
        <v/>
      </c>
      <c r="J356">
        <f>IF(G356=1,0.2*R356/B356,J355)</f>
        <v/>
      </c>
      <c r="K356">
        <f>IF(G356=1,0.2*R356/C356,K355)</f>
        <v/>
      </c>
      <c r="L356">
        <f>IF(G356=1,0.2*R356/D356,L355)</f>
        <v/>
      </c>
      <c r="M356">
        <f>IF(G356=1,0.2*R356/E356,M355)</f>
        <v/>
      </c>
      <c r="N356">
        <f>IF(G356=1,0.2*R356/F356,N355)</f>
        <v/>
      </c>
      <c r="O356">
        <f>IF(G356=1,R356*(1-1.0),IF(H355=0,1,O355*(1+0.00023125256064071564)))</f>
        <v/>
      </c>
      <c r="P356">
        <f>IF(G356=1,IF(H355=0,1,ABS(0.2-J355*B356/I356)+ABS(0.2-K355*C356/I356)+ABS(0.2-L355*D356/I356)+ABS(0.2-M355*E356/I356)+ABS(0.2-N355*F356/I356)),0)</f>
        <v/>
      </c>
      <c r="Q356">
        <f>P356*0.0015</f>
        <v/>
      </c>
      <c r="R356">
        <f>I356*(1-Q356)</f>
        <v/>
      </c>
      <c r="S356">
        <f>R356/R355-1</f>
        <v/>
      </c>
      <c r="T356">
        <f>MAX(T355,R356)</f>
        <v/>
      </c>
      <c r="U356">
        <f>R356/T356-1</f>
        <v/>
      </c>
      <c r="V356" t="n">
        <v>1.716537656068594</v>
      </c>
      <c r="W356" s="5">
        <f>R356-V356</f>
        <v/>
      </c>
    </row>
    <row r="357">
      <c r="A357" s="3" t="n">
        <v>38959</v>
      </c>
      <c r="B357">
        <f>Prices!B357</f>
        <v/>
      </c>
      <c r="C357">
        <f>Prices!C357</f>
        <v/>
      </c>
      <c r="D357">
        <f>Prices!D357</f>
        <v/>
      </c>
      <c r="E357">
        <f>Prices!E357</f>
        <v/>
      </c>
      <c r="F357">
        <f>Prices!F357</f>
        <v/>
      </c>
      <c r="G357">
        <f>IF(AND(355&gt;=16,TEXT(A357,"yyyy-mm")&lt;&gt;TEXT(A358,"yyyy-mm")),1,0)</f>
        <v/>
      </c>
      <c r="H357">
        <f>IF(OR(H356=1,G357=1),1,0)</f>
        <v/>
      </c>
      <c r="I357">
        <f>IF(H356=0,1,SUMPRODUCT(J356:N356,B357:F357)+O356*(1+0.00023125256064071564))</f>
        <v/>
      </c>
      <c r="J357">
        <f>IF(G357=1,0.2*R357/B357,J356)</f>
        <v/>
      </c>
      <c r="K357">
        <f>IF(G357=1,0.2*R357/C357,K356)</f>
        <v/>
      </c>
      <c r="L357">
        <f>IF(G357=1,0.2*R357/D357,L356)</f>
        <v/>
      </c>
      <c r="M357">
        <f>IF(G357=1,0.2*R357/E357,M356)</f>
        <v/>
      </c>
      <c r="N357">
        <f>IF(G357=1,0.2*R357/F357,N356)</f>
        <v/>
      </c>
      <c r="O357">
        <f>IF(G357=1,R357*(1-1.0),IF(H356=0,1,O356*(1+0.00023125256064071564)))</f>
        <v/>
      </c>
      <c r="P357">
        <f>IF(G357=1,IF(H356=0,1,ABS(0.2-J356*B357/I357)+ABS(0.2-K356*C357/I357)+ABS(0.2-L356*D357/I357)+ABS(0.2-M356*E357/I357)+ABS(0.2-N356*F357/I357)),0)</f>
        <v/>
      </c>
      <c r="Q357">
        <f>P357*0.0015</f>
        <v/>
      </c>
      <c r="R357">
        <f>I357*(1-Q357)</f>
        <v/>
      </c>
      <c r="S357">
        <f>R357/R356-1</f>
        <v/>
      </c>
      <c r="T357">
        <f>MAX(T356,R357)</f>
        <v/>
      </c>
      <c r="U357">
        <f>R357/T357-1</f>
        <v/>
      </c>
      <c r="V357" t="n">
        <v>1.713473389723921</v>
      </c>
      <c r="W357" s="5">
        <f>R357-V357</f>
        <v/>
      </c>
    </row>
    <row r="358">
      <c r="A358" s="3" t="n">
        <v>38960</v>
      </c>
      <c r="B358">
        <f>Prices!B358</f>
        <v/>
      </c>
      <c r="C358">
        <f>Prices!C358</f>
        <v/>
      </c>
      <c r="D358">
        <f>Prices!D358</f>
        <v/>
      </c>
      <c r="E358">
        <f>Prices!E358</f>
        <v/>
      </c>
      <c r="F358">
        <f>Prices!F358</f>
        <v/>
      </c>
      <c r="G358">
        <f>IF(AND(356&gt;=16,TEXT(A358,"yyyy-mm")&lt;&gt;TEXT(A359,"yyyy-mm")),1,0)</f>
        <v/>
      </c>
      <c r="H358">
        <f>IF(OR(H357=1,G358=1),1,0)</f>
        <v/>
      </c>
      <c r="I358">
        <f>IF(H357=0,1,SUMPRODUCT(J357:N357,B358:F358)+O357*(1+0.00023125256064071564))</f>
        <v/>
      </c>
      <c r="J358">
        <f>IF(G358=1,0.2*R358/B358,J357)</f>
        <v/>
      </c>
      <c r="K358">
        <f>IF(G358=1,0.2*R358/C358,K357)</f>
        <v/>
      </c>
      <c r="L358">
        <f>IF(G358=1,0.2*R358/D358,L357)</f>
        <v/>
      </c>
      <c r="M358">
        <f>IF(G358=1,0.2*R358/E358,M357)</f>
        <v/>
      </c>
      <c r="N358">
        <f>IF(G358=1,0.2*R358/F358,N357)</f>
        <v/>
      </c>
      <c r="O358">
        <f>IF(G358=1,R358*(1-1.0),IF(H357=0,1,O357*(1+0.00023125256064071564)))</f>
        <v/>
      </c>
      <c r="P358">
        <f>IF(G358=1,IF(H357=0,1,ABS(0.2-J357*B358/I358)+ABS(0.2-K357*C358/I358)+ABS(0.2-L357*D358/I358)+ABS(0.2-M357*E358/I358)+ABS(0.2-N357*F358/I358)),0)</f>
        <v/>
      </c>
      <c r="Q358">
        <f>P358*0.0015</f>
        <v/>
      </c>
      <c r="R358">
        <f>I358*(1-Q358)</f>
        <v/>
      </c>
      <c r="S358">
        <f>R358/R357-1</f>
        <v/>
      </c>
      <c r="T358">
        <f>MAX(T357,R358)</f>
        <v/>
      </c>
      <c r="U358">
        <f>R358/T358-1</f>
        <v/>
      </c>
      <c r="V358" t="n">
        <v>1.701028406510081</v>
      </c>
      <c r="W358" s="5">
        <f>R358-V358</f>
        <v/>
      </c>
    </row>
    <row r="359">
      <c r="A359" s="3" t="n">
        <v>38961</v>
      </c>
      <c r="B359">
        <f>Prices!B359</f>
        <v/>
      </c>
      <c r="C359">
        <f>Prices!C359</f>
        <v/>
      </c>
      <c r="D359">
        <f>Prices!D359</f>
        <v/>
      </c>
      <c r="E359">
        <f>Prices!E359</f>
        <v/>
      </c>
      <c r="F359">
        <f>Prices!F359</f>
        <v/>
      </c>
      <c r="G359">
        <f>IF(AND(357&gt;=16,TEXT(A359,"yyyy-mm")&lt;&gt;TEXT(A360,"yyyy-mm")),1,0)</f>
        <v/>
      </c>
      <c r="H359">
        <f>IF(OR(H358=1,G359=1),1,0)</f>
        <v/>
      </c>
      <c r="I359">
        <f>IF(H358=0,1,SUMPRODUCT(J358:N358,B359:F359)+O358*(1+0.00023125256064071564))</f>
        <v/>
      </c>
      <c r="J359">
        <f>IF(G359=1,0.2*R359/B359,J358)</f>
        <v/>
      </c>
      <c r="K359">
        <f>IF(G359=1,0.2*R359/C359,K358)</f>
        <v/>
      </c>
      <c r="L359">
        <f>IF(G359=1,0.2*R359/D359,L358)</f>
        <v/>
      </c>
      <c r="M359">
        <f>IF(G359=1,0.2*R359/E359,M358)</f>
        <v/>
      </c>
      <c r="N359">
        <f>IF(G359=1,0.2*R359/F359,N358)</f>
        <v/>
      </c>
      <c r="O359">
        <f>IF(G359=1,R359*(1-1.0),IF(H358=0,1,O358*(1+0.00023125256064071564)))</f>
        <v/>
      </c>
      <c r="P359">
        <f>IF(G359=1,IF(H358=0,1,ABS(0.2-J358*B359/I359)+ABS(0.2-K358*C359/I359)+ABS(0.2-L358*D359/I359)+ABS(0.2-M358*E359/I359)+ABS(0.2-N358*F359/I359)),0)</f>
        <v/>
      </c>
      <c r="Q359">
        <f>P359*0.0015</f>
        <v/>
      </c>
      <c r="R359">
        <f>I359*(1-Q359)</f>
        <v/>
      </c>
      <c r="S359">
        <f>R359/R358-1</f>
        <v/>
      </c>
      <c r="T359">
        <f>MAX(T358,R359)</f>
        <v/>
      </c>
      <c r="U359">
        <f>R359/T359-1</f>
        <v/>
      </c>
      <c r="V359" t="n">
        <v>1.717806783872538</v>
      </c>
      <c r="W359" s="5">
        <f>R359-V359</f>
        <v/>
      </c>
    </row>
    <row r="360">
      <c r="A360" s="3" t="n">
        <v>38964</v>
      </c>
      <c r="B360">
        <f>Prices!B360</f>
        <v/>
      </c>
      <c r="C360">
        <f>Prices!C360</f>
        <v/>
      </c>
      <c r="D360">
        <f>Prices!D360</f>
        <v/>
      </c>
      <c r="E360">
        <f>Prices!E360</f>
        <v/>
      </c>
      <c r="F360">
        <f>Prices!F360</f>
        <v/>
      </c>
      <c r="G360">
        <f>IF(AND(358&gt;=16,TEXT(A360,"yyyy-mm")&lt;&gt;TEXT(A361,"yyyy-mm")),1,0)</f>
        <v/>
      </c>
      <c r="H360">
        <f>IF(OR(H359=1,G360=1),1,0)</f>
        <v/>
      </c>
      <c r="I360">
        <f>IF(H359=0,1,SUMPRODUCT(J359:N359,B360:F360)+O359*(1+0.00023125256064071564))</f>
        <v/>
      </c>
      <c r="J360">
        <f>IF(G360=1,0.2*R360/B360,J359)</f>
        <v/>
      </c>
      <c r="K360">
        <f>IF(G360=1,0.2*R360/C360,K359)</f>
        <v/>
      </c>
      <c r="L360">
        <f>IF(G360=1,0.2*R360/D360,L359)</f>
        <v/>
      </c>
      <c r="M360">
        <f>IF(G360=1,0.2*R360/E360,M359)</f>
        <v/>
      </c>
      <c r="N360">
        <f>IF(G360=1,0.2*R360/F360,N359)</f>
        <v/>
      </c>
      <c r="O360">
        <f>IF(G360=1,R360*(1-1.0),IF(H359=0,1,O359*(1+0.00023125256064071564)))</f>
        <v/>
      </c>
      <c r="P360">
        <f>IF(G360=1,IF(H359=0,1,ABS(0.2-J359*B360/I360)+ABS(0.2-K359*C360/I360)+ABS(0.2-L359*D360/I360)+ABS(0.2-M359*E360/I360)+ABS(0.2-N359*F360/I360)),0)</f>
        <v/>
      </c>
      <c r="Q360">
        <f>P360*0.0015</f>
        <v/>
      </c>
      <c r="R360">
        <f>I360*(1-Q360)</f>
        <v/>
      </c>
      <c r="S360">
        <f>R360/R359-1</f>
        <v/>
      </c>
      <c r="T360">
        <f>MAX(T359,R360)</f>
        <v/>
      </c>
      <c r="U360">
        <f>R360/T360-1</f>
        <v/>
      </c>
      <c r="V360" t="n">
        <v>1.746404377944395</v>
      </c>
      <c r="W360" s="5">
        <f>R360-V360</f>
        <v/>
      </c>
    </row>
    <row r="361">
      <c r="A361" s="3" t="n">
        <v>38965</v>
      </c>
      <c r="B361">
        <f>Prices!B361</f>
        <v/>
      </c>
      <c r="C361">
        <f>Prices!C361</f>
        <v/>
      </c>
      <c r="D361">
        <f>Prices!D361</f>
        <v/>
      </c>
      <c r="E361">
        <f>Prices!E361</f>
        <v/>
      </c>
      <c r="F361">
        <f>Prices!F361</f>
        <v/>
      </c>
      <c r="G361">
        <f>IF(AND(359&gt;=16,TEXT(A361,"yyyy-mm")&lt;&gt;TEXT(A362,"yyyy-mm")),1,0)</f>
        <v/>
      </c>
      <c r="H361">
        <f>IF(OR(H360=1,G361=1),1,0)</f>
        <v/>
      </c>
      <c r="I361">
        <f>IF(H360=0,1,SUMPRODUCT(J360:N360,B361:F361)+O360*(1+0.00023125256064071564))</f>
        <v/>
      </c>
      <c r="J361">
        <f>IF(G361=1,0.2*R361/B361,J360)</f>
        <v/>
      </c>
      <c r="K361">
        <f>IF(G361=1,0.2*R361/C361,K360)</f>
        <v/>
      </c>
      <c r="L361">
        <f>IF(G361=1,0.2*R361/D361,L360)</f>
        <v/>
      </c>
      <c r="M361">
        <f>IF(G361=1,0.2*R361/E361,M360)</f>
        <v/>
      </c>
      <c r="N361">
        <f>IF(G361=1,0.2*R361/F361,N360)</f>
        <v/>
      </c>
      <c r="O361">
        <f>IF(G361=1,R361*(1-1.0),IF(H360=0,1,O360*(1+0.00023125256064071564)))</f>
        <v/>
      </c>
      <c r="P361">
        <f>IF(G361=1,IF(H360=0,1,ABS(0.2-J360*B361/I361)+ABS(0.2-K360*C361/I361)+ABS(0.2-L360*D361/I361)+ABS(0.2-M360*E361/I361)+ABS(0.2-N360*F361/I361)),0)</f>
        <v/>
      </c>
      <c r="Q361">
        <f>P361*0.0015</f>
        <v/>
      </c>
      <c r="R361">
        <f>I361*(1-Q361)</f>
        <v/>
      </c>
      <c r="S361">
        <f>R361/R360-1</f>
        <v/>
      </c>
      <c r="T361">
        <f>MAX(T360,R361)</f>
        <v/>
      </c>
      <c r="U361">
        <f>R361/T361-1</f>
        <v/>
      </c>
      <c r="V361" t="n">
        <v>1.752565605446339</v>
      </c>
      <c r="W361" s="5">
        <f>R361-V361</f>
        <v/>
      </c>
    </row>
    <row r="362">
      <c r="A362" s="3" t="n">
        <v>38966</v>
      </c>
      <c r="B362">
        <f>Prices!B362</f>
        <v/>
      </c>
      <c r="C362">
        <f>Prices!C362</f>
        <v/>
      </c>
      <c r="D362">
        <f>Prices!D362</f>
        <v/>
      </c>
      <c r="E362">
        <f>Prices!E362</f>
        <v/>
      </c>
      <c r="F362">
        <f>Prices!F362</f>
        <v/>
      </c>
      <c r="G362">
        <f>IF(AND(360&gt;=16,TEXT(A362,"yyyy-mm")&lt;&gt;TEXT(A363,"yyyy-mm")),1,0)</f>
        <v/>
      </c>
      <c r="H362">
        <f>IF(OR(H361=1,G362=1),1,0)</f>
        <v/>
      </c>
      <c r="I362">
        <f>IF(H361=0,1,SUMPRODUCT(J361:N361,B362:F362)+O361*(1+0.00023125256064071564))</f>
        <v/>
      </c>
      <c r="J362">
        <f>IF(G362=1,0.2*R362/B362,J361)</f>
        <v/>
      </c>
      <c r="K362">
        <f>IF(G362=1,0.2*R362/C362,K361)</f>
        <v/>
      </c>
      <c r="L362">
        <f>IF(G362=1,0.2*R362/D362,L361)</f>
        <v/>
      </c>
      <c r="M362">
        <f>IF(G362=1,0.2*R362/E362,M361)</f>
        <v/>
      </c>
      <c r="N362">
        <f>IF(G362=1,0.2*R362/F362,N361)</f>
        <v/>
      </c>
      <c r="O362">
        <f>IF(G362=1,R362*(1-1.0),IF(H361=0,1,O361*(1+0.00023125256064071564)))</f>
        <v/>
      </c>
      <c r="P362">
        <f>IF(G362=1,IF(H361=0,1,ABS(0.2-J361*B362/I362)+ABS(0.2-K361*C362/I362)+ABS(0.2-L361*D362/I362)+ABS(0.2-M361*E362/I362)+ABS(0.2-N361*F362/I362)),0)</f>
        <v/>
      </c>
      <c r="Q362">
        <f>P362*0.0015</f>
        <v/>
      </c>
      <c r="R362">
        <f>I362*(1-Q362)</f>
        <v/>
      </c>
      <c r="S362">
        <f>R362/R361-1</f>
        <v/>
      </c>
      <c r="T362">
        <f>MAX(T361,R362)</f>
        <v/>
      </c>
      <c r="U362">
        <f>R362/T362-1</f>
        <v/>
      </c>
      <c r="V362" t="n">
        <v>1.764154837033427</v>
      </c>
      <c r="W362" s="5">
        <f>R362-V362</f>
        <v/>
      </c>
    </row>
    <row r="363">
      <c r="A363" s="3" t="n">
        <v>38967</v>
      </c>
      <c r="B363">
        <f>Prices!B363</f>
        <v/>
      </c>
      <c r="C363">
        <f>Prices!C363</f>
        <v/>
      </c>
      <c r="D363">
        <f>Prices!D363</f>
        <v/>
      </c>
      <c r="E363">
        <f>Prices!E363</f>
        <v/>
      </c>
      <c r="F363">
        <f>Prices!F363</f>
        <v/>
      </c>
      <c r="G363">
        <f>IF(AND(361&gt;=16,TEXT(A363,"yyyy-mm")&lt;&gt;TEXT(A364,"yyyy-mm")),1,0)</f>
        <v/>
      </c>
      <c r="H363">
        <f>IF(OR(H362=1,G363=1),1,0)</f>
        <v/>
      </c>
      <c r="I363">
        <f>IF(H362=0,1,SUMPRODUCT(J362:N362,B363:F363)+O362*(1+0.00023125256064071564))</f>
        <v/>
      </c>
      <c r="J363">
        <f>IF(G363=1,0.2*R363/B363,J362)</f>
        <v/>
      </c>
      <c r="K363">
        <f>IF(G363=1,0.2*R363/C363,K362)</f>
        <v/>
      </c>
      <c r="L363">
        <f>IF(G363=1,0.2*R363/D363,L362)</f>
        <v/>
      </c>
      <c r="M363">
        <f>IF(G363=1,0.2*R363/E363,M362)</f>
        <v/>
      </c>
      <c r="N363">
        <f>IF(G363=1,0.2*R363/F363,N362)</f>
        <v/>
      </c>
      <c r="O363">
        <f>IF(G363=1,R363*(1-1.0),IF(H362=0,1,O362*(1+0.00023125256064071564)))</f>
        <v/>
      </c>
      <c r="P363">
        <f>IF(G363=1,IF(H362=0,1,ABS(0.2-J362*B363/I363)+ABS(0.2-K362*C363/I363)+ABS(0.2-L362*D363/I363)+ABS(0.2-M362*E363/I363)+ABS(0.2-N362*F363/I363)),0)</f>
        <v/>
      </c>
      <c r="Q363">
        <f>P363*0.0015</f>
        <v/>
      </c>
      <c r="R363">
        <f>I363*(1-Q363)</f>
        <v/>
      </c>
      <c r="S363">
        <f>R363/R362-1</f>
        <v/>
      </c>
      <c r="T363">
        <f>MAX(T362,R363)</f>
        <v/>
      </c>
      <c r="U363">
        <f>R363/T363-1</f>
        <v/>
      </c>
      <c r="V363" t="n">
        <v>1.753450202152428</v>
      </c>
      <c r="W363" s="5">
        <f>R363-V363</f>
        <v/>
      </c>
    </row>
    <row r="364">
      <c r="A364" s="3" t="n">
        <v>38968</v>
      </c>
      <c r="B364">
        <f>Prices!B364</f>
        <v/>
      </c>
      <c r="C364">
        <f>Prices!C364</f>
        <v/>
      </c>
      <c r="D364">
        <f>Prices!D364</f>
        <v/>
      </c>
      <c r="E364">
        <f>Prices!E364</f>
        <v/>
      </c>
      <c r="F364">
        <f>Prices!F364</f>
        <v/>
      </c>
      <c r="G364">
        <f>IF(AND(362&gt;=16,TEXT(A364,"yyyy-mm")&lt;&gt;TEXT(A365,"yyyy-mm")),1,0)</f>
        <v/>
      </c>
      <c r="H364">
        <f>IF(OR(H363=1,G364=1),1,0)</f>
        <v/>
      </c>
      <c r="I364">
        <f>IF(H363=0,1,SUMPRODUCT(J363:N363,B364:F364)+O363*(1+0.00023125256064071564))</f>
        <v/>
      </c>
      <c r="J364">
        <f>IF(G364=1,0.2*R364/B364,J363)</f>
        <v/>
      </c>
      <c r="K364">
        <f>IF(G364=1,0.2*R364/C364,K363)</f>
        <v/>
      </c>
      <c r="L364">
        <f>IF(G364=1,0.2*R364/D364,L363)</f>
        <v/>
      </c>
      <c r="M364">
        <f>IF(G364=1,0.2*R364/E364,M363)</f>
        <v/>
      </c>
      <c r="N364">
        <f>IF(G364=1,0.2*R364/F364,N363)</f>
        <v/>
      </c>
      <c r="O364">
        <f>IF(G364=1,R364*(1-1.0),IF(H363=0,1,O363*(1+0.00023125256064071564)))</f>
        <v/>
      </c>
      <c r="P364">
        <f>IF(G364=1,IF(H363=0,1,ABS(0.2-J363*B364/I364)+ABS(0.2-K363*C364/I364)+ABS(0.2-L363*D364/I364)+ABS(0.2-M363*E364/I364)+ABS(0.2-N363*F364/I364)),0)</f>
        <v/>
      </c>
      <c r="Q364">
        <f>P364*0.0015</f>
        <v/>
      </c>
      <c r="R364">
        <f>I364*(1-Q364)</f>
        <v/>
      </c>
      <c r="S364">
        <f>R364/R363-1</f>
        <v/>
      </c>
      <c r="T364">
        <f>MAX(T363,R364)</f>
        <v/>
      </c>
      <c r="U364">
        <f>R364/T364-1</f>
        <v/>
      </c>
      <c r="V364" t="n">
        <v>1.767365958610821</v>
      </c>
      <c r="W364" s="5">
        <f>R364-V364</f>
        <v/>
      </c>
    </row>
    <row r="365">
      <c r="A365" s="3" t="n">
        <v>38971</v>
      </c>
      <c r="B365">
        <f>Prices!B365</f>
        <v/>
      </c>
      <c r="C365">
        <f>Prices!C365</f>
        <v/>
      </c>
      <c r="D365">
        <f>Prices!D365</f>
        <v/>
      </c>
      <c r="E365">
        <f>Prices!E365</f>
        <v/>
      </c>
      <c r="F365">
        <f>Prices!F365</f>
        <v/>
      </c>
      <c r="G365">
        <f>IF(AND(363&gt;=16,TEXT(A365,"yyyy-mm")&lt;&gt;TEXT(A366,"yyyy-mm")),1,0)</f>
        <v/>
      </c>
      <c r="H365">
        <f>IF(OR(H364=1,G365=1),1,0)</f>
        <v/>
      </c>
      <c r="I365">
        <f>IF(H364=0,1,SUMPRODUCT(J364:N364,B365:F365)+O364*(1+0.00023125256064071564))</f>
        <v/>
      </c>
      <c r="J365">
        <f>IF(G365=1,0.2*R365/B365,J364)</f>
        <v/>
      </c>
      <c r="K365">
        <f>IF(G365=1,0.2*R365/C365,K364)</f>
        <v/>
      </c>
      <c r="L365">
        <f>IF(G365=1,0.2*R365/D365,L364)</f>
        <v/>
      </c>
      <c r="M365">
        <f>IF(G365=1,0.2*R365/E365,M364)</f>
        <v/>
      </c>
      <c r="N365">
        <f>IF(G365=1,0.2*R365/F365,N364)</f>
        <v/>
      </c>
      <c r="O365">
        <f>IF(G365=1,R365*(1-1.0),IF(H364=0,1,O364*(1+0.00023125256064071564)))</f>
        <v/>
      </c>
      <c r="P365">
        <f>IF(G365=1,IF(H364=0,1,ABS(0.2-J364*B365/I365)+ABS(0.2-K364*C365/I365)+ABS(0.2-L364*D365/I365)+ABS(0.2-M364*E365/I365)+ABS(0.2-N364*F365/I365)),0)</f>
        <v/>
      </c>
      <c r="Q365">
        <f>P365*0.0015</f>
        <v/>
      </c>
      <c r="R365">
        <f>I365*(1-Q365)</f>
        <v/>
      </c>
      <c r="S365">
        <f>R365/R364-1</f>
        <v/>
      </c>
      <c r="T365">
        <f>MAX(T364,R365)</f>
        <v/>
      </c>
      <c r="U365">
        <f>R365/T365-1</f>
        <v/>
      </c>
      <c r="V365" t="n">
        <v>1.710486884605583</v>
      </c>
      <c r="W365" s="5">
        <f>R365-V365</f>
        <v/>
      </c>
    </row>
    <row r="366">
      <c r="A366" s="3" t="n">
        <v>38972</v>
      </c>
      <c r="B366">
        <f>Prices!B366</f>
        <v/>
      </c>
      <c r="C366">
        <f>Prices!C366</f>
        <v/>
      </c>
      <c r="D366">
        <f>Prices!D366</f>
        <v/>
      </c>
      <c r="E366">
        <f>Prices!E366</f>
        <v/>
      </c>
      <c r="F366">
        <f>Prices!F366</f>
        <v/>
      </c>
      <c r="G366">
        <f>IF(AND(364&gt;=16,TEXT(A366,"yyyy-mm")&lt;&gt;TEXT(A367,"yyyy-mm")),1,0)</f>
        <v/>
      </c>
      <c r="H366">
        <f>IF(OR(H365=1,G366=1),1,0)</f>
        <v/>
      </c>
      <c r="I366">
        <f>IF(H365=0,1,SUMPRODUCT(J365:N365,B366:F366)+O365*(1+0.00023125256064071564))</f>
        <v/>
      </c>
      <c r="J366">
        <f>IF(G366=1,0.2*R366/B366,J365)</f>
        <v/>
      </c>
      <c r="K366">
        <f>IF(G366=1,0.2*R366/C366,K365)</f>
        <v/>
      </c>
      <c r="L366">
        <f>IF(G366=1,0.2*R366/D366,L365)</f>
        <v/>
      </c>
      <c r="M366">
        <f>IF(G366=1,0.2*R366/E366,M365)</f>
        <v/>
      </c>
      <c r="N366">
        <f>IF(G366=1,0.2*R366/F366,N365)</f>
        <v/>
      </c>
      <c r="O366">
        <f>IF(G366=1,R366*(1-1.0),IF(H365=0,1,O365*(1+0.00023125256064071564)))</f>
        <v/>
      </c>
      <c r="P366">
        <f>IF(G366=1,IF(H365=0,1,ABS(0.2-J365*B366/I366)+ABS(0.2-K365*C366/I366)+ABS(0.2-L365*D366/I366)+ABS(0.2-M365*E366/I366)+ABS(0.2-N365*F366/I366)),0)</f>
        <v/>
      </c>
      <c r="Q366">
        <f>P366*0.0015</f>
        <v/>
      </c>
      <c r="R366">
        <f>I366*(1-Q366)</f>
        <v/>
      </c>
      <c r="S366">
        <f>R366/R365-1</f>
        <v/>
      </c>
      <c r="T366">
        <f>MAX(T365,R366)</f>
        <v/>
      </c>
      <c r="U366">
        <f>R366/T366-1</f>
        <v/>
      </c>
      <c r="V366" t="n">
        <v>1.727076227360223</v>
      </c>
      <c r="W366" s="5">
        <f>R366-V366</f>
        <v/>
      </c>
    </row>
    <row r="367">
      <c r="A367" s="3" t="n">
        <v>38973</v>
      </c>
      <c r="B367">
        <f>Prices!B367</f>
        <v/>
      </c>
      <c r="C367">
        <f>Prices!C367</f>
        <v/>
      </c>
      <c r="D367">
        <f>Prices!D367</f>
        <v/>
      </c>
      <c r="E367">
        <f>Prices!E367</f>
        <v/>
      </c>
      <c r="F367">
        <f>Prices!F367</f>
        <v/>
      </c>
      <c r="G367">
        <f>IF(AND(365&gt;=16,TEXT(A367,"yyyy-mm")&lt;&gt;TEXT(A368,"yyyy-mm")),1,0)</f>
        <v/>
      </c>
      <c r="H367">
        <f>IF(OR(H366=1,G367=1),1,0)</f>
        <v/>
      </c>
      <c r="I367">
        <f>IF(H366=0,1,SUMPRODUCT(J366:N366,B367:F367)+O366*(1+0.00023125256064071564))</f>
        <v/>
      </c>
      <c r="J367">
        <f>IF(G367=1,0.2*R367/B367,J366)</f>
        <v/>
      </c>
      <c r="K367">
        <f>IF(G367=1,0.2*R367/C367,K366)</f>
        <v/>
      </c>
      <c r="L367">
        <f>IF(G367=1,0.2*R367/D367,L366)</f>
        <v/>
      </c>
      <c r="M367">
        <f>IF(G367=1,0.2*R367/E367,M366)</f>
        <v/>
      </c>
      <c r="N367">
        <f>IF(G367=1,0.2*R367/F367,N366)</f>
        <v/>
      </c>
      <c r="O367">
        <f>IF(G367=1,R367*(1-1.0),IF(H366=0,1,O366*(1+0.00023125256064071564)))</f>
        <v/>
      </c>
      <c r="P367">
        <f>IF(G367=1,IF(H366=0,1,ABS(0.2-J366*B367/I367)+ABS(0.2-K366*C367/I367)+ABS(0.2-L366*D367/I367)+ABS(0.2-M366*E367/I367)+ABS(0.2-N366*F367/I367)),0)</f>
        <v/>
      </c>
      <c r="Q367">
        <f>P367*0.0015</f>
        <v/>
      </c>
      <c r="R367">
        <f>I367*(1-Q367)</f>
        <v/>
      </c>
      <c r="S367">
        <f>R367/R366-1</f>
        <v/>
      </c>
      <c r="T367">
        <f>MAX(T366,R367)</f>
        <v/>
      </c>
      <c r="U367">
        <f>R367/T367-1</f>
        <v/>
      </c>
      <c r="V367" t="n">
        <v>1.760674889084909</v>
      </c>
      <c r="W367" s="5">
        <f>R367-V367</f>
        <v/>
      </c>
    </row>
    <row r="368">
      <c r="A368" s="3" t="n">
        <v>38974</v>
      </c>
      <c r="B368">
        <f>Prices!B368</f>
        <v/>
      </c>
      <c r="C368">
        <f>Prices!C368</f>
        <v/>
      </c>
      <c r="D368">
        <f>Prices!D368</f>
        <v/>
      </c>
      <c r="E368">
        <f>Prices!E368</f>
        <v/>
      </c>
      <c r="F368">
        <f>Prices!F368</f>
        <v/>
      </c>
      <c r="G368">
        <f>IF(AND(366&gt;=16,TEXT(A368,"yyyy-mm")&lt;&gt;TEXT(A369,"yyyy-mm")),1,0)</f>
        <v/>
      </c>
      <c r="H368">
        <f>IF(OR(H367=1,G368=1),1,0)</f>
        <v/>
      </c>
      <c r="I368">
        <f>IF(H367=0,1,SUMPRODUCT(J367:N367,B368:F368)+O367*(1+0.00023125256064071564))</f>
        <v/>
      </c>
      <c r="J368">
        <f>IF(G368=1,0.2*R368/B368,J367)</f>
        <v/>
      </c>
      <c r="K368">
        <f>IF(G368=1,0.2*R368/C368,K367)</f>
        <v/>
      </c>
      <c r="L368">
        <f>IF(G368=1,0.2*R368/D368,L367)</f>
        <v/>
      </c>
      <c r="M368">
        <f>IF(G368=1,0.2*R368/E368,M367)</f>
        <v/>
      </c>
      <c r="N368">
        <f>IF(G368=1,0.2*R368/F368,N367)</f>
        <v/>
      </c>
      <c r="O368">
        <f>IF(G368=1,R368*(1-1.0),IF(H367=0,1,O367*(1+0.00023125256064071564)))</f>
        <v/>
      </c>
      <c r="P368">
        <f>IF(G368=1,IF(H367=0,1,ABS(0.2-J367*B368/I368)+ABS(0.2-K367*C368/I368)+ABS(0.2-L367*D368/I368)+ABS(0.2-M367*E368/I368)+ABS(0.2-N367*F368/I368)),0)</f>
        <v/>
      </c>
      <c r="Q368">
        <f>P368*0.0015</f>
        <v/>
      </c>
      <c r="R368">
        <f>I368*(1-Q368)</f>
        <v/>
      </c>
      <c r="S368">
        <f>R368/R367-1</f>
        <v/>
      </c>
      <c r="T368">
        <f>MAX(T367,R368)</f>
        <v/>
      </c>
      <c r="U368">
        <f>R368/T368-1</f>
        <v/>
      </c>
      <c r="V368" t="n">
        <v>1.771644216605922</v>
      </c>
      <c r="W368" s="5">
        <f>R368-V368</f>
        <v/>
      </c>
    </row>
    <row r="369">
      <c r="A369" s="3" t="n">
        <v>38975</v>
      </c>
      <c r="B369">
        <f>Prices!B369</f>
        <v/>
      </c>
      <c r="C369">
        <f>Prices!C369</f>
        <v/>
      </c>
      <c r="D369">
        <f>Prices!D369</f>
        <v/>
      </c>
      <c r="E369">
        <f>Prices!E369</f>
        <v/>
      </c>
      <c r="F369">
        <f>Prices!F369</f>
        <v/>
      </c>
      <c r="G369">
        <f>IF(AND(367&gt;=16,TEXT(A369,"yyyy-mm")&lt;&gt;TEXT(A370,"yyyy-mm")),1,0)</f>
        <v/>
      </c>
      <c r="H369">
        <f>IF(OR(H368=1,G369=1),1,0)</f>
        <v/>
      </c>
      <c r="I369">
        <f>IF(H368=0,1,SUMPRODUCT(J368:N368,B369:F369)+O368*(1+0.00023125256064071564))</f>
        <v/>
      </c>
      <c r="J369">
        <f>IF(G369=1,0.2*R369/B369,J368)</f>
        <v/>
      </c>
      <c r="K369">
        <f>IF(G369=1,0.2*R369/C369,K368)</f>
        <v/>
      </c>
      <c r="L369">
        <f>IF(G369=1,0.2*R369/D369,L368)</f>
        <v/>
      </c>
      <c r="M369">
        <f>IF(G369=1,0.2*R369/E369,M368)</f>
        <v/>
      </c>
      <c r="N369">
        <f>IF(G369=1,0.2*R369/F369,N368)</f>
        <v/>
      </c>
      <c r="O369">
        <f>IF(G369=1,R369*(1-1.0),IF(H368=0,1,O368*(1+0.00023125256064071564)))</f>
        <v/>
      </c>
      <c r="P369">
        <f>IF(G369=1,IF(H368=0,1,ABS(0.2-J368*B369/I369)+ABS(0.2-K368*C369/I369)+ABS(0.2-L368*D369/I369)+ABS(0.2-M368*E369/I369)+ABS(0.2-N368*F369/I369)),0)</f>
        <v/>
      </c>
      <c r="Q369">
        <f>P369*0.0015</f>
        <v/>
      </c>
      <c r="R369">
        <f>I369*(1-Q369)</f>
        <v/>
      </c>
      <c r="S369">
        <f>R369/R368-1</f>
        <v/>
      </c>
      <c r="T369">
        <f>MAX(T368,R369)</f>
        <v/>
      </c>
      <c r="U369">
        <f>R369/T369-1</f>
        <v/>
      </c>
      <c r="V369" t="n">
        <v>1.774289469176652</v>
      </c>
      <c r="W369" s="5">
        <f>R369-V369</f>
        <v/>
      </c>
    </row>
    <row r="370">
      <c r="A370" s="3" t="n">
        <v>38978</v>
      </c>
      <c r="B370">
        <f>Prices!B370</f>
        <v/>
      </c>
      <c r="C370">
        <f>Prices!C370</f>
        <v/>
      </c>
      <c r="D370">
        <f>Prices!D370</f>
        <v/>
      </c>
      <c r="E370">
        <f>Prices!E370</f>
        <v/>
      </c>
      <c r="F370">
        <f>Prices!F370</f>
        <v/>
      </c>
      <c r="G370">
        <f>IF(AND(368&gt;=16,TEXT(A370,"yyyy-mm")&lt;&gt;TEXT(A371,"yyyy-mm")),1,0)</f>
        <v/>
      </c>
      <c r="H370">
        <f>IF(OR(H369=1,G370=1),1,0)</f>
        <v/>
      </c>
      <c r="I370">
        <f>IF(H369=0,1,SUMPRODUCT(J369:N369,B370:F370)+O369*(1+0.00023125256064071564))</f>
        <v/>
      </c>
      <c r="J370">
        <f>IF(G370=1,0.2*R370/B370,J369)</f>
        <v/>
      </c>
      <c r="K370">
        <f>IF(G370=1,0.2*R370/C370,K369)</f>
        <v/>
      </c>
      <c r="L370">
        <f>IF(G370=1,0.2*R370/D370,L369)</f>
        <v/>
      </c>
      <c r="M370">
        <f>IF(G370=1,0.2*R370/E370,M369)</f>
        <v/>
      </c>
      <c r="N370">
        <f>IF(G370=1,0.2*R370/F370,N369)</f>
        <v/>
      </c>
      <c r="O370">
        <f>IF(G370=1,R370*(1-1.0),IF(H369=0,1,O369*(1+0.00023125256064071564)))</f>
        <v/>
      </c>
      <c r="P370">
        <f>IF(G370=1,IF(H369=0,1,ABS(0.2-J369*B370/I370)+ABS(0.2-K369*C370/I370)+ABS(0.2-L369*D370/I370)+ABS(0.2-M369*E370/I370)+ABS(0.2-N369*F370/I370)),0)</f>
        <v/>
      </c>
      <c r="Q370">
        <f>P370*0.0015</f>
        <v/>
      </c>
      <c r="R370">
        <f>I370*(1-Q370)</f>
        <v/>
      </c>
      <c r="S370">
        <f>R370/R369-1</f>
        <v/>
      </c>
      <c r="T370">
        <f>MAX(T369,R370)</f>
        <v/>
      </c>
      <c r="U370">
        <f>R370/T370-1</f>
        <v/>
      </c>
      <c r="V370" t="n">
        <v>1.784736757651607</v>
      </c>
      <c r="W370" s="5">
        <f>R370-V370</f>
        <v/>
      </c>
    </row>
    <row r="371">
      <c r="A371" s="3" t="n">
        <v>38979</v>
      </c>
      <c r="B371">
        <f>Prices!B371</f>
        <v/>
      </c>
      <c r="C371">
        <f>Prices!C371</f>
        <v/>
      </c>
      <c r="D371">
        <f>Prices!D371</f>
        <v/>
      </c>
      <c r="E371">
        <f>Prices!E371</f>
        <v/>
      </c>
      <c r="F371">
        <f>Prices!F371</f>
        <v/>
      </c>
      <c r="G371">
        <f>IF(AND(369&gt;=16,TEXT(A371,"yyyy-mm")&lt;&gt;TEXT(A372,"yyyy-mm")),1,0)</f>
        <v/>
      </c>
      <c r="H371">
        <f>IF(OR(H370=1,G371=1),1,0)</f>
        <v/>
      </c>
      <c r="I371">
        <f>IF(H370=0,1,SUMPRODUCT(J370:N370,B371:F371)+O370*(1+0.00023125256064071564))</f>
        <v/>
      </c>
      <c r="J371">
        <f>IF(G371=1,0.2*R371/B371,J370)</f>
        <v/>
      </c>
      <c r="K371">
        <f>IF(G371=1,0.2*R371/C371,K370)</f>
        <v/>
      </c>
      <c r="L371">
        <f>IF(G371=1,0.2*R371/D371,L370)</f>
        <v/>
      </c>
      <c r="M371">
        <f>IF(G371=1,0.2*R371/E371,M370)</f>
        <v/>
      </c>
      <c r="N371">
        <f>IF(G371=1,0.2*R371/F371,N370)</f>
        <v/>
      </c>
      <c r="O371">
        <f>IF(G371=1,R371*(1-1.0),IF(H370=0,1,O370*(1+0.00023125256064071564)))</f>
        <v/>
      </c>
      <c r="P371">
        <f>IF(G371=1,IF(H370=0,1,ABS(0.2-J370*B371/I371)+ABS(0.2-K370*C371/I371)+ABS(0.2-L370*D371/I371)+ABS(0.2-M370*E371/I371)+ABS(0.2-N370*F371/I371)),0)</f>
        <v/>
      </c>
      <c r="Q371">
        <f>P371*0.0015</f>
        <v/>
      </c>
      <c r="R371">
        <f>I371*(1-Q371)</f>
        <v/>
      </c>
      <c r="S371">
        <f>R371/R370-1</f>
        <v/>
      </c>
      <c r="T371">
        <f>MAX(T370,R371)</f>
        <v/>
      </c>
      <c r="U371">
        <f>R371/T371-1</f>
        <v/>
      </c>
      <c r="V371" t="n">
        <v>1.765120285264879</v>
      </c>
      <c r="W371" s="5">
        <f>R371-V371</f>
        <v/>
      </c>
    </row>
    <row r="372">
      <c r="A372" s="3" t="n">
        <v>38980</v>
      </c>
      <c r="B372">
        <f>Prices!B372</f>
        <v/>
      </c>
      <c r="C372">
        <f>Prices!C372</f>
        <v/>
      </c>
      <c r="D372">
        <f>Prices!D372</f>
        <v/>
      </c>
      <c r="E372">
        <f>Prices!E372</f>
        <v/>
      </c>
      <c r="F372">
        <f>Prices!F372</f>
        <v/>
      </c>
      <c r="G372">
        <f>IF(AND(370&gt;=16,TEXT(A372,"yyyy-mm")&lt;&gt;TEXT(A373,"yyyy-mm")),1,0)</f>
        <v/>
      </c>
      <c r="H372">
        <f>IF(OR(H371=1,G372=1),1,0)</f>
        <v/>
      </c>
      <c r="I372">
        <f>IF(H371=0,1,SUMPRODUCT(J371:N371,B372:F372)+O371*(1+0.00023125256064071564))</f>
        <v/>
      </c>
      <c r="J372">
        <f>IF(G372=1,0.2*R372/B372,J371)</f>
        <v/>
      </c>
      <c r="K372">
        <f>IF(G372=1,0.2*R372/C372,K371)</f>
        <v/>
      </c>
      <c r="L372">
        <f>IF(G372=1,0.2*R372/D372,L371)</f>
        <v/>
      </c>
      <c r="M372">
        <f>IF(G372=1,0.2*R372/E372,M371)</f>
        <v/>
      </c>
      <c r="N372">
        <f>IF(G372=1,0.2*R372/F372,N371)</f>
        <v/>
      </c>
      <c r="O372">
        <f>IF(G372=1,R372*(1-1.0),IF(H371=0,1,O371*(1+0.00023125256064071564)))</f>
        <v/>
      </c>
      <c r="P372">
        <f>IF(G372=1,IF(H371=0,1,ABS(0.2-J371*B372/I372)+ABS(0.2-K371*C372/I372)+ABS(0.2-L371*D372/I372)+ABS(0.2-M371*E372/I372)+ABS(0.2-N371*F372/I372)),0)</f>
        <v/>
      </c>
      <c r="Q372">
        <f>P372*0.0015</f>
        <v/>
      </c>
      <c r="R372">
        <f>I372*(1-Q372)</f>
        <v/>
      </c>
      <c r="S372">
        <f>R372/R371-1</f>
        <v/>
      </c>
      <c r="T372">
        <f>MAX(T371,R372)</f>
        <v/>
      </c>
      <c r="U372">
        <f>R372/T372-1</f>
        <v/>
      </c>
      <c r="V372" t="n">
        <v>1.779569032470119</v>
      </c>
      <c r="W372" s="5">
        <f>R372-V372</f>
        <v/>
      </c>
    </row>
    <row r="373">
      <c r="A373" s="3" t="n">
        <v>38981</v>
      </c>
      <c r="B373">
        <f>Prices!B373</f>
        <v/>
      </c>
      <c r="C373">
        <f>Prices!C373</f>
        <v/>
      </c>
      <c r="D373">
        <f>Prices!D373</f>
        <v/>
      </c>
      <c r="E373">
        <f>Prices!E373</f>
        <v/>
      </c>
      <c r="F373">
        <f>Prices!F373</f>
        <v/>
      </c>
      <c r="G373">
        <f>IF(AND(371&gt;=16,TEXT(A373,"yyyy-mm")&lt;&gt;TEXT(A374,"yyyy-mm")),1,0)</f>
        <v/>
      </c>
      <c r="H373">
        <f>IF(OR(H372=1,G373=1),1,0)</f>
        <v/>
      </c>
      <c r="I373">
        <f>IF(H372=0,1,SUMPRODUCT(J372:N372,B373:F373)+O372*(1+0.00023125256064071564))</f>
        <v/>
      </c>
      <c r="J373">
        <f>IF(G373=1,0.2*R373/B373,J372)</f>
        <v/>
      </c>
      <c r="K373">
        <f>IF(G373=1,0.2*R373/C373,K372)</f>
        <v/>
      </c>
      <c r="L373">
        <f>IF(G373=1,0.2*R373/D373,L372)</f>
        <v/>
      </c>
      <c r="M373">
        <f>IF(G373=1,0.2*R373/E373,M372)</f>
        <v/>
      </c>
      <c r="N373">
        <f>IF(G373=1,0.2*R373/F373,N372)</f>
        <v/>
      </c>
      <c r="O373">
        <f>IF(G373=1,R373*(1-1.0),IF(H372=0,1,O372*(1+0.00023125256064071564)))</f>
        <v/>
      </c>
      <c r="P373">
        <f>IF(G373=1,IF(H372=0,1,ABS(0.2-J372*B373/I373)+ABS(0.2-K372*C373/I373)+ABS(0.2-L372*D373/I373)+ABS(0.2-M372*E373/I373)+ABS(0.2-N372*F373/I373)),0)</f>
        <v/>
      </c>
      <c r="Q373">
        <f>P373*0.0015</f>
        <v/>
      </c>
      <c r="R373">
        <f>I373*(1-Q373)</f>
        <v/>
      </c>
      <c r="S373">
        <f>R373/R372-1</f>
        <v/>
      </c>
      <c r="T373">
        <f>MAX(T372,R373)</f>
        <v/>
      </c>
      <c r="U373">
        <f>R373/T373-1</f>
        <v/>
      </c>
      <c r="V373" t="n">
        <v>1.800840397595323</v>
      </c>
      <c r="W373" s="5">
        <f>R373-V373</f>
        <v/>
      </c>
    </row>
    <row r="374">
      <c r="A374" s="3" t="n">
        <v>38982</v>
      </c>
      <c r="B374">
        <f>Prices!B374</f>
        <v/>
      </c>
      <c r="C374">
        <f>Prices!C374</f>
        <v/>
      </c>
      <c r="D374">
        <f>Prices!D374</f>
        <v/>
      </c>
      <c r="E374">
        <f>Prices!E374</f>
        <v/>
      </c>
      <c r="F374">
        <f>Prices!F374</f>
        <v/>
      </c>
      <c r="G374">
        <f>IF(AND(372&gt;=16,TEXT(A374,"yyyy-mm")&lt;&gt;TEXT(A375,"yyyy-mm")),1,0)</f>
        <v/>
      </c>
      <c r="H374">
        <f>IF(OR(H373=1,G374=1),1,0)</f>
        <v/>
      </c>
      <c r="I374">
        <f>IF(H373=0,1,SUMPRODUCT(J373:N373,B374:F374)+O373*(1+0.00023125256064071564))</f>
        <v/>
      </c>
      <c r="J374">
        <f>IF(G374=1,0.2*R374/B374,J373)</f>
        <v/>
      </c>
      <c r="K374">
        <f>IF(G374=1,0.2*R374/C374,K373)</f>
        <v/>
      </c>
      <c r="L374">
        <f>IF(G374=1,0.2*R374/D374,L373)</f>
        <v/>
      </c>
      <c r="M374">
        <f>IF(G374=1,0.2*R374/E374,M373)</f>
        <v/>
      </c>
      <c r="N374">
        <f>IF(G374=1,0.2*R374/F374,N373)</f>
        <v/>
      </c>
      <c r="O374">
        <f>IF(G374=1,R374*(1-1.0),IF(H373=0,1,O373*(1+0.00023125256064071564)))</f>
        <v/>
      </c>
      <c r="P374">
        <f>IF(G374=1,IF(H373=0,1,ABS(0.2-J373*B374/I374)+ABS(0.2-K373*C374/I374)+ABS(0.2-L373*D374/I374)+ABS(0.2-M373*E374/I374)+ABS(0.2-N373*F374/I374)),0)</f>
        <v/>
      </c>
      <c r="Q374">
        <f>P374*0.0015</f>
        <v/>
      </c>
      <c r="R374">
        <f>I374*(1-Q374)</f>
        <v/>
      </c>
      <c r="S374">
        <f>R374/R373-1</f>
        <v/>
      </c>
      <c r="T374">
        <f>MAX(T373,R374)</f>
        <v/>
      </c>
      <c r="U374">
        <f>R374/T374-1</f>
        <v/>
      </c>
      <c r="V374" t="n">
        <v>1.792026636986838</v>
      </c>
      <c r="W374" s="5">
        <f>R374-V374</f>
        <v/>
      </c>
    </row>
    <row r="375">
      <c r="A375" s="3" t="n">
        <v>38985</v>
      </c>
      <c r="B375">
        <f>Prices!B375</f>
        <v/>
      </c>
      <c r="C375">
        <f>Prices!C375</f>
        <v/>
      </c>
      <c r="D375">
        <f>Prices!D375</f>
        <v/>
      </c>
      <c r="E375">
        <f>Prices!E375</f>
        <v/>
      </c>
      <c r="F375">
        <f>Prices!F375</f>
        <v/>
      </c>
      <c r="G375">
        <f>IF(AND(373&gt;=16,TEXT(A375,"yyyy-mm")&lt;&gt;TEXT(A376,"yyyy-mm")),1,0)</f>
        <v/>
      </c>
      <c r="H375">
        <f>IF(OR(H374=1,G375=1),1,0)</f>
        <v/>
      </c>
      <c r="I375">
        <f>IF(H374=0,1,SUMPRODUCT(J374:N374,B375:F375)+O374*(1+0.00023125256064071564))</f>
        <v/>
      </c>
      <c r="J375">
        <f>IF(G375=1,0.2*R375/B375,J374)</f>
        <v/>
      </c>
      <c r="K375">
        <f>IF(G375=1,0.2*R375/C375,K374)</f>
        <v/>
      </c>
      <c r="L375">
        <f>IF(G375=1,0.2*R375/D375,L374)</f>
        <v/>
      </c>
      <c r="M375">
        <f>IF(G375=1,0.2*R375/E375,M374)</f>
        <v/>
      </c>
      <c r="N375">
        <f>IF(G375=1,0.2*R375/F375,N374)</f>
        <v/>
      </c>
      <c r="O375">
        <f>IF(G375=1,R375*(1-1.0),IF(H374=0,1,O374*(1+0.00023125256064071564)))</f>
        <v/>
      </c>
      <c r="P375">
        <f>IF(G375=1,IF(H374=0,1,ABS(0.2-J374*B375/I375)+ABS(0.2-K374*C375/I375)+ABS(0.2-L374*D375/I375)+ABS(0.2-M374*E375/I375)+ABS(0.2-N374*F375/I375)),0)</f>
        <v/>
      </c>
      <c r="Q375">
        <f>P375*0.0015</f>
        <v/>
      </c>
      <c r="R375">
        <f>I375*(1-Q375)</f>
        <v/>
      </c>
      <c r="S375">
        <f>R375/R374-1</f>
        <v/>
      </c>
      <c r="T375">
        <f>MAX(T374,R375)</f>
        <v/>
      </c>
      <c r="U375">
        <f>R375/T375-1</f>
        <v/>
      </c>
      <c r="V375" t="n">
        <v>1.787649400004701</v>
      </c>
      <c r="W375" s="5">
        <f>R375-V375</f>
        <v/>
      </c>
    </row>
    <row r="376">
      <c r="A376" s="3" t="n">
        <v>38986</v>
      </c>
      <c r="B376">
        <f>Prices!B376</f>
        <v/>
      </c>
      <c r="C376">
        <f>Prices!C376</f>
        <v/>
      </c>
      <c r="D376">
        <f>Prices!D376</f>
        <v/>
      </c>
      <c r="E376">
        <f>Prices!E376</f>
        <v/>
      </c>
      <c r="F376">
        <f>Prices!F376</f>
        <v/>
      </c>
      <c r="G376">
        <f>IF(AND(374&gt;=16,TEXT(A376,"yyyy-mm")&lt;&gt;TEXT(A377,"yyyy-mm")),1,0)</f>
        <v/>
      </c>
      <c r="H376">
        <f>IF(OR(H375=1,G376=1),1,0)</f>
        <v/>
      </c>
      <c r="I376">
        <f>IF(H375=0,1,SUMPRODUCT(J375:N375,B376:F376)+O375*(1+0.00023125256064071564))</f>
        <v/>
      </c>
      <c r="J376">
        <f>IF(G376=1,0.2*R376/B376,J375)</f>
        <v/>
      </c>
      <c r="K376">
        <f>IF(G376=1,0.2*R376/C376,K375)</f>
        <v/>
      </c>
      <c r="L376">
        <f>IF(G376=1,0.2*R376/D376,L375)</f>
        <v/>
      </c>
      <c r="M376">
        <f>IF(G376=1,0.2*R376/E376,M375)</f>
        <v/>
      </c>
      <c r="N376">
        <f>IF(G376=1,0.2*R376/F376,N375)</f>
        <v/>
      </c>
      <c r="O376">
        <f>IF(G376=1,R376*(1-1.0),IF(H375=0,1,O375*(1+0.00023125256064071564)))</f>
        <v/>
      </c>
      <c r="P376">
        <f>IF(G376=1,IF(H375=0,1,ABS(0.2-J375*B376/I376)+ABS(0.2-K375*C376/I376)+ABS(0.2-L375*D376/I376)+ABS(0.2-M375*E376/I376)+ABS(0.2-N375*F376/I376)),0)</f>
        <v/>
      </c>
      <c r="Q376">
        <f>P376*0.0015</f>
        <v/>
      </c>
      <c r="R376">
        <f>I376*(1-Q376)</f>
        <v/>
      </c>
      <c r="S376">
        <f>R376/R375-1</f>
        <v/>
      </c>
      <c r="T376">
        <f>MAX(T375,R376)</f>
        <v/>
      </c>
      <c r="U376">
        <f>R376/T376-1</f>
        <v/>
      </c>
      <c r="V376" t="n">
        <v>1.803508246368246</v>
      </c>
      <c r="W376" s="5">
        <f>R376-V376</f>
        <v/>
      </c>
    </row>
    <row r="377">
      <c r="A377" s="3" t="n">
        <v>38987</v>
      </c>
      <c r="B377">
        <f>Prices!B377</f>
        <v/>
      </c>
      <c r="C377">
        <f>Prices!C377</f>
        <v/>
      </c>
      <c r="D377">
        <f>Prices!D377</f>
        <v/>
      </c>
      <c r="E377">
        <f>Prices!E377</f>
        <v/>
      </c>
      <c r="F377">
        <f>Prices!F377</f>
        <v/>
      </c>
      <c r="G377">
        <f>IF(AND(375&gt;=16,TEXT(A377,"yyyy-mm")&lt;&gt;TEXT(A378,"yyyy-mm")),1,0)</f>
        <v/>
      </c>
      <c r="H377">
        <f>IF(OR(H376=1,G377=1),1,0)</f>
        <v/>
      </c>
      <c r="I377">
        <f>IF(H376=0,1,SUMPRODUCT(J376:N376,B377:F377)+O376*(1+0.00023125256064071564))</f>
        <v/>
      </c>
      <c r="J377">
        <f>IF(G377=1,0.2*R377/B377,J376)</f>
        <v/>
      </c>
      <c r="K377">
        <f>IF(G377=1,0.2*R377/C377,K376)</f>
        <v/>
      </c>
      <c r="L377">
        <f>IF(G377=1,0.2*R377/D377,L376)</f>
        <v/>
      </c>
      <c r="M377">
        <f>IF(G377=1,0.2*R377/E377,M376)</f>
        <v/>
      </c>
      <c r="N377">
        <f>IF(G377=1,0.2*R377/F377,N376)</f>
        <v/>
      </c>
      <c r="O377">
        <f>IF(G377=1,R377*(1-1.0),IF(H376=0,1,O376*(1+0.00023125256064071564)))</f>
        <v/>
      </c>
      <c r="P377">
        <f>IF(G377=1,IF(H376=0,1,ABS(0.2-J376*B377/I377)+ABS(0.2-K376*C377/I377)+ABS(0.2-L376*D377/I377)+ABS(0.2-M376*E377/I377)+ABS(0.2-N376*F377/I377)),0)</f>
        <v/>
      </c>
      <c r="Q377">
        <f>P377*0.0015</f>
        <v/>
      </c>
      <c r="R377">
        <f>I377*(1-Q377)</f>
        <v/>
      </c>
      <c r="S377">
        <f>R377/R376-1</f>
        <v/>
      </c>
      <c r="T377">
        <f>MAX(T376,R377)</f>
        <v/>
      </c>
      <c r="U377">
        <f>R377/T377-1</f>
        <v/>
      </c>
      <c r="V377" t="n">
        <v>1.816463309758797</v>
      </c>
      <c r="W377" s="5">
        <f>R377-V377</f>
        <v/>
      </c>
    </row>
    <row r="378">
      <c r="A378" s="3" t="n">
        <v>38988</v>
      </c>
      <c r="B378">
        <f>Prices!B378</f>
        <v/>
      </c>
      <c r="C378">
        <f>Prices!C378</f>
        <v/>
      </c>
      <c r="D378">
        <f>Prices!D378</f>
        <v/>
      </c>
      <c r="E378">
        <f>Prices!E378</f>
        <v/>
      </c>
      <c r="F378">
        <f>Prices!F378</f>
        <v/>
      </c>
      <c r="G378">
        <f>IF(AND(376&gt;=16,TEXT(A378,"yyyy-mm")&lt;&gt;TEXT(A379,"yyyy-mm")),1,0)</f>
        <v/>
      </c>
      <c r="H378">
        <f>IF(OR(H377=1,G378=1),1,0)</f>
        <v/>
      </c>
      <c r="I378">
        <f>IF(H377=0,1,SUMPRODUCT(J377:N377,B378:F378)+O377*(1+0.00023125256064071564))</f>
        <v/>
      </c>
      <c r="J378">
        <f>IF(G378=1,0.2*R378/B378,J377)</f>
        <v/>
      </c>
      <c r="K378">
        <f>IF(G378=1,0.2*R378/C378,K377)</f>
        <v/>
      </c>
      <c r="L378">
        <f>IF(G378=1,0.2*R378/D378,L377)</f>
        <v/>
      </c>
      <c r="M378">
        <f>IF(G378=1,0.2*R378/E378,M377)</f>
        <v/>
      </c>
      <c r="N378">
        <f>IF(G378=1,0.2*R378/F378,N377)</f>
        <v/>
      </c>
      <c r="O378">
        <f>IF(G378=1,R378*(1-1.0),IF(H377=0,1,O377*(1+0.00023125256064071564)))</f>
        <v/>
      </c>
      <c r="P378">
        <f>IF(G378=1,IF(H377=0,1,ABS(0.2-J377*B378/I378)+ABS(0.2-K377*C378/I378)+ABS(0.2-L377*D378/I378)+ABS(0.2-M377*E378/I378)+ABS(0.2-N377*F378/I378)),0)</f>
        <v/>
      </c>
      <c r="Q378">
        <f>P378*0.0015</f>
        <v/>
      </c>
      <c r="R378">
        <f>I378*(1-Q378)</f>
        <v/>
      </c>
      <c r="S378">
        <f>R378/R377-1</f>
        <v/>
      </c>
      <c r="T378">
        <f>MAX(T377,R378)</f>
        <v/>
      </c>
      <c r="U378">
        <f>R378/T378-1</f>
        <v/>
      </c>
      <c r="V378" t="n">
        <v>1.820583464528319</v>
      </c>
      <c r="W378" s="5">
        <f>R378-V378</f>
        <v/>
      </c>
    </row>
    <row r="379">
      <c r="A379" s="3" t="n">
        <v>38989</v>
      </c>
      <c r="B379">
        <f>Prices!B379</f>
        <v/>
      </c>
      <c r="C379">
        <f>Prices!C379</f>
        <v/>
      </c>
      <c r="D379">
        <f>Prices!D379</f>
        <v/>
      </c>
      <c r="E379">
        <f>Prices!E379</f>
        <v/>
      </c>
      <c r="F379">
        <f>Prices!F379</f>
        <v/>
      </c>
      <c r="G379">
        <f>IF(AND(377&gt;=16,TEXT(A379,"yyyy-mm")&lt;&gt;TEXT(A380,"yyyy-mm")),1,0)</f>
        <v/>
      </c>
      <c r="H379">
        <f>IF(OR(H378=1,G379=1),1,0)</f>
        <v/>
      </c>
      <c r="I379">
        <f>IF(H378=0,1,SUMPRODUCT(J378:N378,B379:F379)+O378*(1+0.00023125256064071564))</f>
        <v/>
      </c>
      <c r="J379">
        <f>IF(G379=1,0.2*R379/B379,J378)</f>
        <v/>
      </c>
      <c r="K379">
        <f>IF(G379=1,0.2*R379/C379,K378)</f>
        <v/>
      </c>
      <c r="L379">
        <f>IF(G379=1,0.2*R379/D379,L378)</f>
        <v/>
      </c>
      <c r="M379">
        <f>IF(G379=1,0.2*R379/E379,M378)</f>
        <v/>
      </c>
      <c r="N379">
        <f>IF(G379=1,0.2*R379/F379,N378)</f>
        <v/>
      </c>
      <c r="O379">
        <f>IF(G379=1,R379*(1-1.0),IF(H378=0,1,O378*(1+0.00023125256064071564)))</f>
        <v/>
      </c>
      <c r="P379">
        <f>IF(G379=1,IF(H378=0,1,ABS(0.2-J378*B379/I379)+ABS(0.2-K378*C379/I379)+ABS(0.2-L378*D379/I379)+ABS(0.2-M378*E379/I379)+ABS(0.2-N378*F379/I379)),0)</f>
        <v/>
      </c>
      <c r="Q379">
        <f>P379*0.0015</f>
        <v/>
      </c>
      <c r="R379">
        <f>I379*(1-Q379)</f>
        <v/>
      </c>
      <c r="S379">
        <f>R379/R378-1</f>
        <v/>
      </c>
      <c r="T379">
        <f>MAX(T378,R379)</f>
        <v/>
      </c>
      <c r="U379">
        <f>R379/T379-1</f>
        <v/>
      </c>
      <c r="V379" t="n">
        <v>1.837743964762692</v>
      </c>
      <c r="W379" s="5">
        <f>R379-V379</f>
        <v/>
      </c>
    </row>
    <row r="380">
      <c r="A380" s="3" t="n">
        <v>38993</v>
      </c>
      <c r="B380">
        <f>Prices!B380</f>
        <v/>
      </c>
      <c r="C380">
        <f>Prices!C380</f>
        <v/>
      </c>
      <c r="D380">
        <f>Prices!D380</f>
        <v/>
      </c>
      <c r="E380">
        <f>Prices!E380</f>
        <v/>
      </c>
      <c r="F380">
        <f>Prices!F380</f>
        <v/>
      </c>
      <c r="G380">
        <f>IF(AND(378&gt;=16,TEXT(A380,"yyyy-mm")&lt;&gt;TEXT(A381,"yyyy-mm")),1,0)</f>
        <v/>
      </c>
      <c r="H380">
        <f>IF(OR(H379=1,G380=1),1,0)</f>
        <v/>
      </c>
      <c r="I380">
        <f>IF(H379=0,1,SUMPRODUCT(J379:N379,B380:F380)+O379*(1+0.00023125256064071564))</f>
        <v/>
      </c>
      <c r="J380">
        <f>IF(G380=1,0.2*R380/B380,J379)</f>
        <v/>
      </c>
      <c r="K380">
        <f>IF(G380=1,0.2*R380/C380,K379)</f>
        <v/>
      </c>
      <c r="L380">
        <f>IF(G380=1,0.2*R380/D380,L379)</f>
        <v/>
      </c>
      <c r="M380">
        <f>IF(G380=1,0.2*R380/E380,M379)</f>
        <v/>
      </c>
      <c r="N380">
        <f>IF(G380=1,0.2*R380/F380,N379)</f>
        <v/>
      </c>
      <c r="O380">
        <f>IF(G380=1,R380*(1-1.0),IF(H379=0,1,O379*(1+0.00023125256064071564)))</f>
        <v/>
      </c>
      <c r="P380">
        <f>IF(G380=1,IF(H379=0,1,ABS(0.2-J379*B380/I380)+ABS(0.2-K379*C380/I380)+ABS(0.2-L379*D380/I380)+ABS(0.2-M379*E380/I380)+ABS(0.2-N379*F380/I380)),0)</f>
        <v/>
      </c>
      <c r="Q380">
        <f>P380*0.0015</f>
        <v/>
      </c>
      <c r="R380">
        <f>I380*(1-Q380)</f>
        <v/>
      </c>
      <c r="S380">
        <f>R380/R379-1</f>
        <v/>
      </c>
      <c r="T380">
        <f>MAX(T379,R380)</f>
        <v/>
      </c>
      <c r="U380">
        <f>R380/T380-1</f>
        <v/>
      </c>
      <c r="V380" t="n">
        <v>1.838058787433351</v>
      </c>
      <c r="W380" s="5">
        <f>R380-V380</f>
        <v/>
      </c>
    </row>
    <row r="381">
      <c r="A381" s="3" t="n">
        <v>38994</v>
      </c>
      <c r="B381">
        <f>Prices!B381</f>
        <v/>
      </c>
      <c r="C381">
        <f>Prices!C381</f>
        <v/>
      </c>
      <c r="D381">
        <f>Prices!D381</f>
        <v/>
      </c>
      <c r="E381">
        <f>Prices!E381</f>
        <v/>
      </c>
      <c r="F381">
        <f>Prices!F381</f>
        <v/>
      </c>
      <c r="G381">
        <f>IF(AND(379&gt;=16,TEXT(A381,"yyyy-mm")&lt;&gt;TEXT(A382,"yyyy-mm")),1,0)</f>
        <v/>
      </c>
      <c r="H381">
        <f>IF(OR(H380=1,G381=1),1,0)</f>
        <v/>
      </c>
      <c r="I381">
        <f>IF(H380=0,1,SUMPRODUCT(J380:N380,B381:F381)+O380*(1+0.00023125256064071564))</f>
        <v/>
      </c>
      <c r="J381">
        <f>IF(G381=1,0.2*R381/B381,J380)</f>
        <v/>
      </c>
      <c r="K381">
        <f>IF(G381=1,0.2*R381/C381,K380)</f>
        <v/>
      </c>
      <c r="L381">
        <f>IF(G381=1,0.2*R381/D381,L380)</f>
        <v/>
      </c>
      <c r="M381">
        <f>IF(G381=1,0.2*R381/E381,M380)</f>
        <v/>
      </c>
      <c r="N381">
        <f>IF(G381=1,0.2*R381/F381,N380)</f>
        <v/>
      </c>
      <c r="O381">
        <f>IF(G381=1,R381*(1-1.0),IF(H380=0,1,O380*(1+0.00023125256064071564)))</f>
        <v/>
      </c>
      <c r="P381">
        <f>IF(G381=1,IF(H380=0,1,ABS(0.2-J380*B381/I381)+ABS(0.2-K380*C381/I381)+ABS(0.2-L380*D381/I381)+ABS(0.2-M380*E381/I381)+ABS(0.2-N380*F381/I381)),0)</f>
        <v/>
      </c>
      <c r="Q381">
        <f>P381*0.0015</f>
        <v/>
      </c>
      <c r="R381">
        <f>I381*(1-Q381)</f>
        <v/>
      </c>
      <c r="S381">
        <f>R381/R380-1</f>
        <v/>
      </c>
      <c r="T381">
        <f>MAX(T380,R381)</f>
        <v/>
      </c>
      <c r="U381">
        <f>R381/T381-1</f>
        <v/>
      </c>
      <c r="V381" t="n">
        <v>1.821325207485749</v>
      </c>
      <c r="W381" s="5">
        <f>R381-V381</f>
        <v/>
      </c>
    </row>
    <row r="382">
      <c r="A382" s="3" t="n">
        <v>38995</v>
      </c>
      <c r="B382">
        <f>Prices!B382</f>
        <v/>
      </c>
      <c r="C382">
        <f>Prices!C382</f>
        <v/>
      </c>
      <c r="D382">
        <f>Prices!D382</f>
        <v/>
      </c>
      <c r="E382">
        <f>Prices!E382</f>
        <v/>
      </c>
      <c r="F382">
        <f>Prices!F382</f>
        <v/>
      </c>
      <c r="G382">
        <f>IF(AND(380&gt;=16,TEXT(A382,"yyyy-mm")&lt;&gt;TEXT(A383,"yyyy-mm")),1,0)</f>
        <v/>
      </c>
      <c r="H382">
        <f>IF(OR(H381=1,G382=1),1,0)</f>
        <v/>
      </c>
      <c r="I382">
        <f>IF(H381=0,1,SUMPRODUCT(J381:N381,B382:F382)+O381*(1+0.00023125256064071564))</f>
        <v/>
      </c>
      <c r="J382">
        <f>IF(G382=1,0.2*R382/B382,J381)</f>
        <v/>
      </c>
      <c r="K382">
        <f>IF(G382=1,0.2*R382/C382,K381)</f>
        <v/>
      </c>
      <c r="L382">
        <f>IF(G382=1,0.2*R382/D382,L381)</f>
        <v/>
      </c>
      <c r="M382">
        <f>IF(G382=1,0.2*R382/E382,M381)</f>
        <v/>
      </c>
      <c r="N382">
        <f>IF(G382=1,0.2*R382/F382,N381)</f>
        <v/>
      </c>
      <c r="O382">
        <f>IF(G382=1,R382*(1-1.0),IF(H381=0,1,O381*(1+0.00023125256064071564)))</f>
        <v/>
      </c>
      <c r="P382">
        <f>IF(G382=1,IF(H381=0,1,ABS(0.2-J381*B382/I382)+ABS(0.2-K381*C382/I382)+ABS(0.2-L381*D382/I382)+ABS(0.2-M381*E382/I382)+ABS(0.2-N381*F382/I382)),0)</f>
        <v/>
      </c>
      <c r="Q382">
        <f>P382*0.0015</f>
        <v/>
      </c>
      <c r="R382">
        <f>I382*(1-Q382)</f>
        <v/>
      </c>
      <c r="S382">
        <f>R382/R381-1</f>
        <v/>
      </c>
      <c r="T382">
        <f>MAX(T381,R382)</f>
        <v/>
      </c>
      <c r="U382">
        <f>R382/T382-1</f>
        <v/>
      </c>
      <c r="V382" t="n">
        <v>1.855841957666157</v>
      </c>
      <c r="W382" s="5">
        <f>R382-V382</f>
        <v/>
      </c>
    </row>
    <row r="383">
      <c r="A383" s="3" t="n">
        <v>38996</v>
      </c>
      <c r="B383">
        <f>Prices!B383</f>
        <v/>
      </c>
      <c r="C383">
        <f>Prices!C383</f>
        <v/>
      </c>
      <c r="D383">
        <f>Prices!D383</f>
        <v/>
      </c>
      <c r="E383">
        <f>Prices!E383</f>
        <v/>
      </c>
      <c r="F383">
        <f>Prices!F383</f>
        <v/>
      </c>
      <c r="G383">
        <f>IF(AND(381&gt;=16,TEXT(A383,"yyyy-mm")&lt;&gt;TEXT(A384,"yyyy-mm")),1,0)</f>
        <v/>
      </c>
      <c r="H383">
        <f>IF(OR(H382=1,G383=1),1,0)</f>
        <v/>
      </c>
      <c r="I383">
        <f>IF(H382=0,1,SUMPRODUCT(J382:N382,B383:F383)+O382*(1+0.00023125256064071564))</f>
        <v/>
      </c>
      <c r="J383">
        <f>IF(G383=1,0.2*R383/B383,J382)</f>
        <v/>
      </c>
      <c r="K383">
        <f>IF(G383=1,0.2*R383/C383,K382)</f>
        <v/>
      </c>
      <c r="L383">
        <f>IF(G383=1,0.2*R383/D383,L382)</f>
        <v/>
      </c>
      <c r="M383">
        <f>IF(G383=1,0.2*R383/E383,M382)</f>
        <v/>
      </c>
      <c r="N383">
        <f>IF(G383=1,0.2*R383/F383,N382)</f>
        <v/>
      </c>
      <c r="O383">
        <f>IF(G383=1,R383*(1-1.0),IF(H382=0,1,O382*(1+0.00023125256064071564)))</f>
        <v/>
      </c>
      <c r="P383">
        <f>IF(G383=1,IF(H382=0,1,ABS(0.2-J382*B383/I383)+ABS(0.2-K382*C383/I383)+ABS(0.2-L382*D383/I383)+ABS(0.2-M382*E383/I383)+ABS(0.2-N382*F383/I383)),0)</f>
        <v/>
      </c>
      <c r="Q383">
        <f>P383*0.0015</f>
        <v/>
      </c>
      <c r="R383">
        <f>I383*(1-Q383)</f>
        <v/>
      </c>
      <c r="S383">
        <f>R383/R382-1</f>
        <v/>
      </c>
      <c r="T383">
        <f>MAX(T382,R383)</f>
        <v/>
      </c>
      <c r="U383">
        <f>R383/T383-1</f>
        <v/>
      </c>
      <c r="V383" t="n">
        <v>1.86375027807472</v>
      </c>
      <c r="W383" s="5">
        <f>R383-V383</f>
        <v/>
      </c>
    </row>
    <row r="384">
      <c r="A384" s="3" t="n">
        <v>38999</v>
      </c>
      <c r="B384">
        <f>Prices!B384</f>
        <v/>
      </c>
      <c r="C384">
        <f>Prices!C384</f>
        <v/>
      </c>
      <c r="D384">
        <f>Prices!D384</f>
        <v/>
      </c>
      <c r="E384">
        <f>Prices!E384</f>
        <v/>
      </c>
      <c r="F384">
        <f>Prices!F384</f>
        <v/>
      </c>
      <c r="G384">
        <f>IF(AND(382&gt;=16,TEXT(A384,"yyyy-mm")&lt;&gt;TEXT(A385,"yyyy-mm")),1,0)</f>
        <v/>
      </c>
      <c r="H384">
        <f>IF(OR(H383=1,G384=1),1,0)</f>
        <v/>
      </c>
      <c r="I384">
        <f>IF(H383=0,1,SUMPRODUCT(J383:N383,B384:F384)+O383*(1+0.00023125256064071564))</f>
        <v/>
      </c>
      <c r="J384">
        <f>IF(G384=1,0.2*R384/B384,J383)</f>
        <v/>
      </c>
      <c r="K384">
        <f>IF(G384=1,0.2*R384/C384,K383)</f>
        <v/>
      </c>
      <c r="L384">
        <f>IF(G384=1,0.2*R384/D384,L383)</f>
        <v/>
      </c>
      <c r="M384">
        <f>IF(G384=1,0.2*R384/E384,M383)</f>
        <v/>
      </c>
      <c r="N384">
        <f>IF(G384=1,0.2*R384/F384,N383)</f>
        <v/>
      </c>
      <c r="O384">
        <f>IF(G384=1,R384*(1-1.0),IF(H383=0,1,O383*(1+0.00023125256064071564)))</f>
        <v/>
      </c>
      <c r="P384">
        <f>IF(G384=1,IF(H383=0,1,ABS(0.2-J383*B384/I384)+ABS(0.2-K383*C384/I384)+ABS(0.2-L383*D384/I384)+ABS(0.2-M383*E384/I384)+ABS(0.2-N383*F384/I384)),0)</f>
        <v/>
      </c>
      <c r="Q384">
        <f>P384*0.0015</f>
        <v/>
      </c>
      <c r="R384">
        <f>I384*(1-Q384)</f>
        <v/>
      </c>
      <c r="S384">
        <f>R384/R383-1</f>
        <v/>
      </c>
      <c r="T384">
        <f>MAX(T383,R384)</f>
        <v/>
      </c>
      <c r="U384">
        <f>R384/T384-1</f>
        <v/>
      </c>
      <c r="V384" t="n">
        <v>1.863810639129598</v>
      </c>
      <c r="W384" s="5">
        <f>R384-V384</f>
        <v/>
      </c>
    </row>
    <row r="385">
      <c r="A385" s="3" t="n">
        <v>39000</v>
      </c>
      <c r="B385">
        <f>Prices!B385</f>
        <v/>
      </c>
      <c r="C385">
        <f>Prices!C385</f>
        <v/>
      </c>
      <c r="D385">
        <f>Prices!D385</f>
        <v/>
      </c>
      <c r="E385">
        <f>Prices!E385</f>
        <v/>
      </c>
      <c r="F385">
        <f>Prices!F385</f>
        <v/>
      </c>
      <c r="G385">
        <f>IF(AND(383&gt;=16,TEXT(A385,"yyyy-mm")&lt;&gt;TEXT(A386,"yyyy-mm")),1,0)</f>
        <v/>
      </c>
      <c r="H385">
        <f>IF(OR(H384=1,G385=1),1,0)</f>
        <v/>
      </c>
      <c r="I385">
        <f>IF(H384=0,1,SUMPRODUCT(J384:N384,B385:F385)+O384*(1+0.00023125256064071564))</f>
        <v/>
      </c>
      <c r="J385">
        <f>IF(G385=1,0.2*R385/B385,J384)</f>
        <v/>
      </c>
      <c r="K385">
        <f>IF(G385=1,0.2*R385/C385,K384)</f>
        <v/>
      </c>
      <c r="L385">
        <f>IF(G385=1,0.2*R385/D385,L384)</f>
        <v/>
      </c>
      <c r="M385">
        <f>IF(G385=1,0.2*R385/E385,M384)</f>
        <v/>
      </c>
      <c r="N385">
        <f>IF(G385=1,0.2*R385/F385,N384)</f>
        <v/>
      </c>
      <c r="O385">
        <f>IF(G385=1,R385*(1-1.0),IF(H384=0,1,O384*(1+0.00023125256064071564)))</f>
        <v/>
      </c>
      <c r="P385">
        <f>IF(G385=1,IF(H384=0,1,ABS(0.2-J384*B385/I385)+ABS(0.2-K384*C385/I385)+ABS(0.2-L384*D385/I385)+ABS(0.2-M384*E385/I385)+ABS(0.2-N384*F385/I385)),0)</f>
        <v/>
      </c>
      <c r="Q385">
        <f>P385*0.0015</f>
        <v/>
      </c>
      <c r="R385">
        <f>I385*(1-Q385)</f>
        <v/>
      </c>
      <c r="S385">
        <f>R385/R384-1</f>
        <v/>
      </c>
      <c r="T385">
        <f>MAX(T384,R385)</f>
        <v/>
      </c>
      <c r="U385">
        <f>R385/T385-1</f>
        <v/>
      </c>
      <c r="V385" t="n">
        <v>1.861668321215335</v>
      </c>
      <c r="W385" s="5">
        <f>R385-V385</f>
        <v/>
      </c>
    </row>
    <row r="386">
      <c r="A386" s="3" t="n">
        <v>39001</v>
      </c>
      <c r="B386">
        <f>Prices!B386</f>
        <v/>
      </c>
      <c r="C386">
        <f>Prices!C386</f>
        <v/>
      </c>
      <c r="D386">
        <f>Prices!D386</f>
        <v/>
      </c>
      <c r="E386">
        <f>Prices!E386</f>
        <v/>
      </c>
      <c r="F386">
        <f>Prices!F386</f>
        <v/>
      </c>
      <c r="G386">
        <f>IF(AND(384&gt;=16,TEXT(A386,"yyyy-mm")&lt;&gt;TEXT(A387,"yyyy-mm")),1,0)</f>
        <v/>
      </c>
      <c r="H386">
        <f>IF(OR(H385=1,G386=1),1,0)</f>
        <v/>
      </c>
      <c r="I386">
        <f>IF(H385=0,1,SUMPRODUCT(J385:N385,B386:F386)+O385*(1+0.00023125256064071564))</f>
        <v/>
      </c>
      <c r="J386">
        <f>IF(G386=1,0.2*R386/B386,J385)</f>
        <v/>
      </c>
      <c r="K386">
        <f>IF(G386=1,0.2*R386/C386,K385)</f>
        <v/>
      </c>
      <c r="L386">
        <f>IF(G386=1,0.2*R386/D386,L385)</f>
        <v/>
      </c>
      <c r="M386">
        <f>IF(G386=1,0.2*R386/E386,M385)</f>
        <v/>
      </c>
      <c r="N386">
        <f>IF(G386=1,0.2*R386/F386,N385)</f>
        <v/>
      </c>
      <c r="O386">
        <f>IF(G386=1,R386*(1-1.0),IF(H385=0,1,O385*(1+0.00023125256064071564)))</f>
        <v/>
      </c>
      <c r="P386">
        <f>IF(G386=1,IF(H385=0,1,ABS(0.2-J385*B386/I386)+ABS(0.2-K385*C386/I386)+ABS(0.2-L385*D386/I386)+ABS(0.2-M385*E386/I386)+ABS(0.2-N385*F386/I386)),0)</f>
        <v/>
      </c>
      <c r="Q386">
        <f>P386*0.0015</f>
        <v/>
      </c>
      <c r="R386">
        <f>I386*(1-Q386)</f>
        <v/>
      </c>
      <c r="S386">
        <f>R386/R385-1</f>
        <v/>
      </c>
      <c r="T386">
        <f>MAX(T385,R386)</f>
        <v/>
      </c>
      <c r="U386">
        <f>R386/T386-1</f>
        <v/>
      </c>
      <c r="V386" t="n">
        <v>1.842690891428767</v>
      </c>
      <c r="W386" s="5">
        <f>R386-V386</f>
        <v/>
      </c>
    </row>
    <row r="387">
      <c r="A387" s="3" t="n">
        <v>39002</v>
      </c>
      <c r="B387">
        <f>Prices!B387</f>
        <v/>
      </c>
      <c r="C387">
        <f>Prices!C387</f>
        <v/>
      </c>
      <c r="D387">
        <f>Prices!D387</f>
        <v/>
      </c>
      <c r="E387">
        <f>Prices!E387</f>
        <v/>
      </c>
      <c r="F387">
        <f>Prices!F387</f>
        <v/>
      </c>
      <c r="G387">
        <f>IF(AND(385&gt;=16,TEXT(A387,"yyyy-mm")&lt;&gt;TEXT(A388,"yyyy-mm")),1,0)</f>
        <v/>
      </c>
      <c r="H387">
        <f>IF(OR(H386=1,G387=1),1,0)</f>
        <v/>
      </c>
      <c r="I387">
        <f>IF(H386=0,1,SUMPRODUCT(J386:N386,B387:F387)+O386*(1+0.00023125256064071564))</f>
        <v/>
      </c>
      <c r="J387">
        <f>IF(G387=1,0.2*R387/B387,J386)</f>
        <v/>
      </c>
      <c r="K387">
        <f>IF(G387=1,0.2*R387/C387,K386)</f>
        <v/>
      </c>
      <c r="L387">
        <f>IF(G387=1,0.2*R387/D387,L386)</f>
        <v/>
      </c>
      <c r="M387">
        <f>IF(G387=1,0.2*R387/E387,M386)</f>
        <v/>
      </c>
      <c r="N387">
        <f>IF(G387=1,0.2*R387/F387,N386)</f>
        <v/>
      </c>
      <c r="O387">
        <f>IF(G387=1,R387*(1-1.0),IF(H386=0,1,O386*(1+0.00023125256064071564)))</f>
        <v/>
      </c>
      <c r="P387">
        <f>IF(G387=1,IF(H386=0,1,ABS(0.2-J386*B387/I387)+ABS(0.2-K386*C387/I387)+ABS(0.2-L386*D387/I387)+ABS(0.2-M386*E387/I387)+ABS(0.2-N386*F387/I387)),0)</f>
        <v/>
      </c>
      <c r="Q387">
        <f>P387*0.0015</f>
        <v/>
      </c>
      <c r="R387">
        <f>I387*(1-Q387)</f>
        <v/>
      </c>
      <c r="S387">
        <f>R387/R386-1</f>
        <v/>
      </c>
      <c r="T387">
        <f>MAX(T386,R387)</f>
        <v/>
      </c>
      <c r="U387">
        <f>R387/T387-1</f>
        <v/>
      </c>
      <c r="V387" t="n">
        <v>1.870795584195124</v>
      </c>
      <c r="W387" s="5">
        <f>R387-V387</f>
        <v/>
      </c>
    </row>
    <row r="388">
      <c r="A388" s="3" t="n">
        <v>39003</v>
      </c>
      <c r="B388">
        <f>Prices!B388</f>
        <v/>
      </c>
      <c r="C388">
        <f>Prices!C388</f>
        <v/>
      </c>
      <c r="D388">
        <f>Prices!D388</f>
        <v/>
      </c>
      <c r="E388">
        <f>Prices!E388</f>
        <v/>
      </c>
      <c r="F388">
        <f>Prices!F388</f>
        <v/>
      </c>
      <c r="G388">
        <f>IF(AND(386&gt;=16,TEXT(A388,"yyyy-mm")&lt;&gt;TEXT(A389,"yyyy-mm")),1,0)</f>
        <v/>
      </c>
      <c r="H388">
        <f>IF(OR(H387=1,G388=1),1,0)</f>
        <v/>
      </c>
      <c r="I388">
        <f>IF(H387=0,1,SUMPRODUCT(J387:N387,B388:F388)+O387*(1+0.00023125256064071564))</f>
        <v/>
      </c>
      <c r="J388">
        <f>IF(G388=1,0.2*R388/B388,J387)</f>
        <v/>
      </c>
      <c r="K388">
        <f>IF(G388=1,0.2*R388/C388,K387)</f>
        <v/>
      </c>
      <c r="L388">
        <f>IF(G388=1,0.2*R388/D388,L387)</f>
        <v/>
      </c>
      <c r="M388">
        <f>IF(G388=1,0.2*R388/E388,M387)</f>
        <v/>
      </c>
      <c r="N388">
        <f>IF(G388=1,0.2*R388/F388,N387)</f>
        <v/>
      </c>
      <c r="O388">
        <f>IF(G388=1,R388*(1-1.0),IF(H387=0,1,O387*(1+0.00023125256064071564)))</f>
        <v/>
      </c>
      <c r="P388">
        <f>IF(G388=1,IF(H387=0,1,ABS(0.2-J387*B388/I388)+ABS(0.2-K387*C388/I388)+ABS(0.2-L387*D388/I388)+ABS(0.2-M387*E388/I388)+ABS(0.2-N387*F388/I388)),0)</f>
        <v/>
      </c>
      <c r="Q388">
        <f>P388*0.0015</f>
        <v/>
      </c>
      <c r="R388">
        <f>I388*(1-Q388)</f>
        <v/>
      </c>
      <c r="S388">
        <f>R388/R387-1</f>
        <v/>
      </c>
      <c r="T388">
        <f>MAX(T387,R388)</f>
        <v/>
      </c>
      <c r="U388">
        <f>R388/T388-1</f>
        <v/>
      </c>
      <c r="V388" t="n">
        <v>1.88534418685818</v>
      </c>
      <c r="W388" s="5">
        <f>R388-V388</f>
        <v/>
      </c>
    </row>
    <row r="389">
      <c r="A389" s="3" t="n">
        <v>39006</v>
      </c>
      <c r="B389">
        <f>Prices!B389</f>
        <v/>
      </c>
      <c r="C389">
        <f>Prices!C389</f>
        <v/>
      </c>
      <c r="D389">
        <f>Prices!D389</f>
        <v/>
      </c>
      <c r="E389">
        <f>Prices!E389</f>
        <v/>
      </c>
      <c r="F389">
        <f>Prices!F389</f>
        <v/>
      </c>
      <c r="G389">
        <f>IF(AND(387&gt;=16,TEXT(A389,"yyyy-mm")&lt;&gt;TEXT(A390,"yyyy-mm")),1,0)</f>
        <v/>
      </c>
      <c r="H389">
        <f>IF(OR(H388=1,G389=1),1,0)</f>
        <v/>
      </c>
      <c r="I389">
        <f>IF(H388=0,1,SUMPRODUCT(J388:N388,B389:F389)+O388*(1+0.00023125256064071564))</f>
        <v/>
      </c>
      <c r="J389">
        <f>IF(G389=1,0.2*R389/B389,J388)</f>
        <v/>
      </c>
      <c r="K389">
        <f>IF(G389=1,0.2*R389/C389,K388)</f>
        <v/>
      </c>
      <c r="L389">
        <f>IF(G389=1,0.2*R389/D389,L388)</f>
        <v/>
      </c>
      <c r="M389">
        <f>IF(G389=1,0.2*R389/E389,M388)</f>
        <v/>
      </c>
      <c r="N389">
        <f>IF(G389=1,0.2*R389/F389,N388)</f>
        <v/>
      </c>
      <c r="O389">
        <f>IF(G389=1,R389*(1-1.0),IF(H388=0,1,O388*(1+0.00023125256064071564)))</f>
        <v/>
      </c>
      <c r="P389">
        <f>IF(G389=1,IF(H388=0,1,ABS(0.2-J388*B389/I389)+ABS(0.2-K388*C389/I389)+ABS(0.2-L388*D389/I389)+ABS(0.2-M388*E389/I389)+ABS(0.2-N388*F389/I389)),0)</f>
        <v/>
      </c>
      <c r="Q389">
        <f>P389*0.0015</f>
        <v/>
      </c>
      <c r="R389">
        <f>I389*(1-Q389)</f>
        <v/>
      </c>
      <c r="S389">
        <f>R389/R388-1</f>
        <v/>
      </c>
      <c r="T389">
        <f>MAX(T388,R389)</f>
        <v/>
      </c>
      <c r="U389">
        <f>R389/T389-1</f>
        <v/>
      </c>
      <c r="V389" t="n">
        <v>1.894027077052893</v>
      </c>
      <c r="W389" s="5">
        <f>R389-V389</f>
        <v/>
      </c>
    </row>
    <row r="390">
      <c r="A390" s="3" t="n">
        <v>39007</v>
      </c>
      <c r="B390">
        <f>Prices!B390</f>
        <v/>
      </c>
      <c r="C390">
        <f>Prices!C390</f>
        <v/>
      </c>
      <c r="D390">
        <f>Prices!D390</f>
        <v/>
      </c>
      <c r="E390">
        <f>Prices!E390</f>
        <v/>
      </c>
      <c r="F390">
        <f>Prices!F390</f>
        <v/>
      </c>
      <c r="G390">
        <f>IF(AND(388&gt;=16,TEXT(A390,"yyyy-mm")&lt;&gt;TEXT(A391,"yyyy-mm")),1,0)</f>
        <v/>
      </c>
      <c r="H390">
        <f>IF(OR(H389=1,G390=1),1,0)</f>
        <v/>
      </c>
      <c r="I390">
        <f>IF(H389=0,1,SUMPRODUCT(J389:N389,B390:F390)+O389*(1+0.00023125256064071564))</f>
        <v/>
      </c>
      <c r="J390">
        <f>IF(G390=1,0.2*R390/B390,J389)</f>
        <v/>
      </c>
      <c r="K390">
        <f>IF(G390=1,0.2*R390/C390,K389)</f>
        <v/>
      </c>
      <c r="L390">
        <f>IF(G390=1,0.2*R390/D390,L389)</f>
        <v/>
      </c>
      <c r="M390">
        <f>IF(G390=1,0.2*R390/E390,M389)</f>
        <v/>
      </c>
      <c r="N390">
        <f>IF(G390=1,0.2*R390/F390,N389)</f>
        <v/>
      </c>
      <c r="O390">
        <f>IF(G390=1,R390*(1-1.0),IF(H389=0,1,O389*(1+0.00023125256064071564)))</f>
        <v/>
      </c>
      <c r="P390">
        <f>IF(G390=1,IF(H389=0,1,ABS(0.2-J389*B390/I390)+ABS(0.2-K389*C390/I390)+ABS(0.2-L389*D390/I390)+ABS(0.2-M389*E390/I390)+ABS(0.2-N389*F390/I390)),0)</f>
        <v/>
      </c>
      <c r="Q390">
        <f>P390*0.0015</f>
        <v/>
      </c>
      <c r="R390">
        <f>I390*(1-Q390)</f>
        <v/>
      </c>
      <c r="S390">
        <f>R390/R389-1</f>
        <v/>
      </c>
      <c r="T390">
        <f>MAX(T389,R390)</f>
        <v/>
      </c>
      <c r="U390">
        <f>R390/T390-1</f>
        <v/>
      </c>
      <c r="V390" t="n">
        <v>1.887451203844371</v>
      </c>
      <c r="W390" s="5">
        <f>R390-V390</f>
        <v/>
      </c>
    </row>
    <row r="391">
      <c r="A391" s="3" t="n">
        <v>39008</v>
      </c>
      <c r="B391">
        <f>Prices!B391</f>
        <v/>
      </c>
      <c r="C391">
        <f>Prices!C391</f>
        <v/>
      </c>
      <c r="D391">
        <f>Prices!D391</f>
        <v/>
      </c>
      <c r="E391">
        <f>Prices!E391</f>
        <v/>
      </c>
      <c r="F391">
        <f>Prices!F391</f>
        <v/>
      </c>
      <c r="G391">
        <f>IF(AND(389&gt;=16,TEXT(A391,"yyyy-mm")&lt;&gt;TEXT(A392,"yyyy-mm")),1,0)</f>
        <v/>
      </c>
      <c r="H391">
        <f>IF(OR(H390=1,G391=1),1,0)</f>
        <v/>
      </c>
      <c r="I391">
        <f>IF(H390=0,1,SUMPRODUCT(J390:N390,B391:F391)+O390*(1+0.00023125256064071564))</f>
        <v/>
      </c>
      <c r="J391">
        <f>IF(G391=1,0.2*R391/B391,J390)</f>
        <v/>
      </c>
      <c r="K391">
        <f>IF(G391=1,0.2*R391/C391,K390)</f>
        <v/>
      </c>
      <c r="L391">
        <f>IF(G391=1,0.2*R391/D391,L390)</f>
        <v/>
      </c>
      <c r="M391">
        <f>IF(G391=1,0.2*R391/E391,M390)</f>
        <v/>
      </c>
      <c r="N391">
        <f>IF(G391=1,0.2*R391/F391,N390)</f>
        <v/>
      </c>
      <c r="O391">
        <f>IF(G391=1,R391*(1-1.0),IF(H390=0,1,O390*(1+0.00023125256064071564)))</f>
        <v/>
      </c>
      <c r="P391">
        <f>IF(G391=1,IF(H390=0,1,ABS(0.2-J390*B391/I391)+ABS(0.2-K390*C391/I391)+ABS(0.2-L390*D391/I391)+ABS(0.2-M390*E391/I391)+ABS(0.2-N390*F391/I391)),0)</f>
        <v/>
      </c>
      <c r="Q391">
        <f>P391*0.0015</f>
        <v/>
      </c>
      <c r="R391">
        <f>I391*(1-Q391)</f>
        <v/>
      </c>
      <c r="S391">
        <f>R391/R390-1</f>
        <v/>
      </c>
      <c r="T391">
        <f>MAX(T390,R391)</f>
        <v/>
      </c>
      <c r="U391">
        <f>R391/T391-1</f>
        <v/>
      </c>
      <c r="V391" t="n">
        <v>1.887348900461122</v>
      </c>
      <c r="W391" s="5">
        <f>R391-V391</f>
        <v/>
      </c>
    </row>
    <row r="392">
      <c r="A392" s="3" t="n">
        <v>39009</v>
      </c>
      <c r="B392">
        <f>Prices!B392</f>
        <v/>
      </c>
      <c r="C392">
        <f>Prices!C392</f>
        <v/>
      </c>
      <c r="D392">
        <f>Prices!D392</f>
        <v/>
      </c>
      <c r="E392">
        <f>Prices!E392</f>
        <v/>
      </c>
      <c r="F392">
        <f>Prices!F392</f>
        <v/>
      </c>
      <c r="G392">
        <f>IF(AND(390&gt;=16,TEXT(A392,"yyyy-mm")&lt;&gt;TEXT(A393,"yyyy-mm")),1,0)</f>
        <v/>
      </c>
      <c r="H392">
        <f>IF(OR(H391=1,G392=1),1,0)</f>
        <v/>
      </c>
      <c r="I392">
        <f>IF(H391=0,1,SUMPRODUCT(J391:N391,B392:F392)+O391*(1+0.00023125256064071564))</f>
        <v/>
      </c>
      <c r="J392">
        <f>IF(G392=1,0.2*R392/B392,J391)</f>
        <v/>
      </c>
      <c r="K392">
        <f>IF(G392=1,0.2*R392/C392,K391)</f>
        <v/>
      </c>
      <c r="L392">
        <f>IF(G392=1,0.2*R392/D392,L391)</f>
        <v/>
      </c>
      <c r="M392">
        <f>IF(G392=1,0.2*R392/E392,M391)</f>
        <v/>
      </c>
      <c r="N392">
        <f>IF(G392=1,0.2*R392/F392,N391)</f>
        <v/>
      </c>
      <c r="O392">
        <f>IF(G392=1,R392*(1-1.0),IF(H391=0,1,O391*(1+0.00023125256064071564)))</f>
        <v/>
      </c>
      <c r="P392">
        <f>IF(G392=1,IF(H391=0,1,ABS(0.2-J391*B392/I392)+ABS(0.2-K391*C392/I392)+ABS(0.2-L391*D392/I392)+ABS(0.2-M391*E392/I392)+ABS(0.2-N391*F392/I392)),0)</f>
        <v/>
      </c>
      <c r="Q392">
        <f>P392*0.0015</f>
        <v/>
      </c>
      <c r="R392">
        <f>I392*(1-Q392)</f>
        <v/>
      </c>
      <c r="S392">
        <f>R392/R391-1</f>
        <v/>
      </c>
      <c r="T392">
        <f>MAX(T391,R392)</f>
        <v/>
      </c>
      <c r="U392">
        <f>R392/T392-1</f>
        <v/>
      </c>
      <c r="V392" t="n">
        <v>1.881550065572523</v>
      </c>
      <c r="W392" s="5">
        <f>R392-V392</f>
        <v/>
      </c>
    </row>
    <row r="393">
      <c r="A393" s="3" t="n">
        <v>39010</v>
      </c>
      <c r="B393">
        <f>Prices!B393</f>
        <v/>
      </c>
      <c r="C393">
        <f>Prices!C393</f>
        <v/>
      </c>
      <c r="D393">
        <f>Prices!D393</f>
        <v/>
      </c>
      <c r="E393">
        <f>Prices!E393</f>
        <v/>
      </c>
      <c r="F393">
        <f>Prices!F393</f>
        <v/>
      </c>
      <c r="G393">
        <f>IF(AND(391&gt;=16,TEXT(A393,"yyyy-mm")&lt;&gt;TEXT(A394,"yyyy-mm")),1,0)</f>
        <v/>
      </c>
      <c r="H393">
        <f>IF(OR(H392=1,G393=1),1,0)</f>
        <v/>
      </c>
      <c r="I393">
        <f>IF(H392=0,1,SUMPRODUCT(J392:N392,B393:F393)+O392*(1+0.00023125256064071564))</f>
        <v/>
      </c>
      <c r="J393">
        <f>IF(G393=1,0.2*R393/B393,J392)</f>
        <v/>
      </c>
      <c r="K393">
        <f>IF(G393=1,0.2*R393/C393,K392)</f>
        <v/>
      </c>
      <c r="L393">
        <f>IF(G393=1,0.2*R393/D393,L392)</f>
        <v/>
      </c>
      <c r="M393">
        <f>IF(G393=1,0.2*R393/E393,M392)</f>
        <v/>
      </c>
      <c r="N393">
        <f>IF(G393=1,0.2*R393/F393,N392)</f>
        <v/>
      </c>
      <c r="O393">
        <f>IF(G393=1,R393*(1-1.0),IF(H392=0,1,O392*(1+0.00023125256064071564)))</f>
        <v/>
      </c>
      <c r="P393">
        <f>IF(G393=1,IF(H392=0,1,ABS(0.2-J392*B393/I393)+ABS(0.2-K392*C393/I393)+ABS(0.2-L392*D393/I393)+ABS(0.2-M392*E393/I393)+ABS(0.2-N392*F393/I393)),0)</f>
        <v/>
      </c>
      <c r="Q393">
        <f>P393*0.0015</f>
        <v/>
      </c>
      <c r="R393">
        <f>I393*(1-Q393)</f>
        <v/>
      </c>
      <c r="S393">
        <f>R393/R392-1</f>
        <v/>
      </c>
      <c r="T393">
        <f>MAX(T392,R393)</f>
        <v/>
      </c>
      <c r="U393">
        <f>R393/T393-1</f>
        <v/>
      </c>
      <c r="V393" t="n">
        <v>1.88948045202787</v>
      </c>
      <c r="W393" s="5">
        <f>R393-V393</f>
        <v/>
      </c>
    </row>
    <row r="394">
      <c r="A394" s="3" t="n">
        <v>39011</v>
      </c>
      <c r="B394">
        <f>Prices!B394</f>
        <v/>
      </c>
      <c r="C394">
        <f>Prices!C394</f>
        <v/>
      </c>
      <c r="D394">
        <f>Prices!D394</f>
        <v/>
      </c>
      <c r="E394">
        <f>Prices!E394</f>
        <v/>
      </c>
      <c r="F394">
        <f>Prices!F394</f>
        <v/>
      </c>
      <c r="G394">
        <f>IF(AND(392&gt;=16,TEXT(A394,"yyyy-mm")&lt;&gt;TEXT(A395,"yyyy-mm")),1,0)</f>
        <v/>
      </c>
      <c r="H394">
        <f>IF(OR(H393=1,G394=1),1,0)</f>
        <v/>
      </c>
      <c r="I394">
        <f>IF(H393=0,1,SUMPRODUCT(J393:N393,B394:F394)+O393*(1+0.00023125256064071564))</f>
        <v/>
      </c>
      <c r="J394">
        <f>IF(G394=1,0.2*R394/B394,J393)</f>
        <v/>
      </c>
      <c r="K394">
        <f>IF(G394=1,0.2*R394/C394,K393)</f>
        <v/>
      </c>
      <c r="L394">
        <f>IF(G394=1,0.2*R394/D394,L393)</f>
        <v/>
      </c>
      <c r="M394">
        <f>IF(G394=1,0.2*R394/E394,M393)</f>
        <v/>
      </c>
      <c r="N394">
        <f>IF(G394=1,0.2*R394/F394,N393)</f>
        <v/>
      </c>
      <c r="O394">
        <f>IF(G394=1,R394*(1-1.0),IF(H393=0,1,O393*(1+0.00023125256064071564)))</f>
        <v/>
      </c>
      <c r="P394">
        <f>IF(G394=1,IF(H393=0,1,ABS(0.2-J393*B394/I394)+ABS(0.2-K393*C394/I394)+ABS(0.2-L393*D394/I394)+ABS(0.2-M393*E394/I394)+ABS(0.2-N393*F394/I394)),0)</f>
        <v/>
      </c>
      <c r="Q394">
        <f>P394*0.0015</f>
        <v/>
      </c>
      <c r="R394">
        <f>I394*(1-Q394)</f>
        <v/>
      </c>
      <c r="S394">
        <f>R394/R393-1</f>
        <v/>
      </c>
      <c r="T394">
        <f>MAX(T393,R394)</f>
        <v/>
      </c>
      <c r="U394">
        <f>R394/T394-1</f>
        <v/>
      </c>
      <c r="V394" t="n">
        <v>1.905081705105047</v>
      </c>
      <c r="W394" s="5">
        <f>R394-V394</f>
        <v/>
      </c>
    </row>
    <row r="395">
      <c r="A395" s="3" t="n">
        <v>39013</v>
      </c>
      <c r="B395">
        <f>Prices!B395</f>
        <v/>
      </c>
      <c r="C395">
        <f>Prices!C395</f>
        <v/>
      </c>
      <c r="D395">
        <f>Prices!D395</f>
        <v/>
      </c>
      <c r="E395">
        <f>Prices!E395</f>
        <v/>
      </c>
      <c r="F395">
        <f>Prices!F395</f>
        <v/>
      </c>
      <c r="G395">
        <f>IF(AND(393&gt;=16,TEXT(A395,"yyyy-mm")&lt;&gt;TEXT(A396,"yyyy-mm")),1,0)</f>
        <v/>
      </c>
      <c r="H395">
        <f>IF(OR(H394=1,G395=1),1,0)</f>
        <v/>
      </c>
      <c r="I395">
        <f>IF(H394=0,1,SUMPRODUCT(J394:N394,B395:F395)+O394*(1+0.00023125256064071564))</f>
        <v/>
      </c>
      <c r="J395">
        <f>IF(G395=1,0.2*R395/B395,J394)</f>
        <v/>
      </c>
      <c r="K395">
        <f>IF(G395=1,0.2*R395/C395,K394)</f>
        <v/>
      </c>
      <c r="L395">
        <f>IF(G395=1,0.2*R395/D395,L394)</f>
        <v/>
      </c>
      <c r="M395">
        <f>IF(G395=1,0.2*R395/E395,M394)</f>
        <v/>
      </c>
      <c r="N395">
        <f>IF(G395=1,0.2*R395/F395,N394)</f>
        <v/>
      </c>
      <c r="O395">
        <f>IF(G395=1,R395*(1-1.0),IF(H394=0,1,O394*(1+0.00023125256064071564)))</f>
        <v/>
      </c>
      <c r="P395">
        <f>IF(G395=1,IF(H394=0,1,ABS(0.2-J394*B395/I395)+ABS(0.2-K394*C395/I395)+ABS(0.2-L394*D395/I395)+ABS(0.2-M394*E395/I395)+ABS(0.2-N394*F395/I395)),0)</f>
        <v/>
      </c>
      <c r="Q395">
        <f>P395*0.0015</f>
        <v/>
      </c>
      <c r="R395">
        <f>I395*(1-Q395)</f>
        <v/>
      </c>
      <c r="S395">
        <f>R395/R394-1</f>
        <v/>
      </c>
      <c r="T395">
        <f>MAX(T394,R395)</f>
        <v/>
      </c>
      <c r="U395">
        <f>R395/T395-1</f>
        <v/>
      </c>
      <c r="V395" t="n">
        <v>1.892333208765665</v>
      </c>
      <c r="W395" s="5">
        <f>R395-V395</f>
        <v/>
      </c>
    </row>
    <row r="396">
      <c r="A396" s="3" t="n">
        <v>39016</v>
      </c>
      <c r="B396">
        <f>Prices!B396</f>
        <v/>
      </c>
      <c r="C396">
        <f>Prices!C396</f>
        <v/>
      </c>
      <c r="D396">
        <f>Prices!D396</f>
        <v/>
      </c>
      <c r="E396">
        <f>Prices!E396</f>
        <v/>
      </c>
      <c r="F396">
        <f>Prices!F396</f>
        <v/>
      </c>
      <c r="G396">
        <f>IF(AND(394&gt;=16,TEXT(A396,"yyyy-mm")&lt;&gt;TEXT(A397,"yyyy-mm")),1,0)</f>
        <v/>
      </c>
      <c r="H396">
        <f>IF(OR(H395=1,G396=1),1,0)</f>
        <v/>
      </c>
      <c r="I396">
        <f>IF(H395=0,1,SUMPRODUCT(J395:N395,B396:F396)+O395*(1+0.00023125256064071564))</f>
        <v/>
      </c>
      <c r="J396">
        <f>IF(G396=1,0.2*R396/B396,J395)</f>
        <v/>
      </c>
      <c r="K396">
        <f>IF(G396=1,0.2*R396/C396,K395)</f>
        <v/>
      </c>
      <c r="L396">
        <f>IF(G396=1,0.2*R396/D396,L395)</f>
        <v/>
      </c>
      <c r="M396">
        <f>IF(G396=1,0.2*R396/E396,M395)</f>
        <v/>
      </c>
      <c r="N396">
        <f>IF(G396=1,0.2*R396/F396,N395)</f>
        <v/>
      </c>
      <c r="O396">
        <f>IF(G396=1,R396*(1-1.0),IF(H395=0,1,O395*(1+0.00023125256064071564)))</f>
        <v/>
      </c>
      <c r="P396">
        <f>IF(G396=1,IF(H395=0,1,ABS(0.2-J395*B396/I396)+ABS(0.2-K395*C396/I396)+ABS(0.2-L395*D396/I396)+ABS(0.2-M395*E396/I396)+ABS(0.2-N395*F396/I396)),0)</f>
        <v/>
      </c>
      <c r="Q396">
        <f>P396*0.0015</f>
        <v/>
      </c>
      <c r="R396">
        <f>I396*(1-Q396)</f>
        <v/>
      </c>
      <c r="S396">
        <f>R396/R395-1</f>
        <v/>
      </c>
      <c r="T396">
        <f>MAX(T395,R396)</f>
        <v/>
      </c>
      <c r="U396">
        <f>R396/T396-1</f>
        <v/>
      </c>
      <c r="V396" t="n">
        <v>1.90658894968222</v>
      </c>
      <c r="W396" s="5">
        <f>R396-V396</f>
        <v/>
      </c>
    </row>
    <row r="397">
      <c r="A397" s="3" t="n">
        <v>39017</v>
      </c>
      <c r="B397">
        <f>Prices!B397</f>
        <v/>
      </c>
      <c r="C397">
        <f>Prices!C397</f>
        <v/>
      </c>
      <c r="D397">
        <f>Prices!D397</f>
        <v/>
      </c>
      <c r="E397">
        <f>Prices!E397</f>
        <v/>
      </c>
      <c r="F397">
        <f>Prices!F397</f>
        <v/>
      </c>
      <c r="G397">
        <f>IF(AND(395&gt;=16,TEXT(A397,"yyyy-mm")&lt;&gt;TEXT(A398,"yyyy-mm")),1,0)</f>
        <v/>
      </c>
      <c r="H397">
        <f>IF(OR(H396=1,G397=1),1,0)</f>
        <v/>
      </c>
      <c r="I397">
        <f>IF(H396=0,1,SUMPRODUCT(J396:N396,B397:F397)+O396*(1+0.00023125256064071564))</f>
        <v/>
      </c>
      <c r="J397">
        <f>IF(G397=1,0.2*R397/B397,J396)</f>
        <v/>
      </c>
      <c r="K397">
        <f>IF(G397=1,0.2*R397/C397,K396)</f>
        <v/>
      </c>
      <c r="L397">
        <f>IF(G397=1,0.2*R397/D397,L396)</f>
        <v/>
      </c>
      <c r="M397">
        <f>IF(G397=1,0.2*R397/E397,M396)</f>
        <v/>
      </c>
      <c r="N397">
        <f>IF(G397=1,0.2*R397/F397,N396)</f>
        <v/>
      </c>
      <c r="O397">
        <f>IF(G397=1,R397*(1-1.0),IF(H396=0,1,O396*(1+0.00023125256064071564)))</f>
        <v/>
      </c>
      <c r="P397">
        <f>IF(G397=1,IF(H396=0,1,ABS(0.2-J396*B397/I397)+ABS(0.2-K396*C397/I397)+ABS(0.2-L396*D397/I397)+ABS(0.2-M396*E397/I397)+ABS(0.2-N396*F397/I397)),0)</f>
        <v/>
      </c>
      <c r="Q397">
        <f>P397*0.0015</f>
        <v/>
      </c>
      <c r="R397">
        <f>I397*(1-Q397)</f>
        <v/>
      </c>
      <c r="S397">
        <f>R397/R396-1</f>
        <v/>
      </c>
      <c r="T397">
        <f>MAX(T396,R397)</f>
        <v/>
      </c>
      <c r="U397">
        <f>R397/T397-1</f>
        <v/>
      </c>
      <c r="V397" t="n">
        <v>1.931287970749468</v>
      </c>
      <c r="W397" s="5">
        <f>R397-V397</f>
        <v/>
      </c>
    </row>
    <row r="398">
      <c r="A398" s="3" t="n">
        <v>39020</v>
      </c>
      <c r="B398">
        <f>Prices!B398</f>
        <v/>
      </c>
      <c r="C398">
        <f>Prices!C398</f>
        <v/>
      </c>
      <c r="D398">
        <f>Prices!D398</f>
        <v/>
      </c>
      <c r="E398">
        <f>Prices!E398</f>
        <v/>
      </c>
      <c r="F398">
        <f>Prices!F398</f>
        <v/>
      </c>
      <c r="G398">
        <f>IF(AND(396&gt;=16,TEXT(A398,"yyyy-mm")&lt;&gt;TEXT(A399,"yyyy-mm")),1,0)</f>
        <v/>
      </c>
      <c r="H398">
        <f>IF(OR(H397=1,G398=1),1,0)</f>
        <v/>
      </c>
      <c r="I398">
        <f>IF(H397=0,1,SUMPRODUCT(J397:N397,B398:F398)+O397*(1+0.00023125256064071564))</f>
        <v/>
      </c>
      <c r="J398">
        <f>IF(G398=1,0.2*R398/B398,J397)</f>
        <v/>
      </c>
      <c r="K398">
        <f>IF(G398=1,0.2*R398/C398,K397)</f>
        <v/>
      </c>
      <c r="L398">
        <f>IF(G398=1,0.2*R398/D398,L397)</f>
        <v/>
      </c>
      <c r="M398">
        <f>IF(G398=1,0.2*R398/E398,M397)</f>
        <v/>
      </c>
      <c r="N398">
        <f>IF(G398=1,0.2*R398/F398,N397)</f>
        <v/>
      </c>
      <c r="O398">
        <f>IF(G398=1,R398*(1-1.0),IF(H397=0,1,O397*(1+0.00023125256064071564)))</f>
        <v/>
      </c>
      <c r="P398">
        <f>IF(G398=1,IF(H397=0,1,ABS(0.2-J397*B398/I398)+ABS(0.2-K397*C398/I398)+ABS(0.2-L397*D398/I398)+ABS(0.2-M397*E398/I398)+ABS(0.2-N397*F398/I398)),0)</f>
        <v/>
      </c>
      <c r="Q398">
        <f>P398*0.0015</f>
        <v/>
      </c>
      <c r="R398">
        <f>I398*(1-Q398)</f>
        <v/>
      </c>
      <c r="S398">
        <f>R398/R397-1</f>
        <v/>
      </c>
      <c r="T398">
        <f>MAX(T397,R398)</f>
        <v/>
      </c>
      <c r="U398">
        <f>R398/T398-1</f>
        <v/>
      </c>
      <c r="V398" t="n">
        <v>1.934874151624513</v>
      </c>
      <c r="W398" s="5">
        <f>R398-V398</f>
        <v/>
      </c>
    </row>
    <row r="399">
      <c r="A399" s="3" t="n">
        <v>39021</v>
      </c>
      <c r="B399">
        <f>Prices!B399</f>
        <v/>
      </c>
      <c r="C399">
        <f>Prices!C399</f>
        <v/>
      </c>
      <c r="D399">
        <f>Prices!D399</f>
        <v/>
      </c>
      <c r="E399">
        <f>Prices!E399</f>
        <v/>
      </c>
      <c r="F399">
        <f>Prices!F399</f>
        <v/>
      </c>
      <c r="G399">
        <f>IF(AND(397&gt;=16,TEXT(A399,"yyyy-mm")&lt;&gt;TEXT(A400,"yyyy-mm")),1,0)</f>
        <v/>
      </c>
      <c r="H399">
        <f>IF(OR(H398=1,G399=1),1,0)</f>
        <v/>
      </c>
      <c r="I399">
        <f>IF(H398=0,1,SUMPRODUCT(J398:N398,B399:F399)+O398*(1+0.00023125256064071564))</f>
        <v/>
      </c>
      <c r="J399">
        <f>IF(G399=1,0.2*R399/B399,J398)</f>
        <v/>
      </c>
      <c r="K399">
        <f>IF(G399=1,0.2*R399/C399,K398)</f>
        <v/>
      </c>
      <c r="L399">
        <f>IF(G399=1,0.2*R399/D399,L398)</f>
        <v/>
      </c>
      <c r="M399">
        <f>IF(G399=1,0.2*R399/E399,M398)</f>
        <v/>
      </c>
      <c r="N399">
        <f>IF(G399=1,0.2*R399/F399,N398)</f>
        <v/>
      </c>
      <c r="O399">
        <f>IF(G399=1,R399*(1-1.0),IF(H398=0,1,O398*(1+0.00023125256064071564)))</f>
        <v/>
      </c>
      <c r="P399">
        <f>IF(G399=1,IF(H398=0,1,ABS(0.2-J398*B399/I399)+ABS(0.2-K398*C399/I399)+ABS(0.2-L398*D399/I399)+ABS(0.2-M398*E399/I399)+ABS(0.2-N398*F399/I399)),0)</f>
        <v/>
      </c>
      <c r="Q399">
        <f>P399*0.0015</f>
        <v/>
      </c>
      <c r="R399">
        <f>I399*(1-Q399)</f>
        <v/>
      </c>
      <c r="S399">
        <f>R399/R398-1</f>
        <v/>
      </c>
      <c r="T399">
        <f>MAX(T398,R399)</f>
        <v/>
      </c>
      <c r="U399">
        <f>R399/T399-1</f>
        <v/>
      </c>
      <c r="V399" t="n">
        <v>1.925296371422079</v>
      </c>
      <c r="W399" s="5">
        <f>R399-V399</f>
        <v/>
      </c>
    </row>
    <row r="400">
      <c r="A400" s="3" t="n">
        <v>39022</v>
      </c>
      <c r="B400">
        <f>Prices!B400</f>
        <v/>
      </c>
      <c r="C400">
        <f>Prices!C400</f>
        <v/>
      </c>
      <c r="D400">
        <f>Prices!D400</f>
        <v/>
      </c>
      <c r="E400">
        <f>Prices!E400</f>
        <v/>
      </c>
      <c r="F400">
        <f>Prices!F400</f>
        <v/>
      </c>
      <c r="G400">
        <f>IF(AND(398&gt;=16,TEXT(A400,"yyyy-mm")&lt;&gt;TEXT(A401,"yyyy-mm")),1,0)</f>
        <v/>
      </c>
      <c r="H400">
        <f>IF(OR(H399=1,G400=1),1,0)</f>
        <v/>
      </c>
      <c r="I400">
        <f>IF(H399=0,1,SUMPRODUCT(J399:N399,B400:F400)+O399*(1+0.00023125256064071564))</f>
        <v/>
      </c>
      <c r="J400">
        <f>IF(G400=1,0.2*R400/B400,J399)</f>
        <v/>
      </c>
      <c r="K400">
        <f>IF(G400=1,0.2*R400/C400,K399)</f>
        <v/>
      </c>
      <c r="L400">
        <f>IF(G400=1,0.2*R400/D400,L399)</f>
        <v/>
      </c>
      <c r="M400">
        <f>IF(G400=1,0.2*R400/E400,M399)</f>
        <v/>
      </c>
      <c r="N400">
        <f>IF(G400=1,0.2*R400/F400,N399)</f>
        <v/>
      </c>
      <c r="O400">
        <f>IF(G400=1,R400*(1-1.0),IF(H399=0,1,O399*(1+0.00023125256064071564)))</f>
        <v/>
      </c>
      <c r="P400">
        <f>IF(G400=1,IF(H399=0,1,ABS(0.2-J399*B400/I400)+ABS(0.2-K399*C400/I400)+ABS(0.2-L399*D400/I400)+ABS(0.2-M399*E400/I400)+ABS(0.2-N399*F400/I400)),0)</f>
        <v/>
      </c>
      <c r="Q400">
        <f>P400*0.0015</f>
        <v/>
      </c>
      <c r="R400">
        <f>I400*(1-Q400)</f>
        <v/>
      </c>
      <c r="S400">
        <f>R400/R399-1</f>
        <v/>
      </c>
      <c r="T400">
        <f>MAX(T399,R400)</f>
        <v/>
      </c>
      <c r="U400">
        <f>R400/T400-1</f>
        <v/>
      </c>
      <c r="V400" t="n">
        <v>1.93274868375966</v>
      </c>
      <c r="W400" s="5">
        <f>R400-V400</f>
        <v/>
      </c>
    </row>
    <row r="401">
      <c r="A401" s="3" t="n">
        <v>39023</v>
      </c>
      <c r="B401">
        <f>Prices!B401</f>
        <v/>
      </c>
      <c r="C401">
        <f>Prices!C401</f>
        <v/>
      </c>
      <c r="D401">
        <f>Prices!D401</f>
        <v/>
      </c>
      <c r="E401">
        <f>Prices!E401</f>
        <v/>
      </c>
      <c r="F401">
        <f>Prices!F401</f>
        <v/>
      </c>
      <c r="G401">
        <f>IF(AND(399&gt;=16,TEXT(A401,"yyyy-mm")&lt;&gt;TEXT(A402,"yyyy-mm")),1,0)</f>
        <v/>
      </c>
      <c r="H401">
        <f>IF(OR(H400=1,G401=1),1,0)</f>
        <v/>
      </c>
      <c r="I401">
        <f>IF(H400=0,1,SUMPRODUCT(J400:N400,B401:F401)+O400*(1+0.00023125256064071564))</f>
        <v/>
      </c>
      <c r="J401">
        <f>IF(G401=1,0.2*R401/B401,J400)</f>
        <v/>
      </c>
      <c r="K401">
        <f>IF(G401=1,0.2*R401/C401,K400)</f>
        <v/>
      </c>
      <c r="L401">
        <f>IF(G401=1,0.2*R401/D401,L400)</f>
        <v/>
      </c>
      <c r="M401">
        <f>IF(G401=1,0.2*R401/E401,M400)</f>
        <v/>
      </c>
      <c r="N401">
        <f>IF(G401=1,0.2*R401/F401,N400)</f>
        <v/>
      </c>
      <c r="O401">
        <f>IF(G401=1,R401*(1-1.0),IF(H400=0,1,O400*(1+0.00023125256064071564)))</f>
        <v/>
      </c>
      <c r="P401">
        <f>IF(G401=1,IF(H400=0,1,ABS(0.2-J400*B401/I401)+ABS(0.2-K400*C401/I401)+ABS(0.2-L400*D401/I401)+ABS(0.2-M400*E401/I401)+ABS(0.2-N400*F401/I401)),0)</f>
        <v/>
      </c>
      <c r="Q401">
        <f>P401*0.0015</f>
        <v/>
      </c>
      <c r="R401">
        <f>I401*(1-Q401)</f>
        <v/>
      </c>
      <c r="S401">
        <f>R401/R400-1</f>
        <v/>
      </c>
      <c r="T401">
        <f>MAX(T400,R401)</f>
        <v/>
      </c>
      <c r="U401">
        <f>R401/T401-1</f>
        <v/>
      </c>
      <c r="V401" t="n">
        <v>1.941497973772319</v>
      </c>
      <c r="W401" s="5">
        <f>R401-V401</f>
        <v/>
      </c>
    </row>
    <row r="402">
      <c r="A402" s="3" t="n">
        <v>39024</v>
      </c>
      <c r="B402">
        <f>Prices!B402</f>
        <v/>
      </c>
      <c r="C402">
        <f>Prices!C402</f>
        <v/>
      </c>
      <c r="D402">
        <f>Prices!D402</f>
        <v/>
      </c>
      <c r="E402">
        <f>Prices!E402</f>
        <v/>
      </c>
      <c r="F402">
        <f>Prices!F402</f>
        <v/>
      </c>
      <c r="G402">
        <f>IF(AND(400&gt;=16,TEXT(A402,"yyyy-mm")&lt;&gt;TEXT(A403,"yyyy-mm")),1,0)</f>
        <v/>
      </c>
      <c r="H402">
        <f>IF(OR(H401=1,G402=1),1,0)</f>
        <v/>
      </c>
      <c r="I402">
        <f>IF(H401=0,1,SUMPRODUCT(J401:N401,B402:F402)+O401*(1+0.00023125256064071564))</f>
        <v/>
      </c>
      <c r="J402">
        <f>IF(G402=1,0.2*R402/B402,J401)</f>
        <v/>
      </c>
      <c r="K402">
        <f>IF(G402=1,0.2*R402/C402,K401)</f>
        <v/>
      </c>
      <c r="L402">
        <f>IF(G402=1,0.2*R402/D402,L401)</f>
        <v/>
      </c>
      <c r="M402">
        <f>IF(G402=1,0.2*R402/E402,M401)</f>
        <v/>
      </c>
      <c r="N402">
        <f>IF(G402=1,0.2*R402/F402,N401)</f>
        <v/>
      </c>
      <c r="O402">
        <f>IF(G402=1,R402*(1-1.0),IF(H401=0,1,O401*(1+0.00023125256064071564)))</f>
        <v/>
      </c>
      <c r="P402">
        <f>IF(G402=1,IF(H401=0,1,ABS(0.2-J401*B402/I402)+ABS(0.2-K401*C402/I402)+ABS(0.2-L401*D402/I402)+ABS(0.2-M401*E402/I402)+ABS(0.2-N401*F402/I402)),0)</f>
        <v/>
      </c>
      <c r="Q402">
        <f>P402*0.0015</f>
        <v/>
      </c>
      <c r="R402">
        <f>I402*(1-Q402)</f>
        <v/>
      </c>
      <c r="S402">
        <f>R402/R401-1</f>
        <v/>
      </c>
      <c r="T402">
        <f>MAX(T401,R402)</f>
        <v/>
      </c>
      <c r="U402">
        <f>R402/T402-1</f>
        <v/>
      </c>
      <c r="V402" t="n">
        <v>1.946515755421446</v>
      </c>
      <c r="W402" s="5">
        <f>R402-V402</f>
        <v/>
      </c>
    </row>
    <row r="403">
      <c r="A403" s="3" t="n">
        <v>39027</v>
      </c>
      <c r="B403">
        <f>Prices!B403</f>
        <v/>
      </c>
      <c r="C403">
        <f>Prices!C403</f>
        <v/>
      </c>
      <c r="D403">
        <f>Prices!D403</f>
        <v/>
      </c>
      <c r="E403">
        <f>Prices!E403</f>
        <v/>
      </c>
      <c r="F403">
        <f>Prices!F403</f>
        <v/>
      </c>
      <c r="G403">
        <f>IF(AND(401&gt;=16,TEXT(A403,"yyyy-mm")&lt;&gt;TEXT(A404,"yyyy-mm")),1,0)</f>
        <v/>
      </c>
      <c r="H403">
        <f>IF(OR(H402=1,G403=1),1,0)</f>
        <v/>
      </c>
      <c r="I403">
        <f>IF(H402=0,1,SUMPRODUCT(J402:N402,B403:F403)+O402*(1+0.00023125256064071564))</f>
        <v/>
      </c>
      <c r="J403">
        <f>IF(G403=1,0.2*R403/B403,J402)</f>
        <v/>
      </c>
      <c r="K403">
        <f>IF(G403=1,0.2*R403/C403,K402)</f>
        <v/>
      </c>
      <c r="L403">
        <f>IF(G403=1,0.2*R403/D403,L402)</f>
        <v/>
      </c>
      <c r="M403">
        <f>IF(G403=1,0.2*R403/E403,M402)</f>
        <v/>
      </c>
      <c r="N403">
        <f>IF(G403=1,0.2*R403/F403,N402)</f>
        <v/>
      </c>
      <c r="O403">
        <f>IF(G403=1,R403*(1-1.0),IF(H402=0,1,O402*(1+0.00023125256064071564)))</f>
        <v/>
      </c>
      <c r="P403">
        <f>IF(G403=1,IF(H402=0,1,ABS(0.2-J402*B403/I403)+ABS(0.2-K402*C403/I403)+ABS(0.2-L402*D403/I403)+ABS(0.2-M402*E403/I403)+ABS(0.2-N402*F403/I403)),0)</f>
        <v/>
      </c>
      <c r="Q403">
        <f>P403*0.0015</f>
        <v/>
      </c>
      <c r="R403">
        <f>I403*(1-Q403)</f>
        <v/>
      </c>
      <c r="S403">
        <f>R403/R402-1</f>
        <v/>
      </c>
      <c r="T403">
        <f>MAX(T402,R403)</f>
        <v/>
      </c>
      <c r="U403">
        <f>R403/T403-1</f>
        <v/>
      </c>
      <c r="V403" t="n">
        <v>1.958865640859822</v>
      </c>
      <c r="W403" s="5">
        <f>R403-V403</f>
        <v/>
      </c>
    </row>
    <row r="404">
      <c r="A404" s="3" t="n">
        <v>39028</v>
      </c>
      <c r="B404">
        <f>Prices!B404</f>
        <v/>
      </c>
      <c r="C404">
        <f>Prices!C404</f>
        <v/>
      </c>
      <c r="D404">
        <f>Prices!D404</f>
        <v/>
      </c>
      <c r="E404">
        <f>Prices!E404</f>
        <v/>
      </c>
      <c r="F404">
        <f>Prices!F404</f>
        <v/>
      </c>
      <c r="G404">
        <f>IF(AND(402&gt;=16,TEXT(A404,"yyyy-mm")&lt;&gt;TEXT(A405,"yyyy-mm")),1,0)</f>
        <v/>
      </c>
      <c r="H404">
        <f>IF(OR(H403=1,G404=1),1,0)</f>
        <v/>
      </c>
      <c r="I404">
        <f>IF(H403=0,1,SUMPRODUCT(J403:N403,B404:F404)+O403*(1+0.00023125256064071564))</f>
        <v/>
      </c>
      <c r="J404">
        <f>IF(G404=1,0.2*R404/B404,J403)</f>
        <v/>
      </c>
      <c r="K404">
        <f>IF(G404=1,0.2*R404/C404,K403)</f>
        <v/>
      </c>
      <c r="L404">
        <f>IF(G404=1,0.2*R404/D404,L403)</f>
        <v/>
      </c>
      <c r="M404">
        <f>IF(G404=1,0.2*R404/E404,M403)</f>
        <v/>
      </c>
      <c r="N404">
        <f>IF(G404=1,0.2*R404/F404,N403)</f>
        <v/>
      </c>
      <c r="O404">
        <f>IF(G404=1,R404*(1-1.0),IF(H403=0,1,O403*(1+0.00023125256064071564)))</f>
        <v/>
      </c>
      <c r="P404">
        <f>IF(G404=1,IF(H403=0,1,ABS(0.2-J403*B404/I404)+ABS(0.2-K403*C404/I404)+ABS(0.2-L403*D404/I404)+ABS(0.2-M403*E404/I404)+ABS(0.2-N403*F404/I404)),0)</f>
        <v/>
      </c>
      <c r="Q404">
        <f>P404*0.0015</f>
        <v/>
      </c>
      <c r="R404">
        <f>I404*(1-Q404)</f>
        <v/>
      </c>
      <c r="S404">
        <f>R404/R403-1</f>
        <v/>
      </c>
      <c r="T404">
        <f>MAX(T403,R404)</f>
        <v/>
      </c>
      <c r="U404">
        <f>R404/T404-1</f>
        <v/>
      </c>
      <c r="V404" t="n">
        <v>1.956199520742323</v>
      </c>
      <c r="W404" s="5">
        <f>R404-V404</f>
        <v/>
      </c>
    </row>
    <row r="405">
      <c r="A405" s="3" t="n">
        <v>39029</v>
      </c>
      <c r="B405">
        <f>Prices!B405</f>
        <v/>
      </c>
      <c r="C405">
        <f>Prices!C405</f>
        <v/>
      </c>
      <c r="D405">
        <f>Prices!D405</f>
        <v/>
      </c>
      <c r="E405">
        <f>Prices!E405</f>
        <v/>
      </c>
      <c r="F405">
        <f>Prices!F405</f>
        <v/>
      </c>
      <c r="G405">
        <f>IF(AND(403&gt;=16,TEXT(A405,"yyyy-mm")&lt;&gt;TEXT(A406,"yyyy-mm")),1,0)</f>
        <v/>
      </c>
      <c r="H405">
        <f>IF(OR(H404=1,G405=1),1,0)</f>
        <v/>
      </c>
      <c r="I405">
        <f>IF(H404=0,1,SUMPRODUCT(J404:N404,B405:F405)+O404*(1+0.00023125256064071564))</f>
        <v/>
      </c>
      <c r="J405">
        <f>IF(G405=1,0.2*R405/B405,J404)</f>
        <v/>
      </c>
      <c r="K405">
        <f>IF(G405=1,0.2*R405/C405,K404)</f>
        <v/>
      </c>
      <c r="L405">
        <f>IF(G405=1,0.2*R405/D405,L404)</f>
        <v/>
      </c>
      <c r="M405">
        <f>IF(G405=1,0.2*R405/E405,M404)</f>
        <v/>
      </c>
      <c r="N405">
        <f>IF(G405=1,0.2*R405/F405,N404)</f>
        <v/>
      </c>
      <c r="O405">
        <f>IF(G405=1,R405*(1-1.0),IF(H404=0,1,O404*(1+0.00023125256064071564)))</f>
        <v/>
      </c>
      <c r="P405">
        <f>IF(G405=1,IF(H404=0,1,ABS(0.2-J404*B405/I405)+ABS(0.2-K404*C405/I405)+ABS(0.2-L404*D405/I405)+ABS(0.2-M404*E405/I405)+ABS(0.2-N404*F405/I405)),0)</f>
        <v/>
      </c>
      <c r="Q405">
        <f>P405*0.0015</f>
        <v/>
      </c>
      <c r="R405">
        <f>I405*(1-Q405)</f>
        <v/>
      </c>
      <c r="S405">
        <f>R405/R404-1</f>
        <v/>
      </c>
      <c r="T405">
        <f>MAX(T404,R405)</f>
        <v/>
      </c>
      <c r="U405">
        <f>R405/T405-1</f>
        <v/>
      </c>
      <c r="V405" t="n">
        <v>1.934879765335126</v>
      </c>
      <c r="W405" s="5">
        <f>R405-V405</f>
        <v/>
      </c>
    </row>
    <row r="406">
      <c r="A406" s="3" t="n">
        <v>39030</v>
      </c>
      <c r="B406">
        <f>Prices!B406</f>
        <v/>
      </c>
      <c r="C406">
        <f>Prices!C406</f>
        <v/>
      </c>
      <c r="D406">
        <f>Prices!D406</f>
        <v/>
      </c>
      <c r="E406">
        <f>Prices!E406</f>
        <v/>
      </c>
      <c r="F406">
        <f>Prices!F406</f>
        <v/>
      </c>
      <c r="G406">
        <f>IF(AND(404&gt;=16,TEXT(A406,"yyyy-mm")&lt;&gt;TEXT(A407,"yyyy-mm")),1,0)</f>
        <v/>
      </c>
      <c r="H406">
        <f>IF(OR(H405=1,G406=1),1,0)</f>
        <v/>
      </c>
      <c r="I406">
        <f>IF(H405=0,1,SUMPRODUCT(J405:N405,B406:F406)+O405*(1+0.00023125256064071564))</f>
        <v/>
      </c>
      <c r="J406">
        <f>IF(G406=1,0.2*R406/B406,J405)</f>
        <v/>
      </c>
      <c r="K406">
        <f>IF(G406=1,0.2*R406/C406,K405)</f>
        <v/>
      </c>
      <c r="L406">
        <f>IF(G406=1,0.2*R406/D406,L405)</f>
        <v/>
      </c>
      <c r="M406">
        <f>IF(G406=1,0.2*R406/E406,M405)</f>
        <v/>
      </c>
      <c r="N406">
        <f>IF(G406=1,0.2*R406/F406,N405)</f>
        <v/>
      </c>
      <c r="O406">
        <f>IF(G406=1,R406*(1-1.0),IF(H405=0,1,O405*(1+0.00023125256064071564)))</f>
        <v/>
      </c>
      <c r="P406">
        <f>IF(G406=1,IF(H405=0,1,ABS(0.2-J405*B406/I406)+ABS(0.2-K405*C406/I406)+ABS(0.2-L405*D406/I406)+ABS(0.2-M405*E406/I406)+ABS(0.2-N405*F406/I406)),0)</f>
        <v/>
      </c>
      <c r="Q406">
        <f>P406*0.0015</f>
        <v/>
      </c>
      <c r="R406">
        <f>I406*(1-Q406)</f>
        <v/>
      </c>
      <c r="S406">
        <f>R406/R405-1</f>
        <v/>
      </c>
      <c r="T406">
        <f>MAX(T405,R406)</f>
        <v/>
      </c>
      <c r="U406">
        <f>R406/T406-1</f>
        <v/>
      </c>
      <c r="V406" t="n">
        <v>1.942215461433313</v>
      </c>
      <c r="W406" s="5">
        <f>R406-V406</f>
        <v/>
      </c>
    </row>
    <row r="407">
      <c r="A407" s="3" t="n">
        <v>39031</v>
      </c>
      <c r="B407">
        <f>Prices!B407</f>
        <v/>
      </c>
      <c r="C407">
        <f>Prices!C407</f>
        <v/>
      </c>
      <c r="D407">
        <f>Prices!D407</f>
        <v/>
      </c>
      <c r="E407">
        <f>Prices!E407</f>
        <v/>
      </c>
      <c r="F407">
        <f>Prices!F407</f>
        <v/>
      </c>
      <c r="G407">
        <f>IF(AND(405&gt;=16,TEXT(A407,"yyyy-mm")&lt;&gt;TEXT(A408,"yyyy-mm")),1,0)</f>
        <v/>
      </c>
      <c r="H407">
        <f>IF(OR(H406=1,G407=1),1,0)</f>
        <v/>
      </c>
      <c r="I407">
        <f>IF(H406=0,1,SUMPRODUCT(J406:N406,B407:F407)+O406*(1+0.00023125256064071564))</f>
        <v/>
      </c>
      <c r="J407">
        <f>IF(G407=1,0.2*R407/B407,J406)</f>
        <v/>
      </c>
      <c r="K407">
        <f>IF(G407=1,0.2*R407/C407,K406)</f>
        <v/>
      </c>
      <c r="L407">
        <f>IF(G407=1,0.2*R407/D407,L406)</f>
        <v/>
      </c>
      <c r="M407">
        <f>IF(G407=1,0.2*R407/E407,M406)</f>
        <v/>
      </c>
      <c r="N407">
        <f>IF(G407=1,0.2*R407/F407,N406)</f>
        <v/>
      </c>
      <c r="O407">
        <f>IF(G407=1,R407*(1-1.0),IF(H406=0,1,O406*(1+0.00023125256064071564)))</f>
        <v/>
      </c>
      <c r="P407">
        <f>IF(G407=1,IF(H406=0,1,ABS(0.2-J406*B407/I407)+ABS(0.2-K406*C407/I407)+ABS(0.2-L406*D407/I407)+ABS(0.2-M406*E407/I407)+ABS(0.2-N406*F407/I407)),0)</f>
        <v/>
      </c>
      <c r="Q407">
        <f>P407*0.0015</f>
        <v/>
      </c>
      <c r="R407">
        <f>I407*(1-Q407)</f>
        <v/>
      </c>
      <c r="S407">
        <f>R407/R406-1</f>
        <v/>
      </c>
      <c r="T407">
        <f>MAX(T406,R407)</f>
        <v/>
      </c>
      <c r="U407">
        <f>R407/T407-1</f>
        <v/>
      </c>
      <c r="V407" t="n">
        <v>1.960986842352135</v>
      </c>
      <c r="W407" s="5">
        <f>R407-V407</f>
        <v/>
      </c>
    </row>
    <row r="408">
      <c r="A408" s="3" t="n">
        <v>39034</v>
      </c>
      <c r="B408">
        <f>Prices!B408</f>
        <v/>
      </c>
      <c r="C408">
        <f>Prices!C408</f>
        <v/>
      </c>
      <c r="D408">
        <f>Prices!D408</f>
        <v/>
      </c>
      <c r="E408">
        <f>Prices!E408</f>
        <v/>
      </c>
      <c r="F408">
        <f>Prices!F408</f>
        <v/>
      </c>
      <c r="G408">
        <f>IF(AND(406&gt;=16,TEXT(A408,"yyyy-mm")&lt;&gt;TEXT(A409,"yyyy-mm")),1,0)</f>
        <v/>
      </c>
      <c r="H408">
        <f>IF(OR(H407=1,G408=1),1,0)</f>
        <v/>
      </c>
      <c r="I408">
        <f>IF(H407=0,1,SUMPRODUCT(J407:N407,B408:F408)+O407*(1+0.00023125256064071564))</f>
        <v/>
      </c>
      <c r="J408">
        <f>IF(G408=1,0.2*R408/B408,J407)</f>
        <v/>
      </c>
      <c r="K408">
        <f>IF(G408=1,0.2*R408/C408,K407)</f>
        <v/>
      </c>
      <c r="L408">
        <f>IF(G408=1,0.2*R408/D408,L407)</f>
        <v/>
      </c>
      <c r="M408">
        <f>IF(G408=1,0.2*R408/E408,M407)</f>
        <v/>
      </c>
      <c r="N408">
        <f>IF(G408=1,0.2*R408/F408,N407)</f>
        <v/>
      </c>
      <c r="O408">
        <f>IF(G408=1,R408*(1-1.0),IF(H407=0,1,O407*(1+0.00023125256064071564)))</f>
        <v/>
      </c>
      <c r="P408">
        <f>IF(G408=1,IF(H407=0,1,ABS(0.2-J407*B408/I408)+ABS(0.2-K407*C408/I408)+ABS(0.2-L407*D408/I408)+ABS(0.2-M407*E408/I408)+ABS(0.2-N407*F408/I408)),0)</f>
        <v/>
      </c>
      <c r="Q408">
        <f>P408*0.0015</f>
        <v/>
      </c>
      <c r="R408">
        <f>I408*(1-Q408)</f>
        <v/>
      </c>
      <c r="S408">
        <f>R408/R407-1</f>
        <v/>
      </c>
      <c r="T408">
        <f>MAX(T407,R408)</f>
        <v/>
      </c>
      <c r="U408">
        <f>R408/T408-1</f>
        <v/>
      </c>
      <c r="V408" t="n">
        <v>1.975659140926559</v>
      </c>
      <c r="W408" s="5">
        <f>R408-V408</f>
        <v/>
      </c>
    </row>
    <row r="409">
      <c r="A409" s="3" t="n">
        <v>39035</v>
      </c>
      <c r="B409">
        <f>Prices!B409</f>
        <v/>
      </c>
      <c r="C409">
        <f>Prices!C409</f>
        <v/>
      </c>
      <c r="D409">
        <f>Prices!D409</f>
        <v/>
      </c>
      <c r="E409">
        <f>Prices!E409</f>
        <v/>
      </c>
      <c r="F409">
        <f>Prices!F409</f>
        <v/>
      </c>
      <c r="G409">
        <f>IF(AND(407&gt;=16,TEXT(A409,"yyyy-mm")&lt;&gt;TEXT(A410,"yyyy-mm")),1,0)</f>
        <v/>
      </c>
      <c r="H409">
        <f>IF(OR(H408=1,G409=1),1,0)</f>
        <v/>
      </c>
      <c r="I409">
        <f>IF(H408=0,1,SUMPRODUCT(J408:N408,B409:F409)+O408*(1+0.00023125256064071564))</f>
        <v/>
      </c>
      <c r="J409">
        <f>IF(G409=1,0.2*R409/B409,J408)</f>
        <v/>
      </c>
      <c r="K409">
        <f>IF(G409=1,0.2*R409/C409,K408)</f>
        <v/>
      </c>
      <c r="L409">
        <f>IF(G409=1,0.2*R409/D409,L408)</f>
        <v/>
      </c>
      <c r="M409">
        <f>IF(G409=1,0.2*R409/E409,M408)</f>
        <v/>
      </c>
      <c r="N409">
        <f>IF(G409=1,0.2*R409/F409,N408)</f>
        <v/>
      </c>
      <c r="O409">
        <f>IF(G409=1,R409*(1-1.0),IF(H408=0,1,O408*(1+0.00023125256064071564)))</f>
        <v/>
      </c>
      <c r="P409">
        <f>IF(G409=1,IF(H408=0,1,ABS(0.2-J408*B409/I409)+ABS(0.2-K408*C409/I409)+ABS(0.2-L408*D409/I409)+ABS(0.2-M408*E409/I409)+ABS(0.2-N408*F409/I409)),0)</f>
        <v/>
      </c>
      <c r="Q409">
        <f>P409*0.0015</f>
        <v/>
      </c>
      <c r="R409">
        <f>I409*(1-Q409)</f>
        <v/>
      </c>
      <c r="S409">
        <f>R409/R408-1</f>
        <v/>
      </c>
      <c r="T409">
        <f>MAX(T408,R409)</f>
        <v/>
      </c>
      <c r="U409">
        <f>R409/T409-1</f>
        <v/>
      </c>
      <c r="V409" t="n">
        <v>1.974901191629838</v>
      </c>
      <c r="W409" s="5">
        <f>R409-V409</f>
        <v/>
      </c>
    </row>
    <row r="410">
      <c r="A410" s="3" t="n">
        <v>39036</v>
      </c>
      <c r="B410">
        <f>Prices!B410</f>
        <v/>
      </c>
      <c r="C410">
        <f>Prices!C410</f>
        <v/>
      </c>
      <c r="D410">
        <f>Prices!D410</f>
        <v/>
      </c>
      <c r="E410">
        <f>Prices!E410</f>
        <v/>
      </c>
      <c r="F410">
        <f>Prices!F410</f>
        <v/>
      </c>
      <c r="G410">
        <f>IF(AND(408&gt;=16,TEXT(A410,"yyyy-mm")&lt;&gt;TEXT(A411,"yyyy-mm")),1,0)</f>
        <v/>
      </c>
      <c r="H410">
        <f>IF(OR(H409=1,G410=1),1,0)</f>
        <v/>
      </c>
      <c r="I410">
        <f>IF(H409=0,1,SUMPRODUCT(J409:N409,B410:F410)+O409*(1+0.00023125256064071564))</f>
        <v/>
      </c>
      <c r="J410">
        <f>IF(G410=1,0.2*R410/B410,J409)</f>
        <v/>
      </c>
      <c r="K410">
        <f>IF(G410=1,0.2*R410/C410,K409)</f>
        <v/>
      </c>
      <c r="L410">
        <f>IF(G410=1,0.2*R410/D410,L409)</f>
        <v/>
      </c>
      <c r="M410">
        <f>IF(G410=1,0.2*R410/E410,M409)</f>
        <v/>
      </c>
      <c r="N410">
        <f>IF(G410=1,0.2*R410/F410,N409)</f>
        <v/>
      </c>
      <c r="O410">
        <f>IF(G410=1,R410*(1-1.0),IF(H409=0,1,O409*(1+0.00023125256064071564)))</f>
        <v/>
      </c>
      <c r="P410">
        <f>IF(G410=1,IF(H409=0,1,ABS(0.2-J409*B410/I410)+ABS(0.2-K409*C410/I410)+ABS(0.2-L409*D410/I410)+ABS(0.2-M409*E410/I410)+ABS(0.2-N409*F410/I410)),0)</f>
        <v/>
      </c>
      <c r="Q410">
        <f>P410*0.0015</f>
        <v/>
      </c>
      <c r="R410">
        <f>I410*(1-Q410)</f>
        <v/>
      </c>
      <c r="S410">
        <f>R410/R409-1</f>
        <v/>
      </c>
      <c r="T410">
        <f>MAX(T409,R410)</f>
        <v/>
      </c>
      <c r="U410">
        <f>R410/T410-1</f>
        <v/>
      </c>
      <c r="V410" t="n">
        <v>1.985148227087929</v>
      </c>
      <c r="W410" s="5">
        <f>R410-V410</f>
        <v/>
      </c>
    </row>
    <row r="411">
      <c r="A411" s="3" t="n">
        <v>39037</v>
      </c>
      <c r="B411">
        <f>Prices!B411</f>
        <v/>
      </c>
      <c r="C411">
        <f>Prices!C411</f>
        <v/>
      </c>
      <c r="D411">
        <f>Prices!D411</f>
        <v/>
      </c>
      <c r="E411">
        <f>Prices!E411</f>
        <v/>
      </c>
      <c r="F411">
        <f>Prices!F411</f>
        <v/>
      </c>
      <c r="G411">
        <f>IF(AND(409&gt;=16,TEXT(A411,"yyyy-mm")&lt;&gt;TEXT(A412,"yyyy-mm")),1,0)</f>
        <v/>
      </c>
      <c r="H411">
        <f>IF(OR(H410=1,G411=1),1,0)</f>
        <v/>
      </c>
      <c r="I411">
        <f>IF(H410=0,1,SUMPRODUCT(J410:N410,B411:F411)+O410*(1+0.00023125256064071564))</f>
        <v/>
      </c>
      <c r="J411">
        <f>IF(G411=1,0.2*R411/B411,J410)</f>
        <v/>
      </c>
      <c r="K411">
        <f>IF(G411=1,0.2*R411/C411,K410)</f>
        <v/>
      </c>
      <c r="L411">
        <f>IF(G411=1,0.2*R411/D411,L410)</f>
        <v/>
      </c>
      <c r="M411">
        <f>IF(G411=1,0.2*R411/E411,M410)</f>
        <v/>
      </c>
      <c r="N411">
        <f>IF(G411=1,0.2*R411/F411,N410)</f>
        <v/>
      </c>
      <c r="O411">
        <f>IF(G411=1,R411*(1-1.0),IF(H410=0,1,O410*(1+0.00023125256064071564)))</f>
        <v/>
      </c>
      <c r="P411">
        <f>IF(G411=1,IF(H410=0,1,ABS(0.2-J410*B411/I411)+ABS(0.2-K410*C411/I411)+ABS(0.2-L410*D411/I411)+ABS(0.2-M410*E411/I411)+ABS(0.2-N410*F411/I411)),0)</f>
        <v/>
      </c>
      <c r="Q411">
        <f>P411*0.0015</f>
        <v/>
      </c>
      <c r="R411">
        <f>I411*(1-Q411)</f>
        <v/>
      </c>
      <c r="S411">
        <f>R411/R410-1</f>
        <v/>
      </c>
      <c r="T411">
        <f>MAX(T410,R411)</f>
        <v/>
      </c>
      <c r="U411">
        <f>R411/T411-1</f>
        <v/>
      </c>
      <c r="V411" t="n">
        <v>1.988348436383286</v>
      </c>
      <c r="W411" s="5">
        <f>R411-V411</f>
        <v/>
      </c>
    </row>
    <row r="412">
      <c r="A412" s="3" t="n">
        <v>39038</v>
      </c>
      <c r="B412">
        <f>Prices!B412</f>
        <v/>
      </c>
      <c r="C412">
        <f>Prices!C412</f>
        <v/>
      </c>
      <c r="D412">
        <f>Prices!D412</f>
        <v/>
      </c>
      <c r="E412">
        <f>Prices!E412</f>
        <v/>
      </c>
      <c r="F412">
        <f>Prices!F412</f>
        <v/>
      </c>
      <c r="G412">
        <f>IF(AND(410&gt;=16,TEXT(A412,"yyyy-mm")&lt;&gt;TEXT(A413,"yyyy-mm")),1,0)</f>
        <v/>
      </c>
      <c r="H412">
        <f>IF(OR(H411=1,G412=1),1,0)</f>
        <v/>
      </c>
      <c r="I412">
        <f>IF(H411=0,1,SUMPRODUCT(J411:N411,B412:F412)+O411*(1+0.00023125256064071564))</f>
        <v/>
      </c>
      <c r="J412">
        <f>IF(G412=1,0.2*R412/B412,J411)</f>
        <v/>
      </c>
      <c r="K412">
        <f>IF(G412=1,0.2*R412/C412,K411)</f>
        <v/>
      </c>
      <c r="L412">
        <f>IF(G412=1,0.2*R412/D412,L411)</f>
        <v/>
      </c>
      <c r="M412">
        <f>IF(G412=1,0.2*R412/E412,M411)</f>
        <v/>
      </c>
      <c r="N412">
        <f>IF(G412=1,0.2*R412/F412,N411)</f>
        <v/>
      </c>
      <c r="O412">
        <f>IF(G412=1,R412*(1-1.0),IF(H411=0,1,O411*(1+0.00023125256064071564)))</f>
        <v/>
      </c>
      <c r="P412">
        <f>IF(G412=1,IF(H411=0,1,ABS(0.2-J411*B412/I412)+ABS(0.2-K411*C412/I412)+ABS(0.2-L411*D412/I412)+ABS(0.2-M411*E412/I412)+ABS(0.2-N411*F412/I412)),0)</f>
        <v/>
      </c>
      <c r="Q412">
        <f>P412*0.0015</f>
        <v/>
      </c>
      <c r="R412">
        <f>I412*(1-Q412)</f>
        <v/>
      </c>
      <c r="S412">
        <f>R412/R411-1</f>
        <v/>
      </c>
      <c r="T412">
        <f>MAX(T411,R412)</f>
        <v/>
      </c>
      <c r="U412">
        <f>R412/T412-1</f>
        <v/>
      </c>
      <c r="V412" t="n">
        <v>1.962241755480213</v>
      </c>
      <c r="W412" s="5">
        <f>R412-V412</f>
        <v/>
      </c>
    </row>
    <row r="413">
      <c r="A413" s="3" t="n">
        <v>39041</v>
      </c>
      <c r="B413">
        <f>Prices!B413</f>
        <v/>
      </c>
      <c r="C413">
        <f>Prices!C413</f>
        <v/>
      </c>
      <c r="D413">
        <f>Prices!D413</f>
        <v/>
      </c>
      <c r="E413">
        <f>Prices!E413</f>
        <v/>
      </c>
      <c r="F413">
        <f>Prices!F413</f>
        <v/>
      </c>
      <c r="G413">
        <f>IF(AND(411&gt;=16,TEXT(A413,"yyyy-mm")&lt;&gt;TEXT(A414,"yyyy-mm")),1,0)</f>
        <v/>
      </c>
      <c r="H413">
        <f>IF(OR(H412=1,G413=1),1,0)</f>
        <v/>
      </c>
      <c r="I413">
        <f>IF(H412=0,1,SUMPRODUCT(J412:N412,B413:F413)+O412*(1+0.00023125256064071564))</f>
        <v/>
      </c>
      <c r="J413">
        <f>IF(G413=1,0.2*R413/B413,J412)</f>
        <v/>
      </c>
      <c r="K413">
        <f>IF(G413=1,0.2*R413/C413,K412)</f>
        <v/>
      </c>
      <c r="L413">
        <f>IF(G413=1,0.2*R413/D413,L412)</f>
        <v/>
      </c>
      <c r="M413">
        <f>IF(G413=1,0.2*R413/E413,M412)</f>
        <v/>
      </c>
      <c r="N413">
        <f>IF(G413=1,0.2*R413/F413,N412)</f>
        <v/>
      </c>
      <c r="O413">
        <f>IF(G413=1,R413*(1-1.0),IF(H412=0,1,O412*(1+0.00023125256064071564)))</f>
        <v/>
      </c>
      <c r="P413">
        <f>IF(G413=1,IF(H412=0,1,ABS(0.2-J412*B413/I413)+ABS(0.2-K412*C413/I413)+ABS(0.2-L412*D413/I413)+ABS(0.2-M412*E413/I413)+ABS(0.2-N412*F413/I413)),0)</f>
        <v/>
      </c>
      <c r="Q413">
        <f>P413*0.0015</f>
        <v/>
      </c>
      <c r="R413">
        <f>I413*(1-Q413)</f>
        <v/>
      </c>
      <c r="S413">
        <f>R413/R412-1</f>
        <v/>
      </c>
      <c r="T413">
        <f>MAX(T412,R413)</f>
        <v/>
      </c>
      <c r="U413">
        <f>R413/T413-1</f>
        <v/>
      </c>
      <c r="V413" t="n">
        <v>1.947720359747733</v>
      </c>
      <c r="W413" s="5">
        <f>R413-V413</f>
        <v/>
      </c>
    </row>
    <row r="414">
      <c r="A414" s="3" t="n">
        <v>39042</v>
      </c>
      <c r="B414">
        <f>Prices!B414</f>
        <v/>
      </c>
      <c r="C414">
        <f>Prices!C414</f>
        <v/>
      </c>
      <c r="D414">
        <f>Prices!D414</f>
        <v/>
      </c>
      <c r="E414">
        <f>Prices!E414</f>
        <v/>
      </c>
      <c r="F414">
        <f>Prices!F414</f>
        <v/>
      </c>
      <c r="G414">
        <f>IF(AND(412&gt;=16,TEXT(A414,"yyyy-mm")&lt;&gt;TEXT(A415,"yyyy-mm")),1,0)</f>
        <v/>
      </c>
      <c r="H414">
        <f>IF(OR(H413=1,G414=1),1,0)</f>
        <v/>
      </c>
      <c r="I414">
        <f>IF(H413=0,1,SUMPRODUCT(J413:N413,B414:F414)+O413*(1+0.00023125256064071564))</f>
        <v/>
      </c>
      <c r="J414">
        <f>IF(G414=1,0.2*R414/B414,J413)</f>
        <v/>
      </c>
      <c r="K414">
        <f>IF(G414=1,0.2*R414/C414,K413)</f>
        <v/>
      </c>
      <c r="L414">
        <f>IF(G414=1,0.2*R414/D414,L413)</f>
        <v/>
      </c>
      <c r="M414">
        <f>IF(G414=1,0.2*R414/E414,M413)</f>
        <v/>
      </c>
      <c r="N414">
        <f>IF(G414=1,0.2*R414/F414,N413)</f>
        <v/>
      </c>
      <c r="O414">
        <f>IF(G414=1,R414*(1-1.0),IF(H413=0,1,O413*(1+0.00023125256064071564)))</f>
        <v/>
      </c>
      <c r="P414">
        <f>IF(G414=1,IF(H413=0,1,ABS(0.2-J413*B414/I414)+ABS(0.2-K413*C414/I414)+ABS(0.2-L413*D414/I414)+ABS(0.2-M413*E414/I414)+ABS(0.2-N413*F414/I414)),0)</f>
        <v/>
      </c>
      <c r="Q414">
        <f>P414*0.0015</f>
        <v/>
      </c>
      <c r="R414">
        <f>I414*(1-Q414)</f>
        <v/>
      </c>
      <c r="S414">
        <f>R414/R413-1</f>
        <v/>
      </c>
      <c r="T414">
        <f>MAX(T413,R414)</f>
        <v/>
      </c>
      <c r="U414">
        <f>R414/T414-1</f>
        <v/>
      </c>
      <c r="V414" t="n">
        <v>1.982529214737087</v>
      </c>
      <c r="W414" s="5">
        <f>R414-V414</f>
        <v/>
      </c>
    </row>
    <row r="415">
      <c r="A415" s="3" t="n">
        <v>39043</v>
      </c>
      <c r="B415">
        <f>Prices!B415</f>
        <v/>
      </c>
      <c r="C415">
        <f>Prices!C415</f>
        <v/>
      </c>
      <c r="D415">
        <f>Prices!D415</f>
        <v/>
      </c>
      <c r="E415">
        <f>Prices!E415</f>
        <v/>
      </c>
      <c r="F415">
        <f>Prices!F415</f>
        <v/>
      </c>
      <c r="G415">
        <f>IF(AND(413&gt;=16,TEXT(A415,"yyyy-mm")&lt;&gt;TEXT(A416,"yyyy-mm")),1,0)</f>
        <v/>
      </c>
      <c r="H415">
        <f>IF(OR(H414=1,G415=1),1,0)</f>
        <v/>
      </c>
      <c r="I415">
        <f>IF(H414=0,1,SUMPRODUCT(J414:N414,B415:F415)+O414*(1+0.00023125256064071564))</f>
        <v/>
      </c>
      <c r="J415">
        <f>IF(G415=1,0.2*R415/B415,J414)</f>
        <v/>
      </c>
      <c r="K415">
        <f>IF(G415=1,0.2*R415/C415,K414)</f>
        <v/>
      </c>
      <c r="L415">
        <f>IF(G415=1,0.2*R415/D415,L414)</f>
        <v/>
      </c>
      <c r="M415">
        <f>IF(G415=1,0.2*R415/E415,M414)</f>
        <v/>
      </c>
      <c r="N415">
        <f>IF(G415=1,0.2*R415/F415,N414)</f>
        <v/>
      </c>
      <c r="O415">
        <f>IF(G415=1,R415*(1-1.0),IF(H414=0,1,O414*(1+0.00023125256064071564)))</f>
        <v/>
      </c>
      <c r="P415">
        <f>IF(G415=1,IF(H414=0,1,ABS(0.2-J414*B415/I415)+ABS(0.2-K414*C415/I415)+ABS(0.2-L414*D415/I415)+ABS(0.2-M414*E415/I415)+ABS(0.2-N414*F415/I415)),0)</f>
        <v/>
      </c>
      <c r="Q415">
        <f>P415*0.0015</f>
        <v/>
      </c>
      <c r="R415">
        <f>I415*(1-Q415)</f>
        <v/>
      </c>
      <c r="S415">
        <f>R415/R414-1</f>
        <v/>
      </c>
      <c r="T415">
        <f>MAX(T414,R415)</f>
        <v/>
      </c>
      <c r="U415">
        <f>R415/T415-1</f>
        <v/>
      </c>
      <c r="V415" t="n">
        <v>2.005511258422276</v>
      </c>
      <c r="W415" s="5">
        <f>R415-V415</f>
        <v/>
      </c>
    </row>
    <row r="416">
      <c r="A416" s="3" t="n">
        <v>39044</v>
      </c>
      <c r="B416">
        <f>Prices!B416</f>
        <v/>
      </c>
      <c r="C416">
        <f>Prices!C416</f>
        <v/>
      </c>
      <c r="D416">
        <f>Prices!D416</f>
        <v/>
      </c>
      <c r="E416">
        <f>Prices!E416</f>
        <v/>
      </c>
      <c r="F416">
        <f>Prices!F416</f>
        <v/>
      </c>
      <c r="G416">
        <f>IF(AND(414&gt;=16,TEXT(A416,"yyyy-mm")&lt;&gt;TEXT(A417,"yyyy-mm")),1,0)</f>
        <v/>
      </c>
      <c r="H416">
        <f>IF(OR(H415=1,G416=1),1,0)</f>
        <v/>
      </c>
      <c r="I416">
        <f>IF(H415=0,1,SUMPRODUCT(J415:N415,B416:F416)+O415*(1+0.00023125256064071564))</f>
        <v/>
      </c>
      <c r="J416">
        <f>IF(G416=1,0.2*R416/B416,J415)</f>
        <v/>
      </c>
      <c r="K416">
        <f>IF(G416=1,0.2*R416/C416,K415)</f>
        <v/>
      </c>
      <c r="L416">
        <f>IF(G416=1,0.2*R416/D416,L415)</f>
        <v/>
      </c>
      <c r="M416">
        <f>IF(G416=1,0.2*R416/E416,M415)</f>
        <v/>
      </c>
      <c r="N416">
        <f>IF(G416=1,0.2*R416/F416,N415)</f>
        <v/>
      </c>
      <c r="O416">
        <f>IF(G416=1,R416*(1-1.0),IF(H415=0,1,O415*(1+0.00023125256064071564)))</f>
        <v/>
      </c>
      <c r="P416">
        <f>IF(G416=1,IF(H415=0,1,ABS(0.2-J415*B416/I416)+ABS(0.2-K415*C416/I416)+ABS(0.2-L415*D416/I416)+ABS(0.2-M415*E416/I416)+ABS(0.2-N415*F416/I416)),0)</f>
        <v/>
      </c>
      <c r="Q416">
        <f>P416*0.0015</f>
        <v/>
      </c>
      <c r="R416">
        <f>I416*(1-Q416)</f>
        <v/>
      </c>
      <c r="S416">
        <f>R416/R415-1</f>
        <v/>
      </c>
      <c r="T416">
        <f>MAX(T415,R416)</f>
        <v/>
      </c>
      <c r="U416">
        <f>R416/T416-1</f>
        <v/>
      </c>
      <c r="V416" t="n">
        <v>2.018495096529775</v>
      </c>
      <c r="W416" s="5">
        <f>R416-V416</f>
        <v/>
      </c>
    </row>
    <row r="417">
      <c r="A417" s="3" t="n">
        <v>39045</v>
      </c>
      <c r="B417">
        <f>Prices!B417</f>
        <v/>
      </c>
      <c r="C417">
        <f>Prices!C417</f>
        <v/>
      </c>
      <c r="D417">
        <f>Prices!D417</f>
        <v/>
      </c>
      <c r="E417">
        <f>Prices!E417</f>
        <v/>
      </c>
      <c r="F417">
        <f>Prices!F417</f>
        <v/>
      </c>
      <c r="G417">
        <f>IF(AND(415&gt;=16,TEXT(A417,"yyyy-mm")&lt;&gt;TEXT(A418,"yyyy-mm")),1,0)</f>
        <v/>
      </c>
      <c r="H417">
        <f>IF(OR(H416=1,G417=1),1,0)</f>
        <v/>
      </c>
      <c r="I417">
        <f>IF(H416=0,1,SUMPRODUCT(J416:N416,B417:F417)+O416*(1+0.00023125256064071564))</f>
        <v/>
      </c>
      <c r="J417">
        <f>IF(G417=1,0.2*R417/B417,J416)</f>
        <v/>
      </c>
      <c r="K417">
        <f>IF(G417=1,0.2*R417/C417,K416)</f>
        <v/>
      </c>
      <c r="L417">
        <f>IF(G417=1,0.2*R417/D417,L416)</f>
        <v/>
      </c>
      <c r="M417">
        <f>IF(G417=1,0.2*R417/E417,M416)</f>
        <v/>
      </c>
      <c r="N417">
        <f>IF(G417=1,0.2*R417/F417,N416)</f>
        <v/>
      </c>
      <c r="O417">
        <f>IF(G417=1,R417*(1-1.0),IF(H416=0,1,O416*(1+0.00023125256064071564)))</f>
        <v/>
      </c>
      <c r="P417">
        <f>IF(G417=1,IF(H416=0,1,ABS(0.2-J416*B417/I417)+ABS(0.2-K416*C417/I417)+ABS(0.2-L416*D417/I417)+ABS(0.2-M416*E417/I417)+ABS(0.2-N416*F417/I417)),0)</f>
        <v/>
      </c>
      <c r="Q417">
        <f>P417*0.0015</f>
        <v/>
      </c>
      <c r="R417">
        <f>I417*(1-Q417)</f>
        <v/>
      </c>
      <c r="S417">
        <f>R417/R416-1</f>
        <v/>
      </c>
      <c r="T417">
        <f>MAX(T416,R417)</f>
        <v/>
      </c>
      <c r="U417">
        <f>R417/T417-1</f>
        <v/>
      </c>
      <c r="V417" t="n">
        <v>2.022562416645624</v>
      </c>
      <c r="W417" s="5">
        <f>R417-V417</f>
        <v/>
      </c>
    </row>
    <row r="418">
      <c r="A418" s="3" t="n">
        <v>39048</v>
      </c>
      <c r="B418">
        <f>Prices!B418</f>
        <v/>
      </c>
      <c r="C418">
        <f>Prices!C418</f>
        <v/>
      </c>
      <c r="D418">
        <f>Prices!D418</f>
        <v/>
      </c>
      <c r="E418">
        <f>Prices!E418</f>
        <v/>
      </c>
      <c r="F418">
        <f>Prices!F418</f>
        <v/>
      </c>
      <c r="G418">
        <f>IF(AND(416&gt;=16,TEXT(A418,"yyyy-mm")&lt;&gt;TEXT(A419,"yyyy-mm")),1,0)</f>
        <v/>
      </c>
      <c r="H418">
        <f>IF(OR(H417=1,G418=1),1,0)</f>
        <v/>
      </c>
      <c r="I418">
        <f>IF(H417=0,1,SUMPRODUCT(J417:N417,B418:F418)+O417*(1+0.00023125256064071564))</f>
        <v/>
      </c>
      <c r="J418">
        <f>IF(G418=1,0.2*R418/B418,J417)</f>
        <v/>
      </c>
      <c r="K418">
        <f>IF(G418=1,0.2*R418/C418,K417)</f>
        <v/>
      </c>
      <c r="L418">
        <f>IF(G418=1,0.2*R418/D418,L417)</f>
        <v/>
      </c>
      <c r="M418">
        <f>IF(G418=1,0.2*R418/E418,M417)</f>
        <v/>
      </c>
      <c r="N418">
        <f>IF(G418=1,0.2*R418/F418,N417)</f>
        <v/>
      </c>
      <c r="O418">
        <f>IF(G418=1,R418*(1-1.0),IF(H417=0,1,O417*(1+0.00023125256064071564)))</f>
        <v/>
      </c>
      <c r="P418">
        <f>IF(G418=1,IF(H417=0,1,ABS(0.2-J417*B418/I418)+ABS(0.2-K417*C418/I418)+ABS(0.2-L417*D418/I418)+ABS(0.2-M417*E418/I418)+ABS(0.2-N417*F418/I418)),0)</f>
        <v/>
      </c>
      <c r="Q418">
        <f>P418*0.0015</f>
        <v/>
      </c>
      <c r="R418">
        <f>I418*(1-Q418)</f>
        <v/>
      </c>
      <c r="S418">
        <f>R418/R417-1</f>
        <v/>
      </c>
      <c r="T418">
        <f>MAX(T417,R418)</f>
        <v/>
      </c>
      <c r="U418">
        <f>R418/T418-1</f>
        <v/>
      </c>
      <c r="V418" t="n">
        <v>2.025084121202319</v>
      </c>
      <c r="W418" s="5">
        <f>R418-V418</f>
        <v/>
      </c>
    </row>
    <row r="419">
      <c r="A419" s="3" t="n">
        <v>39049</v>
      </c>
      <c r="B419">
        <f>Prices!B419</f>
        <v/>
      </c>
      <c r="C419">
        <f>Prices!C419</f>
        <v/>
      </c>
      <c r="D419">
        <f>Prices!D419</f>
        <v/>
      </c>
      <c r="E419">
        <f>Prices!E419</f>
        <v/>
      </c>
      <c r="F419">
        <f>Prices!F419</f>
        <v/>
      </c>
      <c r="G419">
        <f>IF(AND(417&gt;=16,TEXT(A419,"yyyy-mm")&lt;&gt;TEXT(A420,"yyyy-mm")),1,0)</f>
        <v/>
      </c>
      <c r="H419">
        <f>IF(OR(H418=1,G419=1),1,0)</f>
        <v/>
      </c>
      <c r="I419">
        <f>IF(H418=0,1,SUMPRODUCT(J418:N418,B419:F419)+O418*(1+0.00023125256064071564))</f>
        <v/>
      </c>
      <c r="J419">
        <f>IF(G419=1,0.2*R419/B419,J418)</f>
        <v/>
      </c>
      <c r="K419">
        <f>IF(G419=1,0.2*R419/C419,K418)</f>
        <v/>
      </c>
      <c r="L419">
        <f>IF(G419=1,0.2*R419/D419,L418)</f>
        <v/>
      </c>
      <c r="M419">
        <f>IF(G419=1,0.2*R419/E419,M418)</f>
        <v/>
      </c>
      <c r="N419">
        <f>IF(G419=1,0.2*R419/F419,N418)</f>
        <v/>
      </c>
      <c r="O419">
        <f>IF(G419=1,R419*(1-1.0),IF(H418=0,1,O418*(1+0.00023125256064071564)))</f>
        <v/>
      </c>
      <c r="P419">
        <f>IF(G419=1,IF(H418=0,1,ABS(0.2-J418*B419/I419)+ABS(0.2-K418*C419/I419)+ABS(0.2-L418*D419/I419)+ABS(0.2-M418*E419/I419)+ABS(0.2-N418*F419/I419)),0)</f>
        <v/>
      </c>
      <c r="Q419">
        <f>P419*0.0015</f>
        <v/>
      </c>
      <c r="R419">
        <f>I419*(1-Q419)</f>
        <v/>
      </c>
      <c r="S419">
        <f>R419/R418-1</f>
        <v/>
      </c>
      <c r="T419">
        <f>MAX(T418,R419)</f>
        <v/>
      </c>
      <c r="U419">
        <f>R419/T419-1</f>
        <v/>
      </c>
      <c r="V419" t="n">
        <v>1.99925498316219</v>
      </c>
      <c r="W419" s="5">
        <f>R419-V419</f>
        <v/>
      </c>
    </row>
    <row r="420">
      <c r="A420" s="3" t="n">
        <v>39050</v>
      </c>
      <c r="B420">
        <f>Prices!B420</f>
        <v/>
      </c>
      <c r="C420">
        <f>Prices!C420</f>
        <v/>
      </c>
      <c r="D420">
        <f>Prices!D420</f>
        <v/>
      </c>
      <c r="E420">
        <f>Prices!E420</f>
        <v/>
      </c>
      <c r="F420">
        <f>Prices!F420</f>
        <v/>
      </c>
      <c r="G420">
        <f>IF(AND(418&gt;=16,TEXT(A420,"yyyy-mm")&lt;&gt;TEXT(A421,"yyyy-mm")),1,0)</f>
        <v/>
      </c>
      <c r="H420">
        <f>IF(OR(H419=1,G420=1),1,0)</f>
        <v/>
      </c>
      <c r="I420">
        <f>IF(H419=0,1,SUMPRODUCT(J419:N419,B420:F420)+O419*(1+0.00023125256064071564))</f>
        <v/>
      </c>
      <c r="J420">
        <f>IF(G420=1,0.2*R420/B420,J419)</f>
        <v/>
      </c>
      <c r="K420">
        <f>IF(G420=1,0.2*R420/C420,K419)</f>
        <v/>
      </c>
      <c r="L420">
        <f>IF(G420=1,0.2*R420/D420,L419)</f>
        <v/>
      </c>
      <c r="M420">
        <f>IF(G420=1,0.2*R420/E420,M419)</f>
        <v/>
      </c>
      <c r="N420">
        <f>IF(G420=1,0.2*R420/F420,N419)</f>
        <v/>
      </c>
      <c r="O420">
        <f>IF(G420=1,R420*(1-1.0),IF(H419=0,1,O419*(1+0.00023125256064071564)))</f>
        <v/>
      </c>
      <c r="P420">
        <f>IF(G420=1,IF(H419=0,1,ABS(0.2-J419*B420/I420)+ABS(0.2-K419*C420/I420)+ABS(0.2-L419*D420/I420)+ABS(0.2-M419*E420/I420)+ABS(0.2-N419*F420/I420)),0)</f>
        <v/>
      </c>
      <c r="Q420">
        <f>P420*0.0015</f>
        <v/>
      </c>
      <c r="R420">
        <f>I420*(1-Q420)</f>
        <v/>
      </c>
      <c r="S420">
        <f>R420/R419-1</f>
        <v/>
      </c>
      <c r="T420">
        <f>MAX(T419,R420)</f>
        <v/>
      </c>
      <c r="U420">
        <f>R420/T420-1</f>
        <v/>
      </c>
      <c r="V420" t="n">
        <v>2.011803710712434</v>
      </c>
      <c r="W420" s="5">
        <f>R420-V420</f>
        <v/>
      </c>
    </row>
    <row r="421">
      <c r="A421" s="3" t="n">
        <v>39051</v>
      </c>
      <c r="B421">
        <f>Prices!B421</f>
        <v/>
      </c>
      <c r="C421">
        <f>Prices!C421</f>
        <v/>
      </c>
      <c r="D421">
        <f>Prices!D421</f>
        <v/>
      </c>
      <c r="E421">
        <f>Prices!E421</f>
        <v/>
      </c>
      <c r="F421">
        <f>Prices!F421</f>
        <v/>
      </c>
      <c r="G421">
        <f>IF(AND(419&gt;=16,TEXT(A421,"yyyy-mm")&lt;&gt;TEXT(A422,"yyyy-mm")),1,0)</f>
        <v/>
      </c>
      <c r="H421">
        <f>IF(OR(H420=1,G421=1),1,0)</f>
        <v/>
      </c>
      <c r="I421">
        <f>IF(H420=0,1,SUMPRODUCT(J420:N420,B421:F421)+O420*(1+0.00023125256064071564))</f>
        <v/>
      </c>
      <c r="J421">
        <f>IF(G421=1,0.2*R421/B421,J420)</f>
        <v/>
      </c>
      <c r="K421">
        <f>IF(G421=1,0.2*R421/C421,K420)</f>
        <v/>
      </c>
      <c r="L421">
        <f>IF(G421=1,0.2*R421/D421,L420)</f>
        <v/>
      </c>
      <c r="M421">
        <f>IF(G421=1,0.2*R421/E421,M420)</f>
        <v/>
      </c>
      <c r="N421">
        <f>IF(G421=1,0.2*R421/F421,N420)</f>
        <v/>
      </c>
      <c r="O421">
        <f>IF(G421=1,R421*(1-1.0),IF(H420=0,1,O420*(1+0.00023125256064071564)))</f>
        <v/>
      </c>
      <c r="P421">
        <f>IF(G421=1,IF(H420=0,1,ABS(0.2-J420*B421/I421)+ABS(0.2-K420*C421/I421)+ABS(0.2-L420*D421/I421)+ABS(0.2-M420*E421/I421)+ABS(0.2-N420*F421/I421)),0)</f>
        <v/>
      </c>
      <c r="Q421">
        <f>P421*0.0015</f>
        <v/>
      </c>
      <c r="R421">
        <f>I421*(1-Q421)</f>
        <v/>
      </c>
      <c r="S421">
        <f>R421/R420-1</f>
        <v/>
      </c>
      <c r="T421">
        <f>MAX(T420,R421)</f>
        <v/>
      </c>
      <c r="U421">
        <f>R421/T421-1</f>
        <v/>
      </c>
      <c r="V421" t="n">
        <v>2.005347427789521</v>
      </c>
      <c r="W421" s="5">
        <f>R421-V421</f>
        <v/>
      </c>
    </row>
    <row r="422">
      <c r="A422" s="3" t="n">
        <v>39052</v>
      </c>
      <c r="B422">
        <f>Prices!B422</f>
        <v/>
      </c>
      <c r="C422">
        <f>Prices!C422</f>
        <v/>
      </c>
      <c r="D422">
        <f>Prices!D422</f>
        <v/>
      </c>
      <c r="E422">
        <f>Prices!E422</f>
        <v/>
      </c>
      <c r="F422">
        <f>Prices!F422</f>
        <v/>
      </c>
      <c r="G422">
        <f>IF(AND(420&gt;=16,TEXT(A422,"yyyy-mm")&lt;&gt;TEXT(A423,"yyyy-mm")),1,0)</f>
        <v/>
      </c>
      <c r="H422">
        <f>IF(OR(H421=1,G422=1),1,0)</f>
        <v/>
      </c>
      <c r="I422">
        <f>IF(H421=0,1,SUMPRODUCT(J421:N421,B422:F422)+O421*(1+0.00023125256064071564))</f>
        <v/>
      </c>
      <c r="J422">
        <f>IF(G422=1,0.2*R422/B422,J421)</f>
        <v/>
      </c>
      <c r="K422">
        <f>IF(G422=1,0.2*R422/C422,K421)</f>
        <v/>
      </c>
      <c r="L422">
        <f>IF(G422=1,0.2*R422/D422,L421)</f>
        <v/>
      </c>
      <c r="M422">
        <f>IF(G422=1,0.2*R422/E422,M421)</f>
        <v/>
      </c>
      <c r="N422">
        <f>IF(G422=1,0.2*R422/F422,N421)</f>
        <v/>
      </c>
      <c r="O422">
        <f>IF(G422=1,R422*(1-1.0),IF(H421=0,1,O421*(1+0.00023125256064071564)))</f>
        <v/>
      </c>
      <c r="P422">
        <f>IF(G422=1,IF(H421=0,1,ABS(0.2-J421*B422/I422)+ABS(0.2-K421*C422/I422)+ABS(0.2-L421*D422/I422)+ABS(0.2-M421*E422/I422)+ABS(0.2-N421*F422/I422)),0)</f>
        <v/>
      </c>
      <c r="Q422">
        <f>P422*0.0015</f>
        <v/>
      </c>
      <c r="R422">
        <f>I422*(1-Q422)</f>
        <v/>
      </c>
      <c r="S422">
        <f>R422/R421-1</f>
        <v/>
      </c>
      <c r="T422">
        <f>MAX(T421,R422)</f>
        <v/>
      </c>
      <c r="U422">
        <f>R422/T422-1</f>
        <v/>
      </c>
      <c r="V422" t="n">
        <v>2.029906890372925</v>
      </c>
      <c r="W422" s="5">
        <f>R422-V422</f>
        <v/>
      </c>
    </row>
    <row r="423">
      <c r="A423" s="3" t="n">
        <v>39055</v>
      </c>
      <c r="B423">
        <f>Prices!B423</f>
        <v/>
      </c>
      <c r="C423">
        <f>Prices!C423</f>
        <v/>
      </c>
      <c r="D423">
        <f>Prices!D423</f>
        <v/>
      </c>
      <c r="E423">
        <f>Prices!E423</f>
        <v/>
      </c>
      <c r="F423">
        <f>Prices!F423</f>
        <v/>
      </c>
      <c r="G423">
        <f>IF(AND(421&gt;=16,TEXT(A423,"yyyy-mm")&lt;&gt;TEXT(A424,"yyyy-mm")),1,0)</f>
        <v/>
      </c>
      <c r="H423">
        <f>IF(OR(H422=1,G423=1),1,0)</f>
        <v/>
      </c>
      <c r="I423">
        <f>IF(H422=0,1,SUMPRODUCT(J422:N422,B423:F423)+O422*(1+0.00023125256064071564))</f>
        <v/>
      </c>
      <c r="J423">
        <f>IF(G423=1,0.2*R423/B423,J422)</f>
        <v/>
      </c>
      <c r="K423">
        <f>IF(G423=1,0.2*R423/C423,K422)</f>
        <v/>
      </c>
      <c r="L423">
        <f>IF(G423=1,0.2*R423/D423,L422)</f>
        <v/>
      </c>
      <c r="M423">
        <f>IF(G423=1,0.2*R423/E423,M422)</f>
        <v/>
      </c>
      <c r="N423">
        <f>IF(G423=1,0.2*R423/F423,N422)</f>
        <v/>
      </c>
      <c r="O423">
        <f>IF(G423=1,R423*(1-1.0),IF(H422=0,1,O422*(1+0.00023125256064071564)))</f>
        <v/>
      </c>
      <c r="P423">
        <f>IF(G423=1,IF(H422=0,1,ABS(0.2-J422*B423/I423)+ABS(0.2-K422*C423/I423)+ABS(0.2-L422*D423/I423)+ABS(0.2-M422*E423/I423)+ABS(0.2-N422*F423/I423)),0)</f>
        <v/>
      </c>
      <c r="Q423">
        <f>P423*0.0015</f>
        <v/>
      </c>
      <c r="R423">
        <f>I423*(1-Q423)</f>
        <v/>
      </c>
      <c r="S423">
        <f>R423/R422-1</f>
        <v/>
      </c>
      <c r="T423">
        <f>MAX(T422,R423)</f>
        <v/>
      </c>
      <c r="U423">
        <f>R423/T423-1</f>
        <v/>
      </c>
      <c r="V423" t="n">
        <v>2.046633739996027</v>
      </c>
      <c r="W423" s="5">
        <f>R423-V423</f>
        <v/>
      </c>
    </row>
    <row r="424">
      <c r="A424" s="3" t="n">
        <v>39056</v>
      </c>
      <c r="B424">
        <f>Prices!B424</f>
        <v/>
      </c>
      <c r="C424">
        <f>Prices!C424</f>
        <v/>
      </c>
      <c r="D424">
        <f>Prices!D424</f>
        <v/>
      </c>
      <c r="E424">
        <f>Prices!E424</f>
        <v/>
      </c>
      <c r="F424">
        <f>Prices!F424</f>
        <v/>
      </c>
      <c r="G424">
        <f>IF(AND(422&gt;=16,TEXT(A424,"yyyy-mm")&lt;&gt;TEXT(A425,"yyyy-mm")),1,0)</f>
        <v/>
      </c>
      <c r="H424">
        <f>IF(OR(H423=1,G424=1),1,0)</f>
        <v/>
      </c>
      <c r="I424">
        <f>IF(H423=0,1,SUMPRODUCT(J423:N423,B424:F424)+O423*(1+0.00023125256064071564))</f>
        <v/>
      </c>
      <c r="J424">
        <f>IF(G424=1,0.2*R424/B424,J423)</f>
        <v/>
      </c>
      <c r="K424">
        <f>IF(G424=1,0.2*R424/C424,K423)</f>
        <v/>
      </c>
      <c r="L424">
        <f>IF(G424=1,0.2*R424/D424,L423)</f>
        <v/>
      </c>
      <c r="M424">
        <f>IF(G424=1,0.2*R424/E424,M423)</f>
        <v/>
      </c>
      <c r="N424">
        <f>IF(G424=1,0.2*R424/F424,N423)</f>
        <v/>
      </c>
      <c r="O424">
        <f>IF(G424=1,R424*(1-1.0),IF(H423=0,1,O423*(1+0.00023125256064071564)))</f>
        <v/>
      </c>
      <c r="P424">
        <f>IF(G424=1,IF(H423=0,1,ABS(0.2-J423*B424/I424)+ABS(0.2-K423*C424/I424)+ABS(0.2-L423*D424/I424)+ABS(0.2-M423*E424/I424)+ABS(0.2-N423*F424/I424)),0)</f>
        <v/>
      </c>
      <c r="Q424">
        <f>P424*0.0015</f>
        <v/>
      </c>
      <c r="R424">
        <f>I424*(1-Q424)</f>
        <v/>
      </c>
      <c r="S424">
        <f>R424/R423-1</f>
        <v/>
      </c>
      <c r="T424">
        <f>MAX(T423,R424)</f>
        <v/>
      </c>
      <c r="U424">
        <f>R424/T424-1</f>
        <v/>
      </c>
      <c r="V424" t="n">
        <v>2.045442374624789</v>
      </c>
      <c r="W424" s="5">
        <f>R424-V424</f>
        <v/>
      </c>
    </row>
    <row r="425">
      <c r="A425" s="3" t="n">
        <v>39057</v>
      </c>
      <c r="B425">
        <f>Prices!B425</f>
        <v/>
      </c>
      <c r="C425">
        <f>Prices!C425</f>
        <v/>
      </c>
      <c r="D425">
        <f>Prices!D425</f>
        <v/>
      </c>
      <c r="E425">
        <f>Prices!E425</f>
        <v/>
      </c>
      <c r="F425">
        <f>Prices!F425</f>
        <v/>
      </c>
      <c r="G425">
        <f>IF(AND(423&gt;=16,TEXT(A425,"yyyy-mm")&lt;&gt;TEXT(A426,"yyyy-mm")),1,0)</f>
        <v/>
      </c>
      <c r="H425">
        <f>IF(OR(H424=1,G425=1),1,0)</f>
        <v/>
      </c>
      <c r="I425">
        <f>IF(H424=0,1,SUMPRODUCT(J424:N424,B425:F425)+O424*(1+0.00023125256064071564))</f>
        <v/>
      </c>
      <c r="J425">
        <f>IF(G425=1,0.2*R425/B425,J424)</f>
        <v/>
      </c>
      <c r="K425">
        <f>IF(G425=1,0.2*R425/C425,K424)</f>
        <v/>
      </c>
      <c r="L425">
        <f>IF(G425=1,0.2*R425/D425,L424)</f>
        <v/>
      </c>
      <c r="M425">
        <f>IF(G425=1,0.2*R425/E425,M424)</f>
        <v/>
      </c>
      <c r="N425">
        <f>IF(G425=1,0.2*R425/F425,N424)</f>
        <v/>
      </c>
      <c r="O425">
        <f>IF(G425=1,R425*(1-1.0),IF(H424=0,1,O424*(1+0.00023125256064071564)))</f>
        <v/>
      </c>
      <c r="P425">
        <f>IF(G425=1,IF(H424=0,1,ABS(0.2-J424*B425/I425)+ABS(0.2-K424*C425/I425)+ABS(0.2-L424*D425/I425)+ABS(0.2-M424*E425/I425)+ABS(0.2-N424*F425/I425)),0)</f>
        <v/>
      </c>
      <c r="Q425">
        <f>P425*0.0015</f>
        <v/>
      </c>
      <c r="R425">
        <f>I425*(1-Q425)</f>
        <v/>
      </c>
      <c r="S425">
        <f>R425/R424-1</f>
        <v/>
      </c>
      <c r="T425">
        <f>MAX(T424,R425)</f>
        <v/>
      </c>
      <c r="U425">
        <f>R425/T425-1</f>
        <v/>
      </c>
      <c r="V425" t="n">
        <v>2.031854297603258</v>
      </c>
      <c r="W425" s="5">
        <f>R425-V425</f>
        <v/>
      </c>
    </row>
    <row r="426">
      <c r="A426" s="3" t="n">
        <v>39058</v>
      </c>
      <c r="B426">
        <f>Prices!B426</f>
        <v/>
      </c>
      <c r="C426">
        <f>Prices!C426</f>
        <v/>
      </c>
      <c r="D426">
        <f>Prices!D426</f>
        <v/>
      </c>
      <c r="E426">
        <f>Prices!E426</f>
        <v/>
      </c>
      <c r="F426">
        <f>Prices!F426</f>
        <v/>
      </c>
      <c r="G426">
        <f>IF(AND(424&gt;=16,TEXT(A426,"yyyy-mm")&lt;&gt;TEXT(A427,"yyyy-mm")),1,0)</f>
        <v/>
      </c>
      <c r="H426">
        <f>IF(OR(H425=1,G426=1),1,0)</f>
        <v/>
      </c>
      <c r="I426">
        <f>IF(H425=0,1,SUMPRODUCT(J425:N425,B426:F426)+O425*(1+0.00023125256064071564))</f>
        <v/>
      </c>
      <c r="J426">
        <f>IF(G426=1,0.2*R426/B426,J425)</f>
        <v/>
      </c>
      <c r="K426">
        <f>IF(G426=1,0.2*R426/C426,K425)</f>
        <v/>
      </c>
      <c r="L426">
        <f>IF(G426=1,0.2*R426/D426,L425)</f>
        <v/>
      </c>
      <c r="M426">
        <f>IF(G426=1,0.2*R426/E426,M425)</f>
        <v/>
      </c>
      <c r="N426">
        <f>IF(G426=1,0.2*R426/F426,N425)</f>
        <v/>
      </c>
      <c r="O426">
        <f>IF(G426=1,R426*(1-1.0),IF(H425=0,1,O425*(1+0.00023125256064071564)))</f>
        <v/>
      </c>
      <c r="P426">
        <f>IF(G426=1,IF(H425=0,1,ABS(0.2-J425*B426/I426)+ABS(0.2-K425*C426/I426)+ABS(0.2-L425*D426/I426)+ABS(0.2-M425*E426/I426)+ABS(0.2-N425*F426/I426)),0)</f>
        <v/>
      </c>
      <c r="Q426">
        <f>P426*0.0015</f>
        <v/>
      </c>
      <c r="R426">
        <f>I426*(1-Q426)</f>
        <v/>
      </c>
      <c r="S426">
        <f>R426/R425-1</f>
        <v/>
      </c>
      <c r="T426">
        <f>MAX(T425,R426)</f>
        <v/>
      </c>
      <c r="U426">
        <f>R426/T426-1</f>
        <v/>
      </c>
      <c r="V426" t="n">
        <v>2.037070166698447</v>
      </c>
      <c r="W426" s="5">
        <f>R426-V426</f>
        <v/>
      </c>
    </row>
    <row r="427">
      <c r="A427" s="3" t="n">
        <v>39059</v>
      </c>
      <c r="B427">
        <f>Prices!B427</f>
        <v/>
      </c>
      <c r="C427">
        <f>Prices!C427</f>
        <v/>
      </c>
      <c r="D427">
        <f>Prices!D427</f>
        <v/>
      </c>
      <c r="E427">
        <f>Prices!E427</f>
        <v/>
      </c>
      <c r="F427">
        <f>Prices!F427</f>
        <v/>
      </c>
      <c r="G427">
        <f>IF(AND(425&gt;=16,TEXT(A427,"yyyy-mm")&lt;&gt;TEXT(A428,"yyyy-mm")),1,0)</f>
        <v/>
      </c>
      <c r="H427">
        <f>IF(OR(H426=1,G427=1),1,0)</f>
        <v/>
      </c>
      <c r="I427">
        <f>IF(H426=0,1,SUMPRODUCT(J426:N426,B427:F427)+O426*(1+0.00023125256064071564))</f>
        <v/>
      </c>
      <c r="J427">
        <f>IF(G427=1,0.2*R427/B427,J426)</f>
        <v/>
      </c>
      <c r="K427">
        <f>IF(G427=1,0.2*R427/C427,K426)</f>
        <v/>
      </c>
      <c r="L427">
        <f>IF(G427=1,0.2*R427/D427,L426)</f>
        <v/>
      </c>
      <c r="M427">
        <f>IF(G427=1,0.2*R427/E427,M426)</f>
        <v/>
      </c>
      <c r="N427">
        <f>IF(G427=1,0.2*R427/F427,N426)</f>
        <v/>
      </c>
      <c r="O427">
        <f>IF(G427=1,R427*(1-1.0),IF(H426=0,1,O426*(1+0.00023125256064071564)))</f>
        <v/>
      </c>
      <c r="P427">
        <f>IF(G427=1,IF(H426=0,1,ABS(0.2-J426*B427/I427)+ABS(0.2-K426*C427/I427)+ABS(0.2-L426*D427/I427)+ABS(0.2-M426*E427/I427)+ABS(0.2-N426*F427/I427)),0)</f>
        <v/>
      </c>
      <c r="Q427">
        <f>P427*0.0015</f>
        <v/>
      </c>
      <c r="R427">
        <f>I427*(1-Q427)</f>
        <v/>
      </c>
      <c r="S427">
        <f>R427/R426-1</f>
        <v/>
      </c>
      <c r="T427">
        <f>MAX(T426,R427)</f>
        <v/>
      </c>
      <c r="U427">
        <f>R427/T427-1</f>
        <v/>
      </c>
      <c r="V427" t="n">
        <v>2.020509854878258</v>
      </c>
      <c r="W427" s="5">
        <f>R427-V427</f>
        <v/>
      </c>
    </row>
    <row r="428">
      <c r="A428" s="3" t="n">
        <v>39062</v>
      </c>
      <c r="B428">
        <f>Prices!B428</f>
        <v/>
      </c>
      <c r="C428">
        <f>Prices!C428</f>
        <v/>
      </c>
      <c r="D428">
        <f>Prices!D428</f>
        <v/>
      </c>
      <c r="E428">
        <f>Prices!E428</f>
        <v/>
      </c>
      <c r="F428">
        <f>Prices!F428</f>
        <v/>
      </c>
      <c r="G428">
        <f>IF(AND(426&gt;=16,TEXT(A428,"yyyy-mm")&lt;&gt;TEXT(A429,"yyyy-mm")),1,0)</f>
        <v/>
      </c>
      <c r="H428">
        <f>IF(OR(H427=1,G428=1),1,0)</f>
        <v/>
      </c>
      <c r="I428">
        <f>IF(H427=0,1,SUMPRODUCT(J427:N427,B428:F428)+O427*(1+0.00023125256064071564))</f>
        <v/>
      </c>
      <c r="J428">
        <f>IF(G428=1,0.2*R428/B428,J427)</f>
        <v/>
      </c>
      <c r="K428">
        <f>IF(G428=1,0.2*R428/C428,K427)</f>
        <v/>
      </c>
      <c r="L428">
        <f>IF(G428=1,0.2*R428/D428,L427)</f>
        <v/>
      </c>
      <c r="M428">
        <f>IF(G428=1,0.2*R428/E428,M427)</f>
        <v/>
      </c>
      <c r="N428">
        <f>IF(G428=1,0.2*R428/F428,N427)</f>
        <v/>
      </c>
      <c r="O428">
        <f>IF(G428=1,R428*(1-1.0),IF(H427=0,1,O427*(1+0.00023125256064071564)))</f>
        <v/>
      </c>
      <c r="P428">
        <f>IF(G428=1,IF(H427=0,1,ABS(0.2-J427*B428/I428)+ABS(0.2-K427*C428/I428)+ABS(0.2-L427*D428/I428)+ABS(0.2-M427*E428/I428)+ABS(0.2-N427*F428/I428)),0)</f>
        <v/>
      </c>
      <c r="Q428">
        <f>P428*0.0015</f>
        <v/>
      </c>
      <c r="R428">
        <f>I428*(1-Q428)</f>
        <v/>
      </c>
      <c r="S428">
        <f>R428/R427-1</f>
        <v/>
      </c>
      <c r="T428">
        <f>MAX(T427,R428)</f>
        <v/>
      </c>
      <c r="U428">
        <f>R428/T428-1</f>
        <v/>
      </c>
      <c r="V428" t="n">
        <v>1.963022590262571</v>
      </c>
      <c r="W428" s="5">
        <f>R428-V428</f>
        <v/>
      </c>
    </row>
    <row r="429">
      <c r="A429" s="3" t="n">
        <v>39063</v>
      </c>
      <c r="B429">
        <f>Prices!B429</f>
        <v/>
      </c>
      <c r="C429">
        <f>Prices!C429</f>
        <v/>
      </c>
      <c r="D429">
        <f>Prices!D429</f>
        <v/>
      </c>
      <c r="E429">
        <f>Prices!E429</f>
        <v/>
      </c>
      <c r="F429">
        <f>Prices!F429</f>
        <v/>
      </c>
      <c r="G429">
        <f>IF(AND(427&gt;=16,TEXT(A429,"yyyy-mm")&lt;&gt;TEXT(A430,"yyyy-mm")),1,0)</f>
        <v/>
      </c>
      <c r="H429">
        <f>IF(OR(H428=1,G429=1),1,0)</f>
        <v/>
      </c>
      <c r="I429">
        <f>IF(H428=0,1,SUMPRODUCT(J428:N428,B429:F429)+O428*(1+0.00023125256064071564))</f>
        <v/>
      </c>
      <c r="J429">
        <f>IF(G429=1,0.2*R429/B429,J428)</f>
        <v/>
      </c>
      <c r="K429">
        <f>IF(G429=1,0.2*R429/C429,K428)</f>
        <v/>
      </c>
      <c r="L429">
        <f>IF(G429=1,0.2*R429/D429,L428)</f>
        <v/>
      </c>
      <c r="M429">
        <f>IF(G429=1,0.2*R429/E429,M428)</f>
        <v/>
      </c>
      <c r="N429">
        <f>IF(G429=1,0.2*R429/F429,N428)</f>
        <v/>
      </c>
      <c r="O429">
        <f>IF(G429=1,R429*(1-1.0),IF(H428=0,1,O428*(1+0.00023125256064071564)))</f>
        <v/>
      </c>
      <c r="P429">
        <f>IF(G429=1,IF(H428=0,1,ABS(0.2-J428*B429/I429)+ABS(0.2-K428*C429/I429)+ABS(0.2-L428*D429/I429)+ABS(0.2-M428*E429/I429)+ABS(0.2-N428*F429/I429)),0)</f>
        <v/>
      </c>
      <c r="Q429">
        <f>P429*0.0015</f>
        <v/>
      </c>
      <c r="R429">
        <f>I429*(1-Q429)</f>
        <v/>
      </c>
      <c r="S429">
        <f>R429/R428-1</f>
        <v/>
      </c>
      <c r="T429">
        <f>MAX(T428,R429)</f>
        <v/>
      </c>
      <c r="U429">
        <f>R429/T429-1</f>
        <v/>
      </c>
      <c r="V429" t="n">
        <v>1.884303121873703</v>
      </c>
      <c r="W429" s="5">
        <f>R429-V429</f>
        <v/>
      </c>
    </row>
    <row r="430">
      <c r="A430" s="3" t="n">
        <v>39064</v>
      </c>
      <c r="B430">
        <f>Prices!B430</f>
        <v/>
      </c>
      <c r="C430">
        <f>Prices!C430</f>
        <v/>
      </c>
      <c r="D430">
        <f>Prices!D430</f>
        <v/>
      </c>
      <c r="E430">
        <f>Prices!E430</f>
        <v/>
      </c>
      <c r="F430">
        <f>Prices!F430</f>
        <v/>
      </c>
      <c r="G430">
        <f>IF(AND(428&gt;=16,TEXT(A430,"yyyy-mm")&lt;&gt;TEXT(A431,"yyyy-mm")),1,0)</f>
        <v/>
      </c>
      <c r="H430">
        <f>IF(OR(H429=1,G430=1),1,0)</f>
        <v/>
      </c>
      <c r="I430">
        <f>IF(H429=0,1,SUMPRODUCT(J429:N429,B430:F430)+O429*(1+0.00023125256064071564))</f>
        <v/>
      </c>
      <c r="J430">
        <f>IF(G430=1,0.2*R430/B430,J429)</f>
        <v/>
      </c>
      <c r="K430">
        <f>IF(G430=1,0.2*R430/C430,K429)</f>
        <v/>
      </c>
      <c r="L430">
        <f>IF(G430=1,0.2*R430/D430,L429)</f>
        <v/>
      </c>
      <c r="M430">
        <f>IF(G430=1,0.2*R430/E430,M429)</f>
        <v/>
      </c>
      <c r="N430">
        <f>IF(G430=1,0.2*R430/F430,N429)</f>
        <v/>
      </c>
      <c r="O430">
        <f>IF(G430=1,R430*(1-1.0),IF(H429=0,1,O429*(1+0.00023125256064071564)))</f>
        <v/>
      </c>
      <c r="P430">
        <f>IF(G430=1,IF(H429=0,1,ABS(0.2-J429*B430/I430)+ABS(0.2-K429*C430/I430)+ABS(0.2-L429*D430/I430)+ABS(0.2-M429*E430/I430)+ABS(0.2-N429*F430/I430)),0)</f>
        <v/>
      </c>
      <c r="Q430">
        <f>P430*0.0015</f>
        <v/>
      </c>
      <c r="R430">
        <f>I430*(1-Q430)</f>
        <v/>
      </c>
      <c r="S430">
        <f>R430/R429-1</f>
        <v/>
      </c>
      <c r="T430">
        <f>MAX(T429,R430)</f>
        <v/>
      </c>
      <c r="U430">
        <f>R430/T430-1</f>
        <v/>
      </c>
      <c r="V430" t="n">
        <v>1.919675564420819</v>
      </c>
      <c r="W430" s="5">
        <f>R430-V430</f>
        <v/>
      </c>
    </row>
    <row r="431">
      <c r="A431" s="3" t="n">
        <v>39065</v>
      </c>
      <c r="B431">
        <f>Prices!B431</f>
        <v/>
      </c>
      <c r="C431">
        <f>Prices!C431</f>
        <v/>
      </c>
      <c r="D431">
        <f>Prices!D431</f>
        <v/>
      </c>
      <c r="E431">
        <f>Prices!E431</f>
        <v/>
      </c>
      <c r="F431">
        <f>Prices!F431</f>
        <v/>
      </c>
      <c r="G431">
        <f>IF(AND(429&gt;=16,TEXT(A431,"yyyy-mm")&lt;&gt;TEXT(A432,"yyyy-mm")),1,0)</f>
        <v/>
      </c>
      <c r="H431">
        <f>IF(OR(H430=1,G431=1),1,0)</f>
        <v/>
      </c>
      <c r="I431">
        <f>IF(H430=0,1,SUMPRODUCT(J430:N430,B431:F431)+O430*(1+0.00023125256064071564))</f>
        <v/>
      </c>
      <c r="J431">
        <f>IF(G431=1,0.2*R431/B431,J430)</f>
        <v/>
      </c>
      <c r="K431">
        <f>IF(G431=1,0.2*R431/C431,K430)</f>
        <v/>
      </c>
      <c r="L431">
        <f>IF(G431=1,0.2*R431/D431,L430)</f>
        <v/>
      </c>
      <c r="M431">
        <f>IF(G431=1,0.2*R431/E431,M430)</f>
        <v/>
      </c>
      <c r="N431">
        <f>IF(G431=1,0.2*R431/F431,N430)</f>
        <v/>
      </c>
      <c r="O431">
        <f>IF(G431=1,R431*(1-1.0),IF(H430=0,1,O430*(1+0.00023125256064071564)))</f>
        <v/>
      </c>
      <c r="P431">
        <f>IF(G431=1,IF(H430=0,1,ABS(0.2-J430*B431/I431)+ABS(0.2-K430*C431/I431)+ABS(0.2-L430*D431/I431)+ABS(0.2-M430*E431/I431)+ABS(0.2-N430*F431/I431)),0)</f>
        <v/>
      </c>
      <c r="Q431">
        <f>P431*0.0015</f>
        <v/>
      </c>
      <c r="R431">
        <f>I431*(1-Q431)</f>
        <v/>
      </c>
      <c r="S431">
        <f>R431/R430-1</f>
        <v/>
      </c>
      <c r="T431">
        <f>MAX(T430,R431)</f>
        <v/>
      </c>
      <c r="U431">
        <f>R431/T431-1</f>
        <v/>
      </c>
      <c r="V431" t="n">
        <v>1.967185916051104</v>
      </c>
      <c r="W431" s="5">
        <f>R431-V431</f>
        <v/>
      </c>
    </row>
    <row r="432">
      <c r="A432" s="3" t="n">
        <v>39066</v>
      </c>
      <c r="B432">
        <f>Prices!B432</f>
        <v/>
      </c>
      <c r="C432">
        <f>Prices!C432</f>
        <v/>
      </c>
      <c r="D432">
        <f>Prices!D432</f>
        <v/>
      </c>
      <c r="E432">
        <f>Prices!E432</f>
        <v/>
      </c>
      <c r="F432">
        <f>Prices!F432</f>
        <v/>
      </c>
      <c r="G432">
        <f>IF(AND(430&gt;=16,TEXT(A432,"yyyy-mm")&lt;&gt;TEXT(A433,"yyyy-mm")),1,0)</f>
        <v/>
      </c>
      <c r="H432">
        <f>IF(OR(H431=1,G432=1),1,0)</f>
        <v/>
      </c>
      <c r="I432">
        <f>IF(H431=0,1,SUMPRODUCT(J431:N431,B432:F432)+O431*(1+0.00023125256064071564))</f>
        <v/>
      </c>
      <c r="J432">
        <f>IF(G432=1,0.2*R432/B432,J431)</f>
        <v/>
      </c>
      <c r="K432">
        <f>IF(G432=1,0.2*R432/C432,K431)</f>
        <v/>
      </c>
      <c r="L432">
        <f>IF(G432=1,0.2*R432/D432,L431)</f>
        <v/>
      </c>
      <c r="M432">
        <f>IF(G432=1,0.2*R432/E432,M431)</f>
        <v/>
      </c>
      <c r="N432">
        <f>IF(G432=1,0.2*R432/F432,N431)</f>
        <v/>
      </c>
      <c r="O432">
        <f>IF(G432=1,R432*(1-1.0),IF(H431=0,1,O431*(1+0.00023125256064071564)))</f>
        <v/>
      </c>
      <c r="P432">
        <f>IF(G432=1,IF(H431=0,1,ABS(0.2-J431*B432/I432)+ABS(0.2-K431*C432/I432)+ABS(0.2-L431*D432/I432)+ABS(0.2-M431*E432/I432)+ABS(0.2-N431*F432/I432)),0)</f>
        <v/>
      </c>
      <c r="Q432">
        <f>P432*0.0015</f>
        <v/>
      </c>
      <c r="R432">
        <f>I432*(1-Q432)</f>
        <v/>
      </c>
      <c r="S432">
        <f>R432/R431-1</f>
        <v/>
      </c>
      <c r="T432">
        <f>MAX(T431,R432)</f>
        <v/>
      </c>
      <c r="U432">
        <f>R432/T432-1</f>
        <v/>
      </c>
      <c r="V432" t="n">
        <v>1.98781618702178</v>
      </c>
      <c r="W432" s="5">
        <f>R432-V432</f>
        <v/>
      </c>
    </row>
    <row r="433">
      <c r="A433" s="3" t="n">
        <v>39069</v>
      </c>
      <c r="B433">
        <f>Prices!B433</f>
        <v/>
      </c>
      <c r="C433">
        <f>Prices!C433</f>
        <v/>
      </c>
      <c r="D433">
        <f>Prices!D433</f>
        <v/>
      </c>
      <c r="E433">
        <f>Prices!E433</f>
        <v/>
      </c>
      <c r="F433">
        <f>Prices!F433</f>
        <v/>
      </c>
      <c r="G433">
        <f>IF(AND(431&gt;=16,TEXT(A433,"yyyy-mm")&lt;&gt;TEXT(A434,"yyyy-mm")),1,0)</f>
        <v/>
      </c>
      <c r="H433">
        <f>IF(OR(H432=1,G433=1),1,0)</f>
        <v/>
      </c>
      <c r="I433">
        <f>IF(H432=0,1,SUMPRODUCT(J432:N432,B433:F433)+O432*(1+0.00023125256064071564))</f>
        <v/>
      </c>
      <c r="J433">
        <f>IF(G433=1,0.2*R433/B433,J432)</f>
        <v/>
      </c>
      <c r="K433">
        <f>IF(G433=1,0.2*R433/C433,K432)</f>
        <v/>
      </c>
      <c r="L433">
        <f>IF(G433=1,0.2*R433/D433,L432)</f>
        <v/>
      </c>
      <c r="M433">
        <f>IF(G433=1,0.2*R433/E433,M432)</f>
        <v/>
      </c>
      <c r="N433">
        <f>IF(G433=1,0.2*R433/F433,N432)</f>
        <v/>
      </c>
      <c r="O433">
        <f>IF(G433=1,R433*(1-1.0),IF(H432=0,1,O432*(1+0.00023125256064071564)))</f>
        <v/>
      </c>
      <c r="P433">
        <f>IF(G433=1,IF(H432=0,1,ABS(0.2-J432*B433/I433)+ABS(0.2-K432*C433/I433)+ABS(0.2-L432*D433/I433)+ABS(0.2-M432*E433/I433)+ABS(0.2-N432*F433/I433)),0)</f>
        <v/>
      </c>
      <c r="Q433">
        <f>P433*0.0015</f>
        <v/>
      </c>
      <c r="R433">
        <f>I433*(1-Q433)</f>
        <v/>
      </c>
      <c r="S433">
        <f>R433/R432-1</f>
        <v/>
      </c>
      <c r="T433">
        <f>MAX(T432,R433)</f>
        <v/>
      </c>
      <c r="U433">
        <f>R433/T433-1</f>
        <v/>
      </c>
      <c r="V433" t="n">
        <v>1.989769064414354</v>
      </c>
      <c r="W433" s="5">
        <f>R433-V433</f>
        <v/>
      </c>
    </row>
    <row r="434">
      <c r="A434" s="3" t="n">
        <v>39070</v>
      </c>
      <c r="B434">
        <f>Prices!B434</f>
        <v/>
      </c>
      <c r="C434">
        <f>Prices!C434</f>
        <v/>
      </c>
      <c r="D434">
        <f>Prices!D434</f>
        <v/>
      </c>
      <c r="E434">
        <f>Prices!E434</f>
        <v/>
      </c>
      <c r="F434">
        <f>Prices!F434</f>
        <v/>
      </c>
      <c r="G434">
        <f>IF(AND(432&gt;=16,TEXT(A434,"yyyy-mm")&lt;&gt;TEXT(A435,"yyyy-mm")),1,0)</f>
        <v/>
      </c>
      <c r="H434">
        <f>IF(OR(H433=1,G434=1),1,0)</f>
        <v/>
      </c>
      <c r="I434">
        <f>IF(H433=0,1,SUMPRODUCT(J433:N433,B434:F434)+O433*(1+0.00023125256064071564))</f>
        <v/>
      </c>
      <c r="J434">
        <f>IF(G434=1,0.2*R434/B434,J433)</f>
        <v/>
      </c>
      <c r="K434">
        <f>IF(G434=1,0.2*R434/C434,K433)</f>
        <v/>
      </c>
      <c r="L434">
        <f>IF(G434=1,0.2*R434/D434,L433)</f>
        <v/>
      </c>
      <c r="M434">
        <f>IF(G434=1,0.2*R434/E434,M433)</f>
        <v/>
      </c>
      <c r="N434">
        <f>IF(G434=1,0.2*R434/F434,N433)</f>
        <v/>
      </c>
      <c r="O434">
        <f>IF(G434=1,R434*(1-1.0),IF(H433=0,1,O433*(1+0.00023125256064071564)))</f>
        <v/>
      </c>
      <c r="P434">
        <f>IF(G434=1,IF(H433=0,1,ABS(0.2-J433*B434/I434)+ABS(0.2-K433*C434/I434)+ABS(0.2-L433*D434/I434)+ABS(0.2-M433*E434/I434)+ABS(0.2-N433*F434/I434)),0)</f>
        <v/>
      </c>
      <c r="Q434">
        <f>P434*0.0015</f>
        <v/>
      </c>
      <c r="R434">
        <f>I434*(1-Q434)</f>
        <v/>
      </c>
      <c r="S434">
        <f>R434/R433-1</f>
        <v/>
      </c>
      <c r="T434">
        <f>MAX(T433,R434)</f>
        <v/>
      </c>
      <c r="U434">
        <f>R434/T434-1</f>
        <v/>
      </c>
      <c r="V434" t="n">
        <v>1.949241711286938</v>
      </c>
      <c r="W434" s="5">
        <f>R434-V434</f>
        <v/>
      </c>
    </row>
    <row r="435">
      <c r="A435" s="3" t="n">
        <v>39071</v>
      </c>
      <c r="B435">
        <f>Prices!B435</f>
        <v/>
      </c>
      <c r="C435">
        <f>Prices!C435</f>
        <v/>
      </c>
      <c r="D435">
        <f>Prices!D435</f>
        <v/>
      </c>
      <c r="E435">
        <f>Prices!E435</f>
        <v/>
      </c>
      <c r="F435">
        <f>Prices!F435</f>
        <v/>
      </c>
      <c r="G435">
        <f>IF(AND(433&gt;=16,TEXT(A435,"yyyy-mm")&lt;&gt;TEXT(A436,"yyyy-mm")),1,0)</f>
        <v/>
      </c>
      <c r="H435">
        <f>IF(OR(H434=1,G435=1),1,0)</f>
        <v/>
      </c>
      <c r="I435">
        <f>IF(H434=0,1,SUMPRODUCT(J434:N434,B435:F435)+O434*(1+0.00023125256064071564))</f>
        <v/>
      </c>
      <c r="J435">
        <f>IF(G435=1,0.2*R435/B435,J434)</f>
        <v/>
      </c>
      <c r="K435">
        <f>IF(G435=1,0.2*R435/C435,K434)</f>
        <v/>
      </c>
      <c r="L435">
        <f>IF(G435=1,0.2*R435/D435,L434)</f>
        <v/>
      </c>
      <c r="M435">
        <f>IF(G435=1,0.2*R435/E435,M434)</f>
        <v/>
      </c>
      <c r="N435">
        <f>IF(G435=1,0.2*R435/F435,N434)</f>
        <v/>
      </c>
      <c r="O435">
        <f>IF(G435=1,R435*(1-1.0),IF(H434=0,1,O434*(1+0.00023125256064071564)))</f>
        <v/>
      </c>
      <c r="P435">
        <f>IF(G435=1,IF(H434=0,1,ABS(0.2-J434*B435/I435)+ABS(0.2-K434*C435/I435)+ABS(0.2-L434*D435/I435)+ABS(0.2-M434*E435/I435)+ABS(0.2-N434*F435/I435)),0)</f>
        <v/>
      </c>
      <c r="Q435">
        <f>P435*0.0015</f>
        <v/>
      </c>
      <c r="R435">
        <f>I435*(1-Q435)</f>
        <v/>
      </c>
      <c r="S435">
        <f>R435/R434-1</f>
        <v/>
      </c>
      <c r="T435">
        <f>MAX(T434,R435)</f>
        <v/>
      </c>
      <c r="U435">
        <f>R435/T435-1</f>
        <v/>
      </c>
      <c r="V435" t="n">
        <v>1.938518611919656</v>
      </c>
      <c r="W435" s="5">
        <f>R435-V435</f>
        <v/>
      </c>
    </row>
    <row r="436">
      <c r="A436" s="3" t="n">
        <v>39072</v>
      </c>
      <c r="B436">
        <f>Prices!B436</f>
        <v/>
      </c>
      <c r="C436">
        <f>Prices!C436</f>
        <v/>
      </c>
      <c r="D436">
        <f>Prices!D436</f>
        <v/>
      </c>
      <c r="E436">
        <f>Prices!E436</f>
        <v/>
      </c>
      <c r="F436">
        <f>Prices!F436</f>
        <v/>
      </c>
      <c r="G436">
        <f>IF(AND(434&gt;=16,TEXT(A436,"yyyy-mm")&lt;&gt;TEXT(A437,"yyyy-mm")),1,0)</f>
        <v/>
      </c>
      <c r="H436">
        <f>IF(OR(H435=1,G436=1),1,0)</f>
        <v/>
      </c>
      <c r="I436">
        <f>IF(H435=0,1,SUMPRODUCT(J435:N435,B436:F436)+O435*(1+0.00023125256064071564))</f>
        <v/>
      </c>
      <c r="J436">
        <f>IF(G436=1,0.2*R436/B436,J435)</f>
        <v/>
      </c>
      <c r="K436">
        <f>IF(G436=1,0.2*R436/C436,K435)</f>
        <v/>
      </c>
      <c r="L436">
        <f>IF(G436=1,0.2*R436/D436,L435)</f>
        <v/>
      </c>
      <c r="M436">
        <f>IF(G436=1,0.2*R436/E436,M435)</f>
        <v/>
      </c>
      <c r="N436">
        <f>IF(G436=1,0.2*R436/F436,N435)</f>
        <v/>
      </c>
      <c r="O436">
        <f>IF(G436=1,R436*(1-1.0),IF(H435=0,1,O435*(1+0.00023125256064071564)))</f>
        <v/>
      </c>
      <c r="P436">
        <f>IF(G436=1,IF(H435=0,1,ABS(0.2-J435*B436/I436)+ABS(0.2-K435*C436/I436)+ABS(0.2-L435*D436/I436)+ABS(0.2-M435*E436/I436)+ABS(0.2-N435*F436/I436)),0)</f>
        <v/>
      </c>
      <c r="Q436">
        <f>P436*0.0015</f>
        <v/>
      </c>
      <c r="R436">
        <f>I436*(1-Q436)</f>
        <v/>
      </c>
      <c r="S436">
        <f>R436/R435-1</f>
        <v/>
      </c>
      <c r="T436">
        <f>MAX(T435,R436)</f>
        <v/>
      </c>
      <c r="U436">
        <f>R436/T436-1</f>
        <v/>
      </c>
      <c r="V436" t="n">
        <v>1.945287391016129</v>
      </c>
      <c r="W436" s="5">
        <f>R436-V436</f>
        <v/>
      </c>
    </row>
    <row r="437">
      <c r="A437" s="3" t="n">
        <v>39073</v>
      </c>
      <c r="B437">
        <f>Prices!B437</f>
        <v/>
      </c>
      <c r="C437">
        <f>Prices!C437</f>
        <v/>
      </c>
      <c r="D437">
        <f>Prices!D437</f>
        <v/>
      </c>
      <c r="E437">
        <f>Prices!E437</f>
        <v/>
      </c>
      <c r="F437">
        <f>Prices!F437</f>
        <v/>
      </c>
      <c r="G437">
        <f>IF(AND(435&gt;=16,TEXT(A437,"yyyy-mm")&lt;&gt;TEXT(A438,"yyyy-mm")),1,0)</f>
        <v/>
      </c>
      <c r="H437">
        <f>IF(OR(H436=1,G437=1),1,0)</f>
        <v/>
      </c>
      <c r="I437">
        <f>IF(H436=0,1,SUMPRODUCT(J436:N436,B437:F437)+O436*(1+0.00023125256064071564))</f>
        <v/>
      </c>
      <c r="J437">
        <f>IF(G437=1,0.2*R437/B437,J436)</f>
        <v/>
      </c>
      <c r="K437">
        <f>IF(G437=1,0.2*R437/C437,K436)</f>
        <v/>
      </c>
      <c r="L437">
        <f>IF(G437=1,0.2*R437/D437,L436)</f>
        <v/>
      </c>
      <c r="M437">
        <f>IF(G437=1,0.2*R437/E437,M436)</f>
        <v/>
      </c>
      <c r="N437">
        <f>IF(G437=1,0.2*R437/F437,N436)</f>
        <v/>
      </c>
      <c r="O437">
        <f>IF(G437=1,R437*(1-1.0),IF(H436=0,1,O436*(1+0.00023125256064071564)))</f>
        <v/>
      </c>
      <c r="P437">
        <f>IF(G437=1,IF(H436=0,1,ABS(0.2-J436*B437/I437)+ABS(0.2-K436*C437/I437)+ABS(0.2-L436*D437/I437)+ABS(0.2-M436*E437/I437)+ABS(0.2-N436*F437/I437)),0)</f>
        <v/>
      </c>
      <c r="Q437">
        <f>P437*0.0015</f>
        <v/>
      </c>
      <c r="R437">
        <f>I437*(1-Q437)</f>
        <v/>
      </c>
      <c r="S437">
        <f>R437/R436-1</f>
        <v/>
      </c>
      <c r="T437">
        <f>MAX(T436,R437)</f>
        <v/>
      </c>
      <c r="U437">
        <f>R437/T437-1</f>
        <v/>
      </c>
      <c r="V437" t="n">
        <v>1.969939067118207</v>
      </c>
      <c r="W437" s="5">
        <f>R437-V437</f>
        <v/>
      </c>
    </row>
    <row r="438">
      <c r="A438" s="3" t="n">
        <v>39077</v>
      </c>
      <c r="B438">
        <f>Prices!B438</f>
        <v/>
      </c>
      <c r="C438">
        <f>Prices!C438</f>
        <v/>
      </c>
      <c r="D438">
        <f>Prices!D438</f>
        <v/>
      </c>
      <c r="E438">
        <f>Prices!E438</f>
        <v/>
      </c>
      <c r="F438">
        <f>Prices!F438</f>
        <v/>
      </c>
      <c r="G438">
        <f>IF(AND(436&gt;=16,TEXT(A438,"yyyy-mm")&lt;&gt;TEXT(A439,"yyyy-mm")),1,0)</f>
        <v/>
      </c>
      <c r="H438">
        <f>IF(OR(H437=1,G438=1),1,0)</f>
        <v/>
      </c>
      <c r="I438">
        <f>IF(H437=0,1,SUMPRODUCT(J437:N437,B438:F438)+O437*(1+0.00023125256064071564))</f>
        <v/>
      </c>
      <c r="J438">
        <f>IF(G438=1,0.2*R438/B438,J437)</f>
        <v/>
      </c>
      <c r="K438">
        <f>IF(G438=1,0.2*R438/C438,K437)</f>
        <v/>
      </c>
      <c r="L438">
        <f>IF(G438=1,0.2*R438/D438,L437)</f>
        <v/>
      </c>
      <c r="M438">
        <f>IF(G438=1,0.2*R438/E438,M437)</f>
        <v/>
      </c>
      <c r="N438">
        <f>IF(G438=1,0.2*R438/F438,N437)</f>
        <v/>
      </c>
      <c r="O438">
        <f>IF(G438=1,R438*(1-1.0),IF(H437=0,1,O437*(1+0.00023125256064071564)))</f>
        <v/>
      </c>
      <c r="P438">
        <f>IF(G438=1,IF(H437=0,1,ABS(0.2-J437*B438/I438)+ABS(0.2-K437*C438/I438)+ABS(0.2-L437*D438/I438)+ABS(0.2-M437*E438/I438)+ABS(0.2-N437*F438/I438)),0)</f>
        <v/>
      </c>
      <c r="Q438">
        <f>P438*0.0015</f>
        <v/>
      </c>
      <c r="R438">
        <f>I438*(1-Q438)</f>
        <v/>
      </c>
      <c r="S438">
        <f>R438/R437-1</f>
        <v/>
      </c>
      <c r="T438">
        <f>MAX(T437,R438)</f>
        <v/>
      </c>
      <c r="U438">
        <f>R438/T438-1</f>
        <v/>
      </c>
      <c r="V438" t="n">
        <v>1.998412277230213</v>
      </c>
      <c r="W438" s="5">
        <f>R438-V438</f>
        <v/>
      </c>
    </row>
    <row r="439">
      <c r="A439" s="3" t="n">
        <v>39078</v>
      </c>
      <c r="B439">
        <f>Prices!B439</f>
        <v/>
      </c>
      <c r="C439">
        <f>Prices!C439</f>
        <v/>
      </c>
      <c r="D439">
        <f>Prices!D439</f>
        <v/>
      </c>
      <c r="E439">
        <f>Prices!E439</f>
        <v/>
      </c>
      <c r="F439">
        <f>Prices!F439</f>
        <v/>
      </c>
      <c r="G439">
        <f>IF(AND(437&gt;=16,TEXT(A439,"yyyy-mm")&lt;&gt;TEXT(A440,"yyyy-mm")),1,0)</f>
        <v/>
      </c>
      <c r="H439">
        <f>IF(OR(H438=1,G439=1),1,0)</f>
        <v/>
      </c>
      <c r="I439">
        <f>IF(H438=0,1,SUMPRODUCT(J438:N438,B439:F439)+O438*(1+0.00023125256064071564))</f>
        <v/>
      </c>
      <c r="J439">
        <f>IF(G439=1,0.2*R439/B439,J438)</f>
        <v/>
      </c>
      <c r="K439">
        <f>IF(G439=1,0.2*R439/C439,K438)</f>
        <v/>
      </c>
      <c r="L439">
        <f>IF(G439=1,0.2*R439/D439,L438)</f>
        <v/>
      </c>
      <c r="M439">
        <f>IF(G439=1,0.2*R439/E439,M438)</f>
        <v/>
      </c>
      <c r="N439">
        <f>IF(G439=1,0.2*R439/F439,N438)</f>
        <v/>
      </c>
      <c r="O439">
        <f>IF(G439=1,R439*(1-1.0),IF(H438=0,1,O438*(1+0.00023125256064071564)))</f>
        <v/>
      </c>
      <c r="P439">
        <f>IF(G439=1,IF(H438=0,1,ABS(0.2-J438*B439/I439)+ABS(0.2-K438*C439/I439)+ABS(0.2-L438*D439/I439)+ABS(0.2-M438*E439/I439)+ABS(0.2-N438*F439/I439)),0)</f>
        <v/>
      </c>
      <c r="Q439">
        <f>P439*0.0015</f>
        <v/>
      </c>
      <c r="R439">
        <f>I439*(1-Q439)</f>
        <v/>
      </c>
      <c r="S439">
        <f>R439/R438-1</f>
        <v/>
      </c>
      <c r="T439">
        <f>MAX(T438,R439)</f>
        <v/>
      </c>
      <c r="U439">
        <f>R439/T439-1</f>
        <v/>
      </c>
      <c r="V439" t="n">
        <v>2.01814654259139</v>
      </c>
      <c r="W439" s="5">
        <f>R439-V439</f>
        <v/>
      </c>
    </row>
    <row r="440">
      <c r="A440" s="3" t="n">
        <v>39079</v>
      </c>
      <c r="B440">
        <f>Prices!B440</f>
        <v/>
      </c>
      <c r="C440">
        <f>Prices!C440</f>
        <v/>
      </c>
      <c r="D440">
        <f>Prices!D440</f>
        <v/>
      </c>
      <c r="E440">
        <f>Prices!E440</f>
        <v/>
      </c>
      <c r="F440">
        <f>Prices!F440</f>
        <v/>
      </c>
      <c r="G440">
        <f>IF(AND(438&gt;=16,TEXT(A440,"yyyy-mm")&lt;&gt;TEXT(A441,"yyyy-mm")),1,0)</f>
        <v/>
      </c>
      <c r="H440">
        <f>IF(OR(H439=1,G440=1),1,0)</f>
        <v/>
      </c>
      <c r="I440">
        <f>IF(H439=0,1,SUMPRODUCT(J439:N439,B440:F440)+O439*(1+0.00023125256064071564))</f>
        <v/>
      </c>
      <c r="J440">
        <f>IF(G440=1,0.2*R440/B440,J439)</f>
        <v/>
      </c>
      <c r="K440">
        <f>IF(G440=1,0.2*R440/C440,K439)</f>
        <v/>
      </c>
      <c r="L440">
        <f>IF(G440=1,0.2*R440/D440,L439)</f>
        <v/>
      </c>
      <c r="M440">
        <f>IF(G440=1,0.2*R440/E440,M439)</f>
        <v/>
      </c>
      <c r="N440">
        <f>IF(G440=1,0.2*R440/F440,N439)</f>
        <v/>
      </c>
      <c r="O440">
        <f>IF(G440=1,R440*(1-1.0),IF(H439=0,1,O439*(1+0.00023125256064071564)))</f>
        <v/>
      </c>
      <c r="P440">
        <f>IF(G440=1,IF(H439=0,1,ABS(0.2-J439*B440/I440)+ABS(0.2-K439*C440/I440)+ABS(0.2-L439*D440/I440)+ABS(0.2-M439*E440/I440)+ABS(0.2-N439*F440/I440)),0)</f>
        <v/>
      </c>
      <c r="Q440">
        <f>P440*0.0015</f>
        <v/>
      </c>
      <c r="R440">
        <f>I440*(1-Q440)</f>
        <v/>
      </c>
      <c r="S440">
        <f>R440/R439-1</f>
        <v/>
      </c>
      <c r="T440">
        <f>MAX(T439,R440)</f>
        <v/>
      </c>
      <c r="U440">
        <f>R440/T440-1</f>
        <v/>
      </c>
      <c r="V440" t="n">
        <v>2.015376571918978</v>
      </c>
      <c r="W440" s="5">
        <f>R440-V440</f>
        <v/>
      </c>
    </row>
    <row r="441">
      <c r="A441" s="3" t="n">
        <v>39080</v>
      </c>
      <c r="B441">
        <f>Prices!B441</f>
        <v/>
      </c>
      <c r="C441">
        <f>Prices!C441</f>
        <v/>
      </c>
      <c r="D441">
        <f>Prices!D441</f>
        <v/>
      </c>
      <c r="E441">
        <f>Prices!E441</f>
        <v/>
      </c>
      <c r="F441">
        <f>Prices!F441</f>
        <v/>
      </c>
      <c r="G441">
        <f>IF(AND(439&gt;=16,TEXT(A441,"yyyy-mm")&lt;&gt;TEXT(A442,"yyyy-mm")),1,0)</f>
        <v/>
      </c>
      <c r="H441">
        <f>IF(OR(H440=1,G441=1),1,0)</f>
        <v/>
      </c>
      <c r="I441">
        <f>IF(H440=0,1,SUMPRODUCT(J440:N440,B441:F441)+O440*(1+0.00023125256064071564))</f>
        <v/>
      </c>
      <c r="J441">
        <f>IF(G441=1,0.2*R441/B441,J440)</f>
        <v/>
      </c>
      <c r="K441">
        <f>IF(G441=1,0.2*R441/C441,K440)</f>
        <v/>
      </c>
      <c r="L441">
        <f>IF(G441=1,0.2*R441/D441,L440)</f>
        <v/>
      </c>
      <c r="M441">
        <f>IF(G441=1,0.2*R441/E441,M440)</f>
        <v/>
      </c>
      <c r="N441">
        <f>IF(G441=1,0.2*R441/F441,N440)</f>
        <v/>
      </c>
      <c r="O441">
        <f>IF(G441=1,R441*(1-1.0),IF(H440=0,1,O440*(1+0.00023125256064071564)))</f>
        <v/>
      </c>
      <c r="P441">
        <f>IF(G441=1,IF(H440=0,1,ABS(0.2-J440*B441/I441)+ABS(0.2-K440*C441/I441)+ABS(0.2-L440*D441/I441)+ABS(0.2-M440*E441/I441)+ABS(0.2-N440*F441/I441)),0)</f>
        <v/>
      </c>
      <c r="Q441">
        <f>P441*0.0015</f>
        <v/>
      </c>
      <c r="R441">
        <f>I441*(1-Q441)</f>
        <v/>
      </c>
      <c r="S441">
        <f>R441/R440-1</f>
        <v/>
      </c>
      <c r="T441">
        <f>MAX(T440,R441)</f>
        <v/>
      </c>
      <c r="U441">
        <f>R441/T441-1</f>
        <v/>
      </c>
      <c r="V441" t="n">
        <v>2.025454505139447</v>
      </c>
      <c r="W441" s="5">
        <f>R441-V441</f>
        <v/>
      </c>
    </row>
    <row r="442">
      <c r="A442" s="3" t="n">
        <v>39084</v>
      </c>
      <c r="B442">
        <f>Prices!B442</f>
        <v/>
      </c>
      <c r="C442">
        <f>Prices!C442</f>
        <v/>
      </c>
      <c r="D442">
        <f>Prices!D442</f>
        <v/>
      </c>
      <c r="E442">
        <f>Prices!E442</f>
        <v/>
      </c>
      <c r="F442">
        <f>Prices!F442</f>
        <v/>
      </c>
      <c r="G442">
        <f>IF(AND(440&gt;=16,TEXT(A442,"yyyy-mm")&lt;&gt;TEXT(A443,"yyyy-mm")),1,0)</f>
        <v/>
      </c>
      <c r="H442">
        <f>IF(OR(H441=1,G442=1),1,0)</f>
        <v/>
      </c>
      <c r="I442">
        <f>IF(H441=0,1,SUMPRODUCT(J441:N441,B442:F442)+O441*(1+0.00023125256064071564))</f>
        <v/>
      </c>
      <c r="J442">
        <f>IF(G442=1,0.2*R442/B442,J441)</f>
        <v/>
      </c>
      <c r="K442">
        <f>IF(G442=1,0.2*R442/C442,K441)</f>
        <v/>
      </c>
      <c r="L442">
        <f>IF(G442=1,0.2*R442/D442,L441)</f>
        <v/>
      </c>
      <c r="M442">
        <f>IF(G442=1,0.2*R442/E442,M441)</f>
        <v/>
      </c>
      <c r="N442">
        <f>IF(G442=1,0.2*R442/F442,N441)</f>
        <v/>
      </c>
      <c r="O442">
        <f>IF(G442=1,R442*(1-1.0),IF(H441=0,1,O441*(1+0.00023125256064071564)))</f>
        <v/>
      </c>
      <c r="P442">
        <f>IF(G442=1,IF(H441=0,1,ABS(0.2-J441*B442/I442)+ABS(0.2-K441*C442/I442)+ABS(0.2-L441*D442/I442)+ABS(0.2-M441*E442/I442)+ABS(0.2-N441*F442/I442)),0)</f>
        <v/>
      </c>
      <c r="Q442">
        <f>P442*0.0015</f>
        <v/>
      </c>
      <c r="R442">
        <f>I442*(1-Q442)</f>
        <v/>
      </c>
      <c r="S442">
        <f>R442/R441-1</f>
        <v/>
      </c>
      <c r="T442">
        <f>MAX(T441,R442)</f>
        <v/>
      </c>
      <c r="U442">
        <f>R442/T442-1</f>
        <v/>
      </c>
      <c r="V442" t="n">
        <v>2.051686367553256</v>
      </c>
      <c r="W442" s="5">
        <f>R442-V442</f>
        <v/>
      </c>
    </row>
    <row r="443">
      <c r="A443" s="3" t="n">
        <v>39085</v>
      </c>
      <c r="B443">
        <f>Prices!B443</f>
        <v/>
      </c>
      <c r="C443">
        <f>Prices!C443</f>
        <v/>
      </c>
      <c r="D443">
        <f>Prices!D443</f>
        <v/>
      </c>
      <c r="E443">
        <f>Prices!E443</f>
        <v/>
      </c>
      <c r="F443">
        <f>Prices!F443</f>
        <v/>
      </c>
      <c r="G443">
        <f>IF(AND(441&gt;=16,TEXT(A443,"yyyy-mm")&lt;&gt;TEXT(A444,"yyyy-mm")),1,0)</f>
        <v/>
      </c>
      <c r="H443">
        <f>IF(OR(H442=1,G443=1),1,0)</f>
        <v/>
      </c>
      <c r="I443">
        <f>IF(H442=0,1,SUMPRODUCT(J442:N442,B443:F443)+O442*(1+0.00023125256064071564))</f>
        <v/>
      </c>
      <c r="J443">
        <f>IF(G443=1,0.2*R443/B443,J442)</f>
        <v/>
      </c>
      <c r="K443">
        <f>IF(G443=1,0.2*R443/C443,K442)</f>
        <v/>
      </c>
      <c r="L443">
        <f>IF(G443=1,0.2*R443/D443,L442)</f>
        <v/>
      </c>
      <c r="M443">
        <f>IF(G443=1,0.2*R443/E443,M442)</f>
        <v/>
      </c>
      <c r="N443">
        <f>IF(G443=1,0.2*R443/F443,N442)</f>
        <v/>
      </c>
      <c r="O443">
        <f>IF(G443=1,R443*(1-1.0),IF(H442=0,1,O442*(1+0.00023125256064071564)))</f>
        <v/>
      </c>
      <c r="P443">
        <f>IF(G443=1,IF(H442=0,1,ABS(0.2-J442*B443/I443)+ABS(0.2-K442*C443/I443)+ABS(0.2-L442*D443/I443)+ABS(0.2-M442*E443/I443)+ABS(0.2-N442*F443/I443)),0)</f>
        <v/>
      </c>
      <c r="Q443">
        <f>P443*0.0015</f>
        <v/>
      </c>
      <c r="R443">
        <f>I443*(1-Q443)</f>
        <v/>
      </c>
      <c r="S443">
        <f>R443/R442-1</f>
        <v/>
      </c>
      <c r="T443">
        <f>MAX(T442,R443)</f>
        <v/>
      </c>
      <c r="U443">
        <f>R443/T443-1</f>
        <v/>
      </c>
      <c r="V443" t="n">
        <v>2.067791099874491</v>
      </c>
      <c r="W443" s="5">
        <f>R443-V443</f>
        <v/>
      </c>
    </row>
    <row r="444">
      <c r="A444" s="3" t="n">
        <v>39086</v>
      </c>
      <c r="B444">
        <f>Prices!B444</f>
        <v/>
      </c>
      <c r="C444">
        <f>Prices!C444</f>
        <v/>
      </c>
      <c r="D444">
        <f>Prices!D444</f>
        <v/>
      </c>
      <c r="E444">
        <f>Prices!E444</f>
        <v/>
      </c>
      <c r="F444">
        <f>Prices!F444</f>
        <v/>
      </c>
      <c r="G444">
        <f>IF(AND(442&gt;=16,TEXT(A444,"yyyy-mm")&lt;&gt;TEXT(A445,"yyyy-mm")),1,0)</f>
        <v/>
      </c>
      <c r="H444">
        <f>IF(OR(H443=1,G444=1),1,0)</f>
        <v/>
      </c>
      <c r="I444">
        <f>IF(H443=0,1,SUMPRODUCT(J443:N443,B444:F444)+O443*(1+0.00023125256064071564))</f>
        <v/>
      </c>
      <c r="J444">
        <f>IF(G444=1,0.2*R444/B444,J443)</f>
        <v/>
      </c>
      <c r="K444">
        <f>IF(G444=1,0.2*R444/C444,K443)</f>
        <v/>
      </c>
      <c r="L444">
        <f>IF(G444=1,0.2*R444/D444,L443)</f>
        <v/>
      </c>
      <c r="M444">
        <f>IF(G444=1,0.2*R444/E444,M443)</f>
        <v/>
      </c>
      <c r="N444">
        <f>IF(G444=1,0.2*R444/F444,N443)</f>
        <v/>
      </c>
      <c r="O444">
        <f>IF(G444=1,R444*(1-1.0),IF(H443=0,1,O443*(1+0.00023125256064071564)))</f>
        <v/>
      </c>
      <c r="P444">
        <f>IF(G444=1,IF(H443=0,1,ABS(0.2-J443*B444/I444)+ABS(0.2-K443*C444/I444)+ABS(0.2-L443*D444/I444)+ABS(0.2-M443*E444/I444)+ABS(0.2-N443*F444/I444)),0)</f>
        <v/>
      </c>
      <c r="Q444">
        <f>P444*0.0015</f>
        <v/>
      </c>
      <c r="R444">
        <f>I444*(1-Q444)</f>
        <v/>
      </c>
      <c r="S444">
        <f>R444/R443-1</f>
        <v/>
      </c>
      <c r="T444">
        <f>MAX(T443,R444)</f>
        <v/>
      </c>
      <c r="U444">
        <f>R444/T444-1</f>
        <v/>
      </c>
      <c r="V444" t="n">
        <v>2.064548251165652</v>
      </c>
      <c r="W444" s="5">
        <f>R444-V444</f>
        <v/>
      </c>
    </row>
    <row r="445">
      <c r="A445" s="3" t="n">
        <v>39087</v>
      </c>
      <c r="B445">
        <f>Prices!B445</f>
        <v/>
      </c>
      <c r="C445">
        <f>Prices!C445</f>
        <v/>
      </c>
      <c r="D445">
        <f>Prices!D445</f>
        <v/>
      </c>
      <c r="E445">
        <f>Prices!E445</f>
        <v/>
      </c>
      <c r="F445">
        <f>Prices!F445</f>
        <v/>
      </c>
      <c r="G445">
        <f>IF(AND(443&gt;=16,TEXT(A445,"yyyy-mm")&lt;&gt;TEXT(A446,"yyyy-mm")),1,0)</f>
        <v/>
      </c>
      <c r="H445">
        <f>IF(OR(H444=1,G445=1),1,0)</f>
        <v/>
      </c>
      <c r="I445">
        <f>IF(H444=0,1,SUMPRODUCT(J444:N444,B445:F445)+O444*(1+0.00023125256064071564))</f>
        <v/>
      </c>
      <c r="J445">
        <f>IF(G445=1,0.2*R445/B445,J444)</f>
        <v/>
      </c>
      <c r="K445">
        <f>IF(G445=1,0.2*R445/C445,K444)</f>
        <v/>
      </c>
      <c r="L445">
        <f>IF(G445=1,0.2*R445/D445,L444)</f>
        <v/>
      </c>
      <c r="M445">
        <f>IF(G445=1,0.2*R445/E445,M444)</f>
        <v/>
      </c>
      <c r="N445">
        <f>IF(G445=1,0.2*R445/F445,N444)</f>
        <v/>
      </c>
      <c r="O445">
        <f>IF(G445=1,R445*(1-1.0),IF(H444=0,1,O444*(1+0.00023125256064071564)))</f>
        <v/>
      </c>
      <c r="P445">
        <f>IF(G445=1,IF(H444=0,1,ABS(0.2-J444*B445/I445)+ABS(0.2-K444*C445/I445)+ABS(0.2-L444*D445/I445)+ABS(0.2-M444*E445/I445)+ABS(0.2-N444*F445/I445)),0)</f>
        <v/>
      </c>
      <c r="Q445">
        <f>P445*0.0015</f>
        <v/>
      </c>
      <c r="R445">
        <f>I445*(1-Q445)</f>
        <v/>
      </c>
      <c r="S445">
        <f>R445/R444-1</f>
        <v/>
      </c>
      <c r="T445">
        <f>MAX(T444,R445)</f>
        <v/>
      </c>
      <c r="U445">
        <f>R445/T445-1</f>
        <v/>
      </c>
      <c r="V445" t="n">
        <v>2.061114265070637</v>
      </c>
      <c r="W445" s="5">
        <f>R445-V445</f>
        <v/>
      </c>
    </row>
    <row r="446">
      <c r="A446" s="3" t="n">
        <v>39090</v>
      </c>
      <c r="B446">
        <f>Prices!B446</f>
        <v/>
      </c>
      <c r="C446">
        <f>Prices!C446</f>
        <v/>
      </c>
      <c r="D446">
        <f>Prices!D446</f>
        <v/>
      </c>
      <c r="E446">
        <f>Prices!E446</f>
        <v/>
      </c>
      <c r="F446">
        <f>Prices!F446</f>
        <v/>
      </c>
      <c r="G446">
        <f>IF(AND(444&gt;=16,TEXT(A446,"yyyy-mm")&lt;&gt;TEXT(A447,"yyyy-mm")),1,0)</f>
        <v/>
      </c>
      <c r="H446">
        <f>IF(OR(H445=1,G446=1),1,0)</f>
        <v/>
      </c>
      <c r="I446">
        <f>IF(H445=0,1,SUMPRODUCT(J445:N445,B446:F446)+O445*(1+0.00023125256064071564))</f>
        <v/>
      </c>
      <c r="J446">
        <f>IF(G446=1,0.2*R446/B446,J445)</f>
        <v/>
      </c>
      <c r="K446">
        <f>IF(G446=1,0.2*R446/C446,K445)</f>
        <v/>
      </c>
      <c r="L446">
        <f>IF(G446=1,0.2*R446/D446,L445)</f>
        <v/>
      </c>
      <c r="M446">
        <f>IF(G446=1,0.2*R446/E446,M445)</f>
        <v/>
      </c>
      <c r="N446">
        <f>IF(G446=1,0.2*R446/F446,N445)</f>
        <v/>
      </c>
      <c r="O446">
        <f>IF(G446=1,R446*(1-1.0),IF(H445=0,1,O445*(1+0.00023125256064071564)))</f>
        <v/>
      </c>
      <c r="P446">
        <f>IF(G446=1,IF(H445=0,1,ABS(0.2-J445*B446/I446)+ABS(0.2-K445*C446/I446)+ABS(0.2-L445*D446/I446)+ABS(0.2-M445*E446/I446)+ABS(0.2-N445*F446/I446)),0)</f>
        <v/>
      </c>
      <c r="Q446">
        <f>P446*0.0015</f>
        <v/>
      </c>
      <c r="R446">
        <f>I446*(1-Q446)</f>
        <v/>
      </c>
      <c r="S446">
        <f>R446/R445-1</f>
        <v/>
      </c>
      <c r="T446">
        <f>MAX(T445,R446)</f>
        <v/>
      </c>
      <c r="U446">
        <f>R446/T446-1</f>
        <v/>
      </c>
      <c r="V446" t="n">
        <v>2.041307383507379</v>
      </c>
      <c r="W446" s="5">
        <f>R446-V446</f>
        <v/>
      </c>
    </row>
    <row r="447">
      <c r="A447" s="3" t="n">
        <v>39091</v>
      </c>
      <c r="B447">
        <f>Prices!B447</f>
        <v/>
      </c>
      <c r="C447">
        <f>Prices!C447</f>
        <v/>
      </c>
      <c r="D447">
        <f>Prices!D447</f>
        <v/>
      </c>
      <c r="E447">
        <f>Prices!E447</f>
        <v/>
      </c>
      <c r="F447">
        <f>Prices!F447</f>
        <v/>
      </c>
      <c r="G447">
        <f>IF(AND(445&gt;=16,TEXT(A447,"yyyy-mm")&lt;&gt;TEXT(A448,"yyyy-mm")),1,0)</f>
        <v/>
      </c>
      <c r="H447">
        <f>IF(OR(H446=1,G447=1),1,0)</f>
        <v/>
      </c>
      <c r="I447">
        <f>IF(H446=0,1,SUMPRODUCT(J446:N446,B447:F447)+O446*(1+0.00023125256064071564))</f>
        <v/>
      </c>
      <c r="J447">
        <f>IF(G447=1,0.2*R447/B447,J446)</f>
        <v/>
      </c>
      <c r="K447">
        <f>IF(G447=1,0.2*R447/C447,K446)</f>
        <v/>
      </c>
      <c r="L447">
        <f>IF(G447=1,0.2*R447/D447,L446)</f>
        <v/>
      </c>
      <c r="M447">
        <f>IF(G447=1,0.2*R447/E447,M446)</f>
        <v/>
      </c>
      <c r="N447">
        <f>IF(G447=1,0.2*R447/F447,N446)</f>
        <v/>
      </c>
      <c r="O447">
        <f>IF(G447=1,R447*(1-1.0),IF(H446=0,1,O446*(1+0.00023125256064071564)))</f>
        <v/>
      </c>
      <c r="P447">
        <f>IF(G447=1,IF(H446=0,1,ABS(0.2-J446*B447/I447)+ABS(0.2-K446*C447/I447)+ABS(0.2-L446*D447/I447)+ABS(0.2-M446*E447/I447)+ABS(0.2-N446*F447/I447)),0)</f>
        <v/>
      </c>
      <c r="Q447">
        <f>P447*0.0015</f>
        <v/>
      </c>
      <c r="R447">
        <f>I447*(1-Q447)</f>
        <v/>
      </c>
      <c r="S447">
        <f>R447/R446-1</f>
        <v/>
      </c>
      <c r="T447">
        <f>MAX(T446,R447)</f>
        <v/>
      </c>
      <c r="U447">
        <f>R447/T447-1</f>
        <v/>
      </c>
      <c r="V447" t="n">
        <v>2.025121719922815</v>
      </c>
      <c r="W447" s="5">
        <f>R447-V447</f>
        <v/>
      </c>
    </row>
    <row r="448">
      <c r="A448" s="3" t="n">
        <v>39092</v>
      </c>
      <c r="B448">
        <f>Prices!B448</f>
        <v/>
      </c>
      <c r="C448">
        <f>Prices!C448</f>
        <v/>
      </c>
      <c r="D448">
        <f>Prices!D448</f>
        <v/>
      </c>
      <c r="E448">
        <f>Prices!E448</f>
        <v/>
      </c>
      <c r="F448">
        <f>Prices!F448</f>
        <v/>
      </c>
      <c r="G448">
        <f>IF(AND(446&gt;=16,TEXT(A448,"yyyy-mm")&lt;&gt;TEXT(A449,"yyyy-mm")),1,0)</f>
        <v/>
      </c>
      <c r="H448">
        <f>IF(OR(H447=1,G448=1),1,0)</f>
        <v/>
      </c>
      <c r="I448">
        <f>IF(H447=0,1,SUMPRODUCT(J447:N447,B448:F448)+O447*(1+0.00023125256064071564))</f>
        <v/>
      </c>
      <c r="J448">
        <f>IF(G448=1,0.2*R448/B448,J447)</f>
        <v/>
      </c>
      <c r="K448">
        <f>IF(G448=1,0.2*R448/C448,K447)</f>
        <v/>
      </c>
      <c r="L448">
        <f>IF(G448=1,0.2*R448/D448,L447)</f>
        <v/>
      </c>
      <c r="M448">
        <f>IF(G448=1,0.2*R448/E448,M447)</f>
        <v/>
      </c>
      <c r="N448">
        <f>IF(G448=1,0.2*R448/F448,N447)</f>
        <v/>
      </c>
      <c r="O448">
        <f>IF(G448=1,R448*(1-1.0),IF(H447=0,1,O447*(1+0.00023125256064071564)))</f>
        <v/>
      </c>
      <c r="P448">
        <f>IF(G448=1,IF(H447=0,1,ABS(0.2-J447*B448/I448)+ABS(0.2-K447*C448/I448)+ABS(0.2-L447*D448/I448)+ABS(0.2-M447*E448/I448)+ABS(0.2-N447*F448/I448)),0)</f>
        <v/>
      </c>
      <c r="Q448">
        <f>P448*0.0015</f>
        <v/>
      </c>
      <c r="R448">
        <f>I448*(1-Q448)</f>
        <v/>
      </c>
      <c r="S448">
        <f>R448/R447-1</f>
        <v/>
      </c>
      <c r="T448">
        <f>MAX(T447,R448)</f>
        <v/>
      </c>
      <c r="U448">
        <f>R448/T448-1</f>
        <v/>
      </c>
      <c r="V448" t="n">
        <v>1.998373373900109</v>
      </c>
      <c r="W448" s="5">
        <f>R448-V448</f>
        <v/>
      </c>
    </row>
    <row r="449">
      <c r="A449" s="3" t="n">
        <v>39093</v>
      </c>
      <c r="B449">
        <f>Prices!B449</f>
        <v/>
      </c>
      <c r="C449">
        <f>Prices!C449</f>
        <v/>
      </c>
      <c r="D449">
        <f>Prices!D449</f>
        <v/>
      </c>
      <c r="E449">
        <f>Prices!E449</f>
        <v/>
      </c>
      <c r="F449">
        <f>Prices!F449</f>
        <v/>
      </c>
      <c r="G449">
        <f>IF(AND(447&gt;=16,TEXT(A449,"yyyy-mm")&lt;&gt;TEXT(A450,"yyyy-mm")),1,0)</f>
        <v/>
      </c>
      <c r="H449">
        <f>IF(OR(H448=1,G449=1),1,0)</f>
        <v/>
      </c>
      <c r="I449">
        <f>IF(H448=0,1,SUMPRODUCT(J448:N448,B449:F449)+O448*(1+0.00023125256064071564))</f>
        <v/>
      </c>
      <c r="J449">
        <f>IF(G449=1,0.2*R449/B449,J448)</f>
        <v/>
      </c>
      <c r="K449">
        <f>IF(G449=1,0.2*R449/C449,K448)</f>
        <v/>
      </c>
      <c r="L449">
        <f>IF(G449=1,0.2*R449/D449,L448)</f>
        <v/>
      </c>
      <c r="M449">
        <f>IF(G449=1,0.2*R449/E449,M448)</f>
        <v/>
      </c>
      <c r="N449">
        <f>IF(G449=1,0.2*R449/F449,N448)</f>
        <v/>
      </c>
      <c r="O449">
        <f>IF(G449=1,R449*(1-1.0),IF(H448=0,1,O448*(1+0.00023125256064071564)))</f>
        <v/>
      </c>
      <c r="P449">
        <f>IF(G449=1,IF(H448=0,1,ABS(0.2-J448*B449/I449)+ABS(0.2-K448*C449/I449)+ABS(0.2-L448*D449/I449)+ABS(0.2-M448*E449/I449)+ABS(0.2-N448*F449/I449)),0)</f>
        <v/>
      </c>
      <c r="Q449">
        <f>P449*0.0015</f>
        <v/>
      </c>
      <c r="R449">
        <f>I449*(1-Q449)</f>
        <v/>
      </c>
      <c r="S449">
        <f>R449/R448-1</f>
        <v/>
      </c>
      <c r="T449">
        <f>MAX(T448,R449)</f>
        <v/>
      </c>
      <c r="U449">
        <f>R449/T449-1</f>
        <v/>
      </c>
      <c r="V449" t="n">
        <v>2.036753896619232</v>
      </c>
      <c r="W449" s="5">
        <f>R449-V449</f>
        <v/>
      </c>
    </row>
    <row r="450">
      <c r="A450" s="3" t="n">
        <v>39094</v>
      </c>
      <c r="B450">
        <f>Prices!B450</f>
        <v/>
      </c>
      <c r="C450">
        <f>Prices!C450</f>
        <v/>
      </c>
      <c r="D450">
        <f>Prices!D450</f>
        <v/>
      </c>
      <c r="E450">
        <f>Prices!E450</f>
        <v/>
      </c>
      <c r="F450">
        <f>Prices!F450</f>
        <v/>
      </c>
      <c r="G450">
        <f>IF(AND(448&gt;=16,TEXT(A450,"yyyy-mm")&lt;&gt;TEXT(A451,"yyyy-mm")),1,0)</f>
        <v/>
      </c>
      <c r="H450">
        <f>IF(OR(H449=1,G450=1),1,0)</f>
        <v/>
      </c>
      <c r="I450">
        <f>IF(H449=0,1,SUMPRODUCT(J449:N449,B450:F450)+O449*(1+0.00023125256064071564))</f>
        <v/>
      </c>
      <c r="J450">
        <f>IF(G450=1,0.2*R450/B450,J449)</f>
        <v/>
      </c>
      <c r="K450">
        <f>IF(G450=1,0.2*R450/C450,K449)</f>
        <v/>
      </c>
      <c r="L450">
        <f>IF(G450=1,0.2*R450/D450,L449)</f>
        <v/>
      </c>
      <c r="M450">
        <f>IF(G450=1,0.2*R450/E450,M449)</f>
        <v/>
      </c>
      <c r="N450">
        <f>IF(G450=1,0.2*R450/F450,N449)</f>
        <v/>
      </c>
      <c r="O450">
        <f>IF(G450=1,R450*(1-1.0),IF(H449=0,1,O449*(1+0.00023125256064071564)))</f>
        <v/>
      </c>
      <c r="P450">
        <f>IF(G450=1,IF(H449=0,1,ABS(0.2-J449*B450/I450)+ABS(0.2-K449*C450/I450)+ABS(0.2-L449*D450/I450)+ABS(0.2-M449*E450/I450)+ABS(0.2-N449*F450/I450)),0)</f>
        <v/>
      </c>
      <c r="Q450">
        <f>P450*0.0015</f>
        <v/>
      </c>
      <c r="R450">
        <f>I450*(1-Q450)</f>
        <v/>
      </c>
      <c r="S450">
        <f>R450/R449-1</f>
        <v/>
      </c>
      <c r="T450">
        <f>MAX(T449,R450)</f>
        <v/>
      </c>
      <c r="U450">
        <f>R450/T450-1</f>
        <v/>
      </c>
      <c r="V450" t="n">
        <v>2.079752843102684</v>
      </c>
      <c r="W450" s="5">
        <f>R450-V450</f>
        <v/>
      </c>
    </row>
    <row r="451">
      <c r="A451" s="3" t="n">
        <v>39097</v>
      </c>
      <c r="B451">
        <f>Prices!B451</f>
        <v/>
      </c>
      <c r="C451">
        <f>Prices!C451</f>
        <v/>
      </c>
      <c r="D451">
        <f>Prices!D451</f>
        <v/>
      </c>
      <c r="E451">
        <f>Prices!E451</f>
        <v/>
      </c>
      <c r="F451">
        <f>Prices!F451</f>
        <v/>
      </c>
      <c r="G451">
        <f>IF(AND(449&gt;=16,TEXT(A451,"yyyy-mm")&lt;&gt;TEXT(A452,"yyyy-mm")),1,0)</f>
        <v/>
      </c>
      <c r="H451">
        <f>IF(OR(H450=1,G451=1),1,0)</f>
        <v/>
      </c>
      <c r="I451">
        <f>IF(H450=0,1,SUMPRODUCT(J450:N450,B451:F451)+O450*(1+0.00023125256064071564))</f>
        <v/>
      </c>
      <c r="J451">
        <f>IF(G451=1,0.2*R451/B451,J450)</f>
        <v/>
      </c>
      <c r="K451">
        <f>IF(G451=1,0.2*R451/C451,K450)</f>
        <v/>
      </c>
      <c r="L451">
        <f>IF(G451=1,0.2*R451/D451,L450)</f>
        <v/>
      </c>
      <c r="M451">
        <f>IF(G451=1,0.2*R451/E451,M450)</f>
        <v/>
      </c>
      <c r="N451">
        <f>IF(G451=1,0.2*R451/F451,N450)</f>
        <v/>
      </c>
      <c r="O451">
        <f>IF(G451=1,R451*(1-1.0),IF(H450=0,1,O450*(1+0.00023125256064071564)))</f>
        <v/>
      </c>
      <c r="P451">
        <f>IF(G451=1,IF(H450=0,1,ABS(0.2-J450*B451/I451)+ABS(0.2-K450*C451/I451)+ABS(0.2-L450*D451/I451)+ABS(0.2-M450*E451/I451)+ABS(0.2-N450*F451/I451)),0)</f>
        <v/>
      </c>
      <c r="Q451">
        <f>P451*0.0015</f>
        <v/>
      </c>
      <c r="R451">
        <f>I451*(1-Q451)</f>
        <v/>
      </c>
      <c r="S451">
        <f>R451/R450-1</f>
        <v/>
      </c>
      <c r="T451">
        <f>MAX(T450,R451)</f>
        <v/>
      </c>
      <c r="U451">
        <f>R451/T451-1</f>
        <v/>
      </c>
      <c r="V451" t="n">
        <v>2.097872407351703</v>
      </c>
      <c r="W451" s="5">
        <f>R451-V451</f>
        <v/>
      </c>
    </row>
    <row r="452">
      <c r="A452" s="3" t="n">
        <v>39098</v>
      </c>
      <c r="B452">
        <f>Prices!B452</f>
        <v/>
      </c>
      <c r="C452">
        <f>Prices!C452</f>
        <v/>
      </c>
      <c r="D452">
        <f>Prices!D452</f>
        <v/>
      </c>
      <c r="E452">
        <f>Prices!E452</f>
        <v/>
      </c>
      <c r="F452">
        <f>Prices!F452</f>
        <v/>
      </c>
      <c r="G452">
        <f>IF(AND(450&gt;=16,TEXT(A452,"yyyy-mm")&lt;&gt;TEXT(A453,"yyyy-mm")),1,0)</f>
        <v/>
      </c>
      <c r="H452">
        <f>IF(OR(H451=1,G452=1),1,0)</f>
        <v/>
      </c>
      <c r="I452">
        <f>IF(H451=0,1,SUMPRODUCT(J451:N451,B452:F452)+O451*(1+0.00023125256064071564))</f>
        <v/>
      </c>
      <c r="J452">
        <f>IF(G452=1,0.2*R452/B452,J451)</f>
        <v/>
      </c>
      <c r="K452">
        <f>IF(G452=1,0.2*R452/C452,K451)</f>
        <v/>
      </c>
      <c r="L452">
        <f>IF(G452=1,0.2*R452/D452,L451)</f>
        <v/>
      </c>
      <c r="M452">
        <f>IF(G452=1,0.2*R452/E452,M451)</f>
        <v/>
      </c>
      <c r="N452">
        <f>IF(G452=1,0.2*R452/F452,N451)</f>
        <v/>
      </c>
      <c r="O452">
        <f>IF(G452=1,R452*(1-1.0),IF(H451=0,1,O451*(1+0.00023125256064071564)))</f>
        <v/>
      </c>
      <c r="P452">
        <f>IF(G452=1,IF(H451=0,1,ABS(0.2-J451*B452/I452)+ABS(0.2-K451*C452/I452)+ABS(0.2-L451*D452/I452)+ABS(0.2-M451*E452/I452)+ABS(0.2-N451*F452/I452)),0)</f>
        <v/>
      </c>
      <c r="Q452">
        <f>P452*0.0015</f>
        <v/>
      </c>
      <c r="R452">
        <f>I452*(1-Q452)</f>
        <v/>
      </c>
      <c r="S452">
        <f>R452/R451-1</f>
        <v/>
      </c>
      <c r="T452">
        <f>MAX(T451,R452)</f>
        <v/>
      </c>
      <c r="U452">
        <f>R452/T452-1</f>
        <v/>
      </c>
      <c r="V452" t="n">
        <v>2.100932765712091</v>
      </c>
      <c r="W452" s="5">
        <f>R452-V452</f>
        <v/>
      </c>
    </row>
    <row r="453">
      <c r="A453" s="3" t="n">
        <v>39099</v>
      </c>
      <c r="B453">
        <f>Prices!B453</f>
        <v/>
      </c>
      <c r="C453">
        <f>Prices!C453</f>
        <v/>
      </c>
      <c r="D453">
        <f>Prices!D453</f>
        <v/>
      </c>
      <c r="E453">
        <f>Prices!E453</f>
        <v/>
      </c>
      <c r="F453">
        <f>Prices!F453</f>
        <v/>
      </c>
      <c r="G453">
        <f>IF(AND(451&gt;=16,TEXT(A453,"yyyy-mm")&lt;&gt;TEXT(A454,"yyyy-mm")),1,0)</f>
        <v/>
      </c>
      <c r="H453">
        <f>IF(OR(H452=1,G453=1),1,0)</f>
        <v/>
      </c>
      <c r="I453">
        <f>IF(H452=0,1,SUMPRODUCT(J452:N452,B453:F453)+O452*(1+0.00023125256064071564))</f>
        <v/>
      </c>
      <c r="J453">
        <f>IF(G453=1,0.2*R453/B453,J452)</f>
        <v/>
      </c>
      <c r="K453">
        <f>IF(G453=1,0.2*R453/C453,K452)</f>
        <v/>
      </c>
      <c r="L453">
        <f>IF(G453=1,0.2*R453/D453,L452)</f>
        <v/>
      </c>
      <c r="M453">
        <f>IF(G453=1,0.2*R453/E453,M452)</f>
        <v/>
      </c>
      <c r="N453">
        <f>IF(G453=1,0.2*R453/F453,N452)</f>
        <v/>
      </c>
      <c r="O453">
        <f>IF(G453=1,R453*(1-1.0),IF(H452=0,1,O452*(1+0.00023125256064071564)))</f>
        <v/>
      </c>
      <c r="P453">
        <f>IF(G453=1,IF(H452=0,1,ABS(0.2-J452*B453/I453)+ABS(0.2-K452*C453/I453)+ABS(0.2-L452*D453/I453)+ABS(0.2-M452*E453/I453)+ABS(0.2-N452*F453/I453)),0)</f>
        <v/>
      </c>
      <c r="Q453">
        <f>P453*0.0015</f>
        <v/>
      </c>
      <c r="R453">
        <f>I453*(1-Q453)</f>
        <v/>
      </c>
      <c r="S453">
        <f>R453/R452-1</f>
        <v/>
      </c>
      <c r="T453">
        <f>MAX(T452,R453)</f>
        <v/>
      </c>
      <c r="U453">
        <f>R453/T453-1</f>
        <v/>
      </c>
      <c r="V453" t="n">
        <v>2.116407574381857</v>
      </c>
      <c r="W453" s="5">
        <f>R453-V453</f>
        <v/>
      </c>
    </row>
    <row r="454">
      <c r="A454" s="3" t="n">
        <v>39100</v>
      </c>
      <c r="B454">
        <f>Prices!B454</f>
        <v/>
      </c>
      <c r="C454">
        <f>Prices!C454</f>
        <v/>
      </c>
      <c r="D454">
        <f>Prices!D454</f>
        <v/>
      </c>
      <c r="E454">
        <f>Prices!E454</f>
        <v/>
      </c>
      <c r="F454">
        <f>Prices!F454</f>
        <v/>
      </c>
      <c r="G454">
        <f>IF(AND(452&gt;=16,TEXT(A454,"yyyy-mm")&lt;&gt;TEXT(A455,"yyyy-mm")),1,0)</f>
        <v/>
      </c>
      <c r="H454">
        <f>IF(OR(H453=1,G454=1),1,0)</f>
        <v/>
      </c>
      <c r="I454">
        <f>IF(H453=0,1,SUMPRODUCT(J453:N453,B454:F454)+O453*(1+0.00023125256064071564))</f>
        <v/>
      </c>
      <c r="J454">
        <f>IF(G454=1,0.2*R454/B454,J453)</f>
        <v/>
      </c>
      <c r="K454">
        <f>IF(G454=1,0.2*R454/C454,K453)</f>
        <v/>
      </c>
      <c r="L454">
        <f>IF(G454=1,0.2*R454/D454,L453)</f>
        <v/>
      </c>
      <c r="M454">
        <f>IF(G454=1,0.2*R454/E454,M453)</f>
        <v/>
      </c>
      <c r="N454">
        <f>IF(G454=1,0.2*R454/F454,N453)</f>
        <v/>
      </c>
      <c r="O454">
        <f>IF(G454=1,R454*(1-1.0),IF(H453=0,1,O453*(1+0.00023125256064071564)))</f>
        <v/>
      </c>
      <c r="P454">
        <f>IF(G454=1,IF(H453=0,1,ABS(0.2-J453*B454/I454)+ABS(0.2-K453*C454/I454)+ABS(0.2-L453*D454/I454)+ABS(0.2-M453*E454/I454)+ABS(0.2-N453*F454/I454)),0)</f>
        <v/>
      </c>
      <c r="Q454">
        <f>P454*0.0015</f>
        <v/>
      </c>
      <c r="R454">
        <f>I454*(1-Q454)</f>
        <v/>
      </c>
      <c r="S454">
        <f>R454/R453-1</f>
        <v/>
      </c>
      <c r="T454">
        <f>MAX(T453,R454)</f>
        <v/>
      </c>
      <c r="U454">
        <f>R454/T454-1</f>
        <v/>
      </c>
      <c r="V454" t="n">
        <v>2.125905162659815</v>
      </c>
      <c r="W454" s="5">
        <f>R454-V454</f>
        <v/>
      </c>
    </row>
    <row r="455">
      <c r="A455" s="3" t="n">
        <v>39101</v>
      </c>
      <c r="B455">
        <f>Prices!B455</f>
        <v/>
      </c>
      <c r="C455">
        <f>Prices!C455</f>
        <v/>
      </c>
      <c r="D455">
        <f>Prices!D455</f>
        <v/>
      </c>
      <c r="E455">
        <f>Prices!E455</f>
        <v/>
      </c>
      <c r="F455">
        <f>Prices!F455</f>
        <v/>
      </c>
      <c r="G455">
        <f>IF(AND(453&gt;=16,TEXT(A455,"yyyy-mm")&lt;&gt;TEXT(A456,"yyyy-mm")),1,0)</f>
        <v/>
      </c>
      <c r="H455">
        <f>IF(OR(H454=1,G455=1),1,0)</f>
        <v/>
      </c>
      <c r="I455">
        <f>IF(H454=0,1,SUMPRODUCT(J454:N454,B455:F455)+O454*(1+0.00023125256064071564))</f>
        <v/>
      </c>
      <c r="J455">
        <f>IF(G455=1,0.2*R455/B455,J454)</f>
        <v/>
      </c>
      <c r="K455">
        <f>IF(G455=1,0.2*R455/C455,K454)</f>
        <v/>
      </c>
      <c r="L455">
        <f>IF(G455=1,0.2*R455/D455,L454)</f>
        <v/>
      </c>
      <c r="M455">
        <f>IF(G455=1,0.2*R455/E455,M454)</f>
        <v/>
      </c>
      <c r="N455">
        <f>IF(G455=1,0.2*R455/F455,N454)</f>
        <v/>
      </c>
      <c r="O455">
        <f>IF(G455=1,R455*(1-1.0),IF(H454=0,1,O454*(1+0.00023125256064071564)))</f>
        <v/>
      </c>
      <c r="P455">
        <f>IF(G455=1,IF(H454=0,1,ABS(0.2-J454*B455/I455)+ABS(0.2-K454*C455/I455)+ABS(0.2-L454*D455/I455)+ABS(0.2-M454*E455/I455)+ABS(0.2-N454*F455/I455)),0)</f>
        <v/>
      </c>
      <c r="Q455">
        <f>P455*0.0015</f>
        <v/>
      </c>
      <c r="R455">
        <f>I455*(1-Q455)</f>
        <v/>
      </c>
      <c r="S455">
        <f>R455/R454-1</f>
        <v/>
      </c>
      <c r="T455">
        <f>MAX(T454,R455)</f>
        <v/>
      </c>
      <c r="U455">
        <f>R455/T455-1</f>
        <v/>
      </c>
      <c r="V455" t="n">
        <v>2.113708795150906</v>
      </c>
      <c r="W455" s="5">
        <f>R455-V455</f>
        <v/>
      </c>
    </row>
    <row r="456">
      <c r="A456" s="3" t="n">
        <v>39104</v>
      </c>
      <c r="B456">
        <f>Prices!B456</f>
        <v/>
      </c>
      <c r="C456">
        <f>Prices!C456</f>
        <v/>
      </c>
      <c r="D456">
        <f>Prices!D456</f>
        <v/>
      </c>
      <c r="E456">
        <f>Prices!E456</f>
        <v/>
      </c>
      <c r="F456">
        <f>Prices!F456</f>
        <v/>
      </c>
      <c r="G456">
        <f>IF(AND(454&gt;=16,TEXT(A456,"yyyy-mm")&lt;&gt;TEXT(A457,"yyyy-mm")),1,0)</f>
        <v/>
      </c>
      <c r="H456">
        <f>IF(OR(H455=1,G456=1),1,0)</f>
        <v/>
      </c>
      <c r="I456">
        <f>IF(H455=0,1,SUMPRODUCT(J455:N455,B456:F456)+O455*(1+0.00023125256064071564))</f>
        <v/>
      </c>
      <c r="J456">
        <f>IF(G456=1,0.2*R456/B456,J455)</f>
        <v/>
      </c>
      <c r="K456">
        <f>IF(G456=1,0.2*R456/C456,K455)</f>
        <v/>
      </c>
      <c r="L456">
        <f>IF(G456=1,0.2*R456/D456,L455)</f>
        <v/>
      </c>
      <c r="M456">
        <f>IF(G456=1,0.2*R456/E456,M455)</f>
        <v/>
      </c>
      <c r="N456">
        <f>IF(G456=1,0.2*R456/F456,N455)</f>
        <v/>
      </c>
      <c r="O456">
        <f>IF(G456=1,R456*(1-1.0),IF(H455=0,1,O455*(1+0.00023125256064071564)))</f>
        <v/>
      </c>
      <c r="P456">
        <f>IF(G456=1,IF(H455=0,1,ABS(0.2-J455*B456/I456)+ABS(0.2-K455*C456/I456)+ABS(0.2-L455*D456/I456)+ABS(0.2-M455*E456/I456)+ABS(0.2-N455*F456/I456)),0)</f>
        <v/>
      </c>
      <c r="Q456">
        <f>P456*0.0015</f>
        <v/>
      </c>
      <c r="R456">
        <f>I456*(1-Q456)</f>
        <v/>
      </c>
      <c r="S456">
        <f>R456/R455-1</f>
        <v/>
      </c>
      <c r="T456">
        <f>MAX(T455,R456)</f>
        <v/>
      </c>
      <c r="U456">
        <f>R456/T456-1</f>
        <v/>
      </c>
      <c r="V456" t="n">
        <v>2.118909784070237</v>
      </c>
      <c r="W456" s="5">
        <f>R456-V456</f>
        <v/>
      </c>
    </row>
    <row r="457">
      <c r="A457" s="3" t="n">
        <v>39105</v>
      </c>
      <c r="B457">
        <f>Prices!B457</f>
        <v/>
      </c>
      <c r="C457">
        <f>Prices!C457</f>
        <v/>
      </c>
      <c r="D457">
        <f>Prices!D457</f>
        <v/>
      </c>
      <c r="E457">
        <f>Prices!E457</f>
        <v/>
      </c>
      <c r="F457">
        <f>Prices!F457</f>
        <v/>
      </c>
      <c r="G457">
        <f>IF(AND(455&gt;=16,TEXT(A457,"yyyy-mm")&lt;&gt;TEXT(A458,"yyyy-mm")),1,0)</f>
        <v/>
      </c>
      <c r="H457">
        <f>IF(OR(H456=1,G457=1),1,0)</f>
        <v/>
      </c>
      <c r="I457">
        <f>IF(H456=0,1,SUMPRODUCT(J456:N456,B457:F457)+O456*(1+0.00023125256064071564))</f>
        <v/>
      </c>
      <c r="J457">
        <f>IF(G457=1,0.2*R457/B457,J456)</f>
        <v/>
      </c>
      <c r="K457">
        <f>IF(G457=1,0.2*R457/C457,K456)</f>
        <v/>
      </c>
      <c r="L457">
        <f>IF(G457=1,0.2*R457/D457,L456)</f>
        <v/>
      </c>
      <c r="M457">
        <f>IF(G457=1,0.2*R457/E457,M456)</f>
        <v/>
      </c>
      <c r="N457">
        <f>IF(G457=1,0.2*R457/F457,N456)</f>
        <v/>
      </c>
      <c r="O457">
        <f>IF(G457=1,R457*(1-1.0),IF(H456=0,1,O456*(1+0.00023125256064071564)))</f>
        <v/>
      </c>
      <c r="P457">
        <f>IF(G457=1,IF(H456=0,1,ABS(0.2-J456*B457/I457)+ABS(0.2-K456*C457/I457)+ABS(0.2-L456*D457/I457)+ABS(0.2-M456*E457/I457)+ABS(0.2-N456*F457/I457)),0)</f>
        <v/>
      </c>
      <c r="Q457">
        <f>P457*0.0015</f>
        <v/>
      </c>
      <c r="R457">
        <f>I457*(1-Q457)</f>
        <v/>
      </c>
      <c r="S457">
        <f>R457/R456-1</f>
        <v/>
      </c>
      <c r="T457">
        <f>MAX(T456,R457)</f>
        <v/>
      </c>
      <c r="U457">
        <f>R457/T457-1</f>
        <v/>
      </c>
      <c r="V457" t="n">
        <v>2.085462745717561</v>
      </c>
      <c r="W457" s="5">
        <f>R457-V457</f>
        <v/>
      </c>
    </row>
    <row r="458">
      <c r="A458" s="3" t="n">
        <v>39106</v>
      </c>
      <c r="B458">
        <f>Prices!B458</f>
        <v/>
      </c>
      <c r="C458">
        <f>Prices!C458</f>
        <v/>
      </c>
      <c r="D458">
        <f>Prices!D458</f>
        <v/>
      </c>
      <c r="E458">
        <f>Prices!E458</f>
        <v/>
      </c>
      <c r="F458">
        <f>Prices!F458</f>
        <v/>
      </c>
      <c r="G458">
        <f>IF(AND(456&gt;=16,TEXT(A458,"yyyy-mm")&lt;&gt;TEXT(A459,"yyyy-mm")),1,0)</f>
        <v/>
      </c>
      <c r="H458">
        <f>IF(OR(H457=1,G458=1),1,0)</f>
        <v/>
      </c>
      <c r="I458">
        <f>IF(H457=0,1,SUMPRODUCT(J457:N457,B458:F458)+O457*(1+0.00023125256064071564))</f>
        <v/>
      </c>
      <c r="J458">
        <f>IF(G458=1,0.2*R458/B458,J457)</f>
        <v/>
      </c>
      <c r="K458">
        <f>IF(G458=1,0.2*R458/C458,K457)</f>
        <v/>
      </c>
      <c r="L458">
        <f>IF(G458=1,0.2*R458/D458,L457)</f>
        <v/>
      </c>
      <c r="M458">
        <f>IF(G458=1,0.2*R458/E458,M457)</f>
        <v/>
      </c>
      <c r="N458">
        <f>IF(G458=1,0.2*R458/F458,N457)</f>
        <v/>
      </c>
      <c r="O458">
        <f>IF(G458=1,R458*(1-1.0),IF(H457=0,1,O457*(1+0.00023125256064071564)))</f>
        <v/>
      </c>
      <c r="P458">
        <f>IF(G458=1,IF(H457=0,1,ABS(0.2-J457*B458/I458)+ABS(0.2-K457*C458/I458)+ABS(0.2-L457*D458/I458)+ABS(0.2-M457*E458/I458)+ABS(0.2-N457*F458/I458)),0)</f>
        <v/>
      </c>
      <c r="Q458">
        <f>P458*0.0015</f>
        <v/>
      </c>
      <c r="R458">
        <f>I458*(1-Q458)</f>
        <v/>
      </c>
      <c r="S458">
        <f>R458/R457-1</f>
        <v/>
      </c>
      <c r="T458">
        <f>MAX(T457,R458)</f>
        <v/>
      </c>
      <c r="U458">
        <f>R458/T458-1</f>
        <v/>
      </c>
      <c r="V458" t="n">
        <v>2.097915299823669</v>
      </c>
      <c r="W458" s="5">
        <f>R458-V458</f>
        <v/>
      </c>
    </row>
    <row r="459">
      <c r="A459" s="3" t="n">
        <v>39107</v>
      </c>
      <c r="B459">
        <f>Prices!B459</f>
        <v/>
      </c>
      <c r="C459">
        <f>Prices!C459</f>
        <v/>
      </c>
      <c r="D459">
        <f>Prices!D459</f>
        <v/>
      </c>
      <c r="E459">
        <f>Prices!E459</f>
        <v/>
      </c>
      <c r="F459">
        <f>Prices!F459</f>
        <v/>
      </c>
      <c r="G459">
        <f>IF(AND(457&gt;=16,TEXT(A459,"yyyy-mm")&lt;&gt;TEXT(A460,"yyyy-mm")),1,0)</f>
        <v/>
      </c>
      <c r="H459">
        <f>IF(OR(H458=1,G459=1),1,0)</f>
        <v/>
      </c>
      <c r="I459">
        <f>IF(H458=0,1,SUMPRODUCT(J458:N458,B459:F459)+O458*(1+0.00023125256064071564))</f>
        <v/>
      </c>
      <c r="J459">
        <f>IF(G459=1,0.2*R459/B459,J458)</f>
        <v/>
      </c>
      <c r="K459">
        <f>IF(G459=1,0.2*R459/C459,K458)</f>
        <v/>
      </c>
      <c r="L459">
        <f>IF(G459=1,0.2*R459/D459,L458)</f>
        <v/>
      </c>
      <c r="M459">
        <f>IF(G459=1,0.2*R459/E459,M458)</f>
        <v/>
      </c>
      <c r="N459">
        <f>IF(G459=1,0.2*R459/F459,N458)</f>
        <v/>
      </c>
      <c r="O459">
        <f>IF(G459=1,R459*(1-1.0),IF(H458=0,1,O458*(1+0.00023125256064071564)))</f>
        <v/>
      </c>
      <c r="P459">
        <f>IF(G459=1,IF(H458=0,1,ABS(0.2-J458*B459/I459)+ABS(0.2-K458*C459/I459)+ABS(0.2-L458*D459/I459)+ABS(0.2-M458*E459/I459)+ABS(0.2-N458*F459/I459)),0)</f>
        <v/>
      </c>
      <c r="Q459">
        <f>P459*0.0015</f>
        <v/>
      </c>
      <c r="R459">
        <f>I459*(1-Q459)</f>
        <v/>
      </c>
      <c r="S459">
        <f>R459/R458-1</f>
        <v/>
      </c>
      <c r="T459">
        <f>MAX(T458,R459)</f>
        <v/>
      </c>
      <c r="U459">
        <f>R459/T459-1</f>
        <v/>
      </c>
      <c r="V459" t="n">
        <v>2.120448881778032</v>
      </c>
      <c r="W459" s="5">
        <f>R459-V459</f>
        <v/>
      </c>
    </row>
    <row r="460">
      <c r="A460" s="3" t="n">
        <v>39111</v>
      </c>
      <c r="B460">
        <f>Prices!B460</f>
        <v/>
      </c>
      <c r="C460">
        <f>Prices!C460</f>
        <v/>
      </c>
      <c r="D460">
        <f>Prices!D460</f>
        <v/>
      </c>
      <c r="E460">
        <f>Prices!E460</f>
        <v/>
      </c>
      <c r="F460">
        <f>Prices!F460</f>
        <v/>
      </c>
      <c r="G460">
        <f>IF(AND(458&gt;=16,TEXT(A460,"yyyy-mm")&lt;&gt;TEXT(A461,"yyyy-mm")),1,0)</f>
        <v/>
      </c>
      <c r="H460">
        <f>IF(OR(H459=1,G460=1),1,0)</f>
        <v/>
      </c>
      <c r="I460">
        <f>IF(H459=0,1,SUMPRODUCT(J459:N459,B460:F460)+O459*(1+0.00023125256064071564))</f>
        <v/>
      </c>
      <c r="J460">
        <f>IF(G460=1,0.2*R460/B460,J459)</f>
        <v/>
      </c>
      <c r="K460">
        <f>IF(G460=1,0.2*R460/C460,K459)</f>
        <v/>
      </c>
      <c r="L460">
        <f>IF(G460=1,0.2*R460/D460,L459)</f>
        <v/>
      </c>
      <c r="M460">
        <f>IF(G460=1,0.2*R460/E460,M459)</f>
        <v/>
      </c>
      <c r="N460">
        <f>IF(G460=1,0.2*R460/F460,N459)</f>
        <v/>
      </c>
      <c r="O460">
        <f>IF(G460=1,R460*(1-1.0),IF(H459=0,1,O459*(1+0.00023125256064071564)))</f>
        <v/>
      </c>
      <c r="P460">
        <f>IF(G460=1,IF(H459=0,1,ABS(0.2-J459*B460/I460)+ABS(0.2-K459*C460/I460)+ABS(0.2-L459*D460/I460)+ABS(0.2-M459*E460/I460)+ABS(0.2-N459*F460/I460)),0)</f>
        <v/>
      </c>
      <c r="Q460">
        <f>P460*0.0015</f>
        <v/>
      </c>
      <c r="R460">
        <f>I460*(1-Q460)</f>
        <v/>
      </c>
      <c r="S460">
        <f>R460/R459-1</f>
        <v/>
      </c>
      <c r="T460">
        <f>MAX(T459,R460)</f>
        <v/>
      </c>
      <c r="U460">
        <f>R460/T460-1</f>
        <v/>
      </c>
      <c r="V460" t="n">
        <v>2.113335156356221</v>
      </c>
      <c r="W460" s="5">
        <f>R460-V460</f>
        <v/>
      </c>
    </row>
    <row r="461">
      <c r="A461" s="3" t="n">
        <v>39113</v>
      </c>
      <c r="B461">
        <f>Prices!B461</f>
        <v/>
      </c>
      <c r="C461">
        <f>Prices!C461</f>
        <v/>
      </c>
      <c r="D461">
        <f>Prices!D461</f>
        <v/>
      </c>
      <c r="E461">
        <f>Prices!E461</f>
        <v/>
      </c>
      <c r="F461">
        <f>Prices!F461</f>
        <v/>
      </c>
      <c r="G461">
        <f>IF(AND(459&gt;=16,TEXT(A461,"yyyy-mm")&lt;&gt;TEXT(A462,"yyyy-mm")),1,0)</f>
        <v/>
      </c>
      <c r="H461">
        <f>IF(OR(H460=1,G461=1),1,0)</f>
        <v/>
      </c>
      <c r="I461">
        <f>IF(H460=0,1,SUMPRODUCT(J460:N460,B461:F461)+O460*(1+0.00023125256064071564))</f>
        <v/>
      </c>
      <c r="J461">
        <f>IF(G461=1,0.2*R461/B461,J460)</f>
        <v/>
      </c>
      <c r="K461">
        <f>IF(G461=1,0.2*R461/C461,K460)</f>
        <v/>
      </c>
      <c r="L461">
        <f>IF(G461=1,0.2*R461/D461,L460)</f>
        <v/>
      </c>
      <c r="M461">
        <f>IF(G461=1,0.2*R461/E461,M460)</f>
        <v/>
      </c>
      <c r="N461">
        <f>IF(G461=1,0.2*R461/F461,N460)</f>
        <v/>
      </c>
      <c r="O461">
        <f>IF(G461=1,R461*(1-1.0),IF(H460=0,1,O460*(1+0.00023125256064071564)))</f>
        <v/>
      </c>
      <c r="P461">
        <f>IF(G461=1,IF(H460=0,1,ABS(0.2-J460*B461/I461)+ABS(0.2-K460*C461/I461)+ABS(0.2-L460*D461/I461)+ABS(0.2-M460*E461/I461)+ABS(0.2-N460*F461/I461)),0)</f>
        <v/>
      </c>
      <c r="Q461">
        <f>P461*0.0015</f>
        <v/>
      </c>
      <c r="R461">
        <f>I461*(1-Q461)</f>
        <v/>
      </c>
      <c r="S461">
        <f>R461/R460-1</f>
        <v/>
      </c>
      <c r="T461">
        <f>MAX(T460,R461)</f>
        <v/>
      </c>
      <c r="U461">
        <f>R461/T461-1</f>
        <v/>
      </c>
      <c r="V461" t="n">
        <v>2.095609770641065</v>
      </c>
      <c r="W461" s="5">
        <f>R461-V461</f>
        <v/>
      </c>
    </row>
    <row r="462">
      <c r="A462" s="3" t="n">
        <v>39114</v>
      </c>
      <c r="B462">
        <f>Prices!B462</f>
        <v/>
      </c>
      <c r="C462">
        <f>Prices!C462</f>
        <v/>
      </c>
      <c r="D462">
        <f>Prices!D462</f>
        <v/>
      </c>
      <c r="E462">
        <f>Prices!E462</f>
        <v/>
      </c>
      <c r="F462">
        <f>Prices!F462</f>
        <v/>
      </c>
      <c r="G462">
        <f>IF(AND(460&gt;=16,TEXT(A462,"yyyy-mm")&lt;&gt;TEXT(A463,"yyyy-mm")),1,0)</f>
        <v/>
      </c>
      <c r="H462">
        <f>IF(OR(H461=1,G462=1),1,0)</f>
        <v/>
      </c>
      <c r="I462">
        <f>IF(H461=0,1,SUMPRODUCT(J461:N461,B462:F462)+O461*(1+0.00023125256064071564))</f>
        <v/>
      </c>
      <c r="J462">
        <f>IF(G462=1,0.2*R462/B462,J461)</f>
        <v/>
      </c>
      <c r="K462">
        <f>IF(G462=1,0.2*R462/C462,K461)</f>
        <v/>
      </c>
      <c r="L462">
        <f>IF(G462=1,0.2*R462/D462,L461)</f>
        <v/>
      </c>
      <c r="M462">
        <f>IF(G462=1,0.2*R462/E462,M461)</f>
        <v/>
      </c>
      <c r="N462">
        <f>IF(G462=1,0.2*R462/F462,N461)</f>
        <v/>
      </c>
      <c r="O462">
        <f>IF(G462=1,R462*(1-1.0),IF(H461=0,1,O461*(1+0.00023125256064071564)))</f>
        <v/>
      </c>
      <c r="P462">
        <f>IF(G462=1,IF(H461=0,1,ABS(0.2-J461*B462/I462)+ABS(0.2-K461*C462/I462)+ABS(0.2-L461*D462/I462)+ABS(0.2-M461*E462/I462)+ABS(0.2-N461*F462/I462)),0)</f>
        <v/>
      </c>
      <c r="Q462">
        <f>P462*0.0015</f>
        <v/>
      </c>
      <c r="R462">
        <f>I462*(1-Q462)</f>
        <v/>
      </c>
      <c r="S462">
        <f>R462/R461-1</f>
        <v/>
      </c>
      <c r="T462">
        <f>MAX(T461,R462)</f>
        <v/>
      </c>
      <c r="U462">
        <f>R462/T462-1</f>
        <v/>
      </c>
      <c r="V462" t="n">
        <v>2.117905228666281</v>
      </c>
      <c r="W462" s="5">
        <f>R462-V462</f>
        <v/>
      </c>
    </row>
    <row r="463">
      <c r="A463" s="3" t="n">
        <v>39115</v>
      </c>
      <c r="B463">
        <f>Prices!B463</f>
        <v/>
      </c>
      <c r="C463">
        <f>Prices!C463</f>
        <v/>
      </c>
      <c r="D463">
        <f>Prices!D463</f>
        <v/>
      </c>
      <c r="E463">
        <f>Prices!E463</f>
        <v/>
      </c>
      <c r="F463">
        <f>Prices!F463</f>
        <v/>
      </c>
      <c r="G463">
        <f>IF(AND(461&gt;=16,TEXT(A463,"yyyy-mm")&lt;&gt;TEXT(A464,"yyyy-mm")),1,0)</f>
        <v/>
      </c>
      <c r="H463">
        <f>IF(OR(H462=1,G463=1),1,0)</f>
        <v/>
      </c>
      <c r="I463">
        <f>IF(H462=0,1,SUMPRODUCT(J462:N462,B463:F463)+O462*(1+0.00023125256064071564))</f>
        <v/>
      </c>
      <c r="J463">
        <f>IF(G463=1,0.2*R463/B463,J462)</f>
        <v/>
      </c>
      <c r="K463">
        <f>IF(G463=1,0.2*R463/C463,K462)</f>
        <v/>
      </c>
      <c r="L463">
        <f>IF(G463=1,0.2*R463/D463,L462)</f>
        <v/>
      </c>
      <c r="M463">
        <f>IF(G463=1,0.2*R463/E463,M462)</f>
        <v/>
      </c>
      <c r="N463">
        <f>IF(G463=1,0.2*R463/F463,N462)</f>
        <v/>
      </c>
      <c r="O463">
        <f>IF(G463=1,R463*(1-1.0),IF(H462=0,1,O462*(1+0.00023125256064071564)))</f>
        <v/>
      </c>
      <c r="P463">
        <f>IF(G463=1,IF(H462=0,1,ABS(0.2-J462*B463/I463)+ABS(0.2-K462*C463/I463)+ABS(0.2-L462*D463/I463)+ABS(0.2-M462*E463/I463)+ABS(0.2-N462*F463/I463)),0)</f>
        <v/>
      </c>
      <c r="Q463">
        <f>P463*0.0015</f>
        <v/>
      </c>
      <c r="R463">
        <f>I463*(1-Q463)</f>
        <v/>
      </c>
      <c r="S463">
        <f>R463/R462-1</f>
        <v/>
      </c>
      <c r="T463">
        <f>MAX(T462,R463)</f>
        <v/>
      </c>
      <c r="U463">
        <f>R463/T463-1</f>
        <v/>
      </c>
      <c r="V463" t="n">
        <v>2.13102390436582</v>
      </c>
      <c r="W463" s="5">
        <f>R463-V463</f>
        <v/>
      </c>
    </row>
    <row r="464">
      <c r="A464" s="3" t="n">
        <v>39118</v>
      </c>
      <c r="B464">
        <f>Prices!B464</f>
        <v/>
      </c>
      <c r="C464">
        <f>Prices!C464</f>
        <v/>
      </c>
      <c r="D464">
        <f>Prices!D464</f>
        <v/>
      </c>
      <c r="E464">
        <f>Prices!E464</f>
        <v/>
      </c>
      <c r="F464">
        <f>Prices!F464</f>
        <v/>
      </c>
      <c r="G464">
        <f>IF(AND(462&gt;=16,TEXT(A464,"yyyy-mm")&lt;&gt;TEXT(A465,"yyyy-mm")),1,0)</f>
        <v/>
      </c>
      <c r="H464">
        <f>IF(OR(H463=1,G464=1),1,0)</f>
        <v/>
      </c>
      <c r="I464">
        <f>IF(H463=0,1,SUMPRODUCT(J463:N463,B464:F464)+O463*(1+0.00023125256064071564))</f>
        <v/>
      </c>
      <c r="J464">
        <f>IF(G464=1,0.2*R464/B464,J463)</f>
        <v/>
      </c>
      <c r="K464">
        <f>IF(G464=1,0.2*R464/C464,K463)</f>
        <v/>
      </c>
      <c r="L464">
        <f>IF(G464=1,0.2*R464/D464,L463)</f>
        <v/>
      </c>
      <c r="M464">
        <f>IF(G464=1,0.2*R464/E464,M463)</f>
        <v/>
      </c>
      <c r="N464">
        <f>IF(G464=1,0.2*R464/F464,N463)</f>
        <v/>
      </c>
      <c r="O464">
        <f>IF(G464=1,R464*(1-1.0),IF(H463=0,1,O463*(1+0.00023125256064071564)))</f>
        <v/>
      </c>
      <c r="P464">
        <f>IF(G464=1,IF(H463=0,1,ABS(0.2-J463*B464/I464)+ABS(0.2-K463*C464/I464)+ABS(0.2-L463*D464/I464)+ABS(0.2-M463*E464/I464)+ABS(0.2-N463*F464/I464)),0)</f>
        <v/>
      </c>
      <c r="Q464">
        <f>P464*0.0015</f>
        <v/>
      </c>
      <c r="R464">
        <f>I464*(1-Q464)</f>
        <v/>
      </c>
      <c r="S464">
        <f>R464/R463-1</f>
        <v/>
      </c>
      <c r="T464">
        <f>MAX(T463,R464)</f>
        <v/>
      </c>
      <c r="U464">
        <f>R464/T464-1</f>
        <v/>
      </c>
      <c r="V464" t="n">
        <v>2.140820903662683</v>
      </c>
      <c r="W464" s="5">
        <f>R464-V464</f>
        <v/>
      </c>
    </row>
    <row r="465">
      <c r="A465" s="3" t="n">
        <v>39119</v>
      </c>
      <c r="B465">
        <f>Prices!B465</f>
        <v/>
      </c>
      <c r="C465">
        <f>Prices!C465</f>
        <v/>
      </c>
      <c r="D465">
        <f>Prices!D465</f>
        <v/>
      </c>
      <c r="E465">
        <f>Prices!E465</f>
        <v/>
      </c>
      <c r="F465">
        <f>Prices!F465</f>
        <v/>
      </c>
      <c r="G465">
        <f>IF(AND(463&gt;=16,TEXT(A465,"yyyy-mm")&lt;&gt;TEXT(A466,"yyyy-mm")),1,0)</f>
        <v/>
      </c>
      <c r="H465">
        <f>IF(OR(H464=1,G465=1),1,0)</f>
        <v/>
      </c>
      <c r="I465">
        <f>IF(H464=0,1,SUMPRODUCT(J464:N464,B465:F465)+O464*(1+0.00023125256064071564))</f>
        <v/>
      </c>
      <c r="J465">
        <f>IF(G465=1,0.2*R465/B465,J464)</f>
        <v/>
      </c>
      <c r="K465">
        <f>IF(G465=1,0.2*R465/C465,K464)</f>
        <v/>
      </c>
      <c r="L465">
        <f>IF(G465=1,0.2*R465/D465,L464)</f>
        <v/>
      </c>
      <c r="M465">
        <f>IF(G465=1,0.2*R465/E465,M464)</f>
        <v/>
      </c>
      <c r="N465">
        <f>IF(G465=1,0.2*R465/F465,N464)</f>
        <v/>
      </c>
      <c r="O465">
        <f>IF(G465=1,R465*(1-1.0),IF(H464=0,1,O464*(1+0.00023125256064071564)))</f>
        <v/>
      </c>
      <c r="P465">
        <f>IF(G465=1,IF(H464=0,1,ABS(0.2-J464*B465/I465)+ABS(0.2-K464*C465/I465)+ABS(0.2-L464*D465/I465)+ABS(0.2-M464*E465/I465)+ABS(0.2-N464*F465/I465)),0)</f>
        <v/>
      </c>
      <c r="Q465">
        <f>P465*0.0015</f>
        <v/>
      </c>
      <c r="R465">
        <f>I465*(1-Q465)</f>
        <v/>
      </c>
      <c r="S465">
        <f>R465/R464-1</f>
        <v/>
      </c>
      <c r="T465">
        <f>MAX(T464,R465)</f>
        <v/>
      </c>
      <c r="U465">
        <f>R465/T465-1</f>
        <v/>
      </c>
      <c r="V465" t="n">
        <v>2.145167231302389</v>
      </c>
      <c r="W465" s="5">
        <f>R465-V465</f>
        <v/>
      </c>
    </row>
    <row r="466">
      <c r="A466" s="3" t="n">
        <v>39120</v>
      </c>
      <c r="B466">
        <f>Prices!B466</f>
        <v/>
      </c>
      <c r="C466">
        <f>Prices!C466</f>
        <v/>
      </c>
      <c r="D466">
        <f>Prices!D466</f>
        <v/>
      </c>
      <c r="E466">
        <f>Prices!E466</f>
        <v/>
      </c>
      <c r="F466">
        <f>Prices!F466</f>
        <v/>
      </c>
      <c r="G466">
        <f>IF(AND(464&gt;=16,TEXT(A466,"yyyy-mm")&lt;&gt;TEXT(A467,"yyyy-mm")),1,0)</f>
        <v/>
      </c>
      <c r="H466">
        <f>IF(OR(H465=1,G466=1),1,0)</f>
        <v/>
      </c>
      <c r="I466">
        <f>IF(H465=0,1,SUMPRODUCT(J465:N465,B466:F466)+O465*(1+0.00023125256064071564))</f>
        <v/>
      </c>
      <c r="J466">
        <f>IF(G466=1,0.2*R466/B466,J465)</f>
        <v/>
      </c>
      <c r="K466">
        <f>IF(G466=1,0.2*R466/C466,K465)</f>
        <v/>
      </c>
      <c r="L466">
        <f>IF(G466=1,0.2*R466/D466,L465)</f>
        <v/>
      </c>
      <c r="M466">
        <f>IF(G466=1,0.2*R466/E466,M465)</f>
        <v/>
      </c>
      <c r="N466">
        <f>IF(G466=1,0.2*R466/F466,N465)</f>
        <v/>
      </c>
      <c r="O466">
        <f>IF(G466=1,R466*(1-1.0),IF(H465=0,1,O465*(1+0.00023125256064071564)))</f>
        <v/>
      </c>
      <c r="P466">
        <f>IF(G466=1,IF(H465=0,1,ABS(0.2-J465*B466/I466)+ABS(0.2-K465*C466/I466)+ABS(0.2-L465*D466/I466)+ABS(0.2-M465*E466/I466)+ABS(0.2-N465*F466/I466)),0)</f>
        <v/>
      </c>
      <c r="Q466">
        <f>P466*0.0015</f>
        <v/>
      </c>
      <c r="R466">
        <f>I466*(1-Q466)</f>
        <v/>
      </c>
      <c r="S466">
        <f>R466/R465-1</f>
        <v/>
      </c>
      <c r="T466">
        <f>MAX(T465,R466)</f>
        <v/>
      </c>
      <c r="U466">
        <f>R466/T466-1</f>
        <v/>
      </c>
      <c r="V466" t="n">
        <v>2.153274330377336</v>
      </c>
      <c r="W466" s="5">
        <f>R466-V466</f>
        <v/>
      </c>
    </row>
    <row r="467">
      <c r="A467" s="3" t="n">
        <v>39121</v>
      </c>
      <c r="B467">
        <f>Prices!B467</f>
        <v/>
      </c>
      <c r="C467">
        <f>Prices!C467</f>
        <v/>
      </c>
      <c r="D467">
        <f>Prices!D467</f>
        <v/>
      </c>
      <c r="E467">
        <f>Prices!E467</f>
        <v/>
      </c>
      <c r="F467">
        <f>Prices!F467</f>
        <v/>
      </c>
      <c r="G467">
        <f>IF(AND(465&gt;=16,TEXT(A467,"yyyy-mm")&lt;&gt;TEXT(A468,"yyyy-mm")),1,0)</f>
        <v/>
      </c>
      <c r="H467">
        <f>IF(OR(H466=1,G467=1),1,0)</f>
        <v/>
      </c>
      <c r="I467">
        <f>IF(H466=0,1,SUMPRODUCT(J466:N466,B467:F467)+O466*(1+0.00023125256064071564))</f>
        <v/>
      </c>
      <c r="J467">
        <f>IF(G467=1,0.2*R467/B467,J466)</f>
        <v/>
      </c>
      <c r="K467">
        <f>IF(G467=1,0.2*R467/C467,K466)</f>
        <v/>
      </c>
      <c r="L467">
        <f>IF(G467=1,0.2*R467/D467,L466)</f>
        <v/>
      </c>
      <c r="M467">
        <f>IF(G467=1,0.2*R467/E467,M466)</f>
        <v/>
      </c>
      <c r="N467">
        <f>IF(G467=1,0.2*R467/F467,N466)</f>
        <v/>
      </c>
      <c r="O467">
        <f>IF(G467=1,R467*(1-1.0),IF(H466=0,1,O466*(1+0.00023125256064071564)))</f>
        <v/>
      </c>
      <c r="P467">
        <f>IF(G467=1,IF(H466=0,1,ABS(0.2-J466*B467/I467)+ABS(0.2-K466*C467/I467)+ABS(0.2-L466*D467/I467)+ABS(0.2-M466*E467/I467)+ABS(0.2-N466*F467/I467)),0)</f>
        <v/>
      </c>
      <c r="Q467">
        <f>P467*0.0015</f>
        <v/>
      </c>
      <c r="R467">
        <f>I467*(1-Q467)</f>
        <v/>
      </c>
      <c r="S467">
        <f>R467/R466-1</f>
        <v/>
      </c>
      <c r="T467">
        <f>MAX(T466,R467)</f>
        <v/>
      </c>
      <c r="U467">
        <f>R467/T467-1</f>
        <v/>
      </c>
      <c r="V467" t="n">
        <v>2.155010769898609</v>
      </c>
      <c r="W467" s="5">
        <f>R467-V467</f>
        <v/>
      </c>
    </row>
    <row r="468">
      <c r="A468" s="3" t="n">
        <v>39122</v>
      </c>
      <c r="B468">
        <f>Prices!B468</f>
        <v/>
      </c>
      <c r="C468">
        <f>Prices!C468</f>
        <v/>
      </c>
      <c r="D468">
        <f>Prices!D468</f>
        <v/>
      </c>
      <c r="E468">
        <f>Prices!E468</f>
        <v/>
      </c>
      <c r="F468">
        <f>Prices!F468</f>
        <v/>
      </c>
      <c r="G468">
        <f>IF(AND(466&gt;=16,TEXT(A468,"yyyy-mm")&lt;&gt;TEXT(A469,"yyyy-mm")),1,0)</f>
        <v/>
      </c>
      <c r="H468">
        <f>IF(OR(H467=1,G468=1),1,0)</f>
        <v/>
      </c>
      <c r="I468">
        <f>IF(H467=0,1,SUMPRODUCT(J467:N467,B468:F468)+O467*(1+0.00023125256064071564))</f>
        <v/>
      </c>
      <c r="J468">
        <f>IF(G468=1,0.2*R468/B468,J467)</f>
        <v/>
      </c>
      <c r="K468">
        <f>IF(G468=1,0.2*R468/C468,K467)</f>
        <v/>
      </c>
      <c r="L468">
        <f>IF(G468=1,0.2*R468/D468,L467)</f>
        <v/>
      </c>
      <c r="M468">
        <f>IF(G468=1,0.2*R468/E468,M467)</f>
        <v/>
      </c>
      <c r="N468">
        <f>IF(G468=1,0.2*R468/F468,N467)</f>
        <v/>
      </c>
      <c r="O468">
        <f>IF(G468=1,R468*(1-1.0),IF(H467=0,1,O467*(1+0.00023125256064071564)))</f>
        <v/>
      </c>
      <c r="P468">
        <f>IF(G468=1,IF(H467=0,1,ABS(0.2-J467*B468/I468)+ABS(0.2-K467*C468/I468)+ABS(0.2-L467*D468/I468)+ABS(0.2-M467*E468/I468)+ABS(0.2-N467*F468/I468)),0)</f>
        <v/>
      </c>
      <c r="Q468">
        <f>P468*0.0015</f>
        <v/>
      </c>
      <c r="R468">
        <f>I468*(1-Q468)</f>
        <v/>
      </c>
      <c r="S468">
        <f>R468/R467-1</f>
        <v/>
      </c>
      <c r="T468">
        <f>MAX(T467,R468)</f>
        <v/>
      </c>
      <c r="U468">
        <f>R468/T468-1</f>
        <v/>
      </c>
      <c r="V468" t="n">
        <v>2.120827547152012</v>
      </c>
      <c r="W468" s="5">
        <f>R468-V468</f>
        <v/>
      </c>
    </row>
    <row r="469">
      <c r="A469" s="3" t="n">
        <v>39125</v>
      </c>
      <c r="B469">
        <f>Prices!B469</f>
        <v/>
      </c>
      <c r="C469">
        <f>Prices!C469</f>
        <v/>
      </c>
      <c r="D469">
        <f>Prices!D469</f>
        <v/>
      </c>
      <c r="E469">
        <f>Prices!E469</f>
        <v/>
      </c>
      <c r="F469">
        <f>Prices!F469</f>
        <v/>
      </c>
      <c r="G469">
        <f>IF(AND(467&gt;=16,TEXT(A469,"yyyy-mm")&lt;&gt;TEXT(A470,"yyyy-mm")),1,0)</f>
        <v/>
      </c>
      <c r="H469">
        <f>IF(OR(H468=1,G469=1),1,0)</f>
        <v/>
      </c>
      <c r="I469">
        <f>IF(H468=0,1,SUMPRODUCT(J468:N468,B469:F469)+O468*(1+0.00023125256064071564))</f>
        <v/>
      </c>
      <c r="J469">
        <f>IF(G469=1,0.2*R469/B469,J468)</f>
        <v/>
      </c>
      <c r="K469">
        <f>IF(G469=1,0.2*R469/C469,K468)</f>
        <v/>
      </c>
      <c r="L469">
        <f>IF(G469=1,0.2*R469/D469,L468)</f>
        <v/>
      </c>
      <c r="M469">
        <f>IF(G469=1,0.2*R469/E469,M468)</f>
        <v/>
      </c>
      <c r="N469">
        <f>IF(G469=1,0.2*R469/F469,N468)</f>
        <v/>
      </c>
      <c r="O469">
        <f>IF(G469=1,R469*(1-1.0),IF(H468=0,1,O468*(1+0.00023125256064071564)))</f>
        <v/>
      </c>
      <c r="P469">
        <f>IF(G469=1,IF(H468=0,1,ABS(0.2-J468*B469/I469)+ABS(0.2-K468*C469/I469)+ABS(0.2-L468*D469/I469)+ABS(0.2-M468*E469/I469)+ABS(0.2-N468*F469/I469)),0)</f>
        <v/>
      </c>
      <c r="Q469">
        <f>P469*0.0015</f>
        <v/>
      </c>
      <c r="R469">
        <f>I469*(1-Q469)</f>
        <v/>
      </c>
      <c r="S469">
        <f>R469/R468-1</f>
        <v/>
      </c>
      <c r="T469">
        <f>MAX(T468,R469)</f>
        <v/>
      </c>
      <c r="U469">
        <f>R469/T469-1</f>
        <v/>
      </c>
      <c r="V469" t="n">
        <v>2.043336133481629</v>
      </c>
      <c r="W469" s="5">
        <f>R469-V469</f>
        <v/>
      </c>
    </row>
    <row r="470">
      <c r="A470" s="3" t="n">
        <v>39126</v>
      </c>
      <c r="B470">
        <f>Prices!B470</f>
        <v/>
      </c>
      <c r="C470">
        <f>Prices!C470</f>
        <v/>
      </c>
      <c r="D470">
        <f>Prices!D470</f>
        <v/>
      </c>
      <c r="E470">
        <f>Prices!E470</f>
        <v/>
      </c>
      <c r="F470">
        <f>Prices!F470</f>
        <v/>
      </c>
      <c r="G470">
        <f>IF(AND(468&gt;=16,TEXT(A470,"yyyy-mm")&lt;&gt;TEXT(A471,"yyyy-mm")),1,0)</f>
        <v/>
      </c>
      <c r="H470">
        <f>IF(OR(H469=1,G470=1),1,0)</f>
        <v/>
      </c>
      <c r="I470">
        <f>IF(H469=0,1,SUMPRODUCT(J469:N469,B470:F470)+O469*(1+0.00023125256064071564))</f>
        <v/>
      </c>
      <c r="J470">
        <f>IF(G470=1,0.2*R470/B470,J469)</f>
        <v/>
      </c>
      <c r="K470">
        <f>IF(G470=1,0.2*R470/C470,K469)</f>
        <v/>
      </c>
      <c r="L470">
        <f>IF(G470=1,0.2*R470/D470,L469)</f>
        <v/>
      </c>
      <c r="M470">
        <f>IF(G470=1,0.2*R470/E470,M469)</f>
        <v/>
      </c>
      <c r="N470">
        <f>IF(G470=1,0.2*R470/F470,N469)</f>
        <v/>
      </c>
      <c r="O470">
        <f>IF(G470=1,R470*(1-1.0),IF(H469=0,1,O469*(1+0.00023125256064071564)))</f>
        <v/>
      </c>
      <c r="P470">
        <f>IF(G470=1,IF(H469=0,1,ABS(0.2-J469*B470/I470)+ABS(0.2-K469*C470/I470)+ABS(0.2-L469*D470/I470)+ABS(0.2-M469*E470/I470)+ABS(0.2-N469*F470/I470)),0)</f>
        <v/>
      </c>
      <c r="Q470">
        <f>P470*0.0015</f>
        <v/>
      </c>
      <c r="R470">
        <f>I470*(1-Q470)</f>
        <v/>
      </c>
      <c r="S470">
        <f>R470/R469-1</f>
        <v/>
      </c>
      <c r="T470">
        <f>MAX(T469,R470)</f>
        <v/>
      </c>
      <c r="U470">
        <f>R470/T470-1</f>
        <v/>
      </c>
      <c r="V470" t="n">
        <v>2.032016383474226</v>
      </c>
      <c r="W470" s="5">
        <f>R470-V470</f>
        <v/>
      </c>
    </row>
    <row r="471">
      <c r="A471" s="3" t="n">
        <v>39127</v>
      </c>
      <c r="B471">
        <f>Prices!B471</f>
        <v/>
      </c>
      <c r="C471">
        <f>Prices!C471</f>
        <v/>
      </c>
      <c r="D471">
        <f>Prices!D471</f>
        <v/>
      </c>
      <c r="E471">
        <f>Prices!E471</f>
        <v/>
      </c>
      <c r="F471">
        <f>Prices!F471</f>
        <v/>
      </c>
      <c r="G471">
        <f>IF(AND(469&gt;=16,TEXT(A471,"yyyy-mm")&lt;&gt;TEXT(A472,"yyyy-mm")),1,0)</f>
        <v/>
      </c>
      <c r="H471">
        <f>IF(OR(H470=1,G471=1),1,0)</f>
        <v/>
      </c>
      <c r="I471">
        <f>IF(H470=0,1,SUMPRODUCT(J470:N470,B471:F471)+O470*(1+0.00023125256064071564))</f>
        <v/>
      </c>
      <c r="J471">
        <f>IF(G471=1,0.2*R471/B471,J470)</f>
        <v/>
      </c>
      <c r="K471">
        <f>IF(G471=1,0.2*R471/C471,K470)</f>
        <v/>
      </c>
      <c r="L471">
        <f>IF(G471=1,0.2*R471/D471,L470)</f>
        <v/>
      </c>
      <c r="M471">
        <f>IF(G471=1,0.2*R471/E471,M470)</f>
        <v/>
      </c>
      <c r="N471">
        <f>IF(G471=1,0.2*R471/F471,N470)</f>
        <v/>
      </c>
      <c r="O471">
        <f>IF(G471=1,R471*(1-1.0),IF(H470=0,1,O470*(1+0.00023125256064071564)))</f>
        <v/>
      </c>
      <c r="P471">
        <f>IF(G471=1,IF(H470=0,1,ABS(0.2-J470*B471/I471)+ABS(0.2-K470*C471/I471)+ABS(0.2-L470*D471/I471)+ABS(0.2-M470*E471/I471)+ABS(0.2-N470*F471/I471)),0)</f>
        <v/>
      </c>
      <c r="Q471">
        <f>P471*0.0015</f>
        <v/>
      </c>
      <c r="R471">
        <f>I471*(1-Q471)</f>
        <v/>
      </c>
      <c r="S471">
        <f>R471/R470-1</f>
        <v/>
      </c>
      <c r="T471">
        <f>MAX(T470,R471)</f>
        <v/>
      </c>
      <c r="U471">
        <f>R471/T471-1</f>
        <v/>
      </c>
      <c r="V471" t="n">
        <v>2.027856879238256</v>
      </c>
      <c r="W471" s="5">
        <f>R471-V471</f>
        <v/>
      </c>
    </row>
    <row r="472">
      <c r="A472" s="3" t="n">
        <v>39128</v>
      </c>
      <c r="B472">
        <f>Prices!B472</f>
        <v/>
      </c>
      <c r="C472">
        <f>Prices!C472</f>
        <v/>
      </c>
      <c r="D472">
        <f>Prices!D472</f>
        <v/>
      </c>
      <c r="E472">
        <f>Prices!E472</f>
        <v/>
      </c>
      <c r="F472">
        <f>Prices!F472</f>
        <v/>
      </c>
      <c r="G472">
        <f>IF(AND(470&gt;=16,TEXT(A472,"yyyy-mm")&lt;&gt;TEXT(A473,"yyyy-mm")),1,0)</f>
        <v/>
      </c>
      <c r="H472">
        <f>IF(OR(H471=1,G472=1),1,0)</f>
        <v/>
      </c>
      <c r="I472">
        <f>IF(H471=0,1,SUMPRODUCT(J471:N471,B472:F472)+O471*(1+0.00023125256064071564))</f>
        <v/>
      </c>
      <c r="J472">
        <f>IF(G472=1,0.2*R472/B472,J471)</f>
        <v/>
      </c>
      <c r="K472">
        <f>IF(G472=1,0.2*R472/C472,K471)</f>
        <v/>
      </c>
      <c r="L472">
        <f>IF(G472=1,0.2*R472/D472,L471)</f>
        <v/>
      </c>
      <c r="M472">
        <f>IF(G472=1,0.2*R472/E472,M471)</f>
        <v/>
      </c>
      <c r="N472">
        <f>IF(G472=1,0.2*R472/F472,N471)</f>
        <v/>
      </c>
      <c r="O472">
        <f>IF(G472=1,R472*(1-1.0),IF(H471=0,1,O471*(1+0.00023125256064071564)))</f>
        <v/>
      </c>
      <c r="P472">
        <f>IF(G472=1,IF(H471=0,1,ABS(0.2-J471*B472/I472)+ABS(0.2-K471*C472/I472)+ABS(0.2-L471*D472/I472)+ABS(0.2-M471*E472/I472)+ABS(0.2-N471*F472/I472)),0)</f>
        <v/>
      </c>
      <c r="Q472">
        <f>P472*0.0015</f>
        <v/>
      </c>
      <c r="R472">
        <f>I472*(1-Q472)</f>
        <v/>
      </c>
      <c r="S472">
        <f>R472/R471-1</f>
        <v/>
      </c>
      <c r="T472">
        <f>MAX(T471,R472)</f>
        <v/>
      </c>
      <c r="U472">
        <f>R472/T472-1</f>
        <v/>
      </c>
      <c r="V472" t="n">
        <v>2.084698675458411</v>
      </c>
      <c r="W472" s="5">
        <f>R472-V472</f>
        <v/>
      </c>
    </row>
    <row r="473">
      <c r="A473" s="3" t="n">
        <v>39132</v>
      </c>
      <c r="B473">
        <f>Prices!B473</f>
        <v/>
      </c>
      <c r="C473">
        <f>Prices!C473</f>
        <v/>
      </c>
      <c r="D473">
        <f>Prices!D473</f>
        <v/>
      </c>
      <c r="E473">
        <f>Prices!E473</f>
        <v/>
      </c>
      <c r="F473">
        <f>Prices!F473</f>
        <v/>
      </c>
      <c r="G473">
        <f>IF(AND(471&gt;=16,TEXT(A473,"yyyy-mm")&lt;&gt;TEXT(A474,"yyyy-mm")),1,0)</f>
        <v/>
      </c>
      <c r="H473">
        <f>IF(OR(H472=1,G473=1),1,0)</f>
        <v/>
      </c>
      <c r="I473">
        <f>IF(H472=0,1,SUMPRODUCT(J472:N472,B473:F473)+O472*(1+0.00023125256064071564))</f>
        <v/>
      </c>
      <c r="J473">
        <f>IF(G473=1,0.2*R473/B473,J472)</f>
        <v/>
      </c>
      <c r="K473">
        <f>IF(G473=1,0.2*R473/C473,K472)</f>
        <v/>
      </c>
      <c r="L473">
        <f>IF(G473=1,0.2*R473/D473,L472)</f>
        <v/>
      </c>
      <c r="M473">
        <f>IF(G473=1,0.2*R473/E473,M472)</f>
        <v/>
      </c>
      <c r="N473">
        <f>IF(G473=1,0.2*R473/F473,N472)</f>
        <v/>
      </c>
      <c r="O473">
        <f>IF(G473=1,R473*(1-1.0),IF(H472=0,1,O472*(1+0.00023125256064071564)))</f>
        <v/>
      </c>
      <c r="P473">
        <f>IF(G473=1,IF(H472=0,1,ABS(0.2-J472*B473/I473)+ABS(0.2-K472*C473/I473)+ABS(0.2-L472*D473/I473)+ABS(0.2-M472*E473/I473)+ABS(0.2-N472*F473/I473)),0)</f>
        <v/>
      </c>
      <c r="Q473">
        <f>P473*0.0015</f>
        <v/>
      </c>
      <c r="R473">
        <f>I473*(1-Q473)</f>
        <v/>
      </c>
      <c r="S473">
        <f>R473/R472-1</f>
        <v/>
      </c>
      <c r="T473">
        <f>MAX(T472,R473)</f>
        <v/>
      </c>
      <c r="U473">
        <f>R473/T473-1</f>
        <v/>
      </c>
      <c r="V473" t="n">
        <v>2.090374728273991</v>
      </c>
      <c r="W473" s="5">
        <f>R473-V473</f>
        <v/>
      </c>
    </row>
    <row r="474">
      <c r="A474" s="3" t="n">
        <v>39133</v>
      </c>
      <c r="B474">
        <f>Prices!B474</f>
        <v/>
      </c>
      <c r="C474">
        <f>Prices!C474</f>
        <v/>
      </c>
      <c r="D474">
        <f>Prices!D474</f>
        <v/>
      </c>
      <c r="E474">
        <f>Prices!E474</f>
        <v/>
      </c>
      <c r="F474">
        <f>Prices!F474</f>
        <v/>
      </c>
      <c r="G474">
        <f>IF(AND(472&gt;=16,TEXT(A474,"yyyy-mm")&lt;&gt;TEXT(A475,"yyyy-mm")),1,0)</f>
        <v/>
      </c>
      <c r="H474">
        <f>IF(OR(H473=1,G474=1),1,0)</f>
        <v/>
      </c>
      <c r="I474">
        <f>IF(H473=0,1,SUMPRODUCT(J473:N473,B474:F474)+O473*(1+0.00023125256064071564))</f>
        <v/>
      </c>
      <c r="J474">
        <f>IF(G474=1,0.2*R474/B474,J473)</f>
        <v/>
      </c>
      <c r="K474">
        <f>IF(G474=1,0.2*R474/C474,K473)</f>
        <v/>
      </c>
      <c r="L474">
        <f>IF(G474=1,0.2*R474/D474,L473)</f>
        <v/>
      </c>
      <c r="M474">
        <f>IF(G474=1,0.2*R474/E474,M473)</f>
        <v/>
      </c>
      <c r="N474">
        <f>IF(G474=1,0.2*R474/F474,N473)</f>
        <v/>
      </c>
      <c r="O474">
        <f>IF(G474=1,R474*(1-1.0),IF(H473=0,1,O473*(1+0.00023125256064071564)))</f>
        <v/>
      </c>
      <c r="P474">
        <f>IF(G474=1,IF(H473=0,1,ABS(0.2-J473*B474/I474)+ABS(0.2-K473*C474/I474)+ABS(0.2-L473*D474/I474)+ABS(0.2-M473*E474/I474)+ABS(0.2-N473*F474/I474)),0)</f>
        <v/>
      </c>
      <c r="Q474">
        <f>P474*0.0015</f>
        <v/>
      </c>
      <c r="R474">
        <f>I474*(1-Q474)</f>
        <v/>
      </c>
      <c r="S474">
        <f>R474/R473-1</f>
        <v/>
      </c>
      <c r="T474">
        <f>MAX(T473,R474)</f>
        <v/>
      </c>
      <c r="U474">
        <f>R474/T474-1</f>
        <v/>
      </c>
      <c r="V474" t="n">
        <v>2.067676936256725</v>
      </c>
      <c r="W474" s="5">
        <f>R474-V474</f>
        <v/>
      </c>
    </row>
    <row r="475">
      <c r="A475" s="3" t="n">
        <v>39134</v>
      </c>
      <c r="B475">
        <f>Prices!B475</f>
        <v/>
      </c>
      <c r="C475">
        <f>Prices!C475</f>
        <v/>
      </c>
      <c r="D475">
        <f>Prices!D475</f>
        <v/>
      </c>
      <c r="E475">
        <f>Prices!E475</f>
        <v/>
      </c>
      <c r="F475">
        <f>Prices!F475</f>
        <v/>
      </c>
      <c r="G475">
        <f>IF(AND(473&gt;=16,TEXT(A475,"yyyy-mm")&lt;&gt;TEXT(A476,"yyyy-mm")),1,0)</f>
        <v/>
      </c>
      <c r="H475">
        <f>IF(OR(H474=1,G475=1),1,0)</f>
        <v/>
      </c>
      <c r="I475">
        <f>IF(H474=0,1,SUMPRODUCT(J474:N474,B475:F475)+O474*(1+0.00023125256064071564))</f>
        <v/>
      </c>
      <c r="J475">
        <f>IF(G475=1,0.2*R475/B475,J474)</f>
        <v/>
      </c>
      <c r="K475">
        <f>IF(G475=1,0.2*R475/C475,K474)</f>
        <v/>
      </c>
      <c r="L475">
        <f>IF(G475=1,0.2*R475/D475,L474)</f>
        <v/>
      </c>
      <c r="M475">
        <f>IF(G475=1,0.2*R475/E475,M474)</f>
        <v/>
      </c>
      <c r="N475">
        <f>IF(G475=1,0.2*R475/F475,N474)</f>
        <v/>
      </c>
      <c r="O475">
        <f>IF(G475=1,R475*(1-1.0),IF(H474=0,1,O474*(1+0.00023125256064071564)))</f>
        <v/>
      </c>
      <c r="P475">
        <f>IF(G475=1,IF(H474=0,1,ABS(0.2-J474*B475/I475)+ABS(0.2-K474*C475/I475)+ABS(0.2-L474*D475/I475)+ABS(0.2-M474*E475/I475)+ABS(0.2-N474*F475/I475)),0)</f>
        <v/>
      </c>
      <c r="Q475">
        <f>P475*0.0015</f>
        <v/>
      </c>
      <c r="R475">
        <f>I475*(1-Q475)</f>
        <v/>
      </c>
      <c r="S475">
        <f>R475/R474-1</f>
        <v/>
      </c>
      <c r="T475">
        <f>MAX(T474,R475)</f>
        <v/>
      </c>
      <c r="U475">
        <f>R475/T475-1</f>
        <v/>
      </c>
      <c r="V475" t="n">
        <v>2.064542084457881</v>
      </c>
      <c r="W475" s="5">
        <f>R475-V475</f>
        <v/>
      </c>
    </row>
    <row r="476">
      <c r="A476" s="3" t="n">
        <v>39135</v>
      </c>
      <c r="B476">
        <f>Prices!B476</f>
        <v/>
      </c>
      <c r="C476">
        <f>Prices!C476</f>
        <v/>
      </c>
      <c r="D476">
        <f>Prices!D476</f>
        <v/>
      </c>
      <c r="E476">
        <f>Prices!E476</f>
        <v/>
      </c>
      <c r="F476">
        <f>Prices!F476</f>
        <v/>
      </c>
      <c r="G476">
        <f>IF(AND(474&gt;=16,TEXT(A476,"yyyy-mm")&lt;&gt;TEXT(A477,"yyyy-mm")),1,0)</f>
        <v/>
      </c>
      <c r="H476">
        <f>IF(OR(H475=1,G476=1),1,0)</f>
        <v/>
      </c>
      <c r="I476">
        <f>IF(H475=0,1,SUMPRODUCT(J475:N475,B476:F476)+O475*(1+0.00023125256064071564))</f>
        <v/>
      </c>
      <c r="J476">
        <f>IF(G476=1,0.2*R476/B476,J475)</f>
        <v/>
      </c>
      <c r="K476">
        <f>IF(G476=1,0.2*R476/C476,K475)</f>
        <v/>
      </c>
      <c r="L476">
        <f>IF(G476=1,0.2*R476/D476,L475)</f>
        <v/>
      </c>
      <c r="M476">
        <f>IF(G476=1,0.2*R476/E476,M475)</f>
        <v/>
      </c>
      <c r="N476">
        <f>IF(G476=1,0.2*R476/F476,N475)</f>
        <v/>
      </c>
      <c r="O476">
        <f>IF(G476=1,R476*(1-1.0),IF(H475=0,1,O475*(1+0.00023125256064071564)))</f>
        <v/>
      </c>
      <c r="P476">
        <f>IF(G476=1,IF(H475=0,1,ABS(0.2-J475*B476/I476)+ABS(0.2-K475*C476/I476)+ABS(0.2-L475*D476/I476)+ABS(0.2-M475*E476/I476)+ABS(0.2-N475*F476/I476)),0)</f>
        <v/>
      </c>
      <c r="Q476">
        <f>P476*0.0015</f>
        <v/>
      </c>
      <c r="R476">
        <f>I476*(1-Q476)</f>
        <v/>
      </c>
      <c r="S476">
        <f>R476/R475-1</f>
        <v/>
      </c>
      <c r="T476">
        <f>MAX(T475,R476)</f>
        <v/>
      </c>
      <c r="U476">
        <f>R476/T476-1</f>
        <v/>
      </c>
      <c r="V476" t="n">
        <v>2.030320476040574</v>
      </c>
      <c r="W476" s="5">
        <f>R476-V476</f>
        <v/>
      </c>
    </row>
    <row r="477">
      <c r="A477" s="3" t="n">
        <v>39136</v>
      </c>
      <c r="B477">
        <f>Prices!B477</f>
        <v/>
      </c>
      <c r="C477">
        <f>Prices!C477</f>
        <v/>
      </c>
      <c r="D477">
        <f>Prices!D477</f>
        <v/>
      </c>
      <c r="E477">
        <f>Prices!E477</f>
        <v/>
      </c>
      <c r="F477">
        <f>Prices!F477</f>
        <v/>
      </c>
      <c r="G477">
        <f>IF(AND(475&gt;=16,TEXT(A477,"yyyy-mm")&lt;&gt;TEXT(A478,"yyyy-mm")),1,0)</f>
        <v/>
      </c>
      <c r="H477">
        <f>IF(OR(H476=1,G477=1),1,0)</f>
        <v/>
      </c>
      <c r="I477">
        <f>IF(H476=0,1,SUMPRODUCT(J476:N476,B477:F477)+O476*(1+0.00023125256064071564))</f>
        <v/>
      </c>
      <c r="J477">
        <f>IF(G477=1,0.2*R477/B477,J476)</f>
        <v/>
      </c>
      <c r="K477">
        <f>IF(G477=1,0.2*R477/C477,K476)</f>
        <v/>
      </c>
      <c r="L477">
        <f>IF(G477=1,0.2*R477/D477,L476)</f>
        <v/>
      </c>
      <c r="M477">
        <f>IF(G477=1,0.2*R477/E477,M476)</f>
        <v/>
      </c>
      <c r="N477">
        <f>IF(G477=1,0.2*R477/F477,N476)</f>
        <v/>
      </c>
      <c r="O477">
        <f>IF(G477=1,R477*(1-1.0),IF(H476=0,1,O476*(1+0.00023125256064071564)))</f>
        <v/>
      </c>
      <c r="P477">
        <f>IF(G477=1,IF(H476=0,1,ABS(0.2-J476*B477/I477)+ABS(0.2-K476*C477/I477)+ABS(0.2-L476*D477/I477)+ABS(0.2-M476*E477/I477)+ABS(0.2-N476*F477/I477)),0)</f>
        <v/>
      </c>
      <c r="Q477">
        <f>P477*0.0015</f>
        <v/>
      </c>
      <c r="R477">
        <f>I477*(1-Q477)</f>
        <v/>
      </c>
      <c r="S477">
        <f>R477/R476-1</f>
        <v/>
      </c>
      <c r="T477">
        <f>MAX(T476,R477)</f>
        <v/>
      </c>
      <c r="U477">
        <f>R477/T477-1</f>
        <v/>
      </c>
      <c r="V477" t="n">
        <v>1.979819305765137</v>
      </c>
      <c r="W477" s="5">
        <f>R477-V477</f>
        <v/>
      </c>
    </row>
    <row r="478">
      <c r="A478" s="3" t="n">
        <v>39139</v>
      </c>
      <c r="B478">
        <f>Prices!B478</f>
        <v/>
      </c>
      <c r="C478">
        <f>Prices!C478</f>
        <v/>
      </c>
      <c r="D478">
        <f>Prices!D478</f>
        <v/>
      </c>
      <c r="E478">
        <f>Prices!E478</f>
        <v/>
      </c>
      <c r="F478">
        <f>Prices!F478</f>
        <v/>
      </c>
      <c r="G478">
        <f>IF(AND(476&gt;=16,TEXT(A478,"yyyy-mm")&lt;&gt;TEXT(A479,"yyyy-mm")),1,0)</f>
        <v/>
      </c>
      <c r="H478">
        <f>IF(OR(H477=1,G478=1),1,0)</f>
        <v/>
      </c>
      <c r="I478">
        <f>IF(H477=0,1,SUMPRODUCT(J477:N477,B478:F478)+O477*(1+0.00023125256064071564))</f>
        <v/>
      </c>
      <c r="J478">
        <f>IF(G478=1,0.2*R478/B478,J477)</f>
        <v/>
      </c>
      <c r="K478">
        <f>IF(G478=1,0.2*R478/C478,K477)</f>
        <v/>
      </c>
      <c r="L478">
        <f>IF(G478=1,0.2*R478/D478,L477)</f>
        <v/>
      </c>
      <c r="M478">
        <f>IF(G478=1,0.2*R478/E478,M477)</f>
        <v/>
      </c>
      <c r="N478">
        <f>IF(G478=1,0.2*R478/F478,N477)</f>
        <v/>
      </c>
      <c r="O478">
        <f>IF(G478=1,R478*(1-1.0),IF(H477=0,1,O477*(1+0.00023125256064071564)))</f>
        <v/>
      </c>
      <c r="P478">
        <f>IF(G478=1,IF(H477=0,1,ABS(0.2-J477*B478/I478)+ABS(0.2-K477*C478/I478)+ABS(0.2-L477*D478/I478)+ABS(0.2-M477*E478/I478)+ABS(0.2-N477*F478/I478)),0)</f>
        <v/>
      </c>
      <c r="Q478">
        <f>P478*0.0015</f>
        <v/>
      </c>
      <c r="R478">
        <f>I478*(1-Q478)</f>
        <v/>
      </c>
      <c r="S478">
        <f>R478/R477-1</f>
        <v/>
      </c>
      <c r="T478">
        <f>MAX(T477,R478)</f>
        <v/>
      </c>
      <c r="U478">
        <f>R478/T478-1</f>
        <v/>
      </c>
      <c r="V478" t="n">
        <v>1.990983984601123</v>
      </c>
      <c r="W478" s="5">
        <f>R478-V478</f>
        <v/>
      </c>
    </row>
    <row r="479">
      <c r="A479" s="3" t="n">
        <v>39140</v>
      </c>
      <c r="B479">
        <f>Prices!B479</f>
        <v/>
      </c>
      <c r="C479">
        <f>Prices!C479</f>
        <v/>
      </c>
      <c r="D479">
        <f>Prices!D479</f>
        <v/>
      </c>
      <c r="E479">
        <f>Prices!E479</f>
        <v/>
      </c>
      <c r="F479">
        <f>Prices!F479</f>
        <v/>
      </c>
      <c r="G479">
        <f>IF(AND(477&gt;=16,TEXT(A479,"yyyy-mm")&lt;&gt;TEXT(A480,"yyyy-mm")),1,0)</f>
        <v/>
      </c>
      <c r="H479">
        <f>IF(OR(H478=1,G479=1),1,0)</f>
        <v/>
      </c>
      <c r="I479">
        <f>IF(H478=0,1,SUMPRODUCT(J478:N478,B479:F479)+O478*(1+0.00023125256064071564))</f>
        <v/>
      </c>
      <c r="J479">
        <f>IF(G479=1,0.2*R479/B479,J478)</f>
        <v/>
      </c>
      <c r="K479">
        <f>IF(G479=1,0.2*R479/C479,K478)</f>
        <v/>
      </c>
      <c r="L479">
        <f>IF(G479=1,0.2*R479/D479,L478)</f>
        <v/>
      </c>
      <c r="M479">
        <f>IF(G479=1,0.2*R479/E479,M478)</f>
        <v/>
      </c>
      <c r="N479">
        <f>IF(G479=1,0.2*R479/F479,N478)</f>
        <v/>
      </c>
      <c r="O479">
        <f>IF(G479=1,R479*(1-1.0),IF(H478=0,1,O478*(1+0.00023125256064071564)))</f>
        <v/>
      </c>
      <c r="P479">
        <f>IF(G479=1,IF(H478=0,1,ABS(0.2-J478*B479/I479)+ABS(0.2-K478*C479/I479)+ABS(0.2-L478*D479/I479)+ABS(0.2-M478*E479/I479)+ABS(0.2-N478*F479/I479)),0)</f>
        <v/>
      </c>
      <c r="Q479">
        <f>P479*0.0015</f>
        <v/>
      </c>
      <c r="R479">
        <f>I479*(1-Q479)</f>
        <v/>
      </c>
      <c r="S479">
        <f>R479/R478-1</f>
        <v/>
      </c>
      <c r="T479">
        <f>MAX(T478,R479)</f>
        <v/>
      </c>
      <c r="U479">
        <f>R479/T479-1</f>
        <v/>
      </c>
      <c r="V479" t="n">
        <v>1.985902864851</v>
      </c>
      <c r="W479" s="5">
        <f>R479-V479</f>
        <v/>
      </c>
    </row>
    <row r="480">
      <c r="A480" s="3" t="n">
        <v>39141</v>
      </c>
      <c r="B480">
        <f>Prices!B480</f>
        <v/>
      </c>
      <c r="C480">
        <f>Prices!C480</f>
        <v/>
      </c>
      <c r="D480">
        <f>Prices!D480</f>
        <v/>
      </c>
      <c r="E480">
        <f>Prices!E480</f>
        <v/>
      </c>
      <c r="F480">
        <f>Prices!F480</f>
        <v/>
      </c>
      <c r="G480">
        <f>IF(AND(478&gt;=16,TEXT(A480,"yyyy-mm")&lt;&gt;TEXT(A481,"yyyy-mm")),1,0)</f>
        <v/>
      </c>
      <c r="H480">
        <f>IF(OR(H479=1,G480=1),1,0)</f>
        <v/>
      </c>
      <c r="I480">
        <f>IF(H479=0,1,SUMPRODUCT(J479:N479,B480:F480)+O479*(1+0.00023125256064071564))</f>
        <v/>
      </c>
      <c r="J480">
        <f>IF(G480=1,0.2*R480/B480,J479)</f>
        <v/>
      </c>
      <c r="K480">
        <f>IF(G480=1,0.2*R480/C480,K479)</f>
        <v/>
      </c>
      <c r="L480">
        <f>IF(G480=1,0.2*R480/D480,L479)</f>
        <v/>
      </c>
      <c r="M480">
        <f>IF(G480=1,0.2*R480/E480,M479)</f>
        <v/>
      </c>
      <c r="N480">
        <f>IF(G480=1,0.2*R480/F480,N479)</f>
        <v/>
      </c>
      <c r="O480">
        <f>IF(G480=1,R480*(1-1.0),IF(H479=0,1,O479*(1+0.00023125256064071564)))</f>
        <v/>
      </c>
      <c r="P480">
        <f>IF(G480=1,IF(H479=0,1,ABS(0.2-J479*B480/I480)+ABS(0.2-K479*C480/I480)+ABS(0.2-L479*D480/I480)+ABS(0.2-M479*E480/I480)+ABS(0.2-N479*F480/I480)),0)</f>
        <v/>
      </c>
      <c r="Q480">
        <f>P480*0.0015</f>
        <v/>
      </c>
      <c r="R480">
        <f>I480*(1-Q480)</f>
        <v/>
      </c>
      <c r="S480">
        <f>R480/R479-1</f>
        <v/>
      </c>
      <c r="T480">
        <f>MAX(T479,R480)</f>
        <v/>
      </c>
      <c r="U480">
        <f>R480/T480-1</f>
        <v/>
      </c>
      <c r="V480" t="n">
        <v>1.914551248311869</v>
      </c>
      <c r="W480" s="5">
        <f>R480-V480</f>
        <v/>
      </c>
    </row>
    <row r="481">
      <c r="A481" s="3" t="n">
        <v>39142</v>
      </c>
      <c r="B481">
        <f>Prices!B481</f>
        <v/>
      </c>
      <c r="C481">
        <f>Prices!C481</f>
        <v/>
      </c>
      <c r="D481">
        <f>Prices!D481</f>
        <v/>
      </c>
      <c r="E481">
        <f>Prices!E481</f>
        <v/>
      </c>
      <c r="F481">
        <f>Prices!F481</f>
        <v/>
      </c>
      <c r="G481">
        <f>IF(AND(479&gt;=16,TEXT(A481,"yyyy-mm")&lt;&gt;TEXT(A482,"yyyy-mm")),1,0)</f>
        <v/>
      </c>
      <c r="H481">
        <f>IF(OR(H480=1,G481=1),1,0)</f>
        <v/>
      </c>
      <c r="I481">
        <f>IF(H480=0,1,SUMPRODUCT(J480:N480,B481:F481)+O480*(1+0.00023125256064071564))</f>
        <v/>
      </c>
      <c r="J481">
        <f>IF(G481=1,0.2*R481/B481,J480)</f>
        <v/>
      </c>
      <c r="K481">
        <f>IF(G481=1,0.2*R481/C481,K480)</f>
        <v/>
      </c>
      <c r="L481">
        <f>IF(G481=1,0.2*R481/D481,L480)</f>
        <v/>
      </c>
      <c r="M481">
        <f>IF(G481=1,0.2*R481/E481,M480)</f>
        <v/>
      </c>
      <c r="N481">
        <f>IF(G481=1,0.2*R481/F481,N480)</f>
        <v/>
      </c>
      <c r="O481">
        <f>IF(G481=1,R481*(1-1.0),IF(H480=0,1,O480*(1+0.00023125256064071564)))</f>
        <v/>
      </c>
      <c r="P481">
        <f>IF(G481=1,IF(H480=0,1,ABS(0.2-J480*B481/I481)+ABS(0.2-K480*C481/I481)+ABS(0.2-L480*D481/I481)+ABS(0.2-M480*E481/I481)+ABS(0.2-N480*F481/I481)),0)</f>
        <v/>
      </c>
      <c r="Q481">
        <f>P481*0.0015</f>
        <v/>
      </c>
      <c r="R481">
        <f>I481*(1-Q481)</f>
        <v/>
      </c>
      <c r="S481">
        <f>R481/R480-1</f>
        <v/>
      </c>
      <c r="T481">
        <f>MAX(T480,R481)</f>
        <v/>
      </c>
      <c r="U481">
        <f>R481/T481-1</f>
        <v/>
      </c>
      <c r="V481" t="n">
        <v>1.920220762962983</v>
      </c>
      <c r="W481" s="5">
        <f>R481-V481</f>
        <v/>
      </c>
    </row>
    <row r="482">
      <c r="A482" s="3" t="n">
        <v>39143</v>
      </c>
      <c r="B482">
        <f>Prices!B482</f>
        <v/>
      </c>
      <c r="C482">
        <f>Prices!C482</f>
        <v/>
      </c>
      <c r="D482">
        <f>Prices!D482</f>
        <v/>
      </c>
      <c r="E482">
        <f>Prices!E482</f>
        <v/>
      </c>
      <c r="F482">
        <f>Prices!F482</f>
        <v/>
      </c>
      <c r="G482">
        <f>IF(AND(480&gt;=16,TEXT(A482,"yyyy-mm")&lt;&gt;TEXT(A483,"yyyy-mm")),1,0)</f>
        <v/>
      </c>
      <c r="H482">
        <f>IF(OR(H481=1,G482=1),1,0)</f>
        <v/>
      </c>
      <c r="I482">
        <f>IF(H481=0,1,SUMPRODUCT(J481:N481,B482:F482)+O481*(1+0.00023125256064071564))</f>
        <v/>
      </c>
      <c r="J482">
        <f>IF(G482=1,0.2*R482/B482,J481)</f>
        <v/>
      </c>
      <c r="K482">
        <f>IF(G482=1,0.2*R482/C482,K481)</f>
        <v/>
      </c>
      <c r="L482">
        <f>IF(G482=1,0.2*R482/D482,L481)</f>
        <v/>
      </c>
      <c r="M482">
        <f>IF(G482=1,0.2*R482/E482,M481)</f>
        <v/>
      </c>
      <c r="N482">
        <f>IF(G482=1,0.2*R482/F482,N481)</f>
        <v/>
      </c>
      <c r="O482">
        <f>IF(G482=1,R482*(1-1.0),IF(H481=0,1,O481*(1+0.00023125256064071564)))</f>
        <v/>
      </c>
      <c r="P482">
        <f>IF(G482=1,IF(H481=0,1,ABS(0.2-J481*B482/I482)+ABS(0.2-K481*C482/I482)+ABS(0.2-L481*D482/I482)+ABS(0.2-M481*E482/I482)+ABS(0.2-N481*F482/I482)),0)</f>
        <v/>
      </c>
      <c r="Q482">
        <f>P482*0.0015</f>
        <v/>
      </c>
      <c r="R482">
        <f>I482*(1-Q482)</f>
        <v/>
      </c>
      <c r="S482">
        <f>R482/R481-1</f>
        <v/>
      </c>
      <c r="T482">
        <f>MAX(T481,R482)</f>
        <v/>
      </c>
      <c r="U482">
        <f>R482/T482-1</f>
        <v/>
      </c>
      <c r="V482" t="n">
        <v>1.893366829049244</v>
      </c>
      <c r="W482" s="5">
        <f>R482-V482</f>
        <v/>
      </c>
    </row>
    <row r="483">
      <c r="A483" s="3" t="n">
        <v>39146</v>
      </c>
      <c r="B483">
        <f>Prices!B483</f>
        <v/>
      </c>
      <c r="C483">
        <f>Prices!C483</f>
        <v/>
      </c>
      <c r="D483">
        <f>Prices!D483</f>
        <v/>
      </c>
      <c r="E483">
        <f>Prices!E483</f>
        <v/>
      </c>
      <c r="F483">
        <f>Prices!F483</f>
        <v/>
      </c>
      <c r="G483">
        <f>IF(AND(481&gt;=16,TEXT(A483,"yyyy-mm")&lt;&gt;TEXT(A484,"yyyy-mm")),1,0)</f>
        <v/>
      </c>
      <c r="H483">
        <f>IF(OR(H482=1,G483=1),1,0)</f>
        <v/>
      </c>
      <c r="I483">
        <f>IF(H482=0,1,SUMPRODUCT(J482:N482,B483:F483)+O482*(1+0.00023125256064071564))</f>
        <v/>
      </c>
      <c r="J483">
        <f>IF(G483=1,0.2*R483/B483,J482)</f>
        <v/>
      </c>
      <c r="K483">
        <f>IF(G483=1,0.2*R483/C483,K482)</f>
        <v/>
      </c>
      <c r="L483">
        <f>IF(G483=1,0.2*R483/D483,L482)</f>
        <v/>
      </c>
      <c r="M483">
        <f>IF(G483=1,0.2*R483/E483,M482)</f>
        <v/>
      </c>
      <c r="N483">
        <f>IF(G483=1,0.2*R483/F483,N482)</f>
        <v/>
      </c>
      <c r="O483">
        <f>IF(G483=1,R483*(1-1.0),IF(H482=0,1,O482*(1+0.00023125256064071564)))</f>
        <v/>
      </c>
      <c r="P483">
        <f>IF(G483=1,IF(H482=0,1,ABS(0.2-J482*B483/I483)+ABS(0.2-K482*C483/I483)+ABS(0.2-L482*D483/I483)+ABS(0.2-M482*E483/I483)+ABS(0.2-N482*F483/I483)),0)</f>
        <v/>
      </c>
      <c r="Q483">
        <f>P483*0.0015</f>
        <v/>
      </c>
      <c r="R483">
        <f>I483*(1-Q483)</f>
        <v/>
      </c>
      <c r="S483">
        <f>R483/R482-1</f>
        <v/>
      </c>
      <c r="T483">
        <f>MAX(T482,R483)</f>
        <v/>
      </c>
      <c r="U483">
        <f>R483/T483-1</f>
        <v/>
      </c>
      <c r="V483" t="n">
        <v>1.802652690154204</v>
      </c>
      <c r="W483" s="5">
        <f>R483-V483</f>
        <v/>
      </c>
    </row>
    <row r="484">
      <c r="A484" s="3" t="n">
        <v>39147</v>
      </c>
      <c r="B484">
        <f>Prices!B484</f>
        <v/>
      </c>
      <c r="C484">
        <f>Prices!C484</f>
        <v/>
      </c>
      <c r="D484">
        <f>Prices!D484</f>
        <v/>
      </c>
      <c r="E484">
        <f>Prices!E484</f>
        <v/>
      </c>
      <c r="F484">
        <f>Prices!F484</f>
        <v/>
      </c>
      <c r="G484">
        <f>IF(AND(482&gt;=16,TEXT(A484,"yyyy-mm")&lt;&gt;TEXT(A485,"yyyy-mm")),1,0)</f>
        <v/>
      </c>
      <c r="H484">
        <f>IF(OR(H483=1,G484=1),1,0)</f>
        <v/>
      </c>
      <c r="I484">
        <f>IF(H483=0,1,SUMPRODUCT(J483:N483,B484:F484)+O483*(1+0.00023125256064071564))</f>
        <v/>
      </c>
      <c r="J484">
        <f>IF(G484=1,0.2*R484/B484,J483)</f>
        <v/>
      </c>
      <c r="K484">
        <f>IF(G484=1,0.2*R484/C484,K483)</f>
        <v/>
      </c>
      <c r="L484">
        <f>IF(G484=1,0.2*R484/D484,L483)</f>
        <v/>
      </c>
      <c r="M484">
        <f>IF(G484=1,0.2*R484/E484,M483)</f>
        <v/>
      </c>
      <c r="N484">
        <f>IF(G484=1,0.2*R484/F484,N483)</f>
        <v/>
      </c>
      <c r="O484">
        <f>IF(G484=1,R484*(1-1.0),IF(H483=0,1,O483*(1+0.00023125256064071564)))</f>
        <v/>
      </c>
      <c r="P484">
        <f>IF(G484=1,IF(H483=0,1,ABS(0.2-J483*B484/I484)+ABS(0.2-K483*C484/I484)+ABS(0.2-L483*D484/I484)+ABS(0.2-M483*E484/I484)+ABS(0.2-N483*F484/I484)),0)</f>
        <v/>
      </c>
      <c r="Q484">
        <f>P484*0.0015</f>
        <v/>
      </c>
      <c r="R484">
        <f>I484*(1-Q484)</f>
        <v/>
      </c>
      <c r="S484">
        <f>R484/R483-1</f>
        <v/>
      </c>
      <c r="T484">
        <f>MAX(T483,R484)</f>
        <v/>
      </c>
      <c r="U484">
        <f>R484/T484-1</f>
        <v/>
      </c>
      <c r="V484" t="n">
        <v>1.825008825566234</v>
      </c>
      <c r="W484" s="5">
        <f>R484-V484</f>
        <v/>
      </c>
    </row>
    <row r="485">
      <c r="A485" s="3" t="n">
        <v>39148</v>
      </c>
      <c r="B485">
        <f>Prices!B485</f>
        <v/>
      </c>
      <c r="C485">
        <f>Prices!C485</f>
        <v/>
      </c>
      <c r="D485">
        <f>Prices!D485</f>
        <v/>
      </c>
      <c r="E485">
        <f>Prices!E485</f>
        <v/>
      </c>
      <c r="F485">
        <f>Prices!F485</f>
        <v/>
      </c>
      <c r="G485">
        <f>IF(AND(483&gt;=16,TEXT(A485,"yyyy-mm")&lt;&gt;TEXT(A486,"yyyy-mm")),1,0)</f>
        <v/>
      </c>
      <c r="H485">
        <f>IF(OR(H484=1,G485=1),1,0)</f>
        <v/>
      </c>
      <c r="I485">
        <f>IF(H484=0,1,SUMPRODUCT(J484:N484,B485:F485)+O484*(1+0.00023125256064071564))</f>
        <v/>
      </c>
      <c r="J485">
        <f>IF(G485=1,0.2*R485/B485,J484)</f>
        <v/>
      </c>
      <c r="K485">
        <f>IF(G485=1,0.2*R485/C485,K484)</f>
        <v/>
      </c>
      <c r="L485">
        <f>IF(G485=1,0.2*R485/D485,L484)</f>
        <v/>
      </c>
      <c r="M485">
        <f>IF(G485=1,0.2*R485/E485,M484)</f>
        <v/>
      </c>
      <c r="N485">
        <f>IF(G485=1,0.2*R485/F485,N484)</f>
        <v/>
      </c>
      <c r="O485">
        <f>IF(G485=1,R485*(1-1.0),IF(H484=0,1,O484*(1+0.00023125256064071564)))</f>
        <v/>
      </c>
      <c r="P485">
        <f>IF(G485=1,IF(H484=0,1,ABS(0.2-J484*B485/I485)+ABS(0.2-K484*C485/I485)+ABS(0.2-L484*D485/I485)+ABS(0.2-M484*E485/I485)+ABS(0.2-N484*F485/I485)),0)</f>
        <v/>
      </c>
      <c r="Q485">
        <f>P485*0.0015</f>
        <v/>
      </c>
      <c r="R485">
        <f>I485*(1-Q485)</f>
        <v/>
      </c>
      <c r="S485">
        <f>R485/R484-1</f>
        <v/>
      </c>
      <c r="T485">
        <f>MAX(T484,R485)</f>
        <v/>
      </c>
      <c r="U485">
        <f>R485/T485-1</f>
        <v/>
      </c>
      <c r="V485" t="n">
        <v>1.796253958746817</v>
      </c>
      <c r="W485" s="5">
        <f>R485-V485</f>
        <v/>
      </c>
    </row>
    <row r="486">
      <c r="A486" s="3" t="n">
        <v>39149</v>
      </c>
      <c r="B486">
        <f>Prices!B486</f>
        <v/>
      </c>
      <c r="C486">
        <f>Prices!C486</f>
        <v/>
      </c>
      <c r="D486">
        <f>Prices!D486</f>
        <v/>
      </c>
      <c r="E486">
        <f>Prices!E486</f>
        <v/>
      </c>
      <c r="F486">
        <f>Prices!F486</f>
        <v/>
      </c>
      <c r="G486">
        <f>IF(AND(484&gt;=16,TEXT(A486,"yyyy-mm")&lt;&gt;TEXT(A487,"yyyy-mm")),1,0)</f>
        <v/>
      </c>
      <c r="H486">
        <f>IF(OR(H485=1,G486=1),1,0)</f>
        <v/>
      </c>
      <c r="I486">
        <f>IF(H485=0,1,SUMPRODUCT(J485:N485,B486:F486)+O485*(1+0.00023125256064071564))</f>
        <v/>
      </c>
      <c r="J486">
        <f>IF(G486=1,0.2*R486/B486,J485)</f>
        <v/>
      </c>
      <c r="K486">
        <f>IF(G486=1,0.2*R486/C486,K485)</f>
        <v/>
      </c>
      <c r="L486">
        <f>IF(G486=1,0.2*R486/D486,L485)</f>
        <v/>
      </c>
      <c r="M486">
        <f>IF(G486=1,0.2*R486/E486,M485)</f>
        <v/>
      </c>
      <c r="N486">
        <f>IF(G486=1,0.2*R486/F486,N485)</f>
        <v/>
      </c>
      <c r="O486">
        <f>IF(G486=1,R486*(1-1.0),IF(H485=0,1,O485*(1+0.00023125256064071564)))</f>
        <v/>
      </c>
      <c r="P486">
        <f>IF(G486=1,IF(H485=0,1,ABS(0.2-J485*B486/I486)+ABS(0.2-K485*C486/I486)+ABS(0.2-L485*D486/I486)+ABS(0.2-M485*E486/I486)+ABS(0.2-N485*F486/I486)),0)</f>
        <v/>
      </c>
      <c r="Q486">
        <f>P486*0.0015</f>
        <v/>
      </c>
      <c r="R486">
        <f>I486*(1-Q486)</f>
        <v/>
      </c>
      <c r="S486">
        <f>R486/R485-1</f>
        <v/>
      </c>
      <c r="T486">
        <f>MAX(T485,R486)</f>
        <v/>
      </c>
      <c r="U486">
        <f>R486/T486-1</f>
        <v/>
      </c>
      <c r="V486" t="n">
        <v>1.859813285423434</v>
      </c>
      <c r="W486" s="5">
        <f>R486-V486</f>
        <v/>
      </c>
    </row>
    <row r="487">
      <c r="A487" s="3" t="n">
        <v>39150</v>
      </c>
      <c r="B487">
        <f>Prices!B487</f>
        <v/>
      </c>
      <c r="C487">
        <f>Prices!C487</f>
        <v/>
      </c>
      <c r="D487">
        <f>Prices!D487</f>
        <v/>
      </c>
      <c r="E487">
        <f>Prices!E487</f>
        <v/>
      </c>
      <c r="F487">
        <f>Prices!F487</f>
        <v/>
      </c>
      <c r="G487">
        <f>IF(AND(485&gt;=16,TEXT(A487,"yyyy-mm")&lt;&gt;TEXT(A488,"yyyy-mm")),1,0)</f>
        <v/>
      </c>
      <c r="H487">
        <f>IF(OR(H486=1,G487=1),1,0)</f>
        <v/>
      </c>
      <c r="I487">
        <f>IF(H486=0,1,SUMPRODUCT(J486:N486,B487:F487)+O486*(1+0.00023125256064071564))</f>
        <v/>
      </c>
      <c r="J487">
        <f>IF(G487=1,0.2*R487/B487,J486)</f>
        <v/>
      </c>
      <c r="K487">
        <f>IF(G487=1,0.2*R487/C487,K486)</f>
        <v/>
      </c>
      <c r="L487">
        <f>IF(G487=1,0.2*R487/D487,L486)</f>
        <v/>
      </c>
      <c r="M487">
        <f>IF(G487=1,0.2*R487/E487,M486)</f>
        <v/>
      </c>
      <c r="N487">
        <f>IF(G487=1,0.2*R487/F487,N486)</f>
        <v/>
      </c>
      <c r="O487">
        <f>IF(G487=1,R487*(1-1.0),IF(H486=0,1,O486*(1+0.00023125256064071564)))</f>
        <v/>
      </c>
      <c r="P487">
        <f>IF(G487=1,IF(H486=0,1,ABS(0.2-J486*B487/I487)+ABS(0.2-K486*C487/I487)+ABS(0.2-L486*D487/I487)+ABS(0.2-M486*E487/I487)+ABS(0.2-N486*F487/I487)),0)</f>
        <v/>
      </c>
      <c r="Q487">
        <f>P487*0.0015</f>
        <v/>
      </c>
      <c r="R487">
        <f>I487*(1-Q487)</f>
        <v/>
      </c>
      <c r="S487">
        <f>R487/R486-1</f>
        <v/>
      </c>
      <c r="T487">
        <f>MAX(T486,R487)</f>
        <v/>
      </c>
      <c r="U487">
        <f>R487/T487-1</f>
        <v/>
      </c>
      <c r="V487" t="n">
        <v>1.845453499988914</v>
      </c>
      <c r="W487" s="5">
        <f>R487-V487</f>
        <v/>
      </c>
    </row>
    <row r="488">
      <c r="A488" s="3" t="n">
        <v>39153</v>
      </c>
      <c r="B488">
        <f>Prices!B488</f>
        <v/>
      </c>
      <c r="C488">
        <f>Prices!C488</f>
        <v/>
      </c>
      <c r="D488">
        <f>Prices!D488</f>
        <v/>
      </c>
      <c r="E488">
        <f>Prices!E488</f>
        <v/>
      </c>
      <c r="F488">
        <f>Prices!F488</f>
        <v/>
      </c>
      <c r="G488">
        <f>IF(AND(486&gt;=16,TEXT(A488,"yyyy-mm")&lt;&gt;TEXT(A489,"yyyy-mm")),1,0)</f>
        <v/>
      </c>
      <c r="H488">
        <f>IF(OR(H487=1,G488=1),1,0)</f>
        <v/>
      </c>
      <c r="I488">
        <f>IF(H487=0,1,SUMPRODUCT(J487:N487,B488:F488)+O487*(1+0.00023125256064071564))</f>
        <v/>
      </c>
      <c r="J488">
        <f>IF(G488=1,0.2*R488/B488,J487)</f>
        <v/>
      </c>
      <c r="K488">
        <f>IF(G488=1,0.2*R488/C488,K487)</f>
        <v/>
      </c>
      <c r="L488">
        <f>IF(G488=1,0.2*R488/D488,L487)</f>
        <v/>
      </c>
      <c r="M488">
        <f>IF(G488=1,0.2*R488/E488,M487)</f>
        <v/>
      </c>
      <c r="N488">
        <f>IF(G488=1,0.2*R488/F488,N487)</f>
        <v/>
      </c>
      <c r="O488">
        <f>IF(G488=1,R488*(1-1.0),IF(H487=0,1,O487*(1+0.00023125256064071564)))</f>
        <v/>
      </c>
      <c r="P488">
        <f>IF(G488=1,IF(H487=0,1,ABS(0.2-J487*B488/I488)+ABS(0.2-K487*C488/I488)+ABS(0.2-L487*D488/I488)+ABS(0.2-M487*E488/I488)+ABS(0.2-N487*F488/I488)),0)</f>
        <v/>
      </c>
      <c r="Q488">
        <f>P488*0.0015</f>
        <v/>
      </c>
      <c r="R488">
        <f>I488*(1-Q488)</f>
        <v/>
      </c>
      <c r="S488">
        <f>R488/R487-1</f>
        <v/>
      </c>
      <c r="T488">
        <f>MAX(T487,R488)</f>
        <v/>
      </c>
      <c r="U488">
        <f>R488/T488-1</f>
        <v/>
      </c>
      <c r="V488" t="n">
        <v>1.857253596442279</v>
      </c>
      <c r="W488" s="5">
        <f>R488-V488</f>
        <v/>
      </c>
    </row>
    <row r="489">
      <c r="A489" s="3" t="n">
        <v>39154</v>
      </c>
      <c r="B489">
        <f>Prices!B489</f>
        <v/>
      </c>
      <c r="C489">
        <f>Prices!C489</f>
        <v/>
      </c>
      <c r="D489">
        <f>Prices!D489</f>
        <v/>
      </c>
      <c r="E489">
        <f>Prices!E489</f>
        <v/>
      </c>
      <c r="F489">
        <f>Prices!F489</f>
        <v/>
      </c>
      <c r="G489">
        <f>IF(AND(487&gt;=16,TEXT(A489,"yyyy-mm")&lt;&gt;TEXT(A490,"yyyy-mm")),1,0)</f>
        <v/>
      </c>
      <c r="H489">
        <f>IF(OR(H488=1,G489=1),1,0)</f>
        <v/>
      </c>
      <c r="I489">
        <f>IF(H488=0,1,SUMPRODUCT(J488:N488,B489:F489)+O488*(1+0.00023125256064071564))</f>
        <v/>
      </c>
      <c r="J489">
        <f>IF(G489=1,0.2*R489/B489,J488)</f>
        <v/>
      </c>
      <c r="K489">
        <f>IF(G489=1,0.2*R489/C489,K488)</f>
        <v/>
      </c>
      <c r="L489">
        <f>IF(G489=1,0.2*R489/D489,L488)</f>
        <v/>
      </c>
      <c r="M489">
        <f>IF(G489=1,0.2*R489/E489,M488)</f>
        <v/>
      </c>
      <c r="N489">
        <f>IF(G489=1,0.2*R489/F489,N488)</f>
        <v/>
      </c>
      <c r="O489">
        <f>IF(G489=1,R489*(1-1.0),IF(H488=0,1,O488*(1+0.00023125256064071564)))</f>
        <v/>
      </c>
      <c r="P489">
        <f>IF(G489=1,IF(H488=0,1,ABS(0.2-J488*B489/I489)+ABS(0.2-K488*C489/I489)+ABS(0.2-L488*D489/I489)+ABS(0.2-M488*E489/I489)+ABS(0.2-N488*F489/I489)),0)</f>
        <v/>
      </c>
      <c r="Q489">
        <f>P489*0.0015</f>
        <v/>
      </c>
      <c r="R489">
        <f>I489*(1-Q489)</f>
        <v/>
      </c>
      <c r="S489">
        <f>R489/R488-1</f>
        <v/>
      </c>
      <c r="T489">
        <f>MAX(T488,R489)</f>
        <v/>
      </c>
      <c r="U489">
        <f>R489/T489-1</f>
        <v/>
      </c>
      <c r="V489" t="n">
        <v>1.880016531882634</v>
      </c>
      <c r="W489" s="5">
        <f>R489-V489</f>
        <v/>
      </c>
    </row>
    <row r="490">
      <c r="A490" s="3" t="n">
        <v>39155</v>
      </c>
      <c r="B490">
        <f>Prices!B490</f>
        <v/>
      </c>
      <c r="C490">
        <f>Prices!C490</f>
        <v/>
      </c>
      <c r="D490">
        <f>Prices!D490</f>
        <v/>
      </c>
      <c r="E490">
        <f>Prices!E490</f>
        <v/>
      </c>
      <c r="F490">
        <f>Prices!F490</f>
        <v/>
      </c>
      <c r="G490">
        <f>IF(AND(488&gt;=16,TEXT(A490,"yyyy-mm")&lt;&gt;TEXT(A491,"yyyy-mm")),1,0)</f>
        <v/>
      </c>
      <c r="H490">
        <f>IF(OR(H489=1,G490=1),1,0)</f>
        <v/>
      </c>
      <c r="I490">
        <f>IF(H489=0,1,SUMPRODUCT(J489:N489,B490:F490)+O489*(1+0.00023125256064071564))</f>
        <v/>
      </c>
      <c r="J490">
        <f>IF(G490=1,0.2*R490/B490,J489)</f>
        <v/>
      </c>
      <c r="K490">
        <f>IF(G490=1,0.2*R490/C490,K489)</f>
        <v/>
      </c>
      <c r="L490">
        <f>IF(G490=1,0.2*R490/D490,L489)</f>
        <v/>
      </c>
      <c r="M490">
        <f>IF(G490=1,0.2*R490/E490,M489)</f>
        <v/>
      </c>
      <c r="N490">
        <f>IF(G490=1,0.2*R490/F490,N489)</f>
        <v/>
      </c>
      <c r="O490">
        <f>IF(G490=1,R490*(1-1.0),IF(H489=0,1,O489*(1+0.00023125256064071564)))</f>
        <v/>
      </c>
      <c r="P490">
        <f>IF(G490=1,IF(H489=0,1,ABS(0.2-J489*B490/I490)+ABS(0.2-K489*C490/I490)+ABS(0.2-L489*D490/I490)+ABS(0.2-M489*E490/I490)+ABS(0.2-N489*F490/I490)),0)</f>
        <v/>
      </c>
      <c r="Q490">
        <f>P490*0.0015</f>
        <v/>
      </c>
      <c r="R490">
        <f>I490*(1-Q490)</f>
        <v/>
      </c>
      <c r="S490">
        <f>R490/R489-1</f>
        <v/>
      </c>
      <c r="T490">
        <f>MAX(T489,R490)</f>
        <v/>
      </c>
      <c r="U490">
        <f>R490/T490-1</f>
        <v/>
      </c>
      <c r="V490" t="n">
        <v>1.833000003797913</v>
      </c>
      <c r="W490" s="5">
        <f>R490-V490</f>
        <v/>
      </c>
    </row>
    <row r="491">
      <c r="A491" s="3" t="n">
        <v>39156</v>
      </c>
      <c r="B491">
        <f>Prices!B491</f>
        <v/>
      </c>
      <c r="C491">
        <f>Prices!C491</f>
        <v/>
      </c>
      <c r="D491">
        <f>Prices!D491</f>
        <v/>
      </c>
      <c r="E491">
        <f>Prices!E491</f>
        <v/>
      </c>
      <c r="F491">
        <f>Prices!F491</f>
        <v/>
      </c>
      <c r="G491">
        <f>IF(AND(489&gt;=16,TEXT(A491,"yyyy-mm")&lt;&gt;TEXT(A492,"yyyy-mm")),1,0)</f>
        <v/>
      </c>
      <c r="H491">
        <f>IF(OR(H490=1,G491=1),1,0)</f>
        <v/>
      </c>
      <c r="I491">
        <f>IF(H490=0,1,SUMPRODUCT(J490:N490,B491:F491)+O490*(1+0.00023125256064071564))</f>
        <v/>
      </c>
      <c r="J491">
        <f>IF(G491=1,0.2*R491/B491,J490)</f>
        <v/>
      </c>
      <c r="K491">
        <f>IF(G491=1,0.2*R491/C491,K490)</f>
        <v/>
      </c>
      <c r="L491">
        <f>IF(G491=1,0.2*R491/D491,L490)</f>
        <v/>
      </c>
      <c r="M491">
        <f>IF(G491=1,0.2*R491/E491,M490)</f>
        <v/>
      </c>
      <c r="N491">
        <f>IF(G491=1,0.2*R491/F491,N490)</f>
        <v/>
      </c>
      <c r="O491">
        <f>IF(G491=1,R491*(1-1.0),IF(H490=0,1,O490*(1+0.00023125256064071564)))</f>
        <v/>
      </c>
      <c r="P491">
        <f>IF(G491=1,IF(H490=0,1,ABS(0.2-J490*B491/I491)+ABS(0.2-K490*C491/I491)+ABS(0.2-L490*D491/I491)+ABS(0.2-M490*E491/I491)+ABS(0.2-N490*F491/I491)),0)</f>
        <v/>
      </c>
      <c r="Q491">
        <f>P491*0.0015</f>
        <v/>
      </c>
      <c r="R491">
        <f>I491*(1-Q491)</f>
        <v/>
      </c>
      <c r="S491">
        <f>R491/R490-1</f>
        <v/>
      </c>
      <c r="T491">
        <f>MAX(T490,R491)</f>
        <v/>
      </c>
      <c r="U491">
        <f>R491/T491-1</f>
        <v/>
      </c>
      <c r="V491" t="n">
        <v>1.843870446181142</v>
      </c>
      <c r="W491" s="5">
        <f>R491-V491</f>
        <v/>
      </c>
    </row>
    <row r="492">
      <c r="A492" s="3" t="n">
        <v>39157</v>
      </c>
      <c r="B492">
        <f>Prices!B492</f>
        <v/>
      </c>
      <c r="C492">
        <f>Prices!C492</f>
        <v/>
      </c>
      <c r="D492">
        <f>Prices!D492</f>
        <v/>
      </c>
      <c r="E492">
        <f>Prices!E492</f>
        <v/>
      </c>
      <c r="F492">
        <f>Prices!F492</f>
        <v/>
      </c>
      <c r="G492">
        <f>IF(AND(490&gt;=16,TEXT(A492,"yyyy-mm")&lt;&gt;TEXT(A493,"yyyy-mm")),1,0)</f>
        <v/>
      </c>
      <c r="H492">
        <f>IF(OR(H491=1,G492=1),1,0)</f>
        <v/>
      </c>
      <c r="I492">
        <f>IF(H491=0,1,SUMPRODUCT(J491:N491,B492:F492)+O491*(1+0.00023125256064071564))</f>
        <v/>
      </c>
      <c r="J492">
        <f>IF(G492=1,0.2*R492/B492,J491)</f>
        <v/>
      </c>
      <c r="K492">
        <f>IF(G492=1,0.2*R492/C492,K491)</f>
        <v/>
      </c>
      <c r="L492">
        <f>IF(G492=1,0.2*R492/D492,L491)</f>
        <v/>
      </c>
      <c r="M492">
        <f>IF(G492=1,0.2*R492/E492,M491)</f>
        <v/>
      </c>
      <c r="N492">
        <f>IF(G492=1,0.2*R492/F492,N491)</f>
        <v/>
      </c>
      <c r="O492">
        <f>IF(G492=1,R492*(1-1.0),IF(H491=0,1,O491*(1+0.00023125256064071564)))</f>
        <v/>
      </c>
      <c r="P492">
        <f>IF(G492=1,IF(H491=0,1,ABS(0.2-J491*B492/I492)+ABS(0.2-K491*C492/I492)+ABS(0.2-L491*D492/I492)+ABS(0.2-M491*E492/I492)+ABS(0.2-N491*F492/I492)),0)</f>
        <v/>
      </c>
      <c r="Q492">
        <f>P492*0.0015</f>
        <v/>
      </c>
      <c r="R492">
        <f>I492*(1-Q492)</f>
        <v/>
      </c>
      <c r="S492">
        <f>R492/R491-1</f>
        <v/>
      </c>
      <c r="T492">
        <f>MAX(T491,R492)</f>
        <v/>
      </c>
      <c r="U492">
        <f>R492/T492-1</f>
        <v/>
      </c>
      <c r="V492" t="n">
        <v>1.829100920820137</v>
      </c>
      <c r="W492" s="5">
        <f>R492-V492</f>
        <v/>
      </c>
    </row>
    <row r="493">
      <c r="A493" s="3" t="n">
        <v>39160</v>
      </c>
      <c r="B493">
        <f>Prices!B493</f>
        <v/>
      </c>
      <c r="C493">
        <f>Prices!C493</f>
        <v/>
      </c>
      <c r="D493">
        <f>Prices!D493</f>
        <v/>
      </c>
      <c r="E493">
        <f>Prices!E493</f>
        <v/>
      </c>
      <c r="F493">
        <f>Prices!F493</f>
        <v/>
      </c>
      <c r="G493">
        <f>IF(AND(491&gt;=16,TEXT(A493,"yyyy-mm")&lt;&gt;TEXT(A494,"yyyy-mm")),1,0)</f>
        <v/>
      </c>
      <c r="H493">
        <f>IF(OR(H492=1,G493=1),1,0)</f>
        <v/>
      </c>
      <c r="I493">
        <f>IF(H492=0,1,SUMPRODUCT(J492:N492,B493:F493)+O492*(1+0.00023125256064071564))</f>
        <v/>
      </c>
      <c r="J493">
        <f>IF(G493=1,0.2*R493/B493,J492)</f>
        <v/>
      </c>
      <c r="K493">
        <f>IF(G493=1,0.2*R493/C493,K492)</f>
        <v/>
      </c>
      <c r="L493">
        <f>IF(G493=1,0.2*R493/D493,L492)</f>
        <v/>
      </c>
      <c r="M493">
        <f>IF(G493=1,0.2*R493/E493,M492)</f>
        <v/>
      </c>
      <c r="N493">
        <f>IF(G493=1,0.2*R493/F493,N492)</f>
        <v/>
      </c>
      <c r="O493">
        <f>IF(G493=1,R493*(1-1.0),IF(H492=0,1,O492*(1+0.00023125256064071564)))</f>
        <v/>
      </c>
      <c r="P493">
        <f>IF(G493=1,IF(H492=0,1,ABS(0.2-J492*B493/I493)+ABS(0.2-K492*C493/I493)+ABS(0.2-L492*D493/I493)+ABS(0.2-M492*E493/I493)+ABS(0.2-N492*F493/I493)),0)</f>
        <v/>
      </c>
      <c r="Q493">
        <f>P493*0.0015</f>
        <v/>
      </c>
      <c r="R493">
        <f>I493*(1-Q493)</f>
        <v/>
      </c>
      <c r="S493">
        <f>R493/R492-1</f>
        <v/>
      </c>
      <c r="T493">
        <f>MAX(T492,R493)</f>
        <v/>
      </c>
      <c r="U493">
        <f>R493/T493-1</f>
        <v/>
      </c>
      <c r="V493" t="n">
        <v>1.85108194011287</v>
      </c>
      <c r="W493" s="5">
        <f>R493-V493</f>
        <v/>
      </c>
    </row>
    <row r="494">
      <c r="A494" s="3" t="n">
        <v>39161</v>
      </c>
      <c r="B494">
        <f>Prices!B494</f>
        <v/>
      </c>
      <c r="C494">
        <f>Prices!C494</f>
        <v/>
      </c>
      <c r="D494">
        <f>Prices!D494</f>
        <v/>
      </c>
      <c r="E494">
        <f>Prices!E494</f>
        <v/>
      </c>
      <c r="F494">
        <f>Prices!F494</f>
        <v/>
      </c>
      <c r="G494">
        <f>IF(AND(492&gt;=16,TEXT(A494,"yyyy-mm")&lt;&gt;TEXT(A495,"yyyy-mm")),1,0)</f>
        <v/>
      </c>
      <c r="H494">
        <f>IF(OR(H493=1,G494=1),1,0)</f>
        <v/>
      </c>
      <c r="I494">
        <f>IF(H493=0,1,SUMPRODUCT(J493:N493,B494:F494)+O493*(1+0.00023125256064071564))</f>
        <v/>
      </c>
      <c r="J494">
        <f>IF(G494=1,0.2*R494/B494,J493)</f>
        <v/>
      </c>
      <c r="K494">
        <f>IF(G494=1,0.2*R494/C494,K493)</f>
        <v/>
      </c>
      <c r="L494">
        <f>IF(G494=1,0.2*R494/D494,L493)</f>
        <v/>
      </c>
      <c r="M494">
        <f>IF(G494=1,0.2*R494/E494,M493)</f>
        <v/>
      </c>
      <c r="N494">
        <f>IF(G494=1,0.2*R494/F494,N493)</f>
        <v/>
      </c>
      <c r="O494">
        <f>IF(G494=1,R494*(1-1.0),IF(H493=0,1,O493*(1+0.00023125256064071564)))</f>
        <v/>
      </c>
      <c r="P494">
        <f>IF(G494=1,IF(H493=0,1,ABS(0.2-J493*B494/I494)+ABS(0.2-K493*C494/I494)+ABS(0.2-L493*D494/I494)+ABS(0.2-M493*E494/I494)+ABS(0.2-N493*F494/I494)),0)</f>
        <v/>
      </c>
      <c r="Q494">
        <f>P494*0.0015</f>
        <v/>
      </c>
      <c r="R494">
        <f>I494*(1-Q494)</f>
        <v/>
      </c>
      <c r="S494">
        <f>R494/R493-1</f>
        <v/>
      </c>
      <c r="T494">
        <f>MAX(T493,R494)</f>
        <v/>
      </c>
      <c r="U494">
        <f>R494/T494-1</f>
        <v/>
      </c>
      <c r="V494" t="n">
        <v>1.865615621295394</v>
      </c>
      <c r="W494" s="5">
        <f>R494-V494</f>
        <v/>
      </c>
    </row>
    <row r="495">
      <c r="A495" s="3" t="n">
        <v>39162</v>
      </c>
      <c r="B495">
        <f>Prices!B495</f>
        <v/>
      </c>
      <c r="C495">
        <f>Prices!C495</f>
        <v/>
      </c>
      <c r="D495">
        <f>Prices!D495</f>
        <v/>
      </c>
      <c r="E495">
        <f>Prices!E495</f>
        <v/>
      </c>
      <c r="F495">
        <f>Prices!F495</f>
        <v/>
      </c>
      <c r="G495">
        <f>IF(AND(493&gt;=16,TEXT(A495,"yyyy-mm")&lt;&gt;TEXT(A496,"yyyy-mm")),1,0)</f>
        <v/>
      </c>
      <c r="H495">
        <f>IF(OR(H494=1,G495=1),1,0)</f>
        <v/>
      </c>
      <c r="I495">
        <f>IF(H494=0,1,SUMPRODUCT(J494:N494,B495:F495)+O494*(1+0.00023125256064071564))</f>
        <v/>
      </c>
      <c r="J495">
        <f>IF(G495=1,0.2*R495/B495,J494)</f>
        <v/>
      </c>
      <c r="K495">
        <f>IF(G495=1,0.2*R495/C495,K494)</f>
        <v/>
      </c>
      <c r="L495">
        <f>IF(G495=1,0.2*R495/D495,L494)</f>
        <v/>
      </c>
      <c r="M495">
        <f>IF(G495=1,0.2*R495/E495,M494)</f>
        <v/>
      </c>
      <c r="N495">
        <f>IF(G495=1,0.2*R495/F495,N494)</f>
        <v/>
      </c>
      <c r="O495">
        <f>IF(G495=1,R495*(1-1.0),IF(H494=0,1,O494*(1+0.00023125256064071564)))</f>
        <v/>
      </c>
      <c r="P495">
        <f>IF(G495=1,IF(H494=0,1,ABS(0.2-J494*B495/I495)+ABS(0.2-K494*C495/I495)+ABS(0.2-L494*D495/I495)+ABS(0.2-M494*E495/I495)+ABS(0.2-N494*F495/I495)),0)</f>
        <v/>
      </c>
      <c r="Q495">
        <f>P495*0.0015</f>
        <v/>
      </c>
      <c r="R495">
        <f>I495*(1-Q495)</f>
        <v/>
      </c>
      <c r="S495">
        <f>R495/R494-1</f>
        <v/>
      </c>
      <c r="T495">
        <f>MAX(T494,R495)</f>
        <v/>
      </c>
      <c r="U495">
        <f>R495/T495-1</f>
        <v/>
      </c>
      <c r="V495" t="n">
        <v>1.882361657090345</v>
      </c>
      <c r="W495" s="5">
        <f>R495-V495</f>
        <v/>
      </c>
    </row>
    <row r="496">
      <c r="A496" s="3" t="n">
        <v>39163</v>
      </c>
      <c r="B496">
        <f>Prices!B496</f>
        <v/>
      </c>
      <c r="C496">
        <f>Prices!C496</f>
        <v/>
      </c>
      <c r="D496">
        <f>Prices!D496</f>
        <v/>
      </c>
      <c r="E496">
        <f>Prices!E496</f>
        <v/>
      </c>
      <c r="F496">
        <f>Prices!F496</f>
        <v/>
      </c>
      <c r="G496">
        <f>IF(AND(494&gt;=16,TEXT(A496,"yyyy-mm")&lt;&gt;TEXT(A497,"yyyy-mm")),1,0)</f>
        <v/>
      </c>
      <c r="H496">
        <f>IF(OR(H495=1,G496=1),1,0)</f>
        <v/>
      </c>
      <c r="I496">
        <f>IF(H495=0,1,SUMPRODUCT(J495:N495,B496:F496)+O495*(1+0.00023125256064071564))</f>
        <v/>
      </c>
      <c r="J496">
        <f>IF(G496=1,0.2*R496/B496,J495)</f>
        <v/>
      </c>
      <c r="K496">
        <f>IF(G496=1,0.2*R496/C496,K495)</f>
        <v/>
      </c>
      <c r="L496">
        <f>IF(G496=1,0.2*R496/D496,L495)</f>
        <v/>
      </c>
      <c r="M496">
        <f>IF(G496=1,0.2*R496/E496,M495)</f>
        <v/>
      </c>
      <c r="N496">
        <f>IF(G496=1,0.2*R496/F496,N495)</f>
        <v/>
      </c>
      <c r="O496">
        <f>IF(G496=1,R496*(1-1.0),IF(H495=0,1,O495*(1+0.00023125256064071564)))</f>
        <v/>
      </c>
      <c r="P496">
        <f>IF(G496=1,IF(H495=0,1,ABS(0.2-J495*B496/I496)+ABS(0.2-K495*C496/I496)+ABS(0.2-L495*D496/I496)+ABS(0.2-M495*E496/I496)+ABS(0.2-N495*F496/I496)),0)</f>
        <v/>
      </c>
      <c r="Q496">
        <f>P496*0.0015</f>
        <v/>
      </c>
      <c r="R496">
        <f>I496*(1-Q496)</f>
        <v/>
      </c>
      <c r="S496">
        <f>R496/R495-1</f>
        <v/>
      </c>
      <c r="T496">
        <f>MAX(T495,R496)</f>
        <v/>
      </c>
      <c r="U496">
        <f>R496/T496-1</f>
        <v/>
      </c>
      <c r="V496" t="n">
        <v>1.917147463627939</v>
      </c>
      <c r="W496" s="5">
        <f>R496-V496</f>
        <v/>
      </c>
    </row>
    <row r="497">
      <c r="A497" s="3" t="n">
        <v>39164</v>
      </c>
      <c r="B497">
        <f>Prices!B497</f>
        <v/>
      </c>
      <c r="C497">
        <f>Prices!C497</f>
        <v/>
      </c>
      <c r="D497">
        <f>Prices!D497</f>
        <v/>
      </c>
      <c r="E497">
        <f>Prices!E497</f>
        <v/>
      </c>
      <c r="F497">
        <f>Prices!F497</f>
        <v/>
      </c>
      <c r="G497">
        <f>IF(AND(495&gt;=16,TEXT(A497,"yyyy-mm")&lt;&gt;TEXT(A498,"yyyy-mm")),1,0)</f>
        <v/>
      </c>
      <c r="H497">
        <f>IF(OR(H496=1,G497=1),1,0)</f>
        <v/>
      </c>
      <c r="I497">
        <f>IF(H496=0,1,SUMPRODUCT(J496:N496,B497:F497)+O496*(1+0.00023125256064071564))</f>
        <v/>
      </c>
      <c r="J497">
        <f>IF(G497=1,0.2*R497/B497,J496)</f>
        <v/>
      </c>
      <c r="K497">
        <f>IF(G497=1,0.2*R497/C497,K496)</f>
        <v/>
      </c>
      <c r="L497">
        <f>IF(G497=1,0.2*R497/D497,L496)</f>
        <v/>
      </c>
      <c r="M497">
        <f>IF(G497=1,0.2*R497/E497,M496)</f>
        <v/>
      </c>
      <c r="N497">
        <f>IF(G497=1,0.2*R497/F497,N496)</f>
        <v/>
      </c>
      <c r="O497">
        <f>IF(G497=1,R497*(1-1.0),IF(H496=0,1,O496*(1+0.00023125256064071564)))</f>
        <v/>
      </c>
      <c r="P497">
        <f>IF(G497=1,IF(H496=0,1,ABS(0.2-J496*B497/I497)+ABS(0.2-K496*C497/I497)+ABS(0.2-L496*D497/I497)+ABS(0.2-M496*E497/I497)+ABS(0.2-N496*F497/I497)),0)</f>
        <v/>
      </c>
      <c r="Q497">
        <f>P497*0.0015</f>
        <v/>
      </c>
      <c r="R497">
        <f>I497*(1-Q497)</f>
        <v/>
      </c>
      <c r="S497">
        <f>R497/R496-1</f>
        <v/>
      </c>
      <c r="T497">
        <f>MAX(T496,R497)</f>
        <v/>
      </c>
      <c r="U497">
        <f>R497/T497-1</f>
        <v/>
      </c>
      <c r="V497" t="n">
        <v>1.915992745928587</v>
      </c>
      <c r="W497" s="5">
        <f>R497-V497</f>
        <v/>
      </c>
    </row>
    <row r="498">
      <c r="A498" s="3" t="n">
        <v>39167</v>
      </c>
      <c r="B498">
        <f>Prices!B498</f>
        <v/>
      </c>
      <c r="C498">
        <f>Prices!C498</f>
        <v/>
      </c>
      <c r="D498">
        <f>Prices!D498</f>
        <v/>
      </c>
      <c r="E498">
        <f>Prices!E498</f>
        <v/>
      </c>
      <c r="F498">
        <f>Prices!F498</f>
        <v/>
      </c>
      <c r="G498">
        <f>IF(AND(496&gt;=16,TEXT(A498,"yyyy-mm")&lt;&gt;TEXT(A499,"yyyy-mm")),1,0)</f>
        <v/>
      </c>
      <c r="H498">
        <f>IF(OR(H497=1,G498=1),1,0)</f>
        <v/>
      </c>
      <c r="I498">
        <f>IF(H497=0,1,SUMPRODUCT(J497:N497,B498:F498)+O497*(1+0.00023125256064071564))</f>
        <v/>
      </c>
      <c r="J498">
        <f>IF(G498=1,0.2*R498/B498,J497)</f>
        <v/>
      </c>
      <c r="K498">
        <f>IF(G498=1,0.2*R498/C498,K497)</f>
        <v/>
      </c>
      <c r="L498">
        <f>IF(G498=1,0.2*R498/D498,L497)</f>
        <v/>
      </c>
      <c r="M498">
        <f>IF(G498=1,0.2*R498/E498,M497)</f>
        <v/>
      </c>
      <c r="N498">
        <f>IF(G498=1,0.2*R498/F498,N497)</f>
        <v/>
      </c>
      <c r="O498">
        <f>IF(G498=1,R498*(1-1.0),IF(H497=0,1,O497*(1+0.00023125256064071564)))</f>
        <v/>
      </c>
      <c r="P498">
        <f>IF(G498=1,IF(H497=0,1,ABS(0.2-J497*B498/I498)+ABS(0.2-K497*C498/I498)+ABS(0.2-L497*D498/I498)+ABS(0.2-M497*E498/I498)+ABS(0.2-N497*F498/I498)),0)</f>
        <v/>
      </c>
      <c r="Q498">
        <f>P498*0.0015</f>
        <v/>
      </c>
      <c r="R498">
        <f>I498*(1-Q498)</f>
        <v/>
      </c>
      <c r="S498">
        <f>R498/R497-1</f>
        <v/>
      </c>
      <c r="T498">
        <f>MAX(T497,R498)</f>
        <v/>
      </c>
      <c r="U498">
        <f>R498/T498-1</f>
        <v/>
      </c>
      <c r="V498" t="n">
        <v>1.901634312523053</v>
      </c>
      <c r="W498" s="5">
        <f>R498-V498</f>
        <v/>
      </c>
    </row>
    <row r="499">
      <c r="A499" s="3" t="n">
        <v>39169</v>
      </c>
      <c r="B499">
        <f>Prices!B499</f>
        <v/>
      </c>
      <c r="C499">
        <f>Prices!C499</f>
        <v/>
      </c>
      <c r="D499">
        <f>Prices!D499</f>
        <v/>
      </c>
      <c r="E499">
        <f>Prices!E499</f>
        <v/>
      </c>
      <c r="F499">
        <f>Prices!F499</f>
        <v/>
      </c>
      <c r="G499">
        <f>IF(AND(497&gt;=16,TEXT(A499,"yyyy-mm")&lt;&gt;TEXT(A500,"yyyy-mm")),1,0)</f>
        <v/>
      </c>
      <c r="H499">
        <f>IF(OR(H498=1,G499=1),1,0)</f>
        <v/>
      </c>
      <c r="I499">
        <f>IF(H498=0,1,SUMPRODUCT(J498:N498,B499:F499)+O498*(1+0.00023125256064071564))</f>
        <v/>
      </c>
      <c r="J499">
        <f>IF(G499=1,0.2*R499/B499,J498)</f>
        <v/>
      </c>
      <c r="K499">
        <f>IF(G499=1,0.2*R499/C499,K498)</f>
        <v/>
      </c>
      <c r="L499">
        <f>IF(G499=1,0.2*R499/D499,L498)</f>
        <v/>
      </c>
      <c r="M499">
        <f>IF(G499=1,0.2*R499/E499,M498)</f>
        <v/>
      </c>
      <c r="N499">
        <f>IF(G499=1,0.2*R499/F499,N498)</f>
        <v/>
      </c>
      <c r="O499">
        <f>IF(G499=1,R499*(1-1.0),IF(H498=0,1,O498*(1+0.00023125256064071564)))</f>
        <v/>
      </c>
      <c r="P499">
        <f>IF(G499=1,IF(H498=0,1,ABS(0.2-J498*B499/I499)+ABS(0.2-K498*C499/I499)+ABS(0.2-L498*D499/I499)+ABS(0.2-M498*E499/I499)+ABS(0.2-N498*F499/I499)),0)</f>
        <v/>
      </c>
      <c r="Q499">
        <f>P499*0.0015</f>
        <v/>
      </c>
      <c r="R499">
        <f>I499*(1-Q499)</f>
        <v/>
      </c>
      <c r="S499">
        <f>R499/R498-1</f>
        <v/>
      </c>
      <c r="T499">
        <f>MAX(T498,R499)</f>
        <v/>
      </c>
      <c r="U499">
        <f>R499/T499-1</f>
        <v/>
      </c>
      <c r="V499" t="n">
        <v>1.876277078612873</v>
      </c>
      <c r="W499" s="5">
        <f>R499-V499</f>
        <v/>
      </c>
    </row>
    <row r="500">
      <c r="A500" s="3" t="n">
        <v>39170</v>
      </c>
      <c r="B500">
        <f>Prices!B500</f>
        <v/>
      </c>
      <c r="C500">
        <f>Prices!C500</f>
        <v/>
      </c>
      <c r="D500">
        <f>Prices!D500</f>
        <v/>
      </c>
      <c r="E500">
        <f>Prices!E500</f>
        <v/>
      </c>
      <c r="F500">
        <f>Prices!F500</f>
        <v/>
      </c>
      <c r="G500">
        <f>IF(AND(498&gt;=16,TEXT(A500,"yyyy-mm")&lt;&gt;TEXT(A501,"yyyy-mm")),1,0)</f>
        <v/>
      </c>
      <c r="H500">
        <f>IF(OR(H499=1,G500=1),1,0)</f>
        <v/>
      </c>
      <c r="I500">
        <f>IF(H499=0,1,SUMPRODUCT(J499:N499,B500:F500)+O499*(1+0.00023125256064071564))</f>
        <v/>
      </c>
      <c r="J500">
        <f>IF(G500=1,0.2*R500/B500,J499)</f>
        <v/>
      </c>
      <c r="K500">
        <f>IF(G500=1,0.2*R500/C500,K499)</f>
        <v/>
      </c>
      <c r="L500">
        <f>IF(G500=1,0.2*R500/D500,L499)</f>
        <v/>
      </c>
      <c r="M500">
        <f>IF(G500=1,0.2*R500/E500,M499)</f>
        <v/>
      </c>
      <c r="N500">
        <f>IF(G500=1,0.2*R500/F500,N499)</f>
        <v/>
      </c>
      <c r="O500">
        <f>IF(G500=1,R500*(1-1.0),IF(H499=0,1,O499*(1+0.00023125256064071564)))</f>
        <v/>
      </c>
      <c r="P500">
        <f>IF(G500=1,IF(H499=0,1,ABS(0.2-J499*B500/I500)+ABS(0.2-K499*C500/I500)+ABS(0.2-L499*D500/I500)+ABS(0.2-M499*E500/I500)+ABS(0.2-N499*F500/I500)),0)</f>
        <v/>
      </c>
      <c r="Q500">
        <f>P500*0.0015</f>
        <v/>
      </c>
      <c r="R500">
        <f>I500*(1-Q500)</f>
        <v/>
      </c>
      <c r="S500">
        <f>R500/R499-1</f>
        <v/>
      </c>
      <c r="T500">
        <f>MAX(T499,R500)</f>
        <v/>
      </c>
      <c r="U500">
        <f>R500/T500-1</f>
        <v/>
      </c>
      <c r="V500" t="n">
        <v>1.887654073207844</v>
      </c>
      <c r="W500" s="5">
        <f>R500-V500</f>
        <v/>
      </c>
    </row>
    <row r="501">
      <c r="A501" s="3" t="n">
        <v>39171</v>
      </c>
      <c r="B501">
        <f>Prices!B501</f>
        <v/>
      </c>
      <c r="C501">
        <f>Prices!C501</f>
        <v/>
      </c>
      <c r="D501">
        <f>Prices!D501</f>
        <v/>
      </c>
      <c r="E501">
        <f>Prices!E501</f>
        <v/>
      </c>
      <c r="F501">
        <f>Prices!F501</f>
        <v/>
      </c>
      <c r="G501">
        <f>IF(AND(499&gt;=16,TEXT(A501,"yyyy-mm")&lt;&gt;TEXT(A502,"yyyy-mm")),1,0)</f>
        <v/>
      </c>
      <c r="H501">
        <f>IF(OR(H500=1,G501=1),1,0)</f>
        <v/>
      </c>
      <c r="I501">
        <f>IF(H500=0,1,SUMPRODUCT(J500:N500,B501:F501)+O500*(1+0.00023125256064071564))</f>
        <v/>
      </c>
      <c r="J501">
        <f>IF(G501=1,0.2*R501/B501,J500)</f>
        <v/>
      </c>
      <c r="K501">
        <f>IF(G501=1,0.2*R501/C501,K500)</f>
        <v/>
      </c>
      <c r="L501">
        <f>IF(G501=1,0.2*R501/D501,L500)</f>
        <v/>
      </c>
      <c r="M501">
        <f>IF(G501=1,0.2*R501/E501,M500)</f>
        <v/>
      </c>
      <c r="N501">
        <f>IF(G501=1,0.2*R501/F501,N500)</f>
        <v/>
      </c>
      <c r="O501">
        <f>IF(G501=1,R501*(1-1.0),IF(H500=0,1,O500*(1+0.00023125256064071564)))</f>
        <v/>
      </c>
      <c r="P501">
        <f>IF(G501=1,IF(H500=0,1,ABS(0.2-J500*B501/I501)+ABS(0.2-K500*C501/I501)+ABS(0.2-L500*D501/I501)+ABS(0.2-M500*E501/I501)+ABS(0.2-N500*F501/I501)),0)</f>
        <v/>
      </c>
      <c r="Q501">
        <f>P501*0.0015</f>
        <v/>
      </c>
      <c r="R501">
        <f>I501*(1-Q501)</f>
        <v/>
      </c>
      <c r="S501">
        <f>R501/R500-1</f>
        <v/>
      </c>
      <c r="T501">
        <f>MAX(T500,R501)</f>
        <v/>
      </c>
      <c r="U501">
        <f>R501/T501-1</f>
        <v/>
      </c>
      <c r="V501" t="n">
        <v>1.907688813674557</v>
      </c>
      <c r="W501" s="5">
        <f>R501-V501</f>
        <v/>
      </c>
    </row>
    <row r="502">
      <c r="A502" s="3" t="n">
        <v>39174</v>
      </c>
      <c r="B502">
        <f>Prices!B502</f>
        <v/>
      </c>
      <c r="C502">
        <f>Prices!C502</f>
        <v/>
      </c>
      <c r="D502">
        <f>Prices!D502</f>
        <v/>
      </c>
      <c r="E502">
        <f>Prices!E502</f>
        <v/>
      </c>
      <c r="F502">
        <f>Prices!F502</f>
        <v/>
      </c>
      <c r="G502">
        <f>IF(AND(500&gt;=16,TEXT(A502,"yyyy-mm")&lt;&gt;TEXT(A503,"yyyy-mm")),1,0)</f>
        <v/>
      </c>
      <c r="H502">
        <f>IF(OR(H501=1,G502=1),1,0)</f>
        <v/>
      </c>
      <c r="I502">
        <f>IF(H501=0,1,SUMPRODUCT(J501:N501,B502:F502)+O501*(1+0.00023125256064071564))</f>
        <v/>
      </c>
      <c r="J502">
        <f>IF(G502=1,0.2*R502/B502,J501)</f>
        <v/>
      </c>
      <c r="K502">
        <f>IF(G502=1,0.2*R502/C502,K501)</f>
        <v/>
      </c>
      <c r="L502">
        <f>IF(G502=1,0.2*R502/D502,L501)</f>
        <v/>
      </c>
      <c r="M502">
        <f>IF(G502=1,0.2*R502/E502,M501)</f>
        <v/>
      </c>
      <c r="N502">
        <f>IF(G502=1,0.2*R502/F502,N501)</f>
        <v/>
      </c>
      <c r="O502">
        <f>IF(G502=1,R502*(1-1.0),IF(H501=0,1,O501*(1+0.00023125256064071564)))</f>
        <v/>
      </c>
      <c r="P502">
        <f>IF(G502=1,IF(H501=0,1,ABS(0.2-J501*B502/I502)+ABS(0.2-K501*C502/I502)+ABS(0.2-L501*D502/I502)+ABS(0.2-M501*E502/I502)+ABS(0.2-N501*F502/I502)),0)</f>
        <v/>
      </c>
      <c r="Q502">
        <f>P502*0.0015</f>
        <v/>
      </c>
      <c r="R502">
        <f>I502*(1-Q502)</f>
        <v/>
      </c>
      <c r="S502">
        <f>R502/R501-1</f>
        <v/>
      </c>
      <c r="T502">
        <f>MAX(T501,R502)</f>
        <v/>
      </c>
      <c r="U502">
        <f>R502/T502-1</f>
        <v/>
      </c>
      <c r="V502" t="n">
        <v>1.829108723563924</v>
      </c>
      <c r="W502" s="5">
        <f>R502-V502</f>
        <v/>
      </c>
    </row>
    <row r="503">
      <c r="A503" s="3" t="n">
        <v>39175</v>
      </c>
      <c r="B503">
        <f>Prices!B503</f>
        <v/>
      </c>
      <c r="C503">
        <f>Prices!C503</f>
        <v/>
      </c>
      <c r="D503">
        <f>Prices!D503</f>
        <v/>
      </c>
      <c r="E503">
        <f>Prices!E503</f>
        <v/>
      </c>
      <c r="F503">
        <f>Prices!F503</f>
        <v/>
      </c>
      <c r="G503">
        <f>IF(AND(501&gt;=16,TEXT(A503,"yyyy-mm")&lt;&gt;TEXT(A504,"yyyy-mm")),1,0)</f>
        <v/>
      </c>
      <c r="H503">
        <f>IF(OR(H502=1,G503=1),1,0)</f>
        <v/>
      </c>
      <c r="I503">
        <f>IF(H502=0,1,SUMPRODUCT(J502:N502,B503:F503)+O502*(1+0.00023125256064071564))</f>
        <v/>
      </c>
      <c r="J503">
        <f>IF(G503=1,0.2*R503/B503,J502)</f>
        <v/>
      </c>
      <c r="K503">
        <f>IF(G503=1,0.2*R503/C503,K502)</f>
        <v/>
      </c>
      <c r="L503">
        <f>IF(G503=1,0.2*R503/D503,L502)</f>
        <v/>
      </c>
      <c r="M503">
        <f>IF(G503=1,0.2*R503/E503,M502)</f>
        <v/>
      </c>
      <c r="N503">
        <f>IF(G503=1,0.2*R503/F503,N502)</f>
        <v/>
      </c>
      <c r="O503">
        <f>IF(G503=1,R503*(1-1.0),IF(H502=0,1,O502*(1+0.00023125256064071564)))</f>
        <v/>
      </c>
      <c r="P503">
        <f>IF(G503=1,IF(H502=0,1,ABS(0.2-J502*B503/I503)+ABS(0.2-K502*C503/I503)+ABS(0.2-L502*D503/I503)+ABS(0.2-M502*E503/I503)+ABS(0.2-N502*F503/I503)),0)</f>
        <v/>
      </c>
      <c r="Q503">
        <f>P503*0.0015</f>
        <v/>
      </c>
      <c r="R503">
        <f>I503*(1-Q503)</f>
        <v/>
      </c>
      <c r="S503">
        <f>R503/R502-1</f>
        <v/>
      </c>
      <c r="T503">
        <f>MAX(T502,R503)</f>
        <v/>
      </c>
      <c r="U503">
        <f>R503/T503-1</f>
        <v/>
      </c>
      <c r="V503" t="n">
        <v>1.844646223335439</v>
      </c>
      <c r="W503" s="5">
        <f>R503-V503</f>
        <v/>
      </c>
    </row>
    <row r="504">
      <c r="A504" s="3" t="n">
        <v>39176</v>
      </c>
      <c r="B504">
        <f>Prices!B504</f>
        <v/>
      </c>
      <c r="C504">
        <f>Prices!C504</f>
        <v/>
      </c>
      <c r="D504">
        <f>Prices!D504</f>
        <v/>
      </c>
      <c r="E504">
        <f>Prices!E504</f>
        <v/>
      </c>
      <c r="F504">
        <f>Prices!F504</f>
        <v/>
      </c>
      <c r="G504">
        <f>IF(AND(502&gt;=16,TEXT(A504,"yyyy-mm")&lt;&gt;TEXT(A505,"yyyy-mm")),1,0)</f>
        <v/>
      </c>
      <c r="H504">
        <f>IF(OR(H503=1,G504=1),1,0)</f>
        <v/>
      </c>
      <c r="I504">
        <f>IF(H503=0,1,SUMPRODUCT(J503:N503,B504:F504)+O503*(1+0.00023125256064071564))</f>
        <v/>
      </c>
      <c r="J504">
        <f>IF(G504=1,0.2*R504/B504,J503)</f>
        <v/>
      </c>
      <c r="K504">
        <f>IF(G504=1,0.2*R504/C504,K503)</f>
        <v/>
      </c>
      <c r="L504">
        <f>IF(G504=1,0.2*R504/D504,L503)</f>
        <v/>
      </c>
      <c r="M504">
        <f>IF(G504=1,0.2*R504/E504,M503)</f>
        <v/>
      </c>
      <c r="N504">
        <f>IF(G504=1,0.2*R504/F504,N503)</f>
        <v/>
      </c>
      <c r="O504">
        <f>IF(G504=1,R504*(1-1.0),IF(H503=0,1,O503*(1+0.00023125256064071564)))</f>
        <v/>
      </c>
      <c r="P504">
        <f>IF(G504=1,IF(H503=0,1,ABS(0.2-J503*B504/I504)+ABS(0.2-K503*C504/I504)+ABS(0.2-L503*D504/I504)+ABS(0.2-M503*E504/I504)+ABS(0.2-N503*F504/I504)),0)</f>
        <v/>
      </c>
      <c r="Q504">
        <f>P504*0.0015</f>
        <v/>
      </c>
      <c r="R504">
        <f>I504*(1-Q504)</f>
        <v/>
      </c>
      <c r="S504">
        <f>R504/R503-1</f>
        <v/>
      </c>
      <c r="T504">
        <f>MAX(T503,R504)</f>
        <v/>
      </c>
      <c r="U504">
        <f>R504/T504-1</f>
        <v/>
      </c>
      <c r="V504" t="n">
        <v>1.863690287148033</v>
      </c>
      <c r="W504" s="5">
        <f>R504-V504</f>
        <v/>
      </c>
    </row>
    <row r="505">
      <c r="A505" s="3" t="n">
        <v>39177</v>
      </c>
      <c r="B505">
        <f>Prices!B505</f>
        <v/>
      </c>
      <c r="C505">
        <f>Prices!C505</f>
        <v/>
      </c>
      <c r="D505">
        <f>Prices!D505</f>
        <v/>
      </c>
      <c r="E505">
        <f>Prices!E505</f>
        <v/>
      </c>
      <c r="F505">
        <f>Prices!F505</f>
        <v/>
      </c>
      <c r="G505">
        <f>IF(AND(503&gt;=16,TEXT(A505,"yyyy-mm")&lt;&gt;TEXT(A506,"yyyy-mm")),1,0)</f>
        <v/>
      </c>
      <c r="H505">
        <f>IF(OR(H504=1,G505=1),1,0)</f>
        <v/>
      </c>
      <c r="I505">
        <f>IF(H504=0,1,SUMPRODUCT(J504:N504,B505:F505)+O504*(1+0.00023125256064071564))</f>
        <v/>
      </c>
      <c r="J505">
        <f>IF(G505=1,0.2*R505/B505,J504)</f>
        <v/>
      </c>
      <c r="K505">
        <f>IF(G505=1,0.2*R505/C505,K504)</f>
        <v/>
      </c>
      <c r="L505">
        <f>IF(G505=1,0.2*R505/D505,L504)</f>
        <v/>
      </c>
      <c r="M505">
        <f>IF(G505=1,0.2*R505/E505,M504)</f>
        <v/>
      </c>
      <c r="N505">
        <f>IF(G505=1,0.2*R505/F505,N504)</f>
        <v/>
      </c>
      <c r="O505">
        <f>IF(G505=1,R505*(1-1.0),IF(H504=0,1,O504*(1+0.00023125256064071564)))</f>
        <v/>
      </c>
      <c r="P505">
        <f>IF(G505=1,IF(H504=0,1,ABS(0.2-J504*B505/I505)+ABS(0.2-K504*C505/I505)+ABS(0.2-L504*D505/I505)+ABS(0.2-M504*E505/I505)+ABS(0.2-N504*F505/I505)),0)</f>
        <v/>
      </c>
      <c r="Q505">
        <f>P505*0.0015</f>
        <v/>
      </c>
      <c r="R505">
        <f>I505*(1-Q505)</f>
        <v/>
      </c>
      <c r="S505">
        <f>R505/R504-1</f>
        <v/>
      </c>
      <c r="T505">
        <f>MAX(T504,R505)</f>
        <v/>
      </c>
      <c r="U505">
        <f>R505/T505-1</f>
        <v/>
      </c>
      <c r="V505" t="n">
        <v>1.880193839175252</v>
      </c>
      <c r="W505" s="5">
        <f>R505-V505</f>
        <v/>
      </c>
    </row>
    <row r="506">
      <c r="A506" s="3" t="n">
        <v>39181</v>
      </c>
      <c r="B506">
        <f>Prices!B506</f>
        <v/>
      </c>
      <c r="C506">
        <f>Prices!C506</f>
        <v/>
      </c>
      <c r="D506">
        <f>Prices!D506</f>
        <v/>
      </c>
      <c r="E506">
        <f>Prices!E506</f>
        <v/>
      </c>
      <c r="F506">
        <f>Prices!F506</f>
        <v/>
      </c>
      <c r="G506">
        <f>IF(AND(504&gt;=16,TEXT(A506,"yyyy-mm")&lt;&gt;TEXT(A507,"yyyy-mm")),1,0)</f>
        <v/>
      </c>
      <c r="H506">
        <f>IF(OR(H505=1,G506=1),1,0)</f>
        <v/>
      </c>
      <c r="I506">
        <f>IF(H505=0,1,SUMPRODUCT(J505:N505,B506:F506)+O505*(1+0.00023125256064071564))</f>
        <v/>
      </c>
      <c r="J506">
        <f>IF(G506=1,0.2*R506/B506,J505)</f>
        <v/>
      </c>
      <c r="K506">
        <f>IF(G506=1,0.2*R506/C506,K505)</f>
        <v/>
      </c>
      <c r="L506">
        <f>IF(G506=1,0.2*R506/D506,L505)</f>
        <v/>
      </c>
      <c r="M506">
        <f>IF(G506=1,0.2*R506/E506,M505)</f>
        <v/>
      </c>
      <c r="N506">
        <f>IF(G506=1,0.2*R506/F506,N505)</f>
        <v/>
      </c>
      <c r="O506">
        <f>IF(G506=1,R506*(1-1.0),IF(H505=0,1,O505*(1+0.00023125256064071564)))</f>
        <v/>
      </c>
      <c r="P506">
        <f>IF(G506=1,IF(H505=0,1,ABS(0.2-J505*B506/I506)+ABS(0.2-K505*C506/I506)+ABS(0.2-L505*D506/I506)+ABS(0.2-M505*E506/I506)+ABS(0.2-N505*F506/I506)),0)</f>
        <v/>
      </c>
      <c r="Q506">
        <f>P506*0.0015</f>
        <v/>
      </c>
      <c r="R506">
        <f>I506*(1-Q506)</f>
        <v/>
      </c>
      <c r="S506">
        <f>R506/R505-1</f>
        <v/>
      </c>
      <c r="T506">
        <f>MAX(T505,R506)</f>
        <v/>
      </c>
      <c r="U506">
        <f>R506/T506-1</f>
        <v/>
      </c>
      <c r="V506" t="n">
        <v>1.9282961106288</v>
      </c>
      <c r="W506" s="5">
        <f>R506-V506</f>
        <v/>
      </c>
    </row>
    <row r="507">
      <c r="A507" s="3" t="n">
        <v>39182</v>
      </c>
      <c r="B507">
        <f>Prices!B507</f>
        <v/>
      </c>
      <c r="C507">
        <f>Prices!C507</f>
        <v/>
      </c>
      <c r="D507">
        <f>Prices!D507</f>
        <v/>
      </c>
      <c r="E507">
        <f>Prices!E507</f>
        <v/>
      </c>
      <c r="F507">
        <f>Prices!F507</f>
        <v/>
      </c>
      <c r="G507">
        <f>IF(AND(505&gt;=16,TEXT(A507,"yyyy-mm")&lt;&gt;TEXT(A508,"yyyy-mm")),1,0)</f>
        <v/>
      </c>
      <c r="H507">
        <f>IF(OR(H506=1,G507=1),1,0)</f>
        <v/>
      </c>
      <c r="I507">
        <f>IF(H506=0,1,SUMPRODUCT(J506:N506,B507:F507)+O506*(1+0.00023125256064071564))</f>
        <v/>
      </c>
      <c r="J507">
        <f>IF(G507=1,0.2*R507/B507,J506)</f>
        <v/>
      </c>
      <c r="K507">
        <f>IF(G507=1,0.2*R507/C507,K506)</f>
        <v/>
      </c>
      <c r="L507">
        <f>IF(G507=1,0.2*R507/D507,L506)</f>
        <v/>
      </c>
      <c r="M507">
        <f>IF(G507=1,0.2*R507/E507,M506)</f>
        <v/>
      </c>
      <c r="N507">
        <f>IF(G507=1,0.2*R507/F507,N506)</f>
        <v/>
      </c>
      <c r="O507">
        <f>IF(G507=1,R507*(1-1.0),IF(H506=0,1,O506*(1+0.00023125256064071564)))</f>
        <v/>
      </c>
      <c r="P507">
        <f>IF(G507=1,IF(H506=0,1,ABS(0.2-J506*B507/I507)+ABS(0.2-K506*C507/I507)+ABS(0.2-L506*D507/I507)+ABS(0.2-M506*E507/I507)+ABS(0.2-N506*F507/I507)),0)</f>
        <v/>
      </c>
      <c r="Q507">
        <f>P507*0.0015</f>
        <v/>
      </c>
      <c r="R507">
        <f>I507*(1-Q507)</f>
        <v/>
      </c>
      <c r="S507">
        <f>R507/R506-1</f>
        <v/>
      </c>
      <c r="T507">
        <f>MAX(T506,R507)</f>
        <v/>
      </c>
      <c r="U507">
        <f>R507/T507-1</f>
        <v/>
      </c>
      <c r="V507" t="n">
        <v>1.949005165303702</v>
      </c>
      <c r="W507" s="5">
        <f>R507-V507</f>
        <v/>
      </c>
    </row>
    <row r="508">
      <c r="A508" s="3" t="n">
        <v>39183</v>
      </c>
      <c r="B508">
        <f>Prices!B508</f>
        <v/>
      </c>
      <c r="C508">
        <f>Prices!C508</f>
        <v/>
      </c>
      <c r="D508">
        <f>Prices!D508</f>
        <v/>
      </c>
      <c r="E508">
        <f>Prices!E508</f>
        <v/>
      </c>
      <c r="F508">
        <f>Prices!F508</f>
        <v/>
      </c>
      <c r="G508">
        <f>IF(AND(506&gt;=16,TEXT(A508,"yyyy-mm")&lt;&gt;TEXT(A509,"yyyy-mm")),1,0)</f>
        <v/>
      </c>
      <c r="H508">
        <f>IF(OR(H507=1,G508=1),1,0)</f>
        <v/>
      </c>
      <c r="I508">
        <f>IF(H507=0,1,SUMPRODUCT(J507:N507,B508:F508)+O507*(1+0.00023125256064071564))</f>
        <v/>
      </c>
      <c r="J508">
        <f>IF(G508=1,0.2*R508/B508,J507)</f>
        <v/>
      </c>
      <c r="K508">
        <f>IF(G508=1,0.2*R508/C508,K507)</f>
        <v/>
      </c>
      <c r="L508">
        <f>IF(G508=1,0.2*R508/D508,L507)</f>
        <v/>
      </c>
      <c r="M508">
        <f>IF(G508=1,0.2*R508/E508,M507)</f>
        <v/>
      </c>
      <c r="N508">
        <f>IF(G508=1,0.2*R508/F508,N507)</f>
        <v/>
      </c>
      <c r="O508">
        <f>IF(G508=1,R508*(1-1.0),IF(H507=0,1,O507*(1+0.00023125256064071564)))</f>
        <v/>
      </c>
      <c r="P508">
        <f>IF(G508=1,IF(H507=0,1,ABS(0.2-J507*B508/I508)+ABS(0.2-K507*C508/I508)+ABS(0.2-L507*D508/I508)+ABS(0.2-M507*E508/I508)+ABS(0.2-N507*F508/I508)),0)</f>
        <v/>
      </c>
      <c r="Q508">
        <f>P508*0.0015</f>
        <v/>
      </c>
      <c r="R508">
        <f>I508*(1-Q508)</f>
        <v/>
      </c>
      <c r="S508">
        <f>R508/R507-1</f>
        <v/>
      </c>
      <c r="T508">
        <f>MAX(T507,R508)</f>
        <v/>
      </c>
      <c r="U508">
        <f>R508/T508-1</f>
        <v/>
      </c>
      <c r="V508" t="n">
        <v>1.958038569391973</v>
      </c>
      <c r="W508" s="5">
        <f>R508-V508</f>
        <v/>
      </c>
    </row>
    <row r="509">
      <c r="A509" s="3" t="n">
        <v>39184</v>
      </c>
      <c r="B509">
        <f>Prices!B509</f>
        <v/>
      </c>
      <c r="C509">
        <f>Prices!C509</f>
        <v/>
      </c>
      <c r="D509">
        <f>Prices!D509</f>
        <v/>
      </c>
      <c r="E509">
        <f>Prices!E509</f>
        <v/>
      </c>
      <c r="F509">
        <f>Prices!F509</f>
        <v/>
      </c>
      <c r="G509">
        <f>IF(AND(507&gt;=16,TEXT(A509,"yyyy-mm")&lt;&gt;TEXT(A510,"yyyy-mm")),1,0)</f>
        <v/>
      </c>
      <c r="H509">
        <f>IF(OR(H508=1,G509=1),1,0)</f>
        <v/>
      </c>
      <c r="I509">
        <f>IF(H508=0,1,SUMPRODUCT(J508:N508,B509:F509)+O508*(1+0.00023125256064071564))</f>
        <v/>
      </c>
      <c r="J509">
        <f>IF(G509=1,0.2*R509/B509,J508)</f>
        <v/>
      </c>
      <c r="K509">
        <f>IF(G509=1,0.2*R509/C509,K508)</f>
        <v/>
      </c>
      <c r="L509">
        <f>IF(G509=1,0.2*R509/D509,L508)</f>
        <v/>
      </c>
      <c r="M509">
        <f>IF(G509=1,0.2*R509/E509,M508)</f>
        <v/>
      </c>
      <c r="N509">
        <f>IF(G509=1,0.2*R509/F509,N508)</f>
        <v/>
      </c>
      <c r="O509">
        <f>IF(G509=1,R509*(1-1.0),IF(H508=0,1,O508*(1+0.00023125256064071564)))</f>
        <v/>
      </c>
      <c r="P509">
        <f>IF(G509=1,IF(H508=0,1,ABS(0.2-J508*B509/I509)+ABS(0.2-K508*C509/I509)+ABS(0.2-L508*D509/I509)+ABS(0.2-M508*E509/I509)+ABS(0.2-N508*F509/I509)),0)</f>
        <v/>
      </c>
      <c r="Q509">
        <f>P509*0.0015</f>
        <v/>
      </c>
      <c r="R509">
        <f>I509*(1-Q509)</f>
        <v/>
      </c>
      <c r="S509">
        <f>R509/R508-1</f>
        <v/>
      </c>
      <c r="T509">
        <f>MAX(T508,R509)</f>
        <v/>
      </c>
      <c r="U509">
        <f>R509/T509-1</f>
        <v/>
      </c>
      <c r="V509" t="n">
        <v>1.94822865978787</v>
      </c>
      <c r="W509" s="5">
        <f>R509-V509</f>
        <v/>
      </c>
    </row>
    <row r="510">
      <c r="A510" s="3" t="n">
        <v>39185</v>
      </c>
      <c r="B510">
        <f>Prices!B510</f>
        <v/>
      </c>
      <c r="C510">
        <f>Prices!C510</f>
        <v/>
      </c>
      <c r="D510">
        <f>Prices!D510</f>
        <v/>
      </c>
      <c r="E510">
        <f>Prices!E510</f>
        <v/>
      </c>
      <c r="F510">
        <f>Prices!F510</f>
        <v/>
      </c>
      <c r="G510">
        <f>IF(AND(508&gt;=16,TEXT(A510,"yyyy-mm")&lt;&gt;TEXT(A511,"yyyy-mm")),1,0)</f>
        <v/>
      </c>
      <c r="H510">
        <f>IF(OR(H509=1,G510=1),1,0)</f>
        <v/>
      </c>
      <c r="I510">
        <f>IF(H509=0,1,SUMPRODUCT(J509:N509,B510:F510)+O509*(1+0.00023125256064071564))</f>
        <v/>
      </c>
      <c r="J510">
        <f>IF(G510=1,0.2*R510/B510,J509)</f>
        <v/>
      </c>
      <c r="K510">
        <f>IF(G510=1,0.2*R510/C510,K509)</f>
        <v/>
      </c>
      <c r="L510">
        <f>IF(G510=1,0.2*R510/D510,L509)</f>
        <v/>
      </c>
      <c r="M510">
        <f>IF(G510=1,0.2*R510/E510,M509)</f>
        <v/>
      </c>
      <c r="N510">
        <f>IF(G510=1,0.2*R510/F510,N509)</f>
        <v/>
      </c>
      <c r="O510">
        <f>IF(G510=1,R510*(1-1.0),IF(H509=0,1,O509*(1+0.00023125256064071564)))</f>
        <v/>
      </c>
      <c r="P510">
        <f>IF(G510=1,IF(H509=0,1,ABS(0.2-J509*B510/I510)+ABS(0.2-K509*C510/I510)+ABS(0.2-L509*D510/I510)+ABS(0.2-M509*E510/I510)+ABS(0.2-N509*F510/I510)),0)</f>
        <v/>
      </c>
      <c r="Q510">
        <f>P510*0.0015</f>
        <v/>
      </c>
      <c r="R510">
        <f>I510*(1-Q510)</f>
        <v/>
      </c>
      <c r="S510">
        <f>R510/R509-1</f>
        <v/>
      </c>
      <c r="T510">
        <f>MAX(T509,R510)</f>
        <v/>
      </c>
      <c r="U510">
        <f>R510/T510-1</f>
        <v/>
      </c>
      <c r="V510" t="n">
        <v>1.986517776431332</v>
      </c>
      <c r="W510" s="5">
        <f>R510-V510</f>
        <v/>
      </c>
    </row>
    <row r="511">
      <c r="A511" s="3" t="n">
        <v>39188</v>
      </c>
      <c r="B511">
        <f>Prices!B511</f>
        <v/>
      </c>
      <c r="C511">
        <f>Prices!C511</f>
        <v/>
      </c>
      <c r="D511">
        <f>Prices!D511</f>
        <v/>
      </c>
      <c r="E511">
        <f>Prices!E511</f>
        <v/>
      </c>
      <c r="F511">
        <f>Prices!F511</f>
        <v/>
      </c>
      <c r="G511">
        <f>IF(AND(509&gt;=16,TEXT(A511,"yyyy-mm")&lt;&gt;TEXT(A512,"yyyy-mm")),1,0)</f>
        <v/>
      </c>
      <c r="H511">
        <f>IF(OR(H510=1,G511=1),1,0)</f>
        <v/>
      </c>
      <c r="I511">
        <f>IF(H510=0,1,SUMPRODUCT(J510:N510,B511:F511)+O510*(1+0.00023125256064071564))</f>
        <v/>
      </c>
      <c r="J511">
        <f>IF(G511=1,0.2*R511/B511,J510)</f>
        <v/>
      </c>
      <c r="K511">
        <f>IF(G511=1,0.2*R511/C511,K510)</f>
        <v/>
      </c>
      <c r="L511">
        <f>IF(G511=1,0.2*R511/D511,L510)</f>
        <v/>
      </c>
      <c r="M511">
        <f>IF(G511=1,0.2*R511/E511,M510)</f>
        <v/>
      </c>
      <c r="N511">
        <f>IF(G511=1,0.2*R511/F511,N510)</f>
        <v/>
      </c>
      <c r="O511">
        <f>IF(G511=1,R511*(1-1.0),IF(H510=0,1,O510*(1+0.00023125256064071564)))</f>
        <v/>
      </c>
      <c r="P511">
        <f>IF(G511=1,IF(H510=0,1,ABS(0.2-J510*B511/I511)+ABS(0.2-K510*C511/I511)+ABS(0.2-L510*D511/I511)+ABS(0.2-M510*E511/I511)+ABS(0.2-N510*F511/I511)),0)</f>
        <v/>
      </c>
      <c r="Q511">
        <f>P511*0.0015</f>
        <v/>
      </c>
      <c r="R511">
        <f>I511*(1-Q511)</f>
        <v/>
      </c>
      <c r="S511">
        <f>R511/R510-1</f>
        <v/>
      </c>
      <c r="T511">
        <f>MAX(T510,R511)</f>
        <v/>
      </c>
      <c r="U511">
        <f>R511/T511-1</f>
        <v/>
      </c>
      <c r="V511" t="n">
        <v>2.023085696978706</v>
      </c>
      <c r="W511" s="5">
        <f>R511-V511</f>
        <v/>
      </c>
    </row>
    <row r="512">
      <c r="A512" s="3" t="n">
        <v>39189</v>
      </c>
      <c r="B512">
        <f>Prices!B512</f>
        <v/>
      </c>
      <c r="C512">
        <f>Prices!C512</f>
        <v/>
      </c>
      <c r="D512">
        <f>Prices!D512</f>
        <v/>
      </c>
      <c r="E512">
        <f>Prices!E512</f>
        <v/>
      </c>
      <c r="F512">
        <f>Prices!F512</f>
        <v/>
      </c>
      <c r="G512">
        <f>IF(AND(510&gt;=16,TEXT(A512,"yyyy-mm")&lt;&gt;TEXT(A513,"yyyy-mm")),1,0)</f>
        <v/>
      </c>
      <c r="H512">
        <f>IF(OR(H511=1,G512=1),1,0)</f>
        <v/>
      </c>
      <c r="I512">
        <f>IF(H511=0,1,SUMPRODUCT(J511:N511,B512:F512)+O511*(1+0.00023125256064071564))</f>
        <v/>
      </c>
      <c r="J512">
        <f>IF(G512=1,0.2*R512/B512,J511)</f>
        <v/>
      </c>
      <c r="K512">
        <f>IF(G512=1,0.2*R512/C512,K511)</f>
        <v/>
      </c>
      <c r="L512">
        <f>IF(G512=1,0.2*R512/D512,L511)</f>
        <v/>
      </c>
      <c r="M512">
        <f>IF(G512=1,0.2*R512/E512,M511)</f>
        <v/>
      </c>
      <c r="N512">
        <f>IF(G512=1,0.2*R512/F512,N511)</f>
        <v/>
      </c>
      <c r="O512">
        <f>IF(G512=1,R512*(1-1.0),IF(H511=0,1,O511*(1+0.00023125256064071564)))</f>
        <v/>
      </c>
      <c r="P512">
        <f>IF(G512=1,IF(H511=0,1,ABS(0.2-J511*B512/I512)+ABS(0.2-K511*C512/I512)+ABS(0.2-L511*D512/I512)+ABS(0.2-M511*E512/I512)+ABS(0.2-N511*F512/I512)),0)</f>
        <v/>
      </c>
      <c r="Q512">
        <f>P512*0.0015</f>
        <v/>
      </c>
      <c r="R512">
        <f>I512*(1-Q512)</f>
        <v/>
      </c>
      <c r="S512">
        <f>R512/R511-1</f>
        <v/>
      </c>
      <c r="T512">
        <f>MAX(T511,R512)</f>
        <v/>
      </c>
      <c r="U512">
        <f>R512/T512-1</f>
        <v/>
      </c>
      <c r="V512" t="n">
        <v>2.008977145324446</v>
      </c>
      <c r="W512" s="5">
        <f>R512-V512</f>
        <v/>
      </c>
    </row>
    <row r="513">
      <c r="A513" s="3" t="n">
        <v>39190</v>
      </c>
      <c r="B513">
        <f>Prices!B513</f>
        <v/>
      </c>
      <c r="C513">
        <f>Prices!C513</f>
        <v/>
      </c>
      <c r="D513">
        <f>Prices!D513</f>
        <v/>
      </c>
      <c r="E513">
        <f>Prices!E513</f>
        <v/>
      </c>
      <c r="F513">
        <f>Prices!F513</f>
        <v/>
      </c>
      <c r="G513">
        <f>IF(AND(511&gt;=16,TEXT(A513,"yyyy-mm")&lt;&gt;TEXT(A514,"yyyy-mm")),1,0)</f>
        <v/>
      </c>
      <c r="H513">
        <f>IF(OR(H512=1,G513=1),1,0)</f>
        <v/>
      </c>
      <c r="I513">
        <f>IF(H512=0,1,SUMPRODUCT(J512:N512,B513:F513)+O512*(1+0.00023125256064071564))</f>
        <v/>
      </c>
      <c r="J513">
        <f>IF(G513=1,0.2*R513/B513,J512)</f>
        <v/>
      </c>
      <c r="K513">
        <f>IF(G513=1,0.2*R513/C513,K512)</f>
        <v/>
      </c>
      <c r="L513">
        <f>IF(G513=1,0.2*R513/D513,L512)</f>
        <v/>
      </c>
      <c r="M513">
        <f>IF(G513=1,0.2*R513/E513,M512)</f>
        <v/>
      </c>
      <c r="N513">
        <f>IF(G513=1,0.2*R513/F513,N512)</f>
        <v/>
      </c>
      <c r="O513">
        <f>IF(G513=1,R513*(1-1.0),IF(H512=0,1,O512*(1+0.00023125256064071564)))</f>
        <v/>
      </c>
      <c r="P513">
        <f>IF(G513=1,IF(H512=0,1,ABS(0.2-J512*B513/I513)+ABS(0.2-K512*C513/I513)+ABS(0.2-L512*D513/I513)+ABS(0.2-M512*E513/I513)+ABS(0.2-N512*F513/I513)),0)</f>
        <v/>
      </c>
      <c r="Q513">
        <f>P513*0.0015</f>
        <v/>
      </c>
      <c r="R513">
        <f>I513*(1-Q513)</f>
        <v/>
      </c>
      <c r="S513">
        <f>R513/R512-1</f>
        <v/>
      </c>
      <c r="T513">
        <f>MAX(T512,R513)</f>
        <v/>
      </c>
      <c r="U513">
        <f>R513/T513-1</f>
        <v/>
      </c>
      <c r="V513" t="n">
        <v>2.014491738887375</v>
      </c>
      <c r="W513" s="5">
        <f>R513-V513</f>
        <v/>
      </c>
    </row>
    <row r="514">
      <c r="A514" s="3" t="n">
        <v>39191</v>
      </c>
      <c r="B514">
        <f>Prices!B514</f>
        <v/>
      </c>
      <c r="C514">
        <f>Prices!C514</f>
        <v/>
      </c>
      <c r="D514">
        <f>Prices!D514</f>
        <v/>
      </c>
      <c r="E514">
        <f>Prices!E514</f>
        <v/>
      </c>
      <c r="F514">
        <f>Prices!F514</f>
        <v/>
      </c>
      <c r="G514">
        <f>IF(AND(512&gt;=16,TEXT(A514,"yyyy-mm")&lt;&gt;TEXT(A515,"yyyy-mm")),1,0)</f>
        <v/>
      </c>
      <c r="H514">
        <f>IF(OR(H513=1,G514=1),1,0)</f>
        <v/>
      </c>
      <c r="I514">
        <f>IF(H513=0,1,SUMPRODUCT(J513:N513,B514:F514)+O513*(1+0.00023125256064071564))</f>
        <v/>
      </c>
      <c r="J514">
        <f>IF(G514=1,0.2*R514/B514,J513)</f>
        <v/>
      </c>
      <c r="K514">
        <f>IF(G514=1,0.2*R514/C514,K513)</f>
        <v/>
      </c>
      <c r="L514">
        <f>IF(G514=1,0.2*R514/D514,L513)</f>
        <v/>
      </c>
      <c r="M514">
        <f>IF(G514=1,0.2*R514/E514,M513)</f>
        <v/>
      </c>
      <c r="N514">
        <f>IF(G514=1,0.2*R514/F514,N513)</f>
        <v/>
      </c>
      <c r="O514">
        <f>IF(G514=1,R514*(1-1.0),IF(H513=0,1,O513*(1+0.00023125256064071564)))</f>
        <v/>
      </c>
      <c r="P514">
        <f>IF(G514=1,IF(H513=0,1,ABS(0.2-J513*B514/I514)+ABS(0.2-K513*C514/I514)+ABS(0.2-L513*D514/I514)+ABS(0.2-M513*E514/I514)+ABS(0.2-N513*F514/I514)),0)</f>
        <v/>
      </c>
      <c r="Q514">
        <f>P514*0.0015</f>
        <v/>
      </c>
      <c r="R514">
        <f>I514*(1-Q514)</f>
        <v/>
      </c>
      <c r="S514">
        <f>R514/R513-1</f>
        <v/>
      </c>
      <c r="T514">
        <f>MAX(T513,R514)</f>
        <v/>
      </c>
      <c r="U514">
        <f>R514/T514-1</f>
        <v/>
      </c>
      <c r="V514" t="n">
        <v>2.010542683294277</v>
      </c>
      <c r="W514" s="5">
        <f>R514-V514</f>
        <v/>
      </c>
    </row>
    <row r="515">
      <c r="A515" s="3" t="n">
        <v>39192</v>
      </c>
      <c r="B515">
        <f>Prices!B515</f>
        <v/>
      </c>
      <c r="C515">
        <f>Prices!C515</f>
        <v/>
      </c>
      <c r="D515">
        <f>Prices!D515</f>
        <v/>
      </c>
      <c r="E515">
        <f>Prices!E515</f>
        <v/>
      </c>
      <c r="F515">
        <f>Prices!F515</f>
        <v/>
      </c>
      <c r="G515">
        <f>IF(AND(513&gt;=16,TEXT(A515,"yyyy-mm")&lt;&gt;TEXT(A516,"yyyy-mm")),1,0)</f>
        <v/>
      </c>
      <c r="H515">
        <f>IF(OR(H514=1,G515=1),1,0)</f>
        <v/>
      </c>
      <c r="I515">
        <f>IF(H514=0,1,SUMPRODUCT(J514:N514,B515:F515)+O514*(1+0.00023125256064071564))</f>
        <v/>
      </c>
      <c r="J515">
        <f>IF(G515=1,0.2*R515/B515,J514)</f>
        <v/>
      </c>
      <c r="K515">
        <f>IF(G515=1,0.2*R515/C515,K514)</f>
        <v/>
      </c>
      <c r="L515">
        <f>IF(G515=1,0.2*R515/D515,L514)</f>
        <v/>
      </c>
      <c r="M515">
        <f>IF(G515=1,0.2*R515/E515,M514)</f>
        <v/>
      </c>
      <c r="N515">
        <f>IF(G515=1,0.2*R515/F515,N514)</f>
        <v/>
      </c>
      <c r="O515">
        <f>IF(G515=1,R515*(1-1.0),IF(H514=0,1,O514*(1+0.00023125256064071564)))</f>
        <v/>
      </c>
      <c r="P515">
        <f>IF(G515=1,IF(H514=0,1,ABS(0.2-J514*B515/I515)+ABS(0.2-K514*C515/I515)+ABS(0.2-L514*D515/I515)+ABS(0.2-M514*E515/I515)+ABS(0.2-N514*F515/I515)),0)</f>
        <v/>
      </c>
      <c r="Q515">
        <f>P515*0.0015</f>
        <v/>
      </c>
      <c r="R515">
        <f>I515*(1-Q515)</f>
        <v/>
      </c>
      <c r="S515">
        <f>R515/R514-1</f>
        <v/>
      </c>
      <c r="T515">
        <f>MAX(T514,R515)</f>
        <v/>
      </c>
      <c r="U515">
        <f>R515/T515-1</f>
        <v/>
      </c>
      <c r="V515" t="n">
        <v>2.038818715992019</v>
      </c>
      <c r="W515" s="5">
        <f>R515-V515</f>
        <v/>
      </c>
    </row>
    <row r="516">
      <c r="A516" s="3" t="n">
        <v>39195</v>
      </c>
      <c r="B516">
        <f>Prices!B516</f>
        <v/>
      </c>
      <c r="C516">
        <f>Prices!C516</f>
        <v/>
      </c>
      <c r="D516">
        <f>Prices!D516</f>
        <v/>
      </c>
      <c r="E516">
        <f>Prices!E516</f>
        <v/>
      </c>
      <c r="F516">
        <f>Prices!F516</f>
        <v/>
      </c>
      <c r="G516">
        <f>IF(AND(514&gt;=16,TEXT(A516,"yyyy-mm")&lt;&gt;TEXT(A517,"yyyy-mm")),1,0)</f>
        <v/>
      </c>
      <c r="H516">
        <f>IF(OR(H515=1,G516=1),1,0)</f>
        <v/>
      </c>
      <c r="I516">
        <f>IF(H515=0,1,SUMPRODUCT(J515:N515,B516:F516)+O515*(1+0.00023125256064071564))</f>
        <v/>
      </c>
      <c r="J516">
        <f>IF(G516=1,0.2*R516/B516,J515)</f>
        <v/>
      </c>
      <c r="K516">
        <f>IF(G516=1,0.2*R516/C516,K515)</f>
        <v/>
      </c>
      <c r="L516">
        <f>IF(G516=1,0.2*R516/D516,L515)</f>
        <v/>
      </c>
      <c r="M516">
        <f>IF(G516=1,0.2*R516/E516,M515)</f>
        <v/>
      </c>
      <c r="N516">
        <f>IF(G516=1,0.2*R516/F516,N515)</f>
        <v/>
      </c>
      <c r="O516">
        <f>IF(G516=1,R516*(1-1.0),IF(H515=0,1,O515*(1+0.00023125256064071564)))</f>
        <v/>
      </c>
      <c r="P516">
        <f>IF(G516=1,IF(H515=0,1,ABS(0.2-J515*B516/I516)+ABS(0.2-K515*C516/I516)+ABS(0.2-L515*D516/I516)+ABS(0.2-M515*E516/I516)+ABS(0.2-N515*F516/I516)),0)</f>
        <v/>
      </c>
      <c r="Q516">
        <f>P516*0.0015</f>
        <v/>
      </c>
      <c r="R516">
        <f>I516*(1-Q516)</f>
        <v/>
      </c>
      <c r="S516">
        <f>R516/R515-1</f>
        <v/>
      </c>
      <c r="T516">
        <f>MAX(T515,R516)</f>
        <v/>
      </c>
      <c r="U516">
        <f>R516/T516-1</f>
        <v/>
      </c>
      <c r="V516" t="n">
        <v>2.037647417181827</v>
      </c>
      <c r="W516" s="5">
        <f>R516-V516</f>
        <v/>
      </c>
    </row>
    <row r="517">
      <c r="A517" s="3" t="n">
        <v>39196</v>
      </c>
      <c r="B517">
        <f>Prices!B517</f>
        <v/>
      </c>
      <c r="C517">
        <f>Prices!C517</f>
        <v/>
      </c>
      <c r="D517">
        <f>Prices!D517</f>
        <v/>
      </c>
      <c r="E517">
        <f>Prices!E517</f>
        <v/>
      </c>
      <c r="F517">
        <f>Prices!F517</f>
        <v/>
      </c>
      <c r="G517">
        <f>IF(AND(515&gt;=16,TEXT(A517,"yyyy-mm")&lt;&gt;TEXT(A518,"yyyy-mm")),1,0)</f>
        <v/>
      </c>
      <c r="H517">
        <f>IF(OR(H516=1,G517=1),1,0)</f>
        <v/>
      </c>
      <c r="I517">
        <f>IF(H516=0,1,SUMPRODUCT(J516:N516,B517:F517)+O516*(1+0.00023125256064071564))</f>
        <v/>
      </c>
      <c r="J517">
        <f>IF(G517=1,0.2*R517/B517,J516)</f>
        <v/>
      </c>
      <c r="K517">
        <f>IF(G517=1,0.2*R517/C517,K516)</f>
        <v/>
      </c>
      <c r="L517">
        <f>IF(G517=1,0.2*R517/D517,L516)</f>
        <v/>
      </c>
      <c r="M517">
        <f>IF(G517=1,0.2*R517/E517,M516)</f>
        <v/>
      </c>
      <c r="N517">
        <f>IF(G517=1,0.2*R517/F517,N516)</f>
        <v/>
      </c>
      <c r="O517">
        <f>IF(G517=1,R517*(1-1.0),IF(H516=0,1,O516*(1+0.00023125256064071564)))</f>
        <v/>
      </c>
      <c r="P517">
        <f>IF(G517=1,IF(H516=0,1,ABS(0.2-J516*B517/I517)+ABS(0.2-K516*C517/I517)+ABS(0.2-L516*D517/I517)+ABS(0.2-M516*E517/I517)+ABS(0.2-N516*F517/I517)),0)</f>
        <v/>
      </c>
      <c r="Q517">
        <f>P517*0.0015</f>
        <v/>
      </c>
      <c r="R517">
        <f>I517*(1-Q517)</f>
        <v/>
      </c>
      <c r="S517">
        <f>R517/R516-1</f>
        <v/>
      </c>
      <c r="T517">
        <f>MAX(T516,R517)</f>
        <v/>
      </c>
      <c r="U517">
        <f>R517/T517-1</f>
        <v/>
      </c>
      <c r="V517" t="n">
        <v>2.060825303528949</v>
      </c>
      <c r="W517" s="5">
        <f>R517-V517</f>
        <v/>
      </c>
    </row>
    <row r="518">
      <c r="A518" s="3" t="n">
        <v>39197</v>
      </c>
      <c r="B518">
        <f>Prices!B518</f>
        <v/>
      </c>
      <c r="C518">
        <f>Prices!C518</f>
        <v/>
      </c>
      <c r="D518">
        <f>Prices!D518</f>
        <v/>
      </c>
      <c r="E518">
        <f>Prices!E518</f>
        <v/>
      </c>
      <c r="F518">
        <f>Prices!F518</f>
        <v/>
      </c>
      <c r="G518">
        <f>IF(AND(516&gt;=16,TEXT(A518,"yyyy-mm")&lt;&gt;TEXT(A519,"yyyy-mm")),1,0)</f>
        <v/>
      </c>
      <c r="H518">
        <f>IF(OR(H517=1,G518=1),1,0)</f>
        <v/>
      </c>
      <c r="I518">
        <f>IF(H517=0,1,SUMPRODUCT(J517:N517,B518:F518)+O517*(1+0.00023125256064071564))</f>
        <v/>
      </c>
      <c r="J518">
        <f>IF(G518=1,0.2*R518/B518,J517)</f>
        <v/>
      </c>
      <c r="K518">
        <f>IF(G518=1,0.2*R518/C518,K517)</f>
        <v/>
      </c>
      <c r="L518">
        <f>IF(G518=1,0.2*R518/D518,L517)</f>
        <v/>
      </c>
      <c r="M518">
        <f>IF(G518=1,0.2*R518/E518,M517)</f>
        <v/>
      </c>
      <c r="N518">
        <f>IF(G518=1,0.2*R518/F518,N517)</f>
        <v/>
      </c>
      <c r="O518">
        <f>IF(G518=1,R518*(1-1.0),IF(H517=0,1,O517*(1+0.00023125256064071564)))</f>
        <v/>
      </c>
      <c r="P518">
        <f>IF(G518=1,IF(H517=0,1,ABS(0.2-J517*B518/I518)+ABS(0.2-K517*C518/I518)+ABS(0.2-L517*D518/I518)+ABS(0.2-M517*E518/I518)+ABS(0.2-N517*F518/I518)),0)</f>
        <v/>
      </c>
      <c r="Q518">
        <f>P518*0.0015</f>
        <v/>
      </c>
      <c r="R518">
        <f>I518*(1-Q518)</f>
        <v/>
      </c>
      <c r="S518">
        <f>R518/R517-1</f>
        <v/>
      </c>
      <c r="T518">
        <f>MAX(T517,R518)</f>
        <v/>
      </c>
      <c r="U518">
        <f>R518/T518-1</f>
        <v/>
      </c>
      <c r="V518" t="n">
        <v>2.085704312404561</v>
      </c>
      <c r="W518" s="5">
        <f>R518-V518</f>
        <v/>
      </c>
    </row>
    <row r="519">
      <c r="A519" s="3" t="n">
        <v>39198</v>
      </c>
      <c r="B519">
        <f>Prices!B519</f>
        <v/>
      </c>
      <c r="C519">
        <f>Prices!C519</f>
        <v/>
      </c>
      <c r="D519">
        <f>Prices!D519</f>
        <v/>
      </c>
      <c r="E519">
        <f>Prices!E519</f>
        <v/>
      </c>
      <c r="F519">
        <f>Prices!F519</f>
        <v/>
      </c>
      <c r="G519">
        <f>IF(AND(517&gt;=16,TEXT(A519,"yyyy-mm")&lt;&gt;TEXT(A520,"yyyy-mm")),1,0)</f>
        <v/>
      </c>
      <c r="H519">
        <f>IF(OR(H518=1,G519=1),1,0)</f>
        <v/>
      </c>
      <c r="I519">
        <f>IF(H518=0,1,SUMPRODUCT(J518:N518,B519:F519)+O518*(1+0.00023125256064071564))</f>
        <v/>
      </c>
      <c r="J519">
        <f>IF(G519=1,0.2*R519/B519,J518)</f>
        <v/>
      </c>
      <c r="K519">
        <f>IF(G519=1,0.2*R519/C519,K518)</f>
        <v/>
      </c>
      <c r="L519">
        <f>IF(G519=1,0.2*R519/D519,L518)</f>
        <v/>
      </c>
      <c r="M519">
        <f>IF(G519=1,0.2*R519/E519,M518)</f>
        <v/>
      </c>
      <c r="N519">
        <f>IF(G519=1,0.2*R519/F519,N518)</f>
        <v/>
      </c>
      <c r="O519">
        <f>IF(G519=1,R519*(1-1.0),IF(H518=0,1,O518*(1+0.00023125256064071564)))</f>
        <v/>
      </c>
      <c r="P519">
        <f>IF(G519=1,IF(H518=0,1,ABS(0.2-J518*B519/I519)+ABS(0.2-K518*C519/I519)+ABS(0.2-L518*D519/I519)+ABS(0.2-M518*E519/I519)+ABS(0.2-N518*F519/I519)),0)</f>
        <v/>
      </c>
      <c r="Q519">
        <f>P519*0.0015</f>
        <v/>
      </c>
      <c r="R519">
        <f>I519*(1-Q519)</f>
        <v/>
      </c>
      <c r="S519">
        <f>R519/R518-1</f>
        <v/>
      </c>
      <c r="T519">
        <f>MAX(T518,R519)</f>
        <v/>
      </c>
      <c r="U519">
        <f>R519/T519-1</f>
        <v/>
      </c>
      <c r="V519" t="n">
        <v>2.085877506152272</v>
      </c>
      <c r="W519" s="5">
        <f>R519-V519</f>
        <v/>
      </c>
    </row>
    <row r="520">
      <c r="A520" s="3" t="n">
        <v>39199</v>
      </c>
      <c r="B520">
        <f>Prices!B520</f>
        <v/>
      </c>
      <c r="C520">
        <f>Prices!C520</f>
        <v/>
      </c>
      <c r="D520">
        <f>Prices!D520</f>
        <v/>
      </c>
      <c r="E520">
        <f>Prices!E520</f>
        <v/>
      </c>
      <c r="F520">
        <f>Prices!F520</f>
        <v/>
      </c>
      <c r="G520">
        <f>IF(AND(518&gt;=16,TEXT(A520,"yyyy-mm")&lt;&gt;TEXT(A521,"yyyy-mm")),1,0)</f>
        <v/>
      </c>
      <c r="H520">
        <f>IF(OR(H519=1,G520=1),1,0)</f>
        <v/>
      </c>
      <c r="I520">
        <f>IF(H519=0,1,SUMPRODUCT(J519:N519,B520:F520)+O519*(1+0.00023125256064071564))</f>
        <v/>
      </c>
      <c r="J520">
        <f>IF(G520=1,0.2*R520/B520,J519)</f>
        <v/>
      </c>
      <c r="K520">
        <f>IF(G520=1,0.2*R520/C520,K519)</f>
        <v/>
      </c>
      <c r="L520">
        <f>IF(G520=1,0.2*R520/D520,L519)</f>
        <v/>
      </c>
      <c r="M520">
        <f>IF(G520=1,0.2*R520/E520,M519)</f>
        <v/>
      </c>
      <c r="N520">
        <f>IF(G520=1,0.2*R520/F520,N519)</f>
        <v/>
      </c>
      <c r="O520">
        <f>IF(G520=1,R520*(1-1.0),IF(H519=0,1,O519*(1+0.00023125256064071564)))</f>
        <v/>
      </c>
      <c r="P520">
        <f>IF(G520=1,IF(H519=0,1,ABS(0.2-J519*B520/I520)+ABS(0.2-K519*C520/I520)+ABS(0.2-L519*D520/I520)+ABS(0.2-M519*E520/I520)+ABS(0.2-N519*F520/I520)),0)</f>
        <v/>
      </c>
      <c r="Q520">
        <f>P520*0.0015</f>
        <v/>
      </c>
      <c r="R520">
        <f>I520*(1-Q520)</f>
        <v/>
      </c>
      <c r="S520">
        <f>R520/R519-1</f>
        <v/>
      </c>
      <c r="T520">
        <f>MAX(T519,R520)</f>
        <v/>
      </c>
      <c r="U520">
        <f>R520/T520-1</f>
        <v/>
      </c>
      <c r="V520" t="n">
        <v>2.058954597546588</v>
      </c>
      <c r="W520" s="5">
        <f>R520-V520</f>
        <v/>
      </c>
    </row>
    <row r="521">
      <c r="A521" s="3" t="n">
        <v>39202</v>
      </c>
      <c r="B521">
        <f>Prices!B521</f>
        <v/>
      </c>
      <c r="C521">
        <f>Prices!C521</f>
        <v/>
      </c>
      <c r="D521">
        <f>Prices!D521</f>
        <v/>
      </c>
      <c r="E521">
        <f>Prices!E521</f>
        <v/>
      </c>
      <c r="F521">
        <f>Prices!F521</f>
        <v/>
      </c>
      <c r="G521">
        <f>IF(AND(519&gt;=16,TEXT(A521,"yyyy-mm")&lt;&gt;TEXT(A522,"yyyy-mm")),1,0)</f>
        <v/>
      </c>
      <c r="H521">
        <f>IF(OR(H520=1,G521=1),1,0)</f>
        <v/>
      </c>
      <c r="I521">
        <f>IF(H520=0,1,SUMPRODUCT(J520:N520,B521:F521)+O520*(1+0.00023125256064071564))</f>
        <v/>
      </c>
      <c r="J521">
        <f>IF(G521=1,0.2*R521/B521,J520)</f>
        <v/>
      </c>
      <c r="K521">
        <f>IF(G521=1,0.2*R521/C521,K520)</f>
        <v/>
      </c>
      <c r="L521">
        <f>IF(G521=1,0.2*R521/D521,L520)</f>
        <v/>
      </c>
      <c r="M521">
        <f>IF(G521=1,0.2*R521/E521,M520)</f>
        <v/>
      </c>
      <c r="N521">
        <f>IF(G521=1,0.2*R521/F521,N520)</f>
        <v/>
      </c>
      <c r="O521">
        <f>IF(G521=1,R521*(1-1.0),IF(H520=0,1,O520*(1+0.00023125256064071564)))</f>
        <v/>
      </c>
      <c r="P521">
        <f>IF(G521=1,IF(H520=0,1,ABS(0.2-J520*B521/I521)+ABS(0.2-K520*C521/I521)+ABS(0.2-L520*D521/I521)+ABS(0.2-M520*E521/I521)+ABS(0.2-N520*F521/I521)),0)</f>
        <v/>
      </c>
      <c r="Q521">
        <f>P521*0.0015</f>
        <v/>
      </c>
      <c r="R521">
        <f>I521*(1-Q521)</f>
        <v/>
      </c>
      <c r="S521">
        <f>R521/R520-1</f>
        <v/>
      </c>
      <c r="T521">
        <f>MAX(T520,R521)</f>
        <v/>
      </c>
      <c r="U521">
        <f>R521/T521-1</f>
        <v/>
      </c>
      <c r="V521" t="n">
        <v>2.071776937082084</v>
      </c>
      <c r="W521" s="5">
        <f>R521-V521</f>
        <v/>
      </c>
    </row>
    <row r="522">
      <c r="A522" s="3" t="n">
        <v>39205</v>
      </c>
      <c r="B522">
        <f>Prices!B522</f>
        <v/>
      </c>
      <c r="C522">
        <f>Prices!C522</f>
        <v/>
      </c>
      <c r="D522">
        <f>Prices!D522</f>
        <v/>
      </c>
      <c r="E522">
        <f>Prices!E522</f>
        <v/>
      </c>
      <c r="F522">
        <f>Prices!F522</f>
        <v/>
      </c>
      <c r="G522">
        <f>IF(AND(520&gt;=16,TEXT(A522,"yyyy-mm")&lt;&gt;TEXT(A523,"yyyy-mm")),1,0)</f>
        <v/>
      </c>
      <c r="H522">
        <f>IF(OR(H521=1,G522=1),1,0)</f>
        <v/>
      </c>
      <c r="I522">
        <f>IF(H521=0,1,SUMPRODUCT(J521:N521,B522:F522)+O521*(1+0.00023125256064071564))</f>
        <v/>
      </c>
      <c r="J522">
        <f>IF(G522=1,0.2*R522/B522,J521)</f>
        <v/>
      </c>
      <c r="K522">
        <f>IF(G522=1,0.2*R522/C522,K521)</f>
        <v/>
      </c>
      <c r="L522">
        <f>IF(G522=1,0.2*R522/D522,L521)</f>
        <v/>
      </c>
      <c r="M522">
        <f>IF(G522=1,0.2*R522/E522,M521)</f>
        <v/>
      </c>
      <c r="N522">
        <f>IF(G522=1,0.2*R522/F522,N521)</f>
        <v/>
      </c>
      <c r="O522">
        <f>IF(G522=1,R522*(1-1.0),IF(H521=0,1,O521*(1+0.00023125256064071564)))</f>
        <v/>
      </c>
      <c r="P522">
        <f>IF(G522=1,IF(H521=0,1,ABS(0.2-J521*B522/I522)+ABS(0.2-K521*C522/I522)+ABS(0.2-L521*D522/I522)+ABS(0.2-M521*E522/I522)+ABS(0.2-N521*F522/I522)),0)</f>
        <v/>
      </c>
      <c r="Q522">
        <f>P522*0.0015</f>
        <v/>
      </c>
      <c r="R522">
        <f>I522*(1-Q522)</f>
        <v/>
      </c>
      <c r="S522">
        <f>R522/R521-1</f>
        <v/>
      </c>
      <c r="T522">
        <f>MAX(T521,R522)</f>
        <v/>
      </c>
      <c r="U522">
        <f>R522/T522-1</f>
        <v/>
      </c>
      <c r="V522" t="n">
        <v>2.093786887397407</v>
      </c>
      <c r="W522" s="5">
        <f>R522-V522</f>
        <v/>
      </c>
    </row>
    <row r="523">
      <c r="A523" s="3" t="n">
        <v>39206</v>
      </c>
      <c r="B523">
        <f>Prices!B523</f>
        <v/>
      </c>
      <c r="C523">
        <f>Prices!C523</f>
        <v/>
      </c>
      <c r="D523">
        <f>Prices!D523</f>
        <v/>
      </c>
      <c r="E523">
        <f>Prices!E523</f>
        <v/>
      </c>
      <c r="F523">
        <f>Prices!F523</f>
        <v/>
      </c>
      <c r="G523">
        <f>IF(AND(521&gt;=16,TEXT(A523,"yyyy-mm")&lt;&gt;TEXT(A524,"yyyy-mm")),1,0)</f>
        <v/>
      </c>
      <c r="H523">
        <f>IF(OR(H522=1,G523=1),1,0)</f>
        <v/>
      </c>
      <c r="I523">
        <f>IF(H522=0,1,SUMPRODUCT(J522:N522,B523:F523)+O522*(1+0.00023125256064071564))</f>
        <v/>
      </c>
      <c r="J523">
        <f>IF(G523=1,0.2*R523/B523,J522)</f>
        <v/>
      </c>
      <c r="K523">
        <f>IF(G523=1,0.2*R523/C523,K522)</f>
        <v/>
      </c>
      <c r="L523">
        <f>IF(G523=1,0.2*R523/D523,L522)</f>
        <v/>
      </c>
      <c r="M523">
        <f>IF(G523=1,0.2*R523/E523,M522)</f>
        <v/>
      </c>
      <c r="N523">
        <f>IF(G523=1,0.2*R523/F523,N522)</f>
        <v/>
      </c>
      <c r="O523">
        <f>IF(G523=1,R523*(1-1.0),IF(H522=0,1,O522*(1+0.00023125256064071564)))</f>
        <v/>
      </c>
      <c r="P523">
        <f>IF(G523=1,IF(H522=0,1,ABS(0.2-J522*B523/I523)+ABS(0.2-K522*C523/I523)+ABS(0.2-L522*D523/I523)+ABS(0.2-M522*E523/I523)+ABS(0.2-N522*F523/I523)),0)</f>
        <v/>
      </c>
      <c r="Q523">
        <f>P523*0.0015</f>
        <v/>
      </c>
      <c r="R523">
        <f>I523*(1-Q523)</f>
        <v/>
      </c>
      <c r="S523">
        <f>R523/R522-1</f>
        <v/>
      </c>
      <c r="T523">
        <f>MAX(T522,R523)</f>
        <v/>
      </c>
      <c r="U523">
        <f>R523/T523-1</f>
        <v/>
      </c>
      <c r="V523" t="n">
        <v>2.087206488261188</v>
      </c>
      <c r="W523" s="5">
        <f>R523-V523</f>
        <v/>
      </c>
    </row>
    <row r="524">
      <c r="A524" s="3" t="n">
        <v>39209</v>
      </c>
      <c r="B524">
        <f>Prices!B524</f>
        <v/>
      </c>
      <c r="C524">
        <f>Prices!C524</f>
        <v/>
      </c>
      <c r="D524">
        <f>Prices!D524</f>
        <v/>
      </c>
      <c r="E524">
        <f>Prices!E524</f>
        <v/>
      </c>
      <c r="F524">
        <f>Prices!F524</f>
        <v/>
      </c>
      <c r="G524">
        <f>IF(AND(522&gt;=16,TEXT(A524,"yyyy-mm")&lt;&gt;TEXT(A525,"yyyy-mm")),1,0)</f>
        <v/>
      </c>
      <c r="H524">
        <f>IF(OR(H523=1,G524=1),1,0)</f>
        <v/>
      </c>
      <c r="I524">
        <f>IF(H523=0,1,SUMPRODUCT(J523:N523,B524:F524)+O523*(1+0.00023125256064071564))</f>
        <v/>
      </c>
      <c r="J524">
        <f>IF(G524=1,0.2*R524/B524,J523)</f>
        <v/>
      </c>
      <c r="K524">
        <f>IF(G524=1,0.2*R524/C524,K523)</f>
        <v/>
      </c>
      <c r="L524">
        <f>IF(G524=1,0.2*R524/D524,L523)</f>
        <v/>
      </c>
      <c r="M524">
        <f>IF(G524=1,0.2*R524/E524,M523)</f>
        <v/>
      </c>
      <c r="N524">
        <f>IF(G524=1,0.2*R524/F524,N523)</f>
        <v/>
      </c>
      <c r="O524">
        <f>IF(G524=1,R524*(1-1.0),IF(H523=0,1,O523*(1+0.00023125256064071564)))</f>
        <v/>
      </c>
      <c r="P524">
        <f>IF(G524=1,IF(H523=0,1,ABS(0.2-J523*B524/I524)+ABS(0.2-K523*C524/I524)+ABS(0.2-L523*D524/I524)+ABS(0.2-M523*E524/I524)+ABS(0.2-N523*F524/I524)),0)</f>
        <v/>
      </c>
      <c r="Q524">
        <f>P524*0.0015</f>
        <v/>
      </c>
      <c r="R524">
        <f>I524*(1-Q524)</f>
        <v/>
      </c>
      <c r="S524">
        <f>R524/R523-1</f>
        <v/>
      </c>
      <c r="T524">
        <f>MAX(T523,R524)</f>
        <v/>
      </c>
      <c r="U524">
        <f>R524/T524-1</f>
        <v/>
      </c>
      <c r="V524" t="n">
        <v>2.081492903840794</v>
      </c>
      <c r="W524" s="5">
        <f>R524-V524</f>
        <v/>
      </c>
    </row>
    <row r="525">
      <c r="A525" s="3" t="n">
        <v>39210</v>
      </c>
      <c r="B525">
        <f>Prices!B525</f>
        <v/>
      </c>
      <c r="C525">
        <f>Prices!C525</f>
        <v/>
      </c>
      <c r="D525">
        <f>Prices!D525</f>
        <v/>
      </c>
      <c r="E525">
        <f>Prices!E525</f>
        <v/>
      </c>
      <c r="F525">
        <f>Prices!F525</f>
        <v/>
      </c>
      <c r="G525">
        <f>IF(AND(523&gt;=16,TEXT(A525,"yyyy-mm")&lt;&gt;TEXT(A526,"yyyy-mm")),1,0)</f>
        <v/>
      </c>
      <c r="H525">
        <f>IF(OR(H524=1,G525=1),1,0)</f>
        <v/>
      </c>
      <c r="I525">
        <f>IF(H524=0,1,SUMPRODUCT(J524:N524,B525:F525)+O524*(1+0.00023125256064071564))</f>
        <v/>
      </c>
      <c r="J525">
        <f>IF(G525=1,0.2*R525/B525,J524)</f>
        <v/>
      </c>
      <c r="K525">
        <f>IF(G525=1,0.2*R525/C525,K524)</f>
        <v/>
      </c>
      <c r="L525">
        <f>IF(G525=1,0.2*R525/D525,L524)</f>
        <v/>
      </c>
      <c r="M525">
        <f>IF(G525=1,0.2*R525/E525,M524)</f>
        <v/>
      </c>
      <c r="N525">
        <f>IF(G525=1,0.2*R525/F525,N524)</f>
        <v/>
      </c>
      <c r="O525">
        <f>IF(G525=1,R525*(1-1.0),IF(H524=0,1,O524*(1+0.00023125256064071564)))</f>
        <v/>
      </c>
      <c r="P525">
        <f>IF(G525=1,IF(H524=0,1,ABS(0.2-J524*B525/I525)+ABS(0.2-K524*C525/I525)+ABS(0.2-L524*D525/I525)+ABS(0.2-M524*E525/I525)+ABS(0.2-N524*F525/I525)),0)</f>
        <v/>
      </c>
      <c r="Q525">
        <f>P525*0.0015</f>
        <v/>
      </c>
      <c r="R525">
        <f>I525*(1-Q525)</f>
        <v/>
      </c>
      <c r="S525">
        <f>R525/R524-1</f>
        <v/>
      </c>
      <c r="T525">
        <f>MAX(T524,R525)</f>
        <v/>
      </c>
      <c r="U525">
        <f>R525/T525-1</f>
        <v/>
      </c>
      <c r="V525" t="n">
        <v>2.060215164828278</v>
      </c>
      <c r="W525" s="5">
        <f>R525-V525</f>
        <v/>
      </c>
    </row>
    <row r="526">
      <c r="A526" s="3" t="n">
        <v>39211</v>
      </c>
      <c r="B526">
        <f>Prices!B526</f>
        <v/>
      </c>
      <c r="C526">
        <f>Prices!C526</f>
        <v/>
      </c>
      <c r="D526">
        <f>Prices!D526</f>
        <v/>
      </c>
      <c r="E526">
        <f>Prices!E526</f>
        <v/>
      </c>
      <c r="F526">
        <f>Prices!F526</f>
        <v/>
      </c>
      <c r="G526">
        <f>IF(AND(524&gt;=16,TEXT(A526,"yyyy-mm")&lt;&gt;TEXT(A527,"yyyy-mm")),1,0)</f>
        <v/>
      </c>
      <c r="H526">
        <f>IF(OR(H525=1,G526=1),1,0)</f>
        <v/>
      </c>
      <c r="I526">
        <f>IF(H525=0,1,SUMPRODUCT(J525:N525,B526:F526)+O525*(1+0.00023125256064071564))</f>
        <v/>
      </c>
      <c r="J526">
        <f>IF(G526=1,0.2*R526/B526,J525)</f>
        <v/>
      </c>
      <c r="K526">
        <f>IF(G526=1,0.2*R526/C526,K525)</f>
        <v/>
      </c>
      <c r="L526">
        <f>IF(G526=1,0.2*R526/D526,L525)</f>
        <v/>
      </c>
      <c r="M526">
        <f>IF(G526=1,0.2*R526/E526,M525)</f>
        <v/>
      </c>
      <c r="N526">
        <f>IF(G526=1,0.2*R526/F526,N525)</f>
        <v/>
      </c>
      <c r="O526">
        <f>IF(G526=1,R526*(1-1.0),IF(H525=0,1,O525*(1+0.00023125256064071564)))</f>
        <v/>
      </c>
      <c r="P526">
        <f>IF(G526=1,IF(H525=0,1,ABS(0.2-J525*B526/I526)+ABS(0.2-K525*C526/I526)+ABS(0.2-L525*D526/I526)+ABS(0.2-M525*E526/I526)+ABS(0.2-N525*F526/I526)),0)</f>
        <v/>
      </c>
      <c r="Q526">
        <f>P526*0.0015</f>
        <v/>
      </c>
      <c r="R526">
        <f>I526*(1-Q526)</f>
        <v/>
      </c>
      <c r="S526">
        <f>R526/R525-1</f>
        <v/>
      </c>
      <c r="T526">
        <f>MAX(T525,R526)</f>
        <v/>
      </c>
      <c r="U526">
        <f>R526/T526-1</f>
        <v/>
      </c>
      <c r="V526" t="n">
        <v>2.070594562449481</v>
      </c>
      <c r="W526" s="5">
        <f>R526-V526</f>
        <v/>
      </c>
    </row>
    <row r="527">
      <c r="A527" s="3" t="n">
        <v>39212</v>
      </c>
      <c r="B527">
        <f>Prices!B527</f>
        <v/>
      </c>
      <c r="C527">
        <f>Prices!C527</f>
        <v/>
      </c>
      <c r="D527">
        <f>Prices!D527</f>
        <v/>
      </c>
      <c r="E527">
        <f>Prices!E527</f>
        <v/>
      </c>
      <c r="F527">
        <f>Prices!F527</f>
        <v/>
      </c>
      <c r="G527">
        <f>IF(AND(525&gt;=16,TEXT(A527,"yyyy-mm")&lt;&gt;TEXT(A528,"yyyy-mm")),1,0)</f>
        <v/>
      </c>
      <c r="H527">
        <f>IF(OR(H526=1,G527=1),1,0)</f>
        <v/>
      </c>
      <c r="I527">
        <f>IF(H526=0,1,SUMPRODUCT(J526:N526,B527:F527)+O526*(1+0.00023125256064071564))</f>
        <v/>
      </c>
      <c r="J527">
        <f>IF(G527=1,0.2*R527/B527,J526)</f>
        <v/>
      </c>
      <c r="K527">
        <f>IF(G527=1,0.2*R527/C527,K526)</f>
        <v/>
      </c>
      <c r="L527">
        <f>IF(G527=1,0.2*R527/D527,L526)</f>
        <v/>
      </c>
      <c r="M527">
        <f>IF(G527=1,0.2*R527/E527,M526)</f>
        <v/>
      </c>
      <c r="N527">
        <f>IF(G527=1,0.2*R527/F527,N526)</f>
        <v/>
      </c>
      <c r="O527">
        <f>IF(G527=1,R527*(1-1.0),IF(H526=0,1,O526*(1+0.00023125256064071564)))</f>
        <v/>
      </c>
      <c r="P527">
        <f>IF(G527=1,IF(H526=0,1,ABS(0.2-J526*B527/I527)+ABS(0.2-K526*C527/I527)+ABS(0.2-L526*D527/I527)+ABS(0.2-M526*E527/I527)+ABS(0.2-N526*F527/I527)),0)</f>
        <v/>
      </c>
      <c r="Q527">
        <f>P527*0.0015</f>
        <v/>
      </c>
      <c r="R527">
        <f>I527*(1-Q527)</f>
        <v/>
      </c>
      <c r="S527">
        <f>R527/R526-1</f>
        <v/>
      </c>
      <c r="T527">
        <f>MAX(T526,R527)</f>
        <v/>
      </c>
      <c r="U527">
        <f>R527/T527-1</f>
        <v/>
      </c>
      <c r="V527" t="n">
        <v>2.070714875657502</v>
      </c>
      <c r="W527" s="5">
        <f>R527-V527</f>
        <v/>
      </c>
    </row>
    <row r="528">
      <c r="A528" s="3" t="n">
        <v>39213</v>
      </c>
      <c r="B528">
        <f>Prices!B528</f>
        <v/>
      </c>
      <c r="C528">
        <f>Prices!C528</f>
        <v/>
      </c>
      <c r="D528">
        <f>Prices!D528</f>
        <v/>
      </c>
      <c r="E528">
        <f>Prices!E528</f>
        <v/>
      </c>
      <c r="F528">
        <f>Prices!F528</f>
        <v/>
      </c>
      <c r="G528">
        <f>IF(AND(526&gt;=16,TEXT(A528,"yyyy-mm")&lt;&gt;TEXT(A529,"yyyy-mm")),1,0)</f>
        <v/>
      </c>
      <c r="H528">
        <f>IF(OR(H527=1,G528=1),1,0)</f>
        <v/>
      </c>
      <c r="I528">
        <f>IF(H527=0,1,SUMPRODUCT(J527:N527,B528:F528)+O527*(1+0.00023125256064071564))</f>
        <v/>
      </c>
      <c r="J528">
        <f>IF(G528=1,0.2*R528/B528,J527)</f>
        <v/>
      </c>
      <c r="K528">
        <f>IF(G528=1,0.2*R528/C528,K527)</f>
        <v/>
      </c>
      <c r="L528">
        <f>IF(G528=1,0.2*R528/D528,L527)</f>
        <v/>
      </c>
      <c r="M528">
        <f>IF(G528=1,0.2*R528/E528,M527)</f>
        <v/>
      </c>
      <c r="N528">
        <f>IF(G528=1,0.2*R528/F528,N527)</f>
        <v/>
      </c>
      <c r="O528">
        <f>IF(G528=1,R528*(1-1.0),IF(H527=0,1,O527*(1+0.00023125256064071564)))</f>
        <v/>
      </c>
      <c r="P528">
        <f>IF(G528=1,IF(H527=0,1,ABS(0.2-J527*B528/I528)+ABS(0.2-K527*C528/I528)+ABS(0.2-L527*D528/I528)+ABS(0.2-M527*E528/I528)+ABS(0.2-N527*F528/I528)),0)</f>
        <v/>
      </c>
      <c r="Q528">
        <f>P528*0.0015</f>
        <v/>
      </c>
      <c r="R528">
        <f>I528*(1-Q528)</f>
        <v/>
      </c>
      <c r="S528">
        <f>R528/R527-1</f>
        <v/>
      </c>
      <c r="T528">
        <f>MAX(T527,R528)</f>
        <v/>
      </c>
      <c r="U528">
        <f>R528/T528-1</f>
        <v/>
      </c>
      <c r="V528" t="n">
        <v>2.075737433376524</v>
      </c>
      <c r="W528" s="5">
        <f>R528-V528</f>
        <v/>
      </c>
    </row>
    <row r="529">
      <c r="A529" s="3" t="n">
        <v>39216</v>
      </c>
      <c r="B529">
        <f>Prices!B529</f>
        <v/>
      </c>
      <c r="C529">
        <f>Prices!C529</f>
        <v/>
      </c>
      <c r="D529">
        <f>Prices!D529</f>
        <v/>
      </c>
      <c r="E529">
        <f>Prices!E529</f>
        <v/>
      </c>
      <c r="F529">
        <f>Prices!F529</f>
        <v/>
      </c>
      <c r="G529">
        <f>IF(AND(527&gt;=16,TEXT(A529,"yyyy-mm")&lt;&gt;TEXT(A530,"yyyy-mm")),1,0)</f>
        <v/>
      </c>
      <c r="H529">
        <f>IF(OR(H528=1,G529=1),1,0)</f>
        <v/>
      </c>
      <c r="I529">
        <f>IF(H528=0,1,SUMPRODUCT(J528:N528,B529:F529)+O528*(1+0.00023125256064071564))</f>
        <v/>
      </c>
      <c r="J529">
        <f>IF(G529=1,0.2*R529/B529,J528)</f>
        <v/>
      </c>
      <c r="K529">
        <f>IF(G529=1,0.2*R529/C529,K528)</f>
        <v/>
      </c>
      <c r="L529">
        <f>IF(G529=1,0.2*R529/D529,L528)</f>
        <v/>
      </c>
      <c r="M529">
        <f>IF(G529=1,0.2*R529/E529,M528)</f>
        <v/>
      </c>
      <c r="N529">
        <f>IF(G529=1,0.2*R529/F529,N528)</f>
        <v/>
      </c>
      <c r="O529">
        <f>IF(G529=1,R529*(1-1.0),IF(H528=0,1,O528*(1+0.00023125256064071564)))</f>
        <v/>
      </c>
      <c r="P529">
        <f>IF(G529=1,IF(H528=0,1,ABS(0.2-J528*B529/I529)+ABS(0.2-K528*C529/I529)+ABS(0.2-L528*D529/I529)+ABS(0.2-M528*E529/I529)+ABS(0.2-N528*F529/I529)),0)</f>
        <v/>
      </c>
      <c r="Q529">
        <f>P529*0.0015</f>
        <v/>
      </c>
      <c r="R529">
        <f>I529*(1-Q529)</f>
        <v/>
      </c>
      <c r="S529">
        <f>R529/R528-1</f>
        <v/>
      </c>
      <c r="T529">
        <f>MAX(T528,R529)</f>
        <v/>
      </c>
      <c r="U529">
        <f>R529/T529-1</f>
        <v/>
      </c>
      <c r="V529" t="n">
        <v>2.111568258726796</v>
      </c>
      <c r="W529" s="5">
        <f>R529-V529</f>
        <v/>
      </c>
    </row>
    <row r="530">
      <c r="A530" s="3" t="n">
        <v>39217</v>
      </c>
      <c r="B530">
        <f>Prices!B530</f>
        <v/>
      </c>
      <c r="C530">
        <f>Prices!C530</f>
        <v/>
      </c>
      <c r="D530">
        <f>Prices!D530</f>
        <v/>
      </c>
      <c r="E530">
        <f>Prices!E530</f>
        <v/>
      </c>
      <c r="F530">
        <f>Prices!F530</f>
        <v/>
      </c>
      <c r="G530">
        <f>IF(AND(528&gt;=16,TEXT(A530,"yyyy-mm")&lt;&gt;TEXT(A531,"yyyy-mm")),1,0)</f>
        <v/>
      </c>
      <c r="H530">
        <f>IF(OR(H529=1,G530=1),1,0)</f>
        <v/>
      </c>
      <c r="I530">
        <f>IF(H529=0,1,SUMPRODUCT(J529:N529,B530:F530)+O529*(1+0.00023125256064071564))</f>
        <v/>
      </c>
      <c r="J530">
        <f>IF(G530=1,0.2*R530/B530,J529)</f>
        <v/>
      </c>
      <c r="K530">
        <f>IF(G530=1,0.2*R530/C530,K529)</f>
        <v/>
      </c>
      <c r="L530">
        <f>IF(G530=1,0.2*R530/D530,L529)</f>
        <v/>
      </c>
      <c r="M530">
        <f>IF(G530=1,0.2*R530/E530,M529)</f>
        <v/>
      </c>
      <c r="N530">
        <f>IF(G530=1,0.2*R530/F530,N529)</f>
        <v/>
      </c>
      <c r="O530">
        <f>IF(G530=1,R530*(1-1.0),IF(H529=0,1,O529*(1+0.00023125256064071564)))</f>
        <v/>
      </c>
      <c r="P530">
        <f>IF(G530=1,IF(H529=0,1,ABS(0.2-J529*B530/I530)+ABS(0.2-K529*C530/I530)+ABS(0.2-L529*D530/I530)+ABS(0.2-M529*E530/I530)+ABS(0.2-N529*F530/I530)),0)</f>
        <v/>
      </c>
      <c r="Q530">
        <f>P530*0.0015</f>
        <v/>
      </c>
      <c r="R530">
        <f>I530*(1-Q530)</f>
        <v/>
      </c>
      <c r="S530">
        <f>R530/R529-1</f>
        <v/>
      </c>
      <c r="T530">
        <f>MAX(T529,R530)</f>
        <v/>
      </c>
      <c r="U530">
        <f>R530/T530-1</f>
        <v/>
      </c>
      <c r="V530" t="n">
        <v>2.123854954536156</v>
      </c>
      <c r="W530" s="5">
        <f>R530-V530</f>
        <v/>
      </c>
    </row>
    <row r="531">
      <c r="A531" s="3" t="n">
        <v>39218</v>
      </c>
      <c r="B531">
        <f>Prices!B531</f>
        <v/>
      </c>
      <c r="C531">
        <f>Prices!C531</f>
        <v/>
      </c>
      <c r="D531">
        <f>Prices!D531</f>
        <v/>
      </c>
      <c r="E531">
        <f>Prices!E531</f>
        <v/>
      </c>
      <c r="F531">
        <f>Prices!F531</f>
        <v/>
      </c>
      <c r="G531">
        <f>IF(AND(529&gt;=16,TEXT(A531,"yyyy-mm")&lt;&gt;TEXT(A532,"yyyy-mm")),1,0)</f>
        <v/>
      </c>
      <c r="H531">
        <f>IF(OR(H530=1,G531=1),1,0)</f>
        <v/>
      </c>
      <c r="I531">
        <f>IF(H530=0,1,SUMPRODUCT(J530:N530,B531:F531)+O530*(1+0.00023125256064071564))</f>
        <v/>
      </c>
      <c r="J531">
        <f>IF(G531=1,0.2*R531/B531,J530)</f>
        <v/>
      </c>
      <c r="K531">
        <f>IF(G531=1,0.2*R531/C531,K530)</f>
        <v/>
      </c>
      <c r="L531">
        <f>IF(G531=1,0.2*R531/D531,L530)</f>
        <v/>
      </c>
      <c r="M531">
        <f>IF(G531=1,0.2*R531/E531,M530)</f>
        <v/>
      </c>
      <c r="N531">
        <f>IF(G531=1,0.2*R531/F531,N530)</f>
        <v/>
      </c>
      <c r="O531">
        <f>IF(G531=1,R531*(1-1.0),IF(H530=0,1,O530*(1+0.00023125256064071564)))</f>
        <v/>
      </c>
      <c r="P531">
        <f>IF(G531=1,IF(H530=0,1,ABS(0.2-J530*B531/I531)+ABS(0.2-K530*C531/I531)+ABS(0.2-L530*D531/I531)+ABS(0.2-M530*E531/I531)+ABS(0.2-N530*F531/I531)),0)</f>
        <v/>
      </c>
      <c r="Q531">
        <f>P531*0.0015</f>
        <v/>
      </c>
      <c r="R531">
        <f>I531*(1-Q531)</f>
        <v/>
      </c>
      <c r="S531">
        <f>R531/R530-1</f>
        <v/>
      </c>
      <c r="T531">
        <f>MAX(T530,R531)</f>
        <v/>
      </c>
      <c r="U531">
        <f>R531/T531-1</f>
        <v/>
      </c>
      <c r="V531" t="n">
        <v>2.149765954415198</v>
      </c>
      <c r="W531" s="5">
        <f>R531-V531</f>
        <v/>
      </c>
    </row>
    <row r="532">
      <c r="A532" s="3" t="n">
        <v>39219</v>
      </c>
      <c r="B532">
        <f>Prices!B532</f>
        <v/>
      </c>
      <c r="C532">
        <f>Prices!C532</f>
        <v/>
      </c>
      <c r="D532">
        <f>Prices!D532</f>
        <v/>
      </c>
      <c r="E532">
        <f>Prices!E532</f>
        <v/>
      </c>
      <c r="F532">
        <f>Prices!F532</f>
        <v/>
      </c>
      <c r="G532">
        <f>IF(AND(530&gt;=16,TEXT(A532,"yyyy-mm")&lt;&gt;TEXT(A533,"yyyy-mm")),1,0)</f>
        <v/>
      </c>
      <c r="H532">
        <f>IF(OR(H531=1,G532=1),1,0)</f>
        <v/>
      </c>
      <c r="I532">
        <f>IF(H531=0,1,SUMPRODUCT(J531:N531,B532:F532)+O531*(1+0.00023125256064071564))</f>
        <v/>
      </c>
      <c r="J532">
        <f>IF(G532=1,0.2*R532/B532,J531)</f>
        <v/>
      </c>
      <c r="K532">
        <f>IF(G532=1,0.2*R532/C532,K531)</f>
        <v/>
      </c>
      <c r="L532">
        <f>IF(G532=1,0.2*R532/D532,L531)</f>
        <v/>
      </c>
      <c r="M532">
        <f>IF(G532=1,0.2*R532/E532,M531)</f>
        <v/>
      </c>
      <c r="N532">
        <f>IF(G532=1,0.2*R532/F532,N531)</f>
        <v/>
      </c>
      <c r="O532">
        <f>IF(G532=1,R532*(1-1.0),IF(H531=0,1,O531*(1+0.00023125256064071564)))</f>
        <v/>
      </c>
      <c r="P532">
        <f>IF(G532=1,IF(H531=0,1,ABS(0.2-J531*B532/I532)+ABS(0.2-K531*C532/I532)+ABS(0.2-L531*D532/I532)+ABS(0.2-M531*E532/I532)+ABS(0.2-N531*F532/I532)),0)</f>
        <v/>
      </c>
      <c r="Q532">
        <f>P532*0.0015</f>
        <v/>
      </c>
      <c r="R532">
        <f>I532*(1-Q532)</f>
        <v/>
      </c>
      <c r="S532">
        <f>R532/R531-1</f>
        <v/>
      </c>
      <c r="T532">
        <f>MAX(T531,R532)</f>
        <v/>
      </c>
      <c r="U532">
        <f>R532/T532-1</f>
        <v/>
      </c>
      <c r="V532" t="n">
        <v>2.174110105661891</v>
      </c>
      <c r="W532" s="5">
        <f>R532-V532</f>
        <v/>
      </c>
    </row>
    <row r="533">
      <c r="A533" s="3" t="n">
        <v>39220</v>
      </c>
      <c r="B533">
        <f>Prices!B533</f>
        <v/>
      </c>
      <c r="C533">
        <f>Prices!C533</f>
        <v/>
      </c>
      <c r="D533">
        <f>Prices!D533</f>
        <v/>
      </c>
      <c r="E533">
        <f>Prices!E533</f>
        <v/>
      </c>
      <c r="F533">
        <f>Prices!F533</f>
        <v/>
      </c>
      <c r="G533">
        <f>IF(AND(531&gt;=16,TEXT(A533,"yyyy-mm")&lt;&gt;TEXT(A534,"yyyy-mm")),1,0)</f>
        <v/>
      </c>
      <c r="H533">
        <f>IF(OR(H532=1,G533=1),1,0)</f>
        <v/>
      </c>
      <c r="I533">
        <f>IF(H532=0,1,SUMPRODUCT(J532:N532,B533:F533)+O532*(1+0.00023125256064071564))</f>
        <v/>
      </c>
      <c r="J533">
        <f>IF(G533=1,0.2*R533/B533,J532)</f>
        <v/>
      </c>
      <c r="K533">
        <f>IF(G533=1,0.2*R533/C533,K532)</f>
        <v/>
      </c>
      <c r="L533">
        <f>IF(G533=1,0.2*R533/D533,L532)</f>
        <v/>
      </c>
      <c r="M533">
        <f>IF(G533=1,0.2*R533/E533,M532)</f>
        <v/>
      </c>
      <c r="N533">
        <f>IF(G533=1,0.2*R533/F533,N532)</f>
        <v/>
      </c>
      <c r="O533">
        <f>IF(G533=1,R533*(1-1.0),IF(H532=0,1,O532*(1+0.00023125256064071564)))</f>
        <v/>
      </c>
      <c r="P533">
        <f>IF(G533=1,IF(H532=0,1,ABS(0.2-J532*B533/I533)+ABS(0.2-K532*C533/I533)+ABS(0.2-L532*D533/I533)+ABS(0.2-M532*E533/I533)+ABS(0.2-N532*F533/I533)),0)</f>
        <v/>
      </c>
      <c r="Q533">
        <f>P533*0.0015</f>
        <v/>
      </c>
      <c r="R533">
        <f>I533*(1-Q533)</f>
        <v/>
      </c>
      <c r="S533">
        <f>R533/R532-1</f>
        <v/>
      </c>
      <c r="T533">
        <f>MAX(T532,R533)</f>
        <v/>
      </c>
      <c r="U533">
        <f>R533/T533-1</f>
        <v/>
      </c>
      <c r="V533" t="n">
        <v>2.172065965583371</v>
      </c>
      <c r="W533" s="5">
        <f>R533-V533</f>
        <v/>
      </c>
    </row>
    <row r="534">
      <c r="A534" s="3" t="n">
        <v>39223</v>
      </c>
      <c r="B534">
        <f>Prices!B534</f>
        <v/>
      </c>
      <c r="C534">
        <f>Prices!C534</f>
        <v/>
      </c>
      <c r="D534">
        <f>Prices!D534</f>
        <v/>
      </c>
      <c r="E534">
        <f>Prices!E534</f>
        <v/>
      </c>
      <c r="F534">
        <f>Prices!F534</f>
        <v/>
      </c>
      <c r="G534">
        <f>IF(AND(532&gt;=16,TEXT(A534,"yyyy-mm")&lt;&gt;TEXT(A535,"yyyy-mm")),1,0)</f>
        <v/>
      </c>
      <c r="H534">
        <f>IF(OR(H533=1,G534=1),1,0)</f>
        <v/>
      </c>
      <c r="I534">
        <f>IF(H533=0,1,SUMPRODUCT(J533:N533,B534:F534)+O533*(1+0.00023125256064071564))</f>
        <v/>
      </c>
      <c r="J534">
        <f>IF(G534=1,0.2*R534/B534,J533)</f>
        <v/>
      </c>
      <c r="K534">
        <f>IF(G534=1,0.2*R534/C534,K533)</f>
        <v/>
      </c>
      <c r="L534">
        <f>IF(G534=1,0.2*R534/D534,L533)</f>
        <v/>
      </c>
      <c r="M534">
        <f>IF(G534=1,0.2*R534/E534,M533)</f>
        <v/>
      </c>
      <c r="N534">
        <f>IF(G534=1,0.2*R534/F534,N533)</f>
        <v/>
      </c>
      <c r="O534">
        <f>IF(G534=1,R534*(1-1.0),IF(H533=0,1,O533*(1+0.00023125256064071564)))</f>
        <v/>
      </c>
      <c r="P534">
        <f>IF(G534=1,IF(H533=0,1,ABS(0.2-J533*B534/I534)+ABS(0.2-K533*C534/I534)+ABS(0.2-L533*D534/I534)+ABS(0.2-M533*E534/I534)+ABS(0.2-N533*F534/I534)),0)</f>
        <v/>
      </c>
      <c r="Q534">
        <f>P534*0.0015</f>
        <v/>
      </c>
      <c r="R534">
        <f>I534*(1-Q534)</f>
        <v/>
      </c>
      <c r="S534">
        <f>R534/R533-1</f>
        <v/>
      </c>
      <c r="T534">
        <f>MAX(T533,R534)</f>
        <v/>
      </c>
      <c r="U534">
        <f>R534/T534-1</f>
        <v/>
      </c>
      <c r="V534" t="n">
        <v>2.187683252795131</v>
      </c>
      <c r="W534" s="5">
        <f>R534-V534</f>
        <v/>
      </c>
    </row>
    <row r="535">
      <c r="A535" s="3" t="n">
        <v>39224</v>
      </c>
      <c r="B535">
        <f>Prices!B535</f>
        <v/>
      </c>
      <c r="C535">
        <f>Prices!C535</f>
        <v/>
      </c>
      <c r="D535">
        <f>Prices!D535</f>
        <v/>
      </c>
      <c r="E535">
        <f>Prices!E535</f>
        <v/>
      </c>
      <c r="F535">
        <f>Prices!F535</f>
        <v/>
      </c>
      <c r="G535">
        <f>IF(AND(533&gt;=16,TEXT(A535,"yyyy-mm")&lt;&gt;TEXT(A536,"yyyy-mm")),1,0)</f>
        <v/>
      </c>
      <c r="H535">
        <f>IF(OR(H534=1,G535=1),1,0)</f>
        <v/>
      </c>
      <c r="I535">
        <f>IF(H534=0,1,SUMPRODUCT(J534:N534,B535:F535)+O534*(1+0.00023125256064071564))</f>
        <v/>
      </c>
      <c r="J535">
        <f>IF(G535=1,0.2*R535/B535,J534)</f>
        <v/>
      </c>
      <c r="K535">
        <f>IF(G535=1,0.2*R535/C535,K534)</f>
        <v/>
      </c>
      <c r="L535">
        <f>IF(G535=1,0.2*R535/D535,L534)</f>
        <v/>
      </c>
      <c r="M535">
        <f>IF(G535=1,0.2*R535/E535,M534)</f>
        <v/>
      </c>
      <c r="N535">
        <f>IF(G535=1,0.2*R535/F535,N534)</f>
        <v/>
      </c>
      <c r="O535">
        <f>IF(G535=1,R535*(1-1.0),IF(H534=0,1,O534*(1+0.00023125256064071564)))</f>
        <v/>
      </c>
      <c r="P535">
        <f>IF(G535=1,IF(H534=0,1,ABS(0.2-J534*B535/I535)+ABS(0.2-K534*C535/I535)+ABS(0.2-L534*D535/I535)+ABS(0.2-M534*E535/I535)+ABS(0.2-N534*F535/I535)),0)</f>
        <v/>
      </c>
      <c r="Q535">
        <f>P535*0.0015</f>
        <v/>
      </c>
      <c r="R535">
        <f>I535*(1-Q535)</f>
        <v/>
      </c>
      <c r="S535">
        <f>R535/R534-1</f>
        <v/>
      </c>
      <c r="T535">
        <f>MAX(T534,R535)</f>
        <v/>
      </c>
      <c r="U535">
        <f>R535/T535-1</f>
        <v/>
      </c>
      <c r="V535" t="n">
        <v>2.196781148067904</v>
      </c>
      <c r="W535" s="5">
        <f>R535-V535</f>
        <v/>
      </c>
    </row>
    <row r="536">
      <c r="A536" s="3" t="n">
        <v>39225</v>
      </c>
      <c r="B536">
        <f>Prices!B536</f>
        <v/>
      </c>
      <c r="C536">
        <f>Prices!C536</f>
        <v/>
      </c>
      <c r="D536">
        <f>Prices!D536</f>
        <v/>
      </c>
      <c r="E536">
        <f>Prices!E536</f>
        <v/>
      </c>
      <c r="F536">
        <f>Prices!F536</f>
        <v/>
      </c>
      <c r="G536">
        <f>IF(AND(534&gt;=16,TEXT(A536,"yyyy-mm")&lt;&gt;TEXT(A537,"yyyy-mm")),1,0)</f>
        <v/>
      </c>
      <c r="H536">
        <f>IF(OR(H535=1,G536=1),1,0)</f>
        <v/>
      </c>
      <c r="I536">
        <f>IF(H535=0,1,SUMPRODUCT(J535:N535,B536:F536)+O535*(1+0.00023125256064071564))</f>
        <v/>
      </c>
      <c r="J536">
        <f>IF(G536=1,0.2*R536/B536,J535)</f>
        <v/>
      </c>
      <c r="K536">
        <f>IF(G536=1,0.2*R536/C536,K535)</f>
        <v/>
      </c>
      <c r="L536">
        <f>IF(G536=1,0.2*R536/D536,L535)</f>
        <v/>
      </c>
      <c r="M536">
        <f>IF(G536=1,0.2*R536/E536,M535)</f>
        <v/>
      </c>
      <c r="N536">
        <f>IF(G536=1,0.2*R536/F536,N535)</f>
        <v/>
      </c>
      <c r="O536">
        <f>IF(G536=1,R536*(1-1.0),IF(H535=0,1,O535*(1+0.00023125256064071564)))</f>
        <v/>
      </c>
      <c r="P536">
        <f>IF(G536=1,IF(H535=0,1,ABS(0.2-J535*B536/I536)+ABS(0.2-K535*C536/I536)+ABS(0.2-L535*D536/I536)+ABS(0.2-M535*E536/I536)+ABS(0.2-N535*F536/I536)),0)</f>
        <v/>
      </c>
      <c r="Q536">
        <f>P536*0.0015</f>
        <v/>
      </c>
      <c r="R536">
        <f>I536*(1-Q536)</f>
        <v/>
      </c>
      <c r="S536">
        <f>R536/R535-1</f>
        <v/>
      </c>
      <c r="T536">
        <f>MAX(T535,R536)</f>
        <v/>
      </c>
      <c r="U536">
        <f>R536/T536-1</f>
        <v/>
      </c>
      <c r="V536" t="n">
        <v>2.188260032396002</v>
      </c>
      <c r="W536" s="5">
        <f>R536-V536</f>
        <v/>
      </c>
    </row>
    <row r="537">
      <c r="A537" s="3" t="n">
        <v>39226</v>
      </c>
      <c r="B537">
        <f>Prices!B537</f>
        <v/>
      </c>
      <c r="C537">
        <f>Prices!C537</f>
        <v/>
      </c>
      <c r="D537">
        <f>Prices!D537</f>
        <v/>
      </c>
      <c r="E537">
        <f>Prices!E537</f>
        <v/>
      </c>
      <c r="F537">
        <f>Prices!F537</f>
        <v/>
      </c>
      <c r="G537">
        <f>IF(AND(535&gt;=16,TEXT(A537,"yyyy-mm")&lt;&gt;TEXT(A538,"yyyy-mm")),1,0)</f>
        <v/>
      </c>
      <c r="H537">
        <f>IF(OR(H536=1,G537=1),1,0)</f>
        <v/>
      </c>
      <c r="I537">
        <f>IF(H536=0,1,SUMPRODUCT(J536:N536,B537:F537)+O536*(1+0.00023125256064071564))</f>
        <v/>
      </c>
      <c r="J537">
        <f>IF(G537=1,0.2*R537/B537,J536)</f>
        <v/>
      </c>
      <c r="K537">
        <f>IF(G537=1,0.2*R537/C537,K536)</f>
        <v/>
      </c>
      <c r="L537">
        <f>IF(G537=1,0.2*R537/D537,L536)</f>
        <v/>
      </c>
      <c r="M537">
        <f>IF(G537=1,0.2*R537/E537,M536)</f>
        <v/>
      </c>
      <c r="N537">
        <f>IF(G537=1,0.2*R537/F537,N536)</f>
        <v/>
      </c>
      <c r="O537">
        <f>IF(G537=1,R537*(1-1.0),IF(H536=0,1,O536*(1+0.00023125256064071564)))</f>
        <v/>
      </c>
      <c r="P537">
        <f>IF(G537=1,IF(H536=0,1,ABS(0.2-J536*B537/I537)+ABS(0.2-K536*C537/I537)+ABS(0.2-L536*D537/I537)+ABS(0.2-M536*E537/I537)+ABS(0.2-N536*F537/I537)),0)</f>
        <v/>
      </c>
      <c r="Q537">
        <f>P537*0.0015</f>
        <v/>
      </c>
      <c r="R537">
        <f>I537*(1-Q537)</f>
        <v/>
      </c>
      <c r="S537">
        <f>R537/R536-1</f>
        <v/>
      </c>
      <c r="T537">
        <f>MAX(T536,R537)</f>
        <v/>
      </c>
      <c r="U537">
        <f>R537/T537-1</f>
        <v/>
      </c>
      <c r="V537" t="n">
        <v>2.173871509374654</v>
      </c>
      <c r="W537" s="5">
        <f>R537-V537</f>
        <v/>
      </c>
    </row>
    <row r="538">
      <c r="A538" s="3" t="n">
        <v>39227</v>
      </c>
      <c r="B538">
        <f>Prices!B538</f>
        <v/>
      </c>
      <c r="C538">
        <f>Prices!C538</f>
        <v/>
      </c>
      <c r="D538">
        <f>Prices!D538</f>
        <v/>
      </c>
      <c r="E538">
        <f>Prices!E538</f>
        <v/>
      </c>
      <c r="F538">
        <f>Prices!F538</f>
        <v/>
      </c>
      <c r="G538">
        <f>IF(AND(536&gt;=16,TEXT(A538,"yyyy-mm")&lt;&gt;TEXT(A539,"yyyy-mm")),1,0)</f>
        <v/>
      </c>
      <c r="H538">
        <f>IF(OR(H537=1,G538=1),1,0)</f>
        <v/>
      </c>
      <c r="I538">
        <f>IF(H537=0,1,SUMPRODUCT(J537:N537,B538:F538)+O537*(1+0.00023125256064071564))</f>
        <v/>
      </c>
      <c r="J538">
        <f>IF(G538=1,0.2*R538/B538,J537)</f>
        <v/>
      </c>
      <c r="K538">
        <f>IF(G538=1,0.2*R538/C538,K537)</f>
        <v/>
      </c>
      <c r="L538">
        <f>IF(G538=1,0.2*R538/D538,L537)</f>
        <v/>
      </c>
      <c r="M538">
        <f>IF(G538=1,0.2*R538/E538,M537)</f>
        <v/>
      </c>
      <c r="N538">
        <f>IF(G538=1,0.2*R538/F538,N537)</f>
        <v/>
      </c>
      <c r="O538">
        <f>IF(G538=1,R538*(1-1.0),IF(H537=0,1,O537*(1+0.00023125256064071564)))</f>
        <v/>
      </c>
      <c r="P538">
        <f>IF(G538=1,IF(H537=0,1,ABS(0.2-J537*B538/I538)+ABS(0.2-K537*C538/I538)+ABS(0.2-L537*D538/I538)+ABS(0.2-M537*E538/I538)+ABS(0.2-N537*F538/I538)),0)</f>
        <v/>
      </c>
      <c r="Q538">
        <f>P538*0.0015</f>
        <v/>
      </c>
      <c r="R538">
        <f>I538*(1-Q538)</f>
        <v/>
      </c>
      <c r="S538">
        <f>R538/R537-1</f>
        <v/>
      </c>
      <c r="T538">
        <f>MAX(T537,R538)</f>
        <v/>
      </c>
      <c r="U538">
        <f>R538/T538-1</f>
        <v/>
      </c>
      <c r="V538" t="n">
        <v>2.185331453748285</v>
      </c>
      <c r="W538" s="5">
        <f>R538-V538</f>
        <v/>
      </c>
    </row>
    <row r="539">
      <c r="A539" s="3" t="n">
        <v>39230</v>
      </c>
      <c r="B539">
        <f>Prices!B539</f>
        <v/>
      </c>
      <c r="C539">
        <f>Prices!C539</f>
        <v/>
      </c>
      <c r="D539">
        <f>Prices!D539</f>
        <v/>
      </c>
      <c r="E539">
        <f>Prices!E539</f>
        <v/>
      </c>
      <c r="F539">
        <f>Prices!F539</f>
        <v/>
      </c>
      <c r="G539">
        <f>IF(AND(537&gt;=16,TEXT(A539,"yyyy-mm")&lt;&gt;TEXT(A540,"yyyy-mm")),1,0)</f>
        <v/>
      </c>
      <c r="H539">
        <f>IF(OR(H538=1,G539=1),1,0)</f>
        <v/>
      </c>
      <c r="I539">
        <f>IF(H538=0,1,SUMPRODUCT(J538:N538,B539:F539)+O538*(1+0.00023125256064071564))</f>
        <v/>
      </c>
      <c r="J539">
        <f>IF(G539=1,0.2*R539/B539,J538)</f>
        <v/>
      </c>
      <c r="K539">
        <f>IF(G539=1,0.2*R539/C539,K538)</f>
        <v/>
      </c>
      <c r="L539">
        <f>IF(G539=1,0.2*R539/D539,L538)</f>
        <v/>
      </c>
      <c r="M539">
        <f>IF(G539=1,0.2*R539/E539,M538)</f>
        <v/>
      </c>
      <c r="N539">
        <f>IF(G539=1,0.2*R539/F539,N538)</f>
        <v/>
      </c>
      <c r="O539">
        <f>IF(G539=1,R539*(1-1.0),IF(H538=0,1,O538*(1+0.00023125256064071564)))</f>
        <v/>
      </c>
      <c r="P539">
        <f>IF(G539=1,IF(H538=0,1,ABS(0.2-J538*B539/I539)+ABS(0.2-K538*C539/I539)+ABS(0.2-L538*D539/I539)+ABS(0.2-M538*E539/I539)+ABS(0.2-N538*F539/I539)),0)</f>
        <v/>
      </c>
      <c r="Q539">
        <f>P539*0.0015</f>
        <v/>
      </c>
      <c r="R539">
        <f>I539*(1-Q539)</f>
        <v/>
      </c>
      <c r="S539">
        <f>R539/R538-1</f>
        <v/>
      </c>
      <c r="T539">
        <f>MAX(T538,R539)</f>
        <v/>
      </c>
      <c r="U539">
        <f>R539/T539-1</f>
        <v/>
      </c>
      <c r="V539" t="n">
        <v>2.20660971292632</v>
      </c>
      <c r="W539" s="5">
        <f>R539-V539</f>
        <v/>
      </c>
    </row>
    <row r="540">
      <c r="A540" s="3" t="n">
        <v>39231</v>
      </c>
      <c r="B540">
        <f>Prices!B540</f>
        <v/>
      </c>
      <c r="C540">
        <f>Prices!C540</f>
        <v/>
      </c>
      <c r="D540">
        <f>Prices!D540</f>
        <v/>
      </c>
      <c r="E540">
        <f>Prices!E540</f>
        <v/>
      </c>
      <c r="F540">
        <f>Prices!F540</f>
        <v/>
      </c>
      <c r="G540">
        <f>IF(AND(538&gt;=16,TEXT(A540,"yyyy-mm")&lt;&gt;TEXT(A541,"yyyy-mm")),1,0)</f>
        <v/>
      </c>
      <c r="H540">
        <f>IF(OR(H539=1,G540=1),1,0)</f>
        <v/>
      </c>
      <c r="I540">
        <f>IF(H539=0,1,SUMPRODUCT(J539:N539,B540:F540)+O539*(1+0.00023125256064071564))</f>
        <v/>
      </c>
      <c r="J540">
        <f>IF(G540=1,0.2*R540/B540,J539)</f>
        <v/>
      </c>
      <c r="K540">
        <f>IF(G540=1,0.2*R540/C540,K539)</f>
        <v/>
      </c>
      <c r="L540">
        <f>IF(G540=1,0.2*R540/D540,L539)</f>
        <v/>
      </c>
      <c r="M540">
        <f>IF(G540=1,0.2*R540/E540,M539)</f>
        <v/>
      </c>
      <c r="N540">
        <f>IF(G540=1,0.2*R540/F540,N539)</f>
        <v/>
      </c>
      <c r="O540">
        <f>IF(G540=1,R540*(1-1.0),IF(H539=0,1,O539*(1+0.00023125256064071564)))</f>
        <v/>
      </c>
      <c r="P540">
        <f>IF(G540=1,IF(H539=0,1,ABS(0.2-J539*B540/I540)+ABS(0.2-K539*C540/I540)+ABS(0.2-L539*D540/I540)+ABS(0.2-M539*E540/I540)+ABS(0.2-N539*F540/I540)),0)</f>
        <v/>
      </c>
      <c r="Q540">
        <f>P540*0.0015</f>
        <v/>
      </c>
      <c r="R540">
        <f>I540*(1-Q540)</f>
        <v/>
      </c>
      <c r="S540">
        <f>R540/R539-1</f>
        <v/>
      </c>
      <c r="T540">
        <f>MAX(T539,R540)</f>
        <v/>
      </c>
      <c r="U540">
        <f>R540/T540-1</f>
        <v/>
      </c>
      <c r="V540" t="n">
        <v>2.222461954195889</v>
      </c>
      <c r="W540" s="5">
        <f>R540-V540</f>
        <v/>
      </c>
    </row>
    <row r="541">
      <c r="A541" s="3" t="n">
        <v>39232</v>
      </c>
      <c r="B541">
        <f>Prices!B541</f>
        <v/>
      </c>
      <c r="C541">
        <f>Prices!C541</f>
        <v/>
      </c>
      <c r="D541">
        <f>Prices!D541</f>
        <v/>
      </c>
      <c r="E541">
        <f>Prices!E541</f>
        <v/>
      </c>
      <c r="F541">
        <f>Prices!F541</f>
        <v/>
      </c>
      <c r="G541">
        <f>IF(AND(539&gt;=16,TEXT(A541,"yyyy-mm")&lt;&gt;TEXT(A542,"yyyy-mm")),1,0)</f>
        <v/>
      </c>
      <c r="H541">
        <f>IF(OR(H540=1,G541=1),1,0)</f>
        <v/>
      </c>
      <c r="I541">
        <f>IF(H540=0,1,SUMPRODUCT(J540:N540,B541:F541)+O540*(1+0.00023125256064071564))</f>
        <v/>
      </c>
      <c r="J541">
        <f>IF(G541=1,0.2*R541/B541,J540)</f>
        <v/>
      </c>
      <c r="K541">
        <f>IF(G541=1,0.2*R541/C541,K540)</f>
        <v/>
      </c>
      <c r="L541">
        <f>IF(G541=1,0.2*R541/D541,L540)</f>
        <v/>
      </c>
      <c r="M541">
        <f>IF(G541=1,0.2*R541/E541,M540)</f>
        <v/>
      </c>
      <c r="N541">
        <f>IF(G541=1,0.2*R541/F541,N540)</f>
        <v/>
      </c>
      <c r="O541">
        <f>IF(G541=1,R541*(1-1.0),IF(H540=0,1,O540*(1+0.00023125256064071564)))</f>
        <v/>
      </c>
      <c r="P541">
        <f>IF(G541=1,IF(H540=0,1,ABS(0.2-J540*B541/I541)+ABS(0.2-K540*C541/I541)+ABS(0.2-L540*D541/I541)+ABS(0.2-M540*E541/I541)+ABS(0.2-N540*F541/I541)),0)</f>
        <v/>
      </c>
      <c r="Q541">
        <f>P541*0.0015</f>
        <v/>
      </c>
      <c r="R541">
        <f>I541*(1-Q541)</f>
        <v/>
      </c>
      <c r="S541">
        <f>R541/R540-1</f>
        <v/>
      </c>
      <c r="T541">
        <f>MAX(T540,R541)</f>
        <v/>
      </c>
      <c r="U541">
        <f>R541/T541-1</f>
        <v/>
      </c>
      <c r="V541" t="n">
        <v>2.200632096856773</v>
      </c>
      <c r="W541" s="5">
        <f>R541-V541</f>
        <v/>
      </c>
    </row>
    <row r="542">
      <c r="A542" s="3" t="n">
        <v>39233</v>
      </c>
      <c r="B542">
        <f>Prices!B542</f>
        <v/>
      </c>
      <c r="C542">
        <f>Prices!C542</f>
        <v/>
      </c>
      <c r="D542">
        <f>Prices!D542</f>
        <v/>
      </c>
      <c r="E542">
        <f>Prices!E542</f>
        <v/>
      </c>
      <c r="F542">
        <f>Prices!F542</f>
        <v/>
      </c>
      <c r="G542">
        <f>IF(AND(540&gt;=16,TEXT(A542,"yyyy-mm")&lt;&gt;TEXT(A543,"yyyy-mm")),1,0)</f>
        <v/>
      </c>
      <c r="H542">
        <f>IF(OR(H541=1,G542=1),1,0)</f>
        <v/>
      </c>
      <c r="I542">
        <f>IF(H541=0,1,SUMPRODUCT(J541:N541,B542:F542)+O541*(1+0.00023125256064071564))</f>
        <v/>
      </c>
      <c r="J542">
        <f>IF(G542=1,0.2*R542/B542,J541)</f>
        <v/>
      </c>
      <c r="K542">
        <f>IF(G542=1,0.2*R542/C542,K541)</f>
        <v/>
      </c>
      <c r="L542">
        <f>IF(G542=1,0.2*R542/D542,L541)</f>
        <v/>
      </c>
      <c r="M542">
        <f>IF(G542=1,0.2*R542/E542,M541)</f>
        <v/>
      </c>
      <c r="N542">
        <f>IF(G542=1,0.2*R542/F542,N541)</f>
        <v/>
      </c>
      <c r="O542">
        <f>IF(G542=1,R542*(1-1.0),IF(H541=0,1,O541*(1+0.00023125256064071564)))</f>
        <v/>
      </c>
      <c r="P542">
        <f>IF(G542=1,IF(H541=0,1,ABS(0.2-J541*B542/I542)+ABS(0.2-K541*C542/I542)+ABS(0.2-L541*D542/I542)+ABS(0.2-M541*E542/I542)+ABS(0.2-N541*F542/I542)),0)</f>
        <v/>
      </c>
      <c r="Q542">
        <f>P542*0.0015</f>
        <v/>
      </c>
      <c r="R542">
        <f>I542*(1-Q542)</f>
        <v/>
      </c>
      <c r="S542">
        <f>R542/R541-1</f>
        <v/>
      </c>
      <c r="T542">
        <f>MAX(T541,R542)</f>
        <v/>
      </c>
      <c r="U542">
        <f>R542/T542-1</f>
        <v/>
      </c>
      <c r="V542" t="n">
        <v>2.221221790133722</v>
      </c>
      <c r="W542" s="5">
        <f>R542-V542</f>
        <v/>
      </c>
    </row>
    <row r="543">
      <c r="A543" s="3" t="n">
        <v>39234</v>
      </c>
      <c r="B543">
        <f>Prices!B543</f>
        <v/>
      </c>
      <c r="C543">
        <f>Prices!C543</f>
        <v/>
      </c>
      <c r="D543">
        <f>Prices!D543</f>
        <v/>
      </c>
      <c r="E543">
        <f>Prices!E543</f>
        <v/>
      </c>
      <c r="F543">
        <f>Prices!F543</f>
        <v/>
      </c>
      <c r="G543">
        <f>IF(AND(541&gt;=16,TEXT(A543,"yyyy-mm")&lt;&gt;TEXT(A544,"yyyy-mm")),1,0)</f>
        <v/>
      </c>
      <c r="H543">
        <f>IF(OR(H542=1,G543=1),1,0)</f>
        <v/>
      </c>
      <c r="I543">
        <f>IF(H542=0,1,SUMPRODUCT(J542:N542,B543:F543)+O542*(1+0.00023125256064071564))</f>
        <v/>
      </c>
      <c r="J543">
        <f>IF(G543=1,0.2*R543/B543,J542)</f>
        <v/>
      </c>
      <c r="K543">
        <f>IF(G543=1,0.2*R543/C543,K542)</f>
        <v/>
      </c>
      <c r="L543">
        <f>IF(G543=1,0.2*R543/D543,L542)</f>
        <v/>
      </c>
      <c r="M543">
        <f>IF(G543=1,0.2*R543/E543,M542)</f>
        <v/>
      </c>
      <c r="N543">
        <f>IF(G543=1,0.2*R543/F543,N542)</f>
        <v/>
      </c>
      <c r="O543">
        <f>IF(G543=1,R543*(1-1.0),IF(H542=0,1,O542*(1+0.00023125256064071564)))</f>
        <v/>
      </c>
      <c r="P543">
        <f>IF(G543=1,IF(H542=0,1,ABS(0.2-J542*B543/I543)+ABS(0.2-K542*C543/I543)+ABS(0.2-L542*D543/I543)+ABS(0.2-M542*E543/I543)+ABS(0.2-N542*F543/I543)),0)</f>
        <v/>
      </c>
      <c r="Q543">
        <f>P543*0.0015</f>
        <v/>
      </c>
      <c r="R543">
        <f>I543*(1-Q543)</f>
        <v/>
      </c>
      <c r="S543">
        <f>R543/R542-1</f>
        <v/>
      </c>
      <c r="T543">
        <f>MAX(T542,R543)</f>
        <v/>
      </c>
      <c r="U543">
        <f>R543/T543-1</f>
        <v/>
      </c>
      <c r="V543" t="n">
        <v>2.235868764309479</v>
      </c>
      <c r="W543" s="5">
        <f>R543-V543</f>
        <v/>
      </c>
    </row>
    <row r="544">
      <c r="A544" s="3" t="n">
        <v>39237</v>
      </c>
      <c r="B544">
        <f>Prices!B544</f>
        <v/>
      </c>
      <c r="C544">
        <f>Prices!C544</f>
        <v/>
      </c>
      <c r="D544">
        <f>Prices!D544</f>
        <v/>
      </c>
      <c r="E544">
        <f>Prices!E544</f>
        <v/>
      </c>
      <c r="F544">
        <f>Prices!F544</f>
        <v/>
      </c>
      <c r="G544">
        <f>IF(AND(542&gt;=16,TEXT(A544,"yyyy-mm")&lt;&gt;TEXT(A545,"yyyy-mm")),1,0)</f>
        <v/>
      </c>
      <c r="H544">
        <f>IF(OR(H543=1,G544=1),1,0)</f>
        <v/>
      </c>
      <c r="I544">
        <f>IF(H543=0,1,SUMPRODUCT(J543:N543,B544:F544)+O543*(1+0.00023125256064071564))</f>
        <v/>
      </c>
      <c r="J544">
        <f>IF(G544=1,0.2*R544/B544,J543)</f>
        <v/>
      </c>
      <c r="K544">
        <f>IF(G544=1,0.2*R544/C544,K543)</f>
        <v/>
      </c>
      <c r="L544">
        <f>IF(G544=1,0.2*R544/D544,L543)</f>
        <v/>
      </c>
      <c r="M544">
        <f>IF(G544=1,0.2*R544/E544,M543)</f>
        <v/>
      </c>
      <c r="N544">
        <f>IF(G544=1,0.2*R544/F544,N543)</f>
        <v/>
      </c>
      <c r="O544">
        <f>IF(G544=1,R544*(1-1.0),IF(H543=0,1,O543*(1+0.00023125256064071564)))</f>
        <v/>
      </c>
      <c r="P544">
        <f>IF(G544=1,IF(H543=0,1,ABS(0.2-J543*B544/I544)+ABS(0.2-K543*C544/I544)+ABS(0.2-L543*D544/I544)+ABS(0.2-M543*E544/I544)+ABS(0.2-N543*F544/I544)),0)</f>
        <v/>
      </c>
      <c r="Q544">
        <f>P544*0.0015</f>
        <v/>
      </c>
      <c r="R544">
        <f>I544*(1-Q544)</f>
        <v/>
      </c>
      <c r="S544">
        <f>R544/R543-1</f>
        <v/>
      </c>
      <c r="T544">
        <f>MAX(T543,R544)</f>
        <v/>
      </c>
      <c r="U544">
        <f>R544/T544-1</f>
        <v/>
      </c>
      <c r="V544" t="n">
        <v>2.222463555352082</v>
      </c>
      <c r="W544" s="5">
        <f>R544-V544</f>
        <v/>
      </c>
    </row>
    <row r="545">
      <c r="A545" s="3" t="n">
        <v>39238</v>
      </c>
      <c r="B545">
        <f>Prices!B545</f>
        <v/>
      </c>
      <c r="C545">
        <f>Prices!C545</f>
        <v/>
      </c>
      <c r="D545">
        <f>Prices!D545</f>
        <v/>
      </c>
      <c r="E545">
        <f>Prices!E545</f>
        <v/>
      </c>
      <c r="F545">
        <f>Prices!F545</f>
        <v/>
      </c>
      <c r="G545">
        <f>IF(AND(543&gt;=16,TEXT(A545,"yyyy-mm")&lt;&gt;TEXT(A546,"yyyy-mm")),1,0)</f>
        <v/>
      </c>
      <c r="H545">
        <f>IF(OR(H544=1,G545=1),1,0)</f>
        <v/>
      </c>
      <c r="I545">
        <f>IF(H544=0,1,SUMPRODUCT(J544:N544,B545:F545)+O544*(1+0.00023125256064071564))</f>
        <v/>
      </c>
      <c r="J545">
        <f>IF(G545=1,0.2*R545/B545,J544)</f>
        <v/>
      </c>
      <c r="K545">
        <f>IF(G545=1,0.2*R545/C545,K544)</f>
        <v/>
      </c>
      <c r="L545">
        <f>IF(G545=1,0.2*R545/D545,L544)</f>
        <v/>
      </c>
      <c r="M545">
        <f>IF(G545=1,0.2*R545/E545,M544)</f>
        <v/>
      </c>
      <c r="N545">
        <f>IF(G545=1,0.2*R545/F545,N544)</f>
        <v/>
      </c>
      <c r="O545">
        <f>IF(G545=1,R545*(1-1.0),IF(H544=0,1,O544*(1+0.00023125256064071564)))</f>
        <v/>
      </c>
      <c r="P545">
        <f>IF(G545=1,IF(H544=0,1,ABS(0.2-J544*B545/I545)+ABS(0.2-K544*C545/I545)+ABS(0.2-L544*D545/I545)+ABS(0.2-M544*E545/I545)+ABS(0.2-N544*F545/I545)),0)</f>
        <v/>
      </c>
      <c r="Q545">
        <f>P545*0.0015</f>
        <v/>
      </c>
      <c r="R545">
        <f>I545*(1-Q545)</f>
        <v/>
      </c>
      <c r="S545">
        <f>R545/R544-1</f>
        <v/>
      </c>
      <c r="T545">
        <f>MAX(T544,R545)</f>
        <v/>
      </c>
      <c r="U545">
        <f>R545/T545-1</f>
        <v/>
      </c>
      <c r="V545" t="n">
        <v>2.233336518268614</v>
      </c>
      <c r="W545" s="5">
        <f>R545-V545</f>
        <v/>
      </c>
    </row>
    <row r="546">
      <c r="A546" s="3" t="n">
        <v>39239</v>
      </c>
      <c r="B546">
        <f>Prices!B546</f>
        <v/>
      </c>
      <c r="C546">
        <f>Prices!C546</f>
        <v/>
      </c>
      <c r="D546">
        <f>Prices!D546</f>
        <v/>
      </c>
      <c r="E546">
        <f>Prices!E546</f>
        <v/>
      </c>
      <c r="F546">
        <f>Prices!F546</f>
        <v/>
      </c>
      <c r="G546">
        <f>IF(AND(544&gt;=16,TEXT(A546,"yyyy-mm")&lt;&gt;TEXT(A547,"yyyy-mm")),1,0)</f>
        <v/>
      </c>
      <c r="H546">
        <f>IF(OR(H545=1,G546=1),1,0)</f>
        <v/>
      </c>
      <c r="I546">
        <f>IF(H545=0,1,SUMPRODUCT(J545:N545,B546:F546)+O545*(1+0.00023125256064071564))</f>
        <v/>
      </c>
      <c r="J546">
        <f>IF(G546=1,0.2*R546/B546,J545)</f>
        <v/>
      </c>
      <c r="K546">
        <f>IF(G546=1,0.2*R546/C546,K545)</f>
        <v/>
      </c>
      <c r="L546">
        <f>IF(G546=1,0.2*R546/D546,L545)</f>
        <v/>
      </c>
      <c r="M546">
        <f>IF(G546=1,0.2*R546/E546,M545)</f>
        <v/>
      </c>
      <c r="N546">
        <f>IF(G546=1,0.2*R546/F546,N545)</f>
        <v/>
      </c>
      <c r="O546">
        <f>IF(G546=1,R546*(1-1.0),IF(H545=0,1,O545*(1+0.00023125256064071564)))</f>
        <v/>
      </c>
      <c r="P546">
        <f>IF(G546=1,IF(H545=0,1,ABS(0.2-J545*B546/I546)+ABS(0.2-K545*C546/I546)+ABS(0.2-L545*D546/I546)+ABS(0.2-M545*E546/I546)+ABS(0.2-N545*F546/I546)),0)</f>
        <v/>
      </c>
      <c r="Q546">
        <f>P546*0.0015</f>
        <v/>
      </c>
      <c r="R546">
        <f>I546*(1-Q546)</f>
        <v/>
      </c>
      <c r="S546">
        <f>R546/R545-1</f>
        <v/>
      </c>
      <c r="T546">
        <f>MAX(T545,R546)</f>
        <v/>
      </c>
      <c r="U546">
        <f>R546/T546-1</f>
        <v/>
      </c>
      <c r="V546" t="n">
        <v>2.192676687626758</v>
      </c>
      <c r="W546" s="5">
        <f>R546-V546</f>
        <v/>
      </c>
    </row>
    <row r="547">
      <c r="A547" s="3" t="n">
        <v>39240</v>
      </c>
      <c r="B547">
        <f>Prices!B547</f>
        <v/>
      </c>
      <c r="C547">
        <f>Prices!C547</f>
        <v/>
      </c>
      <c r="D547">
        <f>Prices!D547</f>
        <v/>
      </c>
      <c r="E547">
        <f>Prices!E547</f>
        <v/>
      </c>
      <c r="F547">
        <f>Prices!F547</f>
        <v/>
      </c>
      <c r="G547">
        <f>IF(AND(545&gt;=16,TEXT(A547,"yyyy-mm")&lt;&gt;TEXT(A548,"yyyy-mm")),1,0)</f>
        <v/>
      </c>
      <c r="H547">
        <f>IF(OR(H546=1,G547=1),1,0)</f>
        <v/>
      </c>
      <c r="I547">
        <f>IF(H546=0,1,SUMPRODUCT(J546:N546,B547:F547)+O546*(1+0.00023125256064071564))</f>
        <v/>
      </c>
      <c r="J547">
        <f>IF(G547=1,0.2*R547/B547,J546)</f>
        <v/>
      </c>
      <c r="K547">
        <f>IF(G547=1,0.2*R547/C547,K546)</f>
        <v/>
      </c>
      <c r="L547">
        <f>IF(G547=1,0.2*R547/D547,L546)</f>
        <v/>
      </c>
      <c r="M547">
        <f>IF(G547=1,0.2*R547/E547,M546)</f>
        <v/>
      </c>
      <c r="N547">
        <f>IF(G547=1,0.2*R547/F547,N546)</f>
        <v/>
      </c>
      <c r="O547">
        <f>IF(G547=1,R547*(1-1.0),IF(H546=0,1,O546*(1+0.00023125256064071564)))</f>
        <v/>
      </c>
      <c r="P547">
        <f>IF(G547=1,IF(H546=0,1,ABS(0.2-J546*B547/I547)+ABS(0.2-K546*C547/I547)+ABS(0.2-L546*D547/I547)+ABS(0.2-M546*E547/I547)+ABS(0.2-N546*F547/I547)),0)</f>
        <v/>
      </c>
      <c r="Q547">
        <f>P547*0.0015</f>
        <v/>
      </c>
      <c r="R547">
        <f>I547*(1-Q547)</f>
        <v/>
      </c>
      <c r="S547">
        <f>R547/R546-1</f>
        <v/>
      </c>
      <c r="T547">
        <f>MAX(T546,R547)</f>
        <v/>
      </c>
      <c r="U547">
        <f>R547/T547-1</f>
        <v/>
      </c>
      <c r="V547" t="n">
        <v>2.189090038695683</v>
      </c>
      <c r="W547" s="5">
        <f>R547-V547</f>
        <v/>
      </c>
    </row>
    <row r="548">
      <c r="A548" s="3" t="n">
        <v>39241</v>
      </c>
      <c r="B548">
        <f>Prices!B548</f>
        <v/>
      </c>
      <c r="C548">
        <f>Prices!C548</f>
        <v/>
      </c>
      <c r="D548">
        <f>Prices!D548</f>
        <v/>
      </c>
      <c r="E548">
        <f>Prices!E548</f>
        <v/>
      </c>
      <c r="F548">
        <f>Prices!F548</f>
        <v/>
      </c>
      <c r="G548">
        <f>IF(AND(546&gt;=16,TEXT(A548,"yyyy-mm")&lt;&gt;TEXT(A549,"yyyy-mm")),1,0)</f>
        <v/>
      </c>
      <c r="H548">
        <f>IF(OR(H547=1,G548=1),1,0)</f>
        <v/>
      </c>
      <c r="I548">
        <f>IF(H547=0,1,SUMPRODUCT(J547:N547,B548:F548)+O547*(1+0.00023125256064071564))</f>
        <v/>
      </c>
      <c r="J548">
        <f>IF(G548=1,0.2*R548/B548,J547)</f>
        <v/>
      </c>
      <c r="K548">
        <f>IF(G548=1,0.2*R548/C548,K547)</f>
        <v/>
      </c>
      <c r="L548">
        <f>IF(G548=1,0.2*R548/D548,L547)</f>
        <v/>
      </c>
      <c r="M548">
        <f>IF(G548=1,0.2*R548/E548,M547)</f>
        <v/>
      </c>
      <c r="N548">
        <f>IF(G548=1,0.2*R548/F548,N547)</f>
        <v/>
      </c>
      <c r="O548">
        <f>IF(G548=1,R548*(1-1.0),IF(H547=0,1,O547*(1+0.00023125256064071564)))</f>
        <v/>
      </c>
      <c r="P548">
        <f>IF(G548=1,IF(H547=0,1,ABS(0.2-J547*B548/I548)+ABS(0.2-K547*C548/I548)+ABS(0.2-L547*D548/I548)+ABS(0.2-M547*E548/I548)+ABS(0.2-N547*F548/I548)),0)</f>
        <v/>
      </c>
      <c r="Q548">
        <f>P548*0.0015</f>
        <v/>
      </c>
      <c r="R548">
        <f>I548*(1-Q548)</f>
        <v/>
      </c>
      <c r="S548">
        <f>R548/R547-1</f>
        <v/>
      </c>
      <c r="T548">
        <f>MAX(T547,R548)</f>
        <v/>
      </c>
      <c r="U548">
        <f>R548/T548-1</f>
        <v/>
      </c>
      <c r="V548" t="n">
        <v>2.168026349270495</v>
      </c>
      <c r="W548" s="5">
        <f>R548-V548</f>
        <v/>
      </c>
    </row>
    <row r="549">
      <c r="A549" s="3" t="n">
        <v>39244</v>
      </c>
      <c r="B549">
        <f>Prices!B549</f>
        <v/>
      </c>
      <c r="C549">
        <f>Prices!C549</f>
        <v/>
      </c>
      <c r="D549">
        <f>Prices!D549</f>
        <v/>
      </c>
      <c r="E549">
        <f>Prices!E549</f>
        <v/>
      </c>
      <c r="F549">
        <f>Prices!F549</f>
        <v/>
      </c>
      <c r="G549">
        <f>IF(AND(547&gt;=16,TEXT(A549,"yyyy-mm")&lt;&gt;TEXT(A550,"yyyy-mm")),1,0)</f>
        <v/>
      </c>
      <c r="H549">
        <f>IF(OR(H548=1,G549=1),1,0)</f>
        <v/>
      </c>
      <c r="I549">
        <f>IF(H548=0,1,SUMPRODUCT(J548:N548,B549:F549)+O548*(1+0.00023125256064071564))</f>
        <v/>
      </c>
      <c r="J549">
        <f>IF(G549=1,0.2*R549/B549,J548)</f>
        <v/>
      </c>
      <c r="K549">
        <f>IF(G549=1,0.2*R549/C549,K548)</f>
        <v/>
      </c>
      <c r="L549">
        <f>IF(G549=1,0.2*R549/D549,L548)</f>
        <v/>
      </c>
      <c r="M549">
        <f>IF(G549=1,0.2*R549/E549,M548)</f>
        <v/>
      </c>
      <c r="N549">
        <f>IF(G549=1,0.2*R549/F549,N548)</f>
        <v/>
      </c>
      <c r="O549">
        <f>IF(G549=1,R549*(1-1.0),IF(H548=0,1,O548*(1+0.00023125256064071564)))</f>
        <v/>
      </c>
      <c r="P549">
        <f>IF(G549=1,IF(H548=0,1,ABS(0.2-J548*B549/I549)+ABS(0.2-K548*C549/I549)+ABS(0.2-L548*D549/I549)+ABS(0.2-M548*E549/I549)+ABS(0.2-N548*F549/I549)),0)</f>
        <v/>
      </c>
      <c r="Q549">
        <f>P549*0.0015</f>
        <v/>
      </c>
      <c r="R549">
        <f>I549*(1-Q549)</f>
        <v/>
      </c>
      <c r="S549">
        <f>R549/R548-1</f>
        <v/>
      </c>
      <c r="T549">
        <f>MAX(T548,R549)</f>
        <v/>
      </c>
      <c r="U549">
        <f>R549/T549-1</f>
        <v/>
      </c>
      <c r="V549" t="n">
        <v>2.170652507080837</v>
      </c>
      <c r="W549" s="5">
        <f>R549-V549</f>
        <v/>
      </c>
    </row>
    <row r="550">
      <c r="A550" s="3" t="n">
        <v>39245</v>
      </c>
      <c r="B550">
        <f>Prices!B550</f>
        <v/>
      </c>
      <c r="C550">
        <f>Prices!C550</f>
        <v/>
      </c>
      <c r="D550">
        <f>Prices!D550</f>
        <v/>
      </c>
      <c r="E550">
        <f>Prices!E550</f>
        <v/>
      </c>
      <c r="F550">
        <f>Prices!F550</f>
        <v/>
      </c>
      <c r="G550">
        <f>IF(AND(548&gt;=16,TEXT(A550,"yyyy-mm")&lt;&gt;TEXT(A551,"yyyy-mm")),1,0)</f>
        <v/>
      </c>
      <c r="H550">
        <f>IF(OR(H549=1,G550=1),1,0)</f>
        <v/>
      </c>
      <c r="I550">
        <f>IF(H549=0,1,SUMPRODUCT(J549:N549,B550:F550)+O549*(1+0.00023125256064071564))</f>
        <v/>
      </c>
      <c r="J550">
        <f>IF(G550=1,0.2*R550/B550,J549)</f>
        <v/>
      </c>
      <c r="K550">
        <f>IF(G550=1,0.2*R550/C550,K549)</f>
        <v/>
      </c>
      <c r="L550">
        <f>IF(G550=1,0.2*R550/D550,L549)</f>
        <v/>
      </c>
      <c r="M550">
        <f>IF(G550=1,0.2*R550/E550,M549)</f>
        <v/>
      </c>
      <c r="N550">
        <f>IF(G550=1,0.2*R550/F550,N549)</f>
        <v/>
      </c>
      <c r="O550">
        <f>IF(G550=1,R550*(1-1.0),IF(H549=0,1,O549*(1+0.00023125256064071564)))</f>
        <v/>
      </c>
      <c r="P550">
        <f>IF(G550=1,IF(H549=0,1,ABS(0.2-J549*B550/I550)+ABS(0.2-K549*C550/I550)+ABS(0.2-L549*D550/I550)+ABS(0.2-M549*E550/I550)+ABS(0.2-N549*F550/I550)),0)</f>
        <v/>
      </c>
      <c r="Q550">
        <f>P550*0.0015</f>
        <v/>
      </c>
      <c r="R550">
        <f>I550*(1-Q550)</f>
        <v/>
      </c>
      <c r="S550">
        <f>R550/R549-1</f>
        <v/>
      </c>
      <c r="T550">
        <f>MAX(T549,R550)</f>
        <v/>
      </c>
      <c r="U550">
        <f>R550/T550-1</f>
        <v/>
      </c>
      <c r="V550" t="n">
        <v>2.16220541685454</v>
      </c>
      <c r="W550" s="5">
        <f>R550-V550</f>
        <v/>
      </c>
    </row>
    <row r="551">
      <c r="A551" s="3" t="n">
        <v>39246</v>
      </c>
      <c r="B551">
        <f>Prices!B551</f>
        <v/>
      </c>
      <c r="C551">
        <f>Prices!C551</f>
        <v/>
      </c>
      <c r="D551">
        <f>Prices!D551</f>
        <v/>
      </c>
      <c r="E551">
        <f>Prices!E551</f>
        <v/>
      </c>
      <c r="F551">
        <f>Prices!F551</f>
        <v/>
      </c>
      <c r="G551">
        <f>IF(AND(549&gt;=16,TEXT(A551,"yyyy-mm")&lt;&gt;TEXT(A552,"yyyy-mm")),1,0)</f>
        <v/>
      </c>
      <c r="H551">
        <f>IF(OR(H550=1,G551=1),1,0)</f>
        <v/>
      </c>
      <c r="I551">
        <f>IF(H550=0,1,SUMPRODUCT(J550:N550,B551:F551)+O550*(1+0.00023125256064071564))</f>
        <v/>
      </c>
      <c r="J551">
        <f>IF(G551=1,0.2*R551/B551,J550)</f>
        <v/>
      </c>
      <c r="K551">
        <f>IF(G551=1,0.2*R551/C551,K550)</f>
        <v/>
      </c>
      <c r="L551">
        <f>IF(G551=1,0.2*R551/D551,L550)</f>
        <v/>
      </c>
      <c r="M551">
        <f>IF(G551=1,0.2*R551/E551,M550)</f>
        <v/>
      </c>
      <c r="N551">
        <f>IF(G551=1,0.2*R551/F551,N550)</f>
        <v/>
      </c>
      <c r="O551">
        <f>IF(G551=1,R551*(1-1.0),IF(H550=0,1,O550*(1+0.00023125256064071564)))</f>
        <v/>
      </c>
      <c r="P551">
        <f>IF(G551=1,IF(H550=0,1,ABS(0.2-J550*B551/I551)+ABS(0.2-K550*C551/I551)+ABS(0.2-L550*D551/I551)+ABS(0.2-M550*E551/I551)+ABS(0.2-N550*F551/I551)),0)</f>
        <v/>
      </c>
      <c r="Q551">
        <f>P551*0.0015</f>
        <v/>
      </c>
      <c r="R551">
        <f>I551*(1-Q551)</f>
        <v/>
      </c>
      <c r="S551">
        <f>R551/R550-1</f>
        <v/>
      </c>
      <c r="T551">
        <f>MAX(T550,R551)</f>
        <v/>
      </c>
      <c r="U551">
        <f>R551/T551-1</f>
        <v/>
      </c>
      <c r="V551" t="n">
        <v>2.15153420147406</v>
      </c>
      <c r="W551" s="5">
        <f>R551-V551</f>
        <v/>
      </c>
    </row>
    <row r="552">
      <c r="A552" s="3" t="n">
        <v>39247</v>
      </c>
      <c r="B552">
        <f>Prices!B552</f>
        <v/>
      </c>
      <c r="C552">
        <f>Prices!C552</f>
        <v/>
      </c>
      <c r="D552">
        <f>Prices!D552</f>
        <v/>
      </c>
      <c r="E552">
        <f>Prices!E552</f>
        <v/>
      </c>
      <c r="F552">
        <f>Prices!F552</f>
        <v/>
      </c>
      <c r="G552">
        <f>IF(AND(550&gt;=16,TEXT(A552,"yyyy-mm")&lt;&gt;TEXT(A553,"yyyy-mm")),1,0)</f>
        <v/>
      </c>
      <c r="H552">
        <f>IF(OR(H551=1,G552=1),1,0)</f>
        <v/>
      </c>
      <c r="I552">
        <f>IF(H551=0,1,SUMPRODUCT(J551:N551,B552:F552)+O551*(1+0.00023125256064071564))</f>
        <v/>
      </c>
      <c r="J552">
        <f>IF(G552=1,0.2*R552/B552,J551)</f>
        <v/>
      </c>
      <c r="K552">
        <f>IF(G552=1,0.2*R552/C552,K551)</f>
        <v/>
      </c>
      <c r="L552">
        <f>IF(G552=1,0.2*R552/D552,L551)</f>
        <v/>
      </c>
      <c r="M552">
        <f>IF(G552=1,0.2*R552/E552,M551)</f>
        <v/>
      </c>
      <c r="N552">
        <f>IF(G552=1,0.2*R552/F552,N551)</f>
        <v/>
      </c>
      <c r="O552">
        <f>IF(G552=1,R552*(1-1.0),IF(H551=0,1,O551*(1+0.00023125256064071564)))</f>
        <v/>
      </c>
      <c r="P552">
        <f>IF(G552=1,IF(H551=0,1,ABS(0.2-J551*B552/I552)+ABS(0.2-K551*C552/I552)+ABS(0.2-L551*D552/I552)+ABS(0.2-M551*E552/I552)+ABS(0.2-N551*F552/I552)),0)</f>
        <v/>
      </c>
      <c r="Q552">
        <f>P552*0.0015</f>
        <v/>
      </c>
      <c r="R552">
        <f>I552*(1-Q552)</f>
        <v/>
      </c>
      <c r="S552">
        <f>R552/R551-1</f>
        <v/>
      </c>
      <c r="T552">
        <f>MAX(T551,R552)</f>
        <v/>
      </c>
      <c r="U552">
        <f>R552/T552-1</f>
        <v/>
      </c>
      <c r="V552" t="n">
        <v>2.184528241008427</v>
      </c>
      <c r="W552" s="5">
        <f>R552-V552</f>
        <v/>
      </c>
    </row>
    <row r="553">
      <c r="A553" s="3" t="n">
        <v>39248</v>
      </c>
      <c r="B553">
        <f>Prices!B553</f>
        <v/>
      </c>
      <c r="C553">
        <f>Prices!C553</f>
        <v/>
      </c>
      <c r="D553">
        <f>Prices!D553</f>
        <v/>
      </c>
      <c r="E553">
        <f>Prices!E553</f>
        <v/>
      </c>
      <c r="F553">
        <f>Prices!F553</f>
        <v/>
      </c>
      <c r="G553">
        <f>IF(AND(551&gt;=16,TEXT(A553,"yyyy-mm")&lt;&gt;TEXT(A554,"yyyy-mm")),1,0)</f>
        <v/>
      </c>
      <c r="H553">
        <f>IF(OR(H552=1,G553=1),1,0)</f>
        <v/>
      </c>
      <c r="I553">
        <f>IF(H552=0,1,SUMPRODUCT(J552:N552,B553:F553)+O552*(1+0.00023125256064071564))</f>
        <v/>
      </c>
      <c r="J553">
        <f>IF(G553=1,0.2*R553/B553,J552)</f>
        <v/>
      </c>
      <c r="K553">
        <f>IF(G553=1,0.2*R553/C553,K552)</f>
        <v/>
      </c>
      <c r="L553">
        <f>IF(G553=1,0.2*R553/D553,L552)</f>
        <v/>
      </c>
      <c r="M553">
        <f>IF(G553=1,0.2*R553/E553,M552)</f>
        <v/>
      </c>
      <c r="N553">
        <f>IF(G553=1,0.2*R553/F553,N552)</f>
        <v/>
      </c>
      <c r="O553">
        <f>IF(G553=1,R553*(1-1.0),IF(H552=0,1,O552*(1+0.00023125256064071564)))</f>
        <v/>
      </c>
      <c r="P553">
        <f>IF(G553=1,IF(H552=0,1,ABS(0.2-J552*B553/I553)+ABS(0.2-K552*C553/I553)+ABS(0.2-L552*D553/I553)+ABS(0.2-M552*E553/I553)+ABS(0.2-N552*F553/I553)),0)</f>
        <v/>
      </c>
      <c r="Q553">
        <f>P553*0.0015</f>
        <v/>
      </c>
      <c r="R553">
        <f>I553*(1-Q553)</f>
        <v/>
      </c>
      <c r="S553">
        <f>R553/R552-1</f>
        <v/>
      </c>
      <c r="T553">
        <f>MAX(T552,R553)</f>
        <v/>
      </c>
      <c r="U553">
        <f>R553/T553-1</f>
        <v/>
      </c>
      <c r="V553" t="n">
        <v>2.189847302501138</v>
      </c>
      <c r="W553" s="5">
        <f>R553-V553</f>
        <v/>
      </c>
    </row>
    <row r="554">
      <c r="A554" s="3" t="n">
        <v>39251</v>
      </c>
      <c r="B554">
        <f>Prices!B554</f>
        <v/>
      </c>
      <c r="C554">
        <f>Prices!C554</f>
        <v/>
      </c>
      <c r="D554">
        <f>Prices!D554</f>
        <v/>
      </c>
      <c r="E554">
        <f>Prices!E554</f>
        <v/>
      </c>
      <c r="F554">
        <f>Prices!F554</f>
        <v/>
      </c>
      <c r="G554">
        <f>IF(AND(552&gt;=16,TEXT(A554,"yyyy-mm")&lt;&gt;TEXT(A555,"yyyy-mm")),1,0)</f>
        <v/>
      </c>
      <c r="H554">
        <f>IF(OR(H553=1,G554=1),1,0)</f>
        <v/>
      </c>
      <c r="I554">
        <f>IF(H553=0,1,SUMPRODUCT(J553:N553,B554:F554)+O553*(1+0.00023125256064071564))</f>
        <v/>
      </c>
      <c r="J554">
        <f>IF(G554=1,0.2*R554/B554,J553)</f>
        <v/>
      </c>
      <c r="K554">
        <f>IF(G554=1,0.2*R554/C554,K553)</f>
        <v/>
      </c>
      <c r="L554">
        <f>IF(G554=1,0.2*R554/D554,L553)</f>
        <v/>
      </c>
      <c r="M554">
        <f>IF(G554=1,0.2*R554/E554,M553)</f>
        <v/>
      </c>
      <c r="N554">
        <f>IF(G554=1,0.2*R554/F554,N553)</f>
        <v/>
      </c>
      <c r="O554">
        <f>IF(G554=1,R554*(1-1.0),IF(H553=0,1,O553*(1+0.00023125256064071564)))</f>
        <v/>
      </c>
      <c r="P554">
        <f>IF(G554=1,IF(H553=0,1,ABS(0.2-J553*B554/I554)+ABS(0.2-K553*C554/I554)+ABS(0.2-L553*D554/I554)+ABS(0.2-M553*E554/I554)+ABS(0.2-N553*F554/I554)),0)</f>
        <v/>
      </c>
      <c r="Q554">
        <f>P554*0.0015</f>
        <v/>
      </c>
      <c r="R554">
        <f>I554*(1-Q554)</f>
        <v/>
      </c>
      <c r="S554">
        <f>R554/R553-1</f>
        <v/>
      </c>
      <c r="T554">
        <f>MAX(T553,R554)</f>
        <v/>
      </c>
      <c r="U554">
        <f>R554/T554-1</f>
        <v/>
      </c>
      <c r="V554" t="n">
        <v>2.17852706092541</v>
      </c>
      <c r="W554" s="5">
        <f>R554-V554</f>
        <v/>
      </c>
    </row>
    <row r="555">
      <c r="A555" s="3" t="n">
        <v>39252</v>
      </c>
      <c r="B555">
        <f>Prices!B555</f>
        <v/>
      </c>
      <c r="C555">
        <f>Prices!C555</f>
        <v/>
      </c>
      <c r="D555">
        <f>Prices!D555</f>
        <v/>
      </c>
      <c r="E555">
        <f>Prices!E555</f>
        <v/>
      </c>
      <c r="F555">
        <f>Prices!F555</f>
        <v/>
      </c>
      <c r="G555">
        <f>IF(AND(553&gt;=16,TEXT(A555,"yyyy-mm")&lt;&gt;TEXT(A556,"yyyy-mm")),1,0)</f>
        <v/>
      </c>
      <c r="H555">
        <f>IF(OR(H554=1,G555=1),1,0)</f>
        <v/>
      </c>
      <c r="I555">
        <f>IF(H554=0,1,SUMPRODUCT(J554:N554,B555:F555)+O554*(1+0.00023125256064071564))</f>
        <v/>
      </c>
      <c r="J555">
        <f>IF(G555=1,0.2*R555/B555,J554)</f>
        <v/>
      </c>
      <c r="K555">
        <f>IF(G555=1,0.2*R555/C555,K554)</f>
        <v/>
      </c>
      <c r="L555">
        <f>IF(G555=1,0.2*R555/D555,L554)</f>
        <v/>
      </c>
      <c r="M555">
        <f>IF(G555=1,0.2*R555/E555,M554)</f>
        <v/>
      </c>
      <c r="N555">
        <f>IF(G555=1,0.2*R555/F555,N554)</f>
        <v/>
      </c>
      <c r="O555">
        <f>IF(G555=1,R555*(1-1.0),IF(H554=0,1,O554*(1+0.00023125256064071564)))</f>
        <v/>
      </c>
      <c r="P555">
        <f>IF(G555=1,IF(H554=0,1,ABS(0.2-J554*B555/I555)+ABS(0.2-K554*C555/I555)+ABS(0.2-L554*D555/I555)+ABS(0.2-M554*E555/I555)+ABS(0.2-N554*F555/I555)),0)</f>
        <v/>
      </c>
      <c r="Q555">
        <f>P555*0.0015</f>
        <v/>
      </c>
      <c r="R555">
        <f>I555*(1-Q555)</f>
        <v/>
      </c>
      <c r="S555">
        <f>R555/R554-1</f>
        <v/>
      </c>
      <c r="T555">
        <f>MAX(T554,R555)</f>
        <v/>
      </c>
      <c r="U555">
        <f>R555/T555-1</f>
        <v/>
      </c>
      <c r="V555" t="n">
        <v>2.209131106714251</v>
      </c>
      <c r="W555" s="5">
        <f>R555-V555</f>
        <v/>
      </c>
    </row>
    <row r="556">
      <c r="A556" s="3" t="n">
        <v>39253</v>
      </c>
      <c r="B556">
        <f>Prices!B556</f>
        <v/>
      </c>
      <c r="C556">
        <f>Prices!C556</f>
        <v/>
      </c>
      <c r="D556">
        <f>Prices!D556</f>
        <v/>
      </c>
      <c r="E556">
        <f>Prices!E556</f>
        <v/>
      </c>
      <c r="F556">
        <f>Prices!F556</f>
        <v/>
      </c>
      <c r="G556">
        <f>IF(AND(554&gt;=16,TEXT(A556,"yyyy-mm")&lt;&gt;TEXT(A557,"yyyy-mm")),1,0)</f>
        <v/>
      </c>
      <c r="H556">
        <f>IF(OR(H555=1,G556=1),1,0)</f>
        <v/>
      </c>
      <c r="I556">
        <f>IF(H555=0,1,SUMPRODUCT(J555:N555,B556:F556)+O555*(1+0.00023125256064071564))</f>
        <v/>
      </c>
      <c r="J556">
        <f>IF(G556=1,0.2*R556/B556,J555)</f>
        <v/>
      </c>
      <c r="K556">
        <f>IF(G556=1,0.2*R556/C556,K555)</f>
        <v/>
      </c>
      <c r="L556">
        <f>IF(G556=1,0.2*R556/D556,L555)</f>
        <v/>
      </c>
      <c r="M556">
        <f>IF(G556=1,0.2*R556/E556,M555)</f>
        <v/>
      </c>
      <c r="N556">
        <f>IF(G556=1,0.2*R556/F556,N555)</f>
        <v/>
      </c>
      <c r="O556">
        <f>IF(G556=1,R556*(1-1.0),IF(H555=0,1,O555*(1+0.00023125256064071564)))</f>
        <v/>
      </c>
      <c r="P556">
        <f>IF(G556=1,IF(H555=0,1,ABS(0.2-J555*B556/I556)+ABS(0.2-K555*C556/I556)+ABS(0.2-L555*D556/I556)+ABS(0.2-M555*E556/I556)+ABS(0.2-N555*F556/I556)),0)</f>
        <v/>
      </c>
      <c r="Q556">
        <f>P556*0.0015</f>
        <v/>
      </c>
      <c r="R556">
        <f>I556*(1-Q556)</f>
        <v/>
      </c>
      <c r="S556">
        <f>R556/R555-1</f>
        <v/>
      </c>
      <c r="T556">
        <f>MAX(T555,R556)</f>
        <v/>
      </c>
      <c r="U556">
        <f>R556/T556-1</f>
        <v/>
      </c>
      <c r="V556" t="n">
        <v>2.240100702152419</v>
      </c>
      <c r="W556" s="5">
        <f>R556-V556</f>
        <v/>
      </c>
    </row>
    <row r="557">
      <c r="A557" s="3" t="n">
        <v>39254</v>
      </c>
      <c r="B557">
        <f>Prices!B557</f>
        <v/>
      </c>
      <c r="C557">
        <f>Prices!C557</f>
        <v/>
      </c>
      <c r="D557">
        <f>Prices!D557</f>
        <v/>
      </c>
      <c r="E557">
        <f>Prices!E557</f>
        <v/>
      </c>
      <c r="F557">
        <f>Prices!F557</f>
        <v/>
      </c>
      <c r="G557">
        <f>IF(AND(555&gt;=16,TEXT(A557,"yyyy-mm")&lt;&gt;TEXT(A558,"yyyy-mm")),1,0)</f>
        <v/>
      </c>
      <c r="H557">
        <f>IF(OR(H556=1,G557=1),1,0)</f>
        <v/>
      </c>
      <c r="I557">
        <f>IF(H556=0,1,SUMPRODUCT(J556:N556,B557:F557)+O556*(1+0.00023125256064071564))</f>
        <v/>
      </c>
      <c r="J557">
        <f>IF(G557=1,0.2*R557/B557,J556)</f>
        <v/>
      </c>
      <c r="K557">
        <f>IF(G557=1,0.2*R557/C557,K556)</f>
        <v/>
      </c>
      <c r="L557">
        <f>IF(G557=1,0.2*R557/D557,L556)</f>
        <v/>
      </c>
      <c r="M557">
        <f>IF(G557=1,0.2*R557/E557,M556)</f>
        <v/>
      </c>
      <c r="N557">
        <f>IF(G557=1,0.2*R557/F557,N556)</f>
        <v/>
      </c>
      <c r="O557">
        <f>IF(G557=1,R557*(1-1.0),IF(H556=0,1,O556*(1+0.00023125256064071564)))</f>
        <v/>
      </c>
      <c r="P557">
        <f>IF(G557=1,IF(H556=0,1,ABS(0.2-J556*B557/I557)+ABS(0.2-K556*C557/I557)+ABS(0.2-L556*D557/I557)+ABS(0.2-M556*E557/I557)+ABS(0.2-N556*F557/I557)),0)</f>
        <v/>
      </c>
      <c r="Q557">
        <f>P557*0.0015</f>
        <v/>
      </c>
      <c r="R557">
        <f>I557*(1-Q557)</f>
        <v/>
      </c>
      <c r="S557">
        <f>R557/R556-1</f>
        <v/>
      </c>
      <c r="T557">
        <f>MAX(T556,R557)</f>
        <v/>
      </c>
      <c r="U557">
        <f>R557/T557-1</f>
        <v/>
      </c>
      <c r="V557" t="n">
        <v>2.250614496805218</v>
      </c>
      <c r="W557" s="5">
        <f>R557-V557</f>
        <v/>
      </c>
    </row>
    <row r="558">
      <c r="A558" s="3" t="n">
        <v>39255</v>
      </c>
      <c r="B558">
        <f>Prices!B558</f>
        <v/>
      </c>
      <c r="C558">
        <f>Prices!C558</f>
        <v/>
      </c>
      <c r="D558">
        <f>Prices!D558</f>
        <v/>
      </c>
      <c r="E558">
        <f>Prices!E558</f>
        <v/>
      </c>
      <c r="F558">
        <f>Prices!F558</f>
        <v/>
      </c>
      <c r="G558">
        <f>IF(AND(556&gt;=16,TEXT(A558,"yyyy-mm")&lt;&gt;TEXT(A559,"yyyy-mm")),1,0)</f>
        <v/>
      </c>
      <c r="H558">
        <f>IF(OR(H557=1,G558=1),1,0)</f>
        <v/>
      </c>
      <c r="I558">
        <f>IF(H557=0,1,SUMPRODUCT(J557:N557,B558:F558)+O557*(1+0.00023125256064071564))</f>
        <v/>
      </c>
      <c r="J558">
        <f>IF(G558=1,0.2*R558/B558,J557)</f>
        <v/>
      </c>
      <c r="K558">
        <f>IF(G558=1,0.2*R558/C558,K557)</f>
        <v/>
      </c>
      <c r="L558">
        <f>IF(G558=1,0.2*R558/D558,L557)</f>
        <v/>
      </c>
      <c r="M558">
        <f>IF(G558=1,0.2*R558/E558,M557)</f>
        <v/>
      </c>
      <c r="N558">
        <f>IF(G558=1,0.2*R558/F558,N557)</f>
        <v/>
      </c>
      <c r="O558">
        <f>IF(G558=1,R558*(1-1.0),IF(H557=0,1,O557*(1+0.00023125256064071564)))</f>
        <v/>
      </c>
      <c r="P558">
        <f>IF(G558=1,IF(H557=0,1,ABS(0.2-J557*B558/I558)+ABS(0.2-K557*C558/I558)+ABS(0.2-L557*D558/I558)+ABS(0.2-M557*E558/I558)+ABS(0.2-N557*F558/I558)),0)</f>
        <v/>
      </c>
      <c r="Q558">
        <f>P558*0.0015</f>
        <v/>
      </c>
      <c r="R558">
        <f>I558*(1-Q558)</f>
        <v/>
      </c>
      <c r="S558">
        <f>R558/R557-1</f>
        <v/>
      </c>
      <c r="T558">
        <f>MAX(T557,R558)</f>
        <v/>
      </c>
      <c r="U558">
        <f>R558/T558-1</f>
        <v/>
      </c>
      <c r="V558" t="n">
        <v>2.24884100473861</v>
      </c>
      <c r="W558" s="5">
        <f>R558-V558</f>
        <v/>
      </c>
    </row>
    <row r="559">
      <c r="A559" s="3" t="n">
        <v>39258</v>
      </c>
      <c r="B559">
        <f>Prices!B559</f>
        <v/>
      </c>
      <c r="C559">
        <f>Prices!C559</f>
        <v/>
      </c>
      <c r="D559">
        <f>Prices!D559</f>
        <v/>
      </c>
      <c r="E559">
        <f>Prices!E559</f>
        <v/>
      </c>
      <c r="F559">
        <f>Prices!F559</f>
        <v/>
      </c>
      <c r="G559">
        <f>IF(AND(557&gt;=16,TEXT(A559,"yyyy-mm")&lt;&gt;TEXT(A560,"yyyy-mm")),1,0)</f>
        <v/>
      </c>
      <c r="H559">
        <f>IF(OR(H558=1,G559=1),1,0)</f>
        <v/>
      </c>
      <c r="I559">
        <f>IF(H558=0,1,SUMPRODUCT(J558:N558,B559:F559)+O558*(1+0.00023125256064071564))</f>
        <v/>
      </c>
      <c r="J559">
        <f>IF(G559=1,0.2*R559/B559,J558)</f>
        <v/>
      </c>
      <c r="K559">
        <f>IF(G559=1,0.2*R559/C559,K558)</f>
        <v/>
      </c>
      <c r="L559">
        <f>IF(G559=1,0.2*R559/D559,L558)</f>
        <v/>
      </c>
      <c r="M559">
        <f>IF(G559=1,0.2*R559/E559,M558)</f>
        <v/>
      </c>
      <c r="N559">
        <f>IF(G559=1,0.2*R559/F559,N558)</f>
        <v/>
      </c>
      <c r="O559">
        <f>IF(G559=1,R559*(1-1.0),IF(H558=0,1,O558*(1+0.00023125256064071564)))</f>
        <v/>
      </c>
      <c r="P559">
        <f>IF(G559=1,IF(H558=0,1,ABS(0.2-J558*B559/I559)+ABS(0.2-K558*C559/I559)+ABS(0.2-L558*D559/I559)+ABS(0.2-M558*E559/I559)+ABS(0.2-N558*F559/I559)),0)</f>
        <v/>
      </c>
      <c r="Q559">
        <f>P559*0.0015</f>
        <v/>
      </c>
      <c r="R559">
        <f>I559*(1-Q559)</f>
        <v/>
      </c>
      <c r="S559">
        <f>R559/R558-1</f>
        <v/>
      </c>
      <c r="T559">
        <f>MAX(T558,R559)</f>
        <v/>
      </c>
      <c r="U559">
        <f>R559/T559-1</f>
        <v/>
      </c>
      <c r="V559" t="n">
        <v>2.250903760884335</v>
      </c>
      <c r="W559" s="5">
        <f>R559-V559</f>
        <v/>
      </c>
    </row>
    <row r="560">
      <c r="A560" s="3" t="n">
        <v>39259</v>
      </c>
      <c r="B560">
        <f>Prices!B560</f>
        <v/>
      </c>
      <c r="C560">
        <f>Prices!C560</f>
        <v/>
      </c>
      <c r="D560">
        <f>Prices!D560</f>
        <v/>
      </c>
      <c r="E560">
        <f>Prices!E560</f>
        <v/>
      </c>
      <c r="F560">
        <f>Prices!F560</f>
        <v/>
      </c>
      <c r="G560">
        <f>IF(AND(558&gt;=16,TEXT(A560,"yyyy-mm")&lt;&gt;TEXT(A561,"yyyy-mm")),1,0)</f>
        <v/>
      </c>
      <c r="H560">
        <f>IF(OR(H559=1,G560=1),1,0)</f>
        <v/>
      </c>
      <c r="I560">
        <f>IF(H559=0,1,SUMPRODUCT(J559:N559,B560:F560)+O559*(1+0.00023125256064071564))</f>
        <v/>
      </c>
      <c r="J560">
        <f>IF(G560=1,0.2*R560/B560,J559)</f>
        <v/>
      </c>
      <c r="K560">
        <f>IF(G560=1,0.2*R560/C560,K559)</f>
        <v/>
      </c>
      <c r="L560">
        <f>IF(G560=1,0.2*R560/D560,L559)</f>
        <v/>
      </c>
      <c r="M560">
        <f>IF(G560=1,0.2*R560/E560,M559)</f>
        <v/>
      </c>
      <c r="N560">
        <f>IF(G560=1,0.2*R560/F560,N559)</f>
        <v/>
      </c>
      <c r="O560">
        <f>IF(G560=1,R560*(1-1.0),IF(H559=0,1,O559*(1+0.00023125256064071564)))</f>
        <v/>
      </c>
      <c r="P560">
        <f>IF(G560=1,IF(H559=0,1,ABS(0.2-J559*B560/I560)+ABS(0.2-K559*C560/I560)+ABS(0.2-L559*D560/I560)+ABS(0.2-M559*E560/I560)+ABS(0.2-N559*F560/I560)),0)</f>
        <v/>
      </c>
      <c r="Q560">
        <f>P560*0.0015</f>
        <v/>
      </c>
      <c r="R560">
        <f>I560*(1-Q560)</f>
        <v/>
      </c>
      <c r="S560">
        <f>R560/R559-1</f>
        <v/>
      </c>
      <c r="T560">
        <f>MAX(T559,R560)</f>
        <v/>
      </c>
      <c r="U560">
        <f>R560/T560-1</f>
        <v/>
      </c>
      <c r="V560" t="n">
        <v>2.263773465523071</v>
      </c>
      <c r="W560" s="5">
        <f>R560-V560</f>
        <v/>
      </c>
    </row>
    <row r="561">
      <c r="A561" s="3" t="n">
        <v>39260</v>
      </c>
      <c r="B561">
        <f>Prices!B561</f>
        <v/>
      </c>
      <c r="C561">
        <f>Prices!C561</f>
        <v/>
      </c>
      <c r="D561">
        <f>Prices!D561</f>
        <v/>
      </c>
      <c r="E561">
        <f>Prices!E561</f>
        <v/>
      </c>
      <c r="F561">
        <f>Prices!F561</f>
        <v/>
      </c>
      <c r="G561">
        <f>IF(AND(559&gt;=16,TEXT(A561,"yyyy-mm")&lt;&gt;TEXT(A562,"yyyy-mm")),1,0)</f>
        <v/>
      </c>
      <c r="H561">
        <f>IF(OR(H560=1,G561=1),1,0)</f>
        <v/>
      </c>
      <c r="I561">
        <f>IF(H560=0,1,SUMPRODUCT(J560:N560,B561:F561)+O560*(1+0.00023125256064071564))</f>
        <v/>
      </c>
      <c r="J561">
        <f>IF(G561=1,0.2*R561/B561,J560)</f>
        <v/>
      </c>
      <c r="K561">
        <f>IF(G561=1,0.2*R561/C561,K560)</f>
        <v/>
      </c>
      <c r="L561">
        <f>IF(G561=1,0.2*R561/D561,L560)</f>
        <v/>
      </c>
      <c r="M561">
        <f>IF(G561=1,0.2*R561/E561,M560)</f>
        <v/>
      </c>
      <c r="N561">
        <f>IF(G561=1,0.2*R561/F561,N560)</f>
        <v/>
      </c>
      <c r="O561">
        <f>IF(G561=1,R561*(1-1.0),IF(H560=0,1,O560*(1+0.00023125256064071564)))</f>
        <v/>
      </c>
      <c r="P561">
        <f>IF(G561=1,IF(H560=0,1,ABS(0.2-J560*B561/I561)+ABS(0.2-K560*C561/I561)+ABS(0.2-L560*D561/I561)+ABS(0.2-M560*E561/I561)+ABS(0.2-N560*F561/I561)),0)</f>
        <v/>
      </c>
      <c r="Q561">
        <f>P561*0.0015</f>
        <v/>
      </c>
      <c r="R561">
        <f>I561*(1-Q561)</f>
        <v/>
      </c>
      <c r="S561">
        <f>R561/R560-1</f>
        <v/>
      </c>
      <c r="T561">
        <f>MAX(T560,R561)</f>
        <v/>
      </c>
      <c r="U561">
        <f>R561/T561-1</f>
        <v/>
      </c>
      <c r="V561" t="n">
        <v>2.259390406550088</v>
      </c>
      <c r="W561" s="5">
        <f>R561-V561</f>
        <v/>
      </c>
    </row>
    <row r="562">
      <c r="A562" s="3" t="n">
        <v>39261</v>
      </c>
      <c r="B562">
        <f>Prices!B562</f>
        <v/>
      </c>
      <c r="C562">
        <f>Prices!C562</f>
        <v/>
      </c>
      <c r="D562">
        <f>Prices!D562</f>
        <v/>
      </c>
      <c r="E562">
        <f>Prices!E562</f>
        <v/>
      </c>
      <c r="F562">
        <f>Prices!F562</f>
        <v/>
      </c>
      <c r="G562">
        <f>IF(AND(560&gt;=16,TEXT(A562,"yyyy-mm")&lt;&gt;TEXT(A563,"yyyy-mm")),1,0)</f>
        <v/>
      </c>
      <c r="H562">
        <f>IF(OR(H561=1,G562=1),1,0)</f>
        <v/>
      </c>
      <c r="I562">
        <f>IF(H561=0,1,SUMPRODUCT(J561:N561,B562:F562)+O561*(1+0.00023125256064071564))</f>
        <v/>
      </c>
      <c r="J562">
        <f>IF(G562=1,0.2*R562/B562,J561)</f>
        <v/>
      </c>
      <c r="K562">
        <f>IF(G562=1,0.2*R562/C562,K561)</f>
        <v/>
      </c>
      <c r="L562">
        <f>IF(G562=1,0.2*R562/D562,L561)</f>
        <v/>
      </c>
      <c r="M562">
        <f>IF(G562=1,0.2*R562/E562,M561)</f>
        <v/>
      </c>
      <c r="N562">
        <f>IF(G562=1,0.2*R562/F562,N561)</f>
        <v/>
      </c>
      <c r="O562">
        <f>IF(G562=1,R562*(1-1.0),IF(H561=0,1,O561*(1+0.00023125256064071564)))</f>
        <v/>
      </c>
      <c r="P562">
        <f>IF(G562=1,IF(H561=0,1,ABS(0.2-J561*B562/I562)+ABS(0.2-K561*C562/I562)+ABS(0.2-L561*D562/I562)+ABS(0.2-M561*E562/I562)+ABS(0.2-N561*F562/I562)),0)</f>
        <v/>
      </c>
      <c r="Q562">
        <f>P562*0.0015</f>
        <v/>
      </c>
      <c r="R562">
        <f>I562*(1-Q562)</f>
        <v/>
      </c>
      <c r="S562">
        <f>R562/R561-1</f>
        <v/>
      </c>
      <c r="T562">
        <f>MAX(T561,R562)</f>
        <v/>
      </c>
      <c r="U562">
        <f>R562/T562-1</f>
        <v/>
      </c>
      <c r="V562" t="n">
        <v>2.268419937640976</v>
      </c>
      <c r="W562" s="5">
        <f>R562-V562</f>
        <v/>
      </c>
    </row>
    <row r="563">
      <c r="A563" s="3" t="n">
        <v>39262</v>
      </c>
      <c r="B563">
        <f>Prices!B563</f>
        <v/>
      </c>
      <c r="C563">
        <f>Prices!C563</f>
        <v/>
      </c>
      <c r="D563">
        <f>Prices!D563</f>
        <v/>
      </c>
      <c r="E563">
        <f>Prices!E563</f>
        <v/>
      </c>
      <c r="F563">
        <f>Prices!F563</f>
        <v/>
      </c>
      <c r="G563">
        <f>IF(AND(561&gt;=16,TEXT(A563,"yyyy-mm")&lt;&gt;TEXT(A564,"yyyy-mm")),1,0)</f>
        <v/>
      </c>
      <c r="H563">
        <f>IF(OR(H562=1,G563=1),1,0)</f>
        <v/>
      </c>
      <c r="I563">
        <f>IF(H562=0,1,SUMPRODUCT(J562:N562,B563:F563)+O562*(1+0.00023125256064071564))</f>
        <v/>
      </c>
      <c r="J563">
        <f>IF(G563=1,0.2*R563/B563,J562)</f>
        <v/>
      </c>
      <c r="K563">
        <f>IF(G563=1,0.2*R563/C563,K562)</f>
        <v/>
      </c>
      <c r="L563">
        <f>IF(G563=1,0.2*R563/D563,L562)</f>
        <v/>
      </c>
      <c r="M563">
        <f>IF(G563=1,0.2*R563/E563,M562)</f>
        <v/>
      </c>
      <c r="N563">
        <f>IF(G563=1,0.2*R563/F563,N562)</f>
        <v/>
      </c>
      <c r="O563">
        <f>IF(G563=1,R563*(1-1.0),IF(H562=0,1,O562*(1+0.00023125256064071564)))</f>
        <v/>
      </c>
      <c r="P563">
        <f>IF(G563=1,IF(H562=0,1,ABS(0.2-J562*B563/I563)+ABS(0.2-K562*C563/I563)+ABS(0.2-L562*D563/I563)+ABS(0.2-M562*E563/I563)+ABS(0.2-N562*F563/I563)),0)</f>
        <v/>
      </c>
      <c r="Q563">
        <f>P563*0.0015</f>
        <v/>
      </c>
      <c r="R563">
        <f>I563*(1-Q563)</f>
        <v/>
      </c>
      <c r="S563">
        <f>R563/R562-1</f>
        <v/>
      </c>
      <c r="T563">
        <f>MAX(T562,R563)</f>
        <v/>
      </c>
      <c r="U563">
        <f>R563/T563-1</f>
        <v/>
      </c>
      <c r="V563" t="n">
        <v>2.29861819982849</v>
      </c>
      <c r="W563" s="5">
        <f>R563-V563</f>
        <v/>
      </c>
    </row>
    <row r="564">
      <c r="A564" s="3" t="n">
        <v>39265</v>
      </c>
      <c r="B564">
        <f>Prices!B564</f>
        <v/>
      </c>
      <c r="C564">
        <f>Prices!C564</f>
        <v/>
      </c>
      <c r="D564">
        <f>Prices!D564</f>
        <v/>
      </c>
      <c r="E564">
        <f>Prices!E564</f>
        <v/>
      </c>
      <c r="F564">
        <f>Prices!F564</f>
        <v/>
      </c>
      <c r="G564">
        <f>IF(AND(562&gt;=16,TEXT(A564,"yyyy-mm")&lt;&gt;TEXT(A565,"yyyy-mm")),1,0)</f>
        <v/>
      </c>
      <c r="H564">
        <f>IF(OR(H563=1,G564=1),1,0)</f>
        <v/>
      </c>
      <c r="I564">
        <f>IF(H563=0,1,SUMPRODUCT(J563:N563,B564:F564)+O563*(1+0.00023125256064071564))</f>
        <v/>
      </c>
      <c r="J564">
        <f>IF(G564=1,0.2*R564/B564,J563)</f>
        <v/>
      </c>
      <c r="K564">
        <f>IF(G564=1,0.2*R564/C564,K563)</f>
        <v/>
      </c>
      <c r="L564">
        <f>IF(G564=1,0.2*R564/D564,L563)</f>
        <v/>
      </c>
      <c r="M564">
        <f>IF(G564=1,0.2*R564/E564,M563)</f>
        <v/>
      </c>
      <c r="N564">
        <f>IF(G564=1,0.2*R564/F564,N563)</f>
        <v/>
      </c>
      <c r="O564">
        <f>IF(G564=1,R564*(1-1.0),IF(H563=0,1,O563*(1+0.00023125256064071564)))</f>
        <v/>
      </c>
      <c r="P564">
        <f>IF(G564=1,IF(H563=0,1,ABS(0.2-J563*B564/I564)+ABS(0.2-K563*C564/I564)+ABS(0.2-L563*D564/I564)+ABS(0.2-M563*E564/I564)+ABS(0.2-N563*F564/I564)),0)</f>
        <v/>
      </c>
      <c r="Q564">
        <f>P564*0.0015</f>
        <v/>
      </c>
      <c r="R564">
        <f>I564*(1-Q564)</f>
        <v/>
      </c>
      <c r="S564">
        <f>R564/R563-1</f>
        <v/>
      </c>
      <c r="T564">
        <f>MAX(T563,R564)</f>
        <v/>
      </c>
      <c r="U564">
        <f>R564/T564-1</f>
        <v/>
      </c>
      <c r="V564" t="n">
        <v>2.306902945118276</v>
      </c>
      <c r="W564" s="5">
        <f>R564-V564</f>
        <v/>
      </c>
    </row>
    <row r="565">
      <c r="A565" s="3" t="n">
        <v>39266</v>
      </c>
      <c r="B565">
        <f>Prices!B565</f>
        <v/>
      </c>
      <c r="C565">
        <f>Prices!C565</f>
        <v/>
      </c>
      <c r="D565">
        <f>Prices!D565</f>
        <v/>
      </c>
      <c r="E565">
        <f>Prices!E565</f>
        <v/>
      </c>
      <c r="F565">
        <f>Prices!F565</f>
        <v/>
      </c>
      <c r="G565">
        <f>IF(AND(563&gt;=16,TEXT(A565,"yyyy-mm")&lt;&gt;TEXT(A566,"yyyy-mm")),1,0)</f>
        <v/>
      </c>
      <c r="H565">
        <f>IF(OR(H564=1,G565=1),1,0)</f>
        <v/>
      </c>
      <c r="I565">
        <f>IF(H564=0,1,SUMPRODUCT(J564:N564,B565:F565)+O564*(1+0.00023125256064071564))</f>
        <v/>
      </c>
      <c r="J565">
        <f>IF(G565=1,0.2*R565/B565,J564)</f>
        <v/>
      </c>
      <c r="K565">
        <f>IF(G565=1,0.2*R565/C565,K564)</f>
        <v/>
      </c>
      <c r="L565">
        <f>IF(G565=1,0.2*R565/D565,L564)</f>
        <v/>
      </c>
      <c r="M565">
        <f>IF(G565=1,0.2*R565/E565,M564)</f>
        <v/>
      </c>
      <c r="N565">
        <f>IF(G565=1,0.2*R565/F565,N564)</f>
        <v/>
      </c>
      <c r="O565">
        <f>IF(G565=1,R565*(1-1.0),IF(H564=0,1,O564*(1+0.00023125256064071564)))</f>
        <v/>
      </c>
      <c r="P565">
        <f>IF(G565=1,IF(H564=0,1,ABS(0.2-J564*B565/I565)+ABS(0.2-K564*C565/I565)+ABS(0.2-L564*D565/I565)+ABS(0.2-M564*E565/I565)+ABS(0.2-N564*F565/I565)),0)</f>
        <v/>
      </c>
      <c r="Q565">
        <f>P565*0.0015</f>
        <v/>
      </c>
      <c r="R565">
        <f>I565*(1-Q565)</f>
        <v/>
      </c>
      <c r="S565">
        <f>R565/R564-1</f>
        <v/>
      </c>
      <c r="T565">
        <f>MAX(T564,R565)</f>
        <v/>
      </c>
      <c r="U565">
        <f>R565/T565-1</f>
        <v/>
      </c>
      <c r="V565" t="n">
        <v>2.324658060418163</v>
      </c>
      <c r="W565" s="5">
        <f>R565-V565</f>
        <v/>
      </c>
    </row>
    <row r="566">
      <c r="A566" s="3" t="n">
        <v>39267</v>
      </c>
      <c r="B566">
        <f>Prices!B566</f>
        <v/>
      </c>
      <c r="C566">
        <f>Prices!C566</f>
        <v/>
      </c>
      <c r="D566">
        <f>Prices!D566</f>
        <v/>
      </c>
      <c r="E566">
        <f>Prices!E566</f>
        <v/>
      </c>
      <c r="F566">
        <f>Prices!F566</f>
        <v/>
      </c>
      <c r="G566">
        <f>IF(AND(564&gt;=16,TEXT(A566,"yyyy-mm")&lt;&gt;TEXT(A567,"yyyy-mm")),1,0)</f>
        <v/>
      </c>
      <c r="H566">
        <f>IF(OR(H565=1,G566=1),1,0)</f>
        <v/>
      </c>
      <c r="I566">
        <f>IF(H565=0,1,SUMPRODUCT(J565:N565,B566:F566)+O565*(1+0.00023125256064071564))</f>
        <v/>
      </c>
      <c r="J566">
        <f>IF(G566=1,0.2*R566/B566,J565)</f>
        <v/>
      </c>
      <c r="K566">
        <f>IF(G566=1,0.2*R566/C566,K565)</f>
        <v/>
      </c>
      <c r="L566">
        <f>IF(G566=1,0.2*R566/D566,L565)</f>
        <v/>
      </c>
      <c r="M566">
        <f>IF(G566=1,0.2*R566/E566,M565)</f>
        <v/>
      </c>
      <c r="N566">
        <f>IF(G566=1,0.2*R566/F566,N565)</f>
        <v/>
      </c>
      <c r="O566">
        <f>IF(G566=1,R566*(1-1.0),IF(H565=0,1,O565*(1+0.00023125256064071564)))</f>
        <v/>
      </c>
      <c r="P566">
        <f>IF(G566=1,IF(H565=0,1,ABS(0.2-J565*B566/I566)+ABS(0.2-K565*C566/I566)+ABS(0.2-L565*D566/I566)+ABS(0.2-M565*E566/I566)+ABS(0.2-N565*F566/I566)),0)</f>
        <v/>
      </c>
      <c r="Q566">
        <f>P566*0.0015</f>
        <v/>
      </c>
      <c r="R566">
        <f>I566*(1-Q566)</f>
        <v/>
      </c>
      <c r="S566">
        <f>R566/R565-1</f>
        <v/>
      </c>
      <c r="T566">
        <f>MAX(T565,R566)</f>
        <v/>
      </c>
      <c r="U566">
        <f>R566/T566-1</f>
        <v/>
      </c>
      <c r="V566" t="n">
        <v>2.324333183952413</v>
      </c>
      <c r="W566" s="5">
        <f>R566-V566</f>
        <v/>
      </c>
    </row>
    <row r="567">
      <c r="A567" s="3" t="n">
        <v>39268</v>
      </c>
      <c r="B567">
        <f>Prices!B567</f>
        <v/>
      </c>
      <c r="C567">
        <f>Prices!C567</f>
        <v/>
      </c>
      <c r="D567">
        <f>Prices!D567</f>
        <v/>
      </c>
      <c r="E567">
        <f>Prices!E567</f>
        <v/>
      </c>
      <c r="F567">
        <f>Prices!F567</f>
        <v/>
      </c>
      <c r="G567">
        <f>IF(AND(565&gt;=16,TEXT(A567,"yyyy-mm")&lt;&gt;TEXT(A568,"yyyy-mm")),1,0)</f>
        <v/>
      </c>
      <c r="H567">
        <f>IF(OR(H566=1,G567=1),1,0)</f>
        <v/>
      </c>
      <c r="I567">
        <f>IF(H566=0,1,SUMPRODUCT(J566:N566,B567:F567)+O566*(1+0.00023125256064071564))</f>
        <v/>
      </c>
      <c r="J567">
        <f>IF(G567=1,0.2*R567/B567,J566)</f>
        <v/>
      </c>
      <c r="K567">
        <f>IF(G567=1,0.2*R567/C567,K566)</f>
        <v/>
      </c>
      <c r="L567">
        <f>IF(G567=1,0.2*R567/D567,L566)</f>
        <v/>
      </c>
      <c r="M567">
        <f>IF(G567=1,0.2*R567/E567,M566)</f>
        <v/>
      </c>
      <c r="N567">
        <f>IF(G567=1,0.2*R567/F567,N566)</f>
        <v/>
      </c>
      <c r="O567">
        <f>IF(G567=1,R567*(1-1.0),IF(H566=0,1,O566*(1+0.00023125256064071564)))</f>
        <v/>
      </c>
      <c r="P567">
        <f>IF(G567=1,IF(H566=0,1,ABS(0.2-J566*B567/I567)+ABS(0.2-K566*C567/I567)+ABS(0.2-L566*D567/I567)+ABS(0.2-M566*E567/I567)+ABS(0.2-N566*F567/I567)),0)</f>
        <v/>
      </c>
      <c r="Q567">
        <f>P567*0.0015</f>
        <v/>
      </c>
      <c r="R567">
        <f>I567*(1-Q567)</f>
        <v/>
      </c>
      <c r="S567">
        <f>R567/R566-1</f>
        <v/>
      </c>
      <c r="T567">
        <f>MAX(T566,R567)</f>
        <v/>
      </c>
      <c r="U567">
        <f>R567/T567-1</f>
        <v/>
      </c>
      <c r="V567" t="n">
        <v>2.312951489922776</v>
      </c>
      <c r="W567" s="5">
        <f>R567-V567</f>
        <v/>
      </c>
    </row>
    <row r="568">
      <c r="A568" s="3" t="n">
        <v>39269</v>
      </c>
      <c r="B568">
        <f>Prices!B568</f>
        <v/>
      </c>
      <c r="C568">
        <f>Prices!C568</f>
        <v/>
      </c>
      <c r="D568">
        <f>Prices!D568</f>
        <v/>
      </c>
      <c r="E568">
        <f>Prices!E568</f>
        <v/>
      </c>
      <c r="F568">
        <f>Prices!F568</f>
        <v/>
      </c>
      <c r="G568">
        <f>IF(AND(566&gt;=16,TEXT(A568,"yyyy-mm")&lt;&gt;TEXT(A569,"yyyy-mm")),1,0)</f>
        <v/>
      </c>
      <c r="H568">
        <f>IF(OR(H567=1,G568=1),1,0)</f>
        <v/>
      </c>
      <c r="I568">
        <f>IF(H567=0,1,SUMPRODUCT(J567:N567,B568:F568)+O567*(1+0.00023125256064071564))</f>
        <v/>
      </c>
      <c r="J568">
        <f>IF(G568=1,0.2*R568/B568,J567)</f>
        <v/>
      </c>
      <c r="K568">
        <f>IF(G568=1,0.2*R568/C568,K567)</f>
        <v/>
      </c>
      <c r="L568">
        <f>IF(G568=1,0.2*R568/D568,L567)</f>
        <v/>
      </c>
      <c r="M568">
        <f>IF(G568=1,0.2*R568/E568,M567)</f>
        <v/>
      </c>
      <c r="N568">
        <f>IF(G568=1,0.2*R568/F568,N567)</f>
        <v/>
      </c>
      <c r="O568">
        <f>IF(G568=1,R568*(1-1.0),IF(H567=0,1,O567*(1+0.00023125256064071564)))</f>
        <v/>
      </c>
      <c r="P568">
        <f>IF(G568=1,IF(H567=0,1,ABS(0.2-J567*B568/I568)+ABS(0.2-K567*C568/I568)+ABS(0.2-L567*D568/I568)+ABS(0.2-M567*E568/I568)+ABS(0.2-N567*F568/I568)),0)</f>
        <v/>
      </c>
      <c r="Q568">
        <f>P568*0.0015</f>
        <v/>
      </c>
      <c r="R568">
        <f>I568*(1-Q568)</f>
        <v/>
      </c>
      <c r="S568">
        <f>R568/R567-1</f>
        <v/>
      </c>
      <c r="T568">
        <f>MAX(T567,R568)</f>
        <v/>
      </c>
      <c r="U568">
        <f>R568/T568-1</f>
        <v/>
      </c>
      <c r="V568" t="n">
        <v>2.322613727199343</v>
      </c>
      <c r="W568" s="5">
        <f>R568-V568</f>
        <v/>
      </c>
    </row>
    <row r="569">
      <c r="A569" s="3" t="n">
        <v>39272</v>
      </c>
      <c r="B569">
        <f>Prices!B569</f>
        <v/>
      </c>
      <c r="C569">
        <f>Prices!C569</f>
        <v/>
      </c>
      <c r="D569">
        <f>Prices!D569</f>
        <v/>
      </c>
      <c r="E569">
        <f>Prices!E569</f>
        <v/>
      </c>
      <c r="F569">
        <f>Prices!F569</f>
        <v/>
      </c>
      <c r="G569">
        <f>IF(AND(567&gt;=16,TEXT(A569,"yyyy-mm")&lt;&gt;TEXT(A570,"yyyy-mm")),1,0)</f>
        <v/>
      </c>
      <c r="H569">
        <f>IF(OR(H568=1,G569=1),1,0)</f>
        <v/>
      </c>
      <c r="I569">
        <f>IF(H568=0,1,SUMPRODUCT(J568:N568,B569:F569)+O568*(1+0.00023125256064071564))</f>
        <v/>
      </c>
      <c r="J569">
        <f>IF(G569=1,0.2*R569/B569,J568)</f>
        <v/>
      </c>
      <c r="K569">
        <f>IF(G569=1,0.2*R569/C569,K568)</f>
        <v/>
      </c>
      <c r="L569">
        <f>IF(G569=1,0.2*R569/D569,L568)</f>
        <v/>
      </c>
      <c r="M569">
        <f>IF(G569=1,0.2*R569/E569,M568)</f>
        <v/>
      </c>
      <c r="N569">
        <f>IF(G569=1,0.2*R569/F569,N568)</f>
        <v/>
      </c>
      <c r="O569">
        <f>IF(G569=1,R569*(1-1.0),IF(H568=0,1,O568*(1+0.00023125256064071564)))</f>
        <v/>
      </c>
      <c r="P569">
        <f>IF(G569=1,IF(H568=0,1,ABS(0.2-J568*B569/I569)+ABS(0.2-K568*C569/I569)+ABS(0.2-L568*D569/I569)+ABS(0.2-M568*E569/I569)+ABS(0.2-N568*F569/I569)),0)</f>
        <v/>
      </c>
      <c r="Q569">
        <f>P569*0.0015</f>
        <v/>
      </c>
      <c r="R569">
        <f>I569*(1-Q569)</f>
        <v/>
      </c>
      <c r="S569">
        <f>R569/R568-1</f>
        <v/>
      </c>
      <c r="T569">
        <f>MAX(T568,R569)</f>
        <v/>
      </c>
      <c r="U569">
        <f>R569/T569-1</f>
        <v/>
      </c>
      <c r="V569" t="n">
        <v>2.346542087818606</v>
      </c>
      <c r="W569" s="5">
        <f>R569-V569</f>
        <v/>
      </c>
    </row>
    <row r="570">
      <c r="A570" s="3" t="n">
        <v>39273</v>
      </c>
      <c r="B570">
        <f>Prices!B570</f>
        <v/>
      </c>
      <c r="C570">
        <f>Prices!C570</f>
        <v/>
      </c>
      <c r="D570">
        <f>Prices!D570</f>
        <v/>
      </c>
      <c r="E570">
        <f>Prices!E570</f>
        <v/>
      </c>
      <c r="F570">
        <f>Prices!F570</f>
        <v/>
      </c>
      <c r="G570">
        <f>IF(AND(568&gt;=16,TEXT(A570,"yyyy-mm")&lt;&gt;TEXT(A571,"yyyy-mm")),1,0)</f>
        <v/>
      </c>
      <c r="H570">
        <f>IF(OR(H569=1,G570=1),1,0)</f>
        <v/>
      </c>
      <c r="I570">
        <f>IF(H569=0,1,SUMPRODUCT(J569:N569,B570:F570)+O569*(1+0.00023125256064071564))</f>
        <v/>
      </c>
      <c r="J570">
        <f>IF(G570=1,0.2*R570/B570,J569)</f>
        <v/>
      </c>
      <c r="K570">
        <f>IF(G570=1,0.2*R570/C570,K569)</f>
        <v/>
      </c>
      <c r="L570">
        <f>IF(G570=1,0.2*R570/D570,L569)</f>
        <v/>
      </c>
      <c r="M570">
        <f>IF(G570=1,0.2*R570/E570,M569)</f>
        <v/>
      </c>
      <c r="N570">
        <f>IF(G570=1,0.2*R570/F570,N569)</f>
        <v/>
      </c>
      <c r="O570">
        <f>IF(G570=1,R570*(1-1.0),IF(H569=0,1,O569*(1+0.00023125256064071564)))</f>
        <v/>
      </c>
      <c r="P570">
        <f>IF(G570=1,IF(H569=0,1,ABS(0.2-J569*B570/I570)+ABS(0.2-K569*C570/I570)+ABS(0.2-L569*D570/I570)+ABS(0.2-M569*E570/I570)+ABS(0.2-N569*F570/I570)),0)</f>
        <v/>
      </c>
      <c r="Q570">
        <f>P570*0.0015</f>
        <v/>
      </c>
      <c r="R570">
        <f>I570*(1-Q570)</f>
        <v/>
      </c>
      <c r="S570">
        <f>R570/R569-1</f>
        <v/>
      </c>
      <c r="T570">
        <f>MAX(T569,R570)</f>
        <v/>
      </c>
      <c r="U570">
        <f>R570/T570-1</f>
        <v/>
      </c>
      <c r="V570" t="n">
        <v>2.342546484001351</v>
      </c>
      <c r="W570" s="5">
        <f>R570-V570</f>
        <v/>
      </c>
    </row>
    <row r="571">
      <c r="A571" s="3" t="n">
        <v>39274</v>
      </c>
      <c r="B571">
        <f>Prices!B571</f>
        <v/>
      </c>
      <c r="C571">
        <f>Prices!C571</f>
        <v/>
      </c>
      <c r="D571">
        <f>Prices!D571</f>
        <v/>
      </c>
      <c r="E571">
        <f>Prices!E571</f>
        <v/>
      </c>
      <c r="F571">
        <f>Prices!F571</f>
        <v/>
      </c>
      <c r="G571">
        <f>IF(AND(569&gt;=16,TEXT(A571,"yyyy-mm")&lt;&gt;TEXT(A572,"yyyy-mm")),1,0)</f>
        <v/>
      </c>
      <c r="H571">
        <f>IF(OR(H570=1,G571=1),1,0)</f>
        <v/>
      </c>
      <c r="I571">
        <f>IF(H570=0,1,SUMPRODUCT(J570:N570,B571:F571)+O570*(1+0.00023125256064071564))</f>
        <v/>
      </c>
      <c r="J571">
        <f>IF(G571=1,0.2*R571/B571,J570)</f>
        <v/>
      </c>
      <c r="K571">
        <f>IF(G571=1,0.2*R571/C571,K570)</f>
        <v/>
      </c>
      <c r="L571">
        <f>IF(G571=1,0.2*R571/D571,L570)</f>
        <v/>
      </c>
      <c r="M571">
        <f>IF(G571=1,0.2*R571/E571,M570)</f>
        <v/>
      </c>
      <c r="N571">
        <f>IF(G571=1,0.2*R571/F571,N570)</f>
        <v/>
      </c>
      <c r="O571">
        <f>IF(G571=1,R571*(1-1.0),IF(H570=0,1,O570*(1+0.00023125256064071564)))</f>
        <v/>
      </c>
      <c r="P571">
        <f>IF(G571=1,IF(H570=0,1,ABS(0.2-J570*B571/I571)+ABS(0.2-K570*C571/I571)+ABS(0.2-L570*D571/I571)+ABS(0.2-M570*E571/I571)+ABS(0.2-N570*F571/I571)),0)</f>
        <v/>
      </c>
      <c r="Q571">
        <f>P571*0.0015</f>
        <v/>
      </c>
      <c r="R571">
        <f>I571*(1-Q571)</f>
        <v/>
      </c>
      <c r="S571">
        <f>R571/R570-1</f>
        <v/>
      </c>
      <c r="T571">
        <f>MAX(T570,R571)</f>
        <v/>
      </c>
      <c r="U571">
        <f>R571/T571-1</f>
        <v/>
      </c>
      <c r="V571" t="n">
        <v>2.347433228104794</v>
      </c>
      <c r="W571" s="5">
        <f>R571-V571</f>
        <v/>
      </c>
    </row>
    <row r="572">
      <c r="A572" s="3" t="n">
        <v>39275</v>
      </c>
      <c r="B572">
        <f>Prices!B572</f>
        <v/>
      </c>
      <c r="C572">
        <f>Prices!C572</f>
        <v/>
      </c>
      <c r="D572">
        <f>Prices!D572</f>
        <v/>
      </c>
      <c r="E572">
        <f>Prices!E572</f>
        <v/>
      </c>
      <c r="F572">
        <f>Prices!F572</f>
        <v/>
      </c>
      <c r="G572">
        <f>IF(AND(570&gt;=16,TEXT(A572,"yyyy-mm")&lt;&gt;TEXT(A573,"yyyy-mm")),1,0)</f>
        <v/>
      </c>
      <c r="H572">
        <f>IF(OR(H571=1,G572=1),1,0)</f>
        <v/>
      </c>
      <c r="I572">
        <f>IF(H571=0,1,SUMPRODUCT(J571:N571,B572:F572)+O571*(1+0.00023125256064071564))</f>
        <v/>
      </c>
      <c r="J572">
        <f>IF(G572=1,0.2*R572/B572,J571)</f>
        <v/>
      </c>
      <c r="K572">
        <f>IF(G572=1,0.2*R572/C572,K571)</f>
        <v/>
      </c>
      <c r="L572">
        <f>IF(G572=1,0.2*R572/D572,L571)</f>
        <v/>
      </c>
      <c r="M572">
        <f>IF(G572=1,0.2*R572/E572,M571)</f>
        <v/>
      </c>
      <c r="N572">
        <f>IF(G572=1,0.2*R572/F572,N571)</f>
        <v/>
      </c>
      <c r="O572">
        <f>IF(G572=1,R572*(1-1.0),IF(H571=0,1,O571*(1+0.00023125256064071564)))</f>
        <v/>
      </c>
      <c r="P572">
        <f>IF(G572=1,IF(H571=0,1,ABS(0.2-J571*B572/I572)+ABS(0.2-K571*C572/I572)+ABS(0.2-L571*D572/I572)+ABS(0.2-M571*E572/I572)+ABS(0.2-N571*F572/I572)),0)</f>
        <v/>
      </c>
      <c r="Q572">
        <f>P572*0.0015</f>
        <v/>
      </c>
      <c r="R572">
        <f>I572*(1-Q572)</f>
        <v/>
      </c>
      <c r="S572">
        <f>R572/R571-1</f>
        <v/>
      </c>
      <c r="T572">
        <f>MAX(T571,R572)</f>
        <v/>
      </c>
      <c r="U572">
        <f>R572/T572-1</f>
        <v/>
      </c>
      <c r="V572" t="n">
        <v>2.379323725043978</v>
      </c>
      <c r="W572" s="5">
        <f>R572-V572</f>
        <v/>
      </c>
    </row>
    <row r="573">
      <c r="A573" s="3" t="n">
        <v>39276</v>
      </c>
      <c r="B573">
        <f>Prices!B573</f>
        <v/>
      </c>
      <c r="C573">
        <f>Prices!C573</f>
        <v/>
      </c>
      <c r="D573">
        <f>Prices!D573</f>
        <v/>
      </c>
      <c r="E573">
        <f>Prices!E573</f>
        <v/>
      </c>
      <c r="F573">
        <f>Prices!F573</f>
        <v/>
      </c>
      <c r="G573">
        <f>IF(AND(571&gt;=16,TEXT(A573,"yyyy-mm")&lt;&gt;TEXT(A574,"yyyy-mm")),1,0)</f>
        <v/>
      </c>
      <c r="H573">
        <f>IF(OR(H572=1,G573=1),1,0)</f>
        <v/>
      </c>
      <c r="I573">
        <f>IF(H572=0,1,SUMPRODUCT(J572:N572,B573:F573)+O572*(1+0.00023125256064071564))</f>
        <v/>
      </c>
      <c r="J573">
        <f>IF(G573=1,0.2*R573/B573,J572)</f>
        <v/>
      </c>
      <c r="K573">
        <f>IF(G573=1,0.2*R573/C573,K572)</f>
        <v/>
      </c>
      <c r="L573">
        <f>IF(G573=1,0.2*R573/D573,L572)</f>
        <v/>
      </c>
      <c r="M573">
        <f>IF(G573=1,0.2*R573/E573,M572)</f>
        <v/>
      </c>
      <c r="N573">
        <f>IF(G573=1,0.2*R573/F573,N572)</f>
        <v/>
      </c>
      <c r="O573">
        <f>IF(G573=1,R573*(1-1.0),IF(H572=0,1,O572*(1+0.00023125256064071564)))</f>
        <v/>
      </c>
      <c r="P573">
        <f>IF(G573=1,IF(H572=0,1,ABS(0.2-J572*B573/I573)+ABS(0.2-K572*C573/I573)+ABS(0.2-L572*D573/I573)+ABS(0.2-M572*E573/I573)+ABS(0.2-N572*F573/I573)),0)</f>
        <v/>
      </c>
      <c r="Q573">
        <f>P573*0.0015</f>
        <v/>
      </c>
      <c r="R573">
        <f>I573*(1-Q573)</f>
        <v/>
      </c>
      <c r="S573">
        <f>R573/R572-1</f>
        <v/>
      </c>
      <c r="T573">
        <f>MAX(T572,R573)</f>
        <v/>
      </c>
      <c r="U573">
        <f>R573/T573-1</f>
        <v/>
      </c>
      <c r="V573" t="n">
        <v>2.392097507213359</v>
      </c>
      <c r="W573" s="5">
        <f>R573-V573</f>
        <v/>
      </c>
    </row>
    <row r="574">
      <c r="A574" s="3" t="n">
        <v>39279</v>
      </c>
      <c r="B574">
        <f>Prices!B574</f>
        <v/>
      </c>
      <c r="C574">
        <f>Prices!C574</f>
        <v/>
      </c>
      <c r="D574">
        <f>Prices!D574</f>
        <v/>
      </c>
      <c r="E574">
        <f>Prices!E574</f>
        <v/>
      </c>
      <c r="F574">
        <f>Prices!F574</f>
        <v/>
      </c>
      <c r="G574">
        <f>IF(AND(572&gt;=16,TEXT(A574,"yyyy-mm")&lt;&gt;TEXT(A575,"yyyy-mm")),1,0)</f>
        <v/>
      </c>
      <c r="H574">
        <f>IF(OR(H573=1,G574=1),1,0)</f>
        <v/>
      </c>
      <c r="I574">
        <f>IF(H573=0,1,SUMPRODUCT(J573:N573,B574:F574)+O573*(1+0.00023125256064071564))</f>
        <v/>
      </c>
      <c r="J574">
        <f>IF(G574=1,0.2*R574/B574,J573)</f>
        <v/>
      </c>
      <c r="K574">
        <f>IF(G574=1,0.2*R574/C574,K573)</f>
        <v/>
      </c>
      <c r="L574">
        <f>IF(G574=1,0.2*R574/D574,L573)</f>
        <v/>
      </c>
      <c r="M574">
        <f>IF(G574=1,0.2*R574/E574,M573)</f>
        <v/>
      </c>
      <c r="N574">
        <f>IF(G574=1,0.2*R574/F574,N573)</f>
        <v/>
      </c>
      <c r="O574">
        <f>IF(G574=1,R574*(1-1.0),IF(H573=0,1,O573*(1+0.00023125256064071564)))</f>
        <v/>
      </c>
      <c r="P574">
        <f>IF(G574=1,IF(H573=0,1,ABS(0.2-J573*B574/I574)+ABS(0.2-K573*C574/I574)+ABS(0.2-L573*D574/I574)+ABS(0.2-M573*E574/I574)+ABS(0.2-N573*F574/I574)),0)</f>
        <v/>
      </c>
      <c r="Q574">
        <f>P574*0.0015</f>
        <v/>
      </c>
      <c r="R574">
        <f>I574*(1-Q574)</f>
        <v/>
      </c>
      <c r="S574">
        <f>R574/R573-1</f>
        <v/>
      </c>
      <c r="T574">
        <f>MAX(T573,R574)</f>
        <v/>
      </c>
      <c r="U574">
        <f>R574/T574-1</f>
        <v/>
      </c>
      <c r="V574" t="n">
        <v>2.403440496288401</v>
      </c>
      <c r="W574" s="5">
        <f>R574-V574</f>
        <v/>
      </c>
    </row>
    <row r="575">
      <c r="A575" s="3" t="n">
        <v>39280</v>
      </c>
      <c r="B575">
        <f>Prices!B575</f>
        <v/>
      </c>
      <c r="C575">
        <f>Prices!C575</f>
        <v/>
      </c>
      <c r="D575">
        <f>Prices!D575</f>
        <v/>
      </c>
      <c r="E575">
        <f>Prices!E575</f>
        <v/>
      </c>
      <c r="F575">
        <f>Prices!F575</f>
        <v/>
      </c>
      <c r="G575">
        <f>IF(AND(573&gt;=16,TEXT(A575,"yyyy-mm")&lt;&gt;TEXT(A576,"yyyy-mm")),1,0)</f>
        <v/>
      </c>
      <c r="H575">
        <f>IF(OR(H574=1,G575=1),1,0)</f>
        <v/>
      </c>
      <c r="I575">
        <f>IF(H574=0,1,SUMPRODUCT(J574:N574,B575:F575)+O574*(1+0.00023125256064071564))</f>
        <v/>
      </c>
      <c r="J575">
        <f>IF(G575=1,0.2*R575/B575,J574)</f>
        <v/>
      </c>
      <c r="K575">
        <f>IF(G575=1,0.2*R575/C575,K574)</f>
        <v/>
      </c>
      <c r="L575">
        <f>IF(G575=1,0.2*R575/D575,L574)</f>
        <v/>
      </c>
      <c r="M575">
        <f>IF(G575=1,0.2*R575/E575,M574)</f>
        <v/>
      </c>
      <c r="N575">
        <f>IF(G575=1,0.2*R575/F575,N574)</f>
        <v/>
      </c>
      <c r="O575">
        <f>IF(G575=1,R575*(1-1.0),IF(H574=0,1,O574*(1+0.00023125256064071564)))</f>
        <v/>
      </c>
      <c r="P575">
        <f>IF(G575=1,IF(H574=0,1,ABS(0.2-J574*B575/I575)+ABS(0.2-K574*C575/I575)+ABS(0.2-L574*D575/I575)+ABS(0.2-M574*E575/I575)+ABS(0.2-N574*F575/I575)),0)</f>
        <v/>
      </c>
      <c r="Q575">
        <f>P575*0.0015</f>
        <v/>
      </c>
      <c r="R575">
        <f>I575*(1-Q575)</f>
        <v/>
      </c>
      <c r="S575">
        <f>R575/R574-1</f>
        <v/>
      </c>
      <c r="T575">
        <f>MAX(T574,R575)</f>
        <v/>
      </c>
      <c r="U575">
        <f>R575/T575-1</f>
        <v/>
      </c>
      <c r="V575" t="n">
        <v>2.382516234528154</v>
      </c>
      <c r="W575" s="5">
        <f>R575-V575</f>
        <v/>
      </c>
    </row>
    <row r="576">
      <c r="A576" s="3" t="n">
        <v>39281</v>
      </c>
      <c r="B576">
        <f>Prices!B576</f>
        <v/>
      </c>
      <c r="C576">
        <f>Prices!C576</f>
        <v/>
      </c>
      <c r="D576">
        <f>Prices!D576</f>
        <v/>
      </c>
      <c r="E576">
        <f>Prices!E576</f>
        <v/>
      </c>
      <c r="F576">
        <f>Prices!F576</f>
        <v/>
      </c>
      <c r="G576">
        <f>IF(AND(574&gt;=16,TEXT(A576,"yyyy-mm")&lt;&gt;TEXT(A577,"yyyy-mm")),1,0)</f>
        <v/>
      </c>
      <c r="H576">
        <f>IF(OR(H575=1,G576=1),1,0)</f>
        <v/>
      </c>
      <c r="I576">
        <f>IF(H575=0,1,SUMPRODUCT(J575:N575,B576:F576)+O575*(1+0.00023125256064071564))</f>
        <v/>
      </c>
      <c r="J576">
        <f>IF(G576=1,0.2*R576/B576,J575)</f>
        <v/>
      </c>
      <c r="K576">
        <f>IF(G576=1,0.2*R576/C576,K575)</f>
        <v/>
      </c>
      <c r="L576">
        <f>IF(G576=1,0.2*R576/D576,L575)</f>
        <v/>
      </c>
      <c r="M576">
        <f>IF(G576=1,0.2*R576/E576,M575)</f>
        <v/>
      </c>
      <c r="N576">
        <f>IF(G576=1,0.2*R576/F576,N575)</f>
        <v/>
      </c>
      <c r="O576">
        <f>IF(G576=1,R576*(1-1.0),IF(H575=0,1,O575*(1+0.00023125256064071564)))</f>
        <v/>
      </c>
      <c r="P576">
        <f>IF(G576=1,IF(H575=0,1,ABS(0.2-J575*B576/I576)+ABS(0.2-K575*C576/I576)+ABS(0.2-L575*D576/I576)+ABS(0.2-M575*E576/I576)+ABS(0.2-N575*F576/I576)),0)</f>
        <v/>
      </c>
      <c r="Q576">
        <f>P576*0.0015</f>
        <v/>
      </c>
      <c r="R576">
        <f>I576*(1-Q576)</f>
        <v/>
      </c>
      <c r="S576">
        <f>R576/R575-1</f>
        <v/>
      </c>
      <c r="T576">
        <f>MAX(T575,R576)</f>
        <v/>
      </c>
      <c r="U576">
        <f>R576/T576-1</f>
        <v/>
      </c>
      <c r="V576" t="n">
        <v>2.376814175444266</v>
      </c>
      <c r="W576" s="5">
        <f>R576-V576</f>
        <v/>
      </c>
    </row>
    <row r="577">
      <c r="A577" s="3" t="n">
        <v>39282</v>
      </c>
      <c r="B577">
        <f>Prices!B577</f>
        <v/>
      </c>
      <c r="C577">
        <f>Prices!C577</f>
        <v/>
      </c>
      <c r="D577">
        <f>Prices!D577</f>
        <v/>
      </c>
      <c r="E577">
        <f>Prices!E577</f>
        <v/>
      </c>
      <c r="F577">
        <f>Prices!F577</f>
        <v/>
      </c>
      <c r="G577">
        <f>IF(AND(575&gt;=16,TEXT(A577,"yyyy-mm")&lt;&gt;TEXT(A578,"yyyy-mm")),1,0)</f>
        <v/>
      </c>
      <c r="H577">
        <f>IF(OR(H576=1,G577=1),1,0)</f>
        <v/>
      </c>
      <c r="I577">
        <f>IF(H576=0,1,SUMPRODUCT(J576:N576,B577:F577)+O576*(1+0.00023125256064071564))</f>
        <v/>
      </c>
      <c r="J577">
        <f>IF(G577=1,0.2*R577/B577,J576)</f>
        <v/>
      </c>
      <c r="K577">
        <f>IF(G577=1,0.2*R577/C577,K576)</f>
        <v/>
      </c>
      <c r="L577">
        <f>IF(G577=1,0.2*R577/D577,L576)</f>
        <v/>
      </c>
      <c r="M577">
        <f>IF(G577=1,0.2*R577/E577,M576)</f>
        <v/>
      </c>
      <c r="N577">
        <f>IF(G577=1,0.2*R577/F577,N576)</f>
        <v/>
      </c>
      <c r="O577">
        <f>IF(G577=1,R577*(1-1.0),IF(H576=0,1,O576*(1+0.00023125256064071564)))</f>
        <v/>
      </c>
      <c r="P577">
        <f>IF(G577=1,IF(H576=0,1,ABS(0.2-J576*B577/I577)+ABS(0.2-K576*C577/I577)+ABS(0.2-L576*D577/I577)+ABS(0.2-M576*E577/I577)+ABS(0.2-N576*F577/I577)),0)</f>
        <v/>
      </c>
      <c r="Q577">
        <f>P577*0.0015</f>
        <v/>
      </c>
      <c r="R577">
        <f>I577*(1-Q577)</f>
        <v/>
      </c>
      <c r="S577">
        <f>R577/R576-1</f>
        <v/>
      </c>
      <c r="T577">
        <f>MAX(T576,R577)</f>
        <v/>
      </c>
      <c r="U577">
        <f>R577/T577-1</f>
        <v/>
      </c>
      <c r="V577" t="n">
        <v>2.397061412148956</v>
      </c>
      <c r="W577" s="5">
        <f>R577-V577</f>
        <v/>
      </c>
    </row>
    <row r="578">
      <c r="A578" s="3" t="n">
        <v>39283</v>
      </c>
      <c r="B578">
        <f>Prices!B578</f>
        <v/>
      </c>
      <c r="C578">
        <f>Prices!C578</f>
        <v/>
      </c>
      <c r="D578">
        <f>Prices!D578</f>
        <v/>
      </c>
      <c r="E578">
        <f>Prices!E578</f>
        <v/>
      </c>
      <c r="F578">
        <f>Prices!F578</f>
        <v/>
      </c>
      <c r="G578">
        <f>IF(AND(576&gt;=16,TEXT(A578,"yyyy-mm")&lt;&gt;TEXT(A579,"yyyy-mm")),1,0)</f>
        <v/>
      </c>
      <c r="H578">
        <f>IF(OR(H577=1,G578=1),1,0)</f>
        <v/>
      </c>
      <c r="I578">
        <f>IF(H577=0,1,SUMPRODUCT(J577:N577,B578:F578)+O577*(1+0.00023125256064071564))</f>
        <v/>
      </c>
      <c r="J578">
        <f>IF(G578=1,0.2*R578/B578,J577)</f>
        <v/>
      </c>
      <c r="K578">
        <f>IF(G578=1,0.2*R578/C578,K577)</f>
        <v/>
      </c>
      <c r="L578">
        <f>IF(G578=1,0.2*R578/D578,L577)</f>
        <v/>
      </c>
      <c r="M578">
        <f>IF(G578=1,0.2*R578/E578,M577)</f>
        <v/>
      </c>
      <c r="N578">
        <f>IF(G578=1,0.2*R578/F578,N577)</f>
        <v/>
      </c>
      <c r="O578">
        <f>IF(G578=1,R578*(1-1.0),IF(H577=0,1,O577*(1+0.00023125256064071564)))</f>
        <v/>
      </c>
      <c r="P578">
        <f>IF(G578=1,IF(H577=0,1,ABS(0.2-J577*B578/I578)+ABS(0.2-K577*C578/I578)+ABS(0.2-L577*D578/I578)+ABS(0.2-M577*E578/I578)+ABS(0.2-N577*F578/I578)),0)</f>
        <v/>
      </c>
      <c r="Q578">
        <f>P578*0.0015</f>
        <v/>
      </c>
      <c r="R578">
        <f>I578*(1-Q578)</f>
        <v/>
      </c>
      <c r="S578">
        <f>R578/R577-1</f>
        <v/>
      </c>
      <c r="T578">
        <f>MAX(T577,R578)</f>
        <v/>
      </c>
      <c r="U578">
        <f>R578/T578-1</f>
        <v/>
      </c>
      <c r="V578" t="n">
        <v>2.393707218225999</v>
      </c>
      <c r="W578" s="5">
        <f>R578-V578</f>
        <v/>
      </c>
    </row>
    <row r="579">
      <c r="A579" s="3" t="n">
        <v>39286</v>
      </c>
      <c r="B579">
        <f>Prices!B579</f>
        <v/>
      </c>
      <c r="C579">
        <f>Prices!C579</f>
        <v/>
      </c>
      <c r="D579">
        <f>Prices!D579</f>
        <v/>
      </c>
      <c r="E579">
        <f>Prices!E579</f>
        <v/>
      </c>
      <c r="F579">
        <f>Prices!F579</f>
        <v/>
      </c>
      <c r="G579">
        <f>IF(AND(577&gt;=16,TEXT(A579,"yyyy-mm")&lt;&gt;TEXT(A580,"yyyy-mm")),1,0)</f>
        <v/>
      </c>
      <c r="H579">
        <f>IF(OR(H578=1,G579=1),1,0)</f>
        <v/>
      </c>
      <c r="I579">
        <f>IF(H578=0,1,SUMPRODUCT(J578:N578,B579:F579)+O578*(1+0.00023125256064071564))</f>
        <v/>
      </c>
      <c r="J579">
        <f>IF(G579=1,0.2*R579/B579,J578)</f>
        <v/>
      </c>
      <c r="K579">
        <f>IF(G579=1,0.2*R579/C579,K578)</f>
        <v/>
      </c>
      <c r="L579">
        <f>IF(G579=1,0.2*R579/D579,L578)</f>
        <v/>
      </c>
      <c r="M579">
        <f>IF(G579=1,0.2*R579/E579,M578)</f>
        <v/>
      </c>
      <c r="N579">
        <f>IF(G579=1,0.2*R579/F579,N578)</f>
        <v/>
      </c>
      <c r="O579">
        <f>IF(G579=1,R579*(1-1.0),IF(H578=0,1,O578*(1+0.00023125256064071564)))</f>
        <v/>
      </c>
      <c r="P579">
        <f>IF(G579=1,IF(H578=0,1,ABS(0.2-J578*B579/I579)+ABS(0.2-K578*C579/I579)+ABS(0.2-L578*D579/I579)+ABS(0.2-M578*E579/I579)+ABS(0.2-N578*F579/I579)),0)</f>
        <v/>
      </c>
      <c r="Q579">
        <f>P579*0.0015</f>
        <v/>
      </c>
      <c r="R579">
        <f>I579*(1-Q579)</f>
        <v/>
      </c>
      <c r="S579">
        <f>R579/R578-1</f>
        <v/>
      </c>
      <c r="T579">
        <f>MAX(T578,R579)</f>
        <v/>
      </c>
      <c r="U579">
        <f>R579/T579-1</f>
        <v/>
      </c>
      <c r="V579" t="n">
        <v>2.40714071058864</v>
      </c>
      <c r="W579" s="5">
        <f>R579-V579</f>
        <v/>
      </c>
    </row>
    <row r="580">
      <c r="A580" s="3" t="n">
        <v>39287</v>
      </c>
      <c r="B580">
        <f>Prices!B580</f>
        <v/>
      </c>
      <c r="C580">
        <f>Prices!C580</f>
        <v/>
      </c>
      <c r="D580">
        <f>Prices!D580</f>
        <v/>
      </c>
      <c r="E580">
        <f>Prices!E580</f>
        <v/>
      </c>
      <c r="F580">
        <f>Prices!F580</f>
        <v/>
      </c>
      <c r="G580">
        <f>IF(AND(578&gt;=16,TEXT(A580,"yyyy-mm")&lt;&gt;TEXT(A581,"yyyy-mm")),1,0)</f>
        <v/>
      </c>
      <c r="H580">
        <f>IF(OR(H579=1,G580=1),1,0)</f>
        <v/>
      </c>
      <c r="I580">
        <f>IF(H579=0,1,SUMPRODUCT(J579:N579,B580:F580)+O579*(1+0.00023125256064071564))</f>
        <v/>
      </c>
      <c r="J580">
        <f>IF(G580=1,0.2*R580/B580,J579)</f>
        <v/>
      </c>
      <c r="K580">
        <f>IF(G580=1,0.2*R580/C580,K579)</f>
        <v/>
      </c>
      <c r="L580">
        <f>IF(G580=1,0.2*R580/D580,L579)</f>
        <v/>
      </c>
      <c r="M580">
        <f>IF(G580=1,0.2*R580/E580,M579)</f>
        <v/>
      </c>
      <c r="N580">
        <f>IF(G580=1,0.2*R580/F580,N579)</f>
        <v/>
      </c>
      <c r="O580">
        <f>IF(G580=1,R580*(1-1.0),IF(H579=0,1,O579*(1+0.00023125256064071564)))</f>
        <v/>
      </c>
      <c r="P580">
        <f>IF(G580=1,IF(H579=0,1,ABS(0.2-J579*B580/I580)+ABS(0.2-K579*C580/I580)+ABS(0.2-L579*D580/I580)+ABS(0.2-M579*E580/I580)+ABS(0.2-N579*F580/I580)),0)</f>
        <v/>
      </c>
      <c r="Q580">
        <f>P580*0.0015</f>
        <v/>
      </c>
      <c r="R580">
        <f>I580*(1-Q580)</f>
        <v/>
      </c>
      <c r="S580">
        <f>R580/R579-1</f>
        <v/>
      </c>
      <c r="T580">
        <f>MAX(T579,R580)</f>
        <v/>
      </c>
      <c r="U580">
        <f>R580/T580-1</f>
        <v/>
      </c>
      <c r="V580" t="n">
        <v>2.402890608468859</v>
      </c>
      <c r="W580" s="5">
        <f>R580-V580</f>
        <v/>
      </c>
    </row>
    <row r="581">
      <c r="A581" s="3" t="n">
        <v>39288</v>
      </c>
      <c r="B581">
        <f>Prices!B581</f>
        <v/>
      </c>
      <c r="C581">
        <f>Prices!C581</f>
        <v/>
      </c>
      <c r="D581">
        <f>Prices!D581</f>
        <v/>
      </c>
      <c r="E581">
        <f>Prices!E581</f>
        <v/>
      </c>
      <c r="F581">
        <f>Prices!F581</f>
        <v/>
      </c>
      <c r="G581">
        <f>IF(AND(579&gt;=16,TEXT(A581,"yyyy-mm")&lt;&gt;TEXT(A582,"yyyy-mm")),1,0)</f>
        <v/>
      </c>
      <c r="H581">
        <f>IF(OR(H580=1,G581=1),1,0)</f>
        <v/>
      </c>
      <c r="I581">
        <f>IF(H580=0,1,SUMPRODUCT(J580:N580,B581:F581)+O580*(1+0.00023125256064071564))</f>
        <v/>
      </c>
      <c r="J581">
        <f>IF(G581=1,0.2*R581/B581,J580)</f>
        <v/>
      </c>
      <c r="K581">
        <f>IF(G581=1,0.2*R581/C581,K580)</f>
        <v/>
      </c>
      <c r="L581">
        <f>IF(G581=1,0.2*R581/D581,L580)</f>
        <v/>
      </c>
      <c r="M581">
        <f>IF(G581=1,0.2*R581/E581,M580)</f>
        <v/>
      </c>
      <c r="N581">
        <f>IF(G581=1,0.2*R581/F581,N580)</f>
        <v/>
      </c>
      <c r="O581">
        <f>IF(G581=1,R581*(1-1.0),IF(H580=0,1,O580*(1+0.00023125256064071564)))</f>
        <v/>
      </c>
      <c r="P581">
        <f>IF(G581=1,IF(H580=0,1,ABS(0.2-J580*B581/I581)+ABS(0.2-K580*C581/I581)+ABS(0.2-L580*D581/I581)+ABS(0.2-M580*E581/I581)+ABS(0.2-N580*F581/I581)),0)</f>
        <v/>
      </c>
      <c r="Q581">
        <f>P581*0.0015</f>
        <v/>
      </c>
      <c r="R581">
        <f>I581*(1-Q581)</f>
        <v/>
      </c>
      <c r="S581">
        <f>R581/R580-1</f>
        <v/>
      </c>
      <c r="T581">
        <f>MAX(T580,R581)</f>
        <v/>
      </c>
      <c r="U581">
        <f>R581/T581-1</f>
        <v/>
      </c>
      <c r="V581" t="n">
        <v>2.391293777068499</v>
      </c>
      <c r="W581" s="5">
        <f>R581-V581</f>
        <v/>
      </c>
    </row>
    <row r="582">
      <c r="A582" s="3" t="n">
        <v>39289</v>
      </c>
      <c r="B582">
        <f>Prices!B582</f>
        <v/>
      </c>
      <c r="C582">
        <f>Prices!C582</f>
        <v/>
      </c>
      <c r="D582">
        <f>Prices!D582</f>
        <v/>
      </c>
      <c r="E582">
        <f>Prices!E582</f>
        <v/>
      </c>
      <c r="F582">
        <f>Prices!F582</f>
        <v/>
      </c>
      <c r="G582">
        <f>IF(AND(580&gt;=16,TEXT(A582,"yyyy-mm")&lt;&gt;TEXT(A583,"yyyy-mm")),1,0)</f>
        <v/>
      </c>
      <c r="H582">
        <f>IF(OR(H581=1,G582=1),1,0)</f>
        <v/>
      </c>
      <c r="I582">
        <f>IF(H581=0,1,SUMPRODUCT(J581:N581,B582:F582)+O581*(1+0.00023125256064071564))</f>
        <v/>
      </c>
      <c r="J582">
        <f>IF(G582=1,0.2*R582/B582,J581)</f>
        <v/>
      </c>
      <c r="K582">
        <f>IF(G582=1,0.2*R582/C582,K581)</f>
        <v/>
      </c>
      <c r="L582">
        <f>IF(G582=1,0.2*R582/D582,L581)</f>
        <v/>
      </c>
      <c r="M582">
        <f>IF(G582=1,0.2*R582/E582,M581)</f>
        <v/>
      </c>
      <c r="N582">
        <f>IF(G582=1,0.2*R582/F582,N581)</f>
        <v/>
      </c>
      <c r="O582">
        <f>IF(G582=1,R582*(1-1.0),IF(H581=0,1,O581*(1+0.00023125256064071564)))</f>
        <v/>
      </c>
      <c r="P582">
        <f>IF(G582=1,IF(H581=0,1,ABS(0.2-J581*B582/I582)+ABS(0.2-K581*C582/I582)+ABS(0.2-L581*D582/I582)+ABS(0.2-M581*E582/I582)+ABS(0.2-N581*F582/I582)),0)</f>
        <v/>
      </c>
      <c r="Q582">
        <f>P582*0.0015</f>
        <v/>
      </c>
      <c r="R582">
        <f>I582*(1-Q582)</f>
        <v/>
      </c>
      <c r="S582">
        <f>R582/R581-1</f>
        <v/>
      </c>
      <c r="T582">
        <f>MAX(T581,R582)</f>
        <v/>
      </c>
      <c r="U582">
        <f>R582/T582-1</f>
        <v/>
      </c>
      <c r="V582" t="n">
        <v>2.408133879545019</v>
      </c>
      <c r="W582" s="5">
        <f>R582-V582</f>
        <v/>
      </c>
    </row>
    <row r="583">
      <c r="A583" s="3" t="n">
        <v>39290</v>
      </c>
      <c r="B583">
        <f>Prices!B583</f>
        <v/>
      </c>
      <c r="C583">
        <f>Prices!C583</f>
        <v/>
      </c>
      <c r="D583">
        <f>Prices!D583</f>
        <v/>
      </c>
      <c r="E583">
        <f>Prices!E583</f>
        <v/>
      </c>
      <c r="F583">
        <f>Prices!F583</f>
        <v/>
      </c>
      <c r="G583">
        <f>IF(AND(581&gt;=16,TEXT(A583,"yyyy-mm")&lt;&gt;TEXT(A584,"yyyy-mm")),1,0)</f>
        <v/>
      </c>
      <c r="H583">
        <f>IF(OR(H582=1,G583=1),1,0)</f>
        <v/>
      </c>
      <c r="I583">
        <f>IF(H582=0,1,SUMPRODUCT(J582:N582,B583:F583)+O582*(1+0.00023125256064071564))</f>
        <v/>
      </c>
      <c r="J583">
        <f>IF(G583=1,0.2*R583/B583,J582)</f>
        <v/>
      </c>
      <c r="K583">
        <f>IF(G583=1,0.2*R583/C583,K582)</f>
        <v/>
      </c>
      <c r="L583">
        <f>IF(G583=1,0.2*R583/D583,L582)</f>
        <v/>
      </c>
      <c r="M583">
        <f>IF(G583=1,0.2*R583/E583,M582)</f>
        <v/>
      </c>
      <c r="N583">
        <f>IF(G583=1,0.2*R583/F583,N582)</f>
        <v/>
      </c>
      <c r="O583">
        <f>IF(G583=1,R583*(1-1.0),IF(H582=0,1,O582*(1+0.00023125256064071564)))</f>
        <v/>
      </c>
      <c r="P583">
        <f>IF(G583=1,IF(H582=0,1,ABS(0.2-J582*B583/I583)+ABS(0.2-K582*C583/I583)+ABS(0.2-L582*D583/I583)+ABS(0.2-M582*E583/I583)+ABS(0.2-N582*F583/I583)),0)</f>
        <v/>
      </c>
      <c r="Q583">
        <f>P583*0.0015</f>
        <v/>
      </c>
      <c r="R583">
        <f>I583*(1-Q583)</f>
        <v/>
      </c>
      <c r="S583">
        <f>R583/R582-1</f>
        <v/>
      </c>
      <c r="T583">
        <f>MAX(T582,R583)</f>
        <v/>
      </c>
      <c r="U583">
        <f>R583/T583-1</f>
        <v/>
      </c>
      <c r="V583" t="n">
        <v>2.333177663465962</v>
      </c>
      <c r="W583" s="5">
        <f>R583-V583</f>
        <v/>
      </c>
    </row>
    <row r="584">
      <c r="A584" s="3" t="n">
        <v>39293</v>
      </c>
      <c r="B584">
        <f>Prices!B584</f>
        <v/>
      </c>
      <c r="C584">
        <f>Prices!C584</f>
        <v/>
      </c>
      <c r="D584">
        <f>Prices!D584</f>
        <v/>
      </c>
      <c r="E584">
        <f>Prices!E584</f>
        <v/>
      </c>
      <c r="F584">
        <f>Prices!F584</f>
        <v/>
      </c>
      <c r="G584">
        <f>IF(AND(582&gt;=16,TEXT(A584,"yyyy-mm")&lt;&gt;TEXT(A585,"yyyy-mm")),1,0)</f>
        <v/>
      </c>
      <c r="H584">
        <f>IF(OR(H583=1,G584=1),1,0)</f>
        <v/>
      </c>
      <c r="I584">
        <f>IF(H583=0,1,SUMPRODUCT(J583:N583,B584:F584)+O583*(1+0.00023125256064071564))</f>
        <v/>
      </c>
      <c r="J584">
        <f>IF(G584=1,0.2*R584/B584,J583)</f>
        <v/>
      </c>
      <c r="K584">
        <f>IF(G584=1,0.2*R584/C584,K583)</f>
        <v/>
      </c>
      <c r="L584">
        <f>IF(G584=1,0.2*R584/D584,L583)</f>
        <v/>
      </c>
      <c r="M584">
        <f>IF(G584=1,0.2*R584/E584,M583)</f>
        <v/>
      </c>
      <c r="N584">
        <f>IF(G584=1,0.2*R584/F584,N583)</f>
        <v/>
      </c>
      <c r="O584">
        <f>IF(G584=1,R584*(1-1.0),IF(H583=0,1,O583*(1+0.00023125256064071564)))</f>
        <v/>
      </c>
      <c r="P584">
        <f>IF(G584=1,IF(H583=0,1,ABS(0.2-J583*B584/I584)+ABS(0.2-K583*C584/I584)+ABS(0.2-L583*D584/I584)+ABS(0.2-M583*E584/I584)+ABS(0.2-N583*F584/I584)),0)</f>
        <v/>
      </c>
      <c r="Q584">
        <f>P584*0.0015</f>
        <v/>
      </c>
      <c r="R584">
        <f>I584*(1-Q584)</f>
        <v/>
      </c>
      <c r="S584">
        <f>R584/R583-1</f>
        <v/>
      </c>
      <c r="T584">
        <f>MAX(T583,R584)</f>
        <v/>
      </c>
      <c r="U584">
        <f>R584/T584-1</f>
        <v/>
      </c>
      <c r="V584" t="n">
        <v>2.335564189783147</v>
      </c>
      <c r="W584" s="5">
        <f>R584-V584</f>
        <v/>
      </c>
    </row>
    <row r="585">
      <c r="A585" s="3" t="n">
        <v>39294</v>
      </c>
      <c r="B585">
        <f>Prices!B585</f>
        <v/>
      </c>
      <c r="C585">
        <f>Prices!C585</f>
        <v/>
      </c>
      <c r="D585">
        <f>Prices!D585</f>
        <v/>
      </c>
      <c r="E585">
        <f>Prices!E585</f>
        <v/>
      </c>
      <c r="F585">
        <f>Prices!F585</f>
        <v/>
      </c>
      <c r="G585">
        <f>IF(AND(583&gt;=16,TEXT(A585,"yyyy-mm")&lt;&gt;TEXT(A586,"yyyy-mm")),1,0)</f>
        <v/>
      </c>
      <c r="H585">
        <f>IF(OR(H584=1,G585=1),1,0)</f>
        <v/>
      </c>
      <c r="I585">
        <f>IF(H584=0,1,SUMPRODUCT(J584:N584,B585:F585)+O584*(1+0.00023125256064071564))</f>
        <v/>
      </c>
      <c r="J585">
        <f>IF(G585=1,0.2*R585/B585,J584)</f>
        <v/>
      </c>
      <c r="K585">
        <f>IF(G585=1,0.2*R585/C585,K584)</f>
        <v/>
      </c>
      <c r="L585">
        <f>IF(G585=1,0.2*R585/D585,L584)</f>
        <v/>
      </c>
      <c r="M585">
        <f>IF(G585=1,0.2*R585/E585,M584)</f>
        <v/>
      </c>
      <c r="N585">
        <f>IF(G585=1,0.2*R585/F585,N584)</f>
        <v/>
      </c>
      <c r="O585">
        <f>IF(G585=1,R585*(1-1.0),IF(H584=0,1,O584*(1+0.00023125256064071564)))</f>
        <v/>
      </c>
      <c r="P585">
        <f>IF(G585=1,IF(H584=0,1,ABS(0.2-J584*B585/I585)+ABS(0.2-K584*C585/I585)+ABS(0.2-L584*D585/I585)+ABS(0.2-M584*E585/I585)+ABS(0.2-N584*F585/I585)),0)</f>
        <v/>
      </c>
      <c r="Q585">
        <f>P585*0.0015</f>
        <v/>
      </c>
      <c r="R585">
        <f>I585*(1-Q585)</f>
        <v/>
      </c>
      <c r="S585">
        <f>R585/R584-1</f>
        <v/>
      </c>
      <c r="T585">
        <f>MAX(T584,R585)</f>
        <v/>
      </c>
      <c r="U585">
        <f>R585/T585-1</f>
        <v/>
      </c>
      <c r="V585" t="n">
        <v>2.377207511345603</v>
      </c>
      <c r="W585" s="5">
        <f>R585-V585</f>
        <v/>
      </c>
    </row>
    <row r="586">
      <c r="A586" s="3" t="n">
        <v>39295</v>
      </c>
      <c r="B586">
        <f>Prices!B586</f>
        <v/>
      </c>
      <c r="C586">
        <f>Prices!C586</f>
        <v/>
      </c>
      <c r="D586">
        <f>Prices!D586</f>
        <v/>
      </c>
      <c r="E586">
        <f>Prices!E586</f>
        <v/>
      </c>
      <c r="F586">
        <f>Prices!F586</f>
        <v/>
      </c>
      <c r="G586">
        <f>IF(AND(584&gt;=16,TEXT(A586,"yyyy-mm")&lt;&gt;TEXT(A587,"yyyy-mm")),1,0)</f>
        <v/>
      </c>
      <c r="H586">
        <f>IF(OR(H585=1,G586=1),1,0)</f>
        <v/>
      </c>
      <c r="I586">
        <f>IF(H585=0,1,SUMPRODUCT(J585:N585,B586:F586)+O585*(1+0.00023125256064071564))</f>
        <v/>
      </c>
      <c r="J586">
        <f>IF(G586=1,0.2*R586/B586,J585)</f>
        <v/>
      </c>
      <c r="K586">
        <f>IF(G586=1,0.2*R586/C586,K585)</f>
        <v/>
      </c>
      <c r="L586">
        <f>IF(G586=1,0.2*R586/D586,L585)</f>
        <v/>
      </c>
      <c r="M586">
        <f>IF(G586=1,0.2*R586/E586,M585)</f>
        <v/>
      </c>
      <c r="N586">
        <f>IF(G586=1,0.2*R586/F586,N585)</f>
        <v/>
      </c>
      <c r="O586">
        <f>IF(G586=1,R586*(1-1.0),IF(H585=0,1,O585*(1+0.00023125256064071564)))</f>
        <v/>
      </c>
      <c r="P586">
        <f>IF(G586=1,IF(H585=0,1,ABS(0.2-J585*B586/I586)+ABS(0.2-K585*C586/I586)+ABS(0.2-L585*D586/I586)+ABS(0.2-M585*E586/I586)+ABS(0.2-N585*F586/I586)),0)</f>
        <v/>
      </c>
      <c r="Q586">
        <f>P586*0.0015</f>
        <v/>
      </c>
      <c r="R586">
        <f>I586*(1-Q586)</f>
        <v/>
      </c>
      <c r="S586">
        <f>R586/R585-1</f>
        <v/>
      </c>
      <c r="T586">
        <f>MAX(T585,R586)</f>
        <v/>
      </c>
      <c r="U586">
        <f>R586/T586-1</f>
        <v/>
      </c>
      <c r="V586" t="n">
        <v>2.275362654813515</v>
      </c>
      <c r="W586" s="5">
        <f>R586-V586</f>
        <v/>
      </c>
    </row>
    <row r="587">
      <c r="A587" s="3" t="n">
        <v>39296</v>
      </c>
      <c r="B587">
        <f>Prices!B587</f>
        <v/>
      </c>
      <c r="C587">
        <f>Prices!C587</f>
        <v/>
      </c>
      <c r="D587">
        <f>Prices!D587</f>
        <v/>
      </c>
      <c r="E587">
        <f>Prices!E587</f>
        <v/>
      </c>
      <c r="F587">
        <f>Prices!F587</f>
        <v/>
      </c>
      <c r="G587">
        <f>IF(AND(585&gt;=16,TEXT(A587,"yyyy-mm")&lt;&gt;TEXT(A588,"yyyy-mm")),1,0)</f>
        <v/>
      </c>
      <c r="H587">
        <f>IF(OR(H586=1,G587=1),1,0)</f>
        <v/>
      </c>
      <c r="I587">
        <f>IF(H586=0,1,SUMPRODUCT(J586:N586,B587:F587)+O586*(1+0.00023125256064071564))</f>
        <v/>
      </c>
      <c r="J587">
        <f>IF(G587=1,0.2*R587/B587,J586)</f>
        <v/>
      </c>
      <c r="K587">
        <f>IF(G587=1,0.2*R587/C587,K586)</f>
        <v/>
      </c>
      <c r="L587">
        <f>IF(G587=1,0.2*R587/D587,L586)</f>
        <v/>
      </c>
      <c r="M587">
        <f>IF(G587=1,0.2*R587/E587,M586)</f>
        <v/>
      </c>
      <c r="N587">
        <f>IF(G587=1,0.2*R587/F587,N586)</f>
        <v/>
      </c>
      <c r="O587">
        <f>IF(G587=1,R587*(1-1.0),IF(H586=0,1,O586*(1+0.00023125256064071564)))</f>
        <v/>
      </c>
      <c r="P587">
        <f>IF(G587=1,IF(H586=0,1,ABS(0.2-J586*B587/I587)+ABS(0.2-K586*C587/I587)+ABS(0.2-L586*D587/I587)+ABS(0.2-M586*E587/I587)+ABS(0.2-N586*F587/I587)),0)</f>
        <v/>
      </c>
      <c r="Q587">
        <f>P587*0.0015</f>
        <v/>
      </c>
      <c r="R587">
        <f>I587*(1-Q587)</f>
        <v/>
      </c>
      <c r="S587">
        <f>R587/R586-1</f>
        <v/>
      </c>
      <c r="T587">
        <f>MAX(T586,R587)</f>
        <v/>
      </c>
      <c r="U587">
        <f>R587/T587-1</f>
        <v/>
      </c>
      <c r="V587" t="n">
        <v>2.292611358998064</v>
      </c>
      <c r="W587" s="5">
        <f>R587-V587</f>
        <v/>
      </c>
    </row>
    <row r="588">
      <c r="A588" s="3" t="n">
        <v>39297</v>
      </c>
      <c r="B588">
        <f>Prices!B588</f>
        <v/>
      </c>
      <c r="C588">
        <f>Prices!C588</f>
        <v/>
      </c>
      <c r="D588">
        <f>Prices!D588</f>
        <v/>
      </c>
      <c r="E588">
        <f>Prices!E588</f>
        <v/>
      </c>
      <c r="F588">
        <f>Prices!F588</f>
        <v/>
      </c>
      <c r="G588">
        <f>IF(AND(586&gt;=16,TEXT(A588,"yyyy-mm")&lt;&gt;TEXT(A589,"yyyy-mm")),1,0)</f>
        <v/>
      </c>
      <c r="H588">
        <f>IF(OR(H587=1,G588=1),1,0)</f>
        <v/>
      </c>
      <c r="I588">
        <f>IF(H587=0,1,SUMPRODUCT(J587:N587,B588:F588)+O587*(1+0.00023125256064071564))</f>
        <v/>
      </c>
      <c r="J588">
        <f>IF(G588=1,0.2*R588/B588,J587)</f>
        <v/>
      </c>
      <c r="K588">
        <f>IF(G588=1,0.2*R588/C588,K587)</f>
        <v/>
      </c>
      <c r="L588">
        <f>IF(G588=1,0.2*R588/D588,L587)</f>
        <v/>
      </c>
      <c r="M588">
        <f>IF(G588=1,0.2*R588/E588,M587)</f>
        <v/>
      </c>
      <c r="N588">
        <f>IF(G588=1,0.2*R588/F588,N587)</f>
        <v/>
      </c>
      <c r="O588">
        <f>IF(G588=1,R588*(1-1.0),IF(H587=0,1,O587*(1+0.00023125256064071564)))</f>
        <v/>
      </c>
      <c r="P588">
        <f>IF(G588=1,IF(H587=0,1,ABS(0.2-J587*B588/I588)+ABS(0.2-K587*C588/I588)+ABS(0.2-L587*D588/I588)+ABS(0.2-M587*E588/I588)+ABS(0.2-N587*F588/I588)),0)</f>
        <v/>
      </c>
      <c r="Q588">
        <f>P588*0.0015</f>
        <v/>
      </c>
      <c r="R588">
        <f>I588*(1-Q588)</f>
        <v/>
      </c>
      <c r="S588">
        <f>R588/R587-1</f>
        <v/>
      </c>
      <c r="T588">
        <f>MAX(T587,R588)</f>
        <v/>
      </c>
      <c r="U588">
        <f>R588/T588-1</f>
        <v/>
      </c>
      <c r="V588" t="n">
        <v>2.326540613006561</v>
      </c>
      <c r="W588" s="5">
        <f>R588-V588</f>
        <v/>
      </c>
    </row>
    <row r="589">
      <c r="A589" s="3" t="n">
        <v>39300</v>
      </c>
      <c r="B589">
        <f>Prices!B589</f>
        <v/>
      </c>
      <c r="C589">
        <f>Prices!C589</f>
        <v/>
      </c>
      <c r="D589">
        <f>Prices!D589</f>
        <v/>
      </c>
      <c r="E589">
        <f>Prices!E589</f>
        <v/>
      </c>
      <c r="F589">
        <f>Prices!F589</f>
        <v/>
      </c>
      <c r="G589">
        <f>IF(AND(587&gt;=16,TEXT(A589,"yyyy-mm")&lt;&gt;TEXT(A590,"yyyy-mm")),1,0)</f>
        <v/>
      </c>
      <c r="H589">
        <f>IF(OR(H588=1,G589=1),1,0)</f>
        <v/>
      </c>
      <c r="I589">
        <f>IF(H588=0,1,SUMPRODUCT(J588:N588,B589:F589)+O588*(1+0.00023125256064071564))</f>
        <v/>
      </c>
      <c r="J589">
        <f>IF(G589=1,0.2*R589/B589,J588)</f>
        <v/>
      </c>
      <c r="K589">
        <f>IF(G589=1,0.2*R589/C589,K588)</f>
        <v/>
      </c>
      <c r="L589">
        <f>IF(G589=1,0.2*R589/D589,L588)</f>
        <v/>
      </c>
      <c r="M589">
        <f>IF(G589=1,0.2*R589/E589,M588)</f>
        <v/>
      </c>
      <c r="N589">
        <f>IF(G589=1,0.2*R589/F589,N588)</f>
        <v/>
      </c>
      <c r="O589">
        <f>IF(G589=1,R589*(1-1.0),IF(H588=0,1,O588*(1+0.00023125256064071564)))</f>
        <v/>
      </c>
      <c r="P589">
        <f>IF(G589=1,IF(H588=0,1,ABS(0.2-J588*B589/I589)+ABS(0.2-K588*C589/I589)+ABS(0.2-L588*D589/I589)+ABS(0.2-M588*E589/I589)+ABS(0.2-N588*F589/I589)),0)</f>
        <v/>
      </c>
      <c r="Q589">
        <f>P589*0.0015</f>
        <v/>
      </c>
      <c r="R589">
        <f>I589*(1-Q589)</f>
        <v/>
      </c>
      <c r="S589">
        <f>R589/R588-1</f>
        <v/>
      </c>
      <c r="T589">
        <f>MAX(T588,R589)</f>
        <v/>
      </c>
      <c r="U589">
        <f>R589/T589-1</f>
        <v/>
      </c>
      <c r="V589" t="n">
        <v>2.301377110995592</v>
      </c>
      <c r="W589" s="5">
        <f>R589-V589</f>
        <v/>
      </c>
    </row>
    <row r="590">
      <c r="A590" s="3" t="n">
        <v>39301</v>
      </c>
      <c r="B590">
        <f>Prices!B590</f>
        <v/>
      </c>
      <c r="C590">
        <f>Prices!C590</f>
        <v/>
      </c>
      <c r="D590">
        <f>Prices!D590</f>
        <v/>
      </c>
      <c r="E590">
        <f>Prices!E590</f>
        <v/>
      </c>
      <c r="F590">
        <f>Prices!F590</f>
        <v/>
      </c>
      <c r="G590">
        <f>IF(AND(588&gt;=16,TEXT(A590,"yyyy-mm")&lt;&gt;TEXT(A591,"yyyy-mm")),1,0)</f>
        <v/>
      </c>
      <c r="H590">
        <f>IF(OR(H589=1,G590=1),1,0)</f>
        <v/>
      </c>
      <c r="I590">
        <f>IF(H589=0,1,SUMPRODUCT(J589:N589,B590:F590)+O589*(1+0.00023125256064071564))</f>
        <v/>
      </c>
      <c r="J590">
        <f>IF(G590=1,0.2*R590/B590,J589)</f>
        <v/>
      </c>
      <c r="K590">
        <f>IF(G590=1,0.2*R590/C590,K589)</f>
        <v/>
      </c>
      <c r="L590">
        <f>IF(G590=1,0.2*R590/D590,L589)</f>
        <v/>
      </c>
      <c r="M590">
        <f>IF(G590=1,0.2*R590/E590,M589)</f>
        <v/>
      </c>
      <c r="N590">
        <f>IF(G590=1,0.2*R590/F590,N589)</f>
        <v/>
      </c>
      <c r="O590">
        <f>IF(G590=1,R590*(1-1.0),IF(H589=0,1,O589*(1+0.00023125256064071564)))</f>
        <v/>
      </c>
      <c r="P590">
        <f>IF(G590=1,IF(H589=0,1,ABS(0.2-J589*B590/I590)+ABS(0.2-K589*C590/I590)+ABS(0.2-L589*D590/I590)+ABS(0.2-M589*E590/I590)+ABS(0.2-N589*F590/I590)),0)</f>
        <v/>
      </c>
      <c r="Q590">
        <f>P590*0.0015</f>
        <v/>
      </c>
      <c r="R590">
        <f>I590*(1-Q590)</f>
        <v/>
      </c>
      <c r="S590">
        <f>R590/R589-1</f>
        <v/>
      </c>
      <c r="T590">
        <f>MAX(T589,R590)</f>
        <v/>
      </c>
      <c r="U590">
        <f>R590/T590-1</f>
        <v/>
      </c>
      <c r="V590" t="n">
        <v>2.315293138893073</v>
      </c>
      <c r="W590" s="5">
        <f>R590-V590</f>
        <v/>
      </c>
    </row>
    <row r="591">
      <c r="A591" s="3" t="n">
        <v>39302</v>
      </c>
      <c r="B591">
        <f>Prices!B591</f>
        <v/>
      </c>
      <c r="C591">
        <f>Prices!C591</f>
        <v/>
      </c>
      <c r="D591">
        <f>Prices!D591</f>
        <v/>
      </c>
      <c r="E591">
        <f>Prices!E591</f>
        <v/>
      </c>
      <c r="F591">
        <f>Prices!F591</f>
        <v/>
      </c>
      <c r="G591">
        <f>IF(AND(589&gt;=16,TEXT(A591,"yyyy-mm")&lt;&gt;TEXT(A592,"yyyy-mm")),1,0)</f>
        <v/>
      </c>
      <c r="H591">
        <f>IF(OR(H590=1,G591=1),1,0)</f>
        <v/>
      </c>
      <c r="I591">
        <f>IF(H590=0,1,SUMPRODUCT(J590:N590,B591:F591)+O590*(1+0.00023125256064071564))</f>
        <v/>
      </c>
      <c r="J591">
        <f>IF(G591=1,0.2*R591/B591,J590)</f>
        <v/>
      </c>
      <c r="K591">
        <f>IF(G591=1,0.2*R591/C591,K590)</f>
        <v/>
      </c>
      <c r="L591">
        <f>IF(G591=1,0.2*R591/D591,L590)</f>
        <v/>
      </c>
      <c r="M591">
        <f>IF(G591=1,0.2*R591/E591,M590)</f>
        <v/>
      </c>
      <c r="N591">
        <f>IF(G591=1,0.2*R591/F591,N590)</f>
        <v/>
      </c>
      <c r="O591">
        <f>IF(G591=1,R591*(1-1.0),IF(H590=0,1,O590*(1+0.00023125256064071564)))</f>
        <v/>
      </c>
      <c r="P591">
        <f>IF(G591=1,IF(H590=0,1,ABS(0.2-J590*B591/I591)+ABS(0.2-K590*C591/I591)+ABS(0.2-L590*D591/I591)+ABS(0.2-M590*E591/I591)+ABS(0.2-N590*F591/I591)),0)</f>
        <v/>
      </c>
      <c r="Q591">
        <f>P591*0.0015</f>
        <v/>
      </c>
      <c r="R591">
        <f>I591*(1-Q591)</f>
        <v/>
      </c>
      <c r="S591">
        <f>R591/R590-1</f>
        <v/>
      </c>
      <c r="T591">
        <f>MAX(T590,R591)</f>
        <v/>
      </c>
      <c r="U591">
        <f>R591/T591-1</f>
        <v/>
      </c>
      <c r="V591" t="n">
        <v>2.356050710351267</v>
      </c>
      <c r="W591" s="5">
        <f>R591-V591</f>
        <v/>
      </c>
    </row>
    <row r="592">
      <c r="A592" s="3" t="n">
        <v>39303</v>
      </c>
      <c r="B592">
        <f>Prices!B592</f>
        <v/>
      </c>
      <c r="C592">
        <f>Prices!C592</f>
        <v/>
      </c>
      <c r="D592">
        <f>Prices!D592</f>
        <v/>
      </c>
      <c r="E592">
        <f>Prices!E592</f>
        <v/>
      </c>
      <c r="F592">
        <f>Prices!F592</f>
        <v/>
      </c>
      <c r="G592">
        <f>IF(AND(590&gt;=16,TEXT(A592,"yyyy-mm")&lt;&gt;TEXT(A593,"yyyy-mm")),1,0)</f>
        <v/>
      </c>
      <c r="H592">
        <f>IF(OR(H591=1,G592=1),1,0)</f>
        <v/>
      </c>
      <c r="I592">
        <f>IF(H591=0,1,SUMPRODUCT(J591:N591,B592:F592)+O591*(1+0.00023125256064071564))</f>
        <v/>
      </c>
      <c r="J592">
        <f>IF(G592=1,0.2*R592/B592,J591)</f>
        <v/>
      </c>
      <c r="K592">
        <f>IF(G592=1,0.2*R592/C592,K591)</f>
        <v/>
      </c>
      <c r="L592">
        <f>IF(G592=1,0.2*R592/D592,L591)</f>
        <v/>
      </c>
      <c r="M592">
        <f>IF(G592=1,0.2*R592/E592,M591)</f>
        <v/>
      </c>
      <c r="N592">
        <f>IF(G592=1,0.2*R592/F592,N591)</f>
        <v/>
      </c>
      <c r="O592">
        <f>IF(G592=1,R592*(1-1.0),IF(H591=0,1,O591*(1+0.00023125256064071564)))</f>
        <v/>
      </c>
      <c r="P592">
        <f>IF(G592=1,IF(H591=0,1,ABS(0.2-J591*B592/I592)+ABS(0.2-K591*C592/I592)+ABS(0.2-L591*D592/I592)+ABS(0.2-M591*E592/I592)+ABS(0.2-N591*F592/I592)),0)</f>
        <v/>
      </c>
      <c r="Q592">
        <f>P592*0.0015</f>
        <v/>
      </c>
      <c r="R592">
        <f>I592*(1-Q592)</f>
        <v/>
      </c>
      <c r="S592">
        <f>R592/R591-1</f>
        <v/>
      </c>
      <c r="T592">
        <f>MAX(T591,R592)</f>
        <v/>
      </c>
      <c r="U592">
        <f>R592/T592-1</f>
        <v/>
      </c>
      <c r="V592" t="n">
        <v>2.321249548152011</v>
      </c>
      <c r="W592" s="5">
        <f>R592-V592</f>
        <v/>
      </c>
    </row>
    <row r="593">
      <c r="A593" s="3" t="n">
        <v>39304</v>
      </c>
      <c r="B593">
        <f>Prices!B593</f>
        <v/>
      </c>
      <c r="C593">
        <f>Prices!C593</f>
        <v/>
      </c>
      <c r="D593">
        <f>Prices!D593</f>
        <v/>
      </c>
      <c r="E593">
        <f>Prices!E593</f>
        <v/>
      </c>
      <c r="F593">
        <f>Prices!F593</f>
        <v/>
      </c>
      <c r="G593">
        <f>IF(AND(591&gt;=16,TEXT(A593,"yyyy-mm")&lt;&gt;TEXT(A594,"yyyy-mm")),1,0)</f>
        <v/>
      </c>
      <c r="H593">
        <f>IF(OR(H592=1,G593=1),1,0)</f>
        <v/>
      </c>
      <c r="I593">
        <f>IF(H592=0,1,SUMPRODUCT(J592:N592,B593:F593)+O592*(1+0.00023125256064071564))</f>
        <v/>
      </c>
      <c r="J593">
        <f>IF(G593=1,0.2*R593/B593,J592)</f>
        <v/>
      </c>
      <c r="K593">
        <f>IF(G593=1,0.2*R593/C593,K592)</f>
        <v/>
      </c>
      <c r="L593">
        <f>IF(G593=1,0.2*R593/D593,L592)</f>
        <v/>
      </c>
      <c r="M593">
        <f>IF(G593=1,0.2*R593/E593,M592)</f>
        <v/>
      </c>
      <c r="N593">
        <f>IF(G593=1,0.2*R593/F593,N592)</f>
        <v/>
      </c>
      <c r="O593">
        <f>IF(G593=1,R593*(1-1.0),IF(H592=0,1,O592*(1+0.00023125256064071564)))</f>
        <v/>
      </c>
      <c r="P593">
        <f>IF(G593=1,IF(H592=0,1,ABS(0.2-J592*B593/I593)+ABS(0.2-K592*C593/I593)+ABS(0.2-L592*D593/I593)+ABS(0.2-M592*E593/I593)+ABS(0.2-N592*F593/I593)),0)</f>
        <v/>
      </c>
      <c r="Q593">
        <f>P593*0.0015</f>
        <v/>
      </c>
      <c r="R593">
        <f>I593*(1-Q593)</f>
        <v/>
      </c>
      <c r="S593">
        <f>R593/R592-1</f>
        <v/>
      </c>
      <c r="T593">
        <f>MAX(T592,R593)</f>
        <v/>
      </c>
      <c r="U593">
        <f>R593/T593-1</f>
        <v/>
      </c>
      <c r="V593" t="n">
        <v>2.296997780415771</v>
      </c>
      <c r="W593" s="5">
        <f>R593-V593</f>
        <v/>
      </c>
    </row>
    <row r="594">
      <c r="A594" s="3" t="n">
        <v>39307</v>
      </c>
      <c r="B594">
        <f>Prices!B594</f>
        <v/>
      </c>
      <c r="C594">
        <f>Prices!C594</f>
        <v/>
      </c>
      <c r="D594">
        <f>Prices!D594</f>
        <v/>
      </c>
      <c r="E594">
        <f>Prices!E594</f>
        <v/>
      </c>
      <c r="F594">
        <f>Prices!F594</f>
        <v/>
      </c>
      <c r="G594">
        <f>IF(AND(592&gt;=16,TEXT(A594,"yyyy-mm")&lt;&gt;TEXT(A595,"yyyy-mm")),1,0)</f>
        <v/>
      </c>
      <c r="H594">
        <f>IF(OR(H593=1,G594=1),1,0)</f>
        <v/>
      </c>
      <c r="I594">
        <f>IF(H593=0,1,SUMPRODUCT(J593:N593,B594:F594)+O593*(1+0.00023125256064071564))</f>
        <v/>
      </c>
      <c r="J594">
        <f>IF(G594=1,0.2*R594/B594,J593)</f>
        <v/>
      </c>
      <c r="K594">
        <f>IF(G594=1,0.2*R594/C594,K593)</f>
        <v/>
      </c>
      <c r="L594">
        <f>IF(G594=1,0.2*R594/D594,L593)</f>
        <v/>
      </c>
      <c r="M594">
        <f>IF(G594=1,0.2*R594/E594,M593)</f>
        <v/>
      </c>
      <c r="N594">
        <f>IF(G594=1,0.2*R594/F594,N593)</f>
        <v/>
      </c>
      <c r="O594">
        <f>IF(G594=1,R594*(1-1.0),IF(H593=0,1,O593*(1+0.00023125256064071564)))</f>
        <v/>
      </c>
      <c r="P594">
        <f>IF(G594=1,IF(H593=0,1,ABS(0.2-J593*B594/I594)+ABS(0.2-K593*C594/I594)+ABS(0.2-L593*D594/I594)+ABS(0.2-M593*E594/I594)+ABS(0.2-N593*F594/I594)),0)</f>
        <v/>
      </c>
      <c r="Q594">
        <f>P594*0.0015</f>
        <v/>
      </c>
      <c r="R594">
        <f>I594*(1-Q594)</f>
        <v/>
      </c>
      <c r="S594">
        <f>R594/R593-1</f>
        <v/>
      </c>
      <c r="T594">
        <f>MAX(T593,R594)</f>
        <v/>
      </c>
      <c r="U594">
        <f>R594/T594-1</f>
        <v/>
      </c>
      <c r="V594" t="n">
        <v>2.314680527301149</v>
      </c>
      <c r="W594" s="5">
        <f>R594-V594</f>
        <v/>
      </c>
    </row>
    <row r="595">
      <c r="A595" s="3" t="n">
        <v>39308</v>
      </c>
      <c r="B595">
        <f>Prices!B595</f>
        <v/>
      </c>
      <c r="C595">
        <f>Prices!C595</f>
        <v/>
      </c>
      <c r="D595">
        <f>Prices!D595</f>
        <v/>
      </c>
      <c r="E595">
        <f>Prices!E595</f>
        <v/>
      </c>
      <c r="F595">
        <f>Prices!F595</f>
        <v/>
      </c>
      <c r="G595">
        <f>IF(AND(593&gt;=16,TEXT(A595,"yyyy-mm")&lt;&gt;TEXT(A596,"yyyy-mm")),1,0)</f>
        <v/>
      </c>
      <c r="H595">
        <f>IF(OR(H594=1,G595=1),1,0)</f>
        <v/>
      </c>
      <c r="I595">
        <f>IF(H594=0,1,SUMPRODUCT(J594:N594,B595:F595)+O594*(1+0.00023125256064071564))</f>
        <v/>
      </c>
      <c r="J595">
        <f>IF(G595=1,0.2*R595/B595,J594)</f>
        <v/>
      </c>
      <c r="K595">
        <f>IF(G595=1,0.2*R595/C595,K594)</f>
        <v/>
      </c>
      <c r="L595">
        <f>IF(G595=1,0.2*R595/D595,L594)</f>
        <v/>
      </c>
      <c r="M595">
        <f>IF(G595=1,0.2*R595/E595,M594)</f>
        <v/>
      </c>
      <c r="N595">
        <f>IF(G595=1,0.2*R595/F595,N594)</f>
        <v/>
      </c>
      <c r="O595">
        <f>IF(G595=1,R595*(1-1.0),IF(H594=0,1,O594*(1+0.00023125256064071564)))</f>
        <v/>
      </c>
      <c r="P595">
        <f>IF(G595=1,IF(H594=0,1,ABS(0.2-J594*B595/I595)+ABS(0.2-K594*C595/I595)+ABS(0.2-L594*D595/I595)+ABS(0.2-M594*E595/I595)+ABS(0.2-N594*F595/I595)),0)</f>
        <v/>
      </c>
      <c r="Q595">
        <f>P595*0.0015</f>
        <v/>
      </c>
      <c r="R595">
        <f>I595*(1-Q595)</f>
        <v/>
      </c>
      <c r="S595">
        <f>R595/R594-1</f>
        <v/>
      </c>
      <c r="T595">
        <f>MAX(T594,R595)</f>
        <v/>
      </c>
      <c r="U595">
        <f>R595/T595-1</f>
        <v/>
      </c>
      <c r="V595" t="n">
        <v>2.313281049041391</v>
      </c>
      <c r="W595" s="5">
        <f>R595-V595</f>
        <v/>
      </c>
    </row>
    <row r="596">
      <c r="A596" s="3" t="n">
        <v>39310</v>
      </c>
      <c r="B596">
        <f>Prices!B596</f>
        <v/>
      </c>
      <c r="C596">
        <f>Prices!C596</f>
        <v/>
      </c>
      <c r="D596">
        <f>Prices!D596</f>
        <v/>
      </c>
      <c r="E596">
        <f>Prices!E596</f>
        <v/>
      </c>
      <c r="F596">
        <f>Prices!F596</f>
        <v/>
      </c>
      <c r="G596">
        <f>IF(AND(594&gt;=16,TEXT(A596,"yyyy-mm")&lt;&gt;TEXT(A597,"yyyy-mm")),1,0)</f>
        <v/>
      </c>
      <c r="H596">
        <f>IF(OR(H595=1,G596=1),1,0)</f>
        <v/>
      </c>
      <c r="I596">
        <f>IF(H595=0,1,SUMPRODUCT(J595:N595,B596:F596)+O595*(1+0.00023125256064071564))</f>
        <v/>
      </c>
      <c r="J596">
        <f>IF(G596=1,0.2*R596/B596,J595)</f>
        <v/>
      </c>
      <c r="K596">
        <f>IF(G596=1,0.2*R596/C596,K595)</f>
        <v/>
      </c>
      <c r="L596">
        <f>IF(G596=1,0.2*R596/D596,L595)</f>
        <v/>
      </c>
      <c r="M596">
        <f>IF(G596=1,0.2*R596/E596,M595)</f>
        <v/>
      </c>
      <c r="N596">
        <f>IF(G596=1,0.2*R596/F596,N595)</f>
        <v/>
      </c>
      <c r="O596">
        <f>IF(G596=1,R596*(1-1.0),IF(H595=0,1,O595*(1+0.00023125256064071564)))</f>
        <v/>
      </c>
      <c r="P596">
        <f>IF(G596=1,IF(H595=0,1,ABS(0.2-J595*B596/I596)+ABS(0.2-K595*C596/I596)+ABS(0.2-L595*D596/I596)+ABS(0.2-M595*E596/I596)+ABS(0.2-N595*F596/I596)),0)</f>
        <v/>
      </c>
      <c r="Q596">
        <f>P596*0.0015</f>
        <v/>
      </c>
      <c r="R596">
        <f>I596*(1-Q596)</f>
        <v/>
      </c>
      <c r="S596">
        <f>R596/R595-1</f>
        <v/>
      </c>
      <c r="T596">
        <f>MAX(T595,R596)</f>
        <v/>
      </c>
      <c r="U596">
        <f>R596/T596-1</f>
        <v/>
      </c>
      <c r="V596" t="n">
        <v>2.226956968215457</v>
      </c>
      <c r="W596" s="5">
        <f>R596-V596</f>
        <v/>
      </c>
    </row>
    <row r="597">
      <c r="A597" s="3" t="n">
        <v>39311</v>
      </c>
      <c r="B597">
        <f>Prices!B597</f>
        <v/>
      </c>
      <c r="C597">
        <f>Prices!C597</f>
        <v/>
      </c>
      <c r="D597">
        <f>Prices!D597</f>
        <v/>
      </c>
      <c r="E597">
        <f>Prices!E597</f>
        <v/>
      </c>
      <c r="F597">
        <f>Prices!F597</f>
        <v/>
      </c>
      <c r="G597">
        <f>IF(AND(595&gt;=16,TEXT(A597,"yyyy-mm")&lt;&gt;TEXT(A598,"yyyy-mm")),1,0)</f>
        <v/>
      </c>
      <c r="H597">
        <f>IF(OR(H596=1,G597=1),1,0)</f>
        <v/>
      </c>
      <c r="I597">
        <f>IF(H596=0,1,SUMPRODUCT(J596:N596,B597:F597)+O596*(1+0.00023125256064071564))</f>
        <v/>
      </c>
      <c r="J597">
        <f>IF(G597=1,0.2*R597/B597,J596)</f>
        <v/>
      </c>
      <c r="K597">
        <f>IF(G597=1,0.2*R597/C597,K596)</f>
        <v/>
      </c>
      <c r="L597">
        <f>IF(G597=1,0.2*R597/D597,L596)</f>
        <v/>
      </c>
      <c r="M597">
        <f>IF(G597=1,0.2*R597/E597,M596)</f>
        <v/>
      </c>
      <c r="N597">
        <f>IF(G597=1,0.2*R597/F597,N596)</f>
        <v/>
      </c>
      <c r="O597">
        <f>IF(G597=1,R597*(1-1.0),IF(H596=0,1,O596*(1+0.00023125256064071564)))</f>
        <v/>
      </c>
      <c r="P597">
        <f>IF(G597=1,IF(H596=0,1,ABS(0.2-J596*B597/I597)+ABS(0.2-K596*C597/I597)+ABS(0.2-L596*D597/I597)+ABS(0.2-M596*E597/I597)+ABS(0.2-N596*F597/I597)),0)</f>
        <v/>
      </c>
      <c r="Q597">
        <f>P597*0.0015</f>
        <v/>
      </c>
      <c r="R597">
        <f>I597*(1-Q597)</f>
        <v/>
      </c>
      <c r="S597">
        <f>R597/R596-1</f>
        <v/>
      </c>
      <c r="T597">
        <f>MAX(T596,R597)</f>
        <v/>
      </c>
      <c r="U597">
        <f>R597/T597-1</f>
        <v/>
      </c>
      <c r="V597" t="n">
        <v>2.184896916154178</v>
      </c>
      <c r="W597" s="5">
        <f>R597-V597</f>
        <v/>
      </c>
    </row>
    <row r="598">
      <c r="A598" s="3" t="n">
        <v>39314</v>
      </c>
      <c r="B598">
        <f>Prices!B598</f>
        <v/>
      </c>
      <c r="C598">
        <f>Prices!C598</f>
        <v/>
      </c>
      <c r="D598">
        <f>Prices!D598</f>
        <v/>
      </c>
      <c r="E598">
        <f>Prices!E598</f>
        <v/>
      </c>
      <c r="F598">
        <f>Prices!F598</f>
        <v/>
      </c>
      <c r="G598">
        <f>IF(AND(596&gt;=16,TEXT(A598,"yyyy-mm")&lt;&gt;TEXT(A599,"yyyy-mm")),1,0)</f>
        <v/>
      </c>
      <c r="H598">
        <f>IF(OR(H597=1,G598=1),1,0)</f>
        <v/>
      </c>
      <c r="I598">
        <f>IF(H597=0,1,SUMPRODUCT(J597:N597,B598:F598)+O597*(1+0.00023125256064071564))</f>
        <v/>
      </c>
      <c r="J598">
        <f>IF(G598=1,0.2*R598/B598,J597)</f>
        <v/>
      </c>
      <c r="K598">
        <f>IF(G598=1,0.2*R598/C598,K597)</f>
        <v/>
      </c>
      <c r="L598">
        <f>IF(G598=1,0.2*R598/D598,L597)</f>
        <v/>
      </c>
      <c r="M598">
        <f>IF(G598=1,0.2*R598/E598,M597)</f>
        <v/>
      </c>
      <c r="N598">
        <f>IF(G598=1,0.2*R598/F598,N597)</f>
        <v/>
      </c>
      <c r="O598">
        <f>IF(G598=1,R598*(1-1.0),IF(H597=0,1,O597*(1+0.00023125256064071564)))</f>
        <v/>
      </c>
      <c r="P598">
        <f>IF(G598=1,IF(H597=0,1,ABS(0.2-J597*B598/I598)+ABS(0.2-K597*C598/I598)+ABS(0.2-L597*D598/I598)+ABS(0.2-M597*E598/I598)+ABS(0.2-N597*F598/I598)),0)</f>
        <v/>
      </c>
      <c r="Q598">
        <f>P598*0.0015</f>
        <v/>
      </c>
      <c r="R598">
        <f>I598*(1-Q598)</f>
        <v/>
      </c>
      <c r="S598">
        <f>R598/R597-1</f>
        <v/>
      </c>
      <c r="T598">
        <f>MAX(T597,R598)</f>
        <v/>
      </c>
      <c r="U598">
        <f>R598/T598-1</f>
        <v/>
      </c>
      <c r="V598" t="n">
        <v>2.228281939139817</v>
      </c>
      <c r="W598" s="5">
        <f>R598-V598</f>
        <v/>
      </c>
    </row>
    <row r="599">
      <c r="A599" s="3" t="n">
        <v>39315</v>
      </c>
      <c r="B599">
        <f>Prices!B599</f>
        <v/>
      </c>
      <c r="C599">
        <f>Prices!C599</f>
        <v/>
      </c>
      <c r="D599">
        <f>Prices!D599</f>
        <v/>
      </c>
      <c r="E599">
        <f>Prices!E599</f>
        <v/>
      </c>
      <c r="F599">
        <f>Prices!F599</f>
        <v/>
      </c>
      <c r="G599">
        <f>IF(AND(597&gt;=16,TEXT(A599,"yyyy-mm")&lt;&gt;TEXT(A600,"yyyy-mm")),1,0)</f>
        <v/>
      </c>
      <c r="H599">
        <f>IF(OR(H598=1,G599=1),1,0)</f>
        <v/>
      </c>
      <c r="I599">
        <f>IF(H598=0,1,SUMPRODUCT(J598:N598,B599:F599)+O598*(1+0.00023125256064071564))</f>
        <v/>
      </c>
      <c r="J599">
        <f>IF(G599=1,0.2*R599/B599,J598)</f>
        <v/>
      </c>
      <c r="K599">
        <f>IF(G599=1,0.2*R599/C599,K598)</f>
        <v/>
      </c>
      <c r="L599">
        <f>IF(G599=1,0.2*R599/D599,L598)</f>
        <v/>
      </c>
      <c r="M599">
        <f>IF(G599=1,0.2*R599/E599,M598)</f>
        <v/>
      </c>
      <c r="N599">
        <f>IF(G599=1,0.2*R599/F599,N598)</f>
        <v/>
      </c>
      <c r="O599">
        <f>IF(G599=1,R599*(1-1.0),IF(H598=0,1,O598*(1+0.00023125256064071564)))</f>
        <v/>
      </c>
      <c r="P599">
        <f>IF(G599=1,IF(H598=0,1,ABS(0.2-J598*B599/I599)+ABS(0.2-K598*C599/I599)+ABS(0.2-L598*D599/I599)+ABS(0.2-M598*E599/I599)+ABS(0.2-N598*F599/I599)),0)</f>
        <v/>
      </c>
      <c r="Q599">
        <f>P599*0.0015</f>
        <v/>
      </c>
      <c r="R599">
        <f>I599*(1-Q599)</f>
        <v/>
      </c>
      <c r="S599">
        <f>R599/R598-1</f>
        <v/>
      </c>
      <c r="T599">
        <f>MAX(T598,R599)</f>
        <v/>
      </c>
      <c r="U599">
        <f>R599/T599-1</f>
        <v/>
      </c>
      <c r="V599" t="n">
        <v>2.149174726007706</v>
      </c>
      <c r="W599" s="5">
        <f>R599-V599</f>
        <v/>
      </c>
    </row>
    <row r="600">
      <c r="A600" s="3" t="n">
        <v>39316</v>
      </c>
      <c r="B600">
        <f>Prices!B600</f>
        <v/>
      </c>
      <c r="C600">
        <f>Prices!C600</f>
        <v/>
      </c>
      <c r="D600">
        <f>Prices!D600</f>
        <v/>
      </c>
      <c r="E600">
        <f>Prices!E600</f>
        <v/>
      </c>
      <c r="F600">
        <f>Prices!F600</f>
        <v/>
      </c>
      <c r="G600">
        <f>IF(AND(598&gt;=16,TEXT(A600,"yyyy-mm")&lt;&gt;TEXT(A601,"yyyy-mm")),1,0)</f>
        <v/>
      </c>
      <c r="H600">
        <f>IF(OR(H599=1,G600=1),1,0)</f>
        <v/>
      </c>
      <c r="I600">
        <f>IF(H599=0,1,SUMPRODUCT(J599:N599,B600:F600)+O599*(1+0.00023125256064071564))</f>
        <v/>
      </c>
      <c r="J600">
        <f>IF(G600=1,0.2*R600/B600,J599)</f>
        <v/>
      </c>
      <c r="K600">
        <f>IF(G600=1,0.2*R600/C600,K599)</f>
        <v/>
      </c>
      <c r="L600">
        <f>IF(G600=1,0.2*R600/D600,L599)</f>
        <v/>
      </c>
      <c r="M600">
        <f>IF(G600=1,0.2*R600/E600,M599)</f>
        <v/>
      </c>
      <c r="N600">
        <f>IF(G600=1,0.2*R600/F600,N599)</f>
        <v/>
      </c>
      <c r="O600">
        <f>IF(G600=1,R600*(1-1.0),IF(H599=0,1,O599*(1+0.00023125256064071564)))</f>
        <v/>
      </c>
      <c r="P600">
        <f>IF(G600=1,IF(H599=0,1,ABS(0.2-J599*B600/I600)+ABS(0.2-K599*C600/I600)+ABS(0.2-L599*D600/I600)+ABS(0.2-M599*E600/I600)+ABS(0.2-N599*F600/I600)),0)</f>
        <v/>
      </c>
      <c r="Q600">
        <f>P600*0.0015</f>
        <v/>
      </c>
      <c r="R600">
        <f>I600*(1-Q600)</f>
        <v/>
      </c>
      <c r="S600">
        <f>R600/R599-1</f>
        <v/>
      </c>
      <c r="T600">
        <f>MAX(T599,R600)</f>
        <v/>
      </c>
      <c r="U600">
        <f>R600/T600-1</f>
        <v/>
      </c>
      <c r="V600" t="n">
        <v>2.168934195609223</v>
      </c>
      <c r="W600" s="5">
        <f>R600-V600</f>
        <v/>
      </c>
    </row>
    <row r="601">
      <c r="A601" s="3" t="n">
        <v>39317</v>
      </c>
      <c r="B601">
        <f>Prices!B601</f>
        <v/>
      </c>
      <c r="C601">
        <f>Prices!C601</f>
        <v/>
      </c>
      <c r="D601">
        <f>Prices!D601</f>
        <v/>
      </c>
      <c r="E601">
        <f>Prices!E601</f>
        <v/>
      </c>
      <c r="F601">
        <f>Prices!F601</f>
        <v/>
      </c>
      <c r="G601">
        <f>IF(AND(599&gt;=16,TEXT(A601,"yyyy-mm")&lt;&gt;TEXT(A602,"yyyy-mm")),1,0)</f>
        <v/>
      </c>
      <c r="H601">
        <f>IF(OR(H600=1,G601=1),1,0)</f>
        <v/>
      </c>
      <c r="I601">
        <f>IF(H600=0,1,SUMPRODUCT(J600:N600,B601:F601)+O600*(1+0.00023125256064071564))</f>
        <v/>
      </c>
      <c r="J601">
        <f>IF(G601=1,0.2*R601/B601,J600)</f>
        <v/>
      </c>
      <c r="K601">
        <f>IF(G601=1,0.2*R601/C601,K600)</f>
        <v/>
      </c>
      <c r="L601">
        <f>IF(G601=1,0.2*R601/D601,L600)</f>
        <v/>
      </c>
      <c r="M601">
        <f>IF(G601=1,0.2*R601/E601,M600)</f>
        <v/>
      </c>
      <c r="N601">
        <f>IF(G601=1,0.2*R601/F601,N600)</f>
        <v/>
      </c>
      <c r="O601">
        <f>IF(G601=1,R601*(1-1.0),IF(H600=0,1,O600*(1+0.00023125256064071564)))</f>
        <v/>
      </c>
      <c r="P601">
        <f>IF(G601=1,IF(H600=0,1,ABS(0.2-J600*B601/I601)+ABS(0.2-K600*C601/I601)+ABS(0.2-L600*D601/I601)+ABS(0.2-M600*E601/I601)+ABS(0.2-N600*F601/I601)),0)</f>
        <v/>
      </c>
      <c r="Q601">
        <f>P601*0.0015</f>
        <v/>
      </c>
      <c r="R601">
        <f>I601*(1-Q601)</f>
        <v/>
      </c>
      <c r="S601">
        <f>R601/R600-1</f>
        <v/>
      </c>
      <c r="T601">
        <f>MAX(T600,R601)</f>
        <v/>
      </c>
      <c r="U601">
        <f>R601/T601-1</f>
        <v/>
      </c>
      <c r="V601" t="n">
        <v>2.144956637730084</v>
      </c>
      <c r="W601" s="5">
        <f>R601-V601</f>
        <v/>
      </c>
    </row>
    <row r="602">
      <c r="A602" s="3" t="n">
        <v>39318</v>
      </c>
      <c r="B602">
        <f>Prices!B602</f>
        <v/>
      </c>
      <c r="C602">
        <f>Prices!C602</f>
        <v/>
      </c>
      <c r="D602">
        <f>Prices!D602</f>
        <v/>
      </c>
      <c r="E602">
        <f>Prices!E602</f>
        <v/>
      </c>
      <c r="F602">
        <f>Prices!F602</f>
        <v/>
      </c>
      <c r="G602">
        <f>IF(AND(600&gt;=16,TEXT(A602,"yyyy-mm")&lt;&gt;TEXT(A603,"yyyy-mm")),1,0)</f>
        <v/>
      </c>
      <c r="H602">
        <f>IF(OR(H601=1,G602=1),1,0)</f>
        <v/>
      </c>
      <c r="I602">
        <f>IF(H601=0,1,SUMPRODUCT(J601:N601,B602:F602)+O601*(1+0.00023125256064071564))</f>
        <v/>
      </c>
      <c r="J602">
        <f>IF(G602=1,0.2*R602/B602,J601)</f>
        <v/>
      </c>
      <c r="K602">
        <f>IF(G602=1,0.2*R602/C602,K601)</f>
        <v/>
      </c>
      <c r="L602">
        <f>IF(G602=1,0.2*R602/D602,L601)</f>
        <v/>
      </c>
      <c r="M602">
        <f>IF(G602=1,0.2*R602/E602,M601)</f>
        <v/>
      </c>
      <c r="N602">
        <f>IF(G602=1,0.2*R602/F602,N601)</f>
        <v/>
      </c>
      <c r="O602">
        <f>IF(G602=1,R602*(1-1.0),IF(H601=0,1,O601*(1+0.00023125256064071564)))</f>
        <v/>
      </c>
      <c r="P602">
        <f>IF(G602=1,IF(H601=0,1,ABS(0.2-J601*B602/I602)+ABS(0.2-K601*C602/I602)+ABS(0.2-L601*D602/I602)+ABS(0.2-M601*E602/I602)+ABS(0.2-N601*F602/I602)),0)</f>
        <v/>
      </c>
      <c r="Q602">
        <f>P602*0.0015</f>
        <v/>
      </c>
      <c r="R602">
        <f>I602*(1-Q602)</f>
        <v/>
      </c>
      <c r="S602">
        <f>R602/R601-1</f>
        <v/>
      </c>
      <c r="T602">
        <f>MAX(T601,R602)</f>
        <v/>
      </c>
      <c r="U602">
        <f>R602/T602-1</f>
        <v/>
      </c>
      <c r="V602" t="n">
        <v>2.187937438968662</v>
      </c>
      <c r="W602" s="5">
        <f>R602-V602</f>
        <v/>
      </c>
    </row>
    <row r="603">
      <c r="A603" s="3" t="n">
        <v>39321</v>
      </c>
      <c r="B603">
        <f>Prices!B603</f>
        <v/>
      </c>
      <c r="C603">
        <f>Prices!C603</f>
        <v/>
      </c>
      <c r="D603">
        <f>Prices!D603</f>
        <v/>
      </c>
      <c r="E603">
        <f>Prices!E603</f>
        <v/>
      </c>
      <c r="F603">
        <f>Prices!F603</f>
        <v/>
      </c>
      <c r="G603">
        <f>IF(AND(601&gt;=16,TEXT(A603,"yyyy-mm")&lt;&gt;TEXT(A604,"yyyy-mm")),1,0)</f>
        <v/>
      </c>
      <c r="H603">
        <f>IF(OR(H602=1,G603=1),1,0)</f>
        <v/>
      </c>
      <c r="I603">
        <f>IF(H602=0,1,SUMPRODUCT(J602:N602,B603:F603)+O602*(1+0.00023125256064071564))</f>
        <v/>
      </c>
      <c r="J603">
        <f>IF(G603=1,0.2*R603/B603,J602)</f>
        <v/>
      </c>
      <c r="K603">
        <f>IF(G603=1,0.2*R603/C603,K602)</f>
        <v/>
      </c>
      <c r="L603">
        <f>IF(G603=1,0.2*R603/D603,L602)</f>
        <v/>
      </c>
      <c r="M603">
        <f>IF(G603=1,0.2*R603/E603,M602)</f>
        <v/>
      </c>
      <c r="N603">
        <f>IF(G603=1,0.2*R603/F603,N602)</f>
        <v/>
      </c>
      <c r="O603">
        <f>IF(G603=1,R603*(1-1.0),IF(H602=0,1,O602*(1+0.00023125256064071564)))</f>
        <v/>
      </c>
      <c r="P603">
        <f>IF(G603=1,IF(H602=0,1,ABS(0.2-J602*B603/I603)+ABS(0.2-K602*C603/I603)+ABS(0.2-L602*D603/I603)+ABS(0.2-M602*E603/I603)+ABS(0.2-N602*F603/I603)),0)</f>
        <v/>
      </c>
      <c r="Q603">
        <f>P603*0.0015</f>
        <v/>
      </c>
      <c r="R603">
        <f>I603*(1-Q603)</f>
        <v/>
      </c>
      <c r="S603">
        <f>R603/R602-1</f>
        <v/>
      </c>
      <c r="T603">
        <f>MAX(T602,R603)</f>
        <v/>
      </c>
      <c r="U603">
        <f>R603/T603-1</f>
        <v/>
      </c>
      <c r="V603" t="n">
        <v>2.250598873411462</v>
      </c>
      <c r="W603" s="5">
        <f>R603-V603</f>
        <v/>
      </c>
    </row>
    <row r="604">
      <c r="A604" s="3" t="n">
        <v>39322</v>
      </c>
      <c r="B604">
        <f>Prices!B604</f>
        <v/>
      </c>
      <c r="C604">
        <f>Prices!C604</f>
        <v/>
      </c>
      <c r="D604">
        <f>Prices!D604</f>
        <v/>
      </c>
      <c r="E604">
        <f>Prices!E604</f>
        <v/>
      </c>
      <c r="F604">
        <f>Prices!F604</f>
        <v/>
      </c>
      <c r="G604">
        <f>IF(AND(602&gt;=16,TEXT(A604,"yyyy-mm")&lt;&gt;TEXT(A605,"yyyy-mm")),1,0)</f>
        <v/>
      </c>
      <c r="H604">
        <f>IF(OR(H603=1,G604=1),1,0)</f>
        <v/>
      </c>
      <c r="I604">
        <f>IF(H603=0,1,SUMPRODUCT(J603:N603,B604:F604)+O603*(1+0.00023125256064071564))</f>
        <v/>
      </c>
      <c r="J604">
        <f>IF(G604=1,0.2*R604/B604,J603)</f>
        <v/>
      </c>
      <c r="K604">
        <f>IF(G604=1,0.2*R604/C604,K603)</f>
        <v/>
      </c>
      <c r="L604">
        <f>IF(G604=1,0.2*R604/D604,L603)</f>
        <v/>
      </c>
      <c r="M604">
        <f>IF(G604=1,0.2*R604/E604,M603)</f>
        <v/>
      </c>
      <c r="N604">
        <f>IF(G604=1,0.2*R604/F604,N603)</f>
        <v/>
      </c>
      <c r="O604">
        <f>IF(G604=1,R604*(1-1.0),IF(H603=0,1,O603*(1+0.00023125256064071564)))</f>
        <v/>
      </c>
      <c r="P604">
        <f>IF(G604=1,IF(H603=0,1,ABS(0.2-J603*B604/I604)+ABS(0.2-K603*C604/I604)+ABS(0.2-L603*D604/I604)+ABS(0.2-M603*E604/I604)+ABS(0.2-N603*F604/I604)),0)</f>
        <v/>
      </c>
      <c r="Q604">
        <f>P604*0.0015</f>
        <v/>
      </c>
      <c r="R604">
        <f>I604*(1-Q604)</f>
        <v/>
      </c>
      <c r="S604">
        <f>R604/R603-1</f>
        <v/>
      </c>
      <c r="T604">
        <f>MAX(T603,R604)</f>
        <v/>
      </c>
      <c r="U604">
        <f>R604/T604-1</f>
        <v/>
      </c>
      <c r="V604" t="n">
        <v>2.270295863392604</v>
      </c>
      <c r="W604" s="5">
        <f>R604-V604</f>
        <v/>
      </c>
    </row>
    <row r="605">
      <c r="A605" s="3" t="n">
        <v>39323</v>
      </c>
      <c r="B605">
        <f>Prices!B605</f>
        <v/>
      </c>
      <c r="C605">
        <f>Prices!C605</f>
        <v/>
      </c>
      <c r="D605">
        <f>Prices!D605</f>
        <v/>
      </c>
      <c r="E605">
        <f>Prices!E605</f>
        <v/>
      </c>
      <c r="F605">
        <f>Prices!F605</f>
        <v/>
      </c>
      <c r="G605">
        <f>IF(AND(603&gt;=16,TEXT(A605,"yyyy-mm")&lt;&gt;TEXT(A606,"yyyy-mm")),1,0)</f>
        <v/>
      </c>
      <c r="H605">
        <f>IF(OR(H604=1,G605=1),1,0)</f>
        <v/>
      </c>
      <c r="I605">
        <f>IF(H604=0,1,SUMPRODUCT(J604:N604,B605:F605)+O604*(1+0.00023125256064071564))</f>
        <v/>
      </c>
      <c r="J605">
        <f>IF(G605=1,0.2*R605/B605,J604)</f>
        <v/>
      </c>
      <c r="K605">
        <f>IF(G605=1,0.2*R605/C605,K604)</f>
        <v/>
      </c>
      <c r="L605">
        <f>IF(G605=1,0.2*R605/D605,L604)</f>
        <v/>
      </c>
      <c r="M605">
        <f>IF(G605=1,0.2*R605/E605,M604)</f>
        <v/>
      </c>
      <c r="N605">
        <f>IF(G605=1,0.2*R605/F605,N604)</f>
        <v/>
      </c>
      <c r="O605">
        <f>IF(G605=1,R605*(1-1.0),IF(H604=0,1,O604*(1+0.00023125256064071564)))</f>
        <v/>
      </c>
      <c r="P605">
        <f>IF(G605=1,IF(H604=0,1,ABS(0.2-J604*B605/I605)+ABS(0.2-K604*C605/I605)+ABS(0.2-L604*D605/I605)+ABS(0.2-M604*E605/I605)+ABS(0.2-N604*F605/I605)),0)</f>
        <v/>
      </c>
      <c r="Q605">
        <f>P605*0.0015</f>
        <v/>
      </c>
      <c r="R605">
        <f>I605*(1-Q605)</f>
        <v/>
      </c>
      <c r="S605">
        <f>R605/R604-1</f>
        <v/>
      </c>
      <c r="T605">
        <f>MAX(T604,R605)</f>
        <v/>
      </c>
      <c r="U605">
        <f>R605/T605-1</f>
        <v/>
      </c>
      <c r="V605" t="n">
        <v>2.287179662184179</v>
      </c>
      <c r="W605" s="5">
        <f>R605-V605</f>
        <v/>
      </c>
    </row>
    <row r="606">
      <c r="A606" s="3" t="n">
        <v>39324</v>
      </c>
      <c r="B606">
        <f>Prices!B606</f>
        <v/>
      </c>
      <c r="C606">
        <f>Prices!C606</f>
        <v/>
      </c>
      <c r="D606">
        <f>Prices!D606</f>
        <v/>
      </c>
      <c r="E606">
        <f>Prices!E606</f>
        <v/>
      </c>
      <c r="F606">
        <f>Prices!F606</f>
        <v/>
      </c>
      <c r="G606">
        <f>IF(AND(604&gt;=16,TEXT(A606,"yyyy-mm")&lt;&gt;TEXT(A607,"yyyy-mm")),1,0)</f>
        <v/>
      </c>
      <c r="H606">
        <f>IF(OR(H605=1,G606=1),1,0)</f>
        <v/>
      </c>
      <c r="I606">
        <f>IF(H605=0,1,SUMPRODUCT(J605:N605,B606:F606)+O605*(1+0.00023125256064071564))</f>
        <v/>
      </c>
      <c r="J606">
        <f>IF(G606=1,0.2*R606/B606,J605)</f>
        <v/>
      </c>
      <c r="K606">
        <f>IF(G606=1,0.2*R606/C606,K605)</f>
        <v/>
      </c>
      <c r="L606">
        <f>IF(G606=1,0.2*R606/D606,L605)</f>
        <v/>
      </c>
      <c r="M606">
        <f>IF(G606=1,0.2*R606/E606,M605)</f>
        <v/>
      </c>
      <c r="N606">
        <f>IF(G606=1,0.2*R606/F606,N605)</f>
        <v/>
      </c>
      <c r="O606">
        <f>IF(G606=1,R606*(1-1.0),IF(H605=0,1,O605*(1+0.00023125256064071564)))</f>
        <v/>
      </c>
      <c r="P606">
        <f>IF(G606=1,IF(H605=0,1,ABS(0.2-J605*B606/I606)+ABS(0.2-K605*C606/I606)+ABS(0.2-L605*D606/I606)+ABS(0.2-M605*E606/I606)+ABS(0.2-N605*F606/I606)),0)</f>
        <v/>
      </c>
      <c r="Q606">
        <f>P606*0.0015</f>
        <v/>
      </c>
      <c r="R606">
        <f>I606*(1-Q606)</f>
        <v/>
      </c>
      <c r="S606">
        <f>R606/R605-1</f>
        <v/>
      </c>
      <c r="T606">
        <f>MAX(T605,R606)</f>
        <v/>
      </c>
      <c r="U606">
        <f>R606/T606-1</f>
        <v/>
      </c>
      <c r="V606" t="n">
        <v>2.301387945767812</v>
      </c>
      <c r="W606" s="5">
        <f>R606-V606</f>
        <v/>
      </c>
    </row>
    <row r="607">
      <c r="A607" s="3" t="n">
        <v>39325</v>
      </c>
      <c r="B607">
        <f>Prices!B607</f>
        <v/>
      </c>
      <c r="C607">
        <f>Prices!C607</f>
        <v/>
      </c>
      <c r="D607">
        <f>Prices!D607</f>
        <v/>
      </c>
      <c r="E607">
        <f>Prices!E607</f>
        <v/>
      </c>
      <c r="F607">
        <f>Prices!F607</f>
        <v/>
      </c>
      <c r="G607">
        <f>IF(AND(605&gt;=16,TEXT(A607,"yyyy-mm")&lt;&gt;TEXT(A608,"yyyy-mm")),1,0)</f>
        <v/>
      </c>
      <c r="H607">
        <f>IF(OR(H606=1,G607=1),1,0)</f>
        <v/>
      </c>
      <c r="I607">
        <f>IF(H606=0,1,SUMPRODUCT(J606:N606,B607:F607)+O606*(1+0.00023125256064071564))</f>
        <v/>
      </c>
      <c r="J607">
        <f>IF(G607=1,0.2*R607/B607,J606)</f>
        <v/>
      </c>
      <c r="K607">
        <f>IF(G607=1,0.2*R607/C607,K606)</f>
        <v/>
      </c>
      <c r="L607">
        <f>IF(G607=1,0.2*R607/D607,L606)</f>
        <v/>
      </c>
      <c r="M607">
        <f>IF(G607=1,0.2*R607/E607,M606)</f>
        <v/>
      </c>
      <c r="N607">
        <f>IF(G607=1,0.2*R607/F607,N606)</f>
        <v/>
      </c>
      <c r="O607">
        <f>IF(G607=1,R607*(1-1.0),IF(H606=0,1,O606*(1+0.00023125256064071564)))</f>
        <v/>
      </c>
      <c r="P607">
        <f>IF(G607=1,IF(H606=0,1,ABS(0.2-J606*B607/I607)+ABS(0.2-K606*C607/I607)+ABS(0.2-L606*D607/I607)+ABS(0.2-M606*E607/I607)+ABS(0.2-N606*F607/I607)),0)</f>
        <v/>
      </c>
      <c r="Q607">
        <f>P607*0.0015</f>
        <v/>
      </c>
      <c r="R607">
        <f>I607*(1-Q607)</f>
        <v/>
      </c>
      <c r="S607">
        <f>R607/R606-1</f>
        <v/>
      </c>
      <c r="T607">
        <f>MAX(T606,R607)</f>
        <v/>
      </c>
      <c r="U607">
        <f>R607/T607-1</f>
        <v/>
      </c>
      <c r="V607" t="n">
        <v>2.349399145554934</v>
      </c>
      <c r="W607" s="5">
        <f>R607-V607</f>
        <v/>
      </c>
    </row>
    <row r="608">
      <c r="A608" s="3" t="n">
        <v>39328</v>
      </c>
      <c r="B608">
        <f>Prices!B608</f>
        <v/>
      </c>
      <c r="C608">
        <f>Prices!C608</f>
        <v/>
      </c>
      <c r="D608">
        <f>Prices!D608</f>
        <v/>
      </c>
      <c r="E608">
        <f>Prices!E608</f>
        <v/>
      </c>
      <c r="F608">
        <f>Prices!F608</f>
        <v/>
      </c>
      <c r="G608">
        <f>IF(AND(606&gt;=16,TEXT(A608,"yyyy-mm")&lt;&gt;TEXT(A609,"yyyy-mm")),1,0)</f>
        <v/>
      </c>
      <c r="H608">
        <f>IF(OR(H607=1,G608=1),1,0)</f>
        <v/>
      </c>
      <c r="I608">
        <f>IF(H607=0,1,SUMPRODUCT(J607:N607,B608:F608)+O607*(1+0.00023125256064071564))</f>
        <v/>
      </c>
      <c r="J608">
        <f>IF(G608=1,0.2*R608/B608,J607)</f>
        <v/>
      </c>
      <c r="K608">
        <f>IF(G608=1,0.2*R608/C608,K607)</f>
        <v/>
      </c>
      <c r="L608">
        <f>IF(G608=1,0.2*R608/D608,L607)</f>
        <v/>
      </c>
      <c r="M608">
        <f>IF(G608=1,0.2*R608/E608,M607)</f>
        <v/>
      </c>
      <c r="N608">
        <f>IF(G608=1,0.2*R608/F608,N607)</f>
        <v/>
      </c>
      <c r="O608">
        <f>IF(G608=1,R608*(1-1.0),IF(H607=0,1,O607*(1+0.00023125256064071564)))</f>
        <v/>
      </c>
      <c r="P608">
        <f>IF(G608=1,IF(H607=0,1,ABS(0.2-J607*B608/I608)+ABS(0.2-K607*C608/I608)+ABS(0.2-L607*D608/I608)+ABS(0.2-M607*E608/I608)+ABS(0.2-N607*F608/I608)),0)</f>
        <v/>
      </c>
      <c r="Q608">
        <f>P608*0.0015</f>
        <v/>
      </c>
      <c r="R608">
        <f>I608*(1-Q608)</f>
        <v/>
      </c>
      <c r="S608">
        <f>R608/R607-1</f>
        <v/>
      </c>
      <c r="T608">
        <f>MAX(T607,R608)</f>
        <v/>
      </c>
      <c r="U608">
        <f>R608/T608-1</f>
        <v/>
      </c>
      <c r="V608" t="n">
        <v>2.387685100981474</v>
      </c>
      <c r="W608" s="5">
        <f>R608-V608</f>
        <v/>
      </c>
    </row>
    <row r="609">
      <c r="A609" s="3" t="n">
        <v>39329</v>
      </c>
      <c r="B609">
        <f>Prices!B609</f>
        <v/>
      </c>
      <c r="C609">
        <f>Prices!C609</f>
        <v/>
      </c>
      <c r="D609">
        <f>Prices!D609</f>
        <v/>
      </c>
      <c r="E609">
        <f>Prices!E609</f>
        <v/>
      </c>
      <c r="F609">
        <f>Prices!F609</f>
        <v/>
      </c>
      <c r="G609">
        <f>IF(AND(607&gt;=16,TEXT(A609,"yyyy-mm")&lt;&gt;TEXT(A610,"yyyy-mm")),1,0)</f>
        <v/>
      </c>
      <c r="H609">
        <f>IF(OR(H608=1,G609=1),1,0)</f>
        <v/>
      </c>
      <c r="I609">
        <f>IF(H608=0,1,SUMPRODUCT(J608:N608,B609:F609)+O608*(1+0.00023125256064071564))</f>
        <v/>
      </c>
      <c r="J609">
        <f>IF(G609=1,0.2*R609/B609,J608)</f>
        <v/>
      </c>
      <c r="K609">
        <f>IF(G609=1,0.2*R609/C609,K608)</f>
        <v/>
      </c>
      <c r="L609">
        <f>IF(G609=1,0.2*R609/D609,L608)</f>
        <v/>
      </c>
      <c r="M609">
        <f>IF(G609=1,0.2*R609/E609,M608)</f>
        <v/>
      </c>
      <c r="N609">
        <f>IF(G609=1,0.2*R609/F609,N608)</f>
        <v/>
      </c>
      <c r="O609">
        <f>IF(G609=1,R609*(1-1.0),IF(H608=0,1,O608*(1+0.00023125256064071564)))</f>
        <v/>
      </c>
      <c r="P609">
        <f>IF(G609=1,IF(H608=0,1,ABS(0.2-J608*B609/I609)+ABS(0.2-K608*C609/I609)+ABS(0.2-L608*D609/I609)+ABS(0.2-M608*E609/I609)+ABS(0.2-N608*F609/I609)),0)</f>
        <v/>
      </c>
      <c r="Q609">
        <f>P609*0.0015</f>
        <v/>
      </c>
      <c r="R609">
        <f>I609*(1-Q609)</f>
        <v/>
      </c>
      <c r="S609">
        <f>R609/R608-1</f>
        <v/>
      </c>
      <c r="T609">
        <f>MAX(T608,R609)</f>
        <v/>
      </c>
      <c r="U609">
        <f>R609/T609-1</f>
        <v/>
      </c>
      <c r="V609" t="n">
        <v>2.39915435156764</v>
      </c>
      <c r="W609" s="5">
        <f>R609-V609</f>
        <v/>
      </c>
    </row>
    <row r="610">
      <c r="A610" s="3" t="n">
        <v>39330</v>
      </c>
      <c r="B610">
        <f>Prices!B610</f>
        <v/>
      </c>
      <c r="C610">
        <f>Prices!C610</f>
        <v/>
      </c>
      <c r="D610">
        <f>Prices!D610</f>
        <v/>
      </c>
      <c r="E610">
        <f>Prices!E610</f>
        <v/>
      </c>
      <c r="F610">
        <f>Prices!F610</f>
        <v/>
      </c>
      <c r="G610">
        <f>IF(AND(608&gt;=16,TEXT(A610,"yyyy-mm")&lt;&gt;TEXT(A611,"yyyy-mm")),1,0)</f>
        <v/>
      </c>
      <c r="H610">
        <f>IF(OR(H609=1,G610=1),1,0)</f>
        <v/>
      </c>
      <c r="I610">
        <f>IF(H609=0,1,SUMPRODUCT(J609:N609,B610:F610)+O609*(1+0.00023125256064071564))</f>
        <v/>
      </c>
      <c r="J610">
        <f>IF(G610=1,0.2*R610/B610,J609)</f>
        <v/>
      </c>
      <c r="K610">
        <f>IF(G610=1,0.2*R610/C610,K609)</f>
        <v/>
      </c>
      <c r="L610">
        <f>IF(G610=1,0.2*R610/D610,L609)</f>
        <v/>
      </c>
      <c r="M610">
        <f>IF(G610=1,0.2*R610/E610,M609)</f>
        <v/>
      </c>
      <c r="N610">
        <f>IF(G610=1,0.2*R610/F610,N609)</f>
        <v/>
      </c>
      <c r="O610">
        <f>IF(G610=1,R610*(1-1.0),IF(H609=0,1,O609*(1+0.00023125256064071564)))</f>
        <v/>
      </c>
      <c r="P610">
        <f>IF(G610=1,IF(H609=0,1,ABS(0.2-J609*B610/I610)+ABS(0.2-K609*C610/I610)+ABS(0.2-L609*D610/I610)+ABS(0.2-M609*E610/I610)+ABS(0.2-N609*F610/I610)),0)</f>
        <v/>
      </c>
      <c r="Q610">
        <f>P610*0.0015</f>
        <v/>
      </c>
      <c r="R610">
        <f>I610*(1-Q610)</f>
        <v/>
      </c>
      <c r="S610">
        <f>R610/R609-1</f>
        <v/>
      </c>
      <c r="T610">
        <f>MAX(T609,R610)</f>
        <v/>
      </c>
      <c r="U610">
        <f>R610/T610-1</f>
        <v/>
      </c>
      <c r="V610" t="n">
        <v>2.401879713290825</v>
      </c>
      <c r="W610" s="5">
        <f>R610-V610</f>
        <v/>
      </c>
    </row>
    <row r="611">
      <c r="A611" s="3" t="n">
        <v>39331</v>
      </c>
      <c r="B611">
        <f>Prices!B611</f>
        <v/>
      </c>
      <c r="C611">
        <f>Prices!C611</f>
        <v/>
      </c>
      <c r="D611">
        <f>Prices!D611</f>
        <v/>
      </c>
      <c r="E611">
        <f>Prices!E611</f>
        <v/>
      </c>
      <c r="F611">
        <f>Prices!F611</f>
        <v/>
      </c>
      <c r="G611">
        <f>IF(AND(609&gt;=16,TEXT(A611,"yyyy-mm")&lt;&gt;TEXT(A612,"yyyy-mm")),1,0)</f>
        <v/>
      </c>
      <c r="H611">
        <f>IF(OR(H610=1,G611=1),1,0)</f>
        <v/>
      </c>
      <c r="I611">
        <f>IF(H610=0,1,SUMPRODUCT(J610:N610,B611:F611)+O610*(1+0.00023125256064071564))</f>
        <v/>
      </c>
      <c r="J611">
        <f>IF(G611=1,0.2*R611/B611,J610)</f>
        <v/>
      </c>
      <c r="K611">
        <f>IF(G611=1,0.2*R611/C611,K610)</f>
        <v/>
      </c>
      <c r="L611">
        <f>IF(G611=1,0.2*R611/D611,L610)</f>
        <v/>
      </c>
      <c r="M611">
        <f>IF(G611=1,0.2*R611/E611,M610)</f>
        <v/>
      </c>
      <c r="N611">
        <f>IF(G611=1,0.2*R611/F611,N610)</f>
        <v/>
      </c>
      <c r="O611">
        <f>IF(G611=1,R611*(1-1.0),IF(H610=0,1,O610*(1+0.00023125256064071564)))</f>
        <v/>
      </c>
      <c r="P611">
        <f>IF(G611=1,IF(H610=0,1,ABS(0.2-J610*B611/I611)+ABS(0.2-K610*C611/I611)+ABS(0.2-L610*D611/I611)+ABS(0.2-M610*E611/I611)+ABS(0.2-N610*F611/I611)),0)</f>
        <v/>
      </c>
      <c r="Q611">
        <f>P611*0.0015</f>
        <v/>
      </c>
      <c r="R611">
        <f>I611*(1-Q611)</f>
        <v/>
      </c>
      <c r="S611">
        <f>R611/R610-1</f>
        <v/>
      </c>
      <c r="T611">
        <f>MAX(T610,R611)</f>
        <v/>
      </c>
      <c r="U611">
        <f>R611/T611-1</f>
        <v/>
      </c>
      <c r="V611" t="n">
        <v>2.432801075300002</v>
      </c>
      <c r="W611" s="5">
        <f>R611-V611</f>
        <v/>
      </c>
    </row>
    <row r="612">
      <c r="A612" s="3" t="n">
        <v>39332</v>
      </c>
      <c r="B612">
        <f>Prices!B612</f>
        <v/>
      </c>
      <c r="C612">
        <f>Prices!C612</f>
        <v/>
      </c>
      <c r="D612">
        <f>Prices!D612</f>
        <v/>
      </c>
      <c r="E612">
        <f>Prices!E612</f>
        <v/>
      </c>
      <c r="F612">
        <f>Prices!F612</f>
        <v/>
      </c>
      <c r="G612">
        <f>IF(AND(610&gt;=16,TEXT(A612,"yyyy-mm")&lt;&gt;TEXT(A613,"yyyy-mm")),1,0)</f>
        <v/>
      </c>
      <c r="H612">
        <f>IF(OR(H611=1,G612=1),1,0)</f>
        <v/>
      </c>
      <c r="I612">
        <f>IF(H611=0,1,SUMPRODUCT(J611:N611,B612:F612)+O611*(1+0.00023125256064071564))</f>
        <v/>
      </c>
      <c r="J612">
        <f>IF(G612=1,0.2*R612/B612,J611)</f>
        <v/>
      </c>
      <c r="K612">
        <f>IF(G612=1,0.2*R612/C612,K611)</f>
        <v/>
      </c>
      <c r="L612">
        <f>IF(G612=1,0.2*R612/D612,L611)</f>
        <v/>
      </c>
      <c r="M612">
        <f>IF(G612=1,0.2*R612/E612,M611)</f>
        <v/>
      </c>
      <c r="N612">
        <f>IF(G612=1,0.2*R612/F612,N611)</f>
        <v/>
      </c>
      <c r="O612">
        <f>IF(G612=1,R612*(1-1.0),IF(H611=0,1,O611*(1+0.00023125256064071564)))</f>
        <v/>
      </c>
      <c r="P612">
        <f>IF(G612=1,IF(H611=0,1,ABS(0.2-J611*B612/I612)+ABS(0.2-K611*C612/I612)+ABS(0.2-L611*D612/I612)+ABS(0.2-M611*E612/I612)+ABS(0.2-N611*F612/I612)),0)</f>
        <v/>
      </c>
      <c r="Q612">
        <f>P612*0.0015</f>
        <v/>
      </c>
      <c r="R612">
        <f>I612*(1-Q612)</f>
        <v/>
      </c>
      <c r="S612">
        <f>R612/R611-1</f>
        <v/>
      </c>
      <c r="T612">
        <f>MAX(T611,R612)</f>
        <v/>
      </c>
      <c r="U612">
        <f>R612/T612-1</f>
        <v/>
      </c>
      <c r="V612" t="n">
        <v>2.434833475986907</v>
      </c>
      <c r="W612" s="5">
        <f>R612-V612</f>
        <v/>
      </c>
    </row>
    <row r="613">
      <c r="A613" s="3" t="n">
        <v>39335</v>
      </c>
      <c r="B613">
        <f>Prices!B613</f>
        <v/>
      </c>
      <c r="C613">
        <f>Prices!C613</f>
        <v/>
      </c>
      <c r="D613">
        <f>Prices!D613</f>
        <v/>
      </c>
      <c r="E613">
        <f>Prices!E613</f>
        <v/>
      </c>
      <c r="F613">
        <f>Prices!F613</f>
        <v/>
      </c>
      <c r="G613">
        <f>IF(AND(611&gt;=16,TEXT(A613,"yyyy-mm")&lt;&gt;TEXT(A614,"yyyy-mm")),1,0)</f>
        <v/>
      </c>
      <c r="H613">
        <f>IF(OR(H612=1,G613=1),1,0)</f>
        <v/>
      </c>
      <c r="I613">
        <f>IF(H612=0,1,SUMPRODUCT(J612:N612,B613:F613)+O612*(1+0.00023125256064071564))</f>
        <v/>
      </c>
      <c r="J613">
        <f>IF(G613=1,0.2*R613/B613,J612)</f>
        <v/>
      </c>
      <c r="K613">
        <f>IF(G613=1,0.2*R613/C613,K612)</f>
        <v/>
      </c>
      <c r="L613">
        <f>IF(G613=1,0.2*R613/D613,L612)</f>
        <v/>
      </c>
      <c r="M613">
        <f>IF(G613=1,0.2*R613/E613,M612)</f>
        <v/>
      </c>
      <c r="N613">
        <f>IF(G613=1,0.2*R613/F613,N612)</f>
        <v/>
      </c>
      <c r="O613">
        <f>IF(G613=1,R613*(1-1.0),IF(H612=0,1,O612*(1+0.00023125256064071564)))</f>
        <v/>
      </c>
      <c r="P613">
        <f>IF(G613=1,IF(H612=0,1,ABS(0.2-J612*B613/I613)+ABS(0.2-K612*C613/I613)+ABS(0.2-L612*D613/I613)+ABS(0.2-M612*E613/I613)+ABS(0.2-N612*F613/I613)),0)</f>
        <v/>
      </c>
      <c r="Q613">
        <f>P613*0.0015</f>
        <v/>
      </c>
      <c r="R613">
        <f>I613*(1-Q613)</f>
        <v/>
      </c>
      <c r="S613">
        <f>R613/R612-1</f>
        <v/>
      </c>
      <c r="T613">
        <f>MAX(T612,R613)</f>
        <v/>
      </c>
      <c r="U613">
        <f>R613/T613-1</f>
        <v/>
      </c>
      <c r="V613" t="n">
        <v>2.444365710111757</v>
      </c>
      <c r="W613" s="5">
        <f>R613-V613</f>
        <v/>
      </c>
    </row>
    <row r="614">
      <c r="A614" s="3" t="n">
        <v>39336</v>
      </c>
      <c r="B614">
        <f>Prices!B614</f>
        <v/>
      </c>
      <c r="C614">
        <f>Prices!C614</f>
        <v/>
      </c>
      <c r="D614">
        <f>Prices!D614</f>
        <v/>
      </c>
      <c r="E614">
        <f>Prices!E614</f>
        <v/>
      </c>
      <c r="F614">
        <f>Prices!F614</f>
        <v/>
      </c>
      <c r="G614">
        <f>IF(AND(612&gt;=16,TEXT(A614,"yyyy-mm")&lt;&gt;TEXT(A615,"yyyy-mm")),1,0)</f>
        <v/>
      </c>
      <c r="H614">
        <f>IF(OR(H613=1,G614=1),1,0)</f>
        <v/>
      </c>
      <c r="I614">
        <f>IF(H613=0,1,SUMPRODUCT(J613:N613,B614:F614)+O613*(1+0.00023125256064071564))</f>
        <v/>
      </c>
      <c r="J614">
        <f>IF(G614=1,0.2*R614/B614,J613)</f>
        <v/>
      </c>
      <c r="K614">
        <f>IF(G614=1,0.2*R614/C614,K613)</f>
        <v/>
      </c>
      <c r="L614">
        <f>IF(G614=1,0.2*R614/D614,L613)</f>
        <v/>
      </c>
      <c r="M614">
        <f>IF(G614=1,0.2*R614/E614,M613)</f>
        <v/>
      </c>
      <c r="N614">
        <f>IF(G614=1,0.2*R614/F614,N613)</f>
        <v/>
      </c>
      <c r="O614">
        <f>IF(G614=1,R614*(1-1.0),IF(H613=0,1,O613*(1+0.00023125256064071564)))</f>
        <v/>
      </c>
      <c r="P614">
        <f>IF(G614=1,IF(H613=0,1,ABS(0.2-J613*B614/I614)+ABS(0.2-K613*C614/I614)+ABS(0.2-L613*D614/I614)+ABS(0.2-M613*E614/I614)+ABS(0.2-N613*F614/I614)),0)</f>
        <v/>
      </c>
      <c r="Q614">
        <f>P614*0.0015</f>
        <v/>
      </c>
      <c r="R614">
        <f>I614*(1-Q614)</f>
        <v/>
      </c>
      <c r="S614">
        <f>R614/R613-1</f>
        <v/>
      </c>
      <c r="T614">
        <f>MAX(T613,R614)</f>
        <v/>
      </c>
      <c r="U614">
        <f>R614/T614-1</f>
        <v/>
      </c>
      <c r="V614" t="n">
        <v>2.440495746778534</v>
      </c>
      <c r="W614" s="5">
        <f>R614-V614</f>
        <v/>
      </c>
    </row>
    <row r="615">
      <c r="A615" s="3" t="n">
        <v>39337</v>
      </c>
      <c r="B615">
        <f>Prices!B615</f>
        <v/>
      </c>
      <c r="C615">
        <f>Prices!C615</f>
        <v/>
      </c>
      <c r="D615">
        <f>Prices!D615</f>
        <v/>
      </c>
      <c r="E615">
        <f>Prices!E615</f>
        <v/>
      </c>
      <c r="F615">
        <f>Prices!F615</f>
        <v/>
      </c>
      <c r="G615">
        <f>IF(AND(613&gt;=16,TEXT(A615,"yyyy-mm")&lt;&gt;TEXT(A616,"yyyy-mm")),1,0)</f>
        <v/>
      </c>
      <c r="H615">
        <f>IF(OR(H614=1,G615=1),1,0)</f>
        <v/>
      </c>
      <c r="I615">
        <f>IF(H614=0,1,SUMPRODUCT(J614:N614,B615:F615)+O614*(1+0.00023125256064071564))</f>
        <v/>
      </c>
      <c r="J615">
        <f>IF(G615=1,0.2*R615/B615,J614)</f>
        <v/>
      </c>
      <c r="K615">
        <f>IF(G615=1,0.2*R615/C615,K614)</f>
        <v/>
      </c>
      <c r="L615">
        <f>IF(G615=1,0.2*R615/D615,L614)</f>
        <v/>
      </c>
      <c r="M615">
        <f>IF(G615=1,0.2*R615/E615,M614)</f>
        <v/>
      </c>
      <c r="N615">
        <f>IF(G615=1,0.2*R615/F615,N614)</f>
        <v/>
      </c>
      <c r="O615">
        <f>IF(G615=1,R615*(1-1.0),IF(H614=0,1,O614*(1+0.00023125256064071564)))</f>
        <v/>
      </c>
      <c r="P615">
        <f>IF(G615=1,IF(H614=0,1,ABS(0.2-J614*B615/I615)+ABS(0.2-K614*C615/I615)+ABS(0.2-L614*D615/I615)+ABS(0.2-M614*E615/I615)+ABS(0.2-N614*F615/I615)),0)</f>
        <v/>
      </c>
      <c r="Q615">
        <f>P615*0.0015</f>
        <v/>
      </c>
      <c r="R615">
        <f>I615*(1-Q615)</f>
        <v/>
      </c>
      <c r="S615">
        <f>R615/R614-1</f>
        <v/>
      </c>
      <c r="T615">
        <f>MAX(T614,R615)</f>
        <v/>
      </c>
      <c r="U615">
        <f>R615/T615-1</f>
        <v/>
      </c>
      <c r="V615" t="n">
        <v>2.444683261802982</v>
      </c>
      <c r="W615" s="5">
        <f>R615-V615</f>
        <v/>
      </c>
    </row>
    <row r="616">
      <c r="A616" s="3" t="n">
        <v>39338</v>
      </c>
      <c r="B616">
        <f>Prices!B616</f>
        <v/>
      </c>
      <c r="C616">
        <f>Prices!C616</f>
        <v/>
      </c>
      <c r="D616">
        <f>Prices!D616</f>
        <v/>
      </c>
      <c r="E616">
        <f>Prices!E616</f>
        <v/>
      </c>
      <c r="F616">
        <f>Prices!F616</f>
        <v/>
      </c>
      <c r="G616">
        <f>IF(AND(614&gt;=16,TEXT(A616,"yyyy-mm")&lt;&gt;TEXT(A617,"yyyy-mm")),1,0)</f>
        <v/>
      </c>
      <c r="H616">
        <f>IF(OR(H615=1,G616=1),1,0)</f>
        <v/>
      </c>
      <c r="I616">
        <f>IF(H615=0,1,SUMPRODUCT(J615:N615,B616:F616)+O615*(1+0.00023125256064071564))</f>
        <v/>
      </c>
      <c r="J616">
        <f>IF(G616=1,0.2*R616/B616,J615)</f>
        <v/>
      </c>
      <c r="K616">
        <f>IF(G616=1,0.2*R616/C616,K615)</f>
        <v/>
      </c>
      <c r="L616">
        <f>IF(G616=1,0.2*R616/D616,L615)</f>
        <v/>
      </c>
      <c r="M616">
        <f>IF(G616=1,0.2*R616/E616,M615)</f>
        <v/>
      </c>
      <c r="N616">
        <f>IF(G616=1,0.2*R616/F616,N615)</f>
        <v/>
      </c>
      <c r="O616">
        <f>IF(G616=1,R616*(1-1.0),IF(H615=0,1,O615*(1+0.00023125256064071564)))</f>
        <v/>
      </c>
      <c r="P616">
        <f>IF(G616=1,IF(H615=0,1,ABS(0.2-J615*B616/I616)+ABS(0.2-K615*C616/I616)+ABS(0.2-L615*D616/I616)+ABS(0.2-M615*E616/I616)+ABS(0.2-N615*F616/I616)),0)</f>
        <v/>
      </c>
      <c r="Q616">
        <f>P616*0.0015</f>
        <v/>
      </c>
      <c r="R616">
        <f>I616*(1-Q616)</f>
        <v/>
      </c>
      <c r="S616">
        <f>R616/R615-1</f>
        <v/>
      </c>
      <c r="T616">
        <f>MAX(T615,R616)</f>
        <v/>
      </c>
      <c r="U616">
        <f>R616/T616-1</f>
        <v/>
      </c>
      <c r="V616" t="n">
        <v>2.466680414127894</v>
      </c>
      <c r="W616" s="5">
        <f>R616-V616</f>
        <v/>
      </c>
    </row>
    <row r="617">
      <c r="A617" s="3" t="n">
        <v>39339</v>
      </c>
      <c r="B617">
        <f>Prices!B617</f>
        <v/>
      </c>
      <c r="C617">
        <f>Prices!C617</f>
        <v/>
      </c>
      <c r="D617">
        <f>Prices!D617</f>
        <v/>
      </c>
      <c r="E617">
        <f>Prices!E617</f>
        <v/>
      </c>
      <c r="F617">
        <f>Prices!F617</f>
        <v/>
      </c>
      <c r="G617">
        <f>IF(AND(615&gt;=16,TEXT(A617,"yyyy-mm")&lt;&gt;TEXT(A618,"yyyy-mm")),1,0)</f>
        <v/>
      </c>
      <c r="H617">
        <f>IF(OR(H616=1,G617=1),1,0)</f>
        <v/>
      </c>
      <c r="I617">
        <f>IF(H616=0,1,SUMPRODUCT(J616:N616,B617:F617)+O616*(1+0.00023125256064071564))</f>
        <v/>
      </c>
      <c r="J617">
        <f>IF(G617=1,0.2*R617/B617,J616)</f>
        <v/>
      </c>
      <c r="K617">
        <f>IF(G617=1,0.2*R617/C617,K616)</f>
        <v/>
      </c>
      <c r="L617">
        <f>IF(G617=1,0.2*R617/D617,L616)</f>
        <v/>
      </c>
      <c r="M617">
        <f>IF(G617=1,0.2*R617/E617,M616)</f>
        <v/>
      </c>
      <c r="N617">
        <f>IF(G617=1,0.2*R617/F617,N616)</f>
        <v/>
      </c>
      <c r="O617">
        <f>IF(G617=1,R617*(1-1.0),IF(H616=0,1,O616*(1+0.00023125256064071564)))</f>
        <v/>
      </c>
      <c r="P617">
        <f>IF(G617=1,IF(H616=0,1,ABS(0.2-J616*B617/I617)+ABS(0.2-K616*C617/I617)+ABS(0.2-L616*D617/I617)+ABS(0.2-M616*E617/I617)+ABS(0.2-N616*F617/I617)),0)</f>
        <v/>
      </c>
      <c r="Q617">
        <f>P617*0.0015</f>
        <v/>
      </c>
      <c r="R617">
        <f>I617*(1-Q617)</f>
        <v/>
      </c>
      <c r="S617">
        <f>R617/R616-1</f>
        <v/>
      </c>
      <c r="T617">
        <f>MAX(T616,R617)</f>
        <v/>
      </c>
      <c r="U617">
        <f>R617/T617-1</f>
        <v/>
      </c>
      <c r="V617" t="n">
        <v>2.452870503587449</v>
      </c>
      <c r="W617" s="5">
        <f>R617-V617</f>
        <v/>
      </c>
    </row>
    <row r="618">
      <c r="A618" s="3" t="n">
        <v>39342</v>
      </c>
      <c r="B618">
        <f>Prices!B618</f>
        <v/>
      </c>
      <c r="C618">
        <f>Prices!C618</f>
        <v/>
      </c>
      <c r="D618">
        <f>Prices!D618</f>
        <v/>
      </c>
      <c r="E618">
        <f>Prices!E618</f>
        <v/>
      </c>
      <c r="F618">
        <f>Prices!F618</f>
        <v/>
      </c>
      <c r="G618">
        <f>IF(AND(616&gt;=16,TEXT(A618,"yyyy-mm")&lt;&gt;TEXT(A619,"yyyy-mm")),1,0)</f>
        <v/>
      </c>
      <c r="H618">
        <f>IF(OR(H617=1,G618=1),1,0)</f>
        <v/>
      </c>
      <c r="I618">
        <f>IF(H617=0,1,SUMPRODUCT(J617:N617,B618:F618)+O617*(1+0.00023125256064071564))</f>
        <v/>
      </c>
      <c r="J618">
        <f>IF(G618=1,0.2*R618/B618,J617)</f>
        <v/>
      </c>
      <c r="K618">
        <f>IF(G618=1,0.2*R618/C618,K617)</f>
        <v/>
      </c>
      <c r="L618">
        <f>IF(G618=1,0.2*R618/D618,L617)</f>
        <v/>
      </c>
      <c r="M618">
        <f>IF(G618=1,0.2*R618/E618,M617)</f>
        <v/>
      </c>
      <c r="N618">
        <f>IF(G618=1,0.2*R618/F618,N617)</f>
        <v/>
      </c>
      <c r="O618">
        <f>IF(G618=1,R618*(1-1.0),IF(H617=0,1,O617*(1+0.00023125256064071564)))</f>
        <v/>
      </c>
      <c r="P618">
        <f>IF(G618=1,IF(H617=0,1,ABS(0.2-J617*B618/I618)+ABS(0.2-K617*C618/I618)+ABS(0.2-L617*D618/I618)+ABS(0.2-M617*E618/I618)+ABS(0.2-N617*F618/I618)),0)</f>
        <v/>
      </c>
      <c r="Q618">
        <f>P618*0.0015</f>
        <v/>
      </c>
      <c r="R618">
        <f>I618*(1-Q618)</f>
        <v/>
      </c>
      <c r="S618">
        <f>R618/R617-1</f>
        <v/>
      </c>
      <c r="T618">
        <f>MAX(T617,R618)</f>
        <v/>
      </c>
      <c r="U618">
        <f>R618/T618-1</f>
        <v/>
      </c>
      <c r="V618" t="n">
        <v>2.457086200558733</v>
      </c>
      <c r="W618" s="5">
        <f>R618-V618</f>
        <v/>
      </c>
    </row>
    <row r="619">
      <c r="A619" s="3" t="n">
        <v>39343</v>
      </c>
      <c r="B619">
        <f>Prices!B619</f>
        <v/>
      </c>
      <c r="C619">
        <f>Prices!C619</f>
        <v/>
      </c>
      <c r="D619">
        <f>Prices!D619</f>
        <v/>
      </c>
      <c r="E619">
        <f>Prices!E619</f>
        <v/>
      </c>
      <c r="F619">
        <f>Prices!F619</f>
        <v/>
      </c>
      <c r="G619">
        <f>IF(AND(617&gt;=16,TEXT(A619,"yyyy-mm")&lt;&gt;TEXT(A620,"yyyy-mm")),1,0)</f>
        <v/>
      </c>
      <c r="H619">
        <f>IF(OR(H618=1,G619=1),1,0)</f>
        <v/>
      </c>
      <c r="I619">
        <f>IF(H618=0,1,SUMPRODUCT(J618:N618,B619:F619)+O618*(1+0.00023125256064071564))</f>
        <v/>
      </c>
      <c r="J619">
        <f>IF(G619=1,0.2*R619/B619,J618)</f>
        <v/>
      </c>
      <c r="K619">
        <f>IF(G619=1,0.2*R619/C619,K618)</f>
        <v/>
      </c>
      <c r="L619">
        <f>IF(G619=1,0.2*R619/D619,L618)</f>
        <v/>
      </c>
      <c r="M619">
        <f>IF(G619=1,0.2*R619/E619,M618)</f>
        <v/>
      </c>
      <c r="N619">
        <f>IF(G619=1,0.2*R619/F619,N618)</f>
        <v/>
      </c>
      <c r="O619">
        <f>IF(G619=1,R619*(1-1.0),IF(H618=0,1,O618*(1+0.00023125256064071564)))</f>
        <v/>
      </c>
      <c r="P619">
        <f>IF(G619=1,IF(H618=0,1,ABS(0.2-J618*B619/I619)+ABS(0.2-K618*C619/I619)+ABS(0.2-L618*D619/I619)+ABS(0.2-M618*E619/I619)+ABS(0.2-N618*F619/I619)),0)</f>
        <v/>
      </c>
      <c r="Q619">
        <f>P619*0.0015</f>
        <v/>
      </c>
      <c r="R619">
        <f>I619*(1-Q619)</f>
        <v/>
      </c>
      <c r="S619">
        <f>R619/R618-1</f>
        <v/>
      </c>
      <c r="T619">
        <f>MAX(T618,R619)</f>
        <v/>
      </c>
      <c r="U619">
        <f>R619/T619-1</f>
        <v/>
      </c>
      <c r="V619" t="n">
        <v>2.489773939079765</v>
      </c>
      <c r="W619" s="5">
        <f>R619-V619</f>
        <v/>
      </c>
    </row>
    <row r="620">
      <c r="A620" s="3" t="n">
        <v>39344</v>
      </c>
      <c r="B620">
        <f>Prices!B620</f>
        <v/>
      </c>
      <c r="C620">
        <f>Prices!C620</f>
        <v/>
      </c>
      <c r="D620">
        <f>Prices!D620</f>
        <v/>
      </c>
      <c r="E620">
        <f>Prices!E620</f>
        <v/>
      </c>
      <c r="F620">
        <f>Prices!F620</f>
        <v/>
      </c>
      <c r="G620">
        <f>IF(AND(618&gt;=16,TEXT(A620,"yyyy-mm")&lt;&gt;TEXT(A621,"yyyy-mm")),1,0)</f>
        <v/>
      </c>
      <c r="H620">
        <f>IF(OR(H619=1,G620=1),1,0)</f>
        <v/>
      </c>
      <c r="I620">
        <f>IF(H619=0,1,SUMPRODUCT(J619:N619,B620:F620)+O619*(1+0.00023125256064071564))</f>
        <v/>
      </c>
      <c r="J620">
        <f>IF(G620=1,0.2*R620/B620,J619)</f>
        <v/>
      </c>
      <c r="K620">
        <f>IF(G620=1,0.2*R620/C620,K619)</f>
        <v/>
      </c>
      <c r="L620">
        <f>IF(G620=1,0.2*R620/D620,L619)</f>
        <v/>
      </c>
      <c r="M620">
        <f>IF(G620=1,0.2*R620/E620,M619)</f>
        <v/>
      </c>
      <c r="N620">
        <f>IF(G620=1,0.2*R620/F620,N619)</f>
        <v/>
      </c>
      <c r="O620">
        <f>IF(G620=1,R620*(1-1.0),IF(H619=0,1,O619*(1+0.00023125256064071564)))</f>
        <v/>
      </c>
      <c r="P620">
        <f>IF(G620=1,IF(H619=0,1,ABS(0.2-J619*B620/I620)+ABS(0.2-K619*C620/I620)+ABS(0.2-L619*D620/I620)+ABS(0.2-M619*E620/I620)+ABS(0.2-N619*F620/I620)),0)</f>
        <v/>
      </c>
      <c r="Q620">
        <f>P620*0.0015</f>
        <v/>
      </c>
      <c r="R620">
        <f>I620*(1-Q620)</f>
        <v/>
      </c>
      <c r="S620">
        <f>R620/R619-1</f>
        <v/>
      </c>
      <c r="T620">
        <f>MAX(T619,R620)</f>
        <v/>
      </c>
      <c r="U620">
        <f>R620/T620-1</f>
        <v/>
      </c>
      <c r="V620" t="n">
        <v>2.549703511674033</v>
      </c>
      <c r="W620" s="5">
        <f>R620-V620</f>
        <v/>
      </c>
    </row>
    <row r="621">
      <c r="A621" s="3" t="n">
        <v>39345</v>
      </c>
      <c r="B621">
        <f>Prices!B621</f>
        <v/>
      </c>
      <c r="C621">
        <f>Prices!C621</f>
        <v/>
      </c>
      <c r="D621">
        <f>Prices!D621</f>
        <v/>
      </c>
      <c r="E621">
        <f>Prices!E621</f>
        <v/>
      </c>
      <c r="F621">
        <f>Prices!F621</f>
        <v/>
      </c>
      <c r="G621">
        <f>IF(AND(619&gt;=16,TEXT(A621,"yyyy-mm")&lt;&gt;TEXT(A622,"yyyy-mm")),1,0)</f>
        <v/>
      </c>
      <c r="H621">
        <f>IF(OR(H620=1,G621=1),1,0)</f>
        <v/>
      </c>
      <c r="I621">
        <f>IF(H620=0,1,SUMPRODUCT(J620:N620,B621:F621)+O620*(1+0.00023125256064071564))</f>
        <v/>
      </c>
      <c r="J621">
        <f>IF(G621=1,0.2*R621/B621,J620)</f>
        <v/>
      </c>
      <c r="K621">
        <f>IF(G621=1,0.2*R621/C621,K620)</f>
        <v/>
      </c>
      <c r="L621">
        <f>IF(G621=1,0.2*R621/D621,L620)</f>
        <v/>
      </c>
      <c r="M621">
        <f>IF(G621=1,0.2*R621/E621,M620)</f>
        <v/>
      </c>
      <c r="N621">
        <f>IF(G621=1,0.2*R621/F621,N620)</f>
        <v/>
      </c>
      <c r="O621">
        <f>IF(G621=1,R621*(1-1.0),IF(H620=0,1,O620*(1+0.00023125256064071564)))</f>
        <v/>
      </c>
      <c r="P621">
        <f>IF(G621=1,IF(H620=0,1,ABS(0.2-J620*B621/I621)+ABS(0.2-K620*C621/I621)+ABS(0.2-L620*D621/I621)+ABS(0.2-M620*E621/I621)+ABS(0.2-N620*F621/I621)),0)</f>
        <v/>
      </c>
      <c r="Q621">
        <f>P621*0.0015</f>
        <v/>
      </c>
      <c r="R621">
        <f>I621*(1-Q621)</f>
        <v/>
      </c>
      <c r="S621">
        <f>R621/R620-1</f>
        <v/>
      </c>
      <c r="T621">
        <f>MAX(T620,R621)</f>
        <v/>
      </c>
      <c r="U621">
        <f>R621/T621-1</f>
        <v/>
      </c>
      <c r="V621" t="n">
        <v>2.565247231775113</v>
      </c>
      <c r="W621" s="5">
        <f>R621-V621</f>
        <v/>
      </c>
    </row>
    <row r="622">
      <c r="A622" s="3" t="n">
        <v>39346</v>
      </c>
      <c r="B622">
        <f>Prices!B622</f>
        <v/>
      </c>
      <c r="C622">
        <f>Prices!C622</f>
        <v/>
      </c>
      <c r="D622">
        <f>Prices!D622</f>
        <v/>
      </c>
      <c r="E622">
        <f>Prices!E622</f>
        <v/>
      </c>
      <c r="F622">
        <f>Prices!F622</f>
        <v/>
      </c>
      <c r="G622">
        <f>IF(AND(620&gt;=16,TEXT(A622,"yyyy-mm")&lt;&gt;TEXT(A623,"yyyy-mm")),1,0)</f>
        <v/>
      </c>
      <c r="H622">
        <f>IF(OR(H621=1,G622=1),1,0)</f>
        <v/>
      </c>
      <c r="I622">
        <f>IF(H621=0,1,SUMPRODUCT(J621:N621,B622:F622)+O621*(1+0.00023125256064071564))</f>
        <v/>
      </c>
      <c r="J622">
        <f>IF(G622=1,0.2*R622/B622,J621)</f>
        <v/>
      </c>
      <c r="K622">
        <f>IF(G622=1,0.2*R622/C622,K621)</f>
        <v/>
      </c>
      <c r="L622">
        <f>IF(G622=1,0.2*R622/D622,L621)</f>
        <v/>
      </c>
      <c r="M622">
        <f>IF(G622=1,0.2*R622/E622,M621)</f>
        <v/>
      </c>
      <c r="N622">
        <f>IF(G622=1,0.2*R622/F622,N621)</f>
        <v/>
      </c>
      <c r="O622">
        <f>IF(G622=1,R622*(1-1.0),IF(H621=0,1,O621*(1+0.00023125256064071564)))</f>
        <v/>
      </c>
      <c r="P622">
        <f>IF(G622=1,IF(H621=0,1,ABS(0.2-J621*B622/I622)+ABS(0.2-K621*C622/I622)+ABS(0.2-L621*D622/I622)+ABS(0.2-M621*E622/I622)+ABS(0.2-N621*F622/I622)),0)</f>
        <v/>
      </c>
      <c r="Q622">
        <f>P622*0.0015</f>
        <v/>
      </c>
      <c r="R622">
        <f>I622*(1-Q622)</f>
        <v/>
      </c>
      <c r="S622">
        <f>R622/R621-1</f>
        <v/>
      </c>
      <c r="T622">
        <f>MAX(T621,R622)</f>
        <v/>
      </c>
      <c r="U622">
        <f>R622/T622-1</f>
        <v/>
      </c>
      <c r="V622" t="n">
        <v>2.588405954372152</v>
      </c>
      <c r="W622" s="5">
        <f>R622-V622</f>
        <v/>
      </c>
    </row>
    <row r="623">
      <c r="A623" s="3" t="n">
        <v>39349</v>
      </c>
      <c r="B623">
        <f>Prices!B623</f>
        <v/>
      </c>
      <c r="C623">
        <f>Prices!C623</f>
        <v/>
      </c>
      <c r="D623">
        <f>Prices!D623</f>
        <v/>
      </c>
      <c r="E623">
        <f>Prices!E623</f>
        <v/>
      </c>
      <c r="F623">
        <f>Prices!F623</f>
        <v/>
      </c>
      <c r="G623">
        <f>IF(AND(621&gt;=16,TEXT(A623,"yyyy-mm")&lt;&gt;TEXT(A624,"yyyy-mm")),1,0)</f>
        <v/>
      </c>
      <c r="H623">
        <f>IF(OR(H622=1,G623=1),1,0)</f>
        <v/>
      </c>
      <c r="I623">
        <f>IF(H622=0,1,SUMPRODUCT(J622:N622,B623:F623)+O622*(1+0.00023125256064071564))</f>
        <v/>
      </c>
      <c r="J623">
        <f>IF(G623=1,0.2*R623/B623,J622)</f>
        <v/>
      </c>
      <c r="K623">
        <f>IF(G623=1,0.2*R623/C623,K622)</f>
        <v/>
      </c>
      <c r="L623">
        <f>IF(G623=1,0.2*R623/D623,L622)</f>
        <v/>
      </c>
      <c r="M623">
        <f>IF(G623=1,0.2*R623/E623,M622)</f>
        <v/>
      </c>
      <c r="N623">
        <f>IF(G623=1,0.2*R623/F623,N622)</f>
        <v/>
      </c>
      <c r="O623">
        <f>IF(G623=1,R623*(1-1.0),IF(H622=0,1,O622*(1+0.00023125256064071564)))</f>
        <v/>
      </c>
      <c r="P623">
        <f>IF(G623=1,IF(H622=0,1,ABS(0.2-J622*B623/I623)+ABS(0.2-K622*C623/I623)+ABS(0.2-L622*D623/I623)+ABS(0.2-M622*E623/I623)+ABS(0.2-N622*F623/I623)),0)</f>
        <v/>
      </c>
      <c r="Q623">
        <f>P623*0.0015</f>
        <v/>
      </c>
      <c r="R623">
        <f>I623*(1-Q623)</f>
        <v/>
      </c>
      <c r="S623">
        <f>R623/R622-1</f>
        <v/>
      </c>
      <c r="T623">
        <f>MAX(T622,R623)</f>
        <v/>
      </c>
      <c r="U623">
        <f>R623/T623-1</f>
        <v/>
      </c>
      <c r="V623" t="n">
        <v>2.630928212997043</v>
      </c>
      <c r="W623" s="5">
        <f>R623-V623</f>
        <v/>
      </c>
    </row>
    <row r="624">
      <c r="A624" s="3" t="n">
        <v>39350</v>
      </c>
      <c r="B624">
        <f>Prices!B624</f>
        <v/>
      </c>
      <c r="C624">
        <f>Prices!C624</f>
        <v/>
      </c>
      <c r="D624">
        <f>Prices!D624</f>
        <v/>
      </c>
      <c r="E624">
        <f>Prices!E624</f>
        <v/>
      </c>
      <c r="F624">
        <f>Prices!F624</f>
        <v/>
      </c>
      <c r="G624">
        <f>IF(AND(622&gt;=16,TEXT(A624,"yyyy-mm")&lt;&gt;TEXT(A625,"yyyy-mm")),1,0)</f>
        <v/>
      </c>
      <c r="H624">
        <f>IF(OR(H623=1,G624=1),1,0)</f>
        <v/>
      </c>
      <c r="I624">
        <f>IF(H623=0,1,SUMPRODUCT(J623:N623,B624:F624)+O623*(1+0.00023125256064071564))</f>
        <v/>
      </c>
      <c r="J624">
        <f>IF(G624=1,0.2*R624/B624,J623)</f>
        <v/>
      </c>
      <c r="K624">
        <f>IF(G624=1,0.2*R624/C624,K623)</f>
        <v/>
      </c>
      <c r="L624">
        <f>IF(G624=1,0.2*R624/D624,L623)</f>
        <v/>
      </c>
      <c r="M624">
        <f>IF(G624=1,0.2*R624/E624,M623)</f>
        <v/>
      </c>
      <c r="N624">
        <f>IF(G624=1,0.2*R624/F624,N623)</f>
        <v/>
      </c>
      <c r="O624">
        <f>IF(G624=1,R624*(1-1.0),IF(H623=0,1,O623*(1+0.00023125256064071564)))</f>
        <v/>
      </c>
      <c r="P624">
        <f>IF(G624=1,IF(H623=0,1,ABS(0.2-J623*B624/I624)+ABS(0.2-K623*C624/I624)+ABS(0.2-L623*D624/I624)+ABS(0.2-M623*E624/I624)+ABS(0.2-N623*F624/I624)),0)</f>
        <v/>
      </c>
      <c r="Q624">
        <f>P624*0.0015</f>
        <v/>
      </c>
      <c r="R624">
        <f>I624*(1-Q624)</f>
        <v/>
      </c>
      <c r="S624">
        <f>R624/R623-1</f>
        <v/>
      </c>
      <c r="T624">
        <f>MAX(T623,R624)</f>
        <v/>
      </c>
      <c r="U624">
        <f>R624/T624-1</f>
        <v/>
      </c>
      <c r="V624" t="n">
        <v>2.637821714160661</v>
      </c>
      <c r="W624" s="5">
        <f>R624-V624</f>
        <v/>
      </c>
    </row>
    <row r="625">
      <c r="A625" s="3" t="n">
        <v>39351</v>
      </c>
      <c r="B625">
        <f>Prices!B625</f>
        <v/>
      </c>
      <c r="C625">
        <f>Prices!C625</f>
        <v/>
      </c>
      <c r="D625">
        <f>Prices!D625</f>
        <v/>
      </c>
      <c r="E625">
        <f>Prices!E625</f>
        <v/>
      </c>
      <c r="F625">
        <f>Prices!F625</f>
        <v/>
      </c>
      <c r="G625">
        <f>IF(AND(623&gt;=16,TEXT(A625,"yyyy-mm")&lt;&gt;TEXT(A626,"yyyy-mm")),1,0)</f>
        <v/>
      </c>
      <c r="H625">
        <f>IF(OR(H624=1,G625=1),1,0)</f>
        <v/>
      </c>
      <c r="I625">
        <f>IF(H624=0,1,SUMPRODUCT(J624:N624,B625:F625)+O624*(1+0.00023125256064071564))</f>
        <v/>
      </c>
      <c r="J625">
        <f>IF(G625=1,0.2*R625/B625,J624)</f>
        <v/>
      </c>
      <c r="K625">
        <f>IF(G625=1,0.2*R625/C625,K624)</f>
        <v/>
      </c>
      <c r="L625">
        <f>IF(G625=1,0.2*R625/D625,L624)</f>
        <v/>
      </c>
      <c r="M625">
        <f>IF(G625=1,0.2*R625/E625,M624)</f>
        <v/>
      </c>
      <c r="N625">
        <f>IF(G625=1,0.2*R625/F625,N624)</f>
        <v/>
      </c>
      <c r="O625">
        <f>IF(G625=1,R625*(1-1.0),IF(H624=0,1,O624*(1+0.00023125256064071564)))</f>
        <v/>
      </c>
      <c r="P625">
        <f>IF(G625=1,IF(H624=0,1,ABS(0.2-J624*B625/I625)+ABS(0.2-K624*C625/I625)+ABS(0.2-L624*D625/I625)+ABS(0.2-M624*E625/I625)+ABS(0.2-N624*F625/I625)),0)</f>
        <v/>
      </c>
      <c r="Q625">
        <f>P625*0.0015</f>
        <v/>
      </c>
      <c r="R625">
        <f>I625*(1-Q625)</f>
        <v/>
      </c>
      <c r="S625">
        <f>R625/R624-1</f>
        <v/>
      </c>
      <c r="T625">
        <f>MAX(T624,R625)</f>
        <v/>
      </c>
      <c r="U625">
        <f>R625/T625-1</f>
        <v/>
      </c>
      <c r="V625" t="n">
        <v>2.652922089714865</v>
      </c>
      <c r="W625" s="5">
        <f>R625-V625</f>
        <v/>
      </c>
    </row>
    <row r="626">
      <c r="A626" s="3" t="n">
        <v>39352</v>
      </c>
      <c r="B626">
        <f>Prices!B626</f>
        <v/>
      </c>
      <c r="C626">
        <f>Prices!C626</f>
        <v/>
      </c>
      <c r="D626">
        <f>Prices!D626</f>
        <v/>
      </c>
      <c r="E626">
        <f>Prices!E626</f>
        <v/>
      </c>
      <c r="F626">
        <f>Prices!F626</f>
        <v/>
      </c>
      <c r="G626">
        <f>IF(AND(624&gt;=16,TEXT(A626,"yyyy-mm")&lt;&gt;TEXT(A627,"yyyy-mm")),1,0)</f>
        <v/>
      </c>
      <c r="H626">
        <f>IF(OR(H625=1,G626=1),1,0)</f>
        <v/>
      </c>
      <c r="I626">
        <f>IF(H625=0,1,SUMPRODUCT(J625:N625,B626:F626)+O625*(1+0.00023125256064071564))</f>
        <v/>
      </c>
      <c r="J626">
        <f>IF(G626=1,0.2*R626/B626,J625)</f>
        <v/>
      </c>
      <c r="K626">
        <f>IF(G626=1,0.2*R626/C626,K625)</f>
        <v/>
      </c>
      <c r="L626">
        <f>IF(G626=1,0.2*R626/D626,L625)</f>
        <v/>
      </c>
      <c r="M626">
        <f>IF(G626=1,0.2*R626/E626,M625)</f>
        <v/>
      </c>
      <c r="N626">
        <f>IF(G626=1,0.2*R626/F626,N625)</f>
        <v/>
      </c>
      <c r="O626">
        <f>IF(G626=1,R626*(1-1.0),IF(H625=0,1,O625*(1+0.00023125256064071564)))</f>
        <v/>
      </c>
      <c r="P626">
        <f>IF(G626=1,IF(H625=0,1,ABS(0.2-J625*B626/I626)+ABS(0.2-K625*C626/I626)+ABS(0.2-L625*D626/I626)+ABS(0.2-M625*E626/I626)+ABS(0.2-N625*F626/I626)),0)</f>
        <v/>
      </c>
      <c r="Q626">
        <f>P626*0.0015</f>
        <v/>
      </c>
      <c r="R626">
        <f>I626*(1-Q626)</f>
        <v/>
      </c>
      <c r="S626">
        <f>R626/R625-1</f>
        <v/>
      </c>
      <c r="T626">
        <f>MAX(T625,R626)</f>
        <v/>
      </c>
      <c r="U626">
        <f>R626/T626-1</f>
        <v/>
      </c>
      <c r="V626" t="n">
        <v>2.652644224716758</v>
      </c>
      <c r="W626" s="5">
        <f>R626-V626</f>
        <v/>
      </c>
    </row>
    <row r="627">
      <c r="A627" s="3" t="n">
        <v>39353</v>
      </c>
      <c r="B627">
        <f>Prices!B627</f>
        <v/>
      </c>
      <c r="C627">
        <f>Prices!C627</f>
        <v/>
      </c>
      <c r="D627">
        <f>Prices!D627</f>
        <v/>
      </c>
      <c r="E627">
        <f>Prices!E627</f>
        <v/>
      </c>
      <c r="F627">
        <f>Prices!F627</f>
        <v/>
      </c>
      <c r="G627">
        <f>IF(AND(625&gt;=16,TEXT(A627,"yyyy-mm")&lt;&gt;TEXT(A628,"yyyy-mm")),1,0)</f>
        <v/>
      </c>
      <c r="H627">
        <f>IF(OR(H626=1,G627=1),1,0)</f>
        <v/>
      </c>
      <c r="I627">
        <f>IF(H626=0,1,SUMPRODUCT(J626:N626,B627:F627)+O626*(1+0.00023125256064071564))</f>
        <v/>
      </c>
      <c r="J627">
        <f>IF(G627=1,0.2*R627/B627,J626)</f>
        <v/>
      </c>
      <c r="K627">
        <f>IF(G627=1,0.2*R627/C627,K626)</f>
        <v/>
      </c>
      <c r="L627">
        <f>IF(G627=1,0.2*R627/D627,L626)</f>
        <v/>
      </c>
      <c r="M627">
        <f>IF(G627=1,0.2*R627/E627,M626)</f>
        <v/>
      </c>
      <c r="N627">
        <f>IF(G627=1,0.2*R627/F627,N626)</f>
        <v/>
      </c>
      <c r="O627">
        <f>IF(G627=1,R627*(1-1.0),IF(H626=0,1,O626*(1+0.00023125256064071564)))</f>
        <v/>
      </c>
      <c r="P627">
        <f>IF(G627=1,IF(H626=0,1,ABS(0.2-J626*B627/I627)+ABS(0.2-K626*C627/I627)+ABS(0.2-L626*D627/I627)+ABS(0.2-M626*E627/I627)+ABS(0.2-N626*F627/I627)),0)</f>
        <v/>
      </c>
      <c r="Q627">
        <f>P627*0.0015</f>
        <v/>
      </c>
      <c r="R627">
        <f>I627*(1-Q627)</f>
        <v/>
      </c>
      <c r="S627">
        <f>R627/R626-1</f>
        <v/>
      </c>
      <c r="T627">
        <f>MAX(T626,R627)</f>
        <v/>
      </c>
      <c r="U627">
        <f>R627/T627-1</f>
        <v/>
      </c>
      <c r="V627" t="n">
        <v>2.702192325182954</v>
      </c>
      <c r="W627" s="5">
        <f>R627-V627</f>
        <v/>
      </c>
    </row>
    <row r="628">
      <c r="A628" s="3" t="n">
        <v>39356</v>
      </c>
      <c r="B628">
        <f>Prices!B628</f>
        <v/>
      </c>
      <c r="C628">
        <f>Prices!C628</f>
        <v/>
      </c>
      <c r="D628">
        <f>Prices!D628</f>
        <v/>
      </c>
      <c r="E628">
        <f>Prices!E628</f>
        <v/>
      </c>
      <c r="F628">
        <f>Prices!F628</f>
        <v/>
      </c>
      <c r="G628">
        <f>IF(AND(626&gt;=16,TEXT(A628,"yyyy-mm")&lt;&gt;TEXT(A629,"yyyy-mm")),1,0)</f>
        <v/>
      </c>
      <c r="H628">
        <f>IF(OR(H627=1,G628=1),1,0)</f>
        <v/>
      </c>
      <c r="I628">
        <f>IF(H627=0,1,SUMPRODUCT(J627:N627,B628:F628)+O627*(1+0.00023125256064071564))</f>
        <v/>
      </c>
      <c r="J628">
        <f>IF(G628=1,0.2*R628/B628,J627)</f>
        <v/>
      </c>
      <c r="K628">
        <f>IF(G628=1,0.2*R628/C628,K627)</f>
        <v/>
      </c>
      <c r="L628">
        <f>IF(G628=1,0.2*R628/D628,L627)</f>
        <v/>
      </c>
      <c r="M628">
        <f>IF(G628=1,0.2*R628/E628,M627)</f>
        <v/>
      </c>
      <c r="N628">
        <f>IF(G628=1,0.2*R628/F628,N627)</f>
        <v/>
      </c>
      <c r="O628">
        <f>IF(G628=1,R628*(1-1.0),IF(H627=0,1,O627*(1+0.00023125256064071564)))</f>
        <v/>
      </c>
      <c r="P628">
        <f>IF(G628=1,IF(H627=0,1,ABS(0.2-J627*B628/I628)+ABS(0.2-K627*C628/I628)+ABS(0.2-L627*D628/I628)+ABS(0.2-M627*E628/I628)+ABS(0.2-N627*F628/I628)),0)</f>
        <v/>
      </c>
      <c r="Q628">
        <f>P628*0.0015</f>
        <v/>
      </c>
      <c r="R628">
        <f>I628*(1-Q628)</f>
        <v/>
      </c>
      <c r="S628">
        <f>R628/R627-1</f>
        <v/>
      </c>
      <c r="T628">
        <f>MAX(T627,R628)</f>
        <v/>
      </c>
      <c r="U628">
        <f>R628/T628-1</f>
        <v/>
      </c>
      <c r="V628" t="n">
        <v>2.74737423451506</v>
      </c>
      <c r="W628" s="5">
        <f>R628-V628</f>
        <v/>
      </c>
    </row>
    <row r="629">
      <c r="A629" s="3" t="n">
        <v>39358</v>
      </c>
      <c r="B629">
        <f>Prices!B629</f>
        <v/>
      </c>
      <c r="C629">
        <f>Prices!C629</f>
        <v/>
      </c>
      <c r="D629">
        <f>Prices!D629</f>
        <v/>
      </c>
      <c r="E629">
        <f>Prices!E629</f>
        <v/>
      </c>
      <c r="F629">
        <f>Prices!F629</f>
        <v/>
      </c>
      <c r="G629">
        <f>IF(AND(627&gt;=16,TEXT(A629,"yyyy-mm")&lt;&gt;TEXT(A630,"yyyy-mm")),1,0)</f>
        <v/>
      </c>
      <c r="H629">
        <f>IF(OR(H628=1,G629=1),1,0)</f>
        <v/>
      </c>
      <c r="I629">
        <f>IF(H628=0,1,SUMPRODUCT(J628:N628,B629:F629)+O628*(1+0.00023125256064071564))</f>
        <v/>
      </c>
      <c r="J629">
        <f>IF(G629=1,0.2*R629/B629,J628)</f>
        <v/>
      </c>
      <c r="K629">
        <f>IF(G629=1,0.2*R629/C629,K628)</f>
        <v/>
      </c>
      <c r="L629">
        <f>IF(G629=1,0.2*R629/D629,L628)</f>
        <v/>
      </c>
      <c r="M629">
        <f>IF(G629=1,0.2*R629/E629,M628)</f>
        <v/>
      </c>
      <c r="N629">
        <f>IF(G629=1,0.2*R629/F629,N628)</f>
        <v/>
      </c>
      <c r="O629">
        <f>IF(G629=1,R629*(1-1.0),IF(H628=0,1,O628*(1+0.00023125256064071564)))</f>
        <v/>
      </c>
      <c r="P629">
        <f>IF(G629=1,IF(H628=0,1,ABS(0.2-J628*B629/I629)+ABS(0.2-K628*C629/I629)+ABS(0.2-L628*D629/I629)+ABS(0.2-M628*E629/I629)+ABS(0.2-N628*F629/I629)),0)</f>
        <v/>
      </c>
      <c r="Q629">
        <f>P629*0.0015</f>
        <v/>
      </c>
      <c r="R629">
        <f>I629*(1-Q629)</f>
        <v/>
      </c>
      <c r="S629">
        <f>R629/R628-1</f>
        <v/>
      </c>
      <c r="T629">
        <f>MAX(T628,R629)</f>
        <v/>
      </c>
      <c r="U629">
        <f>R629/T629-1</f>
        <v/>
      </c>
      <c r="V629" t="n">
        <v>2.782576838686855</v>
      </c>
      <c r="W629" s="5">
        <f>R629-V629</f>
        <v/>
      </c>
    </row>
    <row r="630">
      <c r="A630" s="3" t="n">
        <v>39359</v>
      </c>
      <c r="B630">
        <f>Prices!B630</f>
        <v/>
      </c>
      <c r="C630">
        <f>Prices!C630</f>
        <v/>
      </c>
      <c r="D630">
        <f>Prices!D630</f>
        <v/>
      </c>
      <c r="E630">
        <f>Prices!E630</f>
        <v/>
      </c>
      <c r="F630">
        <f>Prices!F630</f>
        <v/>
      </c>
      <c r="G630">
        <f>IF(AND(628&gt;=16,TEXT(A630,"yyyy-mm")&lt;&gt;TEXT(A631,"yyyy-mm")),1,0)</f>
        <v/>
      </c>
      <c r="H630">
        <f>IF(OR(H629=1,G630=1),1,0)</f>
        <v/>
      </c>
      <c r="I630">
        <f>IF(H629=0,1,SUMPRODUCT(J629:N629,B630:F630)+O629*(1+0.00023125256064071564))</f>
        <v/>
      </c>
      <c r="J630">
        <f>IF(G630=1,0.2*R630/B630,J629)</f>
        <v/>
      </c>
      <c r="K630">
        <f>IF(G630=1,0.2*R630/C630,K629)</f>
        <v/>
      </c>
      <c r="L630">
        <f>IF(G630=1,0.2*R630/D630,L629)</f>
        <v/>
      </c>
      <c r="M630">
        <f>IF(G630=1,0.2*R630/E630,M629)</f>
        <v/>
      </c>
      <c r="N630">
        <f>IF(G630=1,0.2*R630/F630,N629)</f>
        <v/>
      </c>
      <c r="O630">
        <f>IF(G630=1,R630*(1-1.0),IF(H629=0,1,O629*(1+0.00023125256064071564)))</f>
        <v/>
      </c>
      <c r="P630">
        <f>IF(G630=1,IF(H629=0,1,ABS(0.2-J629*B630/I630)+ABS(0.2-K629*C630/I630)+ABS(0.2-L629*D630/I630)+ABS(0.2-M629*E630/I630)+ABS(0.2-N629*F630/I630)),0)</f>
        <v/>
      </c>
      <c r="Q630">
        <f>P630*0.0015</f>
        <v/>
      </c>
      <c r="R630">
        <f>I630*(1-Q630)</f>
        <v/>
      </c>
      <c r="S630">
        <f>R630/R629-1</f>
        <v/>
      </c>
      <c r="T630">
        <f>MAX(T629,R630)</f>
        <v/>
      </c>
      <c r="U630">
        <f>R630/T630-1</f>
        <v/>
      </c>
      <c r="V630" t="n">
        <v>2.795975209417772</v>
      </c>
      <c r="W630" s="5">
        <f>R630-V630</f>
        <v/>
      </c>
    </row>
    <row r="631">
      <c r="A631" s="3" t="n">
        <v>39360</v>
      </c>
      <c r="B631">
        <f>Prices!B631</f>
        <v/>
      </c>
      <c r="C631">
        <f>Prices!C631</f>
        <v/>
      </c>
      <c r="D631">
        <f>Prices!D631</f>
        <v/>
      </c>
      <c r="E631">
        <f>Prices!E631</f>
        <v/>
      </c>
      <c r="F631">
        <f>Prices!F631</f>
        <v/>
      </c>
      <c r="G631">
        <f>IF(AND(629&gt;=16,TEXT(A631,"yyyy-mm")&lt;&gt;TEXT(A632,"yyyy-mm")),1,0)</f>
        <v/>
      </c>
      <c r="H631">
        <f>IF(OR(H630=1,G631=1),1,0)</f>
        <v/>
      </c>
      <c r="I631">
        <f>IF(H630=0,1,SUMPRODUCT(J630:N630,B631:F631)+O630*(1+0.00023125256064071564))</f>
        <v/>
      </c>
      <c r="J631">
        <f>IF(G631=1,0.2*R631/B631,J630)</f>
        <v/>
      </c>
      <c r="K631">
        <f>IF(G631=1,0.2*R631/C631,K630)</f>
        <v/>
      </c>
      <c r="L631">
        <f>IF(G631=1,0.2*R631/D631,L630)</f>
        <v/>
      </c>
      <c r="M631">
        <f>IF(G631=1,0.2*R631/E631,M630)</f>
        <v/>
      </c>
      <c r="N631">
        <f>IF(G631=1,0.2*R631/F631,N630)</f>
        <v/>
      </c>
      <c r="O631">
        <f>IF(G631=1,R631*(1-1.0),IF(H630=0,1,O630*(1+0.00023125256064071564)))</f>
        <v/>
      </c>
      <c r="P631">
        <f>IF(G631=1,IF(H630=0,1,ABS(0.2-J630*B631/I631)+ABS(0.2-K630*C631/I631)+ABS(0.2-L630*D631/I631)+ABS(0.2-M630*E631/I631)+ABS(0.2-N630*F631/I631)),0)</f>
        <v/>
      </c>
      <c r="Q631">
        <f>P631*0.0015</f>
        <v/>
      </c>
      <c r="R631">
        <f>I631*(1-Q631)</f>
        <v/>
      </c>
      <c r="S631">
        <f>R631/R630-1</f>
        <v/>
      </c>
      <c r="T631">
        <f>MAX(T630,R631)</f>
        <v/>
      </c>
      <c r="U631">
        <f>R631/T631-1</f>
        <v/>
      </c>
      <c r="V631" t="n">
        <v>2.771481516253914</v>
      </c>
      <c r="W631" s="5">
        <f>R631-V631</f>
        <v/>
      </c>
    </row>
    <row r="632">
      <c r="A632" s="3" t="n">
        <v>39363</v>
      </c>
      <c r="B632">
        <f>Prices!B632</f>
        <v/>
      </c>
      <c r="C632">
        <f>Prices!C632</f>
        <v/>
      </c>
      <c r="D632">
        <f>Prices!D632</f>
        <v/>
      </c>
      <c r="E632">
        <f>Prices!E632</f>
        <v/>
      </c>
      <c r="F632">
        <f>Prices!F632</f>
        <v/>
      </c>
      <c r="G632">
        <f>IF(AND(630&gt;=16,TEXT(A632,"yyyy-mm")&lt;&gt;TEXT(A633,"yyyy-mm")),1,0)</f>
        <v/>
      </c>
      <c r="H632">
        <f>IF(OR(H631=1,G632=1),1,0)</f>
        <v/>
      </c>
      <c r="I632">
        <f>IF(H631=0,1,SUMPRODUCT(J631:N631,B632:F632)+O631*(1+0.00023125256064071564))</f>
        <v/>
      </c>
      <c r="J632">
        <f>IF(G632=1,0.2*R632/B632,J631)</f>
        <v/>
      </c>
      <c r="K632">
        <f>IF(G632=1,0.2*R632/C632,K631)</f>
        <v/>
      </c>
      <c r="L632">
        <f>IF(G632=1,0.2*R632/D632,L631)</f>
        <v/>
      </c>
      <c r="M632">
        <f>IF(G632=1,0.2*R632/E632,M631)</f>
        <v/>
      </c>
      <c r="N632">
        <f>IF(G632=1,0.2*R632/F632,N631)</f>
        <v/>
      </c>
      <c r="O632">
        <f>IF(G632=1,R632*(1-1.0),IF(H631=0,1,O631*(1+0.00023125256064071564)))</f>
        <v/>
      </c>
      <c r="P632">
        <f>IF(G632=1,IF(H631=0,1,ABS(0.2-J631*B632/I632)+ABS(0.2-K631*C632/I632)+ABS(0.2-L631*D632/I632)+ABS(0.2-M631*E632/I632)+ABS(0.2-N631*F632/I632)),0)</f>
        <v/>
      </c>
      <c r="Q632">
        <f>P632*0.0015</f>
        <v/>
      </c>
      <c r="R632">
        <f>I632*(1-Q632)</f>
        <v/>
      </c>
      <c r="S632">
        <f>R632/R631-1</f>
        <v/>
      </c>
      <c r="T632">
        <f>MAX(T631,R632)</f>
        <v/>
      </c>
      <c r="U632">
        <f>R632/T632-1</f>
        <v/>
      </c>
      <c r="V632" t="n">
        <v>2.679478448809339</v>
      </c>
      <c r="W632" s="5">
        <f>R632-V632</f>
        <v/>
      </c>
    </row>
    <row r="633">
      <c r="A633" s="3" t="n">
        <v>39364</v>
      </c>
      <c r="B633">
        <f>Prices!B633</f>
        <v/>
      </c>
      <c r="C633">
        <f>Prices!C633</f>
        <v/>
      </c>
      <c r="D633">
        <f>Prices!D633</f>
        <v/>
      </c>
      <c r="E633">
        <f>Prices!E633</f>
        <v/>
      </c>
      <c r="F633">
        <f>Prices!F633</f>
        <v/>
      </c>
      <c r="G633">
        <f>IF(AND(631&gt;=16,TEXT(A633,"yyyy-mm")&lt;&gt;TEXT(A634,"yyyy-mm")),1,0)</f>
        <v/>
      </c>
      <c r="H633">
        <f>IF(OR(H632=1,G633=1),1,0)</f>
        <v/>
      </c>
      <c r="I633">
        <f>IF(H632=0,1,SUMPRODUCT(J632:N632,B633:F633)+O632*(1+0.00023125256064071564))</f>
        <v/>
      </c>
      <c r="J633">
        <f>IF(G633=1,0.2*R633/B633,J632)</f>
        <v/>
      </c>
      <c r="K633">
        <f>IF(G633=1,0.2*R633/C633,K632)</f>
        <v/>
      </c>
      <c r="L633">
        <f>IF(G633=1,0.2*R633/D633,L632)</f>
        <v/>
      </c>
      <c r="M633">
        <f>IF(G633=1,0.2*R633/E633,M632)</f>
        <v/>
      </c>
      <c r="N633">
        <f>IF(G633=1,0.2*R633/F633,N632)</f>
        <v/>
      </c>
      <c r="O633">
        <f>IF(G633=1,R633*(1-1.0),IF(H632=0,1,O632*(1+0.00023125256064071564)))</f>
        <v/>
      </c>
      <c r="P633">
        <f>IF(G633=1,IF(H632=0,1,ABS(0.2-J632*B633/I633)+ABS(0.2-K632*C633/I633)+ABS(0.2-L632*D633/I633)+ABS(0.2-M632*E633/I633)+ABS(0.2-N632*F633/I633)),0)</f>
        <v/>
      </c>
      <c r="Q633">
        <f>P633*0.0015</f>
        <v/>
      </c>
      <c r="R633">
        <f>I633*(1-Q633)</f>
        <v/>
      </c>
      <c r="S633">
        <f>R633/R632-1</f>
        <v/>
      </c>
      <c r="T633">
        <f>MAX(T632,R633)</f>
        <v/>
      </c>
      <c r="U633">
        <f>R633/T633-1</f>
        <v/>
      </c>
      <c r="V633" t="n">
        <v>2.778813527347157</v>
      </c>
      <c r="W633" s="5">
        <f>R633-V633</f>
        <v/>
      </c>
    </row>
    <row r="634">
      <c r="A634" s="3" t="n">
        <v>39365</v>
      </c>
      <c r="B634">
        <f>Prices!B634</f>
        <v/>
      </c>
      <c r="C634">
        <f>Prices!C634</f>
        <v/>
      </c>
      <c r="D634">
        <f>Prices!D634</f>
        <v/>
      </c>
      <c r="E634">
        <f>Prices!E634</f>
        <v/>
      </c>
      <c r="F634">
        <f>Prices!F634</f>
        <v/>
      </c>
      <c r="G634">
        <f>IF(AND(632&gt;=16,TEXT(A634,"yyyy-mm")&lt;&gt;TEXT(A635,"yyyy-mm")),1,0)</f>
        <v/>
      </c>
      <c r="H634">
        <f>IF(OR(H633=1,G634=1),1,0)</f>
        <v/>
      </c>
      <c r="I634">
        <f>IF(H633=0,1,SUMPRODUCT(J633:N633,B634:F634)+O633*(1+0.00023125256064071564))</f>
        <v/>
      </c>
      <c r="J634">
        <f>IF(G634=1,0.2*R634/B634,J633)</f>
        <v/>
      </c>
      <c r="K634">
        <f>IF(G634=1,0.2*R634/C634,K633)</f>
        <v/>
      </c>
      <c r="L634">
        <f>IF(G634=1,0.2*R634/D634,L633)</f>
        <v/>
      </c>
      <c r="M634">
        <f>IF(G634=1,0.2*R634/E634,M633)</f>
        <v/>
      </c>
      <c r="N634">
        <f>IF(G634=1,0.2*R634/F634,N633)</f>
        <v/>
      </c>
      <c r="O634">
        <f>IF(G634=1,R634*(1-1.0),IF(H633=0,1,O633*(1+0.00023125256064071564)))</f>
        <v/>
      </c>
      <c r="P634">
        <f>IF(G634=1,IF(H633=0,1,ABS(0.2-J633*B634/I634)+ABS(0.2-K633*C634/I634)+ABS(0.2-L633*D634/I634)+ABS(0.2-M633*E634/I634)+ABS(0.2-N633*F634/I634)),0)</f>
        <v/>
      </c>
      <c r="Q634">
        <f>P634*0.0015</f>
        <v/>
      </c>
      <c r="R634">
        <f>I634*(1-Q634)</f>
        <v/>
      </c>
      <c r="S634">
        <f>R634/R633-1</f>
        <v/>
      </c>
      <c r="T634">
        <f>MAX(T633,R634)</f>
        <v/>
      </c>
      <c r="U634">
        <f>R634/T634-1</f>
        <v/>
      </c>
      <c r="V634" t="n">
        <v>2.829476750070193</v>
      </c>
      <c r="W634" s="5">
        <f>R634-V634</f>
        <v/>
      </c>
    </row>
    <row r="635">
      <c r="A635" s="3" t="n">
        <v>39366</v>
      </c>
      <c r="B635">
        <f>Prices!B635</f>
        <v/>
      </c>
      <c r="C635">
        <f>Prices!C635</f>
        <v/>
      </c>
      <c r="D635">
        <f>Prices!D635</f>
        <v/>
      </c>
      <c r="E635">
        <f>Prices!E635</f>
        <v/>
      </c>
      <c r="F635">
        <f>Prices!F635</f>
        <v/>
      </c>
      <c r="G635">
        <f>IF(AND(633&gt;=16,TEXT(A635,"yyyy-mm")&lt;&gt;TEXT(A636,"yyyy-mm")),1,0)</f>
        <v/>
      </c>
      <c r="H635">
        <f>IF(OR(H634=1,G635=1),1,0)</f>
        <v/>
      </c>
      <c r="I635">
        <f>IF(H634=0,1,SUMPRODUCT(J634:N634,B635:F635)+O634*(1+0.00023125256064071564))</f>
        <v/>
      </c>
      <c r="J635">
        <f>IF(G635=1,0.2*R635/B635,J634)</f>
        <v/>
      </c>
      <c r="K635">
        <f>IF(G635=1,0.2*R635/C635,K634)</f>
        <v/>
      </c>
      <c r="L635">
        <f>IF(G635=1,0.2*R635/D635,L634)</f>
        <v/>
      </c>
      <c r="M635">
        <f>IF(G635=1,0.2*R635/E635,M634)</f>
        <v/>
      </c>
      <c r="N635">
        <f>IF(G635=1,0.2*R635/F635,N634)</f>
        <v/>
      </c>
      <c r="O635">
        <f>IF(G635=1,R635*(1-1.0),IF(H634=0,1,O634*(1+0.00023125256064071564)))</f>
        <v/>
      </c>
      <c r="P635">
        <f>IF(G635=1,IF(H634=0,1,ABS(0.2-J634*B635/I635)+ABS(0.2-K634*C635/I635)+ABS(0.2-L634*D635/I635)+ABS(0.2-M634*E635/I635)+ABS(0.2-N634*F635/I635)),0)</f>
        <v/>
      </c>
      <c r="Q635">
        <f>P635*0.0015</f>
        <v/>
      </c>
      <c r="R635">
        <f>I635*(1-Q635)</f>
        <v/>
      </c>
      <c r="S635">
        <f>R635/R634-1</f>
        <v/>
      </c>
      <c r="T635">
        <f>MAX(T634,R635)</f>
        <v/>
      </c>
      <c r="U635">
        <f>R635/T635-1</f>
        <v/>
      </c>
      <c r="V635" t="n">
        <v>2.865849288714541</v>
      </c>
      <c r="W635" s="5">
        <f>R635-V635</f>
        <v/>
      </c>
    </row>
    <row r="636">
      <c r="A636" s="3" t="n">
        <v>39367</v>
      </c>
      <c r="B636">
        <f>Prices!B636</f>
        <v/>
      </c>
      <c r="C636">
        <f>Prices!C636</f>
        <v/>
      </c>
      <c r="D636">
        <f>Prices!D636</f>
        <v/>
      </c>
      <c r="E636">
        <f>Prices!E636</f>
        <v/>
      </c>
      <c r="F636">
        <f>Prices!F636</f>
        <v/>
      </c>
      <c r="G636">
        <f>IF(AND(634&gt;=16,TEXT(A636,"yyyy-mm")&lt;&gt;TEXT(A637,"yyyy-mm")),1,0)</f>
        <v/>
      </c>
      <c r="H636">
        <f>IF(OR(H635=1,G636=1),1,0)</f>
        <v/>
      </c>
      <c r="I636">
        <f>IF(H635=0,1,SUMPRODUCT(J635:N635,B636:F636)+O635*(1+0.00023125256064071564))</f>
        <v/>
      </c>
      <c r="J636">
        <f>IF(G636=1,0.2*R636/B636,J635)</f>
        <v/>
      </c>
      <c r="K636">
        <f>IF(G636=1,0.2*R636/C636,K635)</f>
        <v/>
      </c>
      <c r="L636">
        <f>IF(G636=1,0.2*R636/D636,L635)</f>
        <v/>
      </c>
      <c r="M636">
        <f>IF(G636=1,0.2*R636/E636,M635)</f>
        <v/>
      </c>
      <c r="N636">
        <f>IF(G636=1,0.2*R636/F636,N635)</f>
        <v/>
      </c>
      <c r="O636">
        <f>IF(G636=1,R636*(1-1.0),IF(H635=0,1,O635*(1+0.00023125256064071564)))</f>
        <v/>
      </c>
      <c r="P636">
        <f>IF(G636=1,IF(H635=0,1,ABS(0.2-J635*B636/I636)+ABS(0.2-K635*C636/I636)+ABS(0.2-L635*D636/I636)+ABS(0.2-M635*E636/I636)+ABS(0.2-N635*F636/I636)),0)</f>
        <v/>
      </c>
      <c r="Q636">
        <f>P636*0.0015</f>
        <v/>
      </c>
      <c r="R636">
        <f>I636*(1-Q636)</f>
        <v/>
      </c>
      <c r="S636">
        <f>R636/R635-1</f>
        <v/>
      </c>
      <c r="T636">
        <f>MAX(T635,R636)</f>
        <v/>
      </c>
      <c r="U636">
        <f>R636/T636-1</f>
        <v/>
      </c>
      <c r="V636" t="n">
        <v>2.842268666652902</v>
      </c>
      <c r="W636" s="5">
        <f>R636-V636</f>
        <v/>
      </c>
    </row>
    <row r="637">
      <c r="A637" s="3" t="n">
        <v>39370</v>
      </c>
      <c r="B637">
        <f>Prices!B637</f>
        <v/>
      </c>
      <c r="C637">
        <f>Prices!C637</f>
        <v/>
      </c>
      <c r="D637">
        <f>Prices!D637</f>
        <v/>
      </c>
      <c r="E637">
        <f>Prices!E637</f>
        <v/>
      </c>
      <c r="F637">
        <f>Prices!F637</f>
        <v/>
      </c>
      <c r="G637">
        <f>IF(AND(635&gt;=16,TEXT(A637,"yyyy-mm")&lt;&gt;TEXT(A638,"yyyy-mm")),1,0)</f>
        <v/>
      </c>
      <c r="H637">
        <f>IF(OR(H636=1,G637=1),1,0)</f>
        <v/>
      </c>
      <c r="I637">
        <f>IF(H636=0,1,SUMPRODUCT(J636:N636,B637:F637)+O636*(1+0.00023125256064071564))</f>
        <v/>
      </c>
      <c r="J637">
        <f>IF(G637=1,0.2*R637/B637,J636)</f>
        <v/>
      </c>
      <c r="K637">
        <f>IF(G637=1,0.2*R637/C637,K636)</f>
        <v/>
      </c>
      <c r="L637">
        <f>IF(G637=1,0.2*R637/D637,L636)</f>
        <v/>
      </c>
      <c r="M637">
        <f>IF(G637=1,0.2*R637/E637,M636)</f>
        <v/>
      </c>
      <c r="N637">
        <f>IF(G637=1,0.2*R637/F637,N636)</f>
        <v/>
      </c>
      <c r="O637">
        <f>IF(G637=1,R637*(1-1.0),IF(H636=0,1,O636*(1+0.00023125256064071564)))</f>
        <v/>
      </c>
      <c r="P637">
        <f>IF(G637=1,IF(H636=0,1,ABS(0.2-J636*B637/I637)+ABS(0.2-K636*C637/I637)+ABS(0.2-L636*D637/I637)+ABS(0.2-M636*E637/I637)+ABS(0.2-N636*F637/I637)),0)</f>
        <v/>
      </c>
      <c r="Q637">
        <f>P637*0.0015</f>
        <v/>
      </c>
      <c r="R637">
        <f>I637*(1-Q637)</f>
        <v/>
      </c>
      <c r="S637">
        <f>R637/R636-1</f>
        <v/>
      </c>
      <c r="T637">
        <f>MAX(T636,R637)</f>
        <v/>
      </c>
      <c r="U637">
        <f>R637/T637-1</f>
        <v/>
      </c>
      <c r="V637" t="n">
        <v>2.941178109820926</v>
      </c>
      <c r="W637" s="5">
        <f>R637-V637</f>
        <v/>
      </c>
    </row>
    <row r="638">
      <c r="A638" s="3" t="n">
        <v>39371</v>
      </c>
      <c r="B638">
        <f>Prices!B638</f>
        <v/>
      </c>
      <c r="C638">
        <f>Prices!C638</f>
        <v/>
      </c>
      <c r="D638">
        <f>Prices!D638</f>
        <v/>
      </c>
      <c r="E638">
        <f>Prices!E638</f>
        <v/>
      </c>
      <c r="F638">
        <f>Prices!F638</f>
        <v/>
      </c>
      <c r="G638">
        <f>IF(AND(636&gt;=16,TEXT(A638,"yyyy-mm")&lt;&gt;TEXT(A639,"yyyy-mm")),1,0)</f>
        <v/>
      </c>
      <c r="H638">
        <f>IF(OR(H637=1,G638=1),1,0)</f>
        <v/>
      </c>
      <c r="I638">
        <f>IF(H637=0,1,SUMPRODUCT(J637:N637,B638:F638)+O637*(1+0.00023125256064071564))</f>
        <v/>
      </c>
      <c r="J638">
        <f>IF(G638=1,0.2*R638/B638,J637)</f>
        <v/>
      </c>
      <c r="K638">
        <f>IF(G638=1,0.2*R638/C638,K637)</f>
        <v/>
      </c>
      <c r="L638">
        <f>IF(G638=1,0.2*R638/D638,L637)</f>
        <v/>
      </c>
      <c r="M638">
        <f>IF(G638=1,0.2*R638/E638,M637)</f>
        <v/>
      </c>
      <c r="N638">
        <f>IF(G638=1,0.2*R638/F638,N637)</f>
        <v/>
      </c>
      <c r="O638">
        <f>IF(G638=1,R638*(1-1.0),IF(H637=0,1,O637*(1+0.00023125256064071564)))</f>
        <v/>
      </c>
      <c r="P638">
        <f>IF(G638=1,IF(H637=0,1,ABS(0.2-J637*B638/I638)+ABS(0.2-K637*C638/I638)+ABS(0.2-L637*D638/I638)+ABS(0.2-M637*E638/I638)+ABS(0.2-N637*F638/I638)),0)</f>
        <v/>
      </c>
      <c r="Q638">
        <f>P638*0.0015</f>
        <v/>
      </c>
      <c r="R638">
        <f>I638*(1-Q638)</f>
        <v/>
      </c>
      <c r="S638">
        <f>R638/R637-1</f>
        <v/>
      </c>
      <c r="T638">
        <f>MAX(T637,R638)</f>
        <v/>
      </c>
      <c r="U638">
        <f>R638/T638-1</f>
        <v/>
      </c>
      <c r="V638" t="n">
        <v>2.962237715466448</v>
      </c>
      <c r="W638" s="5">
        <f>R638-V638</f>
        <v/>
      </c>
    </row>
    <row r="639">
      <c r="A639" s="3" t="n">
        <v>39372</v>
      </c>
      <c r="B639">
        <f>Prices!B639</f>
        <v/>
      </c>
      <c r="C639">
        <f>Prices!C639</f>
        <v/>
      </c>
      <c r="D639">
        <f>Prices!D639</f>
        <v/>
      </c>
      <c r="E639">
        <f>Prices!E639</f>
        <v/>
      </c>
      <c r="F639">
        <f>Prices!F639</f>
        <v/>
      </c>
      <c r="G639">
        <f>IF(AND(637&gt;=16,TEXT(A639,"yyyy-mm")&lt;&gt;TEXT(A640,"yyyy-mm")),1,0)</f>
        <v/>
      </c>
      <c r="H639">
        <f>IF(OR(H638=1,G639=1),1,0)</f>
        <v/>
      </c>
      <c r="I639">
        <f>IF(H638=0,1,SUMPRODUCT(J638:N638,B639:F639)+O638*(1+0.00023125256064071564))</f>
        <v/>
      </c>
      <c r="J639">
        <f>IF(G639=1,0.2*R639/B639,J638)</f>
        <v/>
      </c>
      <c r="K639">
        <f>IF(G639=1,0.2*R639/C639,K638)</f>
        <v/>
      </c>
      <c r="L639">
        <f>IF(G639=1,0.2*R639/D639,L638)</f>
        <v/>
      </c>
      <c r="M639">
        <f>IF(G639=1,0.2*R639/E639,M638)</f>
        <v/>
      </c>
      <c r="N639">
        <f>IF(G639=1,0.2*R639/F639,N638)</f>
        <v/>
      </c>
      <c r="O639">
        <f>IF(G639=1,R639*(1-1.0),IF(H638=0,1,O638*(1+0.00023125256064071564)))</f>
        <v/>
      </c>
      <c r="P639">
        <f>IF(G639=1,IF(H638=0,1,ABS(0.2-J638*B639/I639)+ABS(0.2-K638*C639/I639)+ABS(0.2-L638*D639/I639)+ABS(0.2-M638*E639/I639)+ABS(0.2-N638*F639/I639)),0)</f>
        <v/>
      </c>
      <c r="Q639">
        <f>P639*0.0015</f>
        <v/>
      </c>
      <c r="R639">
        <f>I639*(1-Q639)</f>
        <v/>
      </c>
      <c r="S639">
        <f>R639/R638-1</f>
        <v/>
      </c>
      <c r="T639">
        <f>MAX(T638,R639)</f>
        <v/>
      </c>
      <c r="U639">
        <f>R639/T639-1</f>
        <v/>
      </c>
      <c r="V639" t="n">
        <v>2.89337064209638</v>
      </c>
      <c r="W639" s="5">
        <f>R639-V639</f>
        <v/>
      </c>
    </row>
    <row r="640">
      <c r="A640" s="3" t="n">
        <v>39373</v>
      </c>
      <c r="B640">
        <f>Prices!B640</f>
        <v/>
      </c>
      <c r="C640">
        <f>Prices!C640</f>
        <v/>
      </c>
      <c r="D640">
        <f>Prices!D640</f>
        <v/>
      </c>
      <c r="E640">
        <f>Prices!E640</f>
        <v/>
      </c>
      <c r="F640">
        <f>Prices!F640</f>
        <v/>
      </c>
      <c r="G640">
        <f>IF(AND(638&gt;=16,TEXT(A640,"yyyy-mm")&lt;&gt;TEXT(A641,"yyyy-mm")),1,0)</f>
        <v/>
      </c>
      <c r="H640">
        <f>IF(OR(H639=1,G640=1),1,0)</f>
        <v/>
      </c>
      <c r="I640">
        <f>IF(H639=0,1,SUMPRODUCT(J639:N639,B640:F640)+O639*(1+0.00023125256064071564))</f>
        <v/>
      </c>
      <c r="J640">
        <f>IF(G640=1,0.2*R640/B640,J639)</f>
        <v/>
      </c>
      <c r="K640">
        <f>IF(G640=1,0.2*R640/C640,K639)</f>
        <v/>
      </c>
      <c r="L640">
        <f>IF(G640=1,0.2*R640/D640,L639)</f>
        <v/>
      </c>
      <c r="M640">
        <f>IF(G640=1,0.2*R640/E640,M639)</f>
        <v/>
      </c>
      <c r="N640">
        <f>IF(G640=1,0.2*R640/F640,N639)</f>
        <v/>
      </c>
      <c r="O640">
        <f>IF(G640=1,R640*(1-1.0),IF(H639=0,1,O639*(1+0.00023125256064071564)))</f>
        <v/>
      </c>
      <c r="P640">
        <f>IF(G640=1,IF(H639=0,1,ABS(0.2-J639*B640/I640)+ABS(0.2-K639*C640/I640)+ABS(0.2-L639*D640/I640)+ABS(0.2-M639*E640/I640)+ABS(0.2-N639*F640/I640)),0)</f>
        <v/>
      </c>
      <c r="Q640">
        <f>P640*0.0015</f>
        <v/>
      </c>
      <c r="R640">
        <f>I640*(1-Q640)</f>
        <v/>
      </c>
      <c r="S640">
        <f>R640/R639-1</f>
        <v/>
      </c>
      <c r="T640">
        <f>MAX(T639,R640)</f>
        <v/>
      </c>
      <c r="U640">
        <f>R640/T640-1</f>
        <v/>
      </c>
      <c r="V640" t="n">
        <v>2.821011778399817</v>
      </c>
      <c r="W640" s="5">
        <f>R640-V640</f>
        <v/>
      </c>
    </row>
    <row r="641">
      <c r="A641" s="3" t="n">
        <v>39374</v>
      </c>
      <c r="B641">
        <f>Prices!B641</f>
        <v/>
      </c>
      <c r="C641">
        <f>Prices!C641</f>
        <v/>
      </c>
      <c r="D641">
        <f>Prices!D641</f>
        <v/>
      </c>
      <c r="E641">
        <f>Prices!E641</f>
        <v/>
      </c>
      <c r="F641">
        <f>Prices!F641</f>
        <v/>
      </c>
      <c r="G641">
        <f>IF(AND(639&gt;=16,TEXT(A641,"yyyy-mm")&lt;&gt;TEXT(A642,"yyyy-mm")),1,0)</f>
        <v/>
      </c>
      <c r="H641">
        <f>IF(OR(H640=1,G641=1),1,0)</f>
        <v/>
      </c>
      <c r="I641">
        <f>IF(H640=0,1,SUMPRODUCT(J640:N640,B641:F641)+O640*(1+0.00023125256064071564))</f>
        <v/>
      </c>
      <c r="J641">
        <f>IF(G641=1,0.2*R641/B641,J640)</f>
        <v/>
      </c>
      <c r="K641">
        <f>IF(G641=1,0.2*R641/C641,K640)</f>
        <v/>
      </c>
      <c r="L641">
        <f>IF(G641=1,0.2*R641/D641,L640)</f>
        <v/>
      </c>
      <c r="M641">
        <f>IF(G641=1,0.2*R641/E641,M640)</f>
        <v/>
      </c>
      <c r="N641">
        <f>IF(G641=1,0.2*R641/F641,N640)</f>
        <v/>
      </c>
      <c r="O641">
        <f>IF(G641=1,R641*(1-1.0),IF(H640=0,1,O640*(1+0.00023125256064071564)))</f>
        <v/>
      </c>
      <c r="P641">
        <f>IF(G641=1,IF(H640=0,1,ABS(0.2-J640*B641/I641)+ABS(0.2-K640*C641/I641)+ABS(0.2-L640*D641/I641)+ABS(0.2-M640*E641/I641)+ABS(0.2-N640*F641/I641)),0)</f>
        <v/>
      </c>
      <c r="Q641">
        <f>P641*0.0015</f>
        <v/>
      </c>
      <c r="R641">
        <f>I641*(1-Q641)</f>
        <v/>
      </c>
      <c r="S641">
        <f>R641/R640-1</f>
        <v/>
      </c>
      <c r="T641">
        <f>MAX(T640,R641)</f>
        <v/>
      </c>
      <c r="U641">
        <f>R641/T641-1</f>
        <v/>
      </c>
      <c r="V641" t="n">
        <v>2.736856136096808</v>
      </c>
      <c r="W641" s="5">
        <f>R641-V641</f>
        <v/>
      </c>
    </row>
    <row r="642">
      <c r="A642" s="3" t="n">
        <v>39377</v>
      </c>
      <c r="B642">
        <f>Prices!B642</f>
        <v/>
      </c>
      <c r="C642">
        <f>Prices!C642</f>
        <v/>
      </c>
      <c r="D642">
        <f>Prices!D642</f>
        <v/>
      </c>
      <c r="E642">
        <f>Prices!E642</f>
        <v/>
      </c>
      <c r="F642">
        <f>Prices!F642</f>
        <v/>
      </c>
      <c r="G642">
        <f>IF(AND(640&gt;=16,TEXT(A642,"yyyy-mm")&lt;&gt;TEXT(A643,"yyyy-mm")),1,0)</f>
        <v/>
      </c>
      <c r="H642">
        <f>IF(OR(H641=1,G642=1),1,0)</f>
        <v/>
      </c>
      <c r="I642">
        <f>IF(H641=0,1,SUMPRODUCT(J641:N641,B642:F642)+O641*(1+0.00023125256064071564))</f>
        <v/>
      </c>
      <c r="J642">
        <f>IF(G642=1,0.2*R642/B642,J641)</f>
        <v/>
      </c>
      <c r="K642">
        <f>IF(G642=1,0.2*R642/C642,K641)</f>
        <v/>
      </c>
      <c r="L642">
        <f>IF(G642=1,0.2*R642/D642,L641)</f>
        <v/>
      </c>
      <c r="M642">
        <f>IF(G642=1,0.2*R642/E642,M641)</f>
        <v/>
      </c>
      <c r="N642">
        <f>IF(G642=1,0.2*R642/F642,N641)</f>
        <v/>
      </c>
      <c r="O642">
        <f>IF(G642=1,R642*(1-1.0),IF(H641=0,1,O641*(1+0.00023125256064071564)))</f>
        <v/>
      </c>
      <c r="P642">
        <f>IF(G642=1,IF(H641=0,1,ABS(0.2-J641*B642/I642)+ABS(0.2-K641*C642/I642)+ABS(0.2-L641*D642/I642)+ABS(0.2-M641*E642/I642)+ABS(0.2-N641*F642/I642)),0)</f>
        <v/>
      </c>
      <c r="Q642">
        <f>P642*0.0015</f>
        <v/>
      </c>
      <c r="R642">
        <f>I642*(1-Q642)</f>
        <v/>
      </c>
      <c r="S642">
        <f>R642/R641-1</f>
        <v/>
      </c>
      <c r="T642">
        <f>MAX(T641,R642)</f>
        <v/>
      </c>
      <c r="U642">
        <f>R642/T642-1</f>
        <v/>
      </c>
      <c r="V642" t="n">
        <v>2.736493669344583</v>
      </c>
      <c r="W642" s="5">
        <f>R642-V642</f>
        <v/>
      </c>
    </row>
    <row r="643">
      <c r="A643" s="3" t="n">
        <v>39378</v>
      </c>
      <c r="B643">
        <f>Prices!B643</f>
        <v/>
      </c>
      <c r="C643">
        <f>Prices!C643</f>
        <v/>
      </c>
      <c r="D643">
        <f>Prices!D643</f>
        <v/>
      </c>
      <c r="E643">
        <f>Prices!E643</f>
        <v/>
      </c>
      <c r="F643">
        <f>Prices!F643</f>
        <v/>
      </c>
      <c r="G643">
        <f>IF(AND(641&gt;=16,TEXT(A643,"yyyy-mm")&lt;&gt;TEXT(A644,"yyyy-mm")),1,0)</f>
        <v/>
      </c>
      <c r="H643">
        <f>IF(OR(H642=1,G643=1),1,0)</f>
        <v/>
      </c>
      <c r="I643">
        <f>IF(H642=0,1,SUMPRODUCT(J642:N642,B643:F643)+O642*(1+0.00023125256064071564))</f>
        <v/>
      </c>
      <c r="J643">
        <f>IF(G643=1,0.2*R643/B643,J642)</f>
        <v/>
      </c>
      <c r="K643">
        <f>IF(G643=1,0.2*R643/C643,K642)</f>
        <v/>
      </c>
      <c r="L643">
        <f>IF(G643=1,0.2*R643/D643,L642)</f>
        <v/>
      </c>
      <c r="M643">
        <f>IF(G643=1,0.2*R643/E643,M642)</f>
        <v/>
      </c>
      <c r="N643">
        <f>IF(G643=1,0.2*R643/F643,N642)</f>
        <v/>
      </c>
      <c r="O643">
        <f>IF(G643=1,R643*(1-1.0),IF(H642=0,1,O642*(1+0.00023125256064071564)))</f>
        <v/>
      </c>
      <c r="P643">
        <f>IF(G643=1,IF(H642=0,1,ABS(0.2-J642*B643/I643)+ABS(0.2-K642*C643/I643)+ABS(0.2-L642*D643/I643)+ABS(0.2-M642*E643/I643)+ABS(0.2-N642*F643/I643)),0)</f>
        <v/>
      </c>
      <c r="Q643">
        <f>P643*0.0015</f>
        <v/>
      </c>
      <c r="R643">
        <f>I643*(1-Q643)</f>
        <v/>
      </c>
      <c r="S643">
        <f>R643/R642-1</f>
        <v/>
      </c>
      <c r="T643">
        <f>MAX(T642,R643)</f>
        <v/>
      </c>
      <c r="U643">
        <f>R643/T643-1</f>
        <v/>
      </c>
      <c r="V643" t="n">
        <v>2.867034001670589</v>
      </c>
      <c r="W643" s="5">
        <f>R643-V643</f>
        <v/>
      </c>
    </row>
    <row r="644">
      <c r="A644" s="3" t="n">
        <v>39379</v>
      </c>
      <c r="B644">
        <f>Prices!B644</f>
        <v/>
      </c>
      <c r="C644">
        <f>Prices!C644</f>
        <v/>
      </c>
      <c r="D644">
        <f>Prices!D644</f>
        <v/>
      </c>
      <c r="E644">
        <f>Prices!E644</f>
        <v/>
      </c>
      <c r="F644">
        <f>Prices!F644</f>
        <v/>
      </c>
      <c r="G644">
        <f>IF(AND(642&gt;=16,TEXT(A644,"yyyy-mm")&lt;&gt;TEXT(A645,"yyyy-mm")),1,0)</f>
        <v/>
      </c>
      <c r="H644">
        <f>IF(OR(H643=1,G644=1),1,0)</f>
        <v/>
      </c>
      <c r="I644">
        <f>IF(H643=0,1,SUMPRODUCT(J643:N643,B644:F644)+O643*(1+0.00023125256064071564))</f>
        <v/>
      </c>
      <c r="J644">
        <f>IF(G644=1,0.2*R644/B644,J643)</f>
        <v/>
      </c>
      <c r="K644">
        <f>IF(G644=1,0.2*R644/C644,K643)</f>
        <v/>
      </c>
      <c r="L644">
        <f>IF(G644=1,0.2*R644/D644,L643)</f>
        <v/>
      </c>
      <c r="M644">
        <f>IF(G644=1,0.2*R644/E644,M643)</f>
        <v/>
      </c>
      <c r="N644">
        <f>IF(G644=1,0.2*R644/F644,N643)</f>
        <v/>
      </c>
      <c r="O644">
        <f>IF(G644=1,R644*(1-1.0),IF(H643=0,1,O643*(1+0.00023125256064071564)))</f>
        <v/>
      </c>
      <c r="P644">
        <f>IF(G644=1,IF(H643=0,1,ABS(0.2-J643*B644/I644)+ABS(0.2-K643*C644/I644)+ABS(0.2-L643*D644/I644)+ABS(0.2-M643*E644/I644)+ABS(0.2-N643*F644/I644)),0)</f>
        <v/>
      </c>
      <c r="Q644">
        <f>P644*0.0015</f>
        <v/>
      </c>
      <c r="R644">
        <f>I644*(1-Q644)</f>
        <v/>
      </c>
      <c r="S644">
        <f>R644/R643-1</f>
        <v/>
      </c>
      <c r="T644">
        <f>MAX(T643,R644)</f>
        <v/>
      </c>
      <c r="U644">
        <f>R644/T644-1</f>
        <v/>
      </c>
      <c r="V644" t="n">
        <v>2.907217318146682</v>
      </c>
      <c r="W644" s="5">
        <f>R644-V644</f>
        <v/>
      </c>
    </row>
    <row r="645">
      <c r="A645" s="3" t="n">
        <v>39380</v>
      </c>
      <c r="B645">
        <f>Prices!B645</f>
        <v/>
      </c>
      <c r="C645">
        <f>Prices!C645</f>
        <v/>
      </c>
      <c r="D645">
        <f>Prices!D645</f>
        <v/>
      </c>
      <c r="E645">
        <f>Prices!E645</f>
        <v/>
      </c>
      <c r="F645">
        <f>Prices!F645</f>
        <v/>
      </c>
      <c r="G645">
        <f>IF(AND(643&gt;=16,TEXT(A645,"yyyy-mm")&lt;&gt;TEXT(A646,"yyyy-mm")),1,0)</f>
        <v/>
      </c>
      <c r="H645">
        <f>IF(OR(H644=1,G645=1),1,0)</f>
        <v/>
      </c>
      <c r="I645">
        <f>IF(H644=0,1,SUMPRODUCT(J644:N644,B645:F645)+O644*(1+0.00023125256064071564))</f>
        <v/>
      </c>
      <c r="J645">
        <f>IF(G645=1,0.2*R645/B645,J644)</f>
        <v/>
      </c>
      <c r="K645">
        <f>IF(G645=1,0.2*R645/C645,K644)</f>
        <v/>
      </c>
      <c r="L645">
        <f>IF(G645=1,0.2*R645/D645,L644)</f>
        <v/>
      </c>
      <c r="M645">
        <f>IF(G645=1,0.2*R645/E645,M644)</f>
        <v/>
      </c>
      <c r="N645">
        <f>IF(G645=1,0.2*R645/F645,N644)</f>
        <v/>
      </c>
      <c r="O645">
        <f>IF(G645=1,R645*(1-1.0),IF(H644=0,1,O644*(1+0.00023125256064071564)))</f>
        <v/>
      </c>
      <c r="P645">
        <f>IF(G645=1,IF(H644=0,1,ABS(0.2-J644*B645/I645)+ABS(0.2-K644*C645/I645)+ABS(0.2-L644*D645/I645)+ABS(0.2-M644*E645/I645)+ABS(0.2-N644*F645/I645)),0)</f>
        <v/>
      </c>
      <c r="Q645">
        <f>P645*0.0015</f>
        <v/>
      </c>
      <c r="R645">
        <f>I645*(1-Q645)</f>
        <v/>
      </c>
      <c r="S645">
        <f>R645/R644-1</f>
        <v/>
      </c>
      <c r="T645">
        <f>MAX(T644,R645)</f>
        <v/>
      </c>
      <c r="U645">
        <f>R645/T645-1</f>
        <v/>
      </c>
      <c r="V645" t="n">
        <v>2.947988312397491</v>
      </c>
      <c r="W645" s="5">
        <f>R645-V645</f>
        <v/>
      </c>
    </row>
    <row r="646">
      <c r="A646" s="3" t="n">
        <v>39381</v>
      </c>
      <c r="B646">
        <f>Prices!B646</f>
        <v/>
      </c>
      <c r="C646">
        <f>Prices!C646</f>
        <v/>
      </c>
      <c r="D646">
        <f>Prices!D646</f>
        <v/>
      </c>
      <c r="E646">
        <f>Prices!E646</f>
        <v/>
      </c>
      <c r="F646">
        <f>Prices!F646</f>
        <v/>
      </c>
      <c r="G646">
        <f>IF(AND(644&gt;=16,TEXT(A646,"yyyy-mm")&lt;&gt;TEXT(A647,"yyyy-mm")),1,0)</f>
        <v/>
      </c>
      <c r="H646">
        <f>IF(OR(H645=1,G646=1),1,0)</f>
        <v/>
      </c>
      <c r="I646">
        <f>IF(H645=0,1,SUMPRODUCT(J645:N645,B646:F646)+O645*(1+0.00023125256064071564))</f>
        <v/>
      </c>
      <c r="J646">
        <f>IF(G646=1,0.2*R646/B646,J645)</f>
        <v/>
      </c>
      <c r="K646">
        <f>IF(G646=1,0.2*R646/C646,K645)</f>
        <v/>
      </c>
      <c r="L646">
        <f>IF(G646=1,0.2*R646/D646,L645)</f>
        <v/>
      </c>
      <c r="M646">
        <f>IF(G646=1,0.2*R646/E646,M645)</f>
        <v/>
      </c>
      <c r="N646">
        <f>IF(G646=1,0.2*R646/F646,N645)</f>
        <v/>
      </c>
      <c r="O646">
        <f>IF(G646=1,R646*(1-1.0),IF(H645=0,1,O645*(1+0.00023125256064071564)))</f>
        <v/>
      </c>
      <c r="P646">
        <f>IF(G646=1,IF(H645=0,1,ABS(0.2-J645*B646/I646)+ABS(0.2-K645*C646/I646)+ABS(0.2-L645*D646/I646)+ABS(0.2-M645*E646/I646)+ABS(0.2-N645*F646/I646)),0)</f>
        <v/>
      </c>
      <c r="Q646">
        <f>P646*0.0015</f>
        <v/>
      </c>
      <c r="R646">
        <f>I646*(1-Q646)</f>
        <v/>
      </c>
      <c r="S646">
        <f>R646/R645-1</f>
        <v/>
      </c>
      <c r="T646">
        <f>MAX(T645,R646)</f>
        <v/>
      </c>
      <c r="U646">
        <f>R646/T646-1</f>
        <v/>
      </c>
      <c r="V646" t="n">
        <v>3.02486880327231</v>
      </c>
      <c r="W646" s="5">
        <f>R646-V646</f>
        <v/>
      </c>
    </row>
    <row r="647">
      <c r="A647" s="3" t="n">
        <v>39384</v>
      </c>
      <c r="B647">
        <f>Prices!B647</f>
        <v/>
      </c>
      <c r="C647">
        <f>Prices!C647</f>
        <v/>
      </c>
      <c r="D647">
        <f>Prices!D647</f>
        <v/>
      </c>
      <c r="E647">
        <f>Prices!E647</f>
        <v/>
      </c>
      <c r="F647">
        <f>Prices!F647</f>
        <v/>
      </c>
      <c r="G647">
        <f>IF(AND(645&gt;=16,TEXT(A647,"yyyy-mm")&lt;&gt;TEXT(A648,"yyyy-mm")),1,0)</f>
        <v/>
      </c>
      <c r="H647">
        <f>IF(OR(H646=1,G647=1),1,0)</f>
        <v/>
      </c>
      <c r="I647">
        <f>IF(H646=0,1,SUMPRODUCT(J646:N646,B647:F647)+O646*(1+0.00023125256064071564))</f>
        <v/>
      </c>
      <c r="J647">
        <f>IF(G647=1,0.2*R647/B647,J646)</f>
        <v/>
      </c>
      <c r="K647">
        <f>IF(G647=1,0.2*R647/C647,K646)</f>
        <v/>
      </c>
      <c r="L647">
        <f>IF(G647=1,0.2*R647/D647,L646)</f>
        <v/>
      </c>
      <c r="M647">
        <f>IF(G647=1,0.2*R647/E647,M646)</f>
        <v/>
      </c>
      <c r="N647">
        <f>IF(G647=1,0.2*R647/F647,N646)</f>
        <v/>
      </c>
      <c r="O647">
        <f>IF(G647=1,R647*(1-1.0),IF(H646=0,1,O646*(1+0.00023125256064071564)))</f>
        <v/>
      </c>
      <c r="P647">
        <f>IF(G647=1,IF(H646=0,1,ABS(0.2-J646*B647/I647)+ABS(0.2-K646*C647/I647)+ABS(0.2-L646*D647/I647)+ABS(0.2-M646*E647/I647)+ABS(0.2-N646*F647/I647)),0)</f>
        <v/>
      </c>
      <c r="Q647">
        <f>P647*0.0015</f>
        <v/>
      </c>
      <c r="R647">
        <f>I647*(1-Q647)</f>
        <v/>
      </c>
      <c r="S647">
        <f>R647/R646-1</f>
        <v/>
      </c>
      <c r="T647">
        <f>MAX(T646,R647)</f>
        <v/>
      </c>
      <c r="U647">
        <f>R647/T647-1</f>
        <v/>
      </c>
      <c r="V647" t="n">
        <v>3.090894079944116</v>
      </c>
      <c r="W647" s="5">
        <f>R647-V647</f>
        <v/>
      </c>
    </row>
    <row r="648">
      <c r="A648" s="3" t="n">
        <v>39385</v>
      </c>
      <c r="B648">
        <f>Prices!B648</f>
        <v/>
      </c>
      <c r="C648">
        <f>Prices!C648</f>
        <v/>
      </c>
      <c r="D648">
        <f>Prices!D648</f>
        <v/>
      </c>
      <c r="E648">
        <f>Prices!E648</f>
        <v/>
      </c>
      <c r="F648">
        <f>Prices!F648</f>
        <v/>
      </c>
      <c r="G648">
        <f>IF(AND(646&gt;=16,TEXT(A648,"yyyy-mm")&lt;&gt;TEXT(A649,"yyyy-mm")),1,0)</f>
        <v/>
      </c>
      <c r="H648">
        <f>IF(OR(H647=1,G648=1),1,0)</f>
        <v/>
      </c>
      <c r="I648">
        <f>IF(H647=0,1,SUMPRODUCT(J647:N647,B648:F648)+O647*(1+0.00023125256064071564))</f>
        <v/>
      </c>
      <c r="J648">
        <f>IF(G648=1,0.2*R648/B648,J647)</f>
        <v/>
      </c>
      <c r="K648">
        <f>IF(G648=1,0.2*R648/C648,K647)</f>
        <v/>
      </c>
      <c r="L648">
        <f>IF(G648=1,0.2*R648/D648,L647)</f>
        <v/>
      </c>
      <c r="M648">
        <f>IF(G648=1,0.2*R648/E648,M647)</f>
        <v/>
      </c>
      <c r="N648">
        <f>IF(G648=1,0.2*R648/F648,N647)</f>
        <v/>
      </c>
      <c r="O648">
        <f>IF(G648=1,R648*(1-1.0),IF(H647=0,1,O647*(1+0.00023125256064071564)))</f>
        <v/>
      </c>
      <c r="P648">
        <f>IF(G648=1,IF(H647=0,1,ABS(0.2-J647*B648/I648)+ABS(0.2-K647*C648/I648)+ABS(0.2-L647*D648/I648)+ABS(0.2-M647*E648/I648)+ABS(0.2-N647*F648/I648)),0)</f>
        <v/>
      </c>
      <c r="Q648">
        <f>P648*0.0015</f>
        <v/>
      </c>
      <c r="R648">
        <f>I648*(1-Q648)</f>
        <v/>
      </c>
      <c r="S648">
        <f>R648/R647-1</f>
        <v/>
      </c>
      <c r="T648">
        <f>MAX(T647,R648)</f>
        <v/>
      </c>
      <c r="U648">
        <f>R648/T648-1</f>
        <v/>
      </c>
      <c r="V648" t="n">
        <v>3.087299046795047</v>
      </c>
      <c r="W648" s="5">
        <f>R648-V648</f>
        <v/>
      </c>
    </row>
    <row r="649">
      <c r="A649" s="3" t="n">
        <v>39386</v>
      </c>
      <c r="B649">
        <f>Prices!B649</f>
        <v/>
      </c>
      <c r="C649">
        <f>Prices!C649</f>
        <v/>
      </c>
      <c r="D649">
        <f>Prices!D649</f>
        <v/>
      </c>
      <c r="E649">
        <f>Prices!E649</f>
        <v/>
      </c>
      <c r="F649">
        <f>Prices!F649</f>
        <v/>
      </c>
      <c r="G649">
        <f>IF(AND(647&gt;=16,TEXT(A649,"yyyy-mm")&lt;&gt;TEXT(A650,"yyyy-mm")),1,0)</f>
        <v/>
      </c>
      <c r="H649">
        <f>IF(OR(H648=1,G649=1),1,0)</f>
        <v/>
      </c>
      <c r="I649">
        <f>IF(H648=0,1,SUMPRODUCT(J648:N648,B649:F649)+O648*(1+0.00023125256064071564))</f>
        <v/>
      </c>
      <c r="J649">
        <f>IF(G649=1,0.2*R649/B649,J648)</f>
        <v/>
      </c>
      <c r="K649">
        <f>IF(G649=1,0.2*R649/C649,K648)</f>
        <v/>
      </c>
      <c r="L649">
        <f>IF(G649=1,0.2*R649/D649,L648)</f>
        <v/>
      </c>
      <c r="M649">
        <f>IF(G649=1,0.2*R649/E649,M648)</f>
        <v/>
      </c>
      <c r="N649">
        <f>IF(G649=1,0.2*R649/F649,N648)</f>
        <v/>
      </c>
      <c r="O649">
        <f>IF(G649=1,R649*(1-1.0),IF(H648=0,1,O648*(1+0.00023125256064071564)))</f>
        <v/>
      </c>
      <c r="P649">
        <f>IF(G649=1,IF(H648=0,1,ABS(0.2-J648*B649/I649)+ABS(0.2-K648*C649/I649)+ABS(0.2-L648*D649/I649)+ABS(0.2-M648*E649/I649)+ABS(0.2-N648*F649/I649)),0)</f>
        <v/>
      </c>
      <c r="Q649">
        <f>P649*0.0015</f>
        <v/>
      </c>
      <c r="R649">
        <f>I649*(1-Q649)</f>
        <v/>
      </c>
      <c r="S649">
        <f>R649/R648-1</f>
        <v/>
      </c>
      <c r="T649">
        <f>MAX(T648,R649)</f>
        <v/>
      </c>
      <c r="U649">
        <f>R649/T649-1</f>
        <v/>
      </c>
      <c r="V649" t="n">
        <v>3.106319640706872</v>
      </c>
      <c r="W649" s="5">
        <f>R649-V649</f>
        <v/>
      </c>
    </row>
    <row r="650">
      <c r="A650" s="3" t="n">
        <v>39387</v>
      </c>
      <c r="B650">
        <f>Prices!B650</f>
        <v/>
      </c>
      <c r="C650">
        <f>Prices!C650</f>
        <v/>
      </c>
      <c r="D650">
        <f>Prices!D650</f>
        <v/>
      </c>
      <c r="E650">
        <f>Prices!E650</f>
        <v/>
      </c>
      <c r="F650">
        <f>Prices!F650</f>
        <v/>
      </c>
      <c r="G650">
        <f>IF(AND(648&gt;=16,TEXT(A650,"yyyy-mm")&lt;&gt;TEXT(A651,"yyyy-mm")),1,0)</f>
        <v/>
      </c>
      <c r="H650">
        <f>IF(OR(H649=1,G650=1),1,0)</f>
        <v/>
      </c>
      <c r="I650">
        <f>IF(H649=0,1,SUMPRODUCT(J649:N649,B650:F650)+O649*(1+0.00023125256064071564))</f>
        <v/>
      </c>
      <c r="J650">
        <f>IF(G650=1,0.2*R650/B650,J649)</f>
        <v/>
      </c>
      <c r="K650">
        <f>IF(G650=1,0.2*R650/C650,K649)</f>
        <v/>
      </c>
      <c r="L650">
        <f>IF(G650=1,0.2*R650/D650,L649)</f>
        <v/>
      </c>
      <c r="M650">
        <f>IF(G650=1,0.2*R650/E650,M649)</f>
        <v/>
      </c>
      <c r="N650">
        <f>IF(G650=1,0.2*R650/F650,N649)</f>
        <v/>
      </c>
      <c r="O650">
        <f>IF(G650=1,R650*(1-1.0),IF(H649=0,1,O649*(1+0.00023125256064071564)))</f>
        <v/>
      </c>
      <c r="P650">
        <f>IF(G650=1,IF(H649=0,1,ABS(0.2-J649*B650/I650)+ABS(0.2-K649*C650/I650)+ABS(0.2-L649*D650/I650)+ABS(0.2-M649*E650/I650)+ABS(0.2-N649*F650/I650)),0)</f>
        <v/>
      </c>
      <c r="Q650">
        <f>P650*0.0015</f>
        <v/>
      </c>
      <c r="R650">
        <f>I650*(1-Q650)</f>
        <v/>
      </c>
      <c r="S650">
        <f>R650/R649-1</f>
        <v/>
      </c>
      <c r="T650">
        <f>MAX(T649,R650)</f>
        <v/>
      </c>
      <c r="U650">
        <f>R650/T650-1</f>
        <v/>
      </c>
      <c r="V650" t="n">
        <v>3.069529917805099</v>
      </c>
      <c r="W650" s="5">
        <f>R650-V650</f>
        <v/>
      </c>
    </row>
    <row r="651">
      <c r="A651" s="3" t="n">
        <v>39388</v>
      </c>
      <c r="B651">
        <f>Prices!B651</f>
        <v/>
      </c>
      <c r="C651">
        <f>Prices!C651</f>
        <v/>
      </c>
      <c r="D651">
        <f>Prices!D651</f>
        <v/>
      </c>
      <c r="E651">
        <f>Prices!E651</f>
        <v/>
      </c>
      <c r="F651">
        <f>Prices!F651</f>
        <v/>
      </c>
      <c r="G651">
        <f>IF(AND(649&gt;=16,TEXT(A651,"yyyy-mm")&lt;&gt;TEXT(A652,"yyyy-mm")),1,0)</f>
        <v/>
      </c>
      <c r="H651">
        <f>IF(OR(H650=1,G651=1),1,0)</f>
        <v/>
      </c>
      <c r="I651">
        <f>IF(H650=0,1,SUMPRODUCT(J650:N650,B651:F651)+O650*(1+0.00023125256064071564))</f>
        <v/>
      </c>
      <c r="J651">
        <f>IF(G651=1,0.2*R651/B651,J650)</f>
        <v/>
      </c>
      <c r="K651">
        <f>IF(G651=1,0.2*R651/C651,K650)</f>
        <v/>
      </c>
      <c r="L651">
        <f>IF(G651=1,0.2*R651/D651,L650)</f>
        <v/>
      </c>
      <c r="M651">
        <f>IF(G651=1,0.2*R651/E651,M650)</f>
        <v/>
      </c>
      <c r="N651">
        <f>IF(G651=1,0.2*R651/F651,N650)</f>
        <v/>
      </c>
      <c r="O651">
        <f>IF(G651=1,R651*(1-1.0),IF(H650=0,1,O650*(1+0.00023125256064071564)))</f>
        <v/>
      </c>
      <c r="P651">
        <f>IF(G651=1,IF(H650=0,1,ABS(0.2-J650*B651/I651)+ABS(0.2-K650*C651/I651)+ABS(0.2-L650*D651/I651)+ABS(0.2-M650*E651/I651)+ABS(0.2-N650*F651/I651)),0)</f>
        <v/>
      </c>
      <c r="Q651">
        <f>P651*0.0015</f>
        <v/>
      </c>
      <c r="R651">
        <f>I651*(1-Q651)</f>
        <v/>
      </c>
      <c r="S651">
        <f>R651/R650-1</f>
        <v/>
      </c>
      <c r="T651">
        <f>MAX(T650,R651)</f>
        <v/>
      </c>
      <c r="U651">
        <f>R651/T651-1</f>
        <v/>
      </c>
      <c r="V651" t="n">
        <v>3.101464346362202</v>
      </c>
      <c r="W651" s="5">
        <f>R651-V651</f>
        <v/>
      </c>
    </row>
    <row r="652">
      <c r="A652" s="3" t="n">
        <v>39391</v>
      </c>
      <c r="B652">
        <f>Prices!B652</f>
        <v/>
      </c>
      <c r="C652">
        <f>Prices!C652</f>
        <v/>
      </c>
      <c r="D652">
        <f>Prices!D652</f>
        <v/>
      </c>
      <c r="E652">
        <f>Prices!E652</f>
        <v/>
      </c>
      <c r="F652">
        <f>Prices!F652</f>
        <v/>
      </c>
      <c r="G652">
        <f>IF(AND(650&gt;=16,TEXT(A652,"yyyy-mm")&lt;&gt;TEXT(A653,"yyyy-mm")),1,0)</f>
        <v/>
      </c>
      <c r="H652">
        <f>IF(OR(H651=1,G652=1),1,0)</f>
        <v/>
      </c>
      <c r="I652">
        <f>IF(H651=0,1,SUMPRODUCT(J651:N651,B652:F652)+O651*(1+0.00023125256064071564))</f>
        <v/>
      </c>
      <c r="J652">
        <f>IF(G652=1,0.2*R652/B652,J651)</f>
        <v/>
      </c>
      <c r="K652">
        <f>IF(G652=1,0.2*R652/C652,K651)</f>
        <v/>
      </c>
      <c r="L652">
        <f>IF(G652=1,0.2*R652/D652,L651)</f>
        <v/>
      </c>
      <c r="M652">
        <f>IF(G652=1,0.2*R652/E652,M651)</f>
        <v/>
      </c>
      <c r="N652">
        <f>IF(G652=1,0.2*R652/F652,N651)</f>
        <v/>
      </c>
      <c r="O652">
        <f>IF(G652=1,R652*(1-1.0),IF(H651=0,1,O651*(1+0.00023125256064071564)))</f>
        <v/>
      </c>
      <c r="P652">
        <f>IF(G652=1,IF(H651=0,1,ABS(0.2-J651*B652/I652)+ABS(0.2-K651*C652/I652)+ABS(0.2-L651*D652/I652)+ABS(0.2-M651*E652/I652)+ABS(0.2-N651*F652/I652)),0)</f>
        <v/>
      </c>
      <c r="Q652">
        <f>P652*0.0015</f>
        <v/>
      </c>
      <c r="R652">
        <f>I652*(1-Q652)</f>
        <v/>
      </c>
      <c r="S652">
        <f>R652/R651-1</f>
        <v/>
      </c>
      <c r="T652">
        <f>MAX(T651,R652)</f>
        <v/>
      </c>
      <c r="U652">
        <f>R652/T652-1</f>
        <v/>
      </c>
      <c r="V652" t="n">
        <v>3.101008759498173</v>
      </c>
      <c r="W652" s="5">
        <f>R652-V652</f>
        <v/>
      </c>
    </row>
    <row r="653">
      <c r="A653" s="3" t="n">
        <v>39392</v>
      </c>
      <c r="B653">
        <f>Prices!B653</f>
        <v/>
      </c>
      <c r="C653">
        <f>Prices!C653</f>
        <v/>
      </c>
      <c r="D653">
        <f>Prices!D653</f>
        <v/>
      </c>
      <c r="E653">
        <f>Prices!E653</f>
        <v/>
      </c>
      <c r="F653">
        <f>Prices!F653</f>
        <v/>
      </c>
      <c r="G653">
        <f>IF(AND(651&gt;=16,TEXT(A653,"yyyy-mm")&lt;&gt;TEXT(A654,"yyyy-mm")),1,0)</f>
        <v/>
      </c>
      <c r="H653">
        <f>IF(OR(H652=1,G653=1),1,0)</f>
        <v/>
      </c>
      <c r="I653">
        <f>IF(H652=0,1,SUMPRODUCT(J652:N652,B653:F653)+O652*(1+0.00023125256064071564))</f>
        <v/>
      </c>
      <c r="J653">
        <f>IF(G653=1,0.2*R653/B653,J652)</f>
        <v/>
      </c>
      <c r="K653">
        <f>IF(G653=1,0.2*R653/C653,K652)</f>
        <v/>
      </c>
      <c r="L653">
        <f>IF(G653=1,0.2*R653/D653,L652)</f>
        <v/>
      </c>
      <c r="M653">
        <f>IF(G653=1,0.2*R653/E653,M652)</f>
        <v/>
      </c>
      <c r="N653">
        <f>IF(G653=1,0.2*R653/F653,N652)</f>
        <v/>
      </c>
      <c r="O653">
        <f>IF(G653=1,R653*(1-1.0),IF(H652=0,1,O652*(1+0.00023125256064071564)))</f>
        <v/>
      </c>
      <c r="P653">
        <f>IF(G653=1,IF(H652=0,1,ABS(0.2-J652*B653/I653)+ABS(0.2-K652*C653/I653)+ABS(0.2-L652*D653/I653)+ABS(0.2-M652*E653/I653)+ABS(0.2-N652*F653/I653)),0)</f>
        <v/>
      </c>
      <c r="Q653">
        <f>P653*0.0015</f>
        <v/>
      </c>
      <c r="R653">
        <f>I653*(1-Q653)</f>
        <v/>
      </c>
      <c r="S653">
        <f>R653/R652-1</f>
        <v/>
      </c>
      <c r="T653">
        <f>MAX(T652,R653)</f>
        <v/>
      </c>
      <c r="U653">
        <f>R653/T653-1</f>
        <v/>
      </c>
      <c r="V653" t="n">
        <v>3.06951145622243</v>
      </c>
      <c r="W653" s="5">
        <f>R653-V653</f>
        <v/>
      </c>
    </row>
    <row r="654">
      <c r="A654" s="3" t="n">
        <v>39393</v>
      </c>
      <c r="B654">
        <f>Prices!B654</f>
        <v/>
      </c>
      <c r="C654">
        <f>Prices!C654</f>
        <v/>
      </c>
      <c r="D654">
        <f>Prices!D654</f>
        <v/>
      </c>
      <c r="E654">
        <f>Prices!E654</f>
        <v/>
      </c>
      <c r="F654">
        <f>Prices!F654</f>
        <v/>
      </c>
      <c r="G654">
        <f>IF(AND(652&gt;=16,TEXT(A654,"yyyy-mm")&lt;&gt;TEXT(A655,"yyyy-mm")),1,0)</f>
        <v/>
      </c>
      <c r="H654">
        <f>IF(OR(H653=1,G654=1),1,0)</f>
        <v/>
      </c>
      <c r="I654">
        <f>IF(H653=0,1,SUMPRODUCT(J653:N653,B654:F654)+O653*(1+0.00023125256064071564))</f>
        <v/>
      </c>
      <c r="J654">
        <f>IF(G654=1,0.2*R654/B654,J653)</f>
        <v/>
      </c>
      <c r="K654">
        <f>IF(G654=1,0.2*R654/C654,K653)</f>
        <v/>
      </c>
      <c r="L654">
        <f>IF(G654=1,0.2*R654/D654,L653)</f>
        <v/>
      </c>
      <c r="M654">
        <f>IF(G654=1,0.2*R654/E654,M653)</f>
        <v/>
      </c>
      <c r="N654">
        <f>IF(G654=1,0.2*R654/F654,N653)</f>
        <v/>
      </c>
      <c r="O654">
        <f>IF(G654=1,R654*(1-1.0),IF(H653=0,1,O653*(1+0.00023125256064071564)))</f>
        <v/>
      </c>
      <c r="P654">
        <f>IF(G654=1,IF(H653=0,1,ABS(0.2-J653*B654/I654)+ABS(0.2-K653*C654/I654)+ABS(0.2-L653*D654/I654)+ABS(0.2-M653*E654/I654)+ABS(0.2-N653*F654/I654)),0)</f>
        <v/>
      </c>
      <c r="Q654">
        <f>P654*0.0015</f>
        <v/>
      </c>
      <c r="R654">
        <f>I654*(1-Q654)</f>
        <v/>
      </c>
      <c r="S654">
        <f>R654/R653-1</f>
        <v/>
      </c>
      <c r="T654">
        <f>MAX(T653,R654)</f>
        <v/>
      </c>
      <c r="U654">
        <f>R654/T654-1</f>
        <v/>
      </c>
      <c r="V654" t="n">
        <v>3.055426683159379</v>
      </c>
      <c r="W654" s="5">
        <f>R654-V654</f>
        <v/>
      </c>
    </row>
    <row r="655">
      <c r="A655" s="3" t="n">
        <v>39394</v>
      </c>
      <c r="B655">
        <f>Prices!B655</f>
        <v/>
      </c>
      <c r="C655">
        <f>Prices!C655</f>
        <v/>
      </c>
      <c r="D655">
        <f>Prices!D655</f>
        <v/>
      </c>
      <c r="E655">
        <f>Prices!E655</f>
        <v/>
      </c>
      <c r="F655">
        <f>Prices!F655</f>
        <v/>
      </c>
      <c r="G655">
        <f>IF(AND(653&gt;=16,TEXT(A655,"yyyy-mm")&lt;&gt;TEXT(A656,"yyyy-mm")),1,0)</f>
        <v/>
      </c>
      <c r="H655">
        <f>IF(OR(H654=1,G655=1),1,0)</f>
        <v/>
      </c>
      <c r="I655">
        <f>IF(H654=0,1,SUMPRODUCT(J654:N654,B655:F655)+O654*(1+0.00023125256064071564))</f>
        <v/>
      </c>
      <c r="J655">
        <f>IF(G655=1,0.2*R655/B655,J654)</f>
        <v/>
      </c>
      <c r="K655">
        <f>IF(G655=1,0.2*R655/C655,K654)</f>
        <v/>
      </c>
      <c r="L655">
        <f>IF(G655=1,0.2*R655/D655,L654)</f>
        <v/>
      </c>
      <c r="M655">
        <f>IF(G655=1,0.2*R655/E655,M654)</f>
        <v/>
      </c>
      <c r="N655">
        <f>IF(G655=1,0.2*R655/F655,N654)</f>
        <v/>
      </c>
      <c r="O655">
        <f>IF(G655=1,R655*(1-1.0),IF(H654=0,1,O654*(1+0.00023125256064071564)))</f>
        <v/>
      </c>
      <c r="P655">
        <f>IF(G655=1,IF(H654=0,1,ABS(0.2-J654*B655/I655)+ABS(0.2-K654*C655/I655)+ABS(0.2-L654*D655/I655)+ABS(0.2-M654*E655/I655)+ABS(0.2-N654*F655/I655)),0)</f>
        <v/>
      </c>
      <c r="Q655">
        <f>P655*0.0015</f>
        <v/>
      </c>
      <c r="R655">
        <f>I655*(1-Q655)</f>
        <v/>
      </c>
      <c r="S655">
        <f>R655/R654-1</f>
        <v/>
      </c>
      <c r="T655">
        <f>MAX(T654,R655)</f>
        <v/>
      </c>
      <c r="U655">
        <f>R655/T655-1</f>
        <v/>
      </c>
      <c r="V655" t="n">
        <v>3.034919279485091</v>
      </c>
      <c r="W655" s="5">
        <f>R655-V655</f>
        <v/>
      </c>
    </row>
    <row r="656">
      <c r="A656" s="3" t="n">
        <v>39395</v>
      </c>
      <c r="B656">
        <f>Prices!B656</f>
        <v/>
      </c>
      <c r="C656">
        <f>Prices!C656</f>
        <v/>
      </c>
      <c r="D656">
        <f>Prices!D656</f>
        <v/>
      </c>
      <c r="E656">
        <f>Prices!E656</f>
        <v/>
      </c>
      <c r="F656">
        <f>Prices!F656</f>
        <v/>
      </c>
      <c r="G656">
        <f>IF(AND(654&gt;=16,TEXT(A656,"yyyy-mm")&lt;&gt;TEXT(A657,"yyyy-mm")),1,0)</f>
        <v/>
      </c>
      <c r="H656">
        <f>IF(OR(H655=1,G656=1),1,0)</f>
        <v/>
      </c>
      <c r="I656">
        <f>IF(H655=0,1,SUMPRODUCT(J655:N655,B656:F656)+O655*(1+0.00023125256064071564))</f>
        <v/>
      </c>
      <c r="J656">
        <f>IF(G656=1,0.2*R656/B656,J655)</f>
        <v/>
      </c>
      <c r="K656">
        <f>IF(G656=1,0.2*R656/C656,K655)</f>
        <v/>
      </c>
      <c r="L656">
        <f>IF(G656=1,0.2*R656/D656,L655)</f>
        <v/>
      </c>
      <c r="M656">
        <f>IF(G656=1,0.2*R656/E656,M655)</f>
        <v/>
      </c>
      <c r="N656">
        <f>IF(G656=1,0.2*R656/F656,N655)</f>
        <v/>
      </c>
      <c r="O656">
        <f>IF(G656=1,R656*(1-1.0),IF(H655=0,1,O655*(1+0.00023125256064071564)))</f>
        <v/>
      </c>
      <c r="P656">
        <f>IF(G656=1,IF(H655=0,1,ABS(0.2-J655*B656/I656)+ABS(0.2-K655*C656/I656)+ABS(0.2-L655*D656/I656)+ABS(0.2-M655*E656/I656)+ABS(0.2-N655*F656/I656)),0)</f>
        <v/>
      </c>
      <c r="Q656">
        <f>P656*0.0015</f>
        <v/>
      </c>
      <c r="R656">
        <f>I656*(1-Q656)</f>
        <v/>
      </c>
      <c r="S656">
        <f>R656/R655-1</f>
        <v/>
      </c>
      <c r="T656">
        <f>MAX(T655,R656)</f>
        <v/>
      </c>
      <c r="U656">
        <f>R656/T656-1</f>
        <v/>
      </c>
      <c r="V656" t="n">
        <v>3.036493156964102</v>
      </c>
      <c r="W656" s="5">
        <f>R656-V656</f>
        <v/>
      </c>
    </row>
    <row r="657">
      <c r="A657" s="3" t="n">
        <v>39398</v>
      </c>
      <c r="B657">
        <f>Prices!B657</f>
        <v/>
      </c>
      <c r="C657">
        <f>Prices!C657</f>
        <v/>
      </c>
      <c r="D657">
        <f>Prices!D657</f>
        <v/>
      </c>
      <c r="E657">
        <f>Prices!E657</f>
        <v/>
      </c>
      <c r="F657">
        <f>Prices!F657</f>
        <v/>
      </c>
      <c r="G657">
        <f>IF(AND(655&gt;=16,TEXT(A657,"yyyy-mm")&lt;&gt;TEXT(A658,"yyyy-mm")),1,0)</f>
        <v/>
      </c>
      <c r="H657">
        <f>IF(OR(H656=1,G657=1),1,0)</f>
        <v/>
      </c>
      <c r="I657">
        <f>IF(H656=0,1,SUMPRODUCT(J656:N656,B657:F657)+O656*(1+0.00023125256064071564))</f>
        <v/>
      </c>
      <c r="J657">
        <f>IF(G657=1,0.2*R657/B657,J656)</f>
        <v/>
      </c>
      <c r="K657">
        <f>IF(G657=1,0.2*R657/C657,K656)</f>
        <v/>
      </c>
      <c r="L657">
        <f>IF(G657=1,0.2*R657/D657,L656)</f>
        <v/>
      </c>
      <c r="M657">
        <f>IF(G657=1,0.2*R657/E657,M656)</f>
        <v/>
      </c>
      <c r="N657">
        <f>IF(G657=1,0.2*R657/F657,N656)</f>
        <v/>
      </c>
      <c r="O657">
        <f>IF(G657=1,R657*(1-1.0),IF(H656=0,1,O656*(1+0.00023125256064071564)))</f>
        <v/>
      </c>
      <c r="P657">
        <f>IF(G657=1,IF(H656=0,1,ABS(0.2-J656*B657/I657)+ABS(0.2-K656*C657/I657)+ABS(0.2-L656*D657/I657)+ABS(0.2-M656*E657/I657)+ABS(0.2-N656*F657/I657)),0)</f>
        <v/>
      </c>
      <c r="Q657">
        <f>P657*0.0015</f>
        <v/>
      </c>
      <c r="R657">
        <f>I657*(1-Q657)</f>
        <v/>
      </c>
      <c r="S657">
        <f>R657/R656-1</f>
        <v/>
      </c>
      <c r="T657">
        <f>MAX(T656,R657)</f>
        <v/>
      </c>
      <c r="U657">
        <f>R657/T657-1</f>
        <v/>
      </c>
      <c r="V657" t="n">
        <v>3.01596440530853</v>
      </c>
      <c r="W657" s="5">
        <f>R657-V657</f>
        <v/>
      </c>
    </row>
    <row r="658">
      <c r="A658" s="3" t="n">
        <v>39399</v>
      </c>
      <c r="B658">
        <f>Prices!B658</f>
        <v/>
      </c>
      <c r="C658">
        <f>Prices!C658</f>
        <v/>
      </c>
      <c r="D658">
        <f>Prices!D658</f>
        <v/>
      </c>
      <c r="E658">
        <f>Prices!E658</f>
        <v/>
      </c>
      <c r="F658">
        <f>Prices!F658</f>
        <v/>
      </c>
      <c r="G658">
        <f>IF(AND(656&gt;=16,TEXT(A658,"yyyy-mm")&lt;&gt;TEXT(A659,"yyyy-mm")),1,0)</f>
        <v/>
      </c>
      <c r="H658">
        <f>IF(OR(H657=1,G658=1),1,0)</f>
        <v/>
      </c>
      <c r="I658">
        <f>IF(H657=0,1,SUMPRODUCT(J657:N657,B658:F658)+O657*(1+0.00023125256064071564))</f>
        <v/>
      </c>
      <c r="J658">
        <f>IF(G658=1,0.2*R658/B658,J657)</f>
        <v/>
      </c>
      <c r="K658">
        <f>IF(G658=1,0.2*R658/C658,K657)</f>
        <v/>
      </c>
      <c r="L658">
        <f>IF(G658=1,0.2*R658/D658,L657)</f>
        <v/>
      </c>
      <c r="M658">
        <f>IF(G658=1,0.2*R658/E658,M657)</f>
        <v/>
      </c>
      <c r="N658">
        <f>IF(G658=1,0.2*R658/F658,N657)</f>
        <v/>
      </c>
      <c r="O658">
        <f>IF(G658=1,R658*(1-1.0),IF(H657=0,1,O657*(1+0.00023125256064071564)))</f>
        <v/>
      </c>
      <c r="P658">
        <f>IF(G658=1,IF(H657=0,1,ABS(0.2-J657*B658/I658)+ABS(0.2-K657*C658/I658)+ABS(0.2-L657*D658/I658)+ABS(0.2-M657*E658/I658)+ABS(0.2-N657*F658/I658)),0)</f>
        <v/>
      </c>
      <c r="Q658">
        <f>P658*0.0015</f>
        <v/>
      </c>
      <c r="R658">
        <f>I658*(1-Q658)</f>
        <v/>
      </c>
      <c r="S658">
        <f>R658/R657-1</f>
        <v/>
      </c>
      <c r="T658">
        <f>MAX(T657,R658)</f>
        <v/>
      </c>
      <c r="U658">
        <f>R658/T658-1</f>
        <v/>
      </c>
      <c r="V658" t="n">
        <v>3.074895842134453</v>
      </c>
      <c r="W658" s="5">
        <f>R658-V658</f>
        <v/>
      </c>
    </row>
    <row r="659">
      <c r="A659" s="3" t="n">
        <v>39400</v>
      </c>
      <c r="B659">
        <f>Prices!B659</f>
        <v/>
      </c>
      <c r="C659">
        <f>Prices!C659</f>
        <v/>
      </c>
      <c r="D659">
        <f>Prices!D659</f>
        <v/>
      </c>
      <c r="E659">
        <f>Prices!E659</f>
        <v/>
      </c>
      <c r="F659">
        <f>Prices!F659</f>
        <v/>
      </c>
      <c r="G659">
        <f>IF(AND(657&gt;=16,TEXT(A659,"yyyy-mm")&lt;&gt;TEXT(A660,"yyyy-mm")),1,0)</f>
        <v/>
      </c>
      <c r="H659">
        <f>IF(OR(H658=1,G659=1),1,0)</f>
        <v/>
      </c>
      <c r="I659">
        <f>IF(H658=0,1,SUMPRODUCT(J658:N658,B659:F659)+O658*(1+0.00023125256064071564))</f>
        <v/>
      </c>
      <c r="J659">
        <f>IF(G659=1,0.2*R659/B659,J658)</f>
        <v/>
      </c>
      <c r="K659">
        <f>IF(G659=1,0.2*R659/C659,K658)</f>
        <v/>
      </c>
      <c r="L659">
        <f>IF(G659=1,0.2*R659/D659,L658)</f>
        <v/>
      </c>
      <c r="M659">
        <f>IF(G659=1,0.2*R659/E659,M658)</f>
        <v/>
      </c>
      <c r="N659">
        <f>IF(G659=1,0.2*R659/F659,N658)</f>
        <v/>
      </c>
      <c r="O659">
        <f>IF(G659=1,R659*(1-1.0),IF(H658=0,1,O658*(1+0.00023125256064071564)))</f>
        <v/>
      </c>
      <c r="P659">
        <f>IF(G659=1,IF(H658=0,1,ABS(0.2-J658*B659/I659)+ABS(0.2-K658*C659/I659)+ABS(0.2-L658*D659/I659)+ABS(0.2-M658*E659/I659)+ABS(0.2-N658*F659/I659)),0)</f>
        <v/>
      </c>
      <c r="Q659">
        <f>P659*0.0015</f>
        <v/>
      </c>
      <c r="R659">
        <f>I659*(1-Q659)</f>
        <v/>
      </c>
      <c r="S659">
        <f>R659/R658-1</f>
        <v/>
      </c>
      <c r="T659">
        <f>MAX(T658,R659)</f>
        <v/>
      </c>
      <c r="U659">
        <f>R659/T659-1</f>
        <v/>
      </c>
      <c r="V659" t="n">
        <v>3.16552082878245</v>
      </c>
      <c r="W659" s="5">
        <f>R659-V659</f>
        <v/>
      </c>
    </row>
    <row r="660">
      <c r="A660" s="3" t="n">
        <v>39401</v>
      </c>
      <c r="B660">
        <f>Prices!B660</f>
        <v/>
      </c>
      <c r="C660">
        <f>Prices!C660</f>
        <v/>
      </c>
      <c r="D660">
        <f>Prices!D660</f>
        <v/>
      </c>
      <c r="E660">
        <f>Prices!E660</f>
        <v/>
      </c>
      <c r="F660">
        <f>Prices!F660</f>
        <v/>
      </c>
      <c r="G660">
        <f>IF(AND(658&gt;=16,TEXT(A660,"yyyy-mm")&lt;&gt;TEXT(A661,"yyyy-mm")),1,0)</f>
        <v/>
      </c>
      <c r="H660">
        <f>IF(OR(H659=1,G660=1),1,0)</f>
        <v/>
      </c>
      <c r="I660">
        <f>IF(H659=0,1,SUMPRODUCT(J659:N659,B660:F660)+O659*(1+0.00023125256064071564))</f>
        <v/>
      </c>
      <c r="J660">
        <f>IF(G660=1,0.2*R660/B660,J659)</f>
        <v/>
      </c>
      <c r="K660">
        <f>IF(G660=1,0.2*R660/C660,K659)</f>
        <v/>
      </c>
      <c r="L660">
        <f>IF(G660=1,0.2*R660/D660,L659)</f>
        <v/>
      </c>
      <c r="M660">
        <f>IF(G660=1,0.2*R660/E660,M659)</f>
        <v/>
      </c>
      <c r="N660">
        <f>IF(G660=1,0.2*R660/F660,N659)</f>
        <v/>
      </c>
      <c r="O660">
        <f>IF(G660=1,R660*(1-1.0),IF(H659=0,1,O659*(1+0.00023125256064071564)))</f>
        <v/>
      </c>
      <c r="P660">
        <f>IF(G660=1,IF(H659=0,1,ABS(0.2-J659*B660/I660)+ABS(0.2-K659*C660/I660)+ABS(0.2-L659*D660/I660)+ABS(0.2-M659*E660/I660)+ABS(0.2-N659*F660/I660)),0)</f>
        <v/>
      </c>
      <c r="Q660">
        <f>P660*0.0015</f>
        <v/>
      </c>
      <c r="R660">
        <f>I660*(1-Q660)</f>
        <v/>
      </c>
      <c r="S660">
        <f>R660/R659-1</f>
        <v/>
      </c>
      <c r="T660">
        <f>MAX(T659,R660)</f>
        <v/>
      </c>
      <c r="U660">
        <f>R660/T660-1</f>
        <v/>
      </c>
      <c r="V660" t="n">
        <v>3.214027543317333</v>
      </c>
      <c r="W660" s="5">
        <f>R660-V660</f>
        <v/>
      </c>
    </row>
    <row r="661">
      <c r="A661" s="3" t="n">
        <v>39402</v>
      </c>
      <c r="B661">
        <f>Prices!B661</f>
        <v/>
      </c>
      <c r="C661">
        <f>Prices!C661</f>
        <v/>
      </c>
      <c r="D661">
        <f>Prices!D661</f>
        <v/>
      </c>
      <c r="E661">
        <f>Prices!E661</f>
        <v/>
      </c>
      <c r="F661">
        <f>Prices!F661</f>
        <v/>
      </c>
      <c r="G661">
        <f>IF(AND(659&gt;=16,TEXT(A661,"yyyy-mm")&lt;&gt;TEXT(A662,"yyyy-mm")),1,0)</f>
        <v/>
      </c>
      <c r="H661">
        <f>IF(OR(H660=1,G661=1),1,0)</f>
        <v/>
      </c>
      <c r="I661">
        <f>IF(H660=0,1,SUMPRODUCT(J660:N660,B661:F661)+O660*(1+0.00023125256064071564))</f>
        <v/>
      </c>
      <c r="J661">
        <f>IF(G661=1,0.2*R661/B661,J660)</f>
        <v/>
      </c>
      <c r="K661">
        <f>IF(G661=1,0.2*R661/C661,K660)</f>
        <v/>
      </c>
      <c r="L661">
        <f>IF(G661=1,0.2*R661/D661,L660)</f>
        <v/>
      </c>
      <c r="M661">
        <f>IF(G661=1,0.2*R661/E661,M660)</f>
        <v/>
      </c>
      <c r="N661">
        <f>IF(G661=1,0.2*R661/F661,N660)</f>
        <v/>
      </c>
      <c r="O661">
        <f>IF(G661=1,R661*(1-1.0),IF(H660=0,1,O660*(1+0.00023125256064071564)))</f>
        <v/>
      </c>
      <c r="P661">
        <f>IF(G661=1,IF(H660=0,1,ABS(0.2-J660*B661/I661)+ABS(0.2-K660*C661/I661)+ABS(0.2-L660*D661/I661)+ABS(0.2-M660*E661/I661)+ABS(0.2-N660*F661/I661)),0)</f>
        <v/>
      </c>
      <c r="Q661">
        <f>P661*0.0015</f>
        <v/>
      </c>
      <c r="R661">
        <f>I661*(1-Q661)</f>
        <v/>
      </c>
      <c r="S661">
        <f>R661/R660-1</f>
        <v/>
      </c>
      <c r="T661">
        <f>MAX(T660,R661)</f>
        <v/>
      </c>
      <c r="U661">
        <f>R661/T661-1</f>
        <v/>
      </c>
      <c r="V661" t="n">
        <v>3.24230970225075</v>
      </c>
      <c r="W661" s="5">
        <f>R661-V661</f>
        <v/>
      </c>
    </row>
    <row r="662">
      <c r="A662" s="3" t="n">
        <v>39405</v>
      </c>
      <c r="B662">
        <f>Prices!B662</f>
        <v/>
      </c>
      <c r="C662">
        <f>Prices!C662</f>
        <v/>
      </c>
      <c r="D662">
        <f>Prices!D662</f>
        <v/>
      </c>
      <c r="E662">
        <f>Prices!E662</f>
        <v/>
      </c>
      <c r="F662">
        <f>Prices!F662</f>
        <v/>
      </c>
      <c r="G662">
        <f>IF(AND(660&gt;=16,TEXT(A662,"yyyy-mm")&lt;&gt;TEXT(A663,"yyyy-mm")),1,0)</f>
        <v/>
      </c>
      <c r="H662">
        <f>IF(OR(H661=1,G662=1),1,0)</f>
        <v/>
      </c>
      <c r="I662">
        <f>IF(H661=0,1,SUMPRODUCT(J661:N661,B662:F662)+O661*(1+0.00023125256064071564))</f>
        <v/>
      </c>
      <c r="J662">
        <f>IF(G662=1,0.2*R662/B662,J661)</f>
        <v/>
      </c>
      <c r="K662">
        <f>IF(G662=1,0.2*R662/C662,K661)</f>
        <v/>
      </c>
      <c r="L662">
        <f>IF(G662=1,0.2*R662/D662,L661)</f>
        <v/>
      </c>
      <c r="M662">
        <f>IF(G662=1,0.2*R662/E662,M661)</f>
        <v/>
      </c>
      <c r="N662">
        <f>IF(G662=1,0.2*R662/F662,N661)</f>
        <v/>
      </c>
      <c r="O662">
        <f>IF(G662=1,R662*(1-1.0),IF(H661=0,1,O661*(1+0.00023125256064071564)))</f>
        <v/>
      </c>
      <c r="P662">
        <f>IF(G662=1,IF(H661=0,1,ABS(0.2-J661*B662/I662)+ABS(0.2-K661*C662/I662)+ABS(0.2-L661*D662/I662)+ABS(0.2-M661*E662/I662)+ABS(0.2-N661*F662/I662)),0)</f>
        <v/>
      </c>
      <c r="Q662">
        <f>P662*0.0015</f>
        <v/>
      </c>
      <c r="R662">
        <f>I662*(1-Q662)</f>
        <v/>
      </c>
      <c r="S662">
        <f>R662/R661-1</f>
        <v/>
      </c>
      <c r="T662">
        <f>MAX(T661,R662)</f>
        <v/>
      </c>
      <c r="U662">
        <f>R662/T662-1</f>
        <v/>
      </c>
      <c r="V662" t="n">
        <v>3.297885160446384</v>
      </c>
      <c r="W662" s="5">
        <f>R662-V662</f>
        <v/>
      </c>
    </row>
    <row r="663">
      <c r="A663" s="3" t="n">
        <v>39406</v>
      </c>
      <c r="B663">
        <f>Prices!B663</f>
        <v/>
      </c>
      <c r="C663">
        <f>Prices!C663</f>
        <v/>
      </c>
      <c r="D663">
        <f>Prices!D663</f>
        <v/>
      </c>
      <c r="E663">
        <f>Prices!E663</f>
        <v/>
      </c>
      <c r="F663">
        <f>Prices!F663</f>
        <v/>
      </c>
      <c r="G663">
        <f>IF(AND(661&gt;=16,TEXT(A663,"yyyy-mm")&lt;&gt;TEXT(A664,"yyyy-mm")),1,0)</f>
        <v/>
      </c>
      <c r="H663">
        <f>IF(OR(H662=1,G663=1),1,0)</f>
        <v/>
      </c>
      <c r="I663">
        <f>IF(H662=0,1,SUMPRODUCT(J662:N662,B663:F663)+O662*(1+0.00023125256064071564))</f>
        <v/>
      </c>
      <c r="J663">
        <f>IF(G663=1,0.2*R663/B663,J662)</f>
        <v/>
      </c>
      <c r="K663">
        <f>IF(G663=1,0.2*R663/C663,K662)</f>
        <v/>
      </c>
      <c r="L663">
        <f>IF(G663=1,0.2*R663/D663,L662)</f>
        <v/>
      </c>
      <c r="M663">
        <f>IF(G663=1,0.2*R663/E663,M662)</f>
        <v/>
      </c>
      <c r="N663">
        <f>IF(G663=1,0.2*R663/F663,N662)</f>
        <v/>
      </c>
      <c r="O663">
        <f>IF(G663=1,R663*(1-1.0),IF(H662=0,1,O662*(1+0.00023125256064071564)))</f>
        <v/>
      </c>
      <c r="P663">
        <f>IF(G663=1,IF(H662=0,1,ABS(0.2-J662*B663/I663)+ABS(0.2-K662*C663/I663)+ABS(0.2-L662*D663/I663)+ABS(0.2-M662*E663/I663)+ABS(0.2-N662*F663/I663)),0)</f>
        <v/>
      </c>
      <c r="Q663">
        <f>P663*0.0015</f>
        <v/>
      </c>
      <c r="R663">
        <f>I663*(1-Q663)</f>
        <v/>
      </c>
      <c r="S663">
        <f>R663/R662-1</f>
        <v/>
      </c>
      <c r="T663">
        <f>MAX(T662,R663)</f>
        <v/>
      </c>
      <c r="U663">
        <f>R663/T663-1</f>
        <v/>
      </c>
      <c r="V663" t="n">
        <v>3.244125733192713</v>
      </c>
      <c r="W663" s="5">
        <f>R663-V663</f>
        <v/>
      </c>
    </row>
    <row r="664">
      <c r="A664" s="3" t="n">
        <v>39407</v>
      </c>
      <c r="B664">
        <f>Prices!B664</f>
        <v/>
      </c>
      <c r="C664">
        <f>Prices!C664</f>
        <v/>
      </c>
      <c r="D664">
        <f>Prices!D664</f>
        <v/>
      </c>
      <c r="E664">
        <f>Prices!E664</f>
        <v/>
      </c>
      <c r="F664">
        <f>Prices!F664</f>
        <v/>
      </c>
      <c r="G664">
        <f>IF(AND(662&gt;=16,TEXT(A664,"yyyy-mm")&lt;&gt;TEXT(A665,"yyyy-mm")),1,0)</f>
        <v/>
      </c>
      <c r="H664">
        <f>IF(OR(H663=1,G664=1),1,0)</f>
        <v/>
      </c>
      <c r="I664">
        <f>IF(H663=0,1,SUMPRODUCT(J663:N663,B664:F664)+O663*(1+0.00023125256064071564))</f>
        <v/>
      </c>
      <c r="J664">
        <f>IF(G664=1,0.2*R664/B664,J663)</f>
        <v/>
      </c>
      <c r="K664">
        <f>IF(G664=1,0.2*R664/C664,K663)</f>
        <v/>
      </c>
      <c r="L664">
        <f>IF(G664=1,0.2*R664/D664,L663)</f>
        <v/>
      </c>
      <c r="M664">
        <f>IF(G664=1,0.2*R664/E664,M663)</f>
        <v/>
      </c>
      <c r="N664">
        <f>IF(G664=1,0.2*R664/F664,N663)</f>
        <v/>
      </c>
      <c r="O664">
        <f>IF(G664=1,R664*(1-1.0),IF(H663=0,1,O663*(1+0.00023125256064071564)))</f>
        <v/>
      </c>
      <c r="P664">
        <f>IF(G664=1,IF(H663=0,1,ABS(0.2-J663*B664/I664)+ABS(0.2-K663*C664/I664)+ABS(0.2-L663*D664/I664)+ABS(0.2-M663*E664/I664)+ABS(0.2-N663*F664/I664)),0)</f>
        <v/>
      </c>
      <c r="Q664">
        <f>P664*0.0015</f>
        <v/>
      </c>
      <c r="R664">
        <f>I664*(1-Q664)</f>
        <v/>
      </c>
      <c r="S664">
        <f>R664/R663-1</f>
        <v/>
      </c>
      <c r="T664">
        <f>MAX(T663,R664)</f>
        <v/>
      </c>
      <c r="U664">
        <f>R664/T664-1</f>
        <v/>
      </c>
      <c r="V664" t="n">
        <v>3.090841028514727</v>
      </c>
      <c r="W664" s="5">
        <f>R664-V664</f>
        <v/>
      </c>
    </row>
    <row r="665">
      <c r="A665" s="3" t="n">
        <v>39408</v>
      </c>
      <c r="B665">
        <f>Prices!B665</f>
        <v/>
      </c>
      <c r="C665">
        <f>Prices!C665</f>
        <v/>
      </c>
      <c r="D665">
        <f>Prices!D665</f>
        <v/>
      </c>
      <c r="E665">
        <f>Prices!E665</f>
        <v/>
      </c>
      <c r="F665">
        <f>Prices!F665</f>
        <v/>
      </c>
      <c r="G665">
        <f>IF(AND(663&gt;=16,TEXT(A665,"yyyy-mm")&lt;&gt;TEXT(A666,"yyyy-mm")),1,0)</f>
        <v/>
      </c>
      <c r="H665">
        <f>IF(OR(H664=1,G665=1),1,0)</f>
        <v/>
      </c>
      <c r="I665">
        <f>IF(H664=0,1,SUMPRODUCT(J664:N664,B665:F665)+O664*(1+0.00023125256064071564))</f>
        <v/>
      </c>
      <c r="J665">
        <f>IF(G665=1,0.2*R665/B665,J664)</f>
        <v/>
      </c>
      <c r="K665">
        <f>IF(G665=1,0.2*R665/C665,K664)</f>
        <v/>
      </c>
      <c r="L665">
        <f>IF(G665=1,0.2*R665/D665,L664)</f>
        <v/>
      </c>
      <c r="M665">
        <f>IF(G665=1,0.2*R665/E665,M664)</f>
        <v/>
      </c>
      <c r="N665">
        <f>IF(G665=1,0.2*R665/F665,N664)</f>
        <v/>
      </c>
      <c r="O665">
        <f>IF(G665=1,R665*(1-1.0),IF(H664=0,1,O664*(1+0.00023125256064071564)))</f>
        <v/>
      </c>
      <c r="P665">
        <f>IF(G665=1,IF(H664=0,1,ABS(0.2-J664*B665/I665)+ABS(0.2-K664*C665/I665)+ABS(0.2-L664*D665/I665)+ABS(0.2-M664*E665/I665)+ABS(0.2-N664*F665/I665)),0)</f>
        <v/>
      </c>
      <c r="Q665">
        <f>P665*0.0015</f>
        <v/>
      </c>
      <c r="R665">
        <f>I665*(1-Q665)</f>
        <v/>
      </c>
      <c r="S665">
        <f>R665/R664-1</f>
        <v/>
      </c>
      <c r="T665">
        <f>MAX(T664,R665)</f>
        <v/>
      </c>
      <c r="U665">
        <f>R665/T665-1</f>
        <v/>
      </c>
      <c r="V665" t="n">
        <v>3.05818586897519</v>
      </c>
      <c r="W665" s="5">
        <f>R665-V665</f>
        <v/>
      </c>
    </row>
    <row r="666">
      <c r="A666" s="3" t="n">
        <v>39409</v>
      </c>
      <c r="B666">
        <f>Prices!B666</f>
        <v/>
      </c>
      <c r="C666">
        <f>Prices!C666</f>
        <v/>
      </c>
      <c r="D666">
        <f>Prices!D666</f>
        <v/>
      </c>
      <c r="E666">
        <f>Prices!E666</f>
        <v/>
      </c>
      <c r="F666">
        <f>Prices!F666</f>
        <v/>
      </c>
      <c r="G666">
        <f>IF(AND(664&gt;=16,TEXT(A666,"yyyy-mm")&lt;&gt;TEXT(A667,"yyyy-mm")),1,0)</f>
        <v/>
      </c>
      <c r="H666">
        <f>IF(OR(H665=1,G666=1),1,0)</f>
        <v/>
      </c>
      <c r="I666">
        <f>IF(H665=0,1,SUMPRODUCT(J665:N665,B666:F666)+O665*(1+0.00023125256064071564))</f>
        <v/>
      </c>
      <c r="J666">
        <f>IF(G666=1,0.2*R666/B666,J665)</f>
        <v/>
      </c>
      <c r="K666">
        <f>IF(G666=1,0.2*R666/C666,K665)</f>
        <v/>
      </c>
      <c r="L666">
        <f>IF(G666=1,0.2*R666/D666,L665)</f>
        <v/>
      </c>
      <c r="M666">
        <f>IF(G666=1,0.2*R666/E666,M665)</f>
        <v/>
      </c>
      <c r="N666">
        <f>IF(G666=1,0.2*R666/F666,N665)</f>
        <v/>
      </c>
      <c r="O666">
        <f>IF(G666=1,R666*(1-1.0),IF(H665=0,1,O665*(1+0.00023125256064071564)))</f>
        <v/>
      </c>
      <c r="P666">
        <f>IF(G666=1,IF(H665=0,1,ABS(0.2-J665*B666/I666)+ABS(0.2-K665*C666/I666)+ABS(0.2-L665*D666/I666)+ABS(0.2-M665*E666/I666)+ABS(0.2-N665*F666/I666)),0)</f>
        <v/>
      </c>
      <c r="Q666">
        <f>P666*0.0015</f>
        <v/>
      </c>
      <c r="R666">
        <f>I666*(1-Q666)</f>
        <v/>
      </c>
      <c r="S666">
        <f>R666/R665-1</f>
        <v/>
      </c>
      <c r="T666">
        <f>MAX(T665,R666)</f>
        <v/>
      </c>
      <c r="U666">
        <f>R666/T666-1</f>
        <v/>
      </c>
      <c r="V666" t="n">
        <v>3.112960073247022</v>
      </c>
      <c r="W666" s="5">
        <f>R666-V666</f>
        <v/>
      </c>
    </row>
    <row r="667">
      <c r="A667" s="3" t="n">
        <v>39412</v>
      </c>
      <c r="B667">
        <f>Prices!B667</f>
        <v/>
      </c>
      <c r="C667">
        <f>Prices!C667</f>
        <v/>
      </c>
      <c r="D667">
        <f>Prices!D667</f>
        <v/>
      </c>
      <c r="E667">
        <f>Prices!E667</f>
        <v/>
      </c>
      <c r="F667">
        <f>Prices!F667</f>
        <v/>
      </c>
      <c r="G667">
        <f>IF(AND(665&gt;=16,TEXT(A667,"yyyy-mm")&lt;&gt;TEXT(A668,"yyyy-mm")),1,0)</f>
        <v/>
      </c>
      <c r="H667">
        <f>IF(OR(H666=1,G667=1),1,0)</f>
        <v/>
      </c>
      <c r="I667">
        <f>IF(H666=0,1,SUMPRODUCT(J666:N666,B667:F667)+O666*(1+0.00023125256064071564))</f>
        <v/>
      </c>
      <c r="J667">
        <f>IF(G667=1,0.2*R667/B667,J666)</f>
        <v/>
      </c>
      <c r="K667">
        <f>IF(G667=1,0.2*R667/C667,K666)</f>
        <v/>
      </c>
      <c r="L667">
        <f>IF(G667=1,0.2*R667/D667,L666)</f>
        <v/>
      </c>
      <c r="M667">
        <f>IF(G667=1,0.2*R667/E667,M666)</f>
        <v/>
      </c>
      <c r="N667">
        <f>IF(G667=1,0.2*R667/F667,N666)</f>
        <v/>
      </c>
      <c r="O667">
        <f>IF(G667=1,R667*(1-1.0),IF(H666=0,1,O666*(1+0.00023125256064071564)))</f>
        <v/>
      </c>
      <c r="P667">
        <f>IF(G667=1,IF(H666=0,1,ABS(0.2-J666*B667/I667)+ABS(0.2-K666*C667/I667)+ABS(0.2-L666*D667/I667)+ABS(0.2-M666*E667/I667)+ABS(0.2-N666*F667/I667)),0)</f>
        <v/>
      </c>
      <c r="Q667">
        <f>P667*0.0015</f>
        <v/>
      </c>
      <c r="R667">
        <f>I667*(1-Q667)</f>
        <v/>
      </c>
      <c r="S667">
        <f>R667/R666-1</f>
        <v/>
      </c>
      <c r="T667">
        <f>MAX(T666,R667)</f>
        <v/>
      </c>
      <c r="U667">
        <f>R667/T667-1</f>
        <v/>
      </c>
      <c r="V667" t="n">
        <v>3.181161703372547</v>
      </c>
      <c r="W667" s="5">
        <f>R667-V667</f>
        <v/>
      </c>
    </row>
    <row r="668">
      <c r="A668" s="3" t="n">
        <v>39413</v>
      </c>
      <c r="B668">
        <f>Prices!B668</f>
        <v/>
      </c>
      <c r="C668">
        <f>Prices!C668</f>
        <v/>
      </c>
      <c r="D668">
        <f>Prices!D668</f>
        <v/>
      </c>
      <c r="E668">
        <f>Prices!E668</f>
        <v/>
      </c>
      <c r="F668">
        <f>Prices!F668</f>
        <v/>
      </c>
      <c r="G668">
        <f>IF(AND(666&gt;=16,TEXT(A668,"yyyy-mm")&lt;&gt;TEXT(A669,"yyyy-mm")),1,0)</f>
        <v/>
      </c>
      <c r="H668">
        <f>IF(OR(H667=1,G668=1),1,0)</f>
        <v/>
      </c>
      <c r="I668">
        <f>IF(H667=0,1,SUMPRODUCT(J667:N667,B668:F668)+O667*(1+0.00023125256064071564))</f>
        <v/>
      </c>
      <c r="J668">
        <f>IF(G668=1,0.2*R668/B668,J667)</f>
        <v/>
      </c>
      <c r="K668">
        <f>IF(G668=1,0.2*R668/C668,K667)</f>
        <v/>
      </c>
      <c r="L668">
        <f>IF(G668=1,0.2*R668/D668,L667)</f>
        <v/>
      </c>
      <c r="M668">
        <f>IF(G668=1,0.2*R668/E668,M667)</f>
        <v/>
      </c>
      <c r="N668">
        <f>IF(G668=1,0.2*R668/F668,N667)</f>
        <v/>
      </c>
      <c r="O668">
        <f>IF(G668=1,R668*(1-1.0),IF(H667=0,1,O667*(1+0.00023125256064071564)))</f>
        <v/>
      </c>
      <c r="P668">
        <f>IF(G668=1,IF(H667=0,1,ABS(0.2-J667*B668/I668)+ABS(0.2-K667*C668/I668)+ABS(0.2-L667*D668/I668)+ABS(0.2-M667*E668/I668)+ABS(0.2-N667*F668/I668)),0)</f>
        <v/>
      </c>
      <c r="Q668">
        <f>P668*0.0015</f>
        <v/>
      </c>
      <c r="R668">
        <f>I668*(1-Q668)</f>
        <v/>
      </c>
      <c r="S668">
        <f>R668/R667-1</f>
        <v/>
      </c>
      <c r="T668">
        <f>MAX(T667,R668)</f>
        <v/>
      </c>
      <c r="U668">
        <f>R668/T668-1</f>
        <v/>
      </c>
      <c r="V668" t="n">
        <v>3.172305223119007</v>
      </c>
      <c r="W668" s="5">
        <f>R668-V668</f>
        <v/>
      </c>
    </row>
    <row r="669">
      <c r="A669" s="3" t="n">
        <v>39414</v>
      </c>
      <c r="B669">
        <f>Prices!B669</f>
        <v/>
      </c>
      <c r="C669">
        <f>Prices!C669</f>
        <v/>
      </c>
      <c r="D669">
        <f>Prices!D669</f>
        <v/>
      </c>
      <c r="E669">
        <f>Prices!E669</f>
        <v/>
      </c>
      <c r="F669">
        <f>Prices!F669</f>
        <v/>
      </c>
      <c r="G669">
        <f>IF(AND(667&gt;=16,TEXT(A669,"yyyy-mm")&lt;&gt;TEXT(A670,"yyyy-mm")),1,0)</f>
        <v/>
      </c>
      <c r="H669">
        <f>IF(OR(H668=1,G669=1),1,0)</f>
        <v/>
      </c>
      <c r="I669">
        <f>IF(H668=0,1,SUMPRODUCT(J668:N668,B669:F669)+O668*(1+0.00023125256064071564))</f>
        <v/>
      </c>
      <c r="J669">
        <f>IF(G669=1,0.2*R669/B669,J668)</f>
        <v/>
      </c>
      <c r="K669">
        <f>IF(G669=1,0.2*R669/C669,K668)</f>
        <v/>
      </c>
      <c r="L669">
        <f>IF(G669=1,0.2*R669/D669,L668)</f>
        <v/>
      </c>
      <c r="M669">
        <f>IF(G669=1,0.2*R669/E669,M668)</f>
        <v/>
      </c>
      <c r="N669">
        <f>IF(G669=1,0.2*R669/F669,N668)</f>
        <v/>
      </c>
      <c r="O669">
        <f>IF(G669=1,R669*(1-1.0),IF(H668=0,1,O668*(1+0.00023125256064071564)))</f>
        <v/>
      </c>
      <c r="P669">
        <f>IF(G669=1,IF(H668=0,1,ABS(0.2-J668*B669/I669)+ABS(0.2-K668*C669/I669)+ABS(0.2-L668*D669/I669)+ABS(0.2-M668*E669/I669)+ABS(0.2-N668*F669/I669)),0)</f>
        <v/>
      </c>
      <c r="Q669">
        <f>P669*0.0015</f>
        <v/>
      </c>
      <c r="R669">
        <f>I669*(1-Q669)</f>
        <v/>
      </c>
      <c r="S669">
        <f>R669/R668-1</f>
        <v/>
      </c>
      <c r="T669">
        <f>MAX(T668,R669)</f>
        <v/>
      </c>
      <c r="U669">
        <f>R669/T669-1</f>
        <v/>
      </c>
      <c r="V669" t="n">
        <v>3.148744095683617</v>
      </c>
      <c r="W669" s="5">
        <f>R669-V669</f>
        <v/>
      </c>
    </row>
    <row r="670">
      <c r="A670" s="3" t="n">
        <v>39415</v>
      </c>
      <c r="B670">
        <f>Prices!B670</f>
        <v/>
      </c>
      <c r="C670">
        <f>Prices!C670</f>
        <v/>
      </c>
      <c r="D670">
        <f>Prices!D670</f>
        <v/>
      </c>
      <c r="E670">
        <f>Prices!E670</f>
        <v/>
      </c>
      <c r="F670">
        <f>Prices!F670</f>
        <v/>
      </c>
      <c r="G670">
        <f>IF(AND(668&gt;=16,TEXT(A670,"yyyy-mm")&lt;&gt;TEXT(A671,"yyyy-mm")),1,0)</f>
        <v/>
      </c>
      <c r="H670">
        <f>IF(OR(H669=1,G670=1),1,0)</f>
        <v/>
      </c>
      <c r="I670">
        <f>IF(H669=0,1,SUMPRODUCT(J669:N669,B670:F670)+O669*(1+0.00023125256064071564))</f>
        <v/>
      </c>
      <c r="J670">
        <f>IF(G670=1,0.2*R670/B670,J669)</f>
        <v/>
      </c>
      <c r="K670">
        <f>IF(G670=1,0.2*R670/C670,K669)</f>
        <v/>
      </c>
      <c r="L670">
        <f>IF(G670=1,0.2*R670/D670,L669)</f>
        <v/>
      </c>
      <c r="M670">
        <f>IF(G670=1,0.2*R670/E670,M669)</f>
        <v/>
      </c>
      <c r="N670">
        <f>IF(G670=1,0.2*R670/F670,N669)</f>
        <v/>
      </c>
      <c r="O670">
        <f>IF(G670=1,R670*(1-1.0),IF(H669=0,1,O669*(1+0.00023125256064071564)))</f>
        <v/>
      </c>
      <c r="P670">
        <f>IF(G670=1,IF(H669=0,1,ABS(0.2-J669*B670/I670)+ABS(0.2-K669*C670/I670)+ABS(0.2-L669*D670/I670)+ABS(0.2-M669*E670/I670)+ABS(0.2-N669*F670/I670)),0)</f>
        <v/>
      </c>
      <c r="Q670">
        <f>P670*0.0015</f>
        <v/>
      </c>
      <c r="R670">
        <f>I670*(1-Q670)</f>
        <v/>
      </c>
      <c r="S670">
        <f>R670/R669-1</f>
        <v/>
      </c>
      <c r="T670">
        <f>MAX(T669,R670)</f>
        <v/>
      </c>
      <c r="U670">
        <f>R670/T670-1</f>
        <v/>
      </c>
      <c r="V670" t="n">
        <v>3.135978938119117</v>
      </c>
      <c r="W670" s="5">
        <f>R670-V670</f>
        <v/>
      </c>
    </row>
    <row r="671">
      <c r="A671" s="3" t="n">
        <v>39416</v>
      </c>
      <c r="B671">
        <f>Prices!B671</f>
        <v/>
      </c>
      <c r="C671">
        <f>Prices!C671</f>
        <v/>
      </c>
      <c r="D671">
        <f>Prices!D671</f>
        <v/>
      </c>
      <c r="E671">
        <f>Prices!E671</f>
        <v/>
      </c>
      <c r="F671">
        <f>Prices!F671</f>
        <v/>
      </c>
      <c r="G671">
        <f>IF(AND(669&gt;=16,TEXT(A671,"yyyy-mm")&lt;&gt;TEXT(A672,"yyyy-mm")),1,0)</f>
        <v/>
      </c>
      <c r="H671">
        <f>IF(OR(H670=1,G671=1),1,0)</f>
        <v/>
      </c>
      <c r="I671">
        <f>IF(H670=0,1,SUMPRODUCT(J670:N670,B671:F671)+O670*(1+0.00023125256064071564))</f>
        <v/>
      </c>
      <c r="J671">
        <f>IF(G671=1,0.2*R671/B671,J670)</f>
        <v/>
      </c>
      <c r="K671">
        <f>IF(G671=1,0.2*R671/C671,K670)</f>
        <v/>
      </c>
      <c r="L671">
        <f>IF(G671=1,0.2*R671/D671,L670)</f>
        <v/>
      </c>
      <c r="M671">
        <f>IF(G671=1,0.2*R671/E671,M670)</f>
        <v/>
      </c>
      <c r="N671">
        <f>IF(G671=1,0.2*R671/F671,N670)</f>
        <v/>
      </c>
      <c r="O671">
        <f>IF(G671=1,R671*(1-1.0),IF(H670=0,1,O670*(1+0.00023125256064071564)))</f>
        <v/>
      </c>
      <c r="P671">
        <f>IF(G671=1,IF(H670=0,1,ABS(0.2-J670*B671/I671)+ABS(0.2-K670*C671/I671)+ABS(0.2-L670*D671/I671)+ABS(0.2-M670*E671/I671)+ABS(0.2-N670*F671/I671)),0)</f>
        <v/>
      </c>
      <c r="Q671">
        <f>P671*0.0015</f>
        <v/>
      </c>
      <c r="R671">
        <f>I671*(1-Q671)</f>
        <v/>
      </c>
      <c r="S671">
        <f>R671/R670-1</f>
        <v/>
      </c>
      <c r="T671">
        <f>MAX(T670,R671)</f>
        <v/>
      </c>
      <c r="U671">
        <f>R671/T671-1</f>
        <v/>
      </c>
      <c r="V671" t="n">
        <v>3.223584584490663</v>
      </c>
      <c r="W671" s="5">
        <f>R671-V671</f>
        <v/>
      </c>
    </row>
    <row r="672">
      <c r="A672" s="3" t="n">
        <v>39419</v>
      </c>
      <c r="B672">
        <f>Prices!B672</f>
        <v/>
      </c>
      <c r="C672">
        <f>Prices!C672</f>
        <v/>
      </c>
      <c r="D672">
        <f>Prices!D672</f>
        <v/>
      </c>
      <c r="E672">
        <f>Prices!E672</f>
        <v/>
      </c>
      <c r="F672">
        <f>Prices!F672</f>
        <v/>
      </c>
      <c r="G672">
        <f>IF(AND(670&gt;=16,TEXT(A672,"yyyy-mm")&lt;&gt;TEXT(A673,"yyyy-mm")),1,0)</f>
        <v/>
      </c>
      <c r="H672">
        <f>IF(OR(H671=1,G672=1),1,0)</f>
        <v/>
      </c>
      <c r="I672">
        <f>IF(H671=0,1,SUMPRODUCT(J671:N671,B672:F672)+O671*(1+0.00023125256064071564))</f>
        <v/>
      </c>
      <c r="J672">
        <f>IF(G672=1,0.2*R672/B672,J671)</f>
        <v/>
      </c>
      <c r="K672">
        <f>IF(G672=1,0.2*R672/C672,K671)</f>
        <v/>
      </c>
      <c r="L672">
        <f>IF(G672=1,0.2*R672/D672,L671)</f>
        <v/>
      </c>
      <c r="M672">
        <f>IF(G672=1,0.2*R672/E672,M671)</f>
        <v/>
      </c>
      <c r="N672">
        <f>IF(G672=1,0.2*R672/F672,N671)</f>
        <v/>
      </c>
      <c r="O672">
        <f>IF(G672=1,R672*(1-1.0),IF(H671=0,1,O671*(1+0.00023125256064071564)))</f>
        <v/>
      </c>
      <c r="P672">
        <f>IF(G672=1,IF(H671=0,1,ABS(0.2-J671*B672/I672)+ABS(0.2-K671*C672/I672)+ABS(0.2-L671*D672/I672)+ABS(0.2-M671*E672/I672)+ABS(0.2-N671*F672/I672)),0)</f>
        <v/>
      </c>
      <c r="Q672">
        <f>P672*0.0015</f>
        <v/>
      </c>
      <c r="R672">
        <f>I672*(1-Q672)</f>
        <v/>
      </c>
      <c r="S672">
        <f>R672/R671-1</f>
        <v/>
      </c>
      <c r="T672">
        <f>MAX(T671,R672)</f>
        <v/>
      </c>
      <c r="U672">
        <f>R672/T672-1</f>
        <v/>
      </c>
      <c r="V672" t="n">
        <v>3.306753969712585</v>
      </c>
      <c r="W672" s="5">
        <f>R672-V672</f>
        <v/>
      </c>
    </row>
    <row r="673">
      <c r="A673" s="3" t="n">
        <v>39420</v>
      </c>
      <c r="B673">
        <f>Prices!B673</f>
        <v/>
      </c>
      <c r="C673">
        <f>Prices!C673</f>
        <v/>
      </c>
      <c r="D673">
        <f>Prices!D673</f>
        <v/>
      </c>
      <c r="E673">
        <f>Prices!E673</f>
        <v/>
      </c>
      <c r="F673">
        <f>Prices!F673</f>
        <v/>
      </c>
      <c r="G673">
        <f>IF(AND(671&gt;=16,TEXT(A673,"yyyy-mm")&lt;&gt;TEXT(A674,"yyyy-mm")),1,0)</f>
        <v/>
      </c>
      <c r="H673">
        <f>IF(OR(H672=1,G673=1),1,0)</f>
        <v/>
      </c>
      <c r="I673">
        <f>IF(H672=0,1,SUMPRODUCT(J672:N672,B673:F673)+O672*(1+0.00023125256064071564))</f>
        <v/>
      </c>
      <c r="J673">
        <f>IF(G673=1,0.2*R673/B673,J672)</f>
        <v/>
      </c>
      <c r="K673">
        <f>IF(G673=1,0.2*R673/C673,K672)</f>
        <v/>
      </c>
      <c r="L673">
        <f>IF(G673=1,0.2*R673/D673,L672)</f>
        <v/>
      </c>
      <c r="M673">
        <f>IF(G673=1,0.2*R673/E673,M672)</f>
        <v/>
      </c>
      <c r="N673">
        <f>IF(G673=1,0.2*R673/F673,N672)</f>
        <v/>
      </c>
      <c r="O673">
        <f>IF(G673=1,R673*(1-1.0),IF(H672=0,1,O672*(1+0.00023125256064071564)))</f>
        <v/>
      </c>
      <c r="P673">
        <f>IF(G673=1,IF(H672=0,1,ABS(0.2-J672*B673/I673)+ABS(0.2-K672*C673/I673)+ABS(0.2-L672*D673/I673)+ABS(0.2-M672*E673/I673)+ABS(0.2-N672*F673/I673)),0)</f>
        <v/>
      </c>
      <c r="Q673">
        <f>P673*0.0015</f>
        <v/>
      </c>
      <c r="R673">
        <f>I673*(1-Q673)</f>
        <v/>
      </c>
      <c r="S673">
        <f>R673/R672-1</f>
        <v/>
      </c>
      <c r="T673">
        <f>MAX(T672,R673)</f>
        <v/>
      </c>
      <c r="U673">
        <f>R673/T673-1</f>
        <v/>
      </c>
      <c r="V673" t="n">
        <v>3.358280508124416</v>
      </c>
      <c r="W673" s="5">
        <f>R673-V673</f>
        <v/>
      </c>
    </row>
    <row r="674">
      <c r="A674" s="3" t="n">
        <v>39421</v>
      </c>
      <c r="B674">
        <f>Prices!B674</f>
        <v/>
      </c>
      <c r="C674">
        <f>Prices!C674</f>
        <v/>
      </c>
      <c r="D674">
        <f>Prices!D674</f>
        <v/>
      </c>
      <c r="E674">
        <f>Prices!E674</f>
        <v/>
      </c>
      <c r="F674">
        <f>Prices!F674</f>
        <v/>
      </c>
      <c r="G674">
        <f>IF(AND(672&gt;=16,TEXT(A674,"yyyy-mm")&lt;&gt;TEXT(A675,"yyyy-mm")),1,0)</f>
        <v/>
      </c>
      <c r="H674">
        <f>IF(OR(H673=1,G674=1),1,0)</f>
        <v/>
      </c>
      <c r="I674">
        <f>IF(H673=0,1,SUMPRODUCT(J673:N673,B674:F674)+O673*(1+0.00023125256064071564))</f>
        <v/>
      </c>
      <c r="J674">
        <f>IF(G674=1,0.2*R674/B674,J673)</f>
        <v/>
      </c>
      <c r="K674">
        <f>IF(G674=1,0.2*R674/C674,K673)</f>
        <v/>
      </c>
      <c r="L674">
        <f>IF(G674=1,0.2*R674/D674,L673)</f>
        <v/>
      </c>
      <c r="M674">
        <f>IF(G674=1,0.2*R674/E674,M673)</f>
        <v/>
      </c>
      <c r="N674">
        <f>IF(G674=1,0.2*R674/F674,N673)</f>
        <v/>
      </c>
      <c r="O674">
        <f>IF(G674=1,R674*(1-1.0),IF(H673=0,1,O673*(1+0.00023125256064071564)))</f>
        <v/>
      </c>
      <c r="P674">
        <f>IF(G674=1,IF(H673=0,1,ABS(0.2-J673*B674/I674)+ABS(0.2-K673*C674/I674)+ABS(0.2-L673*D674/I674)+ABS(0.2-M673*E674/I674)+ABS(0.2-N673*F674/I674)),0)</f>
        <v/>
      </c>
      <c r="Q674">
        <f>P674*0.0015</f>
        <v/>
      </c>
      <c r="R674">
        <f>I674*(1-Q674)</f>
        <v/>
      </c>
      <c r="S674">
        <f>R674/R673-1</f>
        <v/>
      </c>
      <c r="T674">
        <f>MAX(T673,R674)</f>
        <v/>
      </c>
      <c r="U674">
        <f>R674/T674-1</f>
        <v/>
      </c>
      <c r="V674" t="n">
        <v>3.410140086144874</v>
      </c>
      <c r="W674" s="5">
        <f>R674-V674</f>
        <v/>
      </c>
    </row>
    <row r="675">
      <c r="A675" s="3" t="n">
        <v>39422</v>
      </c>
      <c r="B675">
        <f>Prices!B675</f>
        <v/>
      </c>
      <c r="C675">
        <f>Prices!C675</f>
        <v/>
      </c>
      <c r="D675">
        <f>Prices!D675</f>
        <v/>
      </c>
      <c r="E675">
        <f>Prices!E675</f>
        <v/>
      </c>
      <c r="F675">
        <f>Prices!F675</f>
        <v/>
      </c>
      <c r="G675">
        <f>IF(AND(673&gt;=16,TEXT(A675,"yyyy-mm")&lt;&gt;TEXT(A676,"yyyy-mm")),1,0)</f>
        <v/>
      </c>
      <c r="H675">
        <f>IF(OR(H674=1,G675=1),1,0)</f>
        <v/>
      </c>
      <c r="I675">
        <f>IF(H674=0,1,SUMPRODUCT(J674:N674,B675:F675)+O674*(1+0.00023125256064071564))</f>
        <v/>
      </c>
      <c r="J675">
        <f>IF(G675=1,0.2*R675/B675,J674)</f>
        <v/>
      </c>
      <c r="K675">
        <f>IF(G675=1,0.2*R675/C675,K674)</f>
        <v/>
      </c>
      <c r="L675">
        <f>IF(G675=1,0.2*R675/D675,L674)</f>
        <v/>
      </c>
      <c r="M675">
        <f>IF(G675=1,0.2*R675/E675,M674)</f>
        <v/>
      </c>
      <c r="N675">
        <f>IF(G675=1,0.2*R675/F675,N674)</f>
        <v/>
      </c>
      <c r="O675">
        <f>IF(G675=1,R675*(1-1.0),IF(H674=0,1,O674*(1+0.00023125256064071564)))</f>
        <v/>
      </c>
      <c r="P675">
        <f>IF(G675=1,IF(H674=0,1,ABS(0.2-J674*B675/I675)+ABS(0.2-K674*C675/I675)+ABS(0.2-L674*D675/I675)+ABS(0.2-M674*E675/I675)+ABS(0.2-N674*F675/I675)),0)</f>
        <v/>
      </c>
      <c r="Q675">
        <f>P675*0.0015</f>
        <v/>
      </c>
      <c r="R675">
        <f>I675*(1-Q675)</f>
        <v/>
      </c>
      <c r="S675">
        <f>R675/R674-1</f>
        <v/>
      </c>
      <c r="T675">
        <f>MAX(T674,R675)</f>
        <v/>
      </c>
      <c r="U675">
        <f>R675/T675-1</f>
        <v/>
      </c>
      <c r="V675" t="n">
        <v>3.402669010548035</v>
      </c>
      <c r="W675" s="5">
        <f>R675-V675</f>
        <v/>
      </c>
    </row>
    <row r="676">
      <c r="A676" s="3" t="n">
        <v>39423</v>
      </c>
      <c r="B676">
        <f>Prices!B676</f>
        <v/>
      </c>
      <c r="C676">
        <f>Prices!C676</f>
        <v/>
      </c>
      <c r="D676">
        <f>Prices!D676</f>
        <v/>
      </c>
      <c r="E676">
        <f>Prices!E676</f>
        <v/>
      </c>
      <c r="F676">
        <f>Prices!F676</f>
        <v/>
      </c>
      <c r="G676">
        <f>IF(AND(674&gt;=16,TEXT(A676,"yyyy-mm")&lt;&gt;TEXT(A677,"yyyy-mm")),1,0)</f>
        <v/>
      </c>
      <c r="H676">
        <f>IF(OR(H675=1,G676=1),1,0)</f>
        <v/>
      </c>
      <c r="I676">
        <f>IF(H675=0,1,SUMPRODUCT(J675:N675,B676:F676)+O675*(1+0.00023125256064071564))</f>
        <v/>
      </c>
      <c r="J676">
        <f>IF(G676=1,0.2*R676/B676,J675)</f>
        <v/>
      </c>
      <c r="K676">
        <f>IF(G676=1,0.2*R676/C676,K675)</f>
        <v/>
      </c>
      <c r="L676">
        <f>IF(G676=1,0.2*R676/D676,L675)</f>
        <v/>
      </c>
      <c r="M676">
        <f>IF(G676=1,0.2*R676/E676,M675)</f>
        <v/>
      </c>
      <c r="N676">
        <f>IF(G676=1,0.2*R676/F676,N675)</f>
        <v/>
      </c>
      <c r="O676">
        <f>IF(G676=1,R676*(1-1.0),IF(H675=0,1,O675*(1+0.00023125256064071564)))</f>
        <v/>
      </c>
      <c r="P676">
        <f>IF(G676=1,IF(H675=0,1,ABS(0.2-J675*B676/I676)+ABS(0.2-K675*C676/I676)+ABS(0.2-L675*D676/I676)+ABS(0.2-M675*E676/I676)+ABS(0.2-N675*F676/I676)),0)</f>
        <v/>
      </c>
      <c r="Q676">
        <f>P676*0.0015</f>
        <v/>
      </c>
      <c r="R676">
        <f>I676*(1-Q676)</f>
        <v/>
      </c>
      <c r="S676">
        <f>R676/R675-1</f>
        <v/>
      </c>
      <c r="T676">
        <f>MAX(T675,R676)</f>
        <v/>
      </c>
      <c r="U676">
        <f>R676/T676-1</f>
        <v/>
      </c>
      <c r="V676" t="n">
        <v>3.3926777895246</v>
      </c>
      <c r="W676" s="5">
        <f>R676-V676</f>
        <v/>
      </c>
    </row>
    <row r="677">
      <c r="A677" s="3" t="n">
        <v>39426</v>
      </c>
      <c r="B677">
        <f>Prices!B677</f>
        <v/>
      </c>
      <c r="C677">
        <f>Prices!C677</f>
        <v/>
      </c>
      <c r="D677">
        <f>Prices!D677</f>
        <v/>
      </c>
      <c r="E677">
        <f>Prices!E677</f>
        <v/>
      </c>
      <c r="F677">
        <f>Prices!F677</f>
        <v/>
      </c>
      <c r="G677">
        <f>IF(AND(675&gt;=16,TEXT(A677,"yyyy-mm")&lt;&gt;TEXT(A678,"yyyy-mm")),1,0)</f>
        <v/>
      </c>
      <c r="H677">
        <f>IF(OR(H676=1,G677=1),1,0)</f>
        <v/>
      </c>
      <c r="I677">
        <f>IF(H676=0,1,SUMPRODUCT(J676:N676,B677:F677)+O676*(1+0.00023125256064071564))</f>
        <v/>
      </c>
      <c r="J677">
        <f>IF(G677=1,0.2*R677/B677,J676)</f>
        <v/>
      </c>
      <c r="K677">
        <f>IF(G677=1,0.2*R677/C677,K676)</f>
        <v/>
      </c>
      <c r="L677">
        <f>IF(G677=1,0.2*R677/D677,L676)</f>
        <v/>
      </c>
      <c r="M677">
        <f>IF(G677=1,0.2*R677/E677,M676)</f>
        <v/>
      </c>
      <c r="N677">
        <f>IF(G677=1,0.2*R677/F677,N676)</f>
        <v/>
      </c>
      <c r="O677">
        <f>IF(G677=1,R677*(1-1.0),IF(H676=0,1,O676*(1+0.00023125256064071564)))</f>
        <v/>
      </c>
      <c r="P677">
        <f>IF(G677=1,IF(H676=0,1,ABS(0.2-J676*B677/I677)+ABS(0.2-K676*C677/I677)+ABS(0.2-L676*D677/I677)+ABS(0.2-M676*E677/I677)+ABS(0.2-N676*F677/I677)),0)</f>
        <v/>
      </c>
      <c r="Q677">
        <f>P677*0.0015</f>
        <v/>
      </c>
      <c r="R677">
        <f>I677*(1-Q677)</f>
        <v/>
      </c>
      <c r="S677">
        <f>R677/R676-1</f>
        <v/>
      </c>
      <c r="T677">
        <f>MAX(T676,R677)</f>
        <v/>
      </c>
      <c r="U677">
        <f>R677/T677-1</f>
        <v/>
      </c>
      <c r="V677" t="n">
        <v>3.403786811005244</v>
      </c>
      <c r="W677" s="5">
        <f>R677-V677</f>
        <v/>
      </c>
    </row>
    <row r="678">
      <c r="A678" s="3" t="n">
        <v>39427</v>
      </c>
      <c r="B678">
        <f>Prices!B678</f>
        <v/>
      </c>
      <c r="C678">
        <f>Prices!C678</f>
        <v/>
      </c>
      <c r="D678">
        <f>Prices!D678</f>
        <v/>
      </c>
      <c r="E678">
        <f>Prices!E678</f>
        <v/>
      </c>
      <c r="F678">
        <f>Prices!F678</f>
        <v/>
      </c>
      <c r="G678">
        <f>IF(AND(676&gt;=16,TEXT(A678,"yyyy-mm")&lt;&gt;TEXT(A679,"yyyy-mm")),1,0)</f>
        <v/>
      </c>
      <c r="H678">
        <f>IF(OR(H677=1,G678=1),1,0)</f>
        <v/>
      </c>
      <c r="I678">
        <f>IF(H677=0,1,SUMPRODUCT(J677:N677,B678:F678)+O677*(1+0.00023125256064071564))</f>
        <v/>
      </c>
      <c r="J678">
        <f>IF(G678=1,0.2*R678/B678,J677)</f>
        <v/>
      </c>
      <c r="K678">
        <f>IF(G678=1,0.2*R678/C678,K677)</f>
        <v/>
      </c>
      <c r="L678">
        <f>IF(G678=1,0.2*R678/D678,L677)</f>
        <v/>
      </c>
      <c r="M678">
        <f>IF(G678=1,0.2*R678/E678,M677)</f>
        <v/>
      </c>
      <c r="N678">
        <f>IF(G678=1,0.2*R678/F678,N677)</f>
        <v/>
      </c>
      <c r="O678">
        <f>IF(G678=1,R678*(1-1.0),IF(H677=0,1,O677*(1+0.00023125256064071564)))</f>
        <v/>
      </c>
      <c r="P678">
        <f>IF(G678=1,IF(H677=0,1,ABS(0.2-J677*B678/I678)+ABS(0.2-K677*C678/I678)+ABS(0.2-L677*D678/I678)+ABS(0.2-M677*E678/I678)+ABS(0.2-N677*F678/I678)),0)</f>
        <v/>
      </c>
      <c r="Q678">
        <f>P678*0.0015</f>
        <v/>
      </c>
      <c r="R678">
        <f>I678*(1-Q678)</f>
        <v/>
      </c>
      <c r="S678">
        <f>R678/R677-1</f>
        <v/>
      </c>
      <c r="T678">
        <f>MAX(T677,R678)</f>
        <v/>
      </c>
      <c r="U678">
        <f>R678/T678-1</f>
        <v/>
      </c>
      <c r="V678" t="n">
        <v>3.43582454568176</v>
      </c>
      <c r="W678" s="5">
        <f>R678-V678</f>
        <v/>
      </c>
    </row>
    <row r="679">
      <c r="A679" s="3" t="n">
        <v>39428</v>
      </c>
      <c r="B679">
        <f>Prices!B679</f>
        <v/>
      </c>
      <c r="C679">
        <f>Prices!C679</f>
        <v/>
      </c>
      <c r="D679">
        <f>Prices!D679</f>
        <v/>
      </c>
      <c r="E679">
        <f>Prices!E679</f>
        <v/>
      </c>
      <c r="F679">
        <f>Prices!F679</f>
        <v/>
      </c>
      <c r="G679">
        <f>IF(AND(677&gt;=16,TEXT(A679,"yyyy-mm")&lt;&gt;TEXT(A680,"yyyy-mm")),1,0)</f>
        <v/>
      </c>
      <c r="H679">
        <f>IF(OR(H678=1,G679=1),1,0)</f>
        <v/>
      </c>
      <c r="I679">
        <f>IF(H678=0,1,SUMPRODUCT(J678:N678,B679:F679)+O678*(1+0.00023125256064071564))</f>
        <v/>
      </c>
      <c r="J679">
        <f>IF(G679=1,0.2*R679/B679,J678)</f>
        <v/>
      </c>
      <c r="K679">
        <f>IF(G679=1,0.2*R679/C679,K678)</f>
        <v/>
      </c>
      <c r="L679">
        <f>IF(G679=1,0.2*R679/D679,L678)</f>
        <v/>
      </c>
      <c r="M679">
        <f>IF(G679=1,0.2*R679/E679,M678)</f>
        <v/>
      </c>
      <c r="N679">
        <f>IF(G679=1,0.2*R679/F679,N678)</f>
        <v/>
      </c>
      <c r="O679">
        <f>IF(G679=1,R679*(1-1.0),IF(H678=0,1,O678*(1+0.00023125256064071564)))</f>
        <v/>
      </c>
      <c r="P679">
        <f>IF(G679=1,IF(H678=0,1,ABS(0.2-J678*B679/I679)+ABS(0.2-K678*C679/I679)+ABS(0.2-L678*D679/I679)+ABS(0.2-M678*E679/I679)+ABS(0.2-N678*F679/I679)),0)</f>
        <v/>
      </c>
      <c r="Q679">
        <f>P679*0.0015</f>
        <v/>
      </c>
      <c r="R679">
        <f>I679*(1-Q679)</f>
        <v/>
      </c>
      <c r="S679">
        <f>R679/R678-1</f>
        <v/>
      </c>
      <c r="T679">
        <f>MAX(T678,R679)</f>
        <v/>
      </c>
      <c r="U679">
        <f>R679/T679-1</f>
        <v/>
      </c>
      <c r="V679" t="n">
        <v>3.482471403718998</v>
      </c>
      <c r="W679" s="5">
        <f>R679-V679</f>
        <v/>
      </c>
    </row>
    <row r="680">
      <c r="A680" s="3" t="n">
        <v>39429</v>
      </c>
      <c r="B680">
        <f>Prices!B680</f>
        <v/>
      </c>
      <c r="C680">
        <f>Prices!C680</f>
        <v/>
      </c>
      <c r="D680">
        <f>Prices!D680</f>
        <v/>
      </c>
      <c r="E680">
        <f>Prices!E680</f>
        <v/>
      </c>
      <c r="F680">
        <f>Prices!F680</f>
        <v/>
      </c>
      <c r="G680">
        <f>IF(AND(678&gt;=16,TEXT(A680,"yyyy-mm")&lt;&gt;TEXT(A681,"yyyy-mm")),1,0)</f>
        <v/>
      </c>
      <c r="H680">
        <f>IF(OR(H679=1,G680=1),1,0)</f>
        <v/>
      </c>
      <c r="I680">
        <f>IF(H679=0,1,SUMPRODUCT(J679:N679,B680:F680)+O679*(1+0.00023125256064071564))</f>
        <v/>
      </c>
      <c r="J680">
        <f>IF(G680=1,0.2*R680/B680,J679)</f>
        <v/>
      </c>
      <c r="K680">
        <f>IF(G680=1,0.2*R680/C680,K679)</f>
        <v/>
      </c>
      <c r="L680">
        <f>IF(G680=1,0.2*R680/D680,L679)</f>
        <v/>
      </c>
      <c r="M680">
        <f>IF(G680=1,0.2*R680/E680,M679)</f>
        <v/>
      </c>
      <c r="N680">
        <f>IF(G680=1,0.2*R680/F680,N679)</f>
        <v/>
      </c>
      <c r="O680">
        <f>IF(G680=1,R680*(1-1.0),IF(H679=0,1,O679*(1+0.00023125256064071564)))</f>
        <v/>
      </c>
      <c r="P680">
        <f>IF(G680=1,IF(H679=0,1,ABS(0.2-J679*B680/I680)+ABS(0.2-K679*C680/I680)+ABS(0.2-L679*D680/I680)+ABS(0.2-M679*E680/I680)+ABS(0.2-N679*F680/I680)),0)</f>
        <v/>
      </c>
      <c r="Q680">
        <f>P680*0.0015</f>
        <v/>
      </c>
      <c r="R680">
        <f>I680*(1-Q680)</f>
        <v/>
      </c>
      <c r="S680">
        <f>R680/R679-1</f>
        <v/>
      </c>
      <c r="T680">
        <f>MAX(T679,R680)</f>
        <v/>
      </c>
      <c r="U680">
        <f>R680/T680-1</f>
        <v/>
      </c>
      <c r="V680" t="n">
        <v>3.481804417912052</v>
      </c>
      <c r="W680" s="5">
        <f>R680-V680</f>
        <v/>
      </c>
    </row>
    <row r="681">
      <c r="A681" s="3" t="n">
        <v>39430</v>
      </c>
      <c r="B681">
        <f>Prices!B681</f>
        <v/>
      </c>
      <c r="C681">
        <f>Prices!C681</f>
        <v/>
      </c>
      <c r="D681">
        <f>Prices!D681</f>
        <v/>
      </c>
      <c r="E681">
        <f>Prices!E681</f>
        <v/>
      </c>
      <c r="F681">
        <f>Prices!F681</f>
        <v/>
      </c>
      <c r="G681">
        <f>IF(AND(679&gt;=16,TEXT(A681,"yyyy-mm")&lt;&gt;TEXT(A682,"yyyy-mm")),1,0)</f>
        <v/>
      </c>
      <c r="H681">
        <f>IF(OR(H680=1,G681=1),1,0)</f>
        <v/>
      </c>
      <c r="I681">
        <f>IF(H680=0,1,SUMPRODUCT(J680:N680,B681:F681)+O680*(1+0.00023125256064071564))</f>
        <v/>
      </c>
      <c r="J681">
        <f>IF(G681=1,0.2*R681/B681,J680)</f>
        <v/>
      </c>
      <c r="K681">
        <f>IF(G681=1,0.2*R681/C681,K680)</f>
        <v/>
      </c>
      <c r="L681">
        <f>IF(G681=1,0.2*R681/D681,L680)</f>
        <v/>
      </c>
      <c r="M681">
        <f>IF(G681=1,0.2*R681/E681,M680)</f>
        <v/>
      </c>
      <c r="N681">
        <f>IF(G681=1,0.2*R681/F681,N680)</f>
        <v/>
      </c>
      <c r="O681">
        <f>IF(G681=1,R681*(1-1.0),IF(H680=0,1,O680*(1+0.00023125256064071564)))</f>
        <v/>
      </c>
      <c r="P681">
        <f>IF(G681=1,IF(H680=0,1,ABS(0.2-J680*B681/I681)+ABS(0.2-K680*C681/I681)+ABS(0.2-L680*D681/I681)+ABS(0.2-M680*E681/I681)+ABS(0.2-N680*F681/I681)),0)</f>
        <v/>
      </c>
      <c r="Q681">
        <f>P681*0.0015</f>
        <v/>
      </c>
      <c r="R681">
        <f>I681*(1-Q681)</f>
        <v/>
      </c>
      <c r="S681">
        <f>R681/R680-1</f>
        <v/>
      </c>
      <c r="T681">
        <f>MAX(T680,R681)</f>
        <v/>
      </c>
      <c r="U681">
        <f>R681/T681-1</f>
        <v/>
      </c>
      <c r="V681" t="n">
        <v>3.49903190984737</v>
      </c>
      <c r="W681" s="5">
        <f>R681-V681</f>
        <v/>
      </c>
    </row>
    <row r="682">
      <c r="A682" s="3" t="n">
        <v>39433</v>
      </c>
      <c r="B682">
        <f>Prices!B682</f>
        <v/>
      </c>
      <c r="C682">
        <f>Prices!C682</f>
        <v/>
      </c>
      <c r="D682">
        <f>Prices!D682</f>
        <v/>
      </c>
      <c r="E682">
        <f>Prices!E682</f>
        <v/>
      </c>
      <c r="F682">
        <f>Prices!F682</f>
        <v/>
      </c>
      <c r="G682">
        <f>IF(AND(680&gt;=16,TEXT(A682,"yyyy-mm")&lt;&gt;TEXT(A683,"yyyy-mm")),1,0)</f>
        <v/>
      </c>
      <c r="H682">
        <f>IF(OR(H681=1,G682=1),1,0)</f>
        <v/>
      </c>
      <c r="I682">
        <f>IF(H681=0,1,SUMPRODUCT(J681:N681,B682:F682)+O681*(1+0.00023125256064071564))</f>
        <v/>
      </c>
      <c r="J682">
        <f>IF(G682=1,0.2*R682/B682,J681)</f>
        <v/>
      </c>
      <c r="K682">
        <f>IF(G682=1,0.2*R682/C682,K681)</f>
        <v/>
      </c>
      <c r="L682">
        <f>IF(G682=1,0.2*R682/D682,L681)</f>
        <v/>
      </c>
      <c r="M682">
        <f>IF(G682=1,0.2*R682/E682,M681)</f>
        <v/>
      </c>
      <c r="N682">
        <f>IF(G682=1,0.2*R682/F682,N681)</f>
        <v/>
      </c>
      <c r="O682">
        <f>IF(G682=1,R682*(1-1.0),IF(H681=0,1,O681*(1+0.00023125256064071564)))</f>
        <v/>
      </c>
      <c r="P682">
        <f>IF(G682=1,IF(H681=0,1,ABS(0.2-J681*B682/I682)+ABS(0.2-K681*C682/I682)+ABS(0.2-L681*D682/I682)+ABS(0.2-M681*E682/I682)+ABS(0.2-N681*F682/I682)),0)</f>
        <v/>
      </c>
      <c r="Q682">
        <f>P682*0.0015</f>
        <v/>
      </c>
      <c r="R682">
        <f>I682*(1-Q682)</f>
        <v/>
      </c>
      <c r="S682">
        <f>R682/R681-1</f>
        <v/>
      </c>
      <c r="T682">
        <f>MAX(T681,R682)</f>
        <v/>
      </c>
      <c r="U682">
        <f>R682/T682-1</f>
        <v/>
      </c>
      <c r="V682" t="n">
        <v>3.346018826322023</v>
      </c>
      <c r="W682" s="5">
        <f>R682-V682</f>
        <v/>
      </c>
    </row>
    <row r="683">
      <c r="A683" s="3" t="n">
        <v>39434</v>
      </c>
      <c r="B683">
        <f>Prices!B683</f>
        <v/>
      </c>
      <c r="C683">
        <f>Prices!C683</f>
        <v/>
      </c>
      <c r="D683">
        <f>Prices!D683</f>
        <v/>
      </c>
      <c r="E683">
        <f>Prices!E683</f>
        <v/>
      </c>
      <c r="F683">
        <f>Prices!F683</f>
        <v/>
      </c>
      <c r="G683">
        <f>IF(AND(681&gt;=16,TEXT(A683,"yyyy-mm")&lt;&gt;TEXT(A684,"yyyy-mm")),1,0)</f>
        <v/>
      </c>
      <c r="H683">
        <f>IF(OR(H682=1,G683=1),1,0)</f>
        <v/>
      </c>
      <c r="I683">
        <f>IF(H682=0,1,SUMPRODUCT(J682:N682,B683:F683)+O682*(1+0.00023125256064071564))</f>
        <v/>
      </c>
      <c r="J683">
        <f>IF(G683=1,0.2*R683/B683,J682)</f>
        <v/>
      </c>
      <c r="K683">
        <f>IF(G683=1,0.2*R683/C683,K682)</f>
        <v/>
      </c>
      <c r="L683">
        <f>IF(G683=1,0.2*R683/D683,L682)</f>
        <v/>
      </c>
      <c r="M683">
        <f>IF(G683=1,0.2*R683/E683,M682)</f>
        <v/>
      </c>
      <c r="N683">
        <f>IF(G683=1,0.2*R683/F683,N682)</f>
        <v/>
      </c>
      <c r="O683">
        <f>IF(G683=1,R683*(1-1.0),IF(H682=0,1,O682*(1+0.00023125256064071564)))</f>
        <v/>
      </c>
      <c r="P683">
        <f>IF(G683=1,IF(H682=0,1,ABS(0.2-J682*B683/I683)+ABS(0.2-K682*C683/I683)+ABS(0.2-L682*D683/I683)+ABS(0.2-M682*E683/I683)+ABS(0.2-N682*F683/I683)),0)</f>
        <v/>
      </c>
      <c r="Q683">
        <f>P683*0.0015</f>
        <v/>
      </c>
      <c r="R683">
        <f>I683*(1-Q683)</f>
        <v/>
      </c>
      <c r="S683">
        <f>R683/R682-1</f>
        <v/>
      </c>
      <c r="T683">
        <f>MAX(T682,R683)</f>
        <v/>
      </c>
      <c r="U683">
        <f>R683/T683-1</f>
        <v/>
      </c>
      <c r="V683" t="n">
        <v>3.34199192190643</v>
      </c>
      <c r="W683" s="5">
        <f>R683-V683</f>
        <v/>
      </c>
    </row>
    <row r="684">
      <c r="A684" s="3" t="n">
        <v>39435</v>
      </c>
      <c r="B684">
        <f>Prices!B684</f>
        <v/>
      </c>
      <c r="C684">
        <f>Prices!C684</f>
        <v/>
      </c>
      <c r="D684">
        <f>Prices!D684</f>
        <v/>
      </c>
      <c r="E684">
        <f>Prices!E684</f>
        <v/>
      </c>
      <c r="F684">
        <f>Prices!F684</f>
        <v/>
      </c>
      <c r="G684">
        <f>IF(AND(682&gt;=16,TEXT(A684,"yyyy-mm")&lt;&gt;TEXT(A685,"yyyy-mm")),1,0)</f>
        <v/>
      </c>
      <c r="H684">
        <f>IF(OR(H683=1,G684=1),1,0)</f>
        <v/>
      </c>
      <c r="I684">
        <f>IF(H683=0,1,SUMPRODUCT(J683:N683,B684:F684)+O683*(1+0.00023125256064071564))</f>
        <v/>
      </c>
      <c r="J684">
        <f>IF(G684=1,0.2*R684/B684,J683)</f>
        <v/>
      </c>
      <c r="K684">
        <f>IF(G684=1,0.2*R684/C684,K683)</f>
        <v/>
      </c>
      <c r="L684">
        <f>IF(G684=1,0.2*R684/D684,L683)</f>
        <v/>
      </c>
      <c r="M684">
        <f>IF(G684=1,0.2*R684/E684,M683)</f>
        <v/>
      </c>
      <c r="N684">
        <f>IF(G684=1,0.2*R684/F684,N683)</f>
        <v/>
      </c>
      <c r="O684">
        <f>IF(G684=1,R684*(1-1.0),IF(H683=0,1,O683*(1+0.00023125256064071564)))</f>
        <v/>
      </c>
      <c r="P684">
        <f>IF(G684=1,IF(H683=0,1,ABS(0.2-J683*B684/I684)+ABS(0.2-K683*C684/I684)+ABS(0.2-L683*D684/I684)+ABS(0.2-M683*E684/I684)+ABS(0.2-N683*F684/I684)),0)</f>
        <v/>
      </c>
      <c r="Q684">
        <f>P684*0.0015</f>
        <v/>
      </c>
      <c r="R684">
        <f>I684*(1-Q684)</f>
        <v/>
      </c>
      <c r="S684">
        <f>R684/R683-1</f>
        <v/>
      </c>
      <c r="T684">
        <f>MAX(T683,R684)</f>
        <v/>
      </c>
      <c r="U684">
        <f>R684/T684-1</f>
        <v/>
      </c>
      <c r="V684" t="n">
        <v>3.34279981618114</v>
      </c>
      <c r="W684" s="5">
        <f>R684-V684</f>
        <v/>
      </c>
    </row>
    <row r="685">
      <c r="A685" s="3" t="n">
        <v>39436</v>
      </c>
      <c r="B685">
        <f>Prices!B685</f>
        <v/>
      </c>
      <c r="C685">
        <f>Prices!C685</f>
        <v/>
      </c>
      <c r="D685">
        <f>Prices!D685</f>
        <v/>
      </c>
      <c r="E685">
        <f>Prices!E685</f>
        <v/>
      </c>
      <c r="F685">
        <f>Prices!F685</f>
        <v/>
      </c>
      <c r="G685">
        <f>IF(AND(683&gt;=16,TEXT(A685,"yyyy-mm")&lt;&gt;TEXT(A686,"yyyy-mm")),1,0)</f>
        <v/>
      </c>
      <c r="H685">
        <f>IF(OR(H684=1,G685=1),1,0)</f>
        <v/>
      </c>
      <c r="I685">
        <f>IF(H684=0,1,SUMPRODUCT(J684:N684,B685:F685)+O684*(1+0.00023125256064071564))</f>
        <v/>
      </c>
      <c r="J685">
        <f>IF(G685=1,0.2*R685/B685,J684)</f>
        <v/>
      </c>
      <c r="K685">
        <f>IF(G685=1,0.2*R685/C685,K684)</f>
        <v/>
      </c>
      <c r="L685">
        <f>IF(G685=1,0.2*R685/D685,L684)</f>
        <v/>
      </c>
      <c r="M685">
        <f>IF(G685=1,0.2*R685/E685,M684)</f>
        <v/>
      </c>
      <c r="N685">
        <f>IF(G685=1,0.2*R685/F685,N684)</f>
        <v/>
      </c>
      <c r="O685">
        <f>IF(G685=1,R685*(1-1.0),IF(H684=0,1,O684*(1+0.00023125256064071564)))</f>
        <v/>
      </c>
      <c r="P685">
        <f>IF(G685=1,IF(H684=0,1,ABS(0.2-J684*B685/I685)+ABS(0.2-K684*C685/I685)+ABS(0.2-L684*D685/I685)+ABS(0.2-M684*E685/I685)+ABS(0.2-N684*F685/I685)),0)</f>
        <v/>
      </c>
      <c r="Q685">
        <f>P685*0.0015</f>
        <v/>
      </c>
      <c r="R685">
        <f>I685*(1-Q685)</f>
        <v/>
      </c>
      <c r="S685">
        <f>R685/R684-1</f>
        <v/>
      </c>
      <c r="T685">
        <f>MAX(T684,R685)</f>
        <v/>
      </c>
      <c r="U685">
        <f>R685/T685-1</f>
        <v/>
      </c>
      <c r="V685" t="n">
        <v>3.342725279958897</v>
      </c>
      <c r="W685" s="5">
        <f>R685-V685</f>
        <v/>
      </c>
    </row>
    <row r="686">
      <c r="A686" s="3" t="n">
        <v>39440</v>
      </c>
      <c r="B686">
        <f>Prices!B686</f>
        <v/>
      </c>
      <c r="C686">
        <f>Prices!C686</f>
        <v/>
      </c>
      <c r="D686">
        <f>Prices!D686</f>
        <v/>
      </c>
      <c r="E686">
        <f>Prices!E686</f>
        <v/>
      </c>
      <c r="F686">
        <f>Prices!F686</f>
        <v/>
      </c>
      <c r="G686">
        <f>IF(AND(684&gt;=16,TEXT(A686,"yyyy-mm")&lt;&gt;TEXT(A687,"yyyy-mm")),1,0)</f>
        <v/>
      </c>
      <c r="H686">
        <f>IF(OR(H685=1,G686=1),1,0)</f>
        <v/>
      </c>
      <c r="I686">
        <f>IF(H685=0,1,SUMPRODUCT(J685:N685,B686:F686)+O685*(1+0.00023125256064071564))</f>
        <v/>
      </c>
      <c r="J686">
        <f>IF(G686=1,0.2*R686/B686,J685)</f>
        <v/>
      </c>
      <c r="K686">
        <f>IF(G686=1,0.2*R686/C686,K685)</f>
        <v/>
      </c>
      <c r="L686">
        <f>IF(G686=1,0.2*R686/D686,L685)</f>
        <v/>
      </c>
      <c r="M686">
        <f>IF(G686=1,0.2*R686/E686,M685)</f>
        <v/>
      </c>
      <c r="N686">
        <f>IF(G686=1,0.2*R686/F686,N685)</f>
        <v/>
      </c>
      <c r="O686">
        <f>IF(G686=1,R686*(1-1.0),IF(H685=0,1,O685*(1+0.00023125256064071564)))</f>
        <v/>
      </c>
      <c r="P686">
        <f>IF(G686=1,IF(H685=0,1,ABS(0.2-J685*B686/I686)+ABS(0.2-K685*C686/I686)+ABS(0.2-L685*D686/I686)+ABS(0.2-M685*E686/I686)+ABS(0.2-N685*F686/I686)),0)</f>
        <v/>
      </c>
      <c r="Q686">
        <f>P686*0.0015</f>
        <v/>
      </c>
      <c r="R686">
        <f>I686*(1-Q686)</f>
        <v/>
      </c>
      <c r="S686">
        <f>R686/R685-1</f>
        <v/>
      </c>
      <c r="T686">
        <f>MAX(T685,R686)</f>
        <v/>
      </c>
      <c r="U686">
        <f>R686/T686-1</f>
        <v/>
      </c>
      <c r="V686" t="n">
        <v>3.435951639301389</v>
      </c>
      <c r="W686" s="5">
        <f>R686-V686</f>
        <v/>
      </c>
    </row>
    <row r="687">
      <c r="A687" s="3" t="n">
        <v>39442</v>
      </c>
      <c r="B687">
        <f>Prices!B687</f>
        <v/>
      </c>
      <c r="C687">
        <f>Prices!C687</f>
        <v/>
      </c>
      <c r="D687">
        <f>Prices!D687</f>
        <v/>
      </c>
      <c r="E687">
        <f>Prices!E687</f>
        <v/>
      </c>
      <c r="F687">
        <f>Prices!F687</f>
        <v/>
      </c>
      <c r="G687">
        <f>IF(AND(685&gt;=16,TEXT(A687,"yyyy-mm")&lt;&gt;TEXT(A688,"yyyy-mm")),1,0)</f>
        <v/>
      </c>
      <c r="H687">
        <f>IF(OR(H686=1,G687=1),1,0)</f>
        <v/>
      </c>
      <c r="I687">
        <f>IF(H686=0,1,SUMPRODUCT(J686:N686,B687:F687)+O686*(1+0.00023125256064071564))</f>
        <v/>
      </c>
      <c r="J687">
        <f>IF(G687=1,0.2*R687/B687,J686)</f>
        <v/>
      </c>
      <c r="K687">
        <f>IF(G687=1,0.2*R687/C687,K686)</f>
        <v/>
      </c>
      <c r="L687">
        <f>IF(G687=1,0.2*R687/D687,L686)</f>
        <v/>
      </c>
      <c r="M687">
        <f>IF(G687=1,0.2*R687/E687,M686)</f>
        <v/>
      </c>
      <c r="N687">
        <f>IF(G687=1,0.2*R687/F687,N686)</f>
        <v/>
      </c>
      <c r="O687">
        <f>IF(G687=1,R687*(1-1.0),IF(H686=0,1,O686*(1+0.00023125256064071564)))</f>
        <v/>
      </c>
      <c r="P687">
        <f>IF(G687=1,IF(H686=0,1,ABS(0.2-J686*B687/I687)+ABS(0.2-K686*C687/I687)+ABS(0.2-L686*D687/I687)+ABS(0.2-M686*E687/I687)+ABS(0.2-N686*F687/I687)),0)</f>
        <v/>
      </c>
      <c r="Q687">
        <f>P687*0.0015</f>
        <v/>
      </c>
      <c r="R687">
        <f>I687*(1-Q687)</f>
        <v/>
      </c>
      <c r="S687">
        <f>R687/R686-1</f>
        <v/>
      </c>
      <c r="T687">
        <f>MAX(T686,R687)</f>
        <v/>
      </c>
      <c r="U687">
        <f>R687/T687-1</f>
        <v/>
      </c>
      <c r="V687" t="n">
        <v>3.515096821764517</v>
      </c>
      <c r="W687" s="5">
        <f>R687-V687</f>
        <v/>
      </c>
    </row>
    <row r="688">
      <c r="A688" s="3" t="n">
        <v>39443</v>
      </c>
      <c r="B688">
        <f>Prices!B688</f>
        <v/>
      </c>
      <c r="C688">
        <f>Prices!C688</f>
        <v/>
      </c>
      <c r="D688">
        <f>Prices!D688</f>
        <v/>
      </c>
      <c r="E688">
        <f>Prices!E688</f>
        <v/>
      </c>
      <c r="F688">
        <f>Prices!F688</f>
        <v/>
      </c>
      <c r="G688">
        <f>IF(AND(686&gt;=16,TEXT(A688,"yyyy-mm")&lt;&gt;TEXT(A689,"yyyy-mm")),1,0)</f>
        <v/>
      </c>
      <c r="H688">
        <f>IF(OR(H687=1,G688=1),1,0)</f>
        <v/>
      </c>
      <c r="I688">
        <f>IF(H687=0,1,SUMPRODUCT(J687:N687,B688:F688)+O687*(1+0.00023125256064071564))</f>
        <v/>
      </c>
      <c r="J688">
        <f>IF(G688=1,0.2*R688/B688,J687)</f>
        <v/>
      </c>
      <c r="K688">
        <f>IF(G688=1,0.2*R688/C688,K687)</f>
        <v/>
      </c>
      <c r="L688">
        <f>IF(G688=1,0.2*R688/D688,L687)</f>
        <v/>
      </c>
      <c r="M688">
        <f>IF(G688=1,0.2*R688/E688,M687)</f>
        <v/>
      </c>
      <c r="N688">
        <f>IF(G688=1,0.2*R688/F688,N687)</f>
        <v/>
      </c>
      <c r="O688">
        <f>IF(G688=1,R688*(1-1.0),IF(H687=0,1,O687*(1+0.00023125256064071564)))</f>
        <v/>
      </c>
      <c r="P688">
        <f>IF(G688=1,IF(H687=0,1,ABS(0.2-J687*B688/I688)+ABS(0.2-K687*C688/I688)+ABS(0.2-L687*D688/I688)+ABS(0.2-M687*E688/I688)+ABS(0.2-N687*F688/I688)),0)</f>
        <v/>
      </c>
      <c r="Q688">
        <f>P688*0.0015</f>
        <v/>
      </c>
      <c r="R688">
        <f>I688*(1-Q688)</f>
        <v/>
      </c>
      <c r="S688">
        <f>R688/R687-1</f>
        <v/>
      </c>
      <c r="T688">
        <f>MAX(T687,R688)</f>
        <v/>
      </c>
      <c r="U688">
        <f>R688/T688-1</f>
        <v/>
      </c>
      <c r="V688" t="n">
        <v>3.526447827777488</v>
      </c>
      <c r="W688" s="5">
        <f>R688-V688</f>
        <v/>
      </c>
    </row>
    <row r="689">
      <c r="A689" s="3" t="n">
        <v>39444</v>
      </c>
      <c r="B689">
        <f>Prices!B689</f>
        <v/>
      </c>
      <c r="C689">
        <f>Prices!C689</f>
        <v/>
      </c>
      <c r="D689">
        <f>Prices!D689</f>
        <v/>
      </c>
      <c r="E689">
        <f>Prices!E689</f>
        <v/>
      </c>
      <c r="F689">
        <f>Prices!F689</f>
        <v/>
      </c>
      <c r="G689">
        <f>IF(AND(687&gt;=16,TEXT(A689,"yyyy-mm")&lt;&gt;TEXT(A690,"yyyy-mm")),1,0)</f>
        <v/>
      </c>
      <c r="H689">
        <f>IF(OR(H688=1,G689=1),1,0)</f>
        <v/>
      </c>
      <c r="I689">
        <f>IF(H688=0,1,SUMPRODUCT(J688:N688,B689:F689)+O688*(1+0.00023125256064071564))</f>
        <v/>
      </c>
      <c r="J689">
        <f>IF(G689=1,0.2*R689/B689,J688)</f>
        <v/>
      </c>
      <c r="K689">
        <f>IF(G689=1,0.2*R689/C689,K688)</f>
        <v/>
      </c>
      <c r="L689">
        <f>IF(G689=1,0.2*R689/D689,L688)</f>
        <v/>
      </c>
      <c r="M689">
        <f>IF(G689=1,0.2*R689/E689,M688)</f>
        <v/>
      </c>
      <c r="N689">
        <f>IF(G689=1,0.2*R689/F689,N688)</f>
        <v/>
      </c>
      <c r="O689">
        <f>IF(G689=1,R689*(1-1.0),IF(H688=0,1,O688*(1+0.00023125256064071564)))</f>
        <v/>
      </c>
      <c r="P689">
        <f>IF(G689=1,IF(H688=0,1,ABS(0.2-J688*B689/I689)+ABS(0.2-K688*C689/I689)+ABS(0.2-L688*D689/I689)+ABS(0.2-M688*E689/I689)+ABS(0.2-N688*F689/I689)),0)</f>
        <v/>
      </c>
      <c r="Q689">
        <f>P689*0.0015</f>
        <v/>
      </c>
      <c r="R689">
        <f>I689*(1-Q689)</f>
        <v/>
      </c>
      <c r="S689">
        <f>R689/R688-1</f>
        <v/>
      </c>
      <c r="T689">
        <f>MAX(T688,R689)</f>
        <v/>
      </c>
      <c r="U689">
        <f>R689/T689-1</f>
        <v/>
      </c>
      <c r="V689" t="n">
        <v>3.573827599933834</v>
      </c>
      <c r="W689" s="5">
        <f>R689-V689</f>
        <v/>
      </c>
    </row>
    <row r="690">
      <c r="A690" s="3" t="n">
        <v>39447</v>
      </c>
      <c r="B690">
        <f>Prices!B690</f>
        <v/>
      </c>
      <c r="C690">
        <f>Prices!C690</f>
        <v/>
      </c>
      <c r="D690">
        <f>Prices!D690</f>
        <v/>
      </c>
      <c r="E690">
        <f>Prices!E690</f>
        <v/>
      </c>
      <c r="F690">
        <f>Prices!F690</f>
        <v/>
      </c>
      <c r="G690">
        <f>IF(AND(688&gt;=16,TEXT(A690,"yyyy-mm")&lt;&gt;TEXT(A691,"yyyy-mm")),1,0)</f>
        <v/>
      </c>
      <c r="H690">
        <f>IF(OR(H689=1,G690=1),1,0)</f>
        <v/>
      </c>
      <c r="I690">
        <f>IF(H689=0,1,SUMPRODUCT(J689:N689,B690:F690)+O689*(1+0.00023125256064071564))</f>
        <v/>
      </c>
      <c r="J690">
        <f>IF(G690=1,0.2*R690/B690,J689)</f>
        <v/>
      </c>
      <c r="K690">
        <f>IF(G690=1,0.2*R690/C690,K689)</f>
        <v/>
      </c>
      <c r="L690">
        <f>IF(G690=1,0.2*R690/D690,L689)</f>
        <v/>
      </c>
      <c r="M690">
        <f>IF(G690=1,0.2*R690/E690,M689)</f>
        <v/>
      </c>
      <c r="N690">
        <f>IF(G690=1,0.2*R690/F690,N689)</f>
        <v/>
      </c>
      <c r="O690">
        <f>IF(G690=1,R690*(1-1.0),IF(H689=0,1,O689*(1+0.00023125256064071564)))</f>
        <v/>
      </c>
      <c r="P690">
        <f>IF(G690=1,IF(H689=0,1,ABS(0.2-J689*B690/I690)+ABS(0.2-K689*C690/I690)+ABS(0.2-L689*D690/I690)+ABS(0.2-M689*E690/I690)+ABS(0.2-N689*F690/I690)),0)</f>
        <v/>
      </c>
      <c r="Q690">
        <f>P690*0.0015</f>
        <v/>
      </c>
      <c r="R690">
        <f>I690*(1-Q690)</f>
        <v/>
      </c>
      <c r="S690">
        <f>R690/R689-1</f>
        <v/>
      </c>
      <c r="T690">
        <f>MAX(T689,R690)</f>
        <v/>
      </c>
      <c r="U690">
        <f>R690/T690-1</f>
        <v/>
      </c>
      <c r="V690" t="n">
        <v>3.633595665195047</v>
      </c>
      <c r="W690" s="5">
        <f>R690-V690</f>
        <v/>
      </c>
    </row>
    <row r="691">
      <c r="A691" s="3" t="n">
        <v>39448</v>
      </c>
      <c r="B691">
        <f>Prices!B691</f>
        <v/>
      </c>
      <c r="C691">
        <f>Prices!C691</f>
        <v/>
      </c>
      <c r="D691">
        <f>Prices!D691</f>
        <v/>
      </c>
      <c r="E691">
        <f>Prices!E691</f>
        <v/>
      </c>
      <c r="F691">
        <f>Prices!F691</f>
        <v/>
      </c>
      <c r="G691">
        <f>IF(AND(689&gt;=16,TEXT(A691,"yyyy-mm")&lt;&gt;TEXT(A692,"yyyy-mm")),1,0)</f>
        <v/>
      </c>
      <c r="H691">
        <f>IF(OR(H690=1,G691=1),1,0)</f>
        <v/>
      </c>
      <c r="I691">
        <f>IF(H690=0,1,SUMPRODUCT(J690:N690,B691:F691)+O690*(1+0.00023125256064071564))</f>
        <v/>
      </c>
      <c r="J691">
        <f>IF(G691=1,0.2*R691/B691,J690)</f>
        <v/>
      </c>
      <c r="K691">
        <f>IF(G691=1,0.2*R691/C691,K690)</f>
        <v/>
      </c>
      <c r="L691">
        <f>IF(G691=1,0.2*R691/D691,L690)</f>
        <v/>
      </c>
      <c r="M691">
        <f>IF(G691=1,0.2*R691/E691,M690)</f>
        <v/>
      </c>
      <c r="N691">
        <f>IF(G691=1,0.2*R691/F691,N690)</f>
        <v/>
      </c>
      <c r="O691">
        <f>IF(G691=1,R691*(1-1.0),IF(H690=0,1,O690*(1+0.00023125256064071564)))</f>
        <v/>
      </c>
      <c r="P691">
        <f>IF(G691=1,IF(H690=0,1,ABS(0.2-J690*B691/I691)+ABS(0.2-K690*C691/I691)+ABS(0.2-L690*D691/I691)+ABS(0.2-M690*E691/I691)+ABS(0.2-N690*F691/I691)),0)</f>
        <v/>
      </c>
      <c r="Q691">
        <f>P691*0.0015</f>
        <v/>
      </c>
      <c r="R691">
        <f>I691*(1-Q691)</f>
        <v/>
      </c>
      <c r="S691">
        <f>R691/R690-1</f>
        <v/>
      </c>
      <c r="T691">
        <f>MAX(T690,R691)</f>
        <v/>
      </c>
      <c r="U691">
        <f>R691/T691-1</f>
        <v/>
      </c>
      <c r="V691" t="n">
        <v>3.673535670394454</v>
      </c>
      <c r="W691" s="5">
        <f>R691-V691</f>
        <v/>
      </c>
    </row>
    <row r="692">
      <c r="A692" s="3" t="n">
        <v>39449</v>
      </c>
      <c r="B692">
        <f>Prices!B692</f>
        <v/>
      </c>
      <c r="C692">
        <f>Prices!C692</f>
        <v/>
      </c>
      <c r="D692">
        <f>Prices!D692</f>
        <v/>
      </c>
      <c r="E692">
        <f>Prices!E692</f>
        <v/>
      </c>
      <c r="F692">
        <f>Prices!F692</f>
        <v/>
      </c>
      <c r="G692">
        <f>IF(AND(690&gt;=16,TEXT(A692,"yyyy-mm")&lt;&gt;TEXT(A693,"yyyy-mm")),1,0)</f>
        <v/>
      </c>
      <c r="H692">
        <f>IF(OR(H691=1,G692=1),1,0)</f>
        <v/>
      </c>
      <c r="I692">
        <f>IF(H691=0,1,SUMPRODUCT(J691:N691,B692:F692)+O691*(1+0.00023125256064071564))</f>
        <v/>
      </c>
      <c r="J692">
        <f>IF(G692=1,0.2*R692/B692,J691)</f>
        <v/>
      </c>
      <c r="K692">
        <f>IF(G692=1,0.2*R692/C692,K691)</f>
        <v/>
      </c>
      <c r="L692">
        <f>IF(G692=1,0.2*R692/D692,L691)</f>
        <v/>
      </c>
      <c r="M692">
        <f>IF(G692=1,0.2*R692/E692,M691)</f>
        <v/>
      </c>
      <c r="N692">
        <f>IF(G692=1,0.2*R692/F692,N691)</f>
        <v/>
      </c>
      <c r="O692">
        <f>IF(G692=1,R692*(1-1.0),IF(H691=0,1,O691*(1+0.00023125256064071564)))</f>
        <v/>
      </c>
      <c r="P692">
        <f>IF(G692=1,IF(H691=0,1,ABS(0.2-J691*B692/I692)+ABS(0.2-K691*C692/I692)+ABS(0.2-L691*D692/I692)+ABS(0.2-M691*E692/I692)+ABS(0.2-N691*F692/I692)),0)</f>
        <v/>
      </c>
      <c r="Q692">
        <f>P692*0.0015</f>
        <v/>
      </c>
      <c r="R692">
        <f>I692*(1-Q692)</f>
        <v/>
      </c>
      <c r="S692">
        <f>R692/R691-1</f>
        <v/>
      </c>
      <c r="T692">
        <f>MAX(T691,R692)</f>
        <v/>
      </c>
      <c r="U692">
        <f>R692/T692-1</f>
        <v/>
      </c>
      <c r="V692" t="n">
        <v>3.709489191984383</v>
      </c>
      <c r="W692" s="5">
        <f>R692-V692</f>
        <v/>
      </c>
    </row>
    <row r="693">
      <c r="A693" s="3" t="n">
        <v>39450</v>
      </c>
      <c r="B693">
        <f>Prices!B693</f>
        <v/>
      </c>
      <c r="C693">
        <f>Prices!C693</f>
        <v/>
      </c>
      <c r="D693">
        <f>Prices!D693</f>
        <v/>
      </c>
      <c r="E693">
        <f>Prices!E693</f>
        <v/>
      </c>
      <c r="F693">
        <f>Prices!F693</f>
        <v/>
      </c>
      <c r="G693">
        <f>IF(AND(691&gt;=16,TEXT(A693,"yyyy-mm")&lt;&gt;TEXT(A694,"yyyy-mm")),1,0)</f>
        <v/>
      </c>
      <c r="H693">
        <f>IF(OR(H692=1,G693=1),1,0)</f>
        <v/>
      </c>
      <c r="I693">
        <f>IF(H692=0,1,SUMPRODUCT(J692:N692,B693:F693)+O692*(1+0.00023125256064071564))</f>
        <v/>
      </c>
      <c r="J693">
        <f>IF(G693=1,0.2*R693/B693,J692)</f>
        <v/>
      </c>
      <c r="K693">
        <f>IF(G693=1,0.2*R693/C693,K692)</f>
        <v/>
      </c>
      <c r="L693">
        <f>IF(G693=1,0.2*R693/D693,L692)</f>
        <v/>
      </c>
      <c r="M693">
        <f>IF(G693=1,0.2*R693/E693,M692)</f>
        <v/>
      </c>
      <c r="N693">
        <f>IF(G693=1,0.2*R693/F693,N692)</f>
        <v/>
      </c>
      <c r="O693">
        <f>IF(G693=1,R693*(1-1.0),IF(H692=0,1,O692*(1+0.00023125256064071564)))</f>
        <v/>
      </c>
      <c r="P693">
        <f>IF(G693=1,IF(H692=0,1,ABS(0.2-J692*B693/I693)+ABS(0.2-K692*C693/I693)+ABS(0.2-L692*D693/I693)+ABS(0.2-M692*E693/I693)+ABS(0.2-N692*F693/I693)),0)</f>
        <v/>
      </c>
      <c r="Q693">
        <f>P693*0.0015</f>
        <v/>
      </c>
      <c r="R693">
        <f>I693*(1-Q693)</f>
        <v/>
      </c>
      <c r="S693">
        <f>R693/R692-1</f>
        <v/>
      </c>
      <c r="T693">
        <f>MAX(T692,R693)</f>
        <v/>
      </c>
      <c r="U693">
        <f>R693/T693-1</f>
        <v/>
      </c>
      <c r="V693" t="n">
        <v>3.71423756947587</v>
      </c>
      <c r="W693" s="5">
        <f>R693-V693</f>
        <v/>
      </c>
    </row>
    <row r="694">
      <c r="A694" s="3" t="n">
        <v>39451</v>
      </c>
      <c r="B694">
        <f>Prices!B694</f>
        <v/>
      </c>
      <c r="C694">
        <f>Prices!C694</f>
        <v/>
      </c>
      <c r="D694">
        <f>Prices!D694</f>
        <v/>
      </c>
      <c r="E694">
        <f>Prices!E694</f>
        <v/>
      </c>
      <c r="F694">
        <f>Prices!F694</f>
        <v/>
      </c>
      <c r="G694">
        <f>IF(AND(692&gt;=16,TEXT(A694,"yyyy-mm")&lt;&gt;TEXT(A695,"yyyy-mm")),1,0)</f>
        <v/>
      </c>
      <c r="H694">
        <f>IF(OR(H693=1,G694=1),1,0)</f>
        <v/>
      </c>
      <c r="I694">
        <f>IF(H693=0,1,SUMPRODUCT(J693:N693,B694:F694)+O693*(1+0.00023125256064071564))</f>
        <v/>
      </c>
      <c r="J694">
        <f>IF(G694=1,0.2*R694/B694,J693)</f>
        <v/>
      </c>
      <c r="K694">
        <f>IF(G694=1,0.2*R694/C694,K693)</f>
        <v/>
      </c>
      <c r="L694">
        <f>IF(G694=1,0.2*R694/D694,L693)</f>
        <v/>
      </c>
      <c r="M694">
        <f>IF(G694=1,0.2*R694/E694,M693)</f>
        <v/>
      </c>
      <c r="N694">
        <f>IF(G694=1,0.2*R694/F694,N693)</f>
        <v/>
      </c>
      <c r="O694">
        <f>IF(G694=1,R694*(1-1.0),IF(H693=0,1,O693*(1+0.00023125256064071564)))</f>
        <v/>
      </c>
      <c r="P694">
        <f>IF(G694=1,IF(H693=0,1,ABS(0.2-J693*B694/I694)+ABS(0.2-K693*C694/I694)+ABS(0.2-L693*D694/I694)+ABS(0.2-M693*E694/I694)+ABS(0.2-N693*F694/I694)),0)</f>
        <v/>
      </c>
      <c r="Q694">
        <f>P694*0.0015</f>
        <v/>
      </c>
      <c r="R694">
        <f>I694*(1-Q694)</f>
        <v/>
      </c>
      <c r="S694">
        <f>R694/R693-1</f>
        <v/>
      </c>
      <c r="T694">
        <f>MAX(T693,R694)</f>
        <v/>
      </c>
      <c r="U694">
        <f>R694/T694-1</f>
        <v/>
      </c>
      <c r="V694" t="n">
        <v>3.733677359822458</v>
      </c>
      <c r="W694" s="5">
        <f>R694-V694</f>
        <v/>
      </c>
    </row>
    <row r="695">
      <c r="A695" s="3" t="n">
        <v>39454</v>
      </c>
      <c r="B695">
        <f>Prices!B695</f>
        <v/>
      </c>
      <c r="C695">
        <f>Prices!C695</f>
        <v/>
      </c>
      <c r="D695">
        <f>Prices!D695</f>
        <v/>
      </c>
      <c r="E695">
        <f>Prices!E695</f>
        <v/>
      </c>
      <c r="F695">
        <f>Prices!F695</f>
        <v/>
      </c>
      <c r="G695">
        <f>IF(AND(693&gt;=16,TEXT(A695,"yyyy-mm")&lt;&gt;TEXT(A696,"yyyy-mm")),1,0)</f>
        <v/>
      </c>
      <c r="H695">
        <f>IF(OR(H694=1,G695=1),1,0)</f>
        <v/>
      </c>
      <c r="I695">
        <f>IF(H694=0,1,SUMPRODUCT(J694:N694,B695:F695)+O694*(1+0.00023125256064071564))</f>
        <v/>
      </c>
      <c r="J695">
        <f>IF(G695=1,0.2*R695/B695,J694)</f>
        <v/>
      </c>
      <c r="K695">
        <f>IF(G695=1,0.2*R695/C695,K694)</f>
        <v/>
      </c>
      <c r="L695">
        <f>IF(G695=1,0.2*R695/D695,L694)</f>
        <v/>
      </c>
      <c r="M695">
        <f>IF(G695=1,0.2*R695/E695,M694)</f>
        <v/>
      </c>
      <c r="N695">
        <f>IF(G695=1,0.2*R695/F695,N694)</f>
        <v/>
      </c>
      <c r="O695">
        <f>IF(G695=1,R695*(1-1.0),IF(H694=0,1,O694*(1+0.00023125256064071564)))</f>
        <v/>
      </c>
      <c r="P695">
        <f>IF(G695=1,IF(H694=0,1,ABS(0.2-J694*B695/I695)+ABS(0.2-K694*C695/I695)+ABS(0.2-L694*D695/I695)+ABS(0.2-M694*E695/I695)+ABS(0.2-N694*F695/I695)),0)</f>
        <v/>
      </c>
      <c r="Q695">
        <f>P695*0.0015</f>
        <v/>
      </c>
      <c r="R695">
        <f>I695*(1-Q695)</f>
        <v/>
      </c>
      <c r="S695">
        <f>R695/R694-1</f>
        <v/>
      </c>
      <c r="T695">
        <f>MAX(T694,R695)</f>
        <v/>
      </c>
      <c r="U695">
        <f>R695/T695-1</f>
        <v/>
      </c>
      <c r="V695" t="n">
        <v>3.739813091363592</v>
      </c>
      <c r="W695" s="5">
        <f>R695-V695</f>
        <v/>
      </c>
    </row>
    <row r="696">
      <c r="A696" s="3" t="n">
        <v>39455</v>
      </c>
      <c r="B696">
        <f>Prices!B696</f>
        <v/>
      </c>
      <c r="C696">
        <f>Prices!C696</f>
        <v/>
      </c>
      <c r="D696">
        <f>Prices!D696</f>
        <v/>
      </c>
      <c r="E696">
        <f>Prices!E696</f>
        <v/>
      </c>
      <c r="F696">
        <f>Prices!F696</f>
        <v/>
      </c>
      <c r="G696">
        <f>IF(AND(694&gt;=16,TEXT(A696,"yyyy-mm")&lt;&gt;TEXT(A697,"yyyy-mm")),1,0)</f>
        <v/>
      </c>
      <c r="H696">
        <f>IF(OR(H695=1,G696=1),1,0)</f>
        <v/>
      </c>
      <c r="I696">
        <f>IF(H695=0,1,SUMPRODUCT(J695:N695,B696:F696)+O695*(1+0.00023125256064071564))</f>
        <v/>
      </c>
      <c r="J696">
        <f>IF(G696=1,0.2*R696/B696,J695)</f>
        <v/>
      </c>
      <c r="K696">
        <f>IF(G696=1,0.2*R696/C696,K695)</f>
        <v/>
      </c>
      <c r="L696">
        <f>IF(G696=1,0.2*R696/D696,L695)</f>
        <v/>
      </c>
      <c r="M696">
        <f>IF(G696=1,0.2*R696/E696,M695)</f>
        <v/>
      </c>
      <c r="N696">
        <f>IF(G696=1,0.2*R696/F696,N695)</f>
        <v/>
      </c>
      <c r="O696">
        <f>IF(G696=1,R696*(1-1.0),IF(H695=0,1,O695*(1+0.00023125256064071564)))</f>
        <v/>
      </c>
      <c r="P696">
        <f>IF(G696=1,IF(H695=0,1,ABS(0.2-J695*B696/I696)+ABS(0.2-K695*C696/I696)+ABS(0.2-L695*D696/I696)+ABS(0.2-M695*E696/I696)+ABS(0.2-N695*F696/I696)),0)</f>
        <v/>
      </c>
      <c r="Q696">
        <f>P696*0.0015</f>
        <v/>
      </c>
      <c r="R696">
        <f>I696*(1-Q696)</f>
        <v/>
      </c>
      <c r="S696">
        <f>R696/R695-1</f>
        <v/>
      </c>
      <c r="T696">
        <f>MAX(T695,R696)</f>
        <v/>
      </c>
      <c r="U696">
        <f>R696/T696-1</f>
        <v/>
      </c>
      <c r="V696" t="n">
        <v>3.684707007373227</v>
      </c>
      <c r="W696" s="5">
        <f>R696-V696</f>
        <v/>
      </c>
    </row>
    <row r="697">
      <c r="A697" s="3" t="n">
        <v>39456</v>
      </c>
      <c r="B697">
        <f>Prices!B697</f>
        <v/>
      </c>
      <c r="C697">
        <f>Prices!C697</f>
        <v/>
      </c>
      <c r="D697">
        <f>Prices!D697</f>
        <v/>
      </c>
      <c r="E697">
        <f>Prices!E697</f>
        <v/>
      </c>
      <c r="F697">
        <f>Prices!F697</f>
        <v/>
      </c>
      <c r="G697">
        <f>IF(AND(695&gt;=16,TEXT(A697,"yyyy-mm")&lt;&gt;TEXT(A698,"yyyy-mm")),1,0)</f>
        <v/>
      </c>
      <c r="H697">
        <f>IF(OR(H696=1,G697=1),1,0)</f>
        <v/>
      </c>
      <c r="I697">
        <f>IF(H696=0,1,SUMPRODUCT(J696:N696,B697:F697)+O696*(1+0.00023125256064071564))</f>
        <v/>
      </c>
      <c r="J697">
        <f>IF(G697=1,0.2*R697/B697,J696)</f>
        <v/>
      </c>
      <c r="K697">
        <f>IF(G697=1,0.2*R697/C697,K696)</f>
        <v/>
      </c>
      <c r="L697">
        <f>IF(G697=1,0.2*R697/D697,L696)</f>
        <v/>
      </c>
      <c r="M697">
        <f>IF(G697=1,0.2*R697/E697,M696)</f>
        <v/>
      </c>
      <c r="N697">
        <f>IF(G697=1,0.2*R697/F697,N696)</f>
        <v/>
      </c>
      <c r="O697">
        <f>IF(G697=1,R697*(1-1.0),IF(H696=0,1,O696*(1+0.00023125256064071564)))</f>
        <v/>
      </c>
      <c r="P697">
        <f>IF(G697=1,IF(H696=0,1,ABS(0.2-J696*B697/I697)+ABS(0.2-K696*C697/I697)+ABS(0.2-L696*D697/I697)+ABS(0.2-M696*E697/I697)+ABS(0.2-N696*F697/I697)),0)</f>
        <v/>
      </c>
      <c r="Q697">
        <f>P697*0.0015</f>
        <v/>
      </c>
      <c r="R697">
        <f>I697*(1-Q697)</f>
        <v/>
      </c>
      <c r="S697">
        <f>R697/R696-1</f>
        <v/>
      </c>
      <c r="T697">
        <f>MAX(T696,R697)</f>
        <v/>
      </c>
      <c r="U697">
        <f>R697/T697-1</f>
        <v/>
      </c>
      <c r="V697" t="n">
        <v>3.645849155313416</v>
      </c>
      <c r="W697" s="5">
        <f>R697-V697</f>
        <v/>
      </c>
    </row>
    <row r="698">
      <c r="A698" s="3" t="n">
        <v>39457</v>
      </c>
      <c r="B698">
        <f>Prices!B698</f>
        <v/>
      </c>
      <c r="C698">
        <f>Prices!C698</f>
        <v/>
      </c>
      <c r="D698">
        <f>Prices!D698</f>
        <v/>
      </c>
      <c r="E698">
        <f>Prices!E698</f>
        <v/>
      </c>
      <c r="F698">
        <f>Prices!F698</f>
        <v/>
      </c>
      <c r="G698">
        <f>IF(AND(696&gt;=16,TEXT(A698,"yyyy-mm")&lt;&gt;TEXT(A699,"yyyy-mm")),1,0)</f>
        <v/>
      </c>
      <c r="H698">
        <f>IF(OR(H697=1,G698=1),1,0)</f>
        <v/>
      </c>
      <c r="I698">
        <f>IF(H697=0,1,SUMPRODUCT(J697:N697,B698:F698)+O697*(1+0.00023125256064071564))</f>
        <v/>
      </c>
      <c r="J698">
        <f>IF(G698=1,0.2*R698/B698,J697)</f>
        <v/>
      </c>
      <c r="K698">
        <f>IF(G698=1,0.2*R698/C698,K697)</f>
        <v/>
      </c>
      <c r="L698">
        <f>IF(G698=1,0.2*R698/D698,L697)</f>
        <v/>
      </c>
      <c r="M698">
        <f>IF(G698=1,0.2*R698/E698,M697)</f>
        <v/>
      </c>
      <c r="N698">
        <f>IF(G698=1,0.2*R698/F698,N697)</f>
        <v/>
      </c>
      <c r="O698">
        <f>IF(G698=1,R698*(1-1.0),IF(H697=0,1,O697*(1+0.00023125256064071564)))</f>
        <v/>
      </c>
      <c r="P698">
        <f>IF(G698=1,IF(H697=0,1,ABS(0.2-J697*B698/I698)+ABS(0.2-K697*C698/I698)+ABS(0.2-L697*D698/I698)+ABS(0.2-M697*E698/I698)+ABS(0.2-N697*F698/I698)),0)</f>
        <v/>
      </c>
      <c r="Q698">
        <f>P698*0.0015</f>
        <v/>
      </c>
      <c r="R698">
        <f>I698*(1-Q698)</f>
        <v/>
      </c>
      <c r="S698">
        <f>R698/R697-1</f>
        <v/>
      </c>
      <c r="T698">
        <f>MAX(T697,R698)</f>
        <v/>
      </c>
      <c r="U698">
        <f>R698/T698-1</f>
        <v/>
      </c>
      <c r="V698" t="n">
        <v>3.51795570498187</v>
      </c>
      <c r="W698" s="5">
        <f>R698-V698</f>
        <v/>
      </c>
    </row>
    <row r="699">
      <c r="A699" s="3" t="n">
        <v>39458</v>
      </c>
      <c r="B699">
        <f>Prices!B699</f>
        <v/>
      </c>
      <c r="C699">
        <f>Prices!C699</f>
        <v/>
      </c>
      <c r="D699">
        <f>Prices!D699</f>
        <v/>
      </c>
      <c r="E699">
        <f>Prices!E699</f>
        <v/>
      </c>
      <c r="F699">
        <f>Prices!F699</f>
        <v/>
      </c>
      <c r="G699">
        <f>IF(AND(697&gt;=16,TEXT(A699,"yyyy-mm")&lt;&gt;TEXT(A700,"yyyy-mm")),1,0)</f>
        <v/>
      </c>
      <c r="H699">
        <f>IF(OR(H698=1,G699=1),1,0)</f>
        <v/>
      </c>
      <c r="I699">
        <f>IF(H698=0,1,SUMPRODUCT(J698:N698,B699:F699)+O698*(1+0.00023125256064071564))</f>
        <v/>
      </c>
      <c r="J699">
        <f>IF(G699=1,0.2*R699/B699,J698)</f>
        <v/>
      </c>
      <c r="K699">
        <f>IF(G699=1,0.2*R699/C699,K698)</f>
        <v/>
      </c>
      <c r="L699">
        <f>IF(G699=1,0.2*R699/D699,L698)</f>
        <v/>
      </c>
      <c r="M699">
        <f>IF(G699=1,0.2*R699/E699,M698)</f>
        <v/>
      </c>
      <c r="N699">
        <f>IF(G699=1,0.2*R699/F699,N698)</f>
        <v/>
      </c>
      <c r="O699">
        <f>IF(G699=1,R699*(1-1.0),IF(H698=0,1,O698*(1+0.00023125256064071564)))</f>
        <v/>
      </c>
      <c r="P699">
        <f>IF(G699=1,IF(H698=0,1,ABS(0.2-J698*B699/I699)+ABS(0.2-K698*C699/I699)+ABS(0.2-L698*D699/I699)+ABS(0.2-M698*E699/I699)+ABS(0.2-N698*F699/I699)),0)</f>
        <v/>
      </c>
      <c r="Q699">
        <f>P699*0.0015</f>
        <v/>
      </c>
      <c r="R699">
        <f>I699*(1-Q699)</f>
        <v/>
      </c>
      <c r="S699">
        <f>R699/R698-1</f>
        <v/>
      </c>
      <c r="T699">
        <f>MAX(T698,R699)</f>
        <v/>
      </c>
      <c r="U699">
        <f>R699/T699-1</f>
        <v/>
      </c>
      <c r="V699" t="n">
        <v>3.50954438694282</v>
      </c>
      <c r="W699" s="5">
        <f>R699-V699</f>
        <v/>
      </c>
    </row>
    <row r="700">
      <c r="A700" s="3" t="n">
        <v>39461</v>
      </c>
      <c r="B700">
        <f>Prices!B700</f>
        <v/>
      </c>
      <c r="C700">
        <f>Prices!C700</f>
        <v/>
      </c>
      <c r="D700">
        <f>Prices!D700</f>
        <v/>
      </c>
      <c r="E700">
        <f>Prices!E700</f>
        <v/>
      </c>
      <c r="F700">
        <f>Prices!F700</f>
        <v/>
      </c>
      <c r="G700">
        <f>IF(AND(698&gt;=16,TEXT(A700,"yyyy-mm")&lt;&gt;TEXT(A701,"yyyy-mm")),1,0)</f>
        <v/>
      </c>
      <c r="H700">
        <f>IF(OR(H699=1,G700=1),1,0)</f>
        <v/>
      </c>
      <c r="I700">
        <f>IF(H699=0,1,SUMPRODUCT(J699:N699,B700:F700)+O699*(1+0.00023125256064071564))</f>
        <v/>
      </c>
      <c r="J700">
        <f>IF(G700=1,0.2*R700/B700,J699)</f>
        <v/>
      </c>
      <c r="K700">
        <f>IF(G700=1,0.2*R700/C700,K699)</f>
        <v/>
      </c>
      <c r="L700">
        <f>IF(G700=1,0.2*R700/D700,L699)</f>
        <v/>
      </c>
      <c r="M700">
        <f>IF(G700=1,0.2*R700/E700,M699)</f>
        <v/>
      </c>
      <c r="N700">
        <f>IF(G700=1,0.2*R700/F700,N699)</f>
        <v/>
      </c>
      <c r="O700">
        <f>IF(G700=1,R700*(1-1.0),IF(H699=0,1,O699*(1+0.00023125256064071564)))</f>
        <v/>
      </c>
      <c r="P700">
        <f>IF(G700=1,IF(H699=0,1,ABS(0.2-J699*B700/I700)+ABS(0.2-K699*C700/I700)+ABS(0.2-L699*D700/I700)+ABS(0.2-M699*E700/I700)+ABS(0.2-N699*F700/I700)),0)</f>
        <v/>
      </c>
      <c r="Q700">
        <f>P700*0.0015</f>
        <v/>
      </c>
      <c r="R700">
        <f>I700*(1-Q700)</f>
        <v/>
      </c>
      <c r="S700">
        <f>R700/R699-1</f>
        <v/>
      </c>
      <c r="T700">
        <f>MAX(T699,R700)</f>
        <v/>
      </c>
      <c r="U700">
        <f>R700/T700-1</f>
        <v/>
      </c>
      <c r="V700" t="n">
        <v>3.554272974262917</v>
      </c>
      <c r="W700" s="5">
        <f>R700-V700</f>
        <v/>
      </c>
    </row>
    <row r="701">
      <c r="A701" s="3" t="n">
        <v>39462</v>
      </c>
      <c r="B701">
        <f>Prices!B701</f>
        <v/>
      </c>
      <c r="C701">
        <f>Prices!C701</f>
        <v/>
      </c>
      <c r="D701">
        <f>Prices!D701</f>
        <v/>
      </c>
      <c r="E701">
        <f>Prices!E701</f>
        <v/>
      </c>
      <c r="F701">
        <f>Prices!F701</f>
        <v/>
      </c>
      <c r="G701">
        <f>IF(AND(699&gt;=16,TEXT(A701,"yyyy-mm")&lt;&gt;TEXT(A702,"yyyy-mm")),1,0)</f>
        <v/>
      </c>
      <c r="H701">
        <f>IF(OR(H700=1,G701=1),1,0)</f>
        <v/>
      </c>
      <c r="I701">
        <f>IF(H700=0,1,SUMPRODUCT(J700:N700,B701:F701)+O700*(1+0.00023125256064071564))</f>
        <v/>
      </c>
      <c r="J701">
        <f>IF(G701=1,0.2*R701/B701,J700)</f>
        <v/>
      </c>
      <c r="K701">
        <f>IF(G701=1,0.2*R701/C701,K700)</f>
        <v/>
      </c>
      <c r="L701">
        <f>IF(G701=1,0.2*R701/D701,L700)</f>
        <v/>
      </c>
      <c r="M701">
        <f>IF(G701=1,0.2*R701/E701,M700)</f>
        <v/>
      </c>
      <c r="N701">
        <f>IF(G701=1,0.2*R701/F701,N700)</f>
        <v/>
      </c>
      <c r="O701">
        <f>IF(G701=1,R701*(1-1.0),IF(H700=0,1,O700*(1+0.00023125256064071564)))</f>
        <v/>
      </c>
      <c r="P701">
        <f>IF(G701=1,IF(H700=0,1,ABS(0.2-J700*B701/I701)+ABS(0.2-K700*C701/I701)+ABS(0.2-L700*D701/I701)+ABS(0.2-M700*E701/I701)+ABS(0.2-N700*F701/I701)),0)</f>
        <v/>
      </c>
      <c r="Q701">
        <f>P701*0.0015</f>
        <v/>
      </c>
      <c r="R701">
        <f>I701*(1-Q701)</f>
        <v/>
      </c>
      <c r="S701">
        <f>R701/R700-1</f>
        <v/>
      </c>
      <c r="T701">
        <f>MAX(T700,R701)</f>
        <v/>
      </c>
      <c r="U701">
        <f>R701/T701-1</f>
        <v/>
      </c>
      <c r="V701" t="n">
        <v>3.495983518647465</v>
      </c>
      <c r="W701" s="5">
        <f>R701-V701</f>
        <v/>
      </c>
    </row>
    <row r="702">
      <c r="A702" s="3" t="n">
        <v>39463</v>
      </c>
      <c r="B702">
        <f>Prices!B702</f>
        <v/>
      </c>
      <c r="C702">
        <f>Prices!C702</f>
        <v/>
      </c>
      <c r="D702">
        <f>Prices!D702</f>
        <v/>
      </c>
      <c r="E702">
        <f>Prices!E702</f>
        <v/>
      </c>
      <c r="F702">
        <f>Prices!F702</f>
        <v/>
      </c>
      <c r="G702">
        <f>IF(AND(700&gt;=16,TEXT(A702,"yyyy-mm")&lt;&gt;TEXT(A703,"yyyy-mm")),1,0)</f>
        <v/>
      </c>
      <c r="H702">
        <f>IF(OR(H701=1,G702=1),1,0)</f>
        <v/>
      </c>
      <c r="I702">
        <f>IF(H701=0,1,SUMPRODUCT(J701:N701,B702:F702)+O701*(1+0.00023125256064071564))</f>
        <v/>
      </c>
      <c r="J702">
        <f>IF(G702=1,0.2*R702/B702,J701)</f>
        <v/>
      </c>
      <c r="K702">
        <f>IF(G702=1,0.2*R702/C702,K701)</f>
        <v/>
      </c>
      <c r="L702">
        <f>IF(G702=1,0.2*R702/D702,L701)</f>
        <v/>
      </c>
      <c r="M702">
        <f>IF(G702=1,0.2*R702/E702,M701)</f>
        <v/>
      </c>
      <c r="N702">
        <f>IF(G702=1,0.2*R702/F702,N701)</f>
        <v/>
      </c>
      <c r="O702">
        <f>IF(G702=1,R702*(1-1.0),IF(H701=0,1,O701*(1+0.00023125256064071564)))</f>
        <v/>
      </c>
      <c r="P702">
        <f>IF(G702=1,IF(H701=0,1,ABS(0.2-J701*B702/I702)+ABS(0.2-K701*C702/I702)+ABS(0.2-L701*D702/I702)+ABS(0.2-M701*E702/I702)+ABS(0.2-N701*F702/I702)),0)</f>
        <v/>
      </c>
      <c r="Q702">
        <f>P702*0.0015</f>
        <v/>
      </c>
      <c r="R702">
        <f>I702*(1-Q702)</f>
        <v/>
      </c>
      <c r="S702">
        <f>R702/R701-1</f>
        <v/>
      </c>
      <c r="T702">
        <f>MAX(T701,R702)</f>
        <v/>
      </c>
      <c r="U702">
        <f>R702/T702-1</f>
        <v/>
      </c>
      <c r="V702" t="n">
        <v>3.427215148324534</v>
      </c>
      <c r="W702" s="5">
        <f>R702-V702</f>
        <v/>
      </c>
    </row>
    <row r="703">
      <c r="A703" s="3" t="n">
        <v>39464</v>
      </c>
      <c r="B703">
        <f>Prices!B703</f>
        <v/>
      </c>
      <c r="C703">
        <f>Prices!C703</f>
        <v/>
      </c>
      <c r="D703">
        <f>Prices!D703</f>
        <v/>
      </c>
      <c r="E703">
        <f>Prices!E703</f>
        <v/>
      </c>
      <c r="F703">
        <f>Prices!F703</f>
        <v/>
      </c>
      <c r="G703">
        <f>IF(AND(701&gt;=16,TEXT(A703,"yyyy-mm")&lt;&gt;TEXT(A704,"yyyy-mm")),1,0)</f>
        <v/>
      </c>
      <c r="H703">
        <f>IF(OR(H702=1,G703=1),1,0)</f>
        <v/>
      </c>
      <c r="I703">
        <f>IF(H702=0,1,SUMPRODUCT(J702:N702,B703:F703)+O702*(1+0.00023125256064071564))</f>
        <v/>
      </c>
      <c r="J703">
        <f>IF(G703=1,0.2*R703/B703,J702)</f>
        <v/>
      </c>
      <c r="K703">
        <f>IF(G703=1,0.2*R703/C703,K702)</f>
        <v/>
      </c>
      <c r="L703">
        <f>IF(G703=1,0.2*R703/D703,L702)</f>
        <v/>
      </c>
      <c r="M703">
        <f>IF(G703=1,0.2*R703/E703,M702)</f>
        <v/>
      </c>
      <c r="N703">
        <f>IF(G703=1,0.2*R703/F703,N702)</f>
        <v/>
      </c>
      <c r="O703">
        <f>IF(G703=1,R703*(1-1.0),IF(H702=0,1,O702*(1+0.00023125256064071564)))</f>
        <v/>
      </c>
      <c r="P703">
        <f>IF(G703=1,IF(H702=0,1,ABS(0.2-J702*B703/I703)+ABS(0.2-K702*C703/I703)+ABS(0.2-L702*D703/I703)+ABS(0.2-M702*E703/I703)+ABS(0.2-N702*F703/I703)),0)</f>
        <v/>
      </c>
      <c r="Q703">
        <f>P703*0.0015</f>
        <v/>
      </c>
      <c r="R703">
        <f>I703*(1-Q703)</f>
        <v/>
      </c>
      <c r="S703">
        <f>R703/R702-1</f>
        <v/>
      </c>
      <c r="T703">
        <f>MAX(T702,R703)</f>
        <v/>
      </c>
      <c r="U703">
        <f>R703/T703-1</f>
        <v/>
      </c>
      <c r="V703" t="n">
        <v>3.449972445384348</v>
      </c>
      <c r="W703" s="5">
        <f>R703-V703</f>
        <v/>
      </c>
    </row>
    <row r="704">
      <c r="A704" s="3" t="n">
        <v>39465</v>
      </c>
      <c r="B704">
        <f>Prices!B704</f>
        <v/>
      </c>
      <c r="C704">
        <f>Prices!C704</f>
        <v/>
      </c>
      <c r="D704">
        <f>Prices!D704</f>
        <v/>
      </c>
      <c r="E704">
        <f>Prices!E704</f>
        <v/>
      </c>
      <c r="F704">
        <f>Prices!F704</f>
        <v/>
      </c>
      <c r="G704">
        <f>IF(AND(702&gt;=16,TEXT(A704,"yyyy-mm")&lt;&gt;TEXT(A705,"yyyy-mm")),1,0)</f>
        <v/>
      </c>
      <c r="H704">
        <f>IF(OR(H703=1,G704=1),1,0)</f>
        <v/>
      </c>
      <c r="I704">
        <f>IF(H703=0,1,SUMPRODUCT(J703:N703,B704:F704)+O703*(1+0.00023125256064071564))</f>
        <v/>
      </c>
      <c r="J704">
        <f>IF(G704=1,0.2*R704/B704,J703)</f>
        <v/>
      </c>
      <c r="K704">
        <f>IF(G704=1,0.2*R704/C704,K703)</f>
        <v/>
      </c>
      <c r="L704">
        <f>IF(G704=1,0.2*R704/D704,L703)</f>
        <v/>
      </c>
      <c r="M704">
        <f>IF(G704=1,0.2*R704/E704,M703)</f>
        <v/>
      </c>
      <c r="N704">
        <f>IF(G704=1,0.2*R704/F704,N703)</f>
        <v/>
      </c>
      <c r="O704">
        <f>IF(G704=1,R704*(1-1.0),IF(H703=0,1,O703*(1+0.00023125256064071564)))</f>
        <v/>
      </c>
      <c r="P704">
        <f>IF(G704=1,IF(H703=0,1,ABS(0.2-J703*B704/I704)+ABS(0.2-K703*C704/I704)+ABS(0.2-L703*D704/I704)+ABS(0.2-M703*E704/I704)+ABS(0.2-N703*F704/I704)),0)</f>
        <v/>
      </c>
      <c r="Q704">
        <f>P704*0.0015</f>
        <v/>
      </c>
      <c r="R704">
        <f>I704*(1-Q704)</f>
        <v/>
      </c>
      <c r="S704">
        <f>R704/R703-1</f>
        <v/>
      </c>
      <c r="T704">
        <f>MAX(T703,R704)</f>
        <v/>
      </c>
      <c r="U704">
        <f>R704/T704-1</f>
        <v/>
      </c>
      <c r="V704" t="n">
        <v>3.282999280866433</v>
      </c>
      <c r="W704" s="5">
        <f>R704-V704</f>
        <v/>
      </c>
    </row>
    <row r="705">
      <c r="A705" s="3" t="n">
        <v>39468</v>
      </c>
      <c r="B705">
        <f>Prices!B705</f>
        <v/>
      </c>
      <c r="C705">
        <f>Prices!C705</f>
        <v/>
      </c>
      <c r="D705">
        <f>Prices!D705</f>
        <v/>
      </c>
      <c r="E705">
        <f>Prices!E705</f>
        <v/>
      </c>
      <c r="F705">
        <f>Prices!F705</f>
        <v/>
      </c>
      <c r="G705">
        <f>IF(AND(703&gt;=16,TEXT(A705,"yyyy-mm")&lt;&gt;TEXT(A706,"yyyy-mm")),1,0)</f>
        <v/>
      </c>
      <c r="H705">
        <f>IF(OR(H704=1,G705=1),1,0)</f>
        <v/>
      </c>
      <c r="I705">
        <f>IF(H704=0,1,SUMPRODUCT(J704:N704,B705:F705)+O704*(1+0.00023125256064071564))</f>
        <v/>
      </c>
      <c r="J705">
        <f>IF(G705=1,0.2*R705/B705,J704)</f>
        <v/>
      </c>
      <c r="K705">
        <f>IF(G705=1,0.2*R705/C705,K704)</f>
        <v/>
      </c>
      <c r="L705">
        <f>IF(G705=1,0.2*R705/D705,L704)</f>
        <v/>
      </c>
      <c r="M705">
        <f>IF(G705=1,0.2*R705/E705,M704)</f>
        <v/>
      </c>
      <c r="N705">
        <f>IF(G705=1,0.2*R705/F705,N704)</f>
        <v/>
      </c>
      <c r="O705">
        <f>IF(G705=1,R705*(1-1.0),IF(H704=0,1,O704*(1+0.00023125256064071564)))</f>
        <v/>
      </c>
      <c r="P705">
        <f>IF(G705=1,IF(H704=0,1,ABS(0.2-J704*B705/I705)+ABS(0.2-K704*C705/I705)+ABS(0.2-L704*D705/I705)+ABS(0.2-M704*E705/I705)+ABS(0.2-N704*F705/I705)),0)</f>
        <v/>
      </c>
      <c r="Q705">
        <f>P705*0.0015</f>
        <v/>
      </c>
      <c r="R705">
        <f>I705*(1-Q705)</f>
        <v/>
      </c>
      <c r="S705">
        <f>R705/R704-1</f>
        <v/>
      </c>
      <c r="T705">
        <f>MAX(T704,R705)</f>
        <v/>
      </c>
      <c r="U705">
        <f>R705/T705-1</f>
        <v/>
      </c>
      <c r="V705" t="n">
        <v>2.898101334408844</v>
      </c>
      <c r="W705" s="5">
        <f>R705-V705</f>
        <v/>
      </c>
    </row>
    <row r="706">
      <c r="A706" s="3" t="n">
        <v>39469</v>
      </c>
      <c r="B706">
        <f>Prices!B706</f>
        <v/>
      </c>
      <c r="C706">
        <f>Prices!C706</f>
        <v/>
      </c>
      <c r="D706">
        <f>Prices!D706</f>
        <v/>
      </c>
      <c r="E706">
        <f>Prices!E706</f>
        <v/>
      </c>
      <c r="F706">
        <f>Prices!F706</f>
        <v/>
      </c>
      <c r="G706">
        <f>IF(AND(704&gt;=16,TEXT(A706,"yyyy-mm")&lt;&gt;TEXT(A707,"yyyy-mm")),1,0)</f>
        <v/>
      </c>
      <c r="H706">
        <f>IF(OR(H705=1,G706=1),1,0)</f>
        <v/>
      </c>
      <c r="I706">
        <f>IF(H705=0,1,SUMPRODUCT(J705:N705,B706:F706)+O705*(1+0.00023125256064071564))</f>
        <v/>
      </c>
      <c r="J706">
        <f>IF(G706=1,0.2*R706/B706,J705)</f>
        <v/>
      </c>
      <c r="K706">
        <f>IF(G706=1,0.2*R706/C706,K705)</f>
        <v/>
      </c>
      <c r="L706">
        <f>IF(G706=1,0.2*R706/D706,L705)</f>
        <v/>
      </c>
      <c r="M706">
        <f>IF(G706=1,0.2*R706/E706,M705)</f>
        <v/>
      </c>
      <c r="N706">
        <f>IF(G706=1,0.2*R706/F706,N705)</f>
        <v/>
      </c>
      <c r="O706">
        <f>IF(G706=1,R706*(1-1.0),IF(H705=0,1,O705*(1+0.00023125256064071564)))</f>
        <v/>
      </c>
      <c r="P706">
        <f>IF(G706=1,IF(H705=0,1,ABS(0.2-J705*B706/I706)+ABS(0.2-K705*C706/I706)+ABS(0.2-L705*D706/I706)+ABS(0.2-M705*E706/I706)+ABS(0.2-N705*F706/I706)),0)</f>
        <v/>
      </c>
      <c r="Q706">
        <f>P706*0.0015</f>
        <v/>
      </c>
      <c r="R706">
        <f>I706*(1-Q706)</f>
        <v/>
      </c>
      <c r="S706">
        <f>R706/R705-1</f>
        <v/>
      </c>
      <c r="T706">
        <f>MAX(T705,R706)</f>
        <v/>
      </c>
      <c r="U706">
        <f>R706/T706-1</f>
        <v/>
      </c>
      <c r="V706" t="n">
        <v>2.668755308579564</v>
      </c>
      <c r="W706" s="5">
        <f>R706-V706</f>
        <v/>
      </c>
    </row>
    <row r="707">
      <c r="A707" s="3" t="n">
        <v>39470</v>
      </c>
      <c r="B707">
        <f>Prices!B707</f>
        <v/>
      </c>
      <c r="C707">
        <f>Prices!C707</f>
        <v/>
      </c>
      <c r="D707">
        <f>Prices!D707</f>
        <v/>
      </c>
      <c r="E707">
        <f>Prices!E707</f>
        <v/>
      </c>
      <c r="F707">
        <f>Prices!F707</f>
        <v/>
      </c>
      <c r="G707">
        <f>IF(AND(705&gt;=16,TEXT(A707,"yyyy-mm")&lt;&gt;TEXT(A708,"yyyy-mm")),1,0)</f>
        <v/>
      </c>
      <c r="H707">
        <f>IF(OR(H706=1,G707=1),1,0)</f>
        <v/>
      </c>
      <c r="I707">
        <f>IF(H706=0,1,SUMPRODUCT(J706:N706,B707:F707)+O706*(1+0.00023125256064071564))</f>
        <v/>
      </c>
      <c r="J707">
        <f>IF(G707=1,0.2*R707/B707,J706)</f>
        <v/>
      </c>
      <c r="K707">
        <f>IF(G707=1,0.2*R707/C707,K706)</f>
        <v/>
      </c>
      <c r="L707">
        <f>IF(G707=1,0.2*R707/D707,L706)</f>
        <v/>
      </c>
      <c r="M707">
        <f>IF(G707=1,0.2*R707/E707,M706)</f>
        <v/>
      </c>
      <c r="N707">
        <f>IF(G707=1,0.2*R707/F707,N706)</f>
        <v/>
      </c>
      <c r="O707">
        <f>IF(G707=1,R707*(1-1.0),IF(H706=0,1,O706*(1+0.00023125256064071564)))</f>
        <v/>
      </c>
      <c r="P707">
        <f>IF(G707=1,IF(H706=0,1,ABS(0.2-J706*B707/I707)+ABS(0.2-K706*C707/I707)+ABS(0.2-L706*D707/I707)+ABS(0.2-M706*E707/I707)+ABS(0.2-N706*F707/I707)),0)</f>
        <v/>
      </c>
      <c r="Q707">
        <f>P707*0.0015</f>
        <v/>
      </c>
      <c r="R707">
        <f>I707*(1-Q707)</f>
        <v/>
      </c>
      <c r="S707">
        <f>R707/R706-1</f>
        <v/>
      </c>
      <c r="T707">
        <f>MAX(T706,R707)</f>
        <v/>
      </c>
      <c r="U707">
        <f>R707/T707-1</f>
        <v/>
      </c>
      <c r="V707" t="n">
        <v>2.866407768600772</v>
      </c>
      <c r="W707" s="5">
        <f>R707-V707</f>
        <v/>
      </c>
    </row>
    <row r="708">
      <c r="A708" s="3" t="n">
        <v>39471</v>
      </c>
      <c r="B708">
        <f>Prices!B708</f>
        <v/>
      </c>
      <c r="C708">
        <f>Prices!C708</f>
        <v/>
      </c>
      <c r="D708">
        <f>Prices!D708</f>
        <v/>
      </c>
      <c r="E708">
        <f>Prices!E708</f>
        <v/>
      </c>
      <c r="F708">
        <f>Prices!F708</f>
        <v/>
      </c>
      <c r="G708">
        <f>IF(AND(706&gt;=16,TEXT(A708,"yyyy-mm")&lt;&gt;TEXT(A709,"yyyy-mm")),1,0)</f>
        <v/>
      </c>
      <c r="H708">
        <f>IF(OR(H707=1,G708=1),1,0)</f>
        <v/>
      </c>
      <c r="I708">
        <f>IF(H707=0,1,SUMPRODUCT(J707:N707,B708:F708)+O707*(1+0.00023125256064071564))</f>
        <v/>
      </c>
      <c r="J708">
        <f>IF(G708=1,0.2*R708/B708,J707)</f>
        <v/>
      </c>
      <c r="K708">
        <f>IF(G708=1,0.2*R708/C708,K707)</f>
        <v/>
      </c>
      <c r="L708">
        <f>IF(G708=1,0.2*R708/D708,L707)</f>
        <v/>
      </c>
      <c r="M708">
        <f>IF(G708=1,0.2*R708/E708,M707)</f>
        <v/>
      </c>
      <c r="N708">
        <f>IF(G708=1,0.2*R708/F708,N707)</f>
        <v/>
      </c>
      <c r="O708">
        <f>IF(G708=1,R708*(1-1.0),IF(H707=0,1,O707*(1+0.00023125256064071564)))</f>
        <v/>
      </c>
      <c r="P708">
        <f>IF(G708=1,IF(H707=0,1,ABS(0.2-J707*B708/I708)+ABS(0.2-K707*C708/I708)+ABS(0.2-L707*D708/I708)+ABS(0.2-M707*E708/I708)+ABS(0.2-N707*F708/I708)),0)</f>
        <v/>
      </c>
      <c r="Q708">
        <f>P708*0.0015</f>
        <v/>
      </c>
      <c r="R708">
        <f>I708*(1-Q708)</f>
        <v/>
      </c>
      <c r="S708">
        <f>R708/R707-1</f>
        <v/>
      </c>
      <c r="T708">
        <f>MAX(T707,R708)</f>
        <v/>
      </c>
      <c r="U708">
        <f>R708/T708-1</f>
        <v/>
      </c>
      <c r="V708" t="n">
        <v>2.752437282533739</v>
      </c>
      <c r="W708" s="5">
        <f>R708-V708</f>
        <v/>
      </c>
    </row>
    <row r="709">
      <c r="A709" s="3" t="n">
        <v>39472</v>
      </c>
      <c r="B709">
        <f>Prices!B709</f>
        <v/>
      </c>
      <c r="C709">
        <f>Prices!C709</f>
        <v/>
      </c>
      <c r="D709">
        <f>Prices!D709</f>
        <v/>
      </c>
      <c r="E709">
        <f>Prices!E709</f>
        <v/>
      </c>
      <c r="F709">
        <f>Prices!F709</f>
        <v/>
      </c>
      <c r="G709">
        <f>IF(AND(707&gt;=16,TEXT(A709,"yyyy-mm")&lt;&gt;TEXT(A710,"yyyy-mm")),1,0)</f>
        <v/>
      </c>
      <c r="H709">
        <f>IF(OR(H708=1,G709=1),1,0)</f>
        <v/>
      </c>
      <c r="I709">
        <f>IF(H708=0,1,SUMPRODUCT(J708:N708,B709:F709)+O708*(1+0.00023125256064071564))</f>
        <v/>
      </c>
      <c r="J709">
        <f>IF(G709=1,0.2*R709/B709,J708)</f>
        <v/>
      </c>
      <c r="K709">
        <f>IF(G709=1,0.2*R709/C709,K708)</f>
        <v/>
      </c>
      <c r="L709">
        <f>IF(G709=1,0.2*R709/D709,L708)</f>
        <v/>
      </c>
      <c r="M709">
        <f>IF(G709=1,0.2*R709/E709,M708)</f>
        <v/>
      </c>
      <c r="N709">
        <f>IF(G709=1,0.2*R709/F709,N708)</f>
        <v/>
      </c>
      <c r="O709">
        <f>IF(G709=1,R709*(1-1.0),IF(H708=0,1,O708*(1+0.00023125256064071564)))</f>
        <v/>
      </c>
      <c r="P709">
        <f>IF(G709=1,IF(H708=0,1,ABS(0.2-J708*B709/I709)+ABS(0.2-K708*C709/I709)+ABS(0.2-L708*D709/I709)+ABS(0.2-M708*E709/I709)+ABS(0.2-N708*F709/I709)),0)</f>
        <v/>
      </c>
      <c r="Q709">
        <f>P709*0.0015</f>
        <v/>
      </c>
      <c r="R709">
        <f>I709*(1-Q709)</f>
        <v/>
      </c>
      <c r="S709">
        <f>R709/R708-1</f>
        <v/>
      </c>
      <c r="T709">
        <f>MAX(T708,R709)</f>
        <v/>
      </c>
      <c r="U709">
        <f>R709/T709-1</f>
        <v/>
      </c>
      <c r="V709" t="n">
        <v>2.958795390610306</v>
      </c>
      <c r="W709" s="5">
        <f>R709-V709</f>
        <v/>
      </c>
    </row>
    <row r="710">
      <c r="A710" s="3" t="n">
        <v>39475</v>
      </c>
      <c r="B710">
        <f>Prices!B710</f>
        <v/>
      </c>
      <c r="C710">
        <f>Prices!C710</f>
        <v/>
      </c>
      <c r="D710">
        <f>Prices!D710</f>
        <v/>
      </c>
      <c r="E710">
        <f>Prices!E710</f>
        <v/>
      </c>
      <c r="F710">
        <f>Prices!F710</f>
        <v/>
      </c>
      <c r="G710">
        <f>IF(AND(708&gt;=16,TEXT(A710,"yyyy-mm")&lt;&gt;TEXT(A711,"yyyy-mm")),1,0)</f>
        <v/>
      </c>
      <c r="H710">
        <f>IF(OR(H709=1,G710=1),1,0)</f>
        <v/>
      </c>
      <c r="I710">
        <f>IF(H709=0,1,SUMPRODUCT(J709:N709,B710:F710)+O709*(1+0.00023125256064071564))</f>
        <v/>
      </c>
      <c r="J710">
        <f>IF(G710=1,0.2*R710/B710,J709)</f>
        <v/>
      </c>
      <c r="K710">
        <f>IF(G710=1,0.2*R710/C710,K709)</f>
        <v/>
      </c>
      <c r="L710">
        <f>IF(G710=1,0.2*R710/D710,L709)</f>
        <v/>
      </c>
      <c r="M710">
        <f>IF(G710=1,0.2*R710/E710,M709)</f>
        <v/>
      </c>
      <c r="N710">
        <f>IF(G710=1,0.2*R710/F710,N709)</f>
        <v/>
      </c>
      <c r="O710">
        <f>IF(G710=1,R710*(1-1.0),IF(H709=0,1,O709*(1+0.00023125256064071564)))</f>
        <v/>
      </c>
      <c r="P710">
        <f>IF(G710=1,IF(H709=0,1,ABS(0.2-J709*B710/I710)+ABS(0.2-K709*C710/I710)+ABS(0.2-L709*D710/I710)+ABS(0.2-M709*E710/I710)+ABS(0.2-N709*F710/I710)),0)</f>
        <v/>
      </c>
      <c r="Q710">
        <f>P710*0.0015</f>
        <v/>
      </c>
      <c r="R710">
        <f>I710*(1-Q710)</f>
        <v/>
      </c>
      <c r="S710">
        <f>R710/R709-1</f>
        <v/>
      </c>
      <c r="T710">
        <f>MAX(T709,R710)</f>
        <v/>
      </c>
      <c r="U710">
        <f>R710/T710-1</f>
        <v/>
      </c>
      <c r="V710" t="n">
        <v>2.936948707694875</v>
      </c>
      <c r="W710" s="5">
        <f>R710-V710</f>
        <v/>
      </c>
    </row>
    <row r="711">
      <c r="A711" s="3" t="n">
        <v>39476</v>
      </c>
      <c r="B711">
        <f>Prices!B711</f>
        <v/>
      </c>
      <c r="C711">
        <f>Prices!C711</f>
        <v/>
      </c>
      <c r="D711">
        <f>Prices!D711</f>
        <v/>
      </c>
      <c r="E711">
        <f>Prices!E711</f>
        <v/>
      </c>
      <c r="F711">
        <f>Prices!F711</f>
        <v/>
      </c>
      <c r="G711">
        <f>IF(AND(709&gt;=16,TEXT(A711,"yyyy-mm")&lt;&gt;TEXT(A712,"yyyy-mm")),1,0)</f>
        <v/>
      </c>
      <c r="H711">
        <f>IF(OR(H710=1,G711=1),1,0)</f>
        <v/>
      </c>
      <c r="I711">
        <f>IF(H710=0,1,SUMPRODUCT(J710:N710,B711:F711)+O710*(1+0.00023125256064071564))</f>
        <v/>
      </c>
      <c r="J711">
        <f>IF(G711=1,0.2*R711/B711,J710)</f>
        <v/>
      </c>
      <c r="K711">
        <f>IF(G711=1,0.2*R711/C711,K710)</f>
        <v/>
      </c>
      <c r="L711">
        <f>IF(G711=1,0.2*R711/D711,L710)</f>
        <v/>
      </c>
      <c r="M711">
        <f>IF(G711=1,0.2*R711/E711,M710)</f>
        <v/>
      </c>
      <c r="N711">
        <f>IF(G711=1,0.2*R711/F711,N710)</f>
        <v/>
      </c>
      <c r="O711">
        <f>IF(G711=1,R711*(1-1.0),IF(H710=0,1,O710*(1+0.00023125256064071564)))</f>
        <v/>
      </c>
      <c r="P711">
        <f>IF(G711=1,IF(H710=0,1,ABS(0.2-J710*B711/I711)+ABS(0.2-K710*C711/I711)+ABS(0.2-L710*D711/I711)+ABS(0.2-M710*E711/I711)+ABS(0.2-N710*F711/I711)),0)</f>
        <v/>
      </c>
      <c r="Q711">
        <f>P711*0.0015</f>
        <v/>
      </c>
      <c r="R711">
        <f>I711*(1-Q711)</f>
        <v/>
      </c>
      <c r="S711">
        <f>R711/R710-1</f>
        <v/>
      </c>
      <c r="T711">
        <f>MAX(T710,R711)</f>
        <v/>
      </c>
      <c r="U711">
        <f>R711/T711-1</f>
        <v/>
      </c>
      <c r="V711" t="n">
        <v>2.947223657349042</v>
      </c>
      <c r="W711" s="5">
        <f>R711-V711</f>
        <v/>
      </c>
    </row>
    <row r="712">
      <c r="A712" s="3" t="n">
        <v>39477</v>
      </c>
      <c r="B712">
        <f>Prices!B712</f>
        <v/>
      </c>
      <c r="C712">
        <f>Prices!C712</f>
        <v/>
      </c>
      <c r="D712">
        <f>Prices!D712</f>
        <v/>
      </c>
      <c r="E712">
        <f>Prices!E712</f>
        <v/>
      </c>
      <c r="F712">
        <f>Prices!F712</f>
        <v/>
      </c>
      <c r="G712">
        <f>IF(AND(710&gt;=16,TEXT(A712,"yyyy-mm")&lt;&gt;TEXT(A713,"yyyy-mm")),1,0)</f>
        <v/>
      </c>
      <c r="H712">
        <f>IF(OR(H711=1,G712=1),1,0)</f>
        <v/>
      </c>
      <c r="I712">
        <f>IF(H711=0,1,SUMPRODUCT(J711:N711,B712:F712)+O711*(1+0.00023125256064071564))</f>
        <v/>
      </c>
      <c r="J712">
        <f>IF(G712=1,0.2*R712/B712,J711)</f>
        <v/>
      </c>
      <c r="K712">
        <f>IF(G712=1,0.2*R712/C712,K711)</f>
        <v/>
      </c>
      <c r="L712">
        <f>IF(G712=1,0.2*R712/D712,L711)</f>
        <v/>
      </c>
      <c r="M712">
        <f>IF(G712=1,0.2*R712/E712,M711)</f>
        <v/>
      </c>
      <c r="N712">
        <f>IF(G712=1,0.2*R712/F712,N711)</f>
        <v/>
      </c>
      <c r="O712">
        <f>IF(G712=1,R712*(1-1.0),IF(H711=0,1,O711*(1+0.00023125256064071564)))</f>
        <v/>
      </c>
      <c r="P712">
        <f>IF(G712=1,IF(H711=0,1,ABS(0.2-J711*B712/I712)+ABS(0.2-K711*C712/I712)+ABS(0.2-L711*D712/I712)+ABS(0.2-M711*E712/I712)+ABS(0.2-N711*F712/I712)),0)</f>
        <v/>
      </c>
      <c r="Q712">
        <f>P712*0.0015</f>
        <v/>
      </c>
      <c r="R712">
        <f>I712*(1-Q712)</f>
        <v/>
      </c>
      <c r="S712">
        <f>R712/R711-1</f>
        <v/>
      </c>
      <c r="T712">
        <f>MAX(T711,R712)</f>
        <v/>
      </c>
      <c r="U712">
        <f>R712/T712-1</f>
        <v/>
      </c>
      <c r="V712" t="n">
        <v>2.873604097370879</v>
      </c>
      <c r="W712" s="5">
        <f>R712-V712</f>
        <v/>
      </c>
    </row>
    <row r="713">
      <c r="A713" s="3" t="n">
        <v>39478</v>
      </c>
      <c r="B713">
        <f>Prices!B713</f>
        <v/>
      </c>
      <c r="C713">
        <f>Prices!C713</f>
        <v/>
      </c>
      <c r="D713">
        <f>Prices!D713</f>
        <v/>
      </c>
      <c r="E713">
        <f>Prices!E713</f>
        <v/>
      </c>
      <c r="F713">
        <f>Prices!F713</f>
        <v/>
      </c>
      <c r="G713">
        <f>IF(AND(711&gt;=16,TEXT(A713,"yyyy-mm")&lt;&gt;TEXT(A714,"yyyy-mm")),1,0)</f>
        <v/>
      </c>
      <c r="H713">
        <f>IF(OR(H712=1,G713=1),1,0)</f>
        <v/>
      </c>
      <c r="I713">
        <f>IF(H712=0,1,SUMPRODUCT(J712:N712,B713:F713)+O712*(1+0.00023125256064071564))</f>
        <v/>
      </c>
      <c r="J713">
        <f>IF(G713=1,0.2*R713/B713,J712)</f>
        <v/>
      </c>
      <c r="K713">
        <f>IF(G713=1,0.2*R713/C713,K712)</f>
        <v/>
      </c>
      <c r="L713">
        <f>IF(G713=1,0.2*R713/D713,L712)</f>
        <v/>
      </c>
      <c r="M713">
        <f>IF(G713=1,0.2*R713/E713,M712)</f>
        <v/>
      </c>
      <c r="N713">
        <f>IF(G713=1,0.2*R713/F713,N712)</f>
        <v/>
      </c>
      <c r="O713">
        <f>IF(G713=1,R713*(1-1.0),IF(H712=0,1,O712*(1+0.00023125256064071564)))</f>
        <v/>
      </c>
      <c r="P713">
        <f>IF(G713=1,IF(H712=0,1,ABS(0.2-J712*B713/I713)+ABS(0.2-K712*C713/I713)+ABS(0.2-L712*D713/I713)+ABS(0.2-M712*E713/I713)+ABS(0.2-N712*F713/I713)),0)</f>
        <v/>
      </c>
      <c r="Q713">
        <f>P713*0.0015</f>
        <v/>
      </c>
      <c r="R713">
        <f>I713*(1-Q713)</f>
        <v/>
      </c>
      <c r="S713">
        <f>R713/R712-1</f>
        <v/>
      </c>
      <c r="T713">
        <f>MAX(T712,R713)</f>
        <v/>
      </c>
      <c r="U713">
        <f>R713/T713-1</f>
        <v/>
      </c>
      <c r="V713" t="n">
        <v>2.846798877335385</v>
      </c>
      <c r="W713" s="5">
        <f>R713-V713</f>
        <v/>
      </c>
    </row>
    <row r="714">
      <c r="A714" s="3" t="n">
        <v>39479</v>
      </c>
      <c r="B714">
        <f>Prices!B714</f>
        <v/>
      </c>
      <c r="C714">
        <f>Prices!C714</f>
        <v/>
      </c>
      <c r="D714">
        <f>Prices!D714</f>
        <v/>
      </c>
      <c r="E714">
        <f>Prices!E714</f>
        <v/>
      </c>
      <c r="F714">
        <f>Prices!F714</f>
        <v/>
      </c>
      <c r="G714">
        <f>IF(AND(712&gt;=16,TEXT(A714,"yyyy-mm")&lt;&gt;TEXT(A715,"yyyy-mm")),1,0)</f>
        <v/>
      </c>
      <c r="H714">
        <f>IF(OR(H713=1,G714=1),1,0)</f>
        <v/>
      </c>
      <c r="I714">
        <f>IF(H713=0,1,SUMPRODUCT(J713:N713,B714:F714)+O713*(1+0.00023125256064071564))</f>
        <v/>
      </c>
      <c r="J714">
        <f>IF(G714=1,0.2*R714/B714,J713)</f>
        <v/>
      </c>
      <c r="K714">
        <f>IF(G714=1,0.2*R714/C714,K713)</f>
        <v/>
      </c>
      <c r="L714">
        <f>IF(G714=1,0.2*R714/D714,L713)</f>
        <v/>
      </c>
      <c r="M714">
        <f>IF(G714=1,0.2*R714/E714,M713)</f>
        <v/>
      </c>
      <c r="N714">
        <f>IF(G714=1,0.2*R714/F714,N713)</f>
        <v/>
      </c>
      <c r="O714">
        <f>IF(G714=1,R714*(1-1.0),IF(H713=0,1,O713*(1+0.00023125256064071564)))</f>
        <v/>
      </c>
      <c r="P714">
        <f>IF(G714=1,IF(H713=0,1,ABS(0.2-J713*B714/I714)+ABS(0.2-K713*C714/I714)+ABS(0.2-L713*D714/I714)+ABS(0.2-M713*E714/I714)+ABS(0.2-N713*F714/I714)),0)</f>
        <v/>
      </c>
      <c r="Q714">
        <f>P714*0.0015</f>
        <v/>
      </c>
      <c r="R714">
        <f>I714*(1-Q714)</f>
        <v/>
      </c>
      <c r="S714">
        <f>R714/R713-1</f>
        <v/>
      </c>
      <c r="T714">
        <f>MAX(T713,R714)</f>
        <v/>
      </c>
      <c r="U714">
        <f>R714/T714-1</f>
        <v/>
      </c>
      <c r="V714" t="n">
        <v>2.896310218659252</v>
      </c>
      <c r="W714" s="5">
        <f>R714-V714</f>
        <v/>
      </c>
    </row>
    <row r="715">
      <c r="A715" s="3" t="n">
        <v>39482</v>
      </c>
      <c r="B715">
        <f>Prices!B715</f>
        <v/>
      </c>
      <c r="C715">
        <f>Prices!C715</f>
        <v/>
      </c>
      <c r="D715">
        <f>Prices!D715</f>
        <v/>
      </c>
      <c r="E715">
        <f>Prices!E715</f>
        <v/>
      </c>
      <c r="F715">
        <f>Prices!F715</f>
        <v/>
      </c>
      <c r="G715">
        <f>IF(AND(713&gt;=16,TEXT(A715,"yyyy-mm")&lt;&gt;TEXT(A716,"yyyy-mm")),1,0)</f>
        <v/>
      </c>
      <c r="H715">
        <f>IF(OR(H714=1,G715=1),1,0)</f>
        <v/>
      </c>
      <c r="I715">
        <f>IF(H714=0,1,SUMPRODUCT(J714:N714,B715:F715)+O714*(1+0.00023125256064071564))</f>
        <v/>
      </c>
      <c r="J715">
        <f>IF(G715=1,0.2*R715/B715,J714)</f>
        <v/>
      </c>
      <c r="K715">
        <f>IF(G715=1,0.2*R715/C715,K714)</f>
        <v/>
      </c>
      <c r="L715">
        <f>IF(G715=1,0.2*R715/D715,L714)</f>
        <v/>
      </c>
      <c r="M715">
        <f>IF(G715=1,0.2*R715/E715,M714)</f>
        <v/>
      </c>
      <c r="N715">
        <f>IF(G715=1,0.2*R715/F715,N714)</f>
        <v/>
      </c>
      <c r="O715">
        <f>IF(G715=1,R715*(1-1.0),IF(H714=0,1,O714*(1+0.00023125256064071564)))</f>
        <v/>
      </c>
      <c r="P715">
        <f>IF(G715=1,IF(H714=0,1,ABS(0.2-J714*B715/I715)+ABS(0.2-K714*C715/I715)+ABS(0.2-L714*D715/I715)+ABS(0.2-M714*E715/I715)+ABS(0.2-N714*F715/I715)),0)</f>
        <v/>
      </c>
      <c r="Q715">
        <f>P715*0.0015</f>
        <v/>
      </c>
      <c r="R715">
        <f>I715*(1-Q715)</f>
        <v/>
      </c>
      <c r="S715">
        <f>R715/R714-1</f>
        <v/>
      </c>
      <c r="T715">
        <f>MAX(T714,R715)</f>
        <v/>
      </c>
      <c r="U715">
        <f>R715/T715-1</f>
        <v/>
      </c>
      <c r="V715" t="n">
        <v>2.994843588747945</v>
      </c>
      <c r="W715" s="5">
        <f>R715-V715</f>
        <v/>
      </c>
    </row>
    <row r="716">
      <c r="A716" s="3" t="n">
        <v>39483</v>
      </c>
      <c r="B716">
        <f>Prices!B716</f>
        <v/>
      </c>
      <c r="C716">
        <f>Prices!C716</f>
        <v/>
      </c>
      <c r="D716">
        <f>Prices!D716</f>
        <v/>
      </c>
      <c r="E716">
        <f>Prices!E716</f>
        <v/>
      </c>
      <c r="F716">
        <f>Prices!F716</f>
        <v/>
      </c>
      <c r="G716">
        <f>IF(AND(714&gt;=16,TEXT(A716,"yyyy-mm")&lt;&gt;TEXT(A717,"yyyy-mm")),1,0)</f>
        <v/>
      </c>
      <c r="H716">
        <f>IF(OR(H715=1,G716=1),1,0)</f>
        <v/>
      </c>
      <c r="I716">
        <f>IF(H715=0,1,SUMPRODUCT(J715:N715,B716:F716)+O715*(1+0.00023125256064071564))</f>
        <v/>
      </c>
      <c r="J716">
        <f>IF(G716=1,0.2*R716/B716,J715)</f>
        <v/>
      </c>
      <c r="K716">
        <f>IF(G716=1,0.2*R716/C716,K715)</f>
        <v/>
      </c>
      <c r="L716">
        <f>IF(G716=1,0.2*R716/D716,L715)</f>
        <v/>
      </c>
      <c r="M716">
        <f>IF(G716=1,0.2*R716/E716,M715)</f>
        <v/>
      </c>
      <c r="N716">
        <f>IF(G716=1,0.2*R716/F716,N715)</f>
        <v/>
      </c>
      <c r="O716">
        <f>IF(G716=1,R716*(1-1.0),IF(H715=0,1,O715*(1+0.00023125256064071564)))</f>
        <v/>
      </c>
      <c r="P716">
        <f>IF(G716=1,IF(H715=0,1,ABS(0.2-J715*B716/I716)+ABS(0.2-K715*C716/I716)+ABS(0.2-L715*D716/I716)+ABS(0.2-M715*E716/I716)+ABS(0.2-N715*F716/I716)),0)</f>
        <v/>
      </c>
      <c r="Q716">
        <f>P716*0.0015</f>
        <v/>
      </c>
      <c r="R716">
        <f>I716*(1-Q716)</f>
        <v/>
      </c>
      <c r="S716">
        <f>R716/R715-1</f>
        <v/>
      </c>
      <c r="T716">
        <f>MAX(T715,R716)</f>
        <v/>
      </c>
      <c r="U716">
        <f>R716/T716-1</f>
        <v/>
      </c>
      <c r="V716" t="n">
        <v>3.032802588339682</v>
      </c>
      <c r="W716" s="5">
        <f>R716-V716</f>
        <v/>
      </c>
    </row>
    <row r="717">
      <c r="A717" s="3" t="n">
        <v>39484</v>
      </c>
      <c r="B717">
        <f>Prices!B717</f>
        <v/>
      </c>
      <c r="C717">
        <f>Prices!C717</f>
        <v/>
      </c>
      <c r="D717">
        <f>Prices!D717</f>
        <v/>
      </c>
      <c r="E717">
        <f>Prices!E717</f>
        <v/>
      </c>
      <c r="F717">
        <f>Prices!F717</f>
        <v/>
      </c>
      <c r="G717">
        <f>IF(AND(715&gt;=16,TEXT(A717,"yyyy-mm")&lt;&gt;TEXT(A718,"yyyy-mm")),1,0)</f>
        <v/>
      </c>
      <c r="H717">
        <f>IF(OR(H716=1,G717=1),1,0)</f>
        <v/>
      </c>
      <c r="I717">
        <f>IF(H716=0,1,SUMPRODUCT(J716:N716,B717:F717)+O716*(1+0.00023125256064071564))</f>
        <v/>
      </c>
      <c r="J717">
        <f>IF(G717=1,0.2*R717/B717,J716)</f>
        <v/>
      </c>
      <c r="K717">
        <f>IF(G717=1,0.2*R717/C717,K716)</f>
        <v/>
      </c>
      <c r="L717">
        <f>IF(G717=1,0.2*R717/D717,L716)</f>
        <v/>
      </c>
      <c r="M717">
        <f>IF(G717=1,0.2*R717/E717,M716)</f>
        <v/>
      </c>
      <c r="N717">
        <f>IF(G717=1,0.2*R717/F717,N716)</f>
        <v/>
      </c>
      <c r="O717">
        <f>IF(G717=1,R717*(1-1.0),IF(H716=0,1,O716*(1+0.00023125256064071564)))</f>
        <v/>
      </c>
      <c r="P717">
        <f>IF(G717=1,IF(H716=0,1,ABS(0.2-J716*B717/I717)+ABS(0.2-K716*C717/I717)+ABS(0.2-L716*D717/I717)+ABS(0.2-M716*E717/I717)+ABS(0.2-N716*F717/I717)),0)</f>
        <v/>
      </c>
      <c r="Q717">
        <f>P717*0.0015</f>
        <v/>
      </c>
      <c r="R717">
        <f>I717*(1-Q717)</f>
        <v/>
      </c>
      <c r="S717">
        <f>R717/R716-1</f>
        <v/>
      </c>
      <c r="T717">
        <f>MAX(T716,R717)</f>
        <v/>
      </c>
      <c r="U717">
        <f>R717/T717-1</f>
        <v/>
      </c>
      <c r="V717" t="n">
        <v>2.980694521742367</v>
      </c>
      <c r="W717" s="5">
        <f>R717-V717</f>
        <v/>
      </c>
    </row>
    <row r="718">
      <c r="A718" s="3" t="n">
        <v>39485</v>
      </c>
      <c r="B718">
        <f>Prices!B718</f>
        <v/>
      </c>
      <c r="C718">
        <f>Prices!C718</f>
        <v/>
      </c>
      <c r="D718">
        <f>Prices!D718</f>
        <v/>
      </c>
      <c r="E718">
        <f>Prices!E718</f>
        <v/>
      </c>
      <c r="F718">
        <f>Prices!F718</f>
        <v/>
      </c>
      <c r="G718">
        <f>IF(AND(716&gt;=16,TEXT(A718,"yyyy-mm")&lt;&gt;TEXT(A719,"yyyy-mm")),1,0)</f>
        <v/>
      </c>
      <c r="H718">
        <f>IF(OR(H717=1,G718=1),1,0)</f>
        <v/>
      </c>
      <c r="I718">
        <f>IF(H717=0,1,SUMPRODUCT(J717:N717,B718:F718)+O717*(1+0.00023125256064071564))</f>
        <v/>
      </c>
      <c r="J718">
        <f>IF(G718=1,0.2*R718/B718,J717)</f>
        <v/>
      </c>
      <c r="K718">
        <f>IF(G718=1,0.2*R718/C718,K717)</f>
        <v/>
      </c>
      <c r="L718">
        <f>IF(G718=1,0.2*R718/D718,L717)</f>
        <v/>
      </c>
      <c r="M718">
        <f>IF(G718=1,0.2*R718/E718,M717)</f>
        <v/>
      </c>
      <c r="N718">
        <f>IF(G718=1,0.2*R718/F718,N717)</f>
        <v/>
      </c>
      <c r="O718">
        <f>IF(G718=1,R718*(1-1.0),IF(H717=0,1,O717*(1+0.00023125256064071564)))</f>
        <v/>
      </c>
      <c r="P718">
        <f>IF(G718=1,IF(H717=0,1,ABS(0.2-J717*B718/I718)+ABS(0.2-K717*C718/I718)+ABS(0.2-L717*D718/I718)+ABS(0.2-M717*E718/I718)+ABS(0.2-N717*F718/I718)),0)</f>
        <v/>
      </c>
      <c r="Q718">
        <f>P718*0.0015</f>
        <v/>
      </c>
      <c r="R718">
        <f>I718*(1-Q718)</f>
        <v/>
      </c>
      <c r="S718">
        <f>R718/R717-1</f>
        <v/>
      </c>
      <c r="T718">
        <f>MAX(T717,R718)</f>
        <v/>
      </c>
      <c r="U718">
        <f>R718/T718-1</f>
        <v/>
      </c>
      <c r="V718" t="n">
        <v>2.886225925664977</v>
      </c>
      <c r="W718" s="5">
        <f>R718-V718</f>
        <v/>
      </c>
    </row>
    <row r="719">
      <c r="A719" s="3" t="n">
        <v>39486</v>
      </c>
      <c r="B719">
        <f>Prices!B719</f>
        <v/>
      </c>
      <c r="C719">
        <f>Prices!C719</f>
        <v/>
      </c>
      <c r="D719">
        <f>Prices!D719</f>
        <v/>
      </c>
      <c r="E719">
        <f>Prices!E719</f>
        <v/>
      </c>
      <c r="F719">
        <f>Prices!F719</f>
        <v/>
      </c>
      <c r="G719">
        <f>IF(AND(717&gt;=16,TEXT(A719,"yyyy-mm")&lt;&gt;TEXT(A720,"yyyy-mm")),1,0)</f>
        <v/>
      </c>
      <c r="H719">
        <f>IF(OR(H718=1,G719=1),1,0)</f>
        <v/>
      </c>
      <c r="I719">
        <f>IF(H718=0,1,SUMPRODUCT(J718:N718,B719:F719)+O718*(1+0.00023125256064071564))</f>
        <v/>
      </c>
      <c r="J719">
        <f>IF(G719=1,0.2*R719/B719,J718)</f>
        <v/>
      </c>
      <c r="K719">
        <f>IF(G719=1,0.2*R719/C719,K718)</f>
        <v/>
      </c>
      <c r="L719">
        <f>IF(G719=1,0.2*R719/D719,L718)</f>
        <v/>
      </c>
      <c r="M719">
        <f>IF(G719=1,0.2*R719/E719,M718)</f>
        <v/>
      </c>
      <c r="N719">
        <f>IF(G719=1,0.2*R719/F719,N718)</f>
        <v/>
      </c>
      <c r="O719">
        <f>IF(G719=1,R719*(1-1.0),IF(H718=0,1,O718*(1+0.00023125256064071564)))</f>
        <v/>
      </c>
      <c r="P719">
        <f>IF(G719=1,IF(H718=0,1,ABS(0.2-J718*B719/I719)+ABS(0.2-K718*C719/I719)+ABS(0.2-L718*D719/I719)+ABS(0.2-M718*E719/I719)+ABS(0.2-N718*F719/I719)),0)</f>
        <v/>
      </c>
      <c r="Q719">
        <f>P719*0.0015</f>
        <v/>
      </c>
      <c r="R719">
        <f>I719*(1-Q719)</f>
        <v/>
      </c>
      <c r="S719">
        <f>R719/R718-1</f>
        <v/>
      </c>
      <c r="T719">
        <f>MAX(T718,R719)</f>
        <v/>
      </c>
      <c r="U719">
        <f>R719/T719-1</f>
        <v/>
      </c>
      <c r="V719" t="n">
        <v>2.848256677959334</v>
      </c>
      <c r="W719" s="5">
        <f>R719-V719</f>
        <v/>
      </c>
    </row>
    <row r="720">
      <c r="A720" s="3" t="n">
        <v>39489</v>
      </c>
      <c r="B720">
        <f>Prices!B720</f>
        <v/>
      </c>
      <c r="C720">
        <f>Prices!C720</f>
        <v/>
      </c>
      <c r="D720">
        <f>Prices!D720</f>
        <v/>
      </c>
      <c r="E720">
        <f>Prices!E720</f>
        <v/>
      </c>
      <c r="F720">
        <f>Prices!F720</f>
        <v/>
      </c>
      <c r="G720">
        <f>IF(AND(718&gt;=16,TEXT(A720,"yyyy-mm")&lt;&gt;TEXT(A721,"yyyy-mm")),1,0)</f>
        <v/>
      </c>
      <c r="H720">
        <f>IF(OR(H719=1,G720=1),1,0)</f>
        <v/>
      </c>
      <c r="I720">
        <f>IF(H719=0,1,SUMPRODUCT(J719:N719,B720:F720)+O719*(1+0.00023125256064071564))</f>
        <v/>
      </c>
      <c r="J720">
        <f>IF(G720=1,0.2*R720/B720,J719)</f>
        <v/>
      </c>
      <c r="K720">
        <f>IF(G720=1,0.2*R720/C720,K719)</f>
        <v/>
      </c>
      <c r="L720">
        <f>IF(G720=1,0.2*R720/D720,L719)</f>
        <v/>
      </c>
      <c r="M720">
        <f>IF(G720=1,0.2*R720/E720,M719)</f>
        <v/>
      </c>
      <c r="N720">
        <f>IF(G720=1,0.2*R720/F720,N719)</f>
        <v/>
      </c>
      <c r="O720">
        <f>IF(G720=1,R720*(1-1.0),IF(H719=0,1,O719*(1+0.00023125256064071564)))</f>
        <v/>
      </c>
      <c r="P720">
        <f>IF(G720=1,IF(H719=0,1,ABS(0.2-J719*B720/I720)+ABS(0.2-K719*C720/I720)+ABS(0.2-L719*D720/I720)+ABS(0.2-M719*E720/I720)+ABS(0.2-N719*F720/I720)),0)</f>
        <v/>
      </c>
      <c r="Q720">
        <f>P720*0.0015</f>
        <v/>
      </c>
      <c r="R720">
        <f>I720*(1-Q720)</f>
        <v/>
      </c>
      <c r="S720">
        <f>R720/R719-1</f>
        <v/>
      </c>
      <c r="T720">
        <f>MAX(T719,R720)</f>
        <v/>
      </c>
      <c r="U720">
        <f>R720/T720-1</f>
        <v/>
      </c>
      <c r="V720" t="n">
        <v>2.693414942829061</v>
      </c>
      <c r="W720" s="5">
        <f>R720-V720</f>
        <v/>
      </c>
    </row>
    <row r="721">
      <c r="A721" s="3" t="n">
        <v>39490</v>
      </c>
      <c r="B721">
        <f>Prices!B721</f>
        <v/>
      </c>
      <c r="C721">
        <f>Prices!C721</f>
        <v/>
      </c>
      <c r="D721">
        <f>Prices!D721</f>
        <v/>
      </c>
      <c r="E721">
        <f>Prices!E721</f>
        <v/>
      </c>
      <c r="F721">
        <f>Prices!F721</f>
        <v/>
      </c>
      <c r="G721">
        <f>IF(AND(719&gt;=16,TEXT(A721,"yyyy-mm")&lt;&gt;TEXT(A722,"yyyy-mm")),1,0)</f>
        <v/>
      </c>
      <c r="H721">
        <f>IF(OR(H720=1,G721=1),1,0)</f>
        <v/>
      </c>
      <c r="I721">
        <f>IF(H720=0,1,SUMPRODUCT(J720:N720,B721:F721)+O720*(1+0.00023125256064071564))</f>
        <v/>
      </c>
      <c r="J721">
        <f>IF(G721=1,0.2*R721/B721,J720)</f>
        <v/>
      </c>
      <c r="K721">
        <f>IF(G721=1,0.2*R721/C721,K720)</f>
        <v/>
      </c>
      <c r="L721">
        <f>IF(G721=1,0.2*R721/D721,L720)</f>
        <v/>
      </c>
      <c r="M721">
        <f>IF(G721=1,0.2*R721/E721,M720)</f>
        <v/>
      </c>
      <c r="N721">
        <f>IF(G721=1,0.2*R721/F721,N720)</f>
        <v/>
      </c>
      <c r="O721">
        <f>IF(G721=1,R721*(1-1.0),IF(H720=0,1,O720*(1+0.00023125256064071564)))</f>
        <v/>
      </c>
      <c r="P721">
        <f>IF(G721=1,IF(H720=0,1,ABS(0.2-J720*B721/I721)+ABS(0.2-K720*C721/I721)+ABS(0.2-L720*D721/I721)+ABS(0.2-M720*E721/I721)+ABS(0.2-N720*F721/I721)),0)</f>
        <v/>
      </c>
      <c r="Q721">
        <f>P721*0.0015</f>
        <v/>
      </c>
      <c r="R721">
        <f>I721*(1-Q721)</f>
        <v/>
      </c>
      <c r="S721">
        <f>R721/R720-1</f>
        <v/>
      </c>
      <c r="T721">
        <f>MAX(T720,R721)</f>
        <v/>
      </c>
      <c r="U721">
        <f>R721/T721-1</f>
        <v/>
      </c>
      <c r="V721" t="n">
        <v>2.655384846386179</v>
      </c>
      <c r="W721" s="5">
        <f>R721-V721</f>
        <v/>
      </c>
    </row>
    <row r="722">
      <c r="A722" s="3" t="n">
        <v>39491</v>
      </c>
      <c r="B722">
        <f>Prices!B722</f>
        <v/>
      </c>
      <c r="C722">
        <f>Prices!C722</f>
        <v/>
      </c>
      <c r="D722">
        <f>Prices!D722</f>
        <v/>
      </c>
      <c r="E722">
        <f>Prices!E722</f>
        <v/>
      </c>
      <c r="F722">
        <f>Prices!F722</f>
        <v/>
      </c>
      <c r="G722">
        <f>IF(AND(720&gt;=16,TEXT(A722,"yyyy-mm")&lt;&gt;TEXT(A723,"yyyy-mm")),1,0)</f>
        <v/>
      </c>
      <c r="H722">
        <f>IF(OR(H721=1,G722=1),1,0)</f>
        <v/>
      </c>
      <c r="I722">
        <f>IF(H721=0,1,SUMPRODUCT(J721:N721,B722:F722)+O721*(1+0.00023125256064071564))</f>
        <v/>
      </c>
      <c r="J722">
        <f>IF(G722=1,0.2*R722/B722,J721)</f>
        <v/>
      </c>
      <c r="K722">
        <f>IF(G722=1,0.2*R722/C722,K721)</f>
        <v/>
      </c>
      <c r="L722">
        <f>IF(G722=1,0.2*R722/D722,L721)</f>
        <v/>
      </c>
      <c r="M722">
        <f>IF(G722=1,0.2*R722/E722,M721)</f>
        <v/>
      </c>
      <c r="N722">
        <f>IF(G722=1,0.2*R722/F722,N721)</f>
        <v/>
      </c>
      <c r="O722">
        <f>IF(G722=1,R722*(1-1.0),IF(H721=0,1,O721*(1+0.00023125256064071564)))</f>
        <v/>
      </c>
      <c r="P722">
        <f>IF(G722=1,IF(H721=0,1,ABS(0.2-J721*B722/I722)+ABS(0.2-K721*C722/I722)+ABS(0.2-L721*D722/I722)+ABS(0.2-M721*E722/I722)+ABS(0.2-N721*F722/I722)),0)</f>
        <v/>
      </c>
      <c r="Q722">
        <f>P722*0.0015</f>
        <v/>
      </c>
      <c r="R722">
        <f>I722*(1-Q722)</f>
        <v/>
      </c>
      <c r="S722">
        <f>R722/R721-1</f>
        <v/>
      </c>
      <c r="T722">
        <f>MAX(T721,R722)</f>
        <v/>
      </c>
      <c r="U722">
        <f>R722/T722-1</f>
        <v/>
      </c>
      <c r="V722" t="n">
        <v>2.676385016622234</v>
      </c>
      <c r="W722" s="5">
        <f>R722-V722</f>
        <v/>
      </c>
    </row>
    <row r="723">
      <c r="A723" s="3" t="n">
        <v>39492</v>
      </c>
      <c r="B723">
        <f>Prices!B723</f>
        <v/>
      </c>
      <c r="C723">
        <f>Prices!C723</f>
        <v/>
      </c>
      <c r="D723">
        <f>Prices!D723</f>
        <v/>
      </c>
      <c r="E723">
        <f>Prices!E723</f>
        <v/>
      </c>
      <c r="F723">
        <f>Prices!F723</f>
        <v/>
      </c>
      <c r="G723">
        <f>IF(AND(721&gt;=16,TEXT(A723,"yyyy-mm")&lt;&gt;TEXT(A724,"yyyy-mm")),1,0)</f>
        <v/>
      </c>
      <c r="H723">
        <f>IF(OR(H722=1,G723=1),1,0)</f>
        <v/>
      </c>
      <c r="I723">
        <f>IF(H722=0,1,SUMPRODUCT(J722:N722,B723:F723)+O722*(1+0.00023125256064071564))</f>
        <v/>
      </c>
      <c r="J723">
        <f>IF(G723=1,0.2*R723/B723,J722)</f>
        <v/>
      </c>
      <c r="K723">
        <f>IF(G723=1,0.2*R723/C723,K722)</f>
        <v/>
      </c>
      <c r="L723">
        <f>IF(G723=1,0.2*R723/D723,L722)</f>
        <v/>
      </c>
      <c r="M723">
        <f>IF(G723=1,0.2*R723/E723,M722)</f>
        <v/>
      </c>
      <c r="N723">
        <f>IF(G723=1,0.2*R723/F723,N722)</f>
        <v/>
      </c>
      <c r="O723">
        <f>IF(G723=1,R723*(1-1.0),IF(H722=0,1,O722*(1+0.00023125256064071564)))</f>
        <v/>
      </c>
      <c r="P723">
        <f>IF(G723=1,IF(H722=0,1,ABS(0.2-J722*B723/I723)+ABS(0.2-K722*C723/I723)+ABS(0.2-L722*D723/I723)+ABS(0.2-M722*E723/I723)+ABS(0.2-N722*F723/I723)),0)</f>
        <v/>
      </c>
      <c r="Q723">
        <f>P723*0.0015</f>
        <v/>
      </c>
      <c r="R723">
        <f>I723*(1-Q723)</f>
        <v/>
      </c>
      <c r="S723">
        <f>R723/R722-1</f>
        <v/>
      </c>
      <c r="T723">
        <f>MAX(T722,R723)</f>
        <v/>
      </c>
      <c r="U723">
        <f>R723/T723-1</f>
        <v/>
      </c>
      <c r="V723" t="n">
        <v>2.828683033384369</v>
      </c>
      <c r="W723" s="5">
        <f>R723-V723</f>
        <v/>
      </c>
    </row>
    <row r="724">
      <c r="A724" s="3" t="n">
        <v>39493</v>
      </c>
      <c r="B724">
        <f>Prices!B724</f>
        <v/>
      </c>
      <c r="C724">
        <f>Prices!C724</f>
        <v/>
      </c>
      <c r="D724">
        <f>Prices!D724</f>
        <v/>
      </c>
      <c r="E724">
        <f>Prices!E724</f>
        <v/>
      </c>
      <c r="F724">
        <f>Prices!F724</f>
        <v/>
      </c>
      <c r="G724">
        <f>IF(AND(722&gt;=16,TEXT(A724,"yyyy-mm")&lt;&gt;TEXT(A725,"yyyy-mm")),1,0)</f>
        <v/>
      </c>
      <c r="H724">
        <f>IF(OR(H723=1,G724=1),1,0)</f>
        <v/>
      </c>
      <c r="I724">
        <f>IF(H723=0,1,SUMPRODUCT(J723:N723,B724:F724)+O723*(1+0.00023125256064071564))</f>
        <v/>
      </c>
      <c r="J724">
        <f>IF(G724=1,0.2*R724/B724,J723)</f>
        <v/>
      </c>
      <c r="K724">
        <f>IF(G724=1,0.2*R724/C724,K723)</f>
        <v/>
      </c>
      <c r="L724">
        <f>IF(G724=1,0.2*R724/D724,L723)</f>
        <v/>
      </c>
      <c r="M724">
        <f>IF(G724=1,0.2*R724/E724,M723)</f>
        <v/>
      </c>
      <c r="N724">
        <f>IF(G724=1,0.2*R724/F724,N723)</f>
        <v/>
      </c>
      <c r="O724">
        <f>IF(G724=1,R724*(1-1.0),IF(H723=0,1,O723*(1+0.00023125256064071564)))</f>
        <v/>
      </c>
      <c r="P724">
        <f>IF(G724=1,IF(H723=0,1,ABS(0.2-J723*B724/I724)+ABS(0.2-K723*C724/I724)+ABS(0.2-L723*D724/I724)+ABS(0.2-M723*E724/I724)+ABS(0.2-N723*F724/I724)),0)</f>
        <v/>
      </c>
      <c r="Q724">
        <f>P724*0.0015</f>
        <v/>
      </c>
      <c r="R724">
        <f>I724*(1-Q724)</f>
        <v/>
      </c>
      <c r="S724">
        <f>R724/R723-1</f>
        <v/>
      </c>
      <c r="T724">
        <f>MAX(T723,R724)</f>
        <v/>
      </c>
      <c r="U724">
        <f>R724/T724-1</f>
        <v/>
      </c>
      <c r="V724" t="n">
        <v>2.887135179973139</v>
      </c>
      <c r="W724" s="5">
        <f>R724-V724</f>
        <v/>
      </c>
    </row>
    <row r="725">
      <c r="A725" s="3" t="n">
        <v>39496</v>
      </c>
      <c r="B725">
        <f>Prices!B725</f>
        <v/>
      </c>
      <c r="C725">
        <f>Prices!C725</f>
        <v/>
      </c>
      <c r="D725">
        <f>Prices!D725</f>
        <v/>
      </c>
      <c r="E725">
        <f>Prices!E725</f>
        <v/>
      </c>
      <c r="F725">
        <f>Prices!F725</f>
        <v/>
      </c>
      <c r="G725">
        <f>IF(AND(723&gt;=16,TEXT(A725,"yyyy-mm")&lt;&gt;TEXT(A726,"yyyy-mm")),1,0)</f>
        <v/>
      </c>
      <c r="H725">
        <f>IF(OR(H724=1,G725=1),1,0)</f>
        <v/>
      </c>
      <c r="I725">
        <f>IF(H724=0,1,SUMPRODUCT(J724:N724,B725:F725)+O724*(1+0.00023125256064071564))</f>
        <v/>
      </c>
      <c r="J725">
        <f>IF(G725=1,0.2*R725/B725,J724)</f>
        <v/>
      </c>
      <c r="K725">
        <f>IF(G725=1,0.2*R725/C725,K724)</f>
        <v/>
      </c>
      <c r="L725">
        <f>IF(G725=1,0.2*R725/D725,L724)</f>
        <v/>
      </c>
      <c r="M725">
        <f>IF(G725=1,0.2*R725/E725,M724)</f>
        <v/>
      </c>
      <c r="N725">
        <f>IF(G725=1,0.2*R725/F725,N724)</f>
        <v/>
      </c>
      <c r="O725">
        <f>IF(G725=1,R725*(1-1.0),IF(H724=0,1,O724*(1+0.00023125256064071564)))</f>
        <v/>
      </c>
      <c r="P725">
        <f>IF(G725=1,IF(H724=0,1,ABS(0.2-J724*B725/I725)+ABS(0.2-K724*C725/I725)+ABS(0.2-L724*D725/I725)+ABS(0.2-M724*E725/I725)+ABS(0.2-N724*F725/I725)),0)</f>
        <v/>
      </c>
      <c r="Q725">
        <f>P725*0.0015</f>
        <v/>
      </c>
      <c r="R725">
        <f>I725*(1-Q725)</f>
        <v/>
      </c>
      <c r="S725">
        <f>R725/R724-1</f>
        <v/>
      </c>
      <c r="T725">
        <f>MAX(T724,R725)</f>
        <v/>
      </c>
      <c r="U725">
        <f>R725/T725-1</f>
        <v/>
      </c>
      <c r="V725" t="n">
        <v>2.901513344787453</v>
      </c>
      <c r="W725" s="5">
        <f>R725-V725</f>
        <v/>
      </c>
    </row>
    <row r="726">
      <c r="A726" s="3" t="n">
        <v>39497</v>
      </c>
      <c r="B726">
        <f>Prices!B726</f>
        <v/>
      </c>
      <c r="C726">
        <f>Prices!C726</f>
        <v/>
      </c>
      <c r="D726">
        <f>Prices!D726</f>
        <v/>
      </c>
      <c r="E726">
        <f>Prices!E726</f>
        <v/>
      </c>
      <c r="F726">
        <f>Prices!F726</f>
        <v/>
      </c>
      <c r="G726">
        <f>IF(AND(724&gt;=16,TEXT(A726,"yyyy-mm")&lt;&gt;TEXT(A727,"yyyy-mm")),1,0)</f>
        <v/>
      </c>
      <c r="H726">
        <f>IF(OR(H725=1,G726=1),1,0)</f>
        <v/>
      </c>
      <c r="I726">
        <f>IF(H725=0,1,SUMPRODUCT(J725:N725,B726:F726)+O725*(1+0.00023125256064071564))</f>
        <v/>
      </c>
      <c r="J726">
        <f>IF(G726=1,0.2*R726/B726,J725)</f>
        <v/>
      </c>
      <c r="K726">
        <f>IF(G726=1,0.2*R726/C726,K725)</f>
        <v/>
      </c>
      <c r="L726">
        <f>IF(G726=1,0.2*R726/D726,L725)</f>
        <v/>
      </c>
      <c r="M726">
        <f>IF(G726=1,0.2*R726/E726,M725)</f>
        <v/>
      </c>
      <c r="N726">
        <f>IF(G726=1,0.2*R726/F726,N725)</f>
        <v/>
      </c>
      <c r="O726">
        <f>IF(G726=1,R726*(1-1.0),IF(H725=0,1,O725*(1+0.00023125256064071564)))</f>
        <v/>
      </c>
      <c r="P726">
        <f>IF(G726=1,IF(H725=0,1,ABS(0.2-J725*B726/I726)+ABS(0.2-K725*C726/I726)+ABS(0.2-L725*D726/I726)+ABS(0.2-M725*E726/I726)+ABS(0.2-N725*F726/I726)),0)</f>
        <v/>
      </c>
      <c r="Q726">
        <f>P726*0.0015</f>
        <v/>
      </c>
      <c r="R726">
        <f>I726*(1-Q726)</f>
        <v/>
      </c>
      <c r="S726">
        <f>R726/R725-1</f>
        <v/>
      </c>
      <c r="T726">
        <f>MAX(T725,R726)</f>
        <v/>
      </c>
      <c r="U726">
        <f>R726/T726-1</f>
        <v/>
      </c>
      <c r="V726" t="n">
        <v>2.905669810917947</v>
      </c>
      <c r="W726" s="5">
        <f>R726-V726</f>
        <v/>
      </c>
    </row>
    <row r="727">
      <c r="A727" s="3" t="n">
        <v>39498</v>
      </c>
      <c r="B727">
        <f>Prices!B727</f>
        <v/>
      </c>
      <c r="C727">
        <f>Prices!C727</f>
        <v/>
      </c>
      <c r="D727">
        <f>Prices!D727</f>
        <v/>
      </c>
      <c r="E727">
        <f>Prices!E727</f>
        <v/>
      </c>
      <c r="F727">
        <f>Prices!F727</f>
        <v/>
      </c>
      <c r="G727">
        <f>IF(AND(725&gt;=16,TEXT(A727,"yyyy-mm")&lt;&gt;TEXT(A728,"yyyy-mm")),1,0)</f>
        <v/>
      </c>
      <c r="H727">
        <f>IF(OR(H726=1,G727=1),1,0)</f>
        <v/>
      </c>
      <c r="I727">
        <f>IF(H726=0,1,SUMPRODUCT(J726:N726,B727:F727)+O726*(1+0.00023125256064071564))</f>
        <v/>
      </c>
      <c r="J727">
        <f>IF(G727=1,0.2*R727/B727,J726)</f>
        <v/>
      </c>
      <c r="K727">
        <f>IF(G727=1,0.2*R727/C727,K726)</f>
        <v/>
      </c>
      <c r="L727">
        <f>IF(G727=1,0.2*R727/D727,L726)</f>
        <v/>
      </c>
      <c r="M727">
        <f>IF(G727=1,0.2*R727/E727,M726)</f>
        <v/>
      </c>
      <c r="N727">
        <f>IF(G727=1,0.2*R727/F727,N726)</f>
        <v/>
      </c>
      <c r="O727">
        <f>IF(G727=1,R727*(1-1.0),IF(H726=0,1,O726*(1+0.00023125256064071564)))</f>
        <v/>
      </c>
      <c r="P727">
        <f>IF(G727=1,IF(H726=0,1,ABS(0.2-J726*B727/I727)+ABS(0.2-K726*C727/I727)+ABS(0.2-L726*D727/I727)+ABS(0.2-M726*E727/I727)+ABS(0.2-N726*F727/I727)),0)</f>
        <v/>
      </c>
      <c r="Q727">
        <f>P727*0.0015</f>
        <v/>
      </c>
      <c r="R727">
        <f>I727*(1-Q727)</f>
        <v/>
      </c>
      <c r="S727">
        <f>R727/R726-1</f>
        <v/>
      </c>
      <c r="T727">
        <f>MAX(T726,R727)</f>
        <v/>
      </c>
      <c r="U727">
        <f>R727/T727-1</f>
        <v/>
      </c>
      <c r="V727" t="n">
        <v>2.845677722638841</v>
      </c>
      <c r="W727" s="5">
        <f>R727-V727</f>
        <v/>
      </c>
    </row>
    <row r="728">
      <c r="A728" s="3" t="n">
        <v>39499</v>
      </c>
      <c r="B728">
        <f>Prices!B728</f>
        <v/>
      </c>
      <c r="C728">
        <f>Prices!C728</f>
        <v/>
      </c>
      <c r="D728">
        <f>Prices!D728</f>
        <v/>
      </c>
      <c r="E728">
        <f>Prices!E728</f>
        <v/>
      </c>
      <c r="F728">
        <f>Prices!F728</f>
        <v/>
      </c>
      <c r="G728">
        <f>IF(AND(726&gt;=16,TEXT(A728,"yyyy-mm")&lt;&gt;TEXT(A729,"yyyy-mm")),1,0)</f>
        <v/>
      </c>
      <c r="H728">
        <f>IF(OR(H727=1,G728=1),1,0)</f>
        <v/>
      </c>
      <c r="I728">
        <f>IF(H727=0,1,SUMPRODUCT(J727:N727,B728:F728)+O727*(1+0.00023125256064071564))</f>
        <v/>
      </c>
      <c r="J728">
        <f>IF(G728=1,0.2*R728/B728,J727)</f>
        <v/>
      </c>
      <c r="K728">
        <f>IF(G728=1,0.2*R728/C728,K727)</f>
        <v/>
      </c>
      <c r="L728">
        <f>IF(G728=1,0.2*R728/D728,L727)</f>
        <v/>
      </c>
      <c r="M728">
        <f>IF(G728=1,0.2*R728/E728,M727)</f>
        <v/>
      </c>
      <c r="N728">
        <f>IF(G728=1,0.2*R728/F728,N727)</f>
        <v/>
      </c>
      <c r="O728">
        <f>IF(G728=1,R728*(1-1.0),IF(H727=0,1,O727*(1+0.00023125256064071564)))</f>
        <v/>
      </c>
      <c r="P728">
        <f>IF(G728=1,IF(H727=0,1,ABS(0.2-J727*B728/I728)+ABS(0.2-K727*C728/I728)+ABS(0.2-L727*D728/I728)+ABS(0.2-M727*E728/I728)+ABS(0.2-N727*F728/I728)),0)</f>
        <v/>
      </c>
      <c r="Q728">
        <f>P728*0.0015</f>
        <v/>
      </c>
      <c r="R728">
        <f>I728*(1-Q728)</f>
        <v/>
      </c>
      <c r="S728">
        <f>R728/R727-1</f>
        <v/>
      </c>
      <c r="T728">
        <f>MAX(T727,R728)</f>
        <v/>
      </c>
      <c r="U728">
        <f>R728/T728-1</f>
        <v/>
      </c>
      <c r="V728" t="n">
        <v>2.872164997387793</v>
      </c>
      <c r="W728" s="5">
        <f>R728-V728</f>
        <v/>
      </c>
    </row>
    <row r="729">
      <c r="A729" s="3" t="n">
        <v>39500</v>
      </c>
      <c r="B729">
        <f>Prices!B729</f>
        <v/>
      </c>
      <c r="C729">
        <f>Prices!C729</f>
        <v/>
      </c>
      <c r="D729">
        <f>Prices!D729</f>
        <v/>
      </c>
      <c r="E729">
        <f>Prices!E729</f>
        <v/>
      </c>
      <c r="F729">
        <f>Prices!F729</f>
        <v/>
      </c>
      <c r="G729">
        <f>IF(AND(727&gt;=16,TEXT(A729,"yyyy-mm")&lt;&gt;TEXT(A730,"yyyy-mm")),1,0)</f>
        <v/>
      </c>
      <c r="H729">
        <f>IF(OR(H728=1,G729=1),1,0)</f>
        <v/>
      </c>
      <c r="I729">
        <f>IF(H728=0,1,SUMPRODUCT(J728:N728,B729:F729)+O728*(1+0.00023125256064071564))</f>
        <v/>
      </c>
      <c r="J729">
        <f>IF(G729=1,0.2*R729/B729,J728)</f>
        <v/>
      </c>
      <c r="K729">
        <f>IF(G729=1,0.2*R729/C729,K728)</f>
        <v/>
      </c>
      <c r="L729">
        <f>IF(G729=1,0.2*R729/D729,L728)</f>
        <v/>
      </c>
      <c r="M729">
        <f>IF(G729=1,0.2*R729/E729,M728)</f>
        <v/>
      </c>
      <c r="N729">
        <f>IF(G729=1,0.2*R729/F729,N728)</f>
        <v/>
      </c>
      <c r="O729">
        <f>IF(G729=1,R729*(1-1.0),IF(H728=0,1,O728*(1+0.00023125256064071564)))</f>
        <v/>
      </c>
      <c r="P729">
        <f>IF(G729=1,IF(H728=0,1,ABS(0.2-J728*B729/I729)+ABS(0.2-K728*C729/I729)+ABS(0.2-L728*D729/I729)+ABS(0.2-M728*E729/I729)+ABS(0.2-N728*F729/I729)),0)</f>
        <v/>
      </c>
      <c r="Q729">
        <f>P729*0.0015</f>
        <v/>
      </c>
      <c r="R729">
        <f>I729*(1-Q729)</f>
        <v/>
      </c>
      <c r="S729">
        <f>R729/R728-1</f>
        <v/>
      </c>
      <c r="T729">
        <f>MAX(T728,R729)</f>
        <v/>
      </c>
      <c r="U729">
        <f>R729/T729-1</f>
        <v/>
      </c>
      <c r="V729" t="n">
        <v>2.8444268307723</v>
      </c>
      <c r="W729" s="5">
        <f>R729-V729</f>
        <v/>
      </c>
    </row>
    <row r="730">
      <c r="A730" s="3" t="n">
        <v>39503</v>
      </c>
      <c r="B730">
        <f>Prices!B730</f>
        <v/>
      </c>
      <c r="C730">
        <f>Prices!C730</f>
        <v/>
      </c>
      <c r="D730">
        <f>Prices!D730</f>
        <v/>
      </c>
      <c r="E730">
        <f>Prices!E730</f>
        <v/>
      </c>
      <c r="F730">
        <f>Prices!F730</f>
        <v/>
      </c>
      <c r="G730">
        <f>IF(AND(728&gt;=16,TEXT(A730,"yyyy-mm")&lt;&gt;TEXT(A731,"yyyy-mm")),1,0)</f>
        <v/>
      </c>
      <c r="H730">
        <f>IF(OR(H729=1,G730=1),1,0)</f>
        <v/>
      </c>
      <c r="I730">
        <f>IF(H729=0,1,SUMPRODUCT(J729:N729,B730:F730)+O729*(1+0.00023125256064071564))</f>
        <v/>
      </c>
      <c r="J730">
        <f>IF(G730=1,0.2*R730/B730,J729)</f>
        <v/>
      </c>
      <c r="K730">
        <f>IF(G730=1,0.2*R730/C730,K729)</f>
        <v/>
      </c>
      <c r="L730">
        <f>IF(G730=1,0.2*R730/D730,L729)</f>
        <v/>
      </c>
      <c r="M730">
        <f>IF(G730=1,0.2*R730/E730,M729)</f>
        <v/>
      </c>
      <c r="N730">
        <f>IF(G730=1,0.2*R730/F730,N729)</f>
        <v/>
      </c>
      <c r="O730">
        <f>IF(G730=1,R730*(1-1.0),IF(H729=0,1,O729*(1+0.00023125256064071564)))</f>
        <v/>
      </c>
      <c r="P730">
        <f>IF(G730=1,IF(H729=0,1,ABS(0.2-J729*B730/I730)+ABS(0.2-K729*C730/I730)+ABS(0.2-L729*D730/I730)+ABS(0.2-M729*E730/I730)+ABS(0.2-N729*F730/I730)),0)</f>
        <v/>
      </c>
      <c r="Q730">
        <f>P730*0.0015</f>
        <v/>
      </c>
      <c r="R730">
        <f>I730*(1-Q730)</f>
        <v/>
      </c>
      <c r="S730">
        <f>R730/R729-1</f>
        <v/>
      </c>
      <c r="T730">
        <f>MAX(T729,R730)</f>
        <v/>
      </c>
      <c r="U730">
        <f>R730/T730-1</f>
        <v/>
      </c>
      <c r="V730" t="n">
        <v>2.867105126118151</v>
      </c>
      <c r="W730" s="5">
        <f>R730-V730</f>
        <v/>
      </c>
    </row>
    <row r="731">
      <c r="A731" s="3" t="n">
        <v>39504</v>
      </c>
      <c r="B731">
        <f>Prices!B731</f>
        <v/>
      </c>
      <c r="C731">
        <f>Prices!C731</f>
        <v/>
      </c>
      <c r="D731">
        <f>Prices!D731</f>
        <v/>
      </c>
      <c r="E731">
        <f>Prices!E731</f>
        <v/>
      </c>
      <c r="F731">
        <f>Prices!F731</f>
        <v/>
      </c>
      <c r="G731">
        <f>IF(AND(729&gt;=16,TEXT(A731,"yyyy-mm")&lt;&gt;TEXT(A732,"yyyy-mm")),1,0)</f>
        <v/>
      </c>
      <c r="H731">
        <f>IF(OR(H730=1,G731=1),1,0)</f>
        <v/>
      </c>
      <c r="I731">
        <f>IF(H730=0,1,SUMPRODUCT(J730:N730,B731:F731)+O730*(1+0.00023125256064071564))</f>
        <v/>
      </c>
      <c r="J731">
        <f>IF(G731=1,0.2*R731/B731,J730)</f>
        <v/>
      </c>
      <c r="K731">
        <f>IF(G731=1,0.2*R731/C731,K730)</f>
        <v/>
      </c>
      <c r="L731">
        <f>IF(G731=1,0.2*R731/D731,L730)</f>
        <v/>
      </c>
      <c r="M731">
        <f>IF(G731=1,0.2*R731/E731,M730)</f>
        <v/>
      </c>
      <c r="N731">
        <f>IF(G731=1,0.2*R731/F731,N730)</f>
        <v/>
      </c>
      <c r="O731">
        <f>IF(G731=1,R731*(1-1.0),IF(H730=0,1,O730*(1+0.00023125256064071564)))</f>
        <v/>
      </c>
      <c r="P731">
        <f>IF(G731=1,IF(H730=0,1,ABS(0.2-J730*B731/I731)+ABS(0.2-K730*C731/I731)+ABS(0.2-L730*D731/I731)+ABS(0.2-M730*E731/I731)+ABS(0.2-N730*F731/I731)),0)</f>
        <v/>
      </c>
      <c r="Q731">
        <f>P731*0.0015</f>
        <v/>
      </c>
      <c r="R731">
        <f>I731*(1-Q731)</f>
        <v/>
      </c>
      <c r="S731">
        <f>R731/R730-1</f>
        <v/>
      </c>
      <c r="T731">
        <f>MAX(T730,R731)</f>
        <v/>
      </c>
      <c r="U731">
        <f>R731/T731-1</f>
        <v/>
      </c>
      <c r="V731" t="n">
        <v>2.906966209651885</v>
      </c>
      <c r="W731" s="5">
        <f>R731-V731</f>
        <v/>
      </c>
    </row>
    <row r="732">
      <c r="A732" s="3" t="n">
        <v>39505</v>
      </c>
      <c r="B732">
        <f>Prices!B732</f>
        <v/>
      </c>
      <c r="C732">
        <f>Prices!C732</f>
        <v/>
      </c>
      <c r="D732">
        <f>Prices!D732</f>
        <v/>
      </c>
      <c r="E732">
        <f>Prices!E732</f>
        <v/>
      </c>
      <c r="F732">
        <f>Prices!F732</f>
        <v/>
      </c>
      <c r="G732">
        <f>IF(AND(730&gt;=16,TEXT(A732,"yyyy-mm")&lt;&gt;TEXT(A733,"yyyy-mm")),1,0)</f>
        <v/>
      </c>
      <c r="H732">
        <f>IF(OR(H731=1,G732=1),1,0)</f>
        <v/>
      </c>
      <c r="I732">
        <f>IF(H731=0,1,SUMPRODUCT(J731:N731,B732:F732)+O731*(1+0.00023125256064071564))</f>
        <v/>
      </c>
      <c r="J732">
        <f>IF(G732=1,0.2*R732/B732,J731)</f>
        <v/>
      </c>
      <c r="K732">
        <f>IF(G732=1,0.2*R732/C732,K731)</f>
        <v/>
      </c>
      <c r="L732">
        <f>IF(G732=1,0.2*R732/D732,L731)</f>
        <v/>
      </c>
      <c r="M732">
        <f>IF(G732=1,0.2*R732/E732,M731)</f>
        <v/>
      </c>
      <c r="N732">
        <f>IF(G732=1,0.2*R732/F732,N731)</f>
        <v/>
      </c>
      <c r="O732">
        <f>IF(G732=1,R732*(1-1.0),IF(H731=0,1,O731*(1+0.00023125256064071564)))</f>
        <v/>
      </c>
      <c r="P732">
        <f>IF(G732=1,IF(H731=0,1,ABS(0.2-J731*B732/I732)+ABS(0.2-K731*C732/I732)+ABS(0.2-L731*D732/I732)+ABS(0.2-M731*E732/I732)+ABS(0.2-N731*F732/I732)),0)</f>
        <v/>
      </c>
      <c r="Q732">
        <f>P732*0.0015</f>
        <v/>
      </c>
      <c r="R732">
        <f>I732*(1-Q732)</f>
        <v/>
      </c>
      <c r="S732">
        <f>R732/R731-1</f>
        <v/>
      </c>
      <c r="T732">
        <f>MAX(T731,R732)</f>
        <v/>
      </c>
      <c r="U732">
        <f>R732/T732-1</f>
        <v/>
      </c>
      <c r="V732" t="n">
        <v>2.910087266537933</v>
      </c>
      <c r="W732" s="5">
        <f>R732-V732</f>
        <v/>
      </c>
    </row>
    <row r="733">
      <c r="A733" s="3" t="n">
        <v>39506</v>
      </c>
      <c r="B733">
        <f>Prices!B733</f>
        <v/>
      </c>
      <c r="C733">
        <f>Prices!C733</f>
        <v/>
      </c>
      <c r="D733">
        <f>Prices!D733</f>
        <v/>
      </c>
      <c r="E733">
        <f>Prices!E733</f>
        <v/>
      </c>
      <c r="F733">
        <f>Prices!F733</f>
        <v/>
      </c>
      <c r="G733">
        <f>IF(AND(731&gt;=16,TEXT(A733,"yyyy-mm")&lt;&gt;TEXT(A734,"yyyy-mm")),1,0)</f>
        <v/>
      </c>
      <c r="H733">
        <f>IF(OR(H732=1,G733=1),1,0)</f>
        <v/>
      </c>
      <c r="I733">
        <f>IF(H732=0,1,SUMPRODUCT(J732:N732,B733:F733)+O732*(1+0.00023125256064071564))</f>
        <v/>
      </c>
      <c r="J733">
        <f>IF(G733=1,0.2*R733/B733,J732)</f>
        <v/>
      </c>
      <c r="K733">
        <f>IF(G733=1,0.2*R733/C733,K732)</f>
        <v/>
      </c>
      <c r="L733">
        <f>IF(G733=1,0.2*R733/D733,L732)</f>
        <v/>
      </c>
      <c r="M733">
        <f>IF(G733=1,0.2*R733/E733,M732)</f>
        <v/>
      </c>
      <c r="N733">
        <f>IF(G733=1,0.2*R733/F733,N732)</f>
        <v/>
      </c>
      <c r="O733">
        <f>IF(G733=1,R733*(1-1.0),IF(H732=0,1,O732*(1+0.00023125256064071564)))</f>
        <v/>
      </c>
      <c r="P733">
        <f>IF(G733=1,IF(H732=0,1,ABS(0.2-J732*B733/I733)+ABS(0.2-K732*C733/I733)+ABS(0.2-L732*D733/I733)+ABS(0.2-M732*E733/I733)+ABS(0.2-N732*F733/I733)),0)</f>
        <v/>
      </c>
      <c r="Q733">
        <f>P733*0.0015</f>
        <v/>
      </c>
      <c r="R733">
        <f>I733*(1-Q733)</f>
        <v/>
      </c>
      <c r="S733">
        <f>R733/R732-1</f>
        <v/>
      </c>
      <c r="T733">
        <f>MAX(T732,R733)</f>
        <v/>
      </c>
      <c r="U733">
        <f>R733/T733-1</f>
        <v/>
      </c>
      <c r="V733" t="n">
        <v>2.910233003480507</v>
      </c>
      <c r="W733" s="5">
        <f>R733-V733</f>
        <v/>
      </c>
    </row>
    <row r="734">
      <c r="A734" s="3" t="n">
        <v>39507</v>
      </c>
      <c r="B734">
        <f>Prices!B734</f>
        <v/>
      </c>
      <c r="C734">
        <f>Prices!C734</f>
        <v/>
      </c>
      <c r="D734">
        <f>Prices!D734</f>
        <v/>
      </c>
      <c r="E734">
        <f>Prices!E734</f>
        <v/>
      </c>
      <c r="F734">
        <f>Prices!F734</f>
        <v/>
      </c>
      <c r="G734">
        <f>IF(AND(732&gt;=16,TEXT(A734,"yyyy-mm")&lt;&gt;TEXT(A735,"yyyy-mm")),1,0)</f>
        <v/>
      </c>
      <c r="H734">
        <f>IF(OR(H733=1,G734=1),1,0)</f>
        <v/>
      </c>
      <c r="I734">
        <f>IF(H733=0,1,SUMPRODUCT(J733:N733,B734:F734)+O733*(1+0.00023125256064071564))</f>
        <v/>
      </c>
      <c r="J734">
        <f>IF(G734=1,0.2*R734/B734,J733)</f>
        <v/>
      </c>
      <c r="K734">
        <f>IF(G734=1,0.2*R734/C734,K733)</f>
        <v/>
      </c>
      <c r="L734">
        <f>IF(G734=1,0.2*R734/D734,L733)</f>
        <v/>
      </c>
      <c r="M734">
        <f>IF(G734=1,0.2*R734/E734,M733)</f>
        <v/>
      </c>
      <c r="N734">
        <f>IF(G734=1,0.2*R734/F734,N733)</f>
        <v/>
      </c>
      <c r="O734">
        <f>IF(G734=1,R734*(1-1.0),IF(H733=0,1,O733*(1+0.00023125256064071564)))</f>
        <v/>
      </c>
      <c r="P734">
        <f>IF(G734=1,IF(H733=0,1,ABS(0.2-J733*B734/I734)+ABS(0.2-K733*C734/I734)+ABS(0.2-L733*D734/I734)+ABS(0.2-M733*E734/I734)+ABS(0.2-N733*F734/I734)),0)</f>
        <v/>
      </c>
      <c r="Q734">
        <f>P734*0.0015</f>
        <v/>
      </c>
      <c r="R734">
        <f>I734*(1-Q734)</f>
        <v/>
      </c>
      <c r="S734">
        <f>R734/R733-1</f>
        <v/>
      </c>
      <c r="T734">
        <f>MAX(T733,R734)</f>
        <v/>
      </c>
      <c r="U734">
        <f>R734/T734-1</f>
        <v/>
      </c>
      <c r="V734" t="n">
        <v>2.890957284471481</v>
      </c>
      <c r="W734" s="5">
        <f>R734-V734</f>
        <v/>
      </c>
    </row>
    <row r="735">
      <c r="A735" s="3" t="n">
        <v>39510</v>
      </c>
      <c r="B735">
        <f>Prices!B735</f>
        <v/>
      </c>
      <c r="C735">
        <f>Prices!C735</f>
        <v/>
      </c>
      <c r="D735">
        <f>Prices!D735</f>
        <v/>
      </c>
      <c r="E735">
        <f>Prices!E735</f>
        <v/>
      </c>
      <c r="F735">
        <f>Prices!F735</f>
        <v/>
      </c>
      <c r="G735">
        <f>IF(AND(733&gt;=16,TEXT(A735,"yyyy-mm")&lt;&gt;TEXT(A736,"yyyy-mm")),1,0)</f>
        <v/>
      </c>
      <c r="H735">
        <f>IF(OR(H734=1,G735=1),1,0)</f>
        <v/>
      </c>
      <c r="I735">
        <f>IF(H734=0,1,SUMPRODUCT(J734:N734,B735:F735)+O734*(1+0.00023125256064071564))</f>
        <v/>
      </c>
      <c r="J735">
        <f>IF(G735=1,0.2*R735/B735,J734)</f>
        <v/>
      </c>
      <c r="K735">
        <f>IF(G735=1,0.2*R735/C735,K734)</f>
        <v/>
      </c>
      <c r="L735">
        <f>IF(G735=1,0.2*R735/D735,L734)</f>
        <v/>
      </c>
      <c r="M735">
        <f>IF(G735=1,0.2*R735/E735,M734)</f>
        <v/>
      </c>
      <c r="N735">
        <f>IF(G735=1,0.2*R735/F735,N734)</f>
        <v/>
      </c>
      <c r="O735">
        <f>IF(G735=1,R735*(1-1.0),IF(H734=0,1,O734*(1+0.00023125256064071564)))</f>
        <v/>
      </c>
      <c r="P735">
        <f>IF(G735=1,IF(H734=0,1,ABS(0.2-J734*B735/I735)+ABS(0.2-K734*C735/I735)+ABS(0.2-L734*D735/I735)+ABS(0.2-M734*E735/I735)+ABS(0.2-N734*F735/I735)),0)</f>
        <v/>
      </c>
      <c r="Q735">
        <f>P735*0.0015</f>
        <v/>
      </c>
      <c r="R735">
        <f>I735*(1-Q735)</f>
        <v/>
      </c>
      <c r="S735">
        <f>R735/R734-1</f>
        <v/>
      </c>
      <c r="T735">
        <f>MAX(T734,R735)</f>
        <v/>
      </c>
      <c r="U735">
        <f>R735/T735-1</f>
        <v/>
      </c>
      <c r="V735" t="n">
        <v>2.760813386103986</v>
      </c>
      <c r="W735" s="5">
        <f>R735-V735</f>
        <v/>
      </c>
    </row>
    <row r="736">
      <c r="A736" s="3" t="n">
        <v>39511</v>
      </c>
      <c r="B736">
        <f>Prices!B736</f>
        <v/>
      </c>
      <c r="C736">
        <f>Prices!C736</f>
        <v/>
      </c>
      <c r="D736">
        <f>Prices!D736</f>
        <v/>
      </c>
      <c r="E736">
        <f>Prices!E736</f>
        <v/>
      </c>
      <c r="F736">
        <f>Prices!F736</f>
        <v/>
      </c>
      <c r="G736">
        <f>IF(AND(734&gt;=16,TEXT(A736,"yyyy-mm")&lt;&gt;TEXT(A737,"yyyy-mm")),1,0)</f>
        <v/>
      </c>
      <c r="H736">
        <f>IF(OR(H735=1,G736=1),1,0)</f>
        <v/>
      </c>
      <c r="I736">
        <f>IF(H735=0,1,SUMPRODUCT(J735:N735,B736:F736)+O735*(1+0.00023125256064071564))</f>
        <v/>
      </c>
      <c r="J736">
        <f>IF(G736=1,0.2*R736/B736,J735)</f>
        <v/>
      </c>
      <c r="K736">
        <f>IF(G736=1,0.2*R736/C736,K735)</f>
        <v/>
      </c>
      <c r="L736">
        <f>IF(G736=1,0.2*R736/D736,L735)</f>
        <v/>
      </c>
      <c r="M736">
        <f>IF(G736=1,0.2*R736/E736,M735)</f>
        <v/>
      </c>
      <c r="N736">
        <f>IF(G736=1,0.2*R736/F736,N735)</f>
        <v/>
      </c>
      <c r="O736">
        <f>IF(G736=1,R736*(1-1.0),IF(H735=0,1,O735*(1+0.00023125256064071564)))</f>
        <v/>
      </c>
      <c r="P736">
        <f>IF(G736=1,IF(H735=0,1,ABS(0.2-J735*B736/I736)+ABS(0.2-K735*C736/I736)+ABS(0.2-L735*D736/I736)+ABS(0.2-M735*E736/I736)+ABS(0.2-N735*F736/I736)),0)</f>
        <v/>
      </c>
      <c r="Q736">
        <f>P736*0.0015</f>
        <v/>
      </c>
      <c r="R736">
        <f>I736*(1-Q736)</f>
        <v/>
      </c>
      <c r="S736">
        <f>R736/R735-1</f>
        <v/>
      </c>
      <c r="T736">
        <f>MAX(T735,R736)</f>
        <v/>
      </c>
      <c r="U736">
        <f>R736/T736-1</f>
        <v/>
      </c>
      <c r="V736" t="n">
        <v>2.696514633407057</v>
      </c>
      <c r="W736" s="5">
        <f>R736-V736</f>
        <v/>
      </c>
    </row>
    <row r="737">
      <c r="A737" s="3" t="n">
        <v>39512</v>
      </c>
      <c r="B737">
        <f>Prices!B737</f>
        <v/>
      </c>
      <c r="C737">
        <f>Prices!C737</f>
        <v/>
      </c>
      <c r="D737">
        <f>Prices!D737</f>
        <v/>
      </c>
      <c r="E737">
        <f>Prices!E737</f>
        <v/>
      </c>
      <c r="F737">
        <f>Prices!F737</f>
        <v/>
      </c>
      <c r="G737">
        <f>IF(AND(735&gt;=16,TEXT(A737,"yyyy-mm")&lt;&gt;TEXT(A738,"yyyy-mm")),1,0)</f>
        <v/>
      </c>
      <c r="H737">
        <f>IF(OR(H736=1,G737=1),1,0)</f>
        <v/>
      </c>
      <c r="I737">
        <f>IF(H736=0,1,SUMPRODUCT(J736:N736,B737:F737)+O736*(1+0.00023125256064071564))</f>
        <v/>
      </c>
      <c r="J737">
        <f>IF(G737=1,0.2*R737/B737,J736)</f>
        <v/>
      </c>
      <c r="K737">
        <f>IF(G737=1,0.2*R737/C737,K736)</f>
        <v/>
      </c>
      <c r="L737">
        <f>IF(G737=1,0.2*R737/D737,L736)</f>
        <v/>
      </c>
      <c r="M737">
        <f>IF(G737=1,0.2*R737/E737,M736)</f>
        <v/>
      </c>
      <c r="N737">
        <f>IF(G737=1,0.2*R737/F737,N736)</f>
        <v/>
      </c>
      <c r="O737">
        <f>IF(G737=1,R737*(1-1.0),IF(H736=0,1,O736*(1+0.00023125256064071564)))</f>
        <v/>
      </c>
      <c r="P737">
        <f>IF(G737=1,IF(H736=0,1,ABS(0.2-J736*B737/I737)+ABS(0.2-K736*C737/I737)+ABS(0.2-L736*D737/I737)+ABS(0.2-M736*E737/I737)+ABS(0.2-N736*F737/I737)),0)</f>
        <v/>
      </c>
      <c r="Q737">
        <f>P737*0.0015</f>
        <v/>
      </c>
      <c r="R737">
        <f>I737*(1-Q737)</f>
        <v/>
      </c>
      <c r="S737">
        <f>R737/R736-1</f>
        <v/>
      </c>
      <c r="T737">
        <f>MAX(T736,R737)</f>
        <v/>
      </c>
      <c r="U737">
        <f>R737/T737-1</f>
        <v/>
      </c>
      <c r="V737" t="n">
        <v>2.687254360665858</v>
      </c>
      <c r="W737" s="5">
        <f>R737-V737</f>
        <v/>
      </c>
    </row>
    <row r="738">
      <c r="A738" s="3" t="n">
        <v>39514</v>
      </c>
      <c r="B738">
        <f>Prices!B738</f>
        <v/>
      </c>
      <c r="C738">
        <f>Prices!C738</f>
        <v/>
      </c>
      <c r="D738">
        <f>Prices!D738</f>
        <v/>
      </c>
      <c r="E738">
        <f>Prices!E738</f>
        <v/>
      </c>
      <c r="F738">
        <f>Prices!F738</f>
        <v/>
      </c>
      <c r="G738">
        <f>IF(AND(736&gt;=16,TEXT(A738,"yyyy-mm")&lt;&gt;TEXT(A739,"yyyy-mm")),1,0)</f>
        <v/>
      </c>
      <c r="H738">
        <f>IF(OR(H737=1,G738=1),1,0)</f>
        <v/>
      </c>
      <c r="I738">
        <f>IF(H737=0,1,SUMPRODUCT(J737:N737,B738:F738)+O737*(1+0.00023125256064071564))</f>
        <v/>
      </c>
      <c r="J738">
        <f>IF(G738=1,0.2*R738/B738,J737)</f>
        <v/>
      </c>
      <c r="K738">
        <f>IF(G738=1,0.2*R738/C738,K737)</f>
        <v/>
      </c>
      <c r="L738">
        <f>IF(G738=1,0.2*R738/D738,L737)</f>
        <v/>
      </c>
      <c r="M738">
        <f>IF(G738=1,0.2*R738/E738,M737)</f>
        <v/>
      </c>
      <c r="N738">
        <f>IF(G738=1,0.2*R738/F738,N737)</f>
        <v/>
      </c>
      <c r="O738">
        <f>IF(G738=1,R738*(1-1.0),IF(H737=0,1,O737*(1+0.00023125256064071564)))</f>
        <v/>
      </c>
      <c r="P738">
        <f>IF(G738=1,IF(H737=0,1,ABS(0.2-J737*B738/I738)+ABS(0.2-K737*C738/I738)+ABS(0.2-L737*D738/I738)+ABS(0.2-M737*E738/I738)+ABS(0.2-N737*F738/I738)),0)</f>
        <v/>
      </c>
      <c r="Q738">
        <f>P738*0.0015</f>
        <v/>
      </c>
      <c r="R738">
        <f>I738*(1-Q738)</f>
        <v/>
      </c>
      <c r="S738">
        <f>R738/R737-1</f>
        <v/>
      </c>
      <c r="T738">
        <f>MAX(T737,R738)</f>
        <v/>
      </c>
      <c r="U738">
        <f>R738/T738-1</f>
        <v/>
      </c>
      <c r="V738" t="n">
        <v>2.568203146420605</v>
      </c>
      <c r="W738" s="5">
        <f>R738-V738</f>
        <v/>
      </c>
    </row>
    <row r="739">
      <c r="A739" s="3" t="n">
        <v>39517</v>
      </c>
      <c r="B739">
        <f>Prices!B739</f>
        <v/>
      </c>
      <c r="C739">
        <f>Prices!C739</f>
        <v/>
      </c>
      <c r="D739">
        <f>Prices!D739</f>
        <v/>
      </c>
      <c r="E739">
        <f>Prices!E739</f>
        <v/>
      </c>
      <c r="F739">
        <f>Prices!F739</f>
        <v/>
      </c>
      <c r="G739">
        <f>IF(AND(737&gt;=16,TEXT(A739,"yyyy-mm")&lt;&gt;TEXT(A740,"yyyy-mm")),1,0)</f>
        <v/>
      </c>
      <c r="H739">
        <f>IF(OR(H738=1,G739=1),1,0)</f>
        <v/>
      </c>
      <c r="I739">
        <f>IF(H738=0,1,SUMPRODUCT(J738:N738,B739:F739)+O738*(1+0.00023125256064071564))</f>
        <v/>
      </c>
      <c r="J739">
        <f>IF(G739=1,0.2*R739/B739,J738)</f>
        <v/>
      </c>
      <c r="K739">
        <f>IF(G739=1,0.2*R739/C739,K738)</f>
        <v/>
      </c>
      <c r="L739">
        <f>IF(G739=1,0.2*R739/D739,L738)</f>
        <v/>
      </c>
      <c r="M739">
        <f>IF(G739=1,0.2*R739/E739,M738)</f>
        <v/>
      </c>
      <c r="N739">
        <f>IF(G739=1,0.2*R739/F739,N738)</f>
        <v/>
      </c>
      <c r="O739">
        <f>IF(G739=1,R739*(1-1.0),IF(H738=0,1,O738*(1+0.00023125256064071564)))</f>
        <v/>
      </c>
      <c r="P739">
        <f>IF(G739=1,IF(H738=0,1,ABS(0.2-J738*B739/I739)+ABS(0.2-K738*C739/I739)+ABS(0.2-L738*D739/I739)+ABS(0.2-M738*E739/I739)+ABS(0.2-N738*F739/I739)),0)</f>
        <v/>
      </c>
      <c r="Q739">
        <f>P739*0.0015</f>
        <v/>
      </c>
      <c r="R739">
        <f>I739*(1-Q739)</f>
        <v/>
      </c>
      <c r="S739">
        <f>R739/R738-1</f>
        <v/>
      </c>
      <c r="T739">
        <f>MAX(T738,R739)</f>
        <v/>
      </c>
      <c r="U739">
        <f>R739/T739-1</f>
        <v/>
      </c>
      <c r="V739" t="n">
        <v>2.565230855962872</v>
      </c>
      <c r="W739" s="5">
        <f>R739-V739</f>
        <v/>
      </c>
    </row>
    <row r="740">
      <c r="A740" s="3" t="n">
        <v>39518</v>
      </c>
      <c r="B740">
        <f>Prices!B740</f>
        <v/>
      </c>
      <c r="C740">
        <f>Prices!C740</f>
        <v/>
      </c>
      <c r="D740">
        <f>Prices!D740</f>
        <v/>
      </c>
      <c r="E740">
        <f>Prices!E740</f>
        <v/>
      </c>
      <c r="F740">
        <f>Prices!F740</f>
        <v/>
      </c>
      <c r="G740">
        <f>IF(AND(738&gt;=16,TEXT(A740,"yyyy-mm")&lt;&gt;TEXT(A741,"yyyy-mm")),1,0)</f>
        <v/>
      </c>
      <c r="H740">
        <f>IF(OR(H739=1,G740=1),1,0)</f>
        <v/>
      </c>
      <c r="I740">
        <f>IF(H739=0,1,SUMPRODUCT(J739:N739,B740:F740)+O739*(1+0.00023125256064071564))</f>
        <v/>
      </c>
      <c r="J740">
        <f>IF(G740=1,0.2*R740/B740,J739)</f>
        <v/>
      </c>
      <c r="K740">
        <f>IF(G740=1,0.2*R740/C740,K739)</f>
        <v/>
      </c>
      <c r="L740">
        <f>IF(G740=1,0.2*R740/D740,L739)</f>
        <v/>
      </c>
      <c r="M740">
        <f>IF(G740=1,0.2*R740/E740,M739)</f>
        <v/>
      </c>
      <c r="N740">
        <f>IF(G740=1,0.2*R740/F740,N739)</f>
        <v/>
      </c>
      <c r="O740">
        <f>IF(G740=1,R740*(1-1.0),IF(H739=0,1,O739*(1+0.00023125256064071564)))</f>
        <v/>
      </c>
      <c r="P740">
        <f>IF(G740=1,IF(H739=0,1,ABS(0.2-J739*B740/I740)+ABS(0.2-K739*C740/I740)+ABS(0.2-L739*D740/I740)+ABS(0.2-M739*E740/I740)+ABS(0.2-N739*F740/I740)),0)</f>
        <v/>
      </c>
      <c r="Q740">
        <f>P740*0.0015</f>
        <v/>
      </c>
      <c r="R740">
        <f>I740*(1-Q740)</f>
        <v/>
      </c>
      <c r="S740">
        <f>R740/R739-1</f>
        <v/>
      </c>
      <c r="T740">
        <f>MAX(T739,R740)</f>
        <v/>
      </c>
      <c r="U740">
        <f>R740/T740-1</f>
        <v/>
      </c>
      <c r="V740" t="n">
        <v>2.639097980165719</v>
      </c>
      <c r="W740" s="5">
        <f>R740-V740</f>
        <v/>
      </c>
    </row>
    <row r="741">
      <c r="A741" s="3" t="n">
        <v>39519</v>
      </c>
      <c r="B741">
        <f>Prices!B741</f>
        <v/>
      </c>
      <c r="C741">
        <f>Prices!C741</f>
        <v/>
      </c>
      <c r="D741">
        <f>Prices!D741</f>
        <v/>
      </c>
      <c r="E741">
        <f>Prices!E741</f>
        <v/>
      </c>
      <c r="F741">
        <f>Prices!F741</f>
        <v/>
      </c>
      <c r="G741">
        <f>IF(AND(739&gt;=16,TEXT(A741,"yyyy-mm")&lt;&gt;TEXT(A742,"yyyy-mm")),1,0)</f>
        <v/>
      </c>
      <c r="H741">
        <f>IF(OR(H740=1,G741=1),1,0)</f>
        <v/>
      </c>
      <c r="I741">
        <f>IF(H740=0,1,SUMPRODUCT(J740:N740,B741:F741)+O740*(1+0.00023125256064071564))</f>
        <v/>
      </c>
      <c r="J741">
        <f>IF(G741=1,0.2*R741/B741,J740)</f>
        <v/>
      </c>
      <c r="K741">
        <f>IF(G741=1,0.2*R741/C741,K740)</f>
        <v/>
      </c>
      <c r="L741">
        <f>IF(G741=1,0.2*R741/D741,L740)</f>
        <v/>
      </c>
      <c r="M741">
        <f>IF(G741=1,0.2*R741/E741,M740)</f>
        <v/>
      </c>
      <c r="N741">
        <f>IF(G741=1,0.2*R741/F741,N740)</f>
        <v/>
      </c>
      <c r="O741">
        <f>IF(G741=1,R741*(1-1.0),IF(H740=0,1,O740*(1+0.00023125256064071564)))</f>
        <v/>
      </c>
      <c r="P741">
        <f>IF(G741=1,IF(H740=0,1,ABS(0.2-J740*B741/I741)+ABS(0.2-K740*C741/I741)+ABS(0.2-L740*D741/I741)+ABS(0.2-M740*E741/I741)+ABS(0.2-N740*F741/I741)),0)</f>
        <v/>
      </c>
      <c r="Q741">
        <f>P741*0.0015</f>
        <v/>
      </c>
      <c r="R741">
        <f>I741*(1-Q741)</f>
        <v/>
      </c>
      <c r="S741">
        <f>R741/R740-1</f>
        <v/>
      </c>
      <c r="T741">
        <f>MAX(T740,R741)</f>
        <v/>
      </c>
      <c r="U741">
        <f>R741/T741-1</f>
        <v/>
      </c>
      <c r="V741" t="n">
        <v>2.623377551109757</v>
      </c>
      <c r="W741" s="5">
        <f>R741-V741</f>
        <v/>
      </c>
    </row>
    <row r="742">
      <c r="A742" s="3" t="n">
        <v>39520</v>
      </c>
      <c r="B742">
        <f>Prices!B742</f>
        <v/>
      </c>
      <c r="C742">
        <f>Prices!C742</f>
        <v/>
      </c>
      <c r="D742">
        <f>Prices!D742</f>
        <v/>
      </c>
      <c r="E742">
        <f>Prices!E742</f>
        <v/>
      </c>
      <c r="F742">
        <f>Prices!F742</f>
        <v/>
      </c>
      <c r="G742">
        <f>IF(AND(740&gt;=16,TEXT(A742,"yyyy-mm")&lt;&gt;TEXT(A743,"yyyy-mm")),1,0)</f>
        <v/>
      </c>
      <c r="H742">
        <f>IF(OR(H741=1,G742=1),1,0)</f>
        <v/>
      </c>
      <c r="I742">
        <f>IF(H741=0,1,SUMPRODUCT(J741:N741,B742:F742)+O741*(1+0.00023125256064071564))</f>
        <v/>
      </c>
      <c r="J742">
        <f>IF(G742=1,0.2*R742/B742,J741)</f>
        <v/>
      </c>
      <c r="K742">
        <f>IF(G742=1,0.2*R742/C742,K741)</f>
        <v/>
      </c>
      <c r="L742">
        <f>IF(G742=1,0.2*R742/D742,L741)</f>
        <v/>
      </c>
      <c r="M742">
        <f>IF(G742=1,0.2*R742/E742,M741)</f>
        <v/>
      </c>
      <c r="N742">
        <f>IF(G742=1,0.2*R742/F742,N741)</f>
        <v/>
      </c>
      <c r="O742">
        <f>IF(G742=1,R742*(1-1.0),IF(H741=0,1,O741*(1+0.00023125256064071564)))</f>
        <v/>
      </c>
      <c r="P742">
        <f>IF(G742=1,IF(H741=0,1,ABS(0.2-J741*B742/I742)+ABS(0.2-K741*C742/I742)+ABS(0.2-L741*D742/I742)+ABS(0.2-M741*E742/I742)+ABS(0.2-N741*F742/I742)),0)</f>
        <v/>
      </c>
      <c r="Q742">
        <f>P742*0.0015</f>
        <v/>
      </c>
      <c r="R742">
        <f>I742*(1-Q742)</f>
        <v/>
      </c>
      <c r="S742">
        <f>R742/R741-1</f>
        <v/>
      </c>
      <c r="T742">
        <f>MAX(T741,R742)</f>
        <v/>
      </c>
      <c r="U742">
        <f>R742/T742-1</f>
        <v/>
      </c>
      <c r="V742" t="n">
        <v>2.471796940053869</v>
      </c>
      <c r="W742" s="5">
        <f>R742-V742</f>
        <v/>
      </c>
    </row>
    <row r="743">
      <c r="A743" s="3" t="n">
        <v>39521</v>
      </c>
      <c r="B743">
        <f>Prices!B743</f>
        <v/>
      </c>
      <c r="C743">
        <f>Prices!C743</f>
        <v/>
      </c>
      <c r="D743">
        <f>Prices!D743</f>
        <v/>
      </c>
      <c r="E743">
        <f>Prices!E743</f>
        <v/>
      </c>
      <c r="F743">
        <f>Prices!F743</f>
        <v/>
      </c>
      <c r="G743">
        <f>IF(AND(741&gt;=16,TEXT(A743,"yyyy-mm")&lt;&gt;TEXT(A744,"yyyy-mm")),1,0)</f>
        <v/>
      </c>
      <c r="H743">
        <f>IF(OR(H742=1,G743=1),1,0)</f>
        <v/>
      </c>
      <c r="I743">
        <f>IF(H742=0,1,SUMPRODUCT(J742:N742,B743:F743)+O742*(1+0.00023125256064071564))</f>
        <v/>
      </c>
      <c r="J743">
        <f>IF(G743=1,0.2*R743/B743,J742)</f>
        <v/>
      </c>
      <c r="K743">
        <f>IF(G743=1,0.2*R743/C743,K742)</f>
        <v/>
      </c>
      <c r="L743">
        <f>IF(G743=1,0.2*R743/D743,L742)</f>
        <v/>
      </c>
      <c r="M743">
        <f>IF(G743=1,0.2*R743/E743,M742)</f>
        <v/>
      </c>
      <c r="N743">
        <f>IF(G743=1,0.2*R743/F743,N742)</f>
        <v/>
      </c>
      <c r="O743">
        <f>IF(G743=1,R743*(1-1.0),IF(H742=0,1,O742*(1+0.00023125256064071564)))</f>
        <v/>
      </c>
      <c r="P743">
        <f>IF(G743=1,IF(H742=0,1,ABS(0.2-J742*B743/I743)+ABS(0.2-K742*C743/I743)+ABS(0.2-L742*D743/I743)+ABS(0.2-M742*E743/I743)+ABS(0.2-N742*F743/I743)),0)</f>
        <v/>
      </c>
      <c r="Q743">
        <f>P743*0.0015</f>
        <v/>
      </c>
      <c r="R743">
        <f>I743*(1-Q743)</f>
        <v/>
      </c>
      <c r="S743">
        <f>R743/R742-1</f>
        <v/>
      </c>
      <c r="T743">
        <f>MAX(T742,R743)</f>
        <v/>
      </c>
      <c r="U743">
        <f>R743/T743-1</f>
        <v/>
      </c>
      <c r="V743" t="n">
        <v>2.514024363487785</v>
      </c>
      <c r="W743" s="5">
        <f>R743-V743</f>
        <v/>
      </c>
    </row>
    <row r="744">
      <c r="A744" s="3" t="n">
        <v>39524</v>
      </c>
      <c r="B744">
        <f>Prices!B744</f>
        <v/>
      </c>
      <c r="C744">
        <f>Prices!C744</f>
        <v/>
      </c>
      <c r="D744">
        <f>Prices!D744</f>
        <v/>
      </c>
      <c r="E744">
        <f>Prices!E744</f>
        <v/>
      </c>
      <c r="F744">
        <f>Prices!F744</f>
        <v/>
      </c>
      <c r="G744">
        <f>IF(AND(742&gt;=16,TEXT(A744,"yyyy-mm")&lt;&gt;TEXT(A745,"yyyy-mm")),1,0)</f>
        <v/>
      </c>
      <c r="H744">
        <f>IF(OR(H743=1,G744=1),1,0)</f>
        <v/>
      </c>
      <c r="I744">
        <f>IF(H743=0,1,SUMPRODUCT(J743:N743,B744:F744)+O743*(1+0.00023125256064071564))</f>
        <v/>
      </c>
      <c r="J744">
        <f>IF(G744=1,0.2*R744/B744,J743)</f>
        <v/>
      </c>
      <c r="K744">
        <f>IF(G744=1,0.2*R744/C744,K743)</f>
        <v/>
      </c>
      <c r="L744">
        <f>IF(G744=1,0.2*R744/D744,L743)</f>
        <v/>
      </c>
      <c r="M744">
        <f>IF(G744=1,0.2*R744/E744,M743)</f>
        <v/>
      </c>
      <c r="N744">
        <f>IF(G744=1,0.2*R744/F744,N743)</f>
        <v/>
      </c>
      <c r="O744">
        <f>IF(G744=1,R744*(1-1.0),IF(H743=0,1,O743*(1+0.00023125256064071564)))</f>
        <v/>
      </c>
      <c r="P744">
        <f>IF(G744=1,IF(H743=0,1,ABS(0.2-J743*B744/I744)+ABS(0.2-K743*C744/I744)+ABS(0.2-L743*D744/I744)+ABS(0.2-M743*E744/I744)+ABS(0.2-N743*F744/I744)),0)</f>
        <v/>
      </c>
      <c r="Q744">
        <f>P744*0.0015</f>
        <v/>
      </c>
      <c r="R744">
        <f>I744*(1-Q744)</f>
        <v/>
      </c>
      <c r="S744">
        <f>R744/R743-1</f>
        <v/>
      </c>
      <c r="T744">
        <f>MAX(T743,R744)</f>
        <v/>
      </c>
      <c r="U744">
        <f>R744/T744-1</f>
        <v/>
      </c>
      <c r="V744" t="n">
        <v>2.357947047765742</v>
      </c>
      <c r="W744" s="5">
        <f>R744-V744</f>
        <v/>
      </c>
    </row>
    <row r="745">
      <c r="A745" s="3" t="n">
        <v>39525</v>
      </c>
      <c r="B745">
        <f>Prices!B745</f>
        <v/>
      </c>
      <c r="C745">
        <f>Prices!C745</f>
        <v/>
      </c>
      <c r="D745">
        <f>Prices!D745</f>
        <v/>
      </c>
      <c r="E745">
        <f>Prices!E745</f>
        <v/>
      </c>
      <c r="F745">
        <f>Prices!F745</f>
        <v/>
      </c>
      <c r="G745">
        <f>IF(AND(743&gt;=16,TEXT(A745,"yyyy-mm")&lt;&gt;TEXT(A746,"yyyy-mm")),1,0)</f>
        <v/>
      </c>
      <c r="H745">
        <f>IF(OR(H744=1,G745=1),1,0)</f>
        <v/>
      </c>
      <c r="I745">
        <f>IF(H744=0,1,SUMPRODUCT(J744:N744,B745:F745)+O744*(1+0.00023125256064071564))</f>
        <v/>
      </c>
      <c r="J745">
        <f>IF(G745=1,0.2*R745/B745,J744)</f>
        <v/>
      </c>
      <c r="K745">
        <f>IF(G745=1,0.2*R745/C745,K744)</f>
        <v/>
      </c>
      <c r="L745">
        <f>IF(G745=1,0.2*R745/D745,L744)</f>
        <v/>
      </c>
      <c r="M745">
        <f>IF(G745=1,0.2*R745/E745,M744)</f>
        <v/>
      </c>
      <c r="N745">
        <f>IF(G745=1,0.2*R745/F745,N744)</f>
        <v/>
      </c>
      <c r="O745">
        <f>IF(G745=1,R745*(1-1.0),IF(H744=0,1,O744*(1+0.00023125256064071564)))</f>
        <v/>
      </c>
      <c r="P745">
        <f>IF(G745=1,IF(H744=0,1,ABS(0.2-J744*B745/I745)+ABS(0.2-K744*C745/I745)+ABS(0.2-L744*D745/I745)+ABS(0.2-M744*E745/I745)+ABS(0.2-N744*F745/I745)),0)</f>
        <v/>
      </c>
      <c r="Q745">
        <f>P745*0.0015</f>
        <v/>
      </c>
      <c r="R745">
        <f>I745*(1-Q745)</f>
        <v/>
      </c>
      <c r="S745">
        <f>R745/R744-1</f>
        <v/>
      </c>
      <c r="T745">
        <f>MAX(T744,R745)</f>
        <v/>
      </c>
      <c r="U745">
        <f>R745/T745-1</f>
        <v/>
      </c>
      <c r="V745" t="n">
        <v>2.348550065106051</v>
      </c>
      <c r="W745" s="5">
        <f>R745-V745</f>
        <v/>
      </c>
    </row>
    <row r="746">
      <c r="A746" s="3" t="n">
        <v>39526</v>
      </c>
      <c r="B746">
        <f>Prices!B746</f>
        <v/>
      </c>
      <c r="C746">
        <f>Prices!C746</f>
        <v/>
      </c>
      <c r="D746">
        <f>Prices!D746</f>
        <v/>
      </c>
      <c r="E746">
        <f>Prices!E746</f>
        <v/>
      </c>
      <c r="F746">
        <f>Prices!F746</f>
        <v/>
      </c>
      <c r="G746">
        <f>IF(AND(744&gt;=16,TEXT(A746,"yyyy-mm")&lt;&gt;TEXT(A747,"yyyy-mm")),1,0)</f>
        <v/>
      </c>
      <c r="H746">
        <f>IF(OR(H745=1,G746=1),1,0)</f>
        <v/>
      </c>
      <c r="I746">
        <f>IF(H745=0,1,SUMPRODUCT(J745:N745,B746:F746)+O745*(1+0.00023125256064071564))</f>
        <v/>
      </c>
      <c r="J746">
        <f>IF(G746=1,0.2*R746/B746,J745)</f>
        <v/>
      </c>
      <c r="K746">
        <f>IF(G746=1,0.2*R746/C746,K745)</f>
        <v/>
      </c>
      <c r="L746">
        <f>IF(G746=1,0.2*R746/D746,L745)</f>
        <v/>
      </c>
      <c r="M746">
        <f>IF(G746=1,0.2*R746/E746,M745)</f>
        <v/>
      </c>
      <c r="N746">
        <f>IF(G746=1,0.2*R746/F746,N745)</f>
        <v/>
      </c>
      <c r="O746">
        <f>IF(G746=1,R746*(1-1.0),IF(H745=0,1,O745*(1+0.00023125256064071564)))</f>
        <v/>
      </c>
      <c r="P746">
        <f>IF(G746=1,IF(H745=0,1,ABS(0.2-J745*B746/I746)+ABS(0.2-K745*C746/I746)+ABS(0.2-L745*D746/I746)+ABS(0.2-M745*E746/I746)+ABS(0.2-N745*F746/I746)),0)</f>
        <v/>
      </c>
      <c r="Q746">
        <f>P746*0.0015</f>
        <v/>
      </c>
      <c r="R746">
        <f>I746*(1-Q746)</f>
        <v/>
      </c>
      <c r="S746">
        <f>R746/R745-1</f>
        <v/>
      </c>
      <c r="T746">
        <f>MAX(T745,R746)</f>
        <v/>
      </c>
      <c r="U746">
        <f>R746/T746-1</f>
        <v/>
      </c>
      <c r="V746" t="n">
        <v>2.338872096670132</v>
      </c>
      <c r="W746" s="5">
        <f>R746-V746</f>
        <v/>
      </c>
    </row>
    <row r="747">
      <c r="A747" s="3" t="n">
        <v>39531</v>
      </c>
      <c r="B747">
        <f>Prices!B747</f>
        <v/>
      </c>
      <c r="C747">
        <f>Prices!C747</f>
        <v/>
      </c>
      <c r="D747">
        <f>Prices!D747</f>
        <v/>
      </c>
      <c r="E747">
        <f>Prices!E747</f>
        <v/>
      </c>
      <c r="F747">
        <f>Prices!F747</f>
        <v/>
      </c>
      <c r="G747">
        <f>IF(AND(745&gt;=16,TEXT(A747,"yyyy-mm")&lt;&gt;TEXT(A748,"yyyy-mm")),1,0)</f>
        <v/>
      </c>
      <c r="H747">
        <f>IF(OR(H746=1,G747=1),1,0)</f>
        <v/>
      </c>
      <c r="I747">
        <f>IF(H746=0,1,SUMPRODUCT(J746:N746,B747:F747)+O746*(1+0.00023125256064071564))</f>
        <v/>
      </c>
      <c r="J747">
        <f>IF(G747=1,0.2*R747/B747,J746)</f>
        <v/>
      </c>
      <c r="K747">
        <f>IF(G747=1,0.2*R747/C747,K746)</f>
        <v/>
      </c>
      <c r="L747">
        <f>IF(G747=1,0.2*R747/D747,L746)</f>
        <v/>
      </c>
      <c r="M747">
        <f>IF(G747=1,0.2*R747/E747,M746)</f>
        <v/>
      </c>
      <c r="N747">
        <f>IF(G747=1,0.2*R747/F747,N746)</f>
        <v/>
      </c>
      <c r="O747">
        <f>IF(G747=1,R747*(1-1.0),IF(H746=0,1,O746*(1+0.00023125256064071564)))</f>
        <v/>
      </c>
      <c r="P747">
        <f>IF(G747=1,IF(H746=0,1,ABS(0.2-J746*B747/I747)+ABS(0.2-K746*C747/I747)+ABS(0.2-L746*D747/I747)+ABS(0.2-M746*E747/I747)+ABS(0.2-N746*F747/I747)),0)</f>
        <v/>
      </c>
      <c r="Q747">
        <f>P747*0.0015</f>
        <v/>
      </c>
      <c r="R747">
        <f>I747*(1-Q747)</f>
        <v/>
      </c>
      <c r="S747">
        <f>R747/R746-1</f>
        <v/>
      </c>
      <c r="T747">
        <f>MAX(T746,R747)</f>
        <v/>
      </c>
      <c r="U747">
        <f>R747/T747-1</f>
        <v/>
      </c>
      <c r="V747" t="n">
        <v>2.299807869241597</v>
      </c>
      <c r="W747" s="5">
        <f>R747-V747</f>
        <v/>
      </c>
    </row>
    <row r="748">
      <c r="A748" s="3" t="n">
        <v>39532</v>
      </c>
      <c r="B748">
        <f>Prices!B748</f>
        <v/>
      </c>
      <c r="C748">
        <f>Prices!C748</f>
        <v/>
      </c>
      <c r="D748">
        <f>Prices!D748</f>
        <v/>
      </c>
      <c r="E748">
        <f>Prices!E748</f>
        <v/>
      </c>
      <c r="F748">
        <f>Prices!F748</f>
        <v/>
      </c>
      <c r="G748">
        <f>IF(AND(746&gt;=16,TEXT(A748,"yyyy-mm")&lt;&gt;TEXT(A749,"yyyy-mm")),1,0)</f>
        <v/>
      </c>
      <c r="H748">
        <f>IF(OR(H747=1,G748=1),1,0)</f>
        <v/>
      </c>
      <c r="I748">
        <f>IF(H747=0,1,SUMPRODUCT(J747:N747,B748:F748)+O747*(1+0.00023125256064071564))</f>
        <v/>
      </c>
      <c r="J748">
        <f>IF(G748=1,0.2*R748/B748,J747)</f>
        <v/>
      </c>
      <c r="K748">
        <f>IF(G748=1,0.2*R748/C748,K747)</f>
        <v/>
      </c>
      <c r="L748">
        <f>IF(G748=1,0.2*R748/D748,L747)</f>
        <v/>
      </c>
      <c r="M748">
        <f>IF(G748=1,0.2*R748/E748,M747)</f>
        <v/>
      </c>
      <c r="N748">
        <f>IF(G748=1,0.2*R748/F748,N747)</f>
        <v/>
      </c>
      <c r="O748">
        <f>IF(G748=1,R748*(1-1.0),IF(H747=0,1,O747*(1+0.00023125256064071564)))</f>
        <v/>
      </c>
      <c r="P748">
        <f>IF(G748=1,IF(H747=0,1,ABS(0.2-J747*B748/I748)+ABS(0.2-K747*C748/I748)+ABS(0.2-L747*D748/I748)+ABS(0.2-M747*E748/I748)+ABS(0.2-N747*F748/I748)),0)</f>
        <v/>
      </c>
      <c r="Q748">
        <f>P748*0.0015</f>
        <v/>
      </c>
      <c r="R748">
        <f>I748*(1-Q748)</f>
        <v/>
      </c>
      <c r="S748">
        <f>R748/R747-1</f>
        <v/>
      </c>
      <c r="T748">
        <f>MAX(T747,R748)</f>
        <v/>
      </c>
      <c r="U748">
        <f>R748/T748-1</f>
        <v/>
      </c>
      <c r="V748" t="n">
        <v>2.448964360377297</v>
      </c>
      <c r="W748" s="5">
        <f>R748-V748</f>
        <v/>
      </c>
    </row>
    <row r="749">
      <c r="A749" s="3" t="n">
        <v>39533</v>
      </c>
      <c r="B749">
        <f>Prices!B749</f>
        <v/>
      </c>
      <c r="C749">
        <f>Prices!C749</f>
        <v/>
      </c>
      <c r="D749">
        <f>Prices!D749</f>
        <v/>
      </c>
      <c r="E749">
        <f>Prices!E749</f>
        <v/>
      </c>
      <c r="F749">
        <f>Prices!F749</f>
        <v/>
      </c>
      <c r="G749">
        <f>IF(AND(747&gt;=16,TEXT(A749,"yyyy-mm")&lt;&gt;TEXT(A750,"yyyy-mm")),1,0)</f>
        <v/>
      </c>
      <c r="H749">
        <f>IF(OR(H748=1,G749=1),1,0)</f>
        <v/>
      </c>
      <c r="I749">
        <f>IF(H748=0,1,SUMPRODUCT(J748:N748,B749:F749)+O748*(1+0.00023125256064071564))</f>
        <v/>
      </c>
      <c r="J749">
        <f>IF(G749=1,0.2*R749/B749,J748)</f>
        <v/>
      </c>
      <c r="K749">
        <f>IF(G749=1,0.2*R749/C749,K748)</f>
        <v/>
      </c>
      <c r="L749">
        <f>IF(G749=1,0.2*R749/D749,L748)</f>
        <v/>
      </c>
      <c r="M749">
        <f>IF(G749=1,0.2*R749/E749,M748)</f>
        <v/>
      </c>
      <c r="N749">
        <f>IF(G749=1,0.2*R749/F749,N748)</f>
        <v/>
      </c>
      <c r="O749">
        <f>IF(G749=1,R749*(1-1.0),IF(H748=0,1,O748*(1+0.00023125256064071564)))</f>
        <v/>
      </c>
      <c r="P749">
        <f>IF(G749=1,IF(H748=0,1,ABS(0.2-J748*B749/I749)+ABS(0.2-K748*C749/I749)+ABS(0.2-L748*D749/I749)+ABS(0.2-M748*E749/I749)+ABS(0.2-N748*F749/I749)),0)</f>
        <v/>
      </c>
      <c r="Q749">
        <f>P749*0.0015</f>
        <v/>
      </c>
      <c r="R749">
        <f>I749*(1-Q749)</f>
        <v/>
      </c>
      <c r="S749">
        <f>R749/R748-1</f>
        <v/>
      </c>
      <c r="T749">
        <f>MAX(T748,R749)</f>
        <v/>
      </c>
      <c r="U749">
        <f>R749/T749-1</f>
        <v/>
      </c>
      <c r="V749" t="n">
        <v>2.45689836584266</v>
      </c>
      <c r="W749" s="5">
        <f>R749-V749</f>
        <v/>
      </c>
    </row>
    <row r="750">
      <c r="A750" s="3" t="n">
        <v>39534</v>
      </c>
      <c r="B750">
        <f>Prices!B750</f>
        <v/>
      </c>
      <c r="C750">
        <f>Prices!C750</f>
        <v/>
      </c>
      <c r="D750">
        <f>Prices!D750</f>
        <v/>
      </c>
      <c r="E750">
        <f>Prices!E750</f>
        <v/>
      </c>
      <c r="F750">
        <f>Prices!F750</f>
        <v/>
      </c>
      <c r="G750">
        <f>IF(AND(748&gt;=16,TEXT(A750,"yyyy-mm")&lt;&gt;TEXT(A751,"yyyy-mm")),1,0)</f>
        <v/>
      </c>
      <c r="H750">
        <f>IF(OR(H749=1,G750=1),1,0)</f>
        <v/>
      </c>
      <c r="I750">
        <f>IF(H749=0,1,SUMPRODUCT(J749:N749,B750:F750)+O749*(1+0.00023125256064071564))</f>
        <v/>
      </c>
      <c r="J750">
        <f>IF(G750=1,0.2*R750/B750,J749)</f>
        <v/>
      </c>
      <c r="K750">
        <f>IF(G750=1,0.2*R750/C750,K749)</f>
        <v/>
      </c>
      <c r="L750">
        <f>IF(G750=1,0.2*R750/D750,L749)</f>
        <v/>
      </c>
      <c r="M750">
        <f>IF(G750=1,0.2*R750/E750,M749)</f>
        <v/>
      </c>
      <c r="N750">
        <f>IF(G750=1,0.2*R750/F750,N749)</f>
        <v/>
      </c>
      <c r="O750">
        <f>IF(G750=1,R750*(1-1.0),IF(H749=0,1,O749*(1+0.00023125256064071564)))</f>
        <v/>
      </c>
      <c r="P750">
        <f>IF(G750=1,IF(H749=0,1,ABS(0.2-J749*B750/I750)+ABS(0.2-K749*C750/I750)+ABS(0.2-L749*D750/I750)+ABS(0.2-M749*E750/I750)+ABS(0.2-N749*F750/I750)),0)</f>
        <v/>
      </c>
      <c r="Q750">
        <f>P750*0.0015</f>
        <v/>
      </c>
      <c r="R750">
        <f>I750*(1-Q750)</f>
        <v/>
      </c>
      <c r="S750">
        <f>R750/R749-1</f>
        <v/>
      </c>
      <c r="T750">
        <f>MAX(T749,R750)</f>
        <v/>
      </c>
      <c r="U750">
        <f>R750/T750-1</f>
        <v/>
      </c>
      <c r="V750" t="n">
        <v>2.453304525045439</v>
      </c>
      <c r="W750" s="5">
        <f>R750-V750</f>
        <v/>
      </c>
    </row>
    <row r="751">
      <c r="A751" s="3" t="n">
        <v>39535</v>
      </c>
      <c r="B751">
        <f>Prices!B751</f>
        <v/>
      </c>
      <c r="C751">
        <f>Prices!C751</f>
        <v/>
      </c>
      <c r="D751">
        <f>Prices!D751</f>
        <v/>
      </c>
      <c r="E751">
        <f>Prices!E751</f>
        <v/>
      </c>
      <c r="F751">
        <f>Prices!F751</f>
        <v/>
      </c>
      <c r="G751">
        <f>IF(AND(749&gt;=16,TEXT(A751,"yyyy-mm")&lt;&gt;TEXT(A752,"yyyy-mm")),1,0)</f>
        <v/>
      </c>
      <c r="H751">
        <f>IF(OR(H750=1,G751=1),1,0)</f>
        <v/>
      </c>
      <c r="I751">
        <f>IF(H750=0,1,SUMPRODUCT(J750:N750,B751:F751)+O750*(1+0.00023125256064071564))</f>
        <v/>
      </c>
      <c r="J751">
        <f>IF(G751=1,0.2*R751/B751,J750)</f>
        <v/>
      </c>
      <c r="K751">
        <f>IF(G751=1,0.2*R751/C751,K750)</f>
        <v/>
      </c>
      <c r="L751">
        <f>IF(G751=1,0.2*R751/D751,L750)</f>
        <v/>
      </c>
      <c r="M751">
        <f>IF(G751=1,0.2*R751/E751,M750)</f>
        <v/>
      </c>
      <c r="N751">
        <f>IF(G751=1,0.2*R751/F751,N750)</f>
        <v/>
      </c>
      <c r="O751">
        <f>IF(G751=1,R751*(1-1.0),IF(H750=0,1,O750*(1+0.00023125256064071564)))</f>
        <v/>
      </c>
      <c r="P751">
        <f>IF(G751=1,IF(H750=0,1,ABS(0.2-J750*B751/I751)+ABS(0.2-K750*C751/I751)+ABS(0.2-L750*D751/I751)+ABS(0.2-M750*E751/I751)+ABS(0.2-N750*F751/I751)),0)</f>
        <v/>
      </c>
      <c r="Q751">
        <f>P751*0.0015</f>
        <v/>
      </c>
      <c r="R751">
        <f>I751*(1-Q751)</f>
        <v/>
      </c>
      <c r="S751">
        <f>R751/R750-1</f>
        <v/>
      </c>
      <c r="T751">
        <f>MAX(T750,R751)</f>
        <v/>
      </c>
      <c r="U751">
        <f>R751/T751-1</f>
        <v/>
      </c>
      <c r="V751" t="n">
        <v>2.542723328495845</v>
      </c>
      <c r="W751" s="5">
        <f>R751-V751</f>
        <v/>
      </c>
    </row>
    <row r="752">
      <c r="A752" s="3" t="n">
        <v>39538</v>
      </c>
      <c r="B752">
        <f>Prices!B752</f>
        <v/>
      </c>
      <c r="C752">
        <f>Prices!C752</f>
        <v/>
      </c>
      <c r="D752">
        <f>Prices!D752</f>
        <v/>
      </c>
      <c r="E752">
        <f>Prices!E752</f>
        <v/>
      </c>
      <c r="F752">
        <f>Prices!F752</f>
        <v/>
      </c>
      <c r="G752">
        <f>IF(AND(750&gt;=16,TEXT(A752,"yyyy-mm")&lt;&gt;TEXT(A753,"yyyy-mm")),1,0)</f>
        <v/>
      </c>
      <c r="H752">
        <f>IF(OR(H751=1,G752=1),1,0)</f>
        <v/>
      </c>
      <c r="I752">
        <f>IF(H751=0,1,SUMPRODUCT(J751:N751,B752:F752)+O751*(1+0.00023125256064071564))</f>
        <v/>
      </c>
      <c r="J752">
        <f>IF(G752=1,0.2*R752/B752,J751)</f>
        <v/>
      </c>
      <c r="K752">
        <f>IF(G752=1,0.2*R752/C752,K751)</f>
        <v/>
      </c>
      <c r="L752">
        <f>IF(G752=1,0.2*R752/D752,L751)</f>
        <v/>
      </c>
      <c r="M752">
        <f>IF(G752=1,0.2*R752/E752,M751)</f>
        <v/>
      </c>
      <c r="N752">
        <f>IF(G752=1,0.2*R752/F752,N751)</f>
        <v/>
      </c>
      <c r="O752">
        <f>IF(G752=1,R752*(1-1.0),IF(H751=0,1,O751*(1+0.00023125256064071564)))</f>
        <v/>
      </c>
      <c r="P752">
        <f>IF(G752=1,IF(H751=0,1,ABS(0.2-J751*B752/I752)+ABS(0.2-K751*C752/I752)+ABS(0.2-L751*D752/I752)+ABS(0.2-M751*E752/I752)+ABS(0.2-N751*F752/I752)),0)</f>
        <v/>
      </c>
      <c r="Q752">
        <f>P752*0.0015</f>
        <v/>
      </c>
      <c r="R752">
        <f>I752*(1-Q752)</f>
        <v/>
      </c>
      <c r="S752">
        <f>R752/R751-1</f>
        <v/>
      </c>
      <c r="T752">
        <f>MAX(T751,R752)</f>
        <v/>
      </c>
      <c r="U752">
        <f>R752/T752-1</f>
        <v/>
      </c>
      <c r="V752" t="n">
        <v>2.471093585842269</v>
      </c>
      <c r="W752" s="5">
        <f>R752-V752</f>
        <v/>
      </c>
    </row>
    <row r="753">
      <c r="A753" s="3" t="n">
        <v>39539</v>
      </c>
      <c r="B753">
        <f>Prices!B753</f>
        <v/>
      </c>
      <c r="C753">
        <f>Prices!C753</f>
        <v/>
      </c>
      <c r="D753">
        <f>Prices!D753</f>
        <v/>
      </c>
      <c r="E753">
        <f>Prices!E753</f>
        <v/>
      </c>
      <c r="F753">
        <f>Prices!F753</f>
        <v/>
      </c>
      <c r="G753">
        <f>IF(AND(751&gt;=16,TEXT(A753,"yyyy-mm")&lt;&gt;TEXT(A754,"yyyy-mm")),1,0)</f>
        <v/>
      </c>
      <c r="H753">
        <f>IF(OR(H752=1,G753=1),1,0)</f>
        <v/>
      </c>
      <c r="I753">
        <f>IF(H752=0,1,SUMPRODUCT(J752:N752,B753:F753)+O752*(1+0.00023125256064071564))</f>
        <v/>
      </c>
      <c r="J753">
        <f>IF(G753=1,0.2*R753/B753,J752)</f>
        <v/>
      </c>
      <c r="K753">
        <f>IF(G753=1,0.2*R753/C753,K752)</f>
        <v/>
      </c>
      <c r="L753">
        <f>IF(G753=1,0.2*R753/D753,L752)</f>
        <v/>
      </c>
      <c r="M753">
        <f>IF(G753=1,0.2*R753/E753,M752)</f>
        <v/>
      </c>
      <c r="N753">
        <f>IF(G753=1,0.2*R753/F753,N752)</f>
        <v/>
      </c>
      <c r="O753">
        <f>IF(G753=1,R753*(1-1.0),IF(H752=0,1,O752*(1+0.00023125256064071564)))</f>
        <v/>
      </c>
      <c r="P753">
        <f>IF(G753=1,IF(H752=0,1,ABS(0.2-J752*B753/I753)+ABS(0.2-K752*C753/I753)+ABS(0.2-L752*D753/I753)+ABS(0.2-M752*E753/I753)+ABS(0.2-N752*F753/I753)),0)</f>
        <v/>
      </c>
      <c r="Q753">
        <f>P753*0.0015</f>
        <v/>
      </c>
      <c r="R753">
        <f>I753*(1-Q753)</f>
        <v/>
      </c>
      <c r="S753">
        <f>R753/R752-1</f>
        <v/>
      </c>
      <c r="T753">
        <f>MAX(T752,R753)</f>
        <v/>
      </c>
      <c r="U753">
        <f>R753/T753-1</f>
        <v/>
      </c>
      <c r="V753" t="n">
        <v>2.462044493825455</v>
      </c>
      <c r="W753" s="5">
        <f>R753-V753</f>
        <v/>
      </c>
    </row>
    <row r="754">
      <c r="A754" s="3" t="n">
        <v>39540</v>
      </c>
      <c r="B754">
        <f>Prices!B754</f>
        <v/>
      </c>
      <c r="C754">
        <f>Prices!C754</f>
        <v/>
      </c>
      <c r="D754">
        <f>Prices!D754</f>
        <v/>
      </c>
      <c r="E754">
        <f>Prices!E754</f>
        <v/>
      </c>
      <c r="F754">
        <f>Prices!F754</f>
        <v/>
      </c>
      <c r="G754">
        <f>IF(AND(752&gt;=16,TEXT(A754,"yyyy-mm")&lt;&gt;TEXT(A755,"yyyy-mm")),1,0)</f>
        <v/>
      </c>
      <c r="H754">
        <f>IF(OR(H753=1,G754=1),1,0)</f>
        <v/>
      </c>
      <c r="I754">
        <f>IF(H753=0,1,SUMPRODUCT(J753:N753,B754:F754)+O753*(1+0.00023125256064071564))</f>
        <v/>
      </c>
      <c r="J754">
        <f>IF(G754=1,0.2*R754/B754,J753)</f>
        <v/>
      </c>
      <c r="K754">
        <f>IF(G754=1,0.2*R754/C754,K753)</f>
        <v/>
      </c>
      <c r="L754">
        <f>IF(G754=1,0.2*R754/D754,L753)</f>
        <v/>
      </c>
      <c r="M754">
        <f>IF(G754=1,0.2*R754/E754,M753)</f>
        <v/>
      </c>
      <c r="N754">
        <f>IF(G754=1,0.2*R754/F754,N753)</f>
        <v/>
      </c>
      <c r="O754">
        <f>IF(G754=1,R754*(1-1.0),IF(H753=0,1,O753*(1+0.00023125256064071564)))</f>
        <v/>
      </c>
      <c r="P754">
        <f>IF(G754=1,IF(H753=0,1,ABS(0.2-J753*B754/I754)+ABS(0.2-K753*C754/I754)+ABS(0.2-L753*D754/I754)+ABS(0.2-M753*E754/I754)+ABS(0.2-N753*F754/I754)),0)</f>
        <v/>
      </c>
      <c r="Q754">
        <f>P754*0.0015</f>
        <v/>
      </c>
      <c r="R754">
        <f>I754*(1-Q754)</f>
        <v/>
      </c>
      <c r="S754">
        <f>R754/R753-1</f>
        <v/>
      </c>
      <c r="T754">
        <f>MAX(T753,R754)</f>
        <v/>
      </c>
      <c r="U754">
        <f>R754/T754-1</f>
        <v/>
      </c>
      <c r="V754" t="n">
        <v>2.469557524223384</v>
      </c>
      <c r="W754" s="5">
        <f>R754-V754</f>
        <v/>
      </c>
    </row>
    <row r="755">
      <c r="A755" s="3" t="n">
        <v>39541</v>
      </c>
      <c r="B755">
        <f>Prices!B755</f>
        <v/>
      </c>
      <c r="C755">
        <f>Prices!C755</f>
        <v/>
      </c>
      <c r="D755">
        <f>Prices!D755</f>
        <v/>
      </c>
      <c r="E755">
        <f>Prices!E755</f>
        <v/>
      </c>
      <c r="F755">
        <f>Prices!F755</f>
        <v/>
      </c>
      <c r="G755">
        <f>IF(AND(753&gt;=16,TEXT(A755,"yyyy-mm")&lt;&gt;TEXT(A756,"yyyy-mm")),1,0)</f>
        <v/>
      </c>
      <c r="H755">
        <f>IF(OR(H754=1,G755=1),1,0)</f>
        <v/>
      </c>
      <c r="I755">
        <f>IF(H754=0,1,SUMPRODUCT(J754:N754,B755:F755)+O754*(1+0.00023125256064071564))</f>
        <v/>
      </c>
      <c r="J755">
        <f>IF(G755=1,0.2*R755/B755,J754)</f>
        <v/>
      </c>
      <c r="K755">
        <f>IF(G755=1,0.2*R755/C755,K754)</f>
        <v/>
      </c>
      <c r="L755">
        <f>IF(G755=1,0.2*R755/D755,L754)</f>
        <v/>
      </c>
      <c r="M755">
        <f>IF(G755=1,0.2*R755/E755,M754)</f>
        <v/>
      </c>
      <c r="N755">
        <f>IF(G755=1,0.2*R755/F755,N754)</f>
        <v/>
      </c>
      <c r="O755">
        <f>IF(G755=1,R755*(1-1.0),IF(H754=0,1,O754*(1+0.00023125256064071564)))</f>
        <v/>
      </c>
      <c r="P755">
        <f>IF(G755=1,IF(H754=0,1,ABS(0.2-J754*B755/I755)+ABS(0.2-K754*C755/I755)+ABS(0.2-L754*D755/I755)+ABS(0.2-M754*E755/I755)+ABS(0.2-N754*F755/I755)),0)</f>
        <v/>
      </c>
      <c r="Q755">
        <f>P755*0.0015</f>
        <v/>
      </c>
      <c r="R755">
        <f>I755*(1-Q755)</f>
        <v/>
      </c>
      <c r="S755">
        <f>R755/R754-1</f>
        <v/>
      </c>
      <c r="T755">
        <f>MAX(T754,R755)</f>
        <v/>
      </c>
      <c r="U755">
        <f>R755/T755-1</f>
        <v/>
      </c>
      <c r="V755" t="n">
        <v>2.47207302515436</v>
      </c>
      <c r="W755" s="5">
        <f>R755-V755</f>
        <v/>
      </c>
    </row>
    <row r="756">
      <c r="A756" s="3" t="n">
        <v>39542</v>
      </c>
      <c r="B756">
        <f>Prices!B756</f>
        <v/>
      </c>
      <c r="C756">
        <f>Prices!C756</f>
        <v/>
      </c>
      <c r="D756">
        <f>Prices!D756</f>
        <v/>
      </c>
      <c r="E756">
        <f>Prices!E756</f>
        <v/>
      </c>
      <c r="F756">
        <f>Prices!F756</f>
        <v/>
      </c>
      <c r="G756">
        <f>IF(AND(754&gt;=16,TEXT(A756,"yyyy-mm")&lt;&gt;TEXT(A757,"yyyy-mm")),1,0)</f>
        <v/>
      </c>
      <c r="H756">
        <f>IF(OR(H755=1,G756=1),1,0)</f>
        <v/>
      </c>
      <c r="I756">
        <f>IF(H755=0,1,SUMPRODUCT(J755:N755,B756:F756)+O755*(1+0.00023125256064071564))</f>
        <v/>
      </c>
      <c r="J756">
        <f>IF(G756=1,0.2*R756/B756,J755)</f>
        <v/>
      </c>
      <c r="K756">
        <f>IF(G756=1,0.2*R756/C756,K755)</f>
        <v/>
      </c>
      <c r="L756">
        <f>IF(G756=1,0.2*R756/D756,L755)</f>
        <v/>
      </c>
      <c r="M756">
        <f>IF(G756=1,0.2*R756/E756,M755)</f>
        <v/>
      </c>
      <c r="N756">
        <f>IF(G756=1,0.2*R756/F756,N755)</f>
        <v/>
      </c>
      <c r="O756">
        <f>IF(G756=1,R756*(1-1.0),IF(H755=0,1,O755*(1+0.00023125256064071564)))</f>
        <v/>
      </c>
      <c r="P756">
        <f>IF(G756=1,IF(H755=0,1,ABS(0.2-J755*B756/I756)+ABS(0.2-K755*C756/I756)+ABS(0.2-L755*D756/I756)+ABS(0.2-M755*E756/I756)+ABS(0.2-N755*F756/I756)),0)</f>
        <v/>
      </c>
      <c r="Q756">
        <f>P756*0.0015</f>
        <v/>
      </c>
      <c r="R756">
        <f>I756*(1-Q756)</f>
        <v/>
      </c>
      <c r="S756">
        <f>R756/R755-1</f>
        <v/>
      </c>
      <c r="T756">
        <f>MAX(T755,R756)</f>
        <v/>
      </c>
      <c r="U756">
        <f>R756/T756-1</f>
        <v/>
      </c>
      <c r="V756" t="n">
        <v>2.417118063556112</v>
      </c>
      <c r="W756" s="5">
        <f>R756-V756</f>
        <v/>
      </c>
    </row>
    <row r="757">
      <c r="A757" s="3" t="n">
        <v>39545</v>
      </c>
      <c r="B757">
        <f>Prices!B757</f>
        <v/>
      </c>
      <c r="C757">
        <f>Prices!C757</f>
        <v/>
      </c>
      <c r="D757">
        <f>Prices!D757</f>
        <v/>
      </c>
      <c r="E757">
        <f>Prices!E757</f>
        <v/>
      </c>
      <c r="F757">
        <f>Prices!F757</f>
        <v/>
      </c>
      <c r="G757">
        <f>IF(AND(755&gt;=16,TEXT(A757,"yyyy-mm")&lt;&gt;TEXT(A758,"yyyy-mm")),1,0)</f>
        <v/>
      </c>
      <c r="H757">
        <f>IF(OR(H756=1,G757=1),1,0)</f>
        <v/>
      </c>
      <c r="I757">
        <f>IF(H756=0,1,SUMPRODUCT(J756:N756,B757:F757)+O756*(1+0.00023125256064071564))</f>
        <v/>
      </c>
      <c r="J757">
        <f>IF(G757=1,0.2*R757/B757,J756)</f>
        <v/>
      </c>
      <c r="K757">
        <f>IF(G757=1,0.2*R757/C757,K756)</f>
        <v/>
      </c>
      <c r="L757">
        <f>IF(G757=1,0.2*R757/D757,L756)</f>
        <v/>
      </c>
      <c r="M757">
        <f>IF(G757=1,0.2*R757/E757,M756)</f>
        <v/>
      </c>
      <c r="N757">
        <f>IF(G757=1,0.2*R757/F757,N756)</f>
        <v/>
      </c>
      <c r="O757">
        <f>IF(G757=1,R757*(1-1.0),IF(H756=0,1,O756*(1+0.00023125256064071564)))</f>
        <v/>
      </c>
      <c r="P757">
        <f>IF(G757=1,IF(H756=0,1,ABS(0.2-J756*B757/I757)+ABS(0.2-K756*C757/I757)+ABS(0.2-L756*D757/I757)+ABS(0.2-M756*E757/I757)+ABS(0.2-N756*F757/I757)),0)</f>
        <v/>
      </c>
      <c r="Q757">
        <f>P757*0.0015</f>
        <v/>
      </c>
      <c r="R757">
        <f>I757*(1-Q757)</f>
        <v/>
      </c>
      <c r="S757">
        <f>R757/R756-1</f>
        <v/>
      </c>
      <c r="T757">
        <f>MAX(T756,R757)</f>
        <v/>
      </c>
      <c r="U757">
        <f>R757/T757-1</f>
        <v/>
      </c>
      <c r="V757" t="n">
        <v>2.459179068141151</v>
      </c>
      <c r="W757" s="5">
        <f>R757-V757</f>
        <v/>
      </c>
    </row>
    <row r="758">
      <c r="A758" s="3" t="n">
        <v>39546</v>
      </c>
      <c r="B758">
        <f>Prices!B758</f>
        <v/>
      </c>
      <c r="C758">
        <f>Prices!C758</f>
        <v/>
      </c>
      <c r="D758">
        <f>Prices!D758</f>
        <v/>
      </c>
      <c r="E758">
        <f>Prices!E758</f>
        <v/>
      </c>
      <c r="F758">
        <f>Prices!F758</f>
        <v/>
      </c>
      <c r="G758">
        <f>IF(AND(756&gt;=16,TEXT(A758,"yyyy-mm")&lt;&gt;TEXT(A759,"yyyy-mm")),1,0)</f>
        <v/>
      </c>
      <c r="H758">
        <f>IF(OR(H757=1,G758=1),1,0)</f>
        <v/>
      </c>
      <c r="I758">
        <f>IF(H757=0,1,SUMPRODUCT(J757:N757,B758:F758)+O757*(1+0.00023125256064071564))</f>
        <v/>
      </c>
      <c r="J758">
        <f>IF(G758=1,0.2*R758/B758,J757)</f>
        <v/>
      </c>
      <c r="K758">
        <f>IF(G758=1,0.2*R758/C758,K757)</f>
        <v/>
      </c>
      <c r="L758">
        <f>IF(G758=1,0.2*R758/D758,L757)</f>
        <v/>
      </c>
      <c r="M758">
        <f>IF(G758=1,0.2*R758/E758,M757)</f>
        <v/>
      </c>
      <c r="N758">
        <f>IF(G758=1,0.2*R758/F758,N757)</f>
        <v/>
      </c>
      <c r="O758">
        <f>IF(G758=1,R758*(1-1.0),IF(H757=0,1,O757*(1+0.00023125256064071564)))</f>
        <v/>
      </c>
      <c r="P758">
        <f>IF(G758=1,IF(H757=0,1,ABS(0.2-J757*B758/I758)+ABS(0.2-K757*C758/I758)+ABS(0.2-L757*D758/I758)+ABS(0.2-M757*E758/I758)+ABS(0.2-N757*F758/I758)),0)</f>
        <v/>
      </c>
      <c r="Q758">
        <f>P758*0.0015</f>
        <v/>
      </c>
      <c r="R758">
        <f>I758*(1-Q758)</f>
        <v/>
      </c>
      <c r="S758">
        <f>R758/R757-1</f>
        <v/>
      </c>
      <c r="T758">
        <f>MAX(T757,R758)</f>
        <v/>
      </c>
      <c r="U758">
        <f>R758/T758-1</f>
        <v/>
      </c>
      <c r="V758" t="n">
        <v>2.444555175433046</v>
      </c>
      <c r="W758" s="5">
        <f>R758-V758</f>
        <v/>
      </c>
    </row>
    <row r="759">
      <c r="A759" s="3" t="n">
        <v>39547</v>
      </c>
      <c r="B759">
        <f>Prices!B759</f>
        <v/>
      </c>
      <c r="C759">
        <f>Prices!C759</f>
        <v/>
      </c>
      <c r="D759">
        <f>Prices!D759</f>
        <v/>
      </c>
      <c r="E759">
        <f>Prices!E759</f>
        <v/>
      </c>
      <c r="F759">
        <f>Prices!F759</f>
        <v/>
      </c>
      <c r="G759">
        <f>IF(AND(757&gt;=16,TEXT(A759,"yyyy-mm")&lt;&gt;TEXT(A760,"yyyy-mm")),1,0)</f>
        <v/>
      </c>
      <c r="H759">
        <f>IF(OR(H758=1,G759=1),1,0)</f>
        <v/>
      </c>
      <c r="I759">
        <f>IF(H758=0,1,SUMPRODUCT(J758:N758,B759:F759)+O758*(1+0.00023125256064071564))</f>
        <v/>
      </c>
      <c r="J759">
        <f>IF(G759=1,0.2*R759/B759,J758)</f>
        <v/>
      </c>
      <c r="K759">
        <f>IF(G759=1,0.2*R759/C759,K758)</f>
        <v/>
      </c>
      <c r="L759">
        <f>IF(G759=1,0.2*R759/D759,L758)</f>
        <v/>
      </c>
      <c r="M759">
        <f>IF(G759=1,0.2*R759/E759,M758)</f>
        <v/>
      </c>
      <c r="N759">
        <f>IF(G759=1,0.2*R759/F759,N758)</f>
        <v/>
      </c>
      <c r="O759">
        <f>IF(G759=1,R759*(1-1.0),IF(H758=0,1,O758*(1+0.00023125256064071564)))</f>
        <v/>
      </c>
      <c r="P759">
        <f>IF(G759=1,IF(H758=0,1,ABS(0.2-J758*B759/I759)+ABS(0.2-K758*C759/I759)+ABS(0.2-L758*D759/I759)+ABS(0.2-M758*E759/I759)+ABS(0.2-N758*F759/I759)),0)</f>
        <v/>
      </c>
      <c r="Q759">
        <f>P759*0.0015</f>
        <v/>
      </c>
      <c r="R759">
        <f>I759*(1-Q759)</f>
        <v/>
      </c>
      <c r="S759">
        <f>R759/R758-1</f>
        <v/>
      </c>
      <c r="T759">
        <f>MAX(T758,R759)</f>
        <v/>
      </c>
      <c r="U759">
        <f>R759/T759-1</f>
        <v/>
      </c>
      <c r="V759" t="n">
        <v>2.477993769814926</v>
      </c>
      <c r="W759" s="5">
        <f>R759-V759</f>
        <v/>
      </c>
    </row>
    <row r="760">
      <c r="A760" s="3" t="n">
        <v>39548</v>
      </c>
      <c r="B760">
        <f>Prices!B760</f>
        <v/>
      </c>
      <c r="C760">
        <f>Prices!C760</f>
        <v/>
      </c>
      <c r="D760">
        <f>Prices!D760</f>
        <v/>
      </c>
      <c r="E760">
        <f>Prices!E760</f>
        <v/>
      </c>
      <c r="F760">
        <f>Prices!F760</f>
        <v/>
      </c>
      <c r="G760">
        <f>IF(AND(758&gt;=16,TEXT(A760,"yyyy-mm")&lt;&gt;TEXT(A761,"yyyy-mm")),1,0)</f>
        <v/>
      </c>
      <c r="H760">
        <f>IF(OR(H759=1,G760=1),1,0)</f>
        <v/>
      </c>
      <c r="I760">
        <f>IF(H759=0,1,SUMPRODUCT(J759:N759,B760:F760)+O759*(1+0.00023125256064071564))</f>
        <v/>
      </c>
      <c r="J760">
        <f>IF(G760=1,0.2*R760/B760,J759)</f>
        <v/>
      </c>
      <c r="K760">
        <f>IF(G760=1,0.2*R760/C760,K759)</f>
        <v/>
      </c>
      <c r="L760">
        <f>IF(G760=1,0.2*R760/D760,L759)</f>
        <v/>
      </c>
      <c r="M760">
        <f>IF(G760=1,0.2*R760/E760,M759)</f>
        <v/>
      </c>
      <c r="N760">
        <f>IF(G760=1,0.2*R760/F760,N759)</f>
        <v/>
      </c>
      <c r="O760">
        <f>IF(G760=1,R760*(1-1.0),IF(H759=0,1,O759*(1+0.00023125256064071564)))</f>
        <v/>
      </c>
      <c r="P760">
        <f>IF(G760=1,IF(H759=0,1,ABS(0.2-J759*B760/I760)+ABS(0.2-K759*C760/I760)+ABS(0.2-L759*D760/I760)+ABS(0.2-M759*E760/I760)+ABS(0.2-N759*F760/I760)),0)</f>
        <v/>
      </c>
      <c r="Q760">
        <f>P760*0.0015</f>
        <v/>
      </c>
      <c r="R760">
        <f>I760*(1-Q760)</f>
        <v/>
      </c>
      <c r="S760">
        <f>R760/R759-1</f>
        <v/>
      </c>
      <c r="T760">
        <f>MAX(T759,R760)</f>
        <v/>
      </c>
      <c r="U760">
        <f>R760/T760-1</f>
        <v/>
      </c>
      <c r="V760" t="n">
        <v>2.48198804610002</v>
      </c>
      <c r="W760" s="5">
        <f>R760-V760</f>
        <v/>
      </c>
    </row>
    <row r="761">
      <c r="A761" s="3" t="n">
        <v>39549</v>
      </c>
      <c r="B761">
        <f>Prices!B761</f>
        <v/>
      </c>
      <c r="C761">
        <f>Prices!C761</f>
        <v/>
      </c>
      <c r="D761">
        <f>Prices!D761</f>
        <v/>
      </c>
      <c r="E761">
        <f>Prices!E761</f>
        <v/>
      </c>
      <c r="F761">
        <f>Prices!F761</f>
        <v/>
      </c>
      <c r="G761">
        <f>IF(AND(759&gt;=16,TEXT(A761,"yyyy-mm")&lt;&gt;TEXT(A762,"yyyy-mm")),1,0)</f>
        <v/>
      </c>
      <c r="H761">
        <f>IF(OR(H760=1,G761=1),1,0)</f>
        <v/>
      </c>
      <c r="I761">
        <f>IF(H760=0,1,SUMPRODUCT(J760:N760,B761:F761)+O760*(1+0.00023125256064071564))</f>
        <v/>
      </c>
      <c r="J761">
        <f>IF(G761=1,0.2*R761/B761,J760)</f>
        <v/>
      </c>
      <c r="K761">
        <f>IF(G761=1,0.2*R761/C761,K760)</f>
        <v/>
      </c>
      <c r="L761">
        <f>IF(G761=1,0.2*R761/D761,L760)</f>
        <v/>
      </c>
      <c r="M761">
        <f>IF(G761=1,0.2*R761/E761,M760)</f>
        <v/>
      </c>
      <c r="N761">
        <f>IF(G761=1,0.2*R761/F761,N760)</f>
        <v/>
      </c>
      <c r="O761">
        <f>IF(G761=1,R761*(1-1.0),IF(H760=0,1,O760*(1+0.00023125256064071564)))</f>
        <v/>
      </c>
      <c r="P761">
        <f>IF(G761=1,IF(H760=0,1,ABS(0.2-J760*B761/I761)+ABS(0.2-K760*C761/I761)+ABS(0.2-L760*D761/I761)+ABS(0.2-M760*E761/I761)+ABS(0.2-N760*F761/I761)),0)</f>
        <v/>
      </c>
      <c r="Q761">
        <f>P761*0.0015</f>
        <v/>
      </c>
      <c r="R761">
        <f>I761*(1-Q761)</f>
        <v/>
      </c>
      <c r="S761">
        <f>R761/R760-1</f>
        <v/>
      </c>
      <c r="T761">
        <f>MAX(T760,R761)</f>
        <v/>
      </c>
      <c r="U761">
        <f>R761/T761-1</f>
        <v/>
      </c>
      <c r="V761" t="n">
        <v>2.504354625271319</v>
      </c>
      <c r="W761" s="5">
        <f>R761-V761</f>
        <v/>
      </c>
    </row>
    <row r="762">
      <c r="A762" s="3" t="n">
        <v>39553</v>
      </c>
      <c r="B762">
        <f>Prices!B762</f>
        <v/>
      </c>
      <c r="C762">
        <f>Prices!C762</f>
        <v/>
      </c>
      <c r="D762">
        <f>Prices!D762</f>
        <v/>
      </c>
      <c r="E762">
        <f>Prices!E762</f>
        <v/>
      </c>
      <c r="F762">
        <f>Prices!F762</f>
        <v/>
      </c>
      <c r="G762">
        <f>IF(AND(760&gt;=16,TEXT(A762,"yyyy-mm")&lt;&gt;TEXT(A763,"yyyy-mm")),1,0)</f>
        <v/>
      </c>
      <c r="H762">
        <f>IF(OR(H761=1,G762=1),1,0)</f>
        <v/>
      </c>
      <c r="I762">
        <f>IF(H761=0,1,SUMPRODUCT(J761:N761,B762:F762)+O761*(1+0.00023125256064071564))</f>
        <v/>
      </c>
      <c r="J762">
        <f>IF(G762=1,0.2*R762/B762,J761)</f>
        <v/>
      </c>
      <c r="K762">
        <f>IF(G762=1,0.2*R762/C762,K761)</f>
        <v/>
      </c>
      <c r="L762">
        <f>IF(G762=1,0.2*R762/D762,L761)</f>
        <v/>
      </c>
      <c r="M762">
        <f>IF(G762=1,0.2*R762/E762,M761)</f>
        <v/>
      </c>
      <c r="N762">
        <f>IF(G762=1,0.2*R762/F762,N761)</f>
        <v/>
      </c>
      <c r="O762">
        <f>IF(G762=1,R762*(1-1.0),IF(H761=0,1,O761*(1+0.00023125256064071564)))</f>
        <v/>
      </c>
      <c r="P762">
        <f>IF(G762=1,IF(H761=0,1,ABS(0.2-J761*B762/I762)+ABS(0.2-K761*C762/I762)+ABS(0.2-L761*D762/I762)+ABS(0.2-M761*E762/I762)+ABS(0.2-N761*F762/I762)),0)</f>
        <v/>
      </c>
      <c r="Q762">
        <f>P762*0.0015</f>
        <v/>
      </c>
      <c r="R762">
        <f>I762*(1-Q762)</f>
        <v/>
      </c>
      <c r="S762">
        <f>R762/R761-1</f>
        <v/>
      </c>
      <c r="T762">
        <f>MAX(T761,R762)</f>
        <v/>
      </c>
      <c r="U762">
        <f>R762/T762-1</f>
        <v/>
      </c>
      <c r="V762" t="n">
        <v>2.548699853515557</v>
      </c>
      <c r="W762" s="5">
        <f>R762-V762</f>
        <v/>
      </c>
    </row>
    <row r="763">
      <c r="A763" s="3" t="n">
        <v>39554</v>
      </c>
      <c r="B763">
        <f>Prices!B763</f>
        <v/>
      </c>
      <c r="C763">
        <f>Prices!C763</f>
        <v/>
      </c>
      <c r="D763">
        <f>Prices!D763</f>
        <v/>
      </c>
      <c r="E763">
        <f>Prices!E763</f>
        <v/>
      </c>
      <c r="F763">
        <f>Prices!F763</f>
        <v/>
      </c>
      <c r="G763">
        <f>IF(AND(761&gt;=16,TEXT(A763,"yyyy-mm")&lt;&gt;TEXT(A764,"yyyy-mm")),1,0)</f>
        <v/>
      </c>
      <c r="H763">
        <f>IF(OR(H762=1,G763=1),1,0)</f>
        <v/>
      </c>
      <c r="I763">
        <f>IF(H762=0,1,SUMPRODUCT(J762:N762,B763:F763)+O762*(1+0.00023125256064071564))</f>
        <v/>
      </c>
      <c r="J763">
        <f>IF(G763=1,0.2*R763/B763,J762)</f>
        <v/>
      </c>
      <c r="K763">
        <f>IF(G763=1,0.2*R763/C763,K762)</f>
        <v/>
      </c>
      <c r="L763">
        <f>IF(G763=1,0.2*R763/D763,L762)</f>
        <v/>
      </c>
      <c r="M763">
        <f>IF(G763=1,0.2*R763/E763,M762)</f>
        <v/>
      </c>
      <c r="N763">
        <f>IF(G763=1,0.2*R763/F763,N762)</f>
        <v/>
      </c>
      <c r="O763">
        <f>IF(G763=1,R763*(1-1.0),IF(H762=0,1,O762*(1+0.00023125256064071564)))</f>
        <v/>
      </c>
      <c r="P763">
        <f>IF(G763=1,IF(H762=0,1,ABS(0.2-J762*B763/I763)+ABS(0.2-K762*C763/I763)+ABS(0.2-L762*D763/I763)+ABS(0.2-M762*E763/I763)+ABS(0.2-N762*F763/I763)),0)</f>
        <v/>
      </c>
      <c r="Q763">
        <f>P763*0.0015</f>
        <v/>
      </c>
      <c r="R763">
        <f>I763*(1-Q763)</f>
        <v/>
      </c>
      <c r="S763">
        <f>R763/R762-1</f>
        <v/>
      </c>
      <c r="T763">
        <f>MAX(T762,R763)</f>
        <v/>
      </c>
      <c r="U763">
        <f>R763/T763-1</f>
        <v/>
      </c>
      <c r="V763" t="n">
        <v>2.572570578983173</v>
      </c>
      <c r="W763" s="5">
        <f>R763-V763</f>
        <v/>
      </c>
    </row>
    <row r="764">
      <c r="A764" s="3" t="n">
        <v>39555</v>
      </c>
      <c r="B764">
        <f>Prices!B764</f>
        <v/>
      </c>
      <c r="C764">
        <f>Prices!C764</f>
        <v/>
      </c>
      <c r="D764">
        <f>Prices!D764</f>
        <v/>
      </c>
      <c r="E764">
        <f>Prices!E764</f>
        <v/>
      </c>
      <c r="F764">
        <f>Prices!F764</f>
        <v/>
      </c>
      <c r="G764">
        <f>IF(AND(762&gt;=16,TEXT(A764,"yyyy-mm")&lt;&gt;TEXT(A765,"yyyy-mm")),1,0)</f>
        <v/>
      </c>
      <c r="H764">
        <f>IF(OR(H763=1,G764=1),1,0)</f>
        <v/>
      </c>
      <c r="I764">
        <f>IF(H763=0,1,SUMPRODUCT(J763:N763,B764:F764)+O763*(1+0.00023125256064071564))</f>
        <v/>
      </c>
      <c r="J764">
        <f>IF(G764=1,0.2*R764/B764,J763)</f>
        <v/>
      </c>
      <c r="K764">
        <f>IF(G764=1,0.2*R764/C764,K763)</f>
        <v/>
      </c>
      <c r="L764">
        <f>IF(G764=1,0.2*R764/D764,L763)</f>
        <v/>
      </c>
      <c r="M764">
        <f>IF(G764=1,0.2*R764/E764,M763)</f>
        <v/>
      </c>
      <c r="N764">
        <f>IF(G764=1,0.2*R764/F764,N763)</f>
        <v/>
      </c>
      <c r="O764">
        <f>IF(G764=1,R764*(1-1.0),IF(H763=0,1,O763*(1+0.00023125256064071564)))</f>
        <v/>
      </c>
      <c r="P764">
        <f>IF(G764=1,IF(H763=0,1,ABS(0.2-J763*B764/I764)+ABS(0.2-K763*C764/I764)+ABS(0.2-L763*D764/I764)+ABS(0.2-M763*E764/I764)+ABS(0.2-N763*F764/I764)),0)</f>
        <v/>
      </c>
      <c r="Q764">
        <f>P764*0.0015</f>
        <v/>
      </c>
      <c r="R764">
        <f>I764*(1-Q764)</f>
        <v/>
      </c>
      <c r="S764">
        <f>R764/R763-1</f>
        <v/>
      </c>
      <c r="T764">
        <f>MAX(T763,R764)</f>
        <v/>
      </c>
      <c r="U764">
        <f>R764/T764-1</f>
        <v/>
      </c>
      <c r="V764" t="n">
        <v>2.625524921275745</v>
      </c>
      <c r="W764" s="5">
        <f>R764-V764</f>
        <v/>
      </c>
    </row>
    <row r="765">
      <c r="A765" s="3" t="n">
        <v>39559</v>
      </c>
      <c r="B765">
        <f>Prices!B765</f>
        <v/>
      </c>
      <c r="C765">
        <f>Prices!C765</f>
        <v/>
      </c>
      <c r="D765">
        <f>Prices!D765</f>
        <v/>
      </c>
      <c r="E765">
        <f>Prices!E765</f>
        <v/>
      </c>
      <c r="F765">
        <f>Prices!F765</f>
        <v/>
      </c>
      <c r="G765">
        <f>IF(AND(763&gt;=16,TEXT(A765,"yyyy-mm")&lt;&gt;TEXT(A766,"yyyy-mm")),1,0)</f>
        <v/>
      </c>
      <c r="H765">
        <f>IF(OR(H764=1,G765=1),1,0)</f>
        <v/>
      </c>
      <c r="I765">
        <f>IF(H764=0,1,SUMPRODUCT(J764:N764,B765:F765)+O764*(1+0.00023125256064071564))</f>
        <v/>
      </c>
      <c r="J765">
        <f>IF(G765=1,0.2*R765/B765,J764)</f>
        <v/>
      </c>
      <c r="K765">
        <f>IF(G765=1,0.2*R765/C765,K764)</f>
        <v/>
      </c>
      <c r="L765">
        <f>IF(G765=1,0.2*R765/D765,L764)</f>
        <v/>
      </c>
      <c r="M765">
        <f>IF(G765=1,0.2*R765/E765,M764)</f>
        <v/>
      </c>
      <c r="N765">
        <f>IF(G765=1,0.2*R765/F765,N764)</f>
        <v/>
      </c>
      <c r="O765">
        <f>IF(G765=1,R765*(1-1.0),IF(H764=0,1,O764*(1+0.00023125256064071564)))</f>
        <v/>
      </c>
      <c r="P765">
        <f>IF(G765=1,IF(H764=0,1,ABS(0.2-J764*B765/I765)+ABS(0.2-K764*C765/I765)+ABS(0.2-L764*D765/I765)+ABS(0.2-M764*E765/I765)+ABS(0.2-N764*F765/I765)),0)</f>
        <v/>
      </c>
      <c r="Q765">
        <f>P765*0.0015</f>
        <v/>
      </c>
      <c r="R765">
        <f>I765*(1-Q765)</f>
        <v/>
      </c>
      <c r="S765">
        <f>R765/R764-1</f>
        <v/>
      </c>
      <c r="T765">
        <f>MAX(T764,R765)</f>
        <v/>
      </c>
      <c r="U765">
        <f>R765/T765-1</f>
        <v/>
      </c>
      <c r="V765" t="n">
        <v>2.685762172605251</v>
      </c>
      <c r="W765" s="5">
        <f>R765-V765</f>
        <v/>
      </c>
    </row>
    <row r="766">
      <c r="A766" s="3" t="n">
        <v>39560</v>
      </c>
      <c r="B766">
        <f>Prices!B766</f>
        <v/>
      </c>
      <c r="C766">
        <f>Prices!C766</f>
        <v/>
      </c>
      <c r="D766">
        <f>Prices!D766</f>
        <v/>
      </c>
      <c r="E766">
        <f>Prices!E766</f>
        <v/>
      </c>
      <c r="F766">
        <f>Prices!F766</f>
        <v/>
      </c>
      <c r="G766">
        <f>IF(AND(764&gt;=16,TEXT(A766,"yyyy-mm")&lt;&gt;TEXT(A767,"yyyy-mm")),1,0)</f>
        <v/>
      </c>
      <c r="H766">
        <f>IF(OR(H765=1,G766=1),1,0)</f>
        <v/>
      </c>
      <c r="I766">
        <f>IF(H765=0,1,SUMPRODUCT(J765:N765,B766:F766)+O765*(1+0.00023125256064071564))</f>
        <v/>
      </c>
      <c r="J766">
        <f>IF(G766=1,0.2*R766/B766,J765)</f>
        <v/>
      </c>
      <c r="K766">
        <f>IF(G766=1,0.2*R766/C766,K765)</f>
        <v/>
      </c>
      <c r="L766">
        <f>IF(G766=1,0.2*R766/D766,L765)</f>
        <v/>
      </c>
      <c r="M766">
        <f>IF(G766=1,0.2*R766/E766,M765)</f>
        <v/>
      </c>
      <c r="N766">
        <f>IF(G766=1,0.2*R766/F766,N765)</f>
        <v/>
      </c>
      <c r="O766">
        <f>IF(G766=1,R766*(1-1.0),IF(H765=0,1,O765*(1+0.00023125256064071564)))</f>
        <v/>
      </c>
      <c r="P766">
        <f>IF(G766=1,IF(H765=0,1,ABS(0.2-J765*B766/I766)+ABS(0.2-K765*C766/I766)+ABS(0.2-L765*D766/I766)+ABS(0.2-M765*E766/I766)+ABS(0.2-N765*F766/I766)),0)</f>
        <v/>
      </c>
      <c r="Q766">
        <f>P766*0.0015</f>
        <v/>
      </c>
      <c r="R766">
        <f>I766*(1-Q766)</f>
        <v/>
      </c>
      <c r="S766">
        <f>R766/R765-1</f>
        <v/>
      </c>
      <c r="T766">
        <f>MAX(T765,R766)</f>
        <v/>
      </c>
      <c r="U766">
        <f>R766/T766-1</f>
        <v/>
      </c>
      <c r="V766" t="n">
        <v>2.699519054679898</v>
      </c>
      <c r="W766" s="5">
        <f>R766-V766</f>
        <v/>
      </c>
    </row>
    <row r="767">
      <c r="A767" s="3" t="n">
        <v>39561</v>
      </c>
      <c r="B767">
        <f>Prices!B767</f>
        <v/>
      </c>
      <c r="C767">
        <f>Prices!C767</f>
        <v/>
      </c>
      <c r="D767">
        <f>Prices!D767</f>
        <v/>
      </c>
      <c r="E767">
        <f>Prices!E767</f>
        <v/>
      </c>
      <c r="F767">
        <f>Prices!F767</f>
        <v/>
      </c>
      <c r="G767">
        <f>IF(AND(765&gt;=16,TEXT(A767,"yyyy-mm")&lt;&gt;TEXT(A768,"yyyy-mm")),1,0)</f>
        <v/>
      </c>
      <c r="H767">
        <f>IF(OR(H766=1,G767=1),1,0)</f>
        <v/>
      </c>
      <c r="I767">
        <f>IF(H766=0,1,SUMPRODUCT(J766:N766,B767:F767)+O766*(1+0.00023125256064071564))</f>
        <v/>
      </c>
      <c r="J767">
        <f>IF(G767=1,0.2*R767/B767,J766)</f>
        <v/>
      </c>
      <c r="K767">
        <f>IF(G767=1,0.2*R767/C767,K766)</f>
        <v/>
      </c>
      <c r="L767">
        <f>IF(G767=1,0.2*R767/D767,L766)</f>
        <v/>
      </c>
      <c r="M767">
        <f>IF(G767=1,0.2*R767/E767,M766)</f>
        <v/>
      </c>
      <c r="N767">
        <f>IF(G767=1,0.2*R767/F767,N766)</f>
        <v/>
      </c>
      <c r="O767">
        <f>IF(G767=1,R767*(1-1.0),IF(H766=0,1,O766*(1+0.00023125256064071564)))</f>
        <v/>
      </c>
      <c r="P767">
        <f>IF(G767=1,IF(H766=0,1,ABS(0.2-J766*B767/I767)+ABS(0.2-K766*C767/I767)+ABS(0.2-L766*D767/I767)+ABS(0.2-M766*E767/I767)+ABS(0.2-N766*F767/I767)),0)</f>
        <v/>
      </c>
      <c r="Q767">
        <f>P767*0.0015</f>
        <v/>
      </c>
      <c r="R767">
        <f>I767*(1-Q767)</f>
        <v/>
      </c>
      <c r="S767">
        <f>R767/R766-1</f>
        <v/>
      </c>
      <c r="T767">
        <f>MAX(T766,R767)</f>
        <v/>
      </c>
      <c r="U767">
        <f>R767/T767-1</f>
        <v/>
      </c>
      <c r="V767" t="n">
        <v>2.703097700915751</v>
      </c>
      <c r="W767" s="5">
        <f>R767-V767</f>
        <v/>
      </c>
    </row>
    <row r="768">
      <c r="A768" s="3" t="n">
        <v>39562</v>
      </c>
      <c r="B768">
        <f>Prices!B768</f>
        <v/>
      </c>
      <c r="C768">
        <f>Prices!C768</f>
        <v/>
      </c>
      <c r="D768">
        <f>Prices!D768</f>
        <v/>
      </c>
      <c r="E768">
        <f>Prices!E768</f>
        <v/>
      </c>
      <c r="F768">
        <f>Prices!F768</f>
        <v/>
      </c>
      <c r="G768">
        <f>IF(AND(766&gt;=16,TEXT(A768,"yyyy-mm")&lt;&gt;TEXT(A769,"yyyy-mm")),1,0)</f>
        <v/>
      </c>
      <c r="H768">
        <f>IF(OR(H767=1,G768=1),1,0)</f>
        <v/>
      </c>
      <c r="I768">
        <f>IF(H767=0,1,SUMPRODUCT(J767:N767,B768:F768)+O767*(1+0.00023125256064071564))</f>
        <v/>
      </c>
      <c r="J768">
        <f>IF(G768=1,0.2*R768/B768,J767)</f>
        <v/>
      </c>
      <c r="K768">
        <f>IF(G768=1,0.2*R768/C768,K767)</f>
        <v/>
      </c>
      <c r="L768">
        <f>IF(G768=1,0.2*R768/D768,L767)</f>
        <v/>
      </c>
      <c r="M768">
        <f>IF(G768=1,0.2*R768/E768,M767)</f>
        <v/>
      </c>
      <c r="N768">
        <f>IF(G768=1,0.2*R768/F768,N767)</f>
        <v/>
      </c>
      <c r="O768">
        <f>IF(G768=1,R768*(1-1.0),IF(H767=0,1,O767*(1+0.00023125256064071564)))</f>
        <v/>
      </c>
      <c r="P768">
        <f>IF(G768=1,IF(H767=0,1,ABS(0.2-J767*B768/I768)+ABS(0.2-K767*C768/I768)+ABS(0.2-L767*D768/I768)+ABS(0.2-M767*E768/I768)+ABS(0.2-N767*F768/I768)),0)</f>
        <v/>
      </c>
      <c r="Q768">
        <f>P768*0.0015</f>
        <v/>
      </c>
      <c r="R768">
        <f>I768*(1-Q768)</f>
        <v/>
      </c>
      <c r="S768">
        <f>R768/R767-1</f>
        <v/>
      </c>
      <c r="T768">
        <f>MAX(T767,R768)</f>
        <v/>
      </c>
      <c r="U768">
        <f>R768/T768-1</f>
        <v/>
      </c>
      <c r="V768" t="n">
        <v>2.685950819065859</v>
      </c>
      <c r="W768" s="5">
        <f>R768-V768</f>
        <v/>
      </c>
    </row>
    <row r="769">
      <c r="A769" s="3" t="n">
        <v>39563</v>
      </c>
      <c r="B769">
        <f>Prices!B769</f>
        <v/>
      </c>
      <c r="C769">
        <f>Prices!C769</f>
        <v/>
      </c>
      <c r="D769">
        <f>Prices!D769</f>
        <v/>
      </c>
      <c r="E769">
        <f>Prices!E769</f>
        <v/>
      </c>
      <c r="F769">
        <f>Prices!F769</f>
        <v/>
      </c>
      <c r="G769">
        <f>IF(AND(767&gt;=16,TEXT(A769,"yyyy-mm")&lt;&gt;TEXT(A770,"yyyy-mm")),1,0)</f>
        <v/>
      </c>
      <c r="H769">
        <f>IF(OR(H768=1,G769=1),1,0)</f>
        <v/>
      </c>
      <c r="I769">
        <f>IF(H768=0,1,SUMPRODUCT(J768:N768,B769:F769)+O768*(1+0.00023125256064071564))</f>
        <v/>
      </c>
      <c r="J769">
        <f>IF(G769=1,0.2*R769/B769,J768)</f>
        <v/>
      </c>
      <c r="K769">
        <f>IF(G769=1,0.2*R769/C769,K768)</f>
        <v/>
      </c>
      <c r="L769">
        <f>IF(G769=1,0.2*R769/D769,L768)</f>
        <v/>
      </c>
      <c r="M769">
        <f>IF(G769=1,0.2*R769/E769,M768)</f>
        <v/>
      </c>
      <c r="N769">
        <f>IF(G769=1,0.2*R769/F769,N768)</f>
        <v/>
      </c>
      <c r="O769">
        <f>IF(G769=1,R769*(1-1.0),IF(H768=0,1,O768*(1+0.00023125256064071564)))</f>
        <v/>
      </c>
      <c r="P769">
        <f>IF(G769=1,IF(H768=0,1,ABS(0.2-J768*B769/I769)+ABS(0.2-K768*C769/I769)+ABS(0.2-L768*D769/I769)+ABS(0.2-M768*E769/I769)+ABS(0.2-N768*F769/I769)),0)</f>
        <v/>
      </c>
      <c r="Q769">
        <f>P769*0.0015</f>
        <v/>
      </c>
      <c r="R769">
        <f>I769*(1-Q769)</f>
        <v/>
      </c>
      <c r="S769">
        <f>R769/R768-1</f>
        <v/>
      </c>
      <c r="T769">
        <f>MAX(T768,R769)</f>
        <v/>
      </c>
      <c r="U769">
        <f>R769/T769-1</f>
        <v/>
      </c>
      <c r="V769" t="n">
        <v>2.723927433078341</v>
      </c>
      <c r="W769" s="5">
        <f>R769-V769</f>
        <v/>
      </c>
    </row>
    <row r="770">
      <c r="A770" s="3" t="n">
        <v>39566</v>
      </c>
      <c r="B770">
        <f>Prices!B770</f>
        <v/>
      </c>
      <c r="C770">
        <f>Prices!C770</f>
        <v/>
      </c>
      <c r="D770">
        <f>Prices!D770</f>
        <v/>
      </c>
      <c r="E770">
        <f>Prices!E770</f>
        <v/>
      </c>
      <c r="F770">
        <f>Prices!F770</f>
        <v/>
      </c>
      <c r="G770">
        <f>IF(AND(768&gt;=16,TEXT(A770,"yyyy-mm")&lt;&gt;TEXT(A771,"yyyy-mm")),1,0)</f>
        <v/>
      </c>
      <c r="H770">
        <f>IF(OR(H769=1,G770=1),1,0)</f>
        <v/>
      </c>
      <c r="I770">
        <f>IF(H769=0,1,SUMPRODUCT(J769:N769,B770:F770)+O769*(1+0.00023125256064071564))</f>
        <v/>
      </c>
      <c r="J770">
        <f>IF(G770=1,0.2*R770/B770,J769)</f>
        <v/>
      </c>
      <c r="K770">
        <f>IF(G770=1,0.2*R770/C770,K769)</f>
        <v/>
      </c>
      <c r="L770">
        <f>IF(G770=1,0.2*R770/D770,L769)</f>
        <v/>
      </c>
      <c r="M770">
        <f>IF(G770=1,0.2*R770/E770,M769)</f>
        <v/>
      </c>
      <c r="N770">
        <f>IF(G770=1,0.2*R770/F770,N769)</f>
        <v/>
      </c>
      <c r="O770">
        <f>IF(G770=1,R770*(1-1.0),IF(H769=0,1,O769*(1+0.00023125256064071564)))</f>
        <v/>
      </c>
      <c r="P770">
        <f>IF(G770=1,IF(H769=0,1,ABS(0.2-J769*B770/I770)+ABS(0.2-K769*C770/I770)+ABS(0.2-L769*D770/I770)+ABS(0.2-M769*E770/I770)+ABS(0.2-N769*F770/I770)),0)</f>
        <v/>
      </c>
      <c r="Q770">
        <f>P770*0.0015</f>
        <v/>
      </c>
      <c r="R770">
        <f>I770*(1-Q770)</f>
        <v/>
      </c>
      <c r="S770">
        <f>R770/R769-1</f>
        <v/>
      </c>
      <c r="T770">
        <f>MAX(T769,R770)</f>
        <v/>
      </c>
      <c r="U770">
        <f>R770/T770-1</f>
        <v/>
      </c>
      <c r="V770" t="n">
        <v>2.725327672109563</v>
      </c>
      <c r="W770" s="5">
        <f>R770-V770</f>
        <v/>
      </c>
    </row>
    <row r="771">
      <c r="A771" s="3" t="n">
        <v>39567</v>
      </c>
      <c r="B771">
        <f>Prices!B771</f>
        <v/>
      </c>
      <c r="C771">
        <f>Prices!C771</f>
        <v/>
      </c>
      <c r="D771">
        <f>Prices!D771</f>
        <v/>
      </c>
      <c r="E771">
        <f>Prices!E771</f>
        <v/>
      </c>
      <c r="F771">
        <f>Prices!F771</f>
        <v/>
      </c>
      <c r="G771">
        <f>IF(AND(769&gt;=16,TEXT(A771,"yyyy-mm")&lt;&gt;TEXT(A772,"yyyy-mm")),1,0)</f>
        <v/>
      </c>
      <c r="H771">
        <f>IF(OR(H770=1,G771=1),1,0)</f>
        <v/>
      </c>
      <c r="I771">
        <f>IF(H770=0,1,SUMPRODUCT(J770:N770,B771:F771)+O770*(1+0.00023125256064071564))</f>
        <v/>
      </c>
      <c r="J771">
        <f>IF(G771=1,0.2*R771/B771,J770)</f>
        <v/>
      </c>
      <c r="K771">
        <f>IF(G771=1,0.2*R771/C771,K770)</f>
        <v/>
      </c>
      <c r="L771">
        <f>IF(G771=1,0.2*R771/D771,L770)</f>
        <v/>
      </c>
      <c r="M771">
        <f>IF(G771=1,0.2*R771/E771,M770)</f>
        <v/>
      </c>
      <c r="N771">
        <f>IF(G771=1,0.2*R771/F771,N770)</f>
        <v/>
      </c>
      <c r="O771">
        <f>IF(G771=1,R771*(1-1.0),IF(H770=0,1,O770*(1+0.00023125256064071564)))</f>
        <v/>
      </c>
      <c r="P771">
        <f>IF(G771=1,IF(H770=0,1,ABS(0.2-J770*B771/I771)+ABS(0.2-K770*C771/I771)+ABS(0.2-L770*D771/I771)+ABS(0.2-M770*E771/I771)+ABS(0.2-N770*F771/I771)),0)</f>
        <v/>
      </c>
      <c r="Q771">
        <f>P771*0.0015</f>
        <v/>
      </c>
      <c r="R771">
        <f>I771*(1-Q771)</f>
        <v/>
      </c>
      <c r="S771">
        <f>R771/R770-1</f>
        <v/>
      </c>
      <c r="T771">
        <f>MAX(T770,R771)</f>
        <v/>
      </c>
      <c r="U771">
        <f>R771/T771-1</f>
        <v/>
      </c>
      <c r="V771" t="n">
        <v>2.773037624972809</v>
      </c>
      <c r="W771" s="5">
        <f>R771-V771</f>
        <v/>
      </c>
    </row>
    <row r="772">
      <c r="A772" s="3" t="n">
        <v>39568</v>
      </c>
      <c r="B772">
        <f>Prices!B772</f>
        <v/>
      </c>
      <c r="C772">
        <f>Prices!C772</f>
        <v/>
      </c>
      <c r="D772">
        <f>Prices!D772</f>
        <v/>
      </c>
      <c r="E772">
        <f>Prices!E772</f>
        <v/>
      </c>
      <c r="F772">
        <f>Prices!F772</f>
        <v/>
      </c>
      <c r="G772">
        <f>IF(AND(770&gt;=16,TEXT(A772,"yyyy-mm")&lt;&gt;TEXT(A773,"yyyy-mm")),1,0)</f>
        <v/>
      </c>
      <c r="H772">
        <f>IF(OR(H771=1,G772=1),1,0)</f>
        <v/>
      </c>
      <c r="I772">
        <f>IF(H771=0,1,SUMPRODUCT(J771:N771,B772:F772)+O771*(1+0.00023125256064071564))</f>
        <v/>
      </c>
      <c r="J772">
        <f>IF(G772=1,0.2*R772/B772,J771)</f>
        <v/>
      </c>
      <c r="K772">
        <f>IF(G772=1,0.2*R772/C772,K771)</f>
        <v/>
      </c>
      <c r="L772">
        <f>IF(G772=1,0.2*R772/D772,L771)</f>
        <v/>
      </c>
      <c r="M772">
        <f>IF(G772=1,0.2*R772/E772,M771)</f>
        <v/>
      </c>
      <c r="N772">
        <f>IF(G772=1,0.2*R772/F772,N771)</f>
        <v/>
      </c>
      <c r="O772">
        <f>IF(G772=1,R772*(1-1.0),IF(H771=0,1,O771*(1+0.00023125256064071564)))</f>
        <v/>
      </c>
      <c r="P772">
        <f>IF(G772=1,IF(H771=0,1,ABS(0.2-J771*B772/I772)+ABS(0.2-K771*C772/I772)+ABS(0.2-L771*D772/I772)+ABS(0.2-M771*E772/I772)+ABS(0.2-N771*F772/I772)),0)</f>
        <v/>
      </c>
      <c r="Q772">
        <f>P772*0.0015</f>
        <v/>
      </c>
      <c r="R772">
        <f>I772*(1-Q772)</f>
        <v/>
      </c>
      <c r="S772">
        <f>R772/R771-1</f>
        <v/>
      </c>
      <c r="T772">
        <f>MAX(T771,R772)</f>
        <v/>
      </c>
      <c r="U772">
        <f>R772/T772-1</f>
        <v/>
      </c>
      <c r="V772" t="n">
        <v>2.774584809189806</v>
      </c>
      <c r="W772" s="5">
        <f>R772-V772</f>
        <v/>
      </c>
    </row>
    <row r="773">
      <c r="A773" s="3" t="n">
        <v>39570</v>
      </c>
      <c r="B773">
        <f>Prices!B773</f>
        <v/>
      </c>
      <c r="C773">
        <f>Prices!C773</f>
        <v/>
      </c>
      <c r="D773">
        <f>Prices!D773</f>
        <v/>
      </c>
      <c r="E773">
        <f>Prices!E773</f>
        <v/>
      </c>
      <c r="F773">
        <f>Prices!F773</f>
        <v/>
      </c>
      <c r="G773">
        <f>IF(AND(771&gt;=16,TEXT(A773,"yyyy-mm")&lt;&gt;TEXT(A774,"yyyy-mm")),1,0)</f>
        <v/>
      </c>
      <c r="H773">
        <f>IF(OR(H772=1,G773=1),1,0)</f>
        <v/>
      </c>
      <c r="I773">
        <f>IF(H772=0,1,SUMPRODUCT(J772:N772,B773:F773)+O772*(1+0.00023125256064071564))</f>
        <v/>
      </c>
      <c r="J773">
        <f>IF(G773=1,0.2*R773/B773,J772)</f>
        <v/>
      </c>
      <c r="K773">
        <f>IF(G773=1,0.2*R773/C773,K772)</f>
        <v/>
      </c>
      <c r="L773">
        <f>IF(G773=1,0.2*R773/D773,L772)</f>
        <v/>
      </c>
      <c r="M773">
        <f>IF(G773=1,0.2*R773/E773,M772)</f>
        <v/>
      </c>
      <c r="N773">
        <f>IF(G773=1,0.2*R773/F773,N772)</f>
        <v/>
      </c>
      <c r="O773">
        <f>IF(G773=1,R773*(1-1.0),IF(H772=0,1,O772*(1+0.00023125256064071564)))</f>
        <v/>
      </c>
      <c r="P773">
        <f>IF(G773=1,IF(H772=0,1,ABS(0.2-J772*B773/I773)+ABS(0.2-K772*C773/I773)+ABS(0.2-L772*D773/I773)+ABS(0.2-M772*E773/I773)+ABS(0.2-N772*F773/I773)),0)</f>
        <v/>
      </c>
      <c r="Q773">
        <f>P773*0.0015</f>
        <v/>
      </c>
      <c r="R773">
        <f>I773*(1-Q773)</f>
        <v/>
      </c>
      <c r="S773">
        <f>R773/R772-1</f>
        <v/>
      </c>
      <c r="T773">
        <f>MAX(T772,R773)</f>
        <v/>
      </c>
      <c r="U773">
        <f>R773/T773-1</f>
        <v/>
      </c>
      <c r="V773" t="n">
        <v>2.819996184488145</v>
      </c>
      <c r="W773" s="5">
        <f>R773-V773</f>
        <v/>
      </c>
    </row>
    <row r="774">
      <c r="A774" s="3" t="n">
        <v>39573</v>
      </c>
      <c r="B774">
        <f>Prices!B774</f>
        <v/>
      </c>
      <c r="C774">
        <f>Prices!C774</f>
        <v/>
      </c>
      <c r="D774">
        <f>Prices!D774</f>
        <v/>
      </c>
      <c r="E774">
        <f>Prices!E774</f>
        <v/>
      </c>
      <c r="F774">
        <f>Prices!F774</f>
        <v/>
      </c>
      <c r="G774">
        <f>IF(AND(772&gt;=16,TEXT(A774,"yyyy-mm")&lt;&gt;TEXT(A775,"yyyy-mm")),1,0)</f>
        <v/>
      </c>
      <c r="H774">
        <f>IF(OR(H773=1,G774=1),1,0)</f>
        <v/>
      </c>
      <c r="I774">
        <f>IF(H773=0,1,SUMPRODUCT(J773:N773,B774:F774)+O773*(1+0.00023125256064071564))</f>
        <v/>
      </c>
      <c r="J774">
        <f>IF(G774=1,0.2*R774/B774,J773)</f>
        <v/>
      </c>
      <c r="K774">
        <f>IF(G774=1,0.2*R774/C774,K773)</f>
        <v/>
      </c>
      <c r="L774">
        <f>IF(G774=1,0.2*R774/D774,L773)</f>
        <v/>
      </c>
      <c r="M774">
        <f>IF(G774=1,0.2*R774/E774,M773)</f>
        <v/>
      </c>
      <c r="N774">
        <f>IF(G774=1,0.2*R774/F774,N773)</f>
        <v/>
      </c>
      <c r="O774">
        <f>IF(G774=1,R774*(1-1.0),IF(H773=0,1,O773*(1+0.00023125256064071564)))</f>
        <v/>
      </c>
      <c r="P774">
        <f>IF(G774=1,IF(H773=0,1,ABS(0.2-J773*B774/I774)+ABS(0.2-K773*C774/I774)+ABS(0.2-L773*D774/I774)+ABS(0.2-M773*E774/I774)+ABS(0.2-N773*F774/I774)),0)</f>
        <v/>
      </c>
      <c r="Q774">
        <f>P774*0.0015</f>
        <v/>
      </c>
      <c r="R774">
        <f>I774*(1-Q774)</f>
        <v/>
      </c>
      <c r="S774">
        <f>R774/R773-1</f>
        <v/>
      </c>
      <c r="T774">
        <f>MAX(T773,R774)</f>
        <v/>
      </c>
      <c r="U774">
        <f>R774/T774-1</f>
        <v/>
      </c>
      <c r="V774" t="n">
        <v>2.824617898755318</v>
      </c>
      <c r="W774" s="5">
        <f>R774-V774</f>
        <v/>
      </c>
    </row>
    <row r="775">
      <c r="A775" s="3" t="n">
        <v>39574</v>
      </c>
      <c r="B775">
        <f>Prices!B775</f>
        <v/>
      </c>
      <c r="C775">
        <f>Prices!C775</f>
        <v/>
      </c>
      <c r="D775">
        <f>Prices!D775</f>
        <v/>
      </c>
      <c r="E775">
        <f>Prices!E775</f>
        <v/>
      </c>
      <c r="F775">
        <f>Prices!F775</f>
        <v/>
      </c>
      <c r="G775">
        <f>IF(AND(773&gt;=16,TEXT(A775,"yyyy-mm")&lt;&gt;TEXT(A776,"yyyy-mm")),1,0)</f>
        <v/>
      </c>
      <c r="H775">
        <f>IF(OR(H774=1,G775=1),1,0)</f>
        <v/>
      </c>
      <c r="I775">
        <f>IF(H774=0,1,SUMPRODUCT(J774:N774,B775:F775)+O774*(1+0.00023125256064071564))</f>
        <v/>
      </c>
      <c r="J775">
        <f>IF(G775=1,0.2*R775/B775,J774)</f>
        <v/>
      </c>
      <c r="K775">
        <f>IF(G775=1,0.2*R775/C775,K774)</f>
        <v/>
      </c>
      <c r="L775">
        <f>IF(G775=1,0.2*R775/D775,L774)</f>
        <v/>
      </c>
      <c r="M775">
        <f>IF(G775=1,0.2*R775/E775,M774)</f>
        <v/>
      </c>
      <c r="N775">
        <f>IF(G775=1,0.2*R775/F775,N774)</f>
        <v/>
      </c>
      <c r="O775">
        <f>IF(G775=1,R775*(1-1.0),IF(H774=0,1,O774*(1+0.00023125256064071564)))</f>
        <v/>
      </c>
      <c r="P775">
        <f>IF(G775=1,IF(H774=0,1,ABS(0.2-J774*B775/I775)+ABS(0.2-K774*C775/I775)+ABS(0.2-L774*D775/I775)+ABS(0.2-M774*E775/I775)+ABS(0.2-N774*F775/I775)),0)</f>
        <v/>
      </c>
      <c r="Q775">
        <f>P775*0.0015</f>
        <v/>
      </c>
      <c r="R775">
        <f>I775*(1-Q775)</f>
        <v/>
      </c>
      <c r="S775">
        <f>R775/R774-1</f>
        <v/>
      </c>
      <c r="T775">
        <f>MAX(T774,R775)</f>
        <v/>
      </c>
      <c r="U775">
        <f>R775/T775-1</f>
        <v/>
      </c>
      <c r="V775" t="n">
        <v>2.786052925396554</v>
      </c>
      <c r="W775" s="5">
        <f>R775-V775</f>
        <v/>
      </c>
    </row>
    <row r="776">
      <c r="A776" s="3" t="n">
        <v>39575</v>
      </c>
      <c r="B776">
        <f>Prices!B776</f>
        <v/>
      </c>
      <c r="C776">
        <f>Prices!C776</f>
        <v/>
      </c>
      <c r="D776">
        <f>Prices!D776</f>
        <v/>
      </c>
      <c r="E776">
        <f>Prices!E776</f>
        <v/>
      </c>
      <c r="F776">
        <f>Prices!F776</f>
        <v/>
      </c>
      <c r="G776">
        <f>IF(AND(774&gt;=16,TEXT(A776,"yyyy-mm")&lt;&gt;TEXT(A777,"yyyy-mm")),1,0)</f>
        <v/>
      </c>
      <c r="H776">
        <f>IF(OR(H775=1,G776=1),1,0)</f>
        <v/>
      </c>
      <c r="I776">
        <f>IF(H775=0,1,SUMPRODUCT(J775:N775,B776:F776)+O775*(1+0.00023125256064071564))</f>
        <v/>
      </c>
      <c r="J776">
        <f>IF(G776=1,0.2*R776/B776,J775)</f>
        <v/>
      </c>
      <c r="K776">
        <f>IF(G776=1,0.2*R776/C776,K775)</f>
        <v/>
      </c>
      <c r="L776">
        <f>IF(G776=1,0.2*R776/D776,L775)</f>
        <v/>
      </c>
      <c r="M776">
        <f>IF(G776=1,0.2*R776/E776,M775)</f>
        <v/>
      </c>
      <c r="N776">
        <f>IF(G776=1,0.2*R776/F776,N775)</f>
        <v/>
      </c>
      <c r="O776">
        <f>IF(G776=1,R776*(1-1.0),IF(H775=0,1,O775*(1+0.00023125256064071564)))</f>
        <v/>
      </c>
      <c r="P776">
        <f>IF(G776=1,IF(H775=0,1,ABS(0.2-J775*B776/I776)+ABS(0.2-K775*C776/I776)+ABS(0.2-L775*D776/I776)+ABS(0.2-M775*E776/I776)+ABS(0.2-N775*F776/I776)),0)</f>
        <v/>
      </c>
      <c r="Q776">
        <f>P776*0.0015</f>
        <v/>
      </c>
      <c r="R776">
        <f>I776*(1-Q776)</f>
        <v/>
      </c>
      <c r="S776">
        <f>R776/R775-1</f>
        <v/>
      </c>
      <c r="T776">
        <f>MAX(T775,R776)</f>
        <v/>
      </c>
      <c r="U776">
        <f>R776/T776-1</f>
        <v/>
      </c>
      <c r="V776" t="n">
        <v>2.775997833444813</v>
      </c>
      <c r="W776" s="5">
        <f>R776-V776</f>
        <v/>
      </c>
    </row>
    <row r="777">
      <c r="A777" s="3" t="n">
        <v>39576</v>
      </c>
      <c r="B777">
        <f>Prices!B777</f>
        <v/>
      </c>
      <c r="C777">
        <f>Prices!C777</f>
        <v/>
      </c>
      <c r="D777">
        <f>Prices!D777</f>
        <v/>
      </c>
      <c r="E777">
        <f>Prices!E777</f>
        <v/>
      </c>
      <c r="F777">
        <f>Prices!F777</f>
        <v/>
      </c>
      <c r="G777">
        <f>IF(AND(775&gt;=16,TEXT(A777,"yyyy-mm")&lt;&gt;TEXT(A778,"yyyy-mm")),1,0)</f>
        <v/>
      </c>
      <c r="H777">
        <f>IF(OR(H776=1,G777=1),1,0)</f>
        <v/>
      </c>
      <c r="I777">
        <f>IF(H776=0,1,SUMPRODUCT(J776:N776,B777:F777)+O776*(1+0.00023125256064071564))</f>
        <v/>
      </c>
      <c r="J777">
        <f>IF(G777=1,0.2*R777/B777,J776)</f>
        <v/>
      </c>
      <c r="K777">
        <f>IF(G777=1,0.2*R777/C777,K776)</f>
        <v/>
      </c>
      <c r="L777">
        <f>IF(G777=1,0.2*R777/D777,L776)</f>
        <v/>
      </c>
      <c r="M777">
        <f>IF(G777=1,0.2*R777/E777,M776)</f>
        <v/>
      </c>
      <c r="N777">
        <f>IF(G777=1,0.2*R777/F777,N776)</f>
        <v/>
      </c>
      <c r="O777">
        <f>IF(G777=1,R777*(1-1.0),IF(H776=0,1,O776*(1+0.00023125256064071564)))</f>
        <v/>
      </c>
      <c r="P777">
        <f>IF(G777=1,IF(H776=0,1,ABS(0.2-J776*B777/I777)+ABS(0.2-K776*C777/I777)+ABS(0.2-L776*D777/I777)+ABS(0.2-M776*E777/I777)+ABS(0.2-N776*F777/I777)),0)</f>
        <v/>
      </c>
      <c r="Q777">
        <f>P777*0.0015</f>
        <v/>
      </c>
      <c r="R777">
        <f>I777*(1-Q777)</f>
        <v/>
      </c>
      <c r="S777">
        <f>R777/R776-1</f>
        <v/>
      </c>
      <c r="T777">
        <f>MAX(T776,R777)</f>
        <v/>
      </c>
      <c r="U777">
        <f>R777/T777-1</f>
        <v/>
      </c>
      <c r="V777" t="n">
        <v>2.745715099798576</v>
      </c>
      <c r="W777" s="5">
        <f>R777-V777</f>
        <v/>
      </c>
    </row>
    <row r="778">
      <c r="A778" s="3" t="n">
        <v>39577</v>
      </c>
      <c r="B778">
        <f>Prices!B778</f>
        <v/>
      </c>
      <c r="C778">
        <f>Prices!C778</f>
        <v/>
      </c>
      <c r="D778">
        <f>Prices!D778</f>
        <v/>
      </c>
      <c r="E778">
        <f>Prices!E778</f>
        <v/>
      </c>
      <c r="F778">
        <f>Prices!F778</f>
        <v/>
      </c>
      <c r="G778">
        <f>IF(AND(776&gt;=16,TEXT(A778,"yyyy-mm")&lt;&gt;TEXT(A779,"yyyy-mm")),1,0)</f>
        <v/>
      </c>
      <c r="H778">
        <f>IF(OR(H777=1,G778=1),1,0)</f>
        <v/>
      </c>
      <c r="I778">
        <f>IF(H777=0,1,SUMPRODUCT(J777:N777,B778:F778)+O777*(1+0.00023125256064071564))</f>
        <v/>
      </c>
      <c r="J778">
        <f>IF(G778=1,0.2*R778/B778,J777)</f>
        <v/>
      </c>
      <c r="K778">
        <f>IF(G778=1,0.2*R778/C778,K777)</f>
        <v/>
      </c>
      <c r="L778">
        <f>IF(G778=1,0.2*R778/D778,L777)</f>
        <v/>
      </c>
      <c r="M778">
        <f>IF(G778=1,0.2*R778/E778,M777)</f>
        <v/>
      </c>
      <c r="N778">
        <f>IF(G778=1,0.2*R778/F778,N777)</f>
        <v/>
      </c>
      <c r="O778">
        <f>IF(G778=1,R778*(1-1.0),IF(H777=0,1,O777*(1+0.00023125256064071564)))</f>
        <v/>
      </c>
      <c r="P778">
        <f>IF(G778=1,IF(H777=0,1,ABS(0.2-J777*B778/I778)+ABS(0.2-K777*C778/I778)+ABS(0.2-L777*D778/I778)+ABS(0.2-M777*E778/I778)+ABS(0.2-N777*F778/I778)),0)</f>
        <v/>
      </c>
      <c r="Q778">
        <f>P778*0.0015</f>
        <v/>
      </c>
      <c r="R778">
        <f>I778*(1-Q778)</f>
        <v/>
      </c>
      <c r="S778">
        <f>R778/R777-1</f>
        <v/>
      </c>
      <c r="T778">
        <f>MAX(T777,R778)</f>
        <v/>
      </c>
      <c r="U778">
        <f>R778/T778-1</f>
        <v/>
      </c>
      <c r="V778" t="n">
        <v>2.678394026865406</v>
      </c>
      <c r="W778" s="5">
        <f>R778-V778</f>
        <v/>
      </c>
    </row>
    <row r="779">
      <c r="A779" s="3" t="n">
        <v>39580</v>
      </c>
      <c r="B779">
        <f>Prices!B779</f>
        <v/>
      </c>
      <c r="C779">
        <f>Prices!C779</f>
        <v/>
      </c>
      <c r="D779">
        <f>Prices!D779</f>
        <v/>
      </c>
      <c r="E779">
        <f>Prices!E779</f>
        <v/>
      </c>
      <c r="F779">
        <f>Prices!F779</f>
        <v/>
      </c>
      <c r="G779">
        <f>IF(AND(777&gt;=16,TEXT(A779,"yyyy-mm")&lt;&gt;TEXT(A780,"yyyy-mm")),1,0)</f>
        <v/>
      </c>
      <c r="H779">
        <f>IF(OR(H778=1,G779=1),1,0)</f>
        <v/>
      </c>
      <c r="I779">
        <f>IF(H778=0,1,SUMPRODUCT(J778:N778,B779:F779)+O778*(1+0.00023125256064071564))</f>
        <v/>
      </c>
      <c r="J779">
        <f>IF(G779=1,0.2*R779/B779,J778)</f>
        <v/>
      </c>
      <c r="K779">
        <f>IF(G779=1,0.2*R779/C779,K778)</f>
        <v/>
      </c>
      <c r="L779">
        <f>IF(G779=1,0.2*R779/D779,L778)</f>
        <v/>
      </c>
      <c r="M779">
        <f>IF(G779=1,0.2*R779/E779,M778)</f>
        <v/>
      </c>
      <c r="N779">
        <f>IF(G779=1,0.2*R779/F779,N778)</f>
        <v/>
      </c>
      <c r="O779">
        <f>IF(G779=1,R779*(1-1.0),IF(H778=0,1,O778*(1+0.00023125256064071564)))</f>
        <v/>
      </c>
      <c r="P779">
        <f>IF(G779=1,IF(H778=0,1,ABS(0.2-J778*B779/I779)+ABS(0.2-K778*C779/I779)+ABS(0.2-L778*D779/I779)+ABS(0.2-M778*E779/I779)+ABS(0.2-N778*F779/I779)),0)</f>
        <v/>
      </c>
      <c r="Q779">
        <f>P779*0.0015</f>
        <v/>
      </c>
      <c r="R779">
        <f>I779*(1-Q779)</f>
        <v/>
      </c>
      <c r="S779">
        <f>R779/R778-1</f>
        <v/>
      </c>
      <c r="T779">
        <f>MAX(T778,R779)</f>
        <v/>
      </c>
      <c r="U779">
        <f>R779/T779-1</f>
        <v/>
      </c>
      <c r="V779" t="n">
        <v>2.671874280346369</v>
      </c>
      <c r="W779" s="5">
        <f>R779-V779</f>
        <v/>
      </c>
    </row>
    <row r="780">
      <c r="A780" s="3" t="n">
        <v>39581</v>
      </c>
      <c r="B780">
        <f>Prices!B780</f>
        <v/>
      </c>
      <c r="C780">
        <f>Prices!C780</f>
        <v/>
      </c>
      <c r="D780">
        <f>Prices!D780</f>
        <v/>
      </c>
      <c r="E780">
        <f>Prices!E780</f>
        <v/>
      </c>
      <c r="F780">
        <f>Prices!F780</f>
        <v/>
      </c>
      <c r="G780">
        <f>IF(AND(778&gt;=16,TEXT(A780,"yyyy-mm")&lt;&gt;TEXT(A781,"yyyy-mm")),1,0)</f>
        <v/>
      </c>
      <c r="H780">
        <f>IF(OR(H779=1,G780=1),1,0)</f>
        <v/>
      </c>
      <c r="I780">
        <f>IF(H779=0,1,SUMPRODUCT(J779:N779,B780:F780)+O779*(1+0.00023125256064071564))</f>
        <v/>
      </c>
      <c r="J780">
        <f>IF(G780=1,0.2*R780/B780,J779)</f>
        <v/>
      </c>
      <c r="K780">
        <f>IF(G780=1,0.2*R780/C780,K779)</f>
        <v/>
      </c>
      <c r="L780">
        <f>IF(G780=1,0.2*R780/D780,L779)</f>
        <v/>
      </c>
      <c r="M780">
        <f>IF(G780=1,0.2*R780/E780,M779)</f>
        <v/>
      </c>
      <c r="N780">
        <f>IF(G780=1,0.2*R780/F780,N779)</f>
        <v/>
      </c>
      <c r="O780">
        <f>IF(G780=1,R780*(1-1.0),IF(H779=0,1,O779*(1+0.00023125256064071564)))</f>
        <v/>
      </c>
      <c r="P780">
        <f>IF(G780=1,IF(H779=0,1,ABS(0.2-J779*B780/I780)+ABS(0.2-K779*C780/I780)+ABS(0.2-L779*D780/I780)+ABS(0.2-M779*E780/I780)+ABS(0.2-N779*F780/I780)),0)</f>
        <v/>
      </c>
      <c r="Q780">
        <f>P780*0.0015</f>
        <v/>
      </c>
      <c r="R780">
        <f>I780*(1-Q780)</f>
        <v/>
      </c>
      <c r="S780">
        <f>R780/R779-1</f>
        <v/>
      </c>
      <c r="T780">
        <f>MAX(T779,R780)</f>
        <v/>
      </c>
      <c r="U780">
        <f>R780/T780-1</f>
        <v/>
      </c>
      <c r="V780" t="n">
        <v>2.667024642757942</v>
      </c>
      <c r="W780" s="5">
        <f>R780-V780</f>
        <v/>
      </c>
    </row>
    <row r="781">
      <c r="A781" s="3" t="n">
        <v>39582</v>
      </c>
      <c r="B781">
        <f>Prices!B781</f>
        <v/>
      </c>
      <c r="C781">
        <f>Prices!C781</f>
        <v/>
      </c>
      <c r="D781">
        <f>Prices!D781</f>
        <v/>
      </c>
      <c r="E781">
        <f>Prices!E781</f>
        <v/>
      </c>
      <c r="F781">
        <f>Prices!F781</f>
        <v/>
      </c>
      <c r="G781">
        <f>IF(AND(779&gt;=16,TEXT(A781,"yyyy-mm")&lt;&gt;TEXT(A782,"yyyy-mm")),1,0)</f>
        <v/>
      </c>
      <c r="H781">
        <f>IF(OR(H780=1,G781=1),1,0)</f>
        <v/>
      </c>
      <c r="I781">
        <f>IF(H780=0,1,SUMPRODUCT(J780:N780,B781:F781)+O780*(1+0.00023125256064071564))</f>
        <v/>
      </c>
      <c r="J781">
        <f>IF(G781=1,0.2*R781/B781,J780)</f>
        <v/>
      </c>
      <c r="K781">
        <f>IF(G781=1,0.2*R781/C781,K780)</f>
        <v/>
      </c>
      <c r="L781">
        <f>IF(G781=1,0.2*R781/D781,L780)</f>
        <v/>
      </c>
      <c r="M781">
        <f>IF(G781=1,0.2*R781/E781,M780)</f>
        <v/>
      </c>
      <c r="N781">
        <f>IF(G781=1,0.2*R781/F781,N780)</f>
        <v/>
      </c>
      <c r="O781">
        <f>IF(G781=1,R781*(1-1.0),IF(H780=0,1,O780*(1+0.00023125256064071564)))</f>
        <v/>
      </c>
      <c r="P781">
        <f>IF(G781=1,IF(H780=0,1,ABS(0.2-J780*B781/I781)+ABS(0.2-K780*C781/I781)+ABS(0.2-L780*D781/I781)+ABS(0.2-M780*E781/I781)+ABS(0.2-N780*F781/I781)),0)</f>
        <v/>
      </c>
      <c r="Q781">
        <f>P781*0.0015</f>
        <v/>
      </c>
      <c r="R781">
        <f>I781*(1-Q781)</f>
        <v/>
      </c>
      <c r="S781">
        <f>R781/R780-1</f>
        <v/>
      </c>
      <c r="T781">
        <f>MAX(T780,R781)</f>
        <v/>
      </c>
      <c r="U781">
        <f>R781/T781-1</f>
        <v/>
      </c>
      <c r="V781" t="n">
        <v>2.699030438668067</v>
      </c>
      <c r="W781" s="5">
        <f>R781-V781</f>
        <v/>
      </c>
    </row>
    <row r="782">
      <c r="A782" s="3" t="n">
        <v>39583</v>
      </c>
      <c r="B782">
        <f>Prices!B782</f>
        <v/>
      </c>
      <c r="C782">
        <f>Prices!C782</f>
        <v/>
      </c>
      <c r="D782">
        <f>Prices!D782</f>
        <v/>
      </c>
      <c r="E782">
        <f>Prices!E782</f>
        <v/>
      </c>
      <c r="F782">
        <f>Prices!F782</f>
        <v/>
      </c>
      <c r="G782">
        <f>IF(AND(780&gt;=16,TEXT(A782,"yyyy-mm")&lt;&gt;TEXT(A783,"yyyy-mm")),1,0)</f>
        <v/>
      </c>
      <c r="H782">
        <f>IF(OR(H781=1,G782=1),1,0)</f>
        <v/>
      </c>
      <c r="I782">
        <f>IF(H781=0,1,SUMPRODUCT(J781:N781,B782:F782)+O781*(1+0.00023125256064071564))</f>
        <v/>
      </c>
      <c r="J782">
        <f>IF(G782=1,0.2*R782/B782,J781)</f>
        <v/>
      </c>
      <c r="K782">
        <f>IF(G782=1,0.2*R782/C782,K781)</f>
        <v/>
      </c>
      <c r="L782">
        <f>IF(G782=1,0.2*R782/D782,L781)</f>
        <v/>
      </c>
      <c r="M782">
        <f>IF(G782=1,0.2*R782/E782,M781)</f>
        <v/>
      </c>
      <c r="N782">
        <f>IF(G782=1,0.2*R782/F782,N781)</f>
        <v/>
      </c>
      <c r="O782">
        <f>IF(G782=1,R782*(1-1.0),IF(H781=0,1,O781*(1+0.00023125256064071564)))</f>
        <v/>
      </c>
      <c r="P782">
        <f>IF(G782=1,IF(H781=0,1,ABS(0.2-J781*B782/I782)+ABS(0.2-K781*C782/I782)+ABS(0.2-L781*D782/I782)+ABS(0.2-M781*E782/I782)+ABS(0.2-N781*F782/I782)),0)</f>
        <v/>
      </c>
      <c r="Q782">
        <f>P782*0.0015</f>
        <v/>
      </c>
      <c r="R782">
        <f>I782*(1-Q782)</f>
        <v/>
      </c>
      <c r="S782">
        <f>R782/R781-1</f>
        <v/>
      </c>
      <c r="T782">
        <f>MAX(T781,R782)</f>
        <v/>
      </c>
      <c r="U782">
        <f>R782/T782-1</f>
        <v/>
      </c>
      <c r="V782" t="n">
        <v>2.743811665504637</v>
      </c>
      <c r="W782" s="5">
        <f>R782-V782</f>
        <v/>
      </c>
    </row>
    <row r="783">
      <c r="A783" s="3" t="n">
        <v>39584</v>
      </c>
      <c r="B783">
        <f>Prices!B783</f>
        <v/>
      </c>
      <c r="C783">
        <f>Prices!C783</f>
        <v/>
      </c>
      <c r="D783">
        <f>Prices!D783</f>
        <v/>
      </c>
      <c r="E783">
        <f>Prices!E783</f>
        <v/>
      </c>
      <c r="F783">
        <f>Prices!F783</f>
        <v/>
      </c>
      <c r="G783">
        <f>IF(AND(781&gt;=16,TEXT(A783,"yyyy-mm")&lt;&gt;TEXT(A784,"yyyy-mm")),1,0)</f>
        <v/>
      </c>
      <c r="H783">
        <f>IF(OR(H782=1,G783=1),1,0)</f>
        <v/>
      </c>
      <c r="I783">
        <f>IF(H782=0,1,SUMPRODUCT(J782:N782,B783:F783)+O782*(1+0.00023125256064071564))</f>
        <v/>
      </c>
      <c r="J783">
        <f>IF(G783=1,0.2*R783/B783,J782)</f>
        <v/>
      </c>
      <c r="K783">
        <f>IF(G783=1,0.2*R783/C783,K782)</f>
        <v/>
      </c>
      <c r="L783">
        <f>IF(G783=1,0.2*R783/D783,L782)</f>
        <v/>
      </c>
      <c r="M783">
        <f>IF(G783=1,0.2*R783/E783,M782)</f>
        <v/>
      </c>
      <c r="N783">
        <f>IF(G783=1,0.2*R783/F783,N782)</f>
        <v/>
      </c>
      <c r="O783">
        <f>IF(G783=1,R783*(1-1.0),IF(H782=0,1,O782*(1+0.00023125256064071564)))</f>
        <v/>
      </c>
      <c r="P783">
        <f>IF(G783=1,IF(H782=0,1,ABS(0.2-J782*B783/I783)+ABS(0.2-K782*C783/I783)+ABS(0.2-L782*D783/I783)+ABS(0.2-M782*E783/I783)+ABS(0.2-N782*F783/I783)),0)</f>
        <v/>
      </c>
      <c r="Q783">
        <f>P783*0.0015</f>
        <v/>
      </c>
      <c r="R783">
        <f>I783*(1-Q783)</f>
        <v/>
      </c>
      <c r="S783">
        <f>R783/R782-1</f>
        <v/>
      </c>
      <c r="T783">
        <f>MAX(T782,R783)</f>
        <v/>
      </c>
      <c r="U783">
        <f>R783/T783-1</f>
        <v/>
      </c>
      <c r="V783" t="n">
        <v>2.765577673839905</v>
      </c>
      <c r="W783" s="5">
        <f>R783-V783</f>
        <v/>
      </c>
    </row>
    <row r="784">
      <c r="A784" s="3" t="n">
        <v>39588</v>
      </c>
      <c r="B784">
        <f>Prices!B784</f>
        <v/>
      </c>
      <c r="C784">
        <f>Prices!C784</f>
        <v/>
      </c>
      <c r="D784">
        <f>Prices!D784</f>
        <v/>
      </c>
      <c r="E784">
        <f>Prices!E784</f>
        <v/>
      </c>
      <c r="F784">
        <f>Prices!F784</f>
        <v/>
      </c>
      <c r="G784">
        <f>IF(AND(782&gt;=16,TEXT(A784,"yyyy-mm")&lt;&gt;TEXT(A785,"yyyy-mm")),1,0)</f>
        <v/>
      </c>
      <c r="H784">
        <f>IF(OR(H783=1,G784=1),1,0)</f>
        <v/>
      </c>
      <c r="I784">
        <f>IF(H783=0,1,SUMPRODUCT(J783:N783,B784:F784)+O783*(1+0.00023125256064071564))</f>
        <v/>
      </c>
      <c r="J784">
        <f>IF(G784=1,0.2*R784/B784,J783)</f>
        <v/>
      </c>
      <c r="K784">
        <f>IF(G784=1,0.2*R784/C784,K783)</f>
        <v/>
      </c>
      <c r="L784">
        <f>IF(G784=1,0.2*R784/D784,L783)</f>
        <v/>
      </c>
      <c r="M784">
        <f>IF(G784=1,0.2*R784/E784,M783)</f>
        <v/>
      </c>
      <c r="N784">
        <f>IF(G784=1,0.2*R784/F784,N783)</f>
        <v/>
      </c>
      <c r="O784">
        <f>IF(G784=1,R784*(1-1.0),IF(H783=0,1,O783*(1+0.00023125256064071564)))</f>
        <v/>
      </c>
      <c r="P784">
        <f>IF(G784=1,IF(H783=0,1,ABS(0.2-J783*B784/I784)+ABS(0.2-K783*C784/I784)+ABS(0.2-L783*D784/I784)+ABS(0.2-M783*E784/I784)+ABS(0.2-N783*F784/I784)),0)</f>
        <v/>
      </c>
      <c r="Q784">
        <f>P784*0.0015</f>
        <v/>
      </c>
      <c r="R784">
        <f>I784*(1-Q784)</f>
        <v/>
      </c>
      <c r="S784">
        <f>R784/R783-1</f>
        <v/>
      </c>
      <c r="T784">
        <f>MAX(T783,R784)</f>
        <v/>
      </c>
      <c r="U784">
        <f>R784/T784-1</f>
        <v/>
      </c>
      <c r="V784" t="n">
        <v>2.741112467506576</v>
      </c>
      <c r="W784" s="5">
        <f>R784-V784</f>
        <v/>
      </c>
    </row>
    <row r="785">
      <c r="A785" s="3" t="n">
        <v>39589</v>
      </c>
      <c r="B785">
        <f>Prices!B785</f>
        <v/>
      </c>
      <c r="C785">
        <f>Prices!C785</f>
        <v/>
      </c>
      <c r="D785">
        <f>Prices!D785</f>
        <v/>
      </c>
      <c r="E785">
        <f>Prices!E785</f>
        <v/>
      </c>
      <c r="F785">
        <f>Prices!F785</f>
        <v/>
      </c>
      <c r="G785">
        <f>IF(AND(783&gt;=16,TEXT(A785,"yyyy-mm")&lt;&gt;TEXT(A786,"yyyy-mm")),1,0)</f>
        <v/>
      </c>
      <c r="H785">
        <f>IF(OR(H784=1,G785=1),1,0)</f>
        <v/>
      </c>
      <c r="I785">
        <f>IF(H784=0,1,SUMPRODUCT(J784:N784,B785:F785)+O784*(1+0.00023125256064071564))</f>
        <v/>
      </c>
      <c r="J785">
        <f>IF(G785=1,0.2*R785/B785,J784)</f>
        <v/>
      </c>
      <c r="K785">
        <f>IF(G785=1,0.2*R785/C785,K784)</f>
        <v/>
      </c>
      <c r="L785">
        <f>IF(G785=1,0.2*R785/D785,L784)</f>
        <v/>
      </c>
      <c r="M785">
        <f>IF(G785=1,0.2*R785/E785,M784)</f>
        <v/>
      </c>
      <c r="N785">
        <f>IF(G785=1,0.2*R785/F785,N784)</f>
        <v/>
      </c>
      <c r="O785">
        <f>IF(G785=1,R785*(1-1.0),IF(H784=0,1,O784*(1+0.00023125256064071564)))</f>
        <v/>
      </c>
      <c r="P785">
        <f>IF(G785=1,IF(H784=0,1,ABS(0.2-J784*B785/I785)+ABS(0.2-K784*C785/I785)+ABS(0.2-L784*D785/I785)+ABS(0.2-M784*E785/I785)+ABS(0.2-N784*F785/I785)),0)</f>
        <v/>
      </c>
      <c r="Q785">
        <f>P785*0.0015</f>
        <v/>
      </c>
      <c r="R785">
        <f>I785*(1-Q785)</f>
        <v/>
      </c>
      <c r="S785">
        <f>R785/R784-1</f>
        <v/>
      </c>
      <c r="T785">
        <f>MAX(T784,R785)</f>
        <v/>
      </c>
      <c r="U785">
        <f>R785/T785-1</f>
        <v/>
      </c>
      <c r="V785" t="n">
        <v>2.763951309142044</v>
      </c>
      <c r="W785" s="5">
        <f>R785-V785</f>
        <v/>
      </c>
    </row>
    <row r="786">
      <c r="A786" s="3" t="n">
        <v>39590</v>
      </c>
      <c r="B786">
        <f>Prices!B786</f>
        <v/>
      </c>
      <c r="C786">
        <f>Prices!C786</f>
        <v/>
      </c>
      <c r="D786">
        <f>Prices!D786</f>
        <v/>
      </c>
      <c r="E786">
        <f>Prices!E786</f>
        <v/>
      </c>
      <c r="F786">
        <f>Prices!F786</f>
        <v/>
      </c>
      <c r="G786">
        <f>IF(AND(784&gt;=16,TEXT(A786,"yyyy-mm")&lt;&gt;TEXT(A787,"yyyy-mm")),1,0)</f>
        <v/>
      </c>
      <c r="H786">
        <f>IF(OR(H785=1,G786=1),1,0)</f>
        <v/>
      </c>
      <c r="I786">
        <f>IF(H785=0,1,SUMPRODUCT(J785:N785,B786:F786)+O785*(1+0.00023125256064071564))</f>
        <v/>
      </c>
      <c r="J786">
        <f>IF(G786=1,0.2*R786/B786,J785)</f>
        <v/>
      </c>
      <c r="K786">
        <f>IF(G786=1,0.2*R786/C786,K785)</f>
        <v/>
      </c>
      <c r="L786">
        <f>IF(G786=1,0.2*R786/D786,L785)</f>
        <v/>
      </c>
      <c r="M786">
        <f>IF(G786=1,0.2*R786/E786,M785)</f>
        <v/>
      </c>
      <c r="N786">
        <f>IF(G786=1,0.2*R786/F786,N785)</f>
        <v/>
      </c>
      <c r="O786">
        <f>IF(G786=1,R786*(1-1.0),IF(H785=0,1,O785*(1+0.00023125256064071564)))</f>
        <v/>
      </c>
      <c r="P786">
        <f>IF(G786=1,IF(H785=0,1,ABS(0.2-J785*B786/I786)+ABS(0.2-K785*C786/I786)+ABS(0.2-L785*D786/I786)+ABS(0.2-M785*E786/I786)+ABS(0.2-N785*F786/I786)),0)</f>
        <v/>
      </c>
      <c r="Q786">
        <f>P786*0.0015</f>
        <v/>
      </c>
      <c r="R786">
        <f>I786*(1-Q786)</f>
        <v/>
      </c>
      <c r="S786">
        <f>R786/R785-1</f>
        <v/>
      </c>
      <c r="T786">
        <f>MAX(T785,R786)</f>
        <v/>
      </c>
      <c r="U786">
        <f>R786/T786-1</f>
        <v/>
      </c>
      <c r="V786" t="n">
        <v>2.71678820793328</v>
      </c>
      <c r="W786" s="5">
        <f>R786-V786</f>
        <v/>
      </c>
    </row>
    <row r="787">
      <c r="A787" s="3" t="n">
        <v>39591</v>
      </c>
      <c r="B787">
        <f>Prices!B787</f>
        <v/>
      </c>
      <c r="C787">
        <f>Prices!C787</f>
        <v/>
      </c>
      <c r="D787">
        <f>Prices!D787</f>
        <v/>
      </c>
      <c r="E787">
        <f>Prices!E787</f>
        <v/>
      </c>
      <c r="F787">
        <f>Prices!F787</f>
        <v/>
      </c>
      <c r="G787">
        <f>IF(AND(785&gt;=16,TEXT(A787,"yyyy-mm")&lt;&gt;TEXT(A788,"yyyy-mm")),1,0)</f>
        <v/>
      </c>
      <c r="H787">
        <f>IF(OR(H786=1,G787=1),1,0)</f>
        <v/>
      </c>
      <c r="I787">
        <f>IF(H786=0,1,SUMPRODUCT(J786:N786,B787:F787)+O786*(1+0.00023125256064071564))</f>
        <v/>
      </c>
      <c r="J787">
        <f>IF(G787=1,0.2*R787/B787,J786)</f>
        <v/>
      </c>
      <c r="K787">
        <f>IF(G787=1,0.2*R787/C787,K786)</f>
        <v/>
      </c>
      <c r="L787">
        <f>IF(G787=1,0.2*R787/D787,L786)</f>
        <v/>
      </c>
      <c r="M787">
        <f>IF(G787=1,0.2*R787/E787,M786)</f>
        <v/>
      </c>
      <c r="N787">
        <f>IF(G787=1,0.2*R787/F787,N786)</f>
        <v/>
      </c>
      <c r="O787">
        <f>IF(G787=1,R787*(1-1.0),IF(H786=0,1,O786*(1+0.00023125256064071564)))</f>
        <v/>
      </c>
      <c r="P787">
        <f>IF(G787=1,IF(H786=0,1,ABS(0.2-J786*B787/I787)+ABS(0.2-K786*C787/I787)+ABS(0.2-L786*D787/I787)+ABS(0.2-M786*E787/I787)+ABS(0.2-N786*F787/I787)),0)</f>
        <v/>
      </c>
      <c r="Q787">
        <f>P787*0.0015</f>
        <v/>
      </c>
      <c r="R787">
        <f>I787*(1-Q787)</f>
        <v/>
      </c>
      <c r="S787">
        <f>R787/R786-1</f>
        <v/>
      </c>
      <c r="T787">
        <f>MAX(T786,R787)</f>
        <v/>
      </c>
      <c r="U787">
        <f>R787/T787-1</f>
        <v/>
      </c>
      <c r="V787" t="n">
        <v>2.675142861550315</v>
      </c>
      <c r="W787" s="5">
        <f>R787-V787</f>
        <v/>
      </c>
    </row>
    <row r="788">
      <c r="A788" s="3" t="n">
        <v>39594</v>
      </c>
      <c r="B788">
        <f>Prices!B788</f>
        <v/>
      </c>
      <c r="C788">
        <f>Prices!C788</f>
        <v/>
      </c>
      <c r="D788">
        <f>Prices!D788</f>
        <v/>
      </c>
      <c r="E788">
        <f>Prices!E788</f>
        <v/>
      </c>
      <c r="F788">
        <f>Prices!F788</f>
        <v/>
      </c>
      <c r="G788">
        <f>IF(AND(786&gt;=16,TEXT(A788,"yyyy-mm")&lt;&gt;TEXT(A789,"yyyy-mm")),1,0)</f>
        <v/>
      </c>
      <c r="H788">
        <f>IF(OR(H787=1,G788=1),1,0)</f>
        <v/>
      </c>
      <c r="I788">
        <f>IF(H787=0,1,SUMPRODUCT(J787:N787,B788:F788)+O787*(1+0.00023125256064071564))</f>
        <v/>
      </c>
      <c r="J788">
        <f>IF(G788=1,0.2*R788/B788,J787)</f>
        <v/>
      </c>
      <c r="K788">
        <f>IF(G788=1,0.2*R788/C788,K787)</f>
        <v/>
      </c>
      <c r="L788">
        <f>IF(G788=1,0.2*R788/D788,L787)</f>
        <v/>
      </c>
      <c r="M788">
        <f>IF(G788=1,0.2*R788/E788,M787)</f>
        <v/>
      </c>
      <c r="N788">
        <f>IF(G788=1,0.2*R788/F788,N787)</f>
        <v/>
      </c>
      <c r="O788">
        <f>IF(G788=1,R788*(1-1.0),IF(H787=0,1,O787*(1+0.00023125256064071564)))</f>
        <v/>
      </c>
      <c r="P788">
        <f>IF(G788=1,IF(H787=0,1,ABS(0.2-J787*B788/I788)+ABS(0.2-K787*C788/I788)+ABS(0.2-L787*D788/I788)+ABS(0.2-M787*E788/I788)+ABS(0.2-N787*F788/I788)),0)</f>
        <v/>
      </c>
      <c r="Q788">
        <f>P788*0.0015</f>
        <v/>
      </c>
      <c r="R788">
        <f>I788*(1-Q788)</f>
        <v/>
      </c>
      <c r="S788">
        <f>R788/R787-1</f>
        <v/>
      </c>
      <c r="T788">
        <f>MAX(T787,R788)</f>
        <v/>
      </c>
      <c r="U788">
        <f>R788/T788-1</f>
        <v/>
      </c>
      <c r="V788" t="n">
        <v>2.616653518158527</v>
      </c>
      <c r="W788" s="5">
        <f>R788-V788</f>
        <v/>
      </c>
    </row>
    <row r="789">
      <c r="A789" s="3" t="n">
        <v>39595</v>
      </c>
      <c r="B789">
        <f>Prices!B789</f>
        <v/>
      </c>
      <c r="C789">
        <f>Prices!C789</f>
        <v/>
      </c>
      <c r="D789">
        <f>Prices!D789</f>
        <v/>
      </c>
      <c r="E789">
        <f>Prices!E789</f>
        <v/>
      </c>
      <c r="F789">
        <f>Prices!F789</f>
        <v/>
      </c>
      <c r="G789">
        <f>IF(AND(787&gt;=16,TEXT(A789,"yyyy-mm")&lt;&gt;TEXT(A790,"yyyy-mm")),1,0)</f>
        <v/>
      </c>
      <c r="H789">
        <f>IF(OR(H788=1,G789=1),1,0)</f>
        <v/>
      </c>
      <c r="I789">
        <f>IF(H788=0,1,SUMPRODUCT(J788:N788,B789:F789)+O788*(1+0.00023125256064071564))</f>
        <v/>
      </c>
      <c r="J789">
        <f>IF(G789=1,0.2*R789/B789,J788)</f>
        <v/>
      </c>
      <c r="K789">
        <f>IF(G789=1,0.2*R789/C789,K788)</f>
        <v/>
      </c>
      <c r="L789">
        <f>IF(G789=1,0.2*R789/D789,L788)</f>
        <v/>
      </c>
      <c r="M789">
        <f>IF(G789=1,0.2*R789/E789,M788)</f>
        <v/>
      </c>
      <c r="N789">
        <f>IF(G789=1,0.2*R789/F789,N788)</f>
        <v/>
      </c>
      <c r="O789">
        <f>IF(G789=1,R789*(1-1.0),IF(H788=0,1,O788*(1+0.00023125256064071564)))</f>
        <v/>
      </c>
      <c r="P789">
        <f>IF(G789=1,IF(H788=0,1,ABS(0.2-J788*B789/I789)+ABS(0.2-K788*C789/I789)+ABS(0.2-L788*D789/I789)+ABS(0.2-M788*E789/I789)+ABS(0.2-N788*F789/I789)),0)</f>
        <v/>
      </c>
      <c r="Q789">
        <f>P789*0.0015</f>
        <v/>
      </c>
      <c r="R789">
        <f>I789*(1-Q789)</f>
        <v/>
      </c>
      <c r="S789">
        <f>R789/R788-1</f>
        <v/>
      </c>
      <c r="T789">
        <f>MAX(T788,R789)</f>
        <v/>
      </c>
      <c r="U789">
        <f>R789/T789-1</f>
        <v/>
      </c>
      <c r="V789" t="n">
        <v>2.601007150615551</v>
      </c>
      <c r="W789" s="5">
        <f>R789-V789</f>
        <v/>
      </c>
    </row>
    <row r="790">
      <c r="A790" s="3" t="n">
        <v>39596</v>
      </c>
      <c r="B790">
        <f>Prices!B790</f>
        <v/>
      </c>
      <c r="C790">
        <f>Prices!C790</f>
        <v/>
      </c>
      <c r="D790">
        <f>Prices!D790</f>
        <v/>
      </c>
      <c r="E790">
        <f>Prices!E790</f>
        <v/>
      </c>
      <c r="F790">
        <f>Prices!F790</f>
        <v/>
      </c>
      <c r="G790">
        <f>IF(AND(788&gt;=16,TEXT(A790,"yyyy-mm")&lt;&gt;TEXT(A791,"yyyy-mm")),1,0)</f>
        <v/>
      </c>
      <c r="H790">
        <f>IF(OR(H789=1,G790=1),1,0)</f>
        <v/>
      </c>
      <c r="I790">
        <f>IF(H789=0,1,SUMPRODUCT(J789:N789,B790:F790)+O789*(1+0.00023125256064071564))</f>
        <v/>
      </c>
      <c r="J790">
        <f>IF(G790=1,0.2*R790/B790,J789)</f>
        <v/>
      </c>
      <c r="K790">
        <f>IF(G790=1,0.2*R790/C790,K789)</f>
        <v/>
      </c>
      <c r="L790">
        <f>IF(G790=1,0.2*R790/D790,L789)</f>
        <v/>
      </c>
      <c r="M790">
        <f>IF(G790=1,0.2*R790/E790,M789)</f>
        <v/>
      </c>
      <c r="N790">
        <f>IF(G790=1,0.2*R790/F790,N789)</f>
        <v/>
      </c>
      <c r="O790">
        <f>IF(G790=1,R790*(1-1.0),IF(H789=0,1,O789*(1+0.00023125256064071564)))</f>
        <v/>
      </c>
      <c r="P790">
        <f>IF(G790=1,IF(H789=0,1,ABS(0.2-J789*B790/I790)+ABS(0.2-K789*C790/I790)+ABS(0.2-L789*D790/I790)+ABS(0.2-M789*E790/I790)+ABS(0.2-N789*F790/I790)),0)</f>
        <v/>
      </c>
      <c r="Q790">
        <f>P790*0.0015</f>
        <v/>
      </c>
      <c r="R790">
        <f>I790*(1-Q790)</f>
        <v/>
      </c>
      <c r="S790">
        <f>R790/R789-1</f>
        <v/>
      </c>
      <c r="T790">
        <f>MAX(T789,R790)</f>
        <v/>
      </c>
      <c r="U790">
        <f>R790/T790-1</f>
        <v/>
      </c>
      <c r="V790" t="n">
        <v>2.643648349327153</v>
      </c>
      <c r="W790" s="5">
        <f>R790-V790</f>
        <v/>
      </c>
    </row>
    <row r="791">
      <c r="A791" s="3" t="n">
        <v>39597</v>
      </c>
      <c r="B791">
        <f>Prices!B791</f>
        <v/>
      </c>
      <c r="C791">
        <f>Prices!C791</f>
        <v/>
      </c>
      <c r="D791">
        <f>Prices!D791</f>
        <v/>
      </c>
      <c r="E791">
        <f>Prices!E791</f>
        <v/>
      </c>
      <c r="F791">
        <f>Prices!F791</f>
        <v/>
      </c>
      <c r="G791">
        <f>IF(AND(789&gt;=16,TEXT(A791,"yyyy-mm")&lt;&gt;TEXT(A792,"yyyy-mm")),1,0)</f>
        <v/>
      </c>
      <c r="H791">
        <f>IF(OR(H790=1,G791=1),1,0)</f>
        <v/>
      </c>
      <c r="I791">
        <f>IF(H790=0,1,SUMPRODUCT(J790:N790,B791:F791)+O790*(1+0.00023125256064071564))</f>
        <v/>
      </c>
      <c r="J791">
        <f>IF(G791=1,0.2*R791/B791,J790)</f>
        <v/>
      </c>
      <c r="K791">
        <f>IF(G791=1,0.2*R791/C791,K790)</f>
        <v/>
      </c>
      <c r="L791">
        <f>IF(G791=1,0.2*R791/D791,L790)</f>
        <v/>
      </c>
      <c r="M791">
        <f>IF(G791=1,0.2*R791/E791,M790)</f>
        <v/>
      </c>
      <c r="N791">
        <f>IF(G791=1,0.2*R791/F791,N790)</f>
        <v/>
      </c>
      <c r="O791">
        <f>IF(G791=1,R791*(1-1.0),IF(H790=0,1,O790*(1+0.00023125256064071564)))</f>
        <v/>
      </c>
      <c r="P791">
        <f>IF(G791=1,IF(H790=0,1,ABS(0.2-J790*B791/I791)+ABS(0.2-K790*C791/I791)+ABS(0.2-L790*D791/I791)+ABS(0.2-M790*E791/I791)+ABS(0.2-N790*F791/I791)),0)</f>
        <v/>
      </c>
      <c r="Q791">
        <f>P791*0.0015</f>
        <v/>
      </c>
      <c r="R791">
        <f>I791*(1-Q791)</f>
        <v/>
      </c>
      <c r="S791">
        <f>R791/R790-1</f>
        <v/>
      </c>
      <c r="T791">
        <f>MAX(T790,R791)</f>
        <v/>
      </c>
      <c r="U791">
        <f>R791/T791-1</f>
        <v/>
      </c>
      <c r="V791" t="n">
        <v>2.620033860258397</v>
      </c>
      <c r="W791" s="5">
        <f>R791-V791</f>
        <v/>
      </c>
    </row>
    <row r="792">
      <c r="A792" s="3" t="n">
        <v>39598</v>
      </c>
      <c r="B792">
        <f>Prices!B792</f>
        <v/>
      </c>
      <c r="C792">
        <f>Prices!C792</f>
        <v/>
      </c>
      <c r="D792">
        <f>Prices!D792</f>
        <v/>
      </c>
      <c r="E792">
        <f>Prices!E792</f>
        <v/>
      </c>
      <c r="F792">
        <f>Prices!F792</f>
        <v/>
      </c>
      <c r="G792">
        <f>IF(AND(790&gt;=16,TEXT(A792,"yyyy-mm")&lt;&gt;TEXT(A793,"yyyy-mm")),1,0)</f>
        <v/>
      </c>
      <c r="H792">
        <f>IF(OR(H791=1,G792=1),1,0)</f>
        <v/>
      </c>
      <c r="I792">
        <f>IF(H791=0,1,SUMPRODUCT(J791:N791,B792:F792)+O791*(1+0.00023125256064071564))</f>
        <v/>
      </c>
      <c r="J792">
        <f>IF(G792=1,0.2*R792/B792,J791)</f>
        <v/>
      </c>
      <c r="K792">
        <f>IF(G792=1,0.2*R792/C792,K791)</f>
        <v/>
      </c>
      <c r="L792">
        <f>IF(G792=1,0.2*R792/D792,L791)</f>
        <v/>
      </c>
      <c r="M792">
        <f>IF(G792=1,0.2*R792/E792,M791)</f>
        <v/>
      </c>
      <c r="N792">
        <f>IF(G792=1,0.2*R792/F792,N791)</f>
        <v/>
      </c>
      <c r="O792">
        <f>IF(G792=1,R792*(1-1.0),IF(H791=0,1,O791*(1+0.00023125256064071564)))</f>
        <v/>
      </c>
      <c r="P792">
        <f>IF(G792=1,IF(H791=0,1,ABS(0.2-J791*B792/I792)+ABS(0.2-K791*C792/I792)+ABS(0.2-L791*D792/I792)+ABS(0.2-M791*E792/I792)+ABS(0.2-N791*F792/I792)),0)</f>
        <v/>
      </c>
      <c r="Q792">
        <f>P792*0.0015</f>
        <v/>
      </c>
      <c r="R792">
        <f>I792*(1-Q792)</f>
        <v/>
      </c>
      <c r="S792">
        <f>R792/R791-1</f>
        <v/>
      </c>
      <c r="T792">
        <f>MAX(T791,R792)</f>
        <v/>
      </c>
      <c r="U792">
        <f>R792/T792-1</f>
        <v/>
      </c>
      <c r="V792" t="n">
        <v>2.619093339966112</v>
      </c>
      <c r="W792" s="5">
        <f>R792-V792</f>
        <v/>
      </c>
    </row>
    <row r="793">
      <c r="A793" s="3" t="n">
        <v>39601</v>
      </c>
      <c r="B793">
        <f>Prices!B793</f>
        <v/>
      </c>
      <c r="C793">
        <f>Prices!C793</f>
        <v/>
      </c>
      <c r="D793">
        <f>Prices!D793</f>
        <v/>
      </c>
      <c r="E793">
        <f>Prices!E793</f>
        <v/>
      </c>
      <c r="F793">
        <f>Prices!F793</f>
        <v/>
      </c>
      <c r="G793">
        <f>IF(AND(791&gt;=16,TEXT(A793,"yyyy-mm")&lt;&gt;TEXT(A794,"yyyy-mm")),1,0)</f>
        <v/>
      </c>
      <c r="H793">
        <f>IF(OR(H792=1,G793=1),1,0)</f>
        <v/>
      </c>
      <c r="I793">
        <f>IF(H792=0,1,SUMPRODUCT(J792:N792,B793:F793)+O792*(1+0.00023125256064071564))</f>
        <v/>
      </c>
      <c r="J793">
        <f>IF(G793=1,0.2*R793/B793,J792)</f>
        <v/>
      </c>
      <c r="K793">
        <f>IF(G793=1,0.2*R793/C793,K792)</f>
        <v/>
      </c>
      <c r="L793">
        <f>IF(G793=1,0.2*R793/D793,L792)</f>
        <v/>
      </c>
      <c r="M793">
        <f>IF(G793=1,0.2*R793/E793,M792)</f>
        <v/>
      </c>
      <c r="N793">
        <f>IF(G793=1,0.2*R793/F793,N792)</f>
        <v/>
      </c>
      <c r="O793">
        <f>IF(G793=1,R793*(1-1.0),IF(H792=0,1,O792*(1+0.00023125256064071564)))</f>
        <v/>
      </c>
      <c r="P793">
        <f>IF(G793=1,IF(H792=0,1,ABS(0.2-J792*B793/I793)+ABS(0.2-K792*C793/I793)+ABS(0.2-L792*D793/I793)+ABS(0.2-M792*E793/I793)+ABS(0.2-N792*F793/I793)),0)</f>
        <v/>
      </c>
      <c r="Q793">
        <f>P793*0.0015</f>
        <v/>
      </c>
      <c r="R793">
        <f>I793*(1-Q793)</f>
        <v/>
      </c>
      <c r="S793">
        <f>R793/R792-1</f>
        <v/>
      </c>
      <c r="T793">
        <f>MAX(T792,R793)</f>
        <v/>
      </c>
      <c r="U793">
        <f>R793/T793-1</f>
        <v/>
      </c>
      <c r="V793" t="n">
        <v>2.555954875507579</v>
      </c>
      <c r="W793" s="5">
        <f>R793-V793</f>
        <v/>
      </c>
    </row>
    <row r="794">
      <c r="A794" s="3" t="n">
        <v>39602</v>
      </c>
      <c r="B794">
        <f>Prices!B794</f>
        <v/>
      </c>
      <c r="C794">
        <f>Prices!C794</f>
        <v/>
      </c>
      <c r="D794">
        <f>Prices!D794</f>
        <v/>
      </c>
      <c r="E794">
        <f>Prices!E794</f>
        <v/>
      </c>
      <c r="F794">
        <f>Prices!F794</f>
        <v/>
      </c>
      <c r="G794">
        <f>IF(AND(792&gt;=16,TEXT(A794,"yyyy-mm")&lt;&gt;TEXT(A795,"yyyy-mm")),1,0)</f>
        <v/>
      </c>
      <c r="H794">
        <f>IF(OR(H793=1,G794=1),1,0)</f>
        <v/>
      </c>
      <c r="I794">
        <f>IF(H793=0,1,SUMPRODUCT(J793:N793,B794:F794)+O793*(1+0.00023125256064071564))</f>
        <v/>
      </c>
      <c r="J794">
        <f>IF(G794=1,0.2*R794/B794,J793)</f>
        <v/>
      </c>
      <c r="K794">
        <f>IF(G794=1,0.2*R794/C794,K793)</f>
        <v/>
      </c>
      <c r="L794">
        <f>IF(G794=1,0.2*R794/D794,L793)</f>
        <v/>
      </c>
      <c r="M794">
        <f>IF(G794=1,0.2*R794/E794,M793)</f>
        <v/>
      </c>
      <c r="N794">
        <f>IF(G794=1,0.2*R794/F794,N793)</f>
        <v/>
      </c>
      <c r="O794">
        <f>IF(G794=1,R794*(1-1.0),IF(H793=0,1,O793*(1+0.00023125256064071564)))</f>
        <v/>
      </c>
      <c r="P794">
        <f>IF(G794=1,IF(H793=0,1,ABS(0.2-J793*B794/I794)+ABS(0.2-K793*C794/I794)+ABS(0.2-L793*D794/I794)+ABS(0.2-M793*E794/I794)+ABS(0.2-N793*F794/I794)),0)</f>
        <v/>
      </c>
      <c r="Q794">
        <f>P794*0.0015</f>
        <v/>
      </c>
      <c r="R794">
        <f>I794*(1-Q794)</f>
        <v/>
      </c>
      <c r="S794">
        <f>R794/R793-1</f>
        <v/>
      </c>
      <c r="T794">
        <f>MAX(T793,R794)</f>
        <v/>
      </c>
      <c r="U794">
        <f>R794/T794-1</f>
        <v/>
      </c>
      <c r="V794" t="n">
        <v>2.543212469981544</v>
      </c>
      <c r="W794" s="5">
        <f>R794-V794</f>
        <v/>
      </c>
    </row>
    <row r="795">
      <c r="A795" s="3" t="n">
        <v>39603</v>
      </c>
      <c r="B795">
        <f>Prices!B795</f>
        <v/>
      </c>
      <c r="C795">
        <f>Prices!C795</f>
        <v/>
      </c>
      <c r="D795">
        <f>Prices!D795</f>
        <v/>
      </c>
      <c r="E795">
        <f>Prices!E795</f>
        <v/>
      </c>
      <c r="F795">
        <f>Prices!F795</f>
        <v/>
      </c>
      <c r="G795">
        <f>IF(AND(793&gt;=16,TEXT(A795,"yyyy-mm")&lt;&gt;TEXT(A796,"yyyy-mm")),1,0)</f>
        <v/>
      </c>
      <c r="H795">
        <f>IF(OR(H794=1,G795=1),1,0)</f>
        <v/>
      </c>
      <c r="I795">
        <f>IF(H794=0,1,SUMPRODUCT(J794:N794,B795:F795)+O794*(1+0.00023125256064071564))</f>
        <v/>
      </c>
      <c r="J795">
        <f>IF(G795=1,0.2*R795/B795,J794)</f>
        <v/>
      </c>
      <c r="K795">
        <f>IF(G795=1,0.2*R795/C795,K794)</f>
        <v/>
      </c>
      <c r="L795">
        <f>IF(G795=1,0.2*R795/D795,L794)</f>
        <v/>
      </c>
      <c r="M795">
        <f>IF(G795=1,0.2*R795/E795,M794)</f>
        <v/>
      </c>
      <c r="N795">
        <f>IF(G795=1,0.2*R795/F795,N794)</f>
        <v/>
      </c>
      <c r="O795">
        <f>IF(G795=1,R795*(1-1.0),IF(H794=0,1,O794*(1+0.00023125256064071564)))</f>
        <v/>
      </c>
      <c r="P795">
        <f>IF(G795=1,IF(H794=0,1,ABS(0.2-J794*B795/I795)+ABS(0.2-K794*C795/I795)+ABS(0.2-L794*D795/I795)+ABS(0.2-M794*E795/I795)+ABS(0.2-N794*F795/I795)),0)</f>
        <v/>
      </c>
      <c r="Q795">
        <f>P795*0.0015</f>
        <v/>
      </c>
      <c r="R795">
        <f>I795*(1-Q795)</f>
        <v/>
      </c>
      <c r="S795">
        <f>R795/R794-1</f>
        <v/>
      </c>
      <c r="T795">
        <f>MAX(T794,R795)</f>
        <v/>
      </c>
      <c r="U795">
        <f>R795/T795-1</f>
        <v/>
      </c>
      <c r="V795" t="n">
        <v>2.456702673444912</v>
      </c>
      <c r="W795" s="5">
        <f>R795-V795</f>
        <v/>
      </c>
    </row>
    <row r="796">
      <c r="A796" s="3" t="n">
        <v>39604</v>
      </c>
      <c r="B796">
        <f>Prices!B796</f>
        <v/>
      </c>
      <c r="C796">
        <f>Prices!C796</f>
        <v/>
      </c>
      <c r="D796">
        <f>Prices!D796</f>
        <v/>
      </c>
      <c r="E796">
        <f>Prices!E796</f>
        <v/>
      </c>
      <c r="F796">
        <f>Prices!F796</f>
        <v/>
      </c>
      <c r="G796">
        <f>IF(AND(794&gt;=16,TEXT(A796,"yyyy-mm")&lt;&gt;TEXT(A797,"yyyy-mm")),1,0)</f>
        <v/>
      </c>
      <c r="H796">
        <f>IF(OR(H795=1,G796=1),1,0)</f>
        <v/>
      </c>
      <c r="I796">
        <f>IF(H795=0,1,SUMPRODUCT(J795:N795,B796:F796)+O795*(1+0.00023125256064071564))</f>
        <v/>
      </c>
      <c r="J796">
        <f>IF(G796=1,0.2*R796/B796,J795)</f>
        <v/>
      </c>
      <c r="K796">
        <f>IF(G796=1,0.2*R796/C796,K795)</f>
        <v/>
      </c>
      <c r="L796">
        <f>IF(G796=1,0.2*R796/D796,L795)</f>
        <v/>
      </c>
      <c r="M796">
        <f>IF(G796=1,0.2*R796/E796,M795)</f>
        <v/>
      </c>
      <c r="N796">
        <f>IF(G796=1,0.2*R796/F796,N795)</f>
        <v/>
      </c>
      <c r="O796">
        <f>IF(G796=1,R796*(1-1.0),IF(H795=0,1,O795*(1+0.00023125256064071564)))</f>
        <v/>
      </c>
      <c r="P796">
        <f>IF(G796=1,IF(H795=0,1,ABS(0.2-J795*B796/I796)+ABS(0.2-K795*C796/I796)+ABS(0.2-L795*D796/I796)+ABS(0.2-M795*E796/I796)+ABS(0.2-N795*F796/I796)),0)</f>
        <v/>
      </c>
      <c r="Q796">
        <f>P796*0.0015</f>
        <v/>
      </c>
      <c r="R796">
        <f>I796*(1-Q796)</f>
        <v/>
      </c>
      <c r="S796">
        <f>R796/R795-1</f>
        <v/>
      </c>
      <c r="T796">
        <f>MAX(T795,R796)</f>
        <v/>
      </c>
      <c r="U796">
        <f>R796/T796-1</f>
        <v/>
      </c>
      <c r="V796" t="n">
        <v>2.488263732561228</v>
      </c>
      <c r="W796" s="5">
        <f>R796-V796</f>
        <v/>
      </c>
    </row>
    <row r="797">
      <c r="A797" s="3" t="n">
        <v>39605</v>
      </c>
      <c r="B797">
        <f>Prices!B797</f>
        <v/>
      </c>
      <c r="C797">
        <f>Prices!C797</f>
        <v/>
      </c>
      <c r="D797">
        <f>Prices!D797</f>
        <v/>
      </c>
      <c r="E797">
        <f>Prices!E797</f>
        <v/>
      </c>
      <c r="F797">
        <f>Prices!F797</f>
        <v/>
      </c>
      <c r="G797">
        <f>IF(AND(795&gt;=16,TEXT(A797,"yyyy-mm")&lt;&gt;TEXT(A798,"yyyy-mm")),1,0)</f>
        <v/>
      </c>
      <c r="H797">
        <f>IF(OR(H796=1,G797=1),1,0)</f>
        <v/>
      </c>
      <c r="I797">
        <f>IF(H796=0,1,SUMPRODUCT(J796:N796,B797:F797)+O796*(1+0.00023125256064071564))</f>
        <v/>
      </c>
      <c r="J797">
        <f>IF(G797=1,0.2*R797/B797,J796)</f>
        <v/>
      </c>
      <c r="K797">
        <f>IF(G797=1,0.2*R797/C797,K796)</f>
        <v/>
      </c>
      <c r="L797">
        <f>IF(G797=1,0.2*R797/D797,L796)</f>
        <v/>
      </c>
      <c r="M797">
        <f>IF(G797=1,0.2*R797/E797,M796)</f>
        <v/>
      </c>
      <c r="N797">
        <f>IF(G797=1,0.2*R797/F797,N796)</f>
        <v/>
      </c>
      <c r="O797">
        <f>IF(G797=1,R797*(1-1.0),IF(H796=0,1,O796*(1+0.00023125256064071564)))</f>
        <v/>
      </c>
      <c r="P797">
        <f>IF(G797=1,IF(H796=0,1,ABS(0.2-J796*B797/I797)+ABS(0.2-K796*C797/I797)+ABS(0.2-L796*D797/I797)+ABS(0.2-M796*E797/I797)+ABS(0.2-N796*F797/I797)),0)</f>
        <v/>
      </c>
      <c r="Q797">
        <f>P797*0.0015</f>
        <v/>
      </c>
      <c r="R797">
        <f>I797*(1-Q797)</f>
        <v/>
      </c>
      <c r="S797">
        <f>R797/R796-1</f>
        <v/>
      </c>
      <c r="T797">
        <f>MAX(T796,R797)</f>
        <v/>
      </c>
      <c r="U797">
        <f>R797/T797-1</f>
        <v/>
      </c>
      <c r="V797" t="n">
        <v>2.457948569688255</v>
      </c>
      <c r="W797" s="5">
        <f>R797-V797</f>
        <v/>
      </c>
    </row>
    <row r="798">
      <c r="A798" s="3" t="n">
        <v>39608</v>
      </c>
      <c r="B798">
        <f>Prices!B798</f>
        <v/>
      </c>
      <c r="C798">
        <f>Prices!C798</f>
        <v/>
      </c>
      <c r="D798">
        <f>Prices!D798</f>
        <v/>
      </c>
      <c r="E798">
        <f>Prices!E798</f>
        <v/>
      </c>
      <c r="F798">
        <f>Prices!F798</f>
        <v/>
      </c>
      <c r="G798">
        <f>IF(AND(796&gt;=16,TEXT(A798,"yyyy-mm")&lt;&gt;TEXT(A799,"yyyy-mm")),1,0)</f>
        <v/>
      </c>
      <c r="H798">
        <f>IF(OR(H797=1,G798=1),1,0)</f>
        <v/>
      </c>
      <c r="I798">
        <f>IF(H797=0,1,SUMPRODUCT(J797:N797,B798:F798)+O797*(1+0.00023125256064071564))</f>
        <v/>
      </c>
      <c r="J798">
        <f>IF(G798=1,0.2*R798/B798,J797)</f>
        <v/>
      </c>
      <c r="K798">
        <f>IF(G798=1,0.2*R798/C798,K797)</f>
        <v/>
      </c>
      <c r="L798">
        <f>IF(G798=1,0.2*R798/D798,L797)</f>
        <v/>
      </c>
      <c r="M798">
        <f>IF(G798=1,0.2*R798/E798,M797)</f>
        <v/>
      </c>
      <c r="N798">
        <f>IF(G798=1,0.2*R798/F798,N797)</f>
        <v/>
      </c>
      <c r="O798">
        <f>IF(G798=1,R798*(1-1.0),IF(H797=0,1,O797*(1+0.00023125256064071564)))</f>
        <v/>
      </c>
      <c r="P798">
        <f>IF(G798=1,IF(H797=0,1,ABS(0.2-J797*B798/I798)+ABS(0.2-K797*C798/I798)+ABS(0.2-L797*D798/I798)+ABS(0.2-M797*E798/I798)+ABS(0.2-N797*F798/I798)),0)</f>
        <v/>
      </c>
      <c r="Q798">
        <f>P798*0.0015</f>
        <v/>
      </c>
      <c r="R798">
        <f>I798*(1-Q798)</f>
        <v/>
      </c>
      <c r="S798">
        <f>R798/R797-1</f>
        <v/>
      </c>
      <c r="T798">
        <f>MAX(T797,R798)</f>
        <v/>
      </c>
      <c r="U798">
        <f>R798/T798-1</f>
        <v/>
      </c>
      <c r="V798" t="n">
        <v>2.387296751642852</v>
      </c>
      <c r="W798" s="5">
        <f>R798-V798</f>
        <v/>
      </c>
    </row>
    <row r="799">
      <c r="A799" s="3" t="n">
        <v>39609</v>
      </c>
      <c r="B799">
        <f>Prices!B799</f>
        <v/>
      </c>
      <c r="C799">
        <f>Prices!C799</f>
        <v/>
      </c>
      <c r="D799">
        <f>Prices!D799</f>
        <v/>
      </c>
      <c r="E799">
        <f>Prices!E799</f>
        <v/>
      </c>
      <c r="F799">
        <f>Prices!F799</f>
        <v/>
      </c>
      <c r="G799">
        <f>IF(AND(797&gt;=16,TEXT(A799,"yyyy-mm")&lt;&gt;TEXT(A800,"yyyy-mm")),1,0)</f>
        <v/>
      </c>
      <c r="H799">
        <f>IF(OR(H798=1,G799=1),1,0)</f>
        <v/>
      </c>
      <c r="I799">
        <f>IF(H798=0,1,SUMPRODUCT(J798:N798,B799:F799)+O798*(1+0.00023125256064071564))</f>
        <v/>
      </c>
      <c r="J799">
        <f>IF(G799=1,0.2*R799/B799,J798)</f>
        <v/>
      </c>
      <c r="K799">
        <f>IF(G799=1,0.2*R799/C799,K798)</f>
        <v/>
      </c>
      <c r="L799">
        <f>IF(G799=1,0.2*R799/D799,L798)</f>
        <v/>
      </c>
      <c r="M799">
        <f>IF(G799=1,0.2*R799/E799,M798)</f>
        <v/>
      </c>
      <c r="N799">
        <f>IF(G799=1,0.2*R799/F799,N798)</f>
        <v/>
      </c>
      <c r="O799">
        <f>IF(G799=1,R799*(1-1.0),IF(H798=0,1,O798*(1+0.00023125256064071564)))</f>
        <v/>
      </c>
      <c r="P799">
        <f>IF(G799=1,IF(H798=0,1,ABS(0.2-J798*B799/I799)+ABS(0.2-K798*C799/I799)+ABS(0.2-L798*D799/I799)+ABS(0.2-M798*E799/I799)+ABS(0.2-N798*F799/I799)),0)</f>
        <v/>
      </c>
      <c r="Q799">
        <f>P799*0.0015</f>
        <v/>
      </c>
      <c r="R799">
        <f>I799*(1-Q799)</f>
        <v/>
      </c>
      <c r="S799">
        <f>R799/R798-1</f>
        <v/>
      </c>
      <c r="T799">
        <f>MAX(T798,R799)</f>
        <v/>
      </c>
      <c r="U799">
        <f>R799/T799-1</f>
        <v/>
      </c>
      <c r="V799" t="n">
        <v>2.367993368316632</v>
      </c>
      <c r="W799" s="5">
        <f>R799-V799</f>
        <v/>
      </c>
    </row>
    <row r="800">
      <c r="A800" s="3" t="n">
        <v>39610</v>
      </c>
      <c r="B800">
        <f>Prices!B800</f>
        <v/>
      </c>
      <c r="C800">
        <f>Prices!C800</f>
        <v/>
      </c>
      <c r="D800">
        <f>Prices!D800</f>
        <v/>
      </c>
      <c r="E800">
        <f>Prices!E800</f>
        <v/>
      </c>
      <c r="F800">
        <f>Prices!F800</f>
        <v/>
      </c>
      <c r="G800">
        <f>IF(AND(798&gt;=16,TEXT(A800,"yyyy-mm")&lt;&gt;TEXT(A801,"yyyy-mm")),1,0)</f>
        <v/>
      </c>
      <c r="H800">
        <f>IF(OR(H799=1,G800=1),1,0)</f>
        <v/>
      </c>
      <c r="I800">
        <f>IF(H799=0,1,SUMPRODUCT(J799:N799,B800:F800)+O799*(1+0.00023125256064071564))</f>
        <v/>
      </c>
      <c r="J800">
        <f>IF(G800=1,0.2*R800/B800,J799)</f>
        <v/>
      </c>
      <c r="K800">
        <f>IF(G800=1,0.2*R800/C800,K799)</f>
        <v/>
      </c>
      <c r="L800">
        <f>IF(G800=1,0.2*R800/D800,L799)</f>
        <v/>
      </c>
      <c r="M800">
        <f>IF(G800=1,0.2*R800/E800,M799)</f>
        <v/>
      </c>
      <c r="N800">
        <f>IF(G800=1,0.2*R800/F800,N799)</f>
        <v/>
      </c>
      <c r="O800">
        <f>IF(G800=1,R800*(1-1.0),IF(H799=0,1,O799*(1+0.00023125256064071564)))</f>
        <v/>
      </c>
      <c r="P800">
        <f>IF(G800=1,IF(H799=0,1,ABS(0.2-J799*B800/I800)+ABS(0.2-K799*C800/I800)+ABS(0.2-L799*D800/I800)+ABS(0.2-M799*E800/I800)+ABS(0.2-N799*F800/I800)),0)</f>
        <v/>
      </c>
      <c r="Q800">
        <f>P800*0.0015</f>
        <v/>
      </c>
      <c r="R800">
        <f>I800*(1-Q800)</f>
        <v/>
      </c>
      <c r="S800">
        <f>R800/R799-1</f>
        <v/>
      </c>
      <c r="T800">
        <f>MAX(T799,R800)</f>
        <v/>
      </c>
      <c r="U800">
        <f>R800/T800-1</f>
        <v/>
      </c>
      <c r="V800" t="n">
        <v>2.400791044095139</v>
      </c>
      <c r="W800" s="5">
        <f>R800-V800</f>
        <v/>
      </c>
    </row>
    <row r="801">
      <c r="A801" s="3" t="n">
        <v>39611</v>
      </c>
      <c r="B801">
        <f>Prices!B801</f>
        <v/>
      </c>
      <c r="C801">
        <f>Prices!C801</f>
        <v/>
      </c>
      <c r="D801">
        <f>Prices!D801</f>
        <v/>
      </c>
      <c r="E801">
        <f>Prices!E801</f>
        <v/>
      </c>
      <c r="F801">
        <f>Prices!F801</f>
        <v/>
      </c>
      <c r="G801">
        <f>IF(AND(799&gt;=16,TEXT(A801,"yyyy-mm")&lt;&gt;TEXT(A802,"yyyy-mm")),1,0)</f>
        <v/>
      </c>
      <c r="H801">
        <f>IF(OR(H800=1,G801=1),1,0)</f>
        <v/>
      </c>
      <c r="I801">
        <f>IF(H800=0,1,SUMPRODUCT(J800:N800,B801:F801)+O800*(1+0.00023125256064071564))</f>
        <v/>
      </c>
      <c r="J801">
        <f>IF(G801=1,0.2*R801/B801,J800)</f>
        <v/>
      </c>
      <c r="K801">
        <f>IF(G801=1,0.2*R801/C801,K800)</f>
        <v/>
      </c>
      <c r="L801">
        <f>IF(G801=1,0.2*R801/D801,L800)</f>
        <v/>
      </c>
      <c r="M801">
        <f>IF(G801=1,0.2*R801/E801,M800)</f>
        <v/>
      </c>
      <c r="N801">
        <f>IF(G801=1,0.2*R801/F801,N800)</f>
        <v/>
      </c>
      <c r="O801">
        <f>IF(G801=1,R801*(1-1.0),IF(H800=0,1,O800*(1+0.00023125256064071564)))</f>
        <v/>
      </c>
      <c r="P801">
        <f>IF(G801=1,IF(H800=0,1,ABS(0.2-J800*B801/I801)+ABS(0.2-K800*C801/I801)+ABS(0.2-L800*D801/I801)+ABS(0.2-M800*E801/I801)+ABS(0.2-N800*F801/I801)),0)</f>
        <v/>
      </c>
      <c r="Q801">
        <f>P801*0.0015</f>
        <v/>
      </c>
      <c r="R801">
        <f>I801*(1-Q801)</f>
        <v/>
      </c>
      <c r="S801">
        <f>R801/R800-1</f>
        <v/>
      </c>
      <c r="T801">
        <f>MAX(T800,R801)</f>
        <v/>
      </c>
      <c r="U801">
        <f>R801/T801-1</f>
        <v/>
      </c>
      <c r="V801" t="n">
        <v>2.418551830984364</v>
      </c>
      <c r="W801" s="5">
        <f>R801-V801</f>
        <v/>
      </c>
    </row>
    <row r="802">
      <c r="A802" s="3" t="n">
        <v>39612</v>
      </c>
      <c r="B802">
        <f>Prices!B802</f>
        <v/>
      </c>
      <c r="C802">
        <f>Prices!C802</f>
        <v/>
      </c>
      <c r="D802">
        <f>Prices!D802</f>
        <v/>
      </c>
      <c r="E802">
        <f>Prices!E802</f>
        <v/>
      </c>
      <c r="F802">
        <f>Prices!F802</f>
        <v/>
      </c>
      <c r="G802">
        <f>IF(AND(800&gt;=16,TEXT(A802,"yyyy-mm")&lt;&gt;TEXT(A803,"yyyy-mm")),1,0)</f>
        <v/>
      </c>
      <c r="H802">
        <f>IF(OR(H801=1,G802=1),1,0)</f>
        <v/>
      </c>
      <c r="I802">
        <f>IF(H801=0,1,SUMPRODUCT(J801:N801,B802:F802)+O801*(1+0.00023125256064071564))</f>
        <v/>
      </c>
      <c r="J802">
        <f>IF(G802=1,0.2*R802/B802,J801)</f>
        <v/>
      </c>
      <c r="K802">
        <f>IF(G802=1,0.2*R802/C802,K801)</f>
        <v/>
      </c>
      <c r="L802">
        <f>IF(G802=1,0.2*R802/D802,L801)</f>
        <v/>
      </c>
      <c r="M802">
        <f>IF(G802=1,0.2*R802/E802,M801)</f>
        <v/>
      </c>
      <c r="N802">
        <f>IF(G802=1,0.2*R802/F802,N801)</f>
        <v/>
      </c>
      <c r="O802">
        <f>IF(G802=1,R802*(1-1.0),IF(H801=0,1,O801*(1+0.00023125256064071564)))</f>
        <v/>
      </c>
      <c r="P802">
        <f>IF(G802=1,IF(H801=0,1,ABS(0.2-J801*B802/I802)+ABS(0.2-K801*C802/I802)+ABS(0.2-L801*D802/I802)+ABS(0.2-M801*E802/I802)+ABS(0.2-N801*F802/I802)),0)</f>
        <v/>
      </c>
      <c r="Q802">
        <f>P802*0.0015</f>
        <v/>
      </c>
      <c r="R802">
        <f>I802*(1-Q802)</f>
        <v/>
      </c>
      <c r="S802">
        <f>R802/R801-1</f>
        <v/>
      </c>
      <c r="T802">
        <f>MAX(T801,R802)</f>
        <v/>
      </c>
      <c r="U802">
        <f>R802/T802-1</f>
        <v/>
      </c>
      <c r="V802" t="n">
        <v>2.411087769503596</v>
      </c>
      <c r="W802" s="5">
        <f>R802-V802</f>
        <v/>
      </c>
    </row>
    <row r="803">
      <c r="A803" s="3" t="n">
        <v>39615</v>
      </c>
      <c r="B803">
        <f>Prices!B803</f>
        <v/>
      </c>
      <c r="C803">
        <f>Prices!C803</f>
        <v/>
      </c>
      <c r="D803">
        <f>Prices!D803</f>
        <v/>
      </c>
      <c r="E803">
        <f>Prices!E803</f>
        <v/>
      </c>
      <c r="F803">
        <f>Prices!F803</f>
        <v/>
      </c>
      <c r="G803">
        <f>IF(AND(801&gt;=16,TEXT(A803,"yyyy-mm")&lt;&gt;TEXT(A804,"yyyy-mm")),1,0)</f>
        <v/>
      </c>
      <c r="H803">
        <f>IF(OR(H802=1,G803=1),1,0)</f>
        <v/>
      </c>
      <c r="I803">
        <f>IF(H802=0,1,SUMPRODUCT(J802:N802,B803:F803)+O802*(1+0.00023125256064071564))</f>
        <v/>
      </c>
      <c r="J803">
        <f>IF(G803=1,0.2*R803/B803,J802)</f>
        <v/>
      </c>
      <c r="K803">
        <f>IF(G803=1,0.2*R803/C803,K802)</f>
        <v/>
      </c>
      <c r="L803">
        <f>IF(G803=1,0.2*R803/D803,L802)</f>
        <v/>
      </c>
      <c r="M803">
        <f>IF(G803=1,0.2*R803/E803,M802)</f>
        <v/>
      </c>
      <c r="N803">
        <f>IF(G803=1,0.2*R803/F803,N802)</f>
        <v/>
      </c>
      <c r="O803">
        <f>IF(G803=1,R803*(1-1.0),IF(H802=0,1,O802*(1+0.00023125256064071564)))</f>
        <v/>
      </c>
      <c r="P803">
        <f>IF(G803=1,IF(H802=0,1,ABS(0.2-J802*B803/I803)+ABS(0.2-K802*C803/I803)+ABS(0.2-L802*D803/I803)+ABS(0.2-M802*E803/I803)+ABS(0.2-N802*F803/I803)),0)</f>
        <v/>
      </c>
      <c r="Q803">
        <f>P803*0.0015</f>
        <v/>
      </c>
      <c r="R803">
        <f>I803*(1-Q803)</f>
        <v/>
      </c>
      <c r="S803">
        <f>R803/R802-1</f>
        <v/>
      </c>
      <c r="T803">
        <f>MAX(T802,R803)</f>
        <v/>
      </c>
      <c r="U803">
        <f>R803/T803-1</f>
        <v/>
      </c>
      <c r="V803" t="n">
        <v>2.442174426040383</v>
      </c>
      <c r="W803" s="5">
        <f>R803-V803</f>
        <v/>
      </c>
    </row>
    <row r="804">
      <c r="A804" s="3" t="n">
        <v>39616</v>
      </c>
      <c r="B804">
        <f>Prices!B804</f>
        <v/>
      </c>
      <c r="C804">
        <f>Prices!C804</f>
        <v/>
      </c>
      <c r="D804">
        <f>Prices!D804</f>
        <v/>
      </c>
      <c r="E804">
        <f>Prices!E804</f>
        <v/>
      </c>
      <c r="F804">
        <f>Prices!F804</f>
        <v/>
      </c>
      <c r="G804">
        <f>IF(AND(802&gt;=16,TEXT(A804,"yyyy-mm")&lt;&gt;TEXT(A805,"yyyy-mm")),1,0)</f>
        <v/>
      </c>
      <c r="H804">
        <f>IF(OR(H803=1,G804=1),1,0)</f>
        <v/>
      </c>
      <c r="I804">
        <f>IF(H803=0,1,SUMPRODUCT(J803:N803,B804:F804)+O803*(1+0.00023125256064071564))</f>
        <v/>
      </c>
      <c r="J804">
        <f>IF(G804=1,0.2*R804/B804,J803)</f>
        <v/>
      </c>
      <c r="K804">
        <f>IF(G804=1,0.2*R804/C804,K803)</f>
        <v/>
      </c>
      <c r="L804">
        <f>IF(G804=1,0.2*R804/D804,L803)</f>
        <v/>
      </c>
      <c r="M804">
        <f>IF(G804=1,0.2*R804/E804,M803)</f>
        <v/>
      </c>
      <c r="N804">
        <f>IF(G804=1,0.2*R804/F804,N803)</f>
        <v/>
      </c>
      <c r="O804">
        <f>IF(G804=1,R804*(1-1.0),IF(H803=0,1,O803*(1+0.00023125256064071564)))</f>
        <v/>
      </c>
      <c r="P804">
        <f>IF(G804=1,IF(H803=0,1,ABS(0.2-J803*B804/I804)+ABS(0.2-K803*C804/I804)+ABS(0.2-L803*D804/I804)+ABS(0.2-M803*E804/I804)+ABS(0.2-N803*F804/I804)),0)</f>
        <v/>
      </c>
      <c r="Q804">
        <f>P804*0.0015</f>
        <v/>
      </c>
      <c r="R804">
        <f>I804*(1-Q804)</f>
        <v/>
      </c>
      <c r="S804">
        <f>R804/R803-1</f>
        <v/>
      </c>
      <c r="T804">
        <f>MAX(T803,R804)</f>
        <v/>
      </c>
      <c r="U804">
        <f>R804/T804-1</f>
        <v/>
      </c>
      <c r="V804" t="n">
        <v>2.491947772541175</v>
      </c>
      <c r="W804" s="5">
        <f>R804-V804</f>
        <v/>
      </c>
    </row>
    <row r="805">
      <c r="A805" s="3" t="n">
        <v>39617</v>
      </c>
      <c r="B805">
        <f>Prices!B805</f>
        <v/>
      </c>
      <c r="C805">
        <f>Prices!C805</f>
        <v/>
      </c>
      <c r="D805">
        <f>Prices!D805</f>
        <v/>
      </c>
      <c r="E805">
        <f>Prices!E805</f>
        <v/>
      </c>
      <c r="F805">
        <f>Prices!F805</f>
        <v/>
      </c>
      <c r="G805">
        <f>IF(AND(803&gt;=16,TEXT(A805,"yyyy-mm")&lt;&gt;TEXT(A806,"yyyy-mm")),1,0)</f>
        <v/>
      </c>
      <c r="H805">
        <f>IF(OR(H804=1,G805=1),1,0)</f>
        <v/>
      </c>
      <c r="I805">
        <f>IF(H804=0,1,SUMPRODUCT(J804:N804,B805:F805)+O804*(1+0.00023125256064071564))</f>
        <v/>
      </c>
      <c r="J805">
        <f>IF(G805=1,0.2*R805/B805,J804)</f>
        <v/>
      </c>
      <c r="K805">
        <f>IF(G805=1,0.2*R805/C805,K804)</f>
        <v/>
      </c>
      <c r="L805">
        <f>IF(G805=1,0.2*R805/D805,L804)</f>
        <v/>
      </c>
      <c r="M805">
        <f>IF(G805=1,0.2*R805/E805,M804)</f>
        <v/>
      </c>
      <c r="N805">
        <f>IF(G805=1,0.2*R805/F805,N804)</f>
        <v/>
      </c>
      <c r="O805">
        <f>IF(G805=1,R805*(1-1.0),IF(H804=0,1,O804*(1+0.00023125256064071564)))</f>
        <v/>
      </c>
      <c r="P805">
        <f>IF(G805=1,IF(H804=0,1,ABS(0.2-J804*B805/I805)+ABS(0.2-K804*C805/I805)+ABS(0.2-L804*D805/I805)+ABS(0.2-M804*E805/I805)+ABS(0.2-N804*F805/I805)),0)</f>
        <v/>
      </c>
      <c r="Q805">
        <f>P805*0.0015</f>
        <v/>
      </c>
      <c r="R805">
        <f>I805*(1-Q805)</f>
        <v/>
      </c>
      <c r="S805">
        <f>R805/R804-1</f>
        <v/>
      </c>
      <c r="T805">
        <f>MAX(T804,R805)</f>
        <v/>
      </c>
      <c r="U805">
        <f>R805/T805-1</f>
        <v/>
      </c>
      <c r="V805" t="n">
        <v>2.468327387978287</v>
      </c>
      <c r="W805" s="5">
        <f>R805-V805</f>
        <v/>
      </c>
    </row>
    <row r="806">
      <c r="A806" s="3" t="n">
        <v>39618</v>
      </c>
      <c r="B806">
        <f>Prices!B806</f>
        <v/>
      </c>
      <c r="C806">
        <f>Prices!C806</f>
        <v/>
      </c>
      <c r="D806">
        <f>Prices!D806</f>
        <v/>
      </c>
      <c r="E806">
        <f>Prices!E806</f>
        <v/>
      </c>
      <c r="F806">
        <f>Prices!F806</f>
        <v/>
      </c>
      <c r="G806">
        <f>IF(AND(804&gt;=16,TEXT(A806,"yyyy-mm")&lt;&gt;TEXT(A807,"yyyy-mm")),1,0)</f>
        <v/>
      </c>
      <c r="H806">
        <f>IF(OR(H805=1,G806=1),1,0)</f>
        <v/>
      </c>
      <c r="I806">
        <f>IF(H805=0,1,SUMPRODUCT(J805:N805,B806:F806)+O805*(1+0.00023125256064071564))</f>
        <v/>
      </c>
      <c r="J806">
        <f>IF(G806=1,0.2*R806/B806,J805)</f>
        <v/>
      </c>
      <c r="K806">
        <f>IF(G806=1,0.2*R806/C806,K805)</f>
        <v/>
      </c>
      <c r="L806">
        <f>IF(G806=1,0.2*R806/D806,L805)</f>
        <v/>
      </c>
      <c r="M806">
        <f>IF(G806=1,0.2*R806/E806,M805)</f>
        <v/>
      </c>
      <c r="N806">
        <f>IF(G806=1,0.2*R806/F806,N805)</f>
        <v/>
      </c>
      <c r="O806">
        <f>IF(G806=1,R806*(1-1.0),IF(H805=0,1,O805*(1+0.00023125256064071564)))</f>
        <v/>
      </c>
      <c r="P806">
        <f>IF(G806=1,IF(H805=0,1,ABS(0.2-J805*B806/I806)+ABS(0.2-K805*C806/I806)+ABS(0.2-L805*D806/I806)+ABS(0.2-M805*E806/I806)+ABS(0.2-N805*F806/I806)),0)</f>
        <v/>
      </c>
      <c r="Q806">
        <f>P806*0.0015</f>
        <v/>
      </c>
      <c r="R806">
        <f>I806*(1-Q806)</f>
        <v/>
      </c>
      <c r="S806">
        <f>R806/R805-1</f>
        <v/>
      </c>
      <c r="T806">
        <f>MAX(T805,R806)</f>
        <v/>
      </c>
      <c r="U806">
        <f>R806/T806-1</f>
        <v/>
      </c>
      <c r="V806" t="n">
        <v>2.423792904896837</v>
      </c>
      <c r="W806" s="5">
        <f>R806-V806</f>
        <v/>
      </c>
    </row>
    <row r="807">
      <c r="A807" s="3" t="n">
        <v>39619</v>
      </c>
      <c r="B807">
        <f>Prices!B807</f>
        <v/>
      </c>
      <c r="C807">
        <f>Prices!C807</f>
        <v/>
      </c>
      <c r="D807">
        <f>Prices!D807</f>
        <v/>
      </c>
      <c r="E807">
        <f>Prices!E807</f>
        <v/>
      </c>
      <c r="F807">
        <f>Prices!F807</f>
        <v/>
      </c>
      <c r="G807">
        <f>IF(AND(805&gt;=16,TEXT(A807,"yyyy-mm")&lt;&gt;TEXT(A808,"yyyy-mm")),1,0)</f>
        <v/>
      </c>
      <c r="H807">
        <f>IF(OR(H806=1,G807=1),1,0)</f>
        <v/>
      </c>
      <c r="I807">
        <f>IF(H806=0,1,SUMPRODUCT(J806:N806,B807:F807)+O806*(1+0.00023125256064071564))</f>
        <v/>
      </c>
      <c r="J807">
        <f>IF(G807=1,0.2*R807/B807,J806)</f>
        <v/>
      </c>
      <c r="K807">
        <f>IF(G807=1,0.2*R807/C807,K806)</f>
        <v/>
      </c>
      <c r="L807">
        <f>IF(G807=1,0.2*R807/D807,L806)</f>
        <v/>
      </c>
      <c r="M807">
        <f>IF(G807=1,0.2*R807/E807,M806)</f>
        <v/>
      </c>
      <c r="N807">
        <f>IF(G807=1,0.2*R807/F807,N806)</f>
        <v/>
      </c>
      <c r="O807">
        <f>IF(G807=1,R807*(1-1.0),IF(H806=0,1,O806*(1+0.00023125256064071564)))</f>
        <v/>
      </c>
      <c r="P807">
        <f>IF(G807=1,IF(H806=0,1,ABS(0.2-J806*B807/I807)+ABS(0.2-K806*C807/I807)+ABS(0.2-L806*D807/I807)+ABS(0.2-M806*E807/I807)+ABS(0.2-N806*F807/I807)),0)</f>
        <v/>
      </c>
      <c r="Q807">
        <f>P807*0.0015</f>
        <v/>
      </c>
      <c r="R807">
        <f>I807*(1-Q807)</f>
        <v/>
      </c>
      <c r="S807">
        <f>R807/R806-1</f>
        <v/>
      </c>
      <c r="T807">
        <f>MAX(T806,R807)</f>
        <v/>
      </c>
      <c r="U807">
        <f>R807/T807-1</f>
        <v/>
      </c>
      <c r="V807" t="n">
        <v>2.338854889968899</v>
      </c>
      <c r="W807" s="5">
        <f>R807-V807</f>
        <v/>
      </c>
    </row>
    <row r="808">
      <c r="A808" s="3" t="n">
        <v>39622</v>
      </c>
      <c r="B808">
        <f>Prices!B808</f>
        <v/>
      </c>
      <c r="C808">
        <f>Prices!C808</f>
        <v/>
      </c>
      <c r="D808">
        <f>Prices!D808</f>
        <v/>
      </c>
      <c r="E808">
        <f>Prices!E808</f>
        <v/>
      </c>
      <c r="F808">
        <f>Prices!F808</f>
        <v/>
      </c>
      <c r="G808">
        <f>IF(AND(806&gt;=16,TEXT(A808,"yyyy-mm")&lt;&gt;TEXT(A809,"yyyy-mm")),1,0)</f>
        <v/>
      </c>
      <c r="H808">
        <f>IF(OR(H807=1,G808=1),1,0)</f>
        <v/>
      </c>
      <c r="I808">
        <f>IF(H807=0,1,SUMPRODUCT(J807:N807,B808:F808)+O807*(1+0.00023125256064071564))</f>
        <v/>
      </c>
      <c r="J808">
        <f>IF(G808=1,0.2*R808/B808,J807)</f>
        <v/>
      </c>
      <c r="K808">
        <f>IF(G808=1,0.2*R808/C808,K807)</f>
        <v/>
      </c>
      <c r="L808">
        <f>IF(G808=1,0.2*R808/D808,L807)</f>
        <v/>
      </c>
      <c r="M808">
        <f>IF(G808=1,0.2*R808/E808,M807)</f>
        <v/>
      </c>
      <c r="N808">
        <f>IF(G808=1,0.2*R808/F808,N807)</f>
        <v/>
      </c>
      <c r="O808">
        <f>IF(G808=1,R808*(1-1.0),IF(H807=0,1,O807*(1+0.00023125256064071564)))</f>
        <v/>
      </c>
      <c r="P808">
        <f>IF(G808=1,IF(H807=0,1,ABS(0.2-J807*B808/I808)+ABS(0.2-K807*C808/I808)+ABS(0.2-L807*D808/I808)+ABS(0.2-M807*E808/I808)+ABS(0.2-N807*F808/I808)),0)</f>
        <v/>
      </c>
      <c r="Q808">
        <f>P808*0.0015</f>
        <v/>
      </c>
      <c r="R808">
        <f>I808*(1-Q808)</f>
        <v/>
      </c>
      <c r="S808">
        <f>R808/R807-1</f>
        <v/>
      </c>
      <c r="T808">
        <f>MAX(T807,R808)</f>
        <v/>
      </c>
      <c r="U808">
        <f>R808/T808-1</f>
        <v/>
      </c>
      <c r="V808" t="n">
        <v>2.261063585738716</v>
      </c>
      <c r="W808" s="5">
        <f>R808-V808</f>
        <v/>
      </c>
    </row>
    <row r="809">
      <c r="A809" s="3" t="n">
        <v>39623</v>
      </c>
      <c r="B809">
        <f>Prices!B809</f>
        <v/>
      </c>
      <c r="C809">
        <f>Prices!C809</f>
        <v/>
      </c>
      <c r="D809">
        <f>Prices!D809</f>
        <v/>
      </c>
      <c r="E809">
        <f>Prices!E809</f>
        <v/>
      </c>
      <c r="F809">
        <f>Prices!F809</f>
        <v/>
      </c>
      <c r="G809">
        <f>IF(AND(807&gt;=16,TEXT(A809,"yyyy-mm")&lt;&gt;TEXT(A810,"yyyy-mm")),1,0)</f>
        <v/>
      </c>
      <c r="H809">
        <f>IF(OR(H808=1,G809=1),1,0)</f>
        <v/>
      </c>
      <c r="I809">
        <f>IF(H808=0,1,SUMPRODUCT(J808:N808,B809:F809)+O808*(1+0.00023125256064071564))</f>
        <v/>
      </c>
      <c r="J809">
        <f>IF(G809=1,0.2*R809/B809,J808)</f>
        <v/>
      </c>
      <c r="K809">
        <f>IF(G809=1,0.2*R809/C809,K808)</f>
        <v/>
      </c>
      <c r="L809">
        <f>IF(G809=1,0.2*R809/D809,L808)</f>
        <v/>
      </c>
      <c r="M809">
        <f>IF(G809=1,0.2*R809/E809,M808)</f>
        <v/>
      </c>
      <c r="N809">
        <f>IF(G809=1,0.2*R809/F809,N808)</f>
        <v/>
      </c>
      <c r="O809">
        <f>IF(G809=1,R809*(1-1.0),IF(H808=0,1,O808*(1+0.00023125256064071564)))</f>
        <v/>
      </c>
      <c r="P809">
        <f>IF(G809=1,IF(H808=0,1,ABS(0.2-J808*B809/I809)+ABS(0.2-K808*C809/I809)+ABS(0.2-L808*D809/I809)+ABS(0.2-M808*E809/I809)+ABS(0.2-N808*F809/I809)),0)</f>
        <v/>
      </c>
      <c r="Q809">
        <f>P809*0.0015</f>
        <v/>
      </c>
      <c r="R809">
        <f>I809*(1-Q809)</f>
        <v/>
      </c>
      <c r="S809">
        <f>R809/R808-1</f>
        <v/>
      </c>
      <c r="T809">
        <f>MAX(T808,R809)</f>
        <v/>
      </c>
      <c r="U809">
        <f>R809/T809-1</f>
        <v/>
      </c>
      <c r="V809" t="n">
        <v>2.211485061282652</v>
      </c>
      <c r="W809" s="5">
        <f>R809-V809</f>
        <v/>
      </c>
    </row>
    <row r="810">
      <c r="A810" s="3" t="n">
        <v>39624</v>
      </c>
      <c r="B810">
        <f>Prices!B810</f>
        <v/>
      </c>
      <c r="C810">
        <f>Prices!C810</f>
        <v/>
      </c>
      <c r="D810">
        <f>Prices!D810</f>
        <v/>
      </c>
      <c r="E810">
        <f>Prices!E810</f>
        <v/>
      </c>
      <c r="F810">
        <f>Prices!F810</f>
        <v/>
      </c>
      <c r="G810">
        <f>IF(AND(808&gt;=16,TEXT(A810,"yyyy-mm")&lt;&gt;TEXT(A811,"yyyy-mm")),1,0)</f>
        <v/>
      </c>
      <c r="H810">
        <f>IF(OR(H809=1,G810=1),1,0)</f>
        <v/>
      </c>
      <c r="I810">
        <f>IF(H809=0,1,SUMPRODUCT(J809:N809,B810:F810)+O809*(1+0.00023125256064071564))</f>
        <v/>
      </c>
      <c r="J810">
        <f>IF(G810=1,0.2*R810/B810,J809)</f>
        <v/>
      </c>
      <c r="K810">
        <f>IF(G810=1,0.2*R810/C810,K809)</f>
        <v/>
      </c>
      <c r="L810">
        <f>IF(G810=1,0.2*R810/D810,L809)</f>
        <v/>
      </c>
      <c r="M810">
        <f>IF(G810=1,0.2*R810/E810,M809)</f>
        <v/>
      </c>
      <c r="N810">
        <f>IF(G810=1,0.2*R810/F810,N809)</f>
        <v/>
      </c>
      <c r="O810">
        <f>IF(G810=1,R810*(1-1.0),IF(H809=0,1,O809*(1+0.00023125256064071564)))</f>
        <v/>
      </c>
      <c r="P810">
        <f>IF(G810=1,IF(H809=0,1,ABS(0.2-J809*B810/I810)+ABS(0.2-K809*C810/I810)+ABS(0.2-L809*D810/I810)+ABS(0.2-M809*E810/I810)+ABS(0.2-N809*F810/I810)),0)</f>
        <v/>
      </c>
      <c r="Q810">
        <f>P810*0.0015</f>
        <v/>
      </c>
      <c r="R810">
        <f>I810*(1-Q810)</f>
        <v/>
      </c>
      <c r="S810">
        <f>R810/R809-1</f>
        <v/>
      </c>
      <c r="T810">
        <f>MAX(T809,R810)</f>
        <v/>
      </c>
      <c r="U810">
        <f>R810/T810-1</f>
        <v/>
      </c>
      <c r="V810" t="n">
        <v>2.229877251168305</v>
      </c>
      <c r="W810" s="5">
        <f>R810-V810</f>
        <v/>
      </c>
    </row>
    <row r="811">
      <c r="A811" s="3" t="n">
        <v>39625</v>
      </c>
      <c r="B811">
        <f>Prices!B811</f>
        <v/>
      </c>
      <c r="C811">
        <f>Prices!C811</f>
        <v/>
      </c>
      <c r="D811">
        <f>Prices!D811</f>
        <v/>
      </c>
      <c r="E811">
        <f>Prices!E811</f>
        <v/>
      </c>
      <c r="F811">
        <f>Prices!F811</f>
        <v/>
      </c>
      <c r="G811">
        <f>IF(AND(809&gt;=16,TEXT(A811,"yyyy-mm")&lt;&gt;TEXT(A812,"yyyy-mm")),1,0)</f>
        <v/>
      </c>
      <c r="H811">
        <f>IF(OR(H810=1,G811=1),1,0)</f>
        <v/>
      </c>
      <c r="I811">
        <f>IF(H810=0,1,SUMPRODUCT(J810:N810,B811:F811)+O810*(1+0.00023125256064071564))</f>
        <v/>
      </c>
      <c r="J811">
        <f>IF(G811=1,0.2*R811/B811,J810)</f>
        <v/>
      </c>
      <c r="K811">
        <f>IF(G811=1,0.2*R811/C811,K810)</f>
        <v/>
      </c>
      <c r="L811">
        <f>IF(G811=1,0.2*R811/D811,L810)</f>
        <v/>
      </c>
      <c r="M811">
        <f>IF(G811=1,0.2*R811/E811,M810)</f>
        <v/>
      </c>
      <c r="N811">
        <f>IF(G811=1,0.2*R811/F811,N810)</f>
        <v/>
      </c>
      <c r="O811">
        <f>IF(G811=1,R811*(1-1.0),IF(H810=0,1,O810*(1+0.00023125256064071564)))</f>
        <v/>
      </c>
      <c r="P811">
        <f>IF(G811=1,IF(H810=0,1,ABS(0.2-J810*B811/I811)+ABS(0.2-K810*C811/I811)+ABS(0.2-L810*D811/I811)+ABS(0.2-M810*E811/I811)+ABS(0.2-N810*F811/I811)),0)</f>
        <v/>
      </c>
      <c r="Q811">
        <f>P811*0.0015</f>
        <v/>
      </c>
      <c r="R811">
        <f>I811*(1-Q811)</f>
        <v/>
      </c>
      <c r="S811">
        <f>R811/R810-1</f>
        <v/>
      </c>
      <c r="T811">
        <f>MAX(T810,R811)</f>
        <v/>
      </c>
      <c r="U811">
        <f>R811/T811-1</f>
        <v/>
      </c>
      <c r="V811" t="n">
        <v>2.243013214557298</v>
      </c>
      <c r="W811" s="5">
        <f>R811-V811</f>
        <v/>
      </c>
    </row>
    <row r="812">
      <c r="A812" s="3" t="n">
        <v>39626</v>
      </c>
      <c r="B812">
        <f>Prices!B812</f>
        <v/>
      </c>
      <c r="C812">
        <f>Prices!C812</f>
        <v/>
      </c>
      <c r="D812">
        <f>Prices!D812</f>
        <v/>
      </c>
      <c r="E812">
        <f>Prices!E812</f>
        <v/>
      </c>
      <c r="F812">
        <f>Prices!F812</f>
        <v/>
      </c>
      <c r="G812">
        <f>IF(AND(810&gt;=16,TEXT(A812,"yyyy-mm")&lt;&gt;TEXT(A813,"yyyy-mm")),1,0)</f>
        <v/>
      </c>
      <c r="H812">
        <f>IF(OR(H811=1,G812=1),1,0)</f>
        <v/>
      </c>
      <c r="I812">
        <f>IF(H811=0,1,SUMPRODUCT(J811:N811,B812:F812)+O811*(1+0.00023125256064071564))</f>
        <v/>
      </c>
      <c r="J812">
        <f>IF(G812=1,0.2*R812/B812,J811)</f>
        <v/>
      </c>
      <c r="K812">
        <f>IF(G812=1,0.2*R812/C812,K811)</f>
        <v/>
      </c>
      <c r="L812">
        <f>IF(G812=1,0.2*R812/D812,L811)</f>
        <v/>
      </c>
      <c r="M812">
        <f>IF(G812=1,0.2*R812/E812,M811)</f>
        <v/>
      </c>
      <c r="N812">
        <f>IF(G812=1,0.2*R812/F812,N811)</f>
        <v/>
      </c>
      <c r="O812">
        <f>IF(G812=1,R812*(1-1.0),IF(H811=0,1,O811*(1+0.00023125256064071564)))</f>
        <v/>
      </c>
      <c r="P812">
        <f>IF(G812=1,IF(H811=0,1,ABS(0.2-J811*B812/I812)+ABS(0.2-K811*C812/I812)+ABS(0.2-L811*D812/I812)+ABS(0.2-M811*E812/I812)+ABS(0.2-N811*F812/I812)),0)</f>
        <v/>
      </c>
      <c r="Q812">
        <f>P812*0.0015</f>
        <v/>
      </c>
      <c r="R812">
        <f>I812*(1-Q812)</f>
        <v/>
      </c>
      <c r="S812">
        <f>R812/R811-1</f>
        <v/>
      </c>
      <c r="T812">
        <f>MAX(T811,R812)</f>
        <v/>
      </c>
      <c r="U812">
        <f>R812/T812-1</f>
        <v/>
      </c>
      <c r="V812" t="n">
        <v>2.162293640361557</v>
      </c>
      <c r="W812" s="5">
        <f>R812-V812</f>
        <v/>
      </c>
    </row>
    <row r="813">
      <c r="A813" s="3" t="n">
        <v>39629</v>
      </c>
      <c r="B813">
        <f>Prices!B813</f>
        <v/>
      </c>
      <c r="C813">
        <f>Prices!C813</f>
        <v/>
      </c>
      <c r="D813">
        <f>Prices!D813</f>
        <v/>
      </c>
      <c r="E813">
        <f>Prices!E813</f>
        <v/>
      </c>
      <c r="F813">
        <f>Prices!F813</f>
        <v/>
      </c>
      <c r="G813">
        <f>IF(AND(811&gt;=16,TEXT(A813,"yyyy-mm")&lt;&gt;TEXT(A814,"yyyy-mm")),1,0)</f>
        <v/>
      </c>
      <c r="H813">
        <f>IF(OR(H812=1,G813=1),1,0)</f>
        <v/>
      </c>
      <c r="I813">
        <f>IF(H812=0,1,SUMPRODUCT(J812:N812,B813:F813)+O812*(1+0.00023125256064071564))</f>
        <v/>
      </c>
      <c r="J813">
        <f>IF(G813=1,0.2*R813/B813,J812)</f>
        <v/>
      </c>
      <c r="K813">
        <f>IF(G813=1,0.2*R813/C813,K812)</f>
        <v/>
      </c>
      <c r="L813">
        <f>IF(G813=1,0.2*R813/D813,L812)</f>
        <v/>
      </c>
      <c r="M813">
        <f>IF(G813=1,0.2*R813/E813,M812)</f>
        <v/>
      </c>
      <c r="N813">
        <f>IF(G813=1,0.2*R813/F813,N812)</f>
        <v/>
      </c>
      <c r="O813">
        <f>IF(G813=1,R813*(1-1.0),IF(H812=0,1,O812*(1+0.00023125256064071564)))</f>
        <v/>
      </c>
      <c r="P813">
        <f>IF(G813=1,IF(H812=0,1,ABS(0.2-J812*B813/I813)+ABS(0.2-K812*C813/I813)+ABS(0.2-L812*D813/I813)+ABS(0.2-M812*E813/I813)+ABS(0.2-N812*F813/I813)),0)</f>
        <v/>
      </c>
      <c r="Q813">
        <f>P813*0.0015</f>
        <v/>
      </c>
      <c r="R813">
        <f>I813*(1-Q813)</f>
        <v/>
      </c>
      <c r="S813">
        <f>R813/R812-1</f>
        <v/>
      </c>
      <c r="T813">
        <f>MAX(T812,R813)</f>
        <v/>
      </c>
      <c r="U813">
        <f>R813/T813-1</f>
        <v/>
      </c>
      <c r="V813" t="n">
        <v>2.101417107011822</v>
      </c>
      <c r="W813" s="5">
        <f>R813-V813</f>
        <v/>
      </c>
    </row>
    <row r="814">
      <c r="A814" s="3" t="n">
        <v>39630</v>
      </c>
      <c r="B814">
        <f>Prices!B814</f>
        <v/>
      </c>
      <c r="C814">
        <f>Prices!C814</f>
        <v/>
      </c>
      <c r="D814">
        <f>Prices!D814</f>
        <v/>
      </c>
      <c r="E814">
        <f>Prices!E814</f>
        <v/>
      </c>
      <c r="F814">
        <f>Prices!F814</f>
        <v/>
      </c>
      <c r="G814">
        <f>IF(AND(812&gt;=16,TEXT(A814,"yyyy-mm")&lt;&gt;TEXT(A815,"yyyy-mm")),1,0)</f>
        <v/>
      </c>
      <c r="H814">
        <f>IF(OR(H813=1,G814=1),1,0)</f>
        <v/>
      </c>
      <c r="I814">
        <f>IF(H813=0,1,SUMPRODUCT(J813:N813,B814:F814)+O813*(1+0.00023125256064071564))</f>
        <v/>
      </c>
      <c r="J814">
        <f>IF(G814=1,0.2*R814/B814,J813)</f>
        <v/>
      </c>
      <c r="K814">
        <f>IF(G814=1,0.2*R814/C814,K813)</f>
        <v/>
      </c>
      <c r="L814">
        <f>IF(G814=1,0.2*R814/D814,L813)</f>
        <v/>
      </c>
      <c r="M814">
        <f>IF(G814=1,0.2*R814/E814,M813)</f>
        <v/>
      </c>
      <c r="N814">
        <f>IF(G814=1,0.2*R814/F814,N813)</f>
        <v/>
      </c>
      <c r="O814">
        <f>IF(G814=1,R814*(1-1.0),IF(H813=0,1,O813*(1+0.00023125256064071564)))</f>
        <v/>
      </c>
      <c r="P814">
        <f>IF(G814=1,IF(H813=0,1,ABS(0.2-J813*B814/I814)+ABS(0.2-K813*C814/I814)+ABS(0.2-L813*D814/I814)+ABS(0.2-M813*E814/I814)+ABS(0.2-N813*F814/I814)),0)</f>
        <v/>
      </c>
      <c r="Q814">
        <f>P814*0.0015</f>
        <v/>
      </c>
      <c r="R814">
        <f>I814*(1-Q814)</f>
        <v/>
      </c>
      <c r="S814">
        <f>R814/R813-1</f>
        <v/>
      </c>
      <c r="T814">
        <f>MAX(T813,R814)</f>
        <v/>
      </c>
      <c r="U814">
        <f>R814/T814-1</f>
        <v/>
      </c>
      <c r="V814" t="n">
        <v>2.005558645915078</v>
      </c>
      <c r="W814" s="5">
        <f>R814-V814</f>
        <v/>
      </c>
    </row>
    <row r="815">
      <c r="A815" s="3" t="n">
        <v>39631</v>
      </c>
      <c r="B815">
        <f>Prices!B815</f>
        <v/>
      </c>
      <c r="C815">
        <f>Prices!C815</f>
        <v/>
      </c>
      <c r="D815">
        <f>Prices!D815</f>
        <v/>
      </c>
      <c r="E815">
        <f>Prices!E815</f>
        <v/>
      </c>
      <c r="F815">
        <f>Prices!F815</f>
        <v/>
      </c>
      <c r="G815">
        <f>IF(AND(813&gt;=16,TEXT(A815,"yyyy-mm")&lt;&gt;TEXT(A816,"yyyy-mm")),1,0)</f>
        <v/>
      </c>
      <c r="H815">
        <f>IF(OR(H814=1,G815=1),1,0)</f>
        <v/>
      </c>
      <c r="I815">
        <f>IF(H814=0,1,SUMPRODUCT(J814:N814,B815:F815)+O814*(1+0.00023125256064071564))</f>
        <v/>
      </c>
      <c r="J815">
        <f>IF(G815=1,0.2*R815/B815,J814)</f>
        <v/>
      </c>
      <c r="K815">
        <f>IF(G815=1,0.2*R815/C815,K814)</f>
        <v/>
      </c>
      <c r="L815">
        <f>IF(G815=1,0.2*R815/D815,L814)</f>
        <v/>
      </c>
      <c r="M815">
        <f>IF(G815=1,0.2*R815/E815,M814)</f>
        <v/>
      </c>
      <c r="N815">
        <f>IF(G815=1,0.2*R815/F815,N814)</f>
        <v/>
      </c>
      <c r="O815">
        <f>IF(G815=1,R815*(1-1.0),IF(H814=0,1,O814*(1+0.00023125256064071564)))</f>
        <v/>
      </c>
      <c r="P815">
        <f>IF(G815=1,IF(H814=0,1,ABS(0.2-J814*B815/I815)+ABS(0.2-K814*C815/I815)+ABS(0.2-L814*D815/I815)+ABS(0.2-M814*E815/I815)+ABS(0.2-N814*F815/I815)),0)</f>
        <v/>
      </c>
      <c r="Q815">
        <f>P815*0.0015</f>
        <v/>
      </c>
      <c r="R815">
        <f>I815*(1-Q815)</f>
        <v/>
      </c>
      <c r="S815">
        <f>R815/R814-1</f>
        <v/>
      </c>
      <c r="T815">
        <f>MAX(T814,R815)</f>
        <v/>
      </c>
      <c r="U815">
        <f>R815/T815-1</f>
        <v/>
      </c>
      <c r="V815" t="n">
        <v>2.095621484177117</v>
      </c>
      <c r="W815" s="5">
        <f>R815-V815</f>
        <v/>
      </c>
    </row>
    <row r="816">
      <c r="A816" s="3" t="n">
        <v>39632</v>
      </c>
      <c r="B816">
        <f>Prices!B816</f>
        <v/>
      </c>
      <c r="C816">
        <f>Prices!C816</f>
        <v/>
      </c>
      <c r="D816">
        <f>Prices!D816</f>
        <v/>
      </c>
      <c r="E816">
        <f>Prices!E816</f>
        <v/>
      </c>
      <c r="F816">
        <f>Prices!F816</f>
        <v/>
      </c>
      <c r="G816">
        <f>IF(AND(814&gt;=16,TEXT(A816,"yyyy-mm")&lt;&gt;TEXT(A817,"yyyy-mm")),1,0)</f>
        <v/>
      </c>
      <c r="H816">
        <f>IF(OR(H815=1,G816=1),1,0)</f>
        <v/>
      </c>
      <c r="I816">
        <f>IF(H815=0,1,SUMPRODUCT(J815:N815,B816:F816)+O815*(1+0.00023125256064071564))</f>
        <v/>
      </c>
      <c r="J816">
        <f>IF(G816=1,0.2*R816/B816,J815)</f>
        <v/>
      </c>
      <c r="K816">
        <f>IF(G816=1,0.2*R816/C816,K815)</f>
        <v/>
      </c>
      <c r="L816">
        <f>IF(G816=1,0.2*R816/D816,L815)</f>
        <v/>
      </c>
      <c r="M816">
        <f>IF(G816=1,0.2*R816/E816,M815)</f>
        <v/>
      </c>
      <c r="N816">
        <f>IF(G816=1,0.2*R816/F816,N815)</f>
        <v/>
      </c>
      <c r="O816">
        <f>IF(G816=1,R816*(1-1.0),IF(H815=0,1,O815*(1+0.00023125256064071564)))</f>
        <v/>
      </c>
      <c r="P816">
        <f>IF(G816=1,IF(H815=0,1,ABS(0.2-J815*B816/I816)+ABS(0.2-K815*C816/I816)+ABS(0.2-L815*D816/I816)+ABS(0.2-M815*E816/I816)+ABS(0.2-N815*F816/I816)),0)</f>
        <v/>
      </c>
      <c r="Q816">
        <f>P816*0.0015</f>
        <v/>
      </c>
      <c r="R816">
        <f>I816*(1-Q816)</f>
        <v/>
      </c>
      <c r="S816">
        <f>R816/R815-1</f>
        <v/>
      </c>
      <c r="T816">
        <f>MAX(T815,R816)</f>
        <v/>
      </c>
      <c r="U816">
        <f>R816/T816-1</f>
        <v/>
      </c>
      <c r="V816" t="n">
        <v>2.023399400486171</v>
      </c>
      <c r="W816" s="5">
        <f>R816-V816</f>
        <v/>
      </c>
    </row>
    <row r="817">
      <c r="A817" s="3" t="n">
        <v>39633</v>
      </c>
      <c r="B817">
        <f>Prices!B817</f>
        <v/>
      </c>
      <c r="C817">
        <f>Prices!C817</f>
        <v/>
      </c>
      <c r="D817">
        <f>Prices!D817</f>
        <v/>
      </c>
      <c r="E817">
        <f>Prices!E817</f>
        <v/>
      </c>
      <c r="F817">
        <f>Prices!F817</f>
        <v/>
      </c>
      <c r="G817">
        <f>IF(AND(815&gt;=16,TEXT(A817,"yyyy-mm")&lt;&gt;TEXT(A818,"yyyy-mm")),1,0)</f>
        <v/>
      </c>
      <c r="H817">
        <f>IF(OR(H816=1,G817=1),1,0)</f>
        <v/>
      </c>
      <c r="I817">
        <f>IF(H816=0,1,SUMPRODUCT(J816:N816,B817:F817)+O816*(1+0.00023125256064071564))</f>
        <v/>
      </c>
      <c r="J817">
        <f>IF(G817=1,0.2*R817/B817,J816)</f>
        <v/>
      </c>
      <c r="K817">
        <f>IF(G817=1,0.2*R817/C817,K816)</f>
        <v/>
      </c>
      <c r="L817">
        <f>IF(G817=1,0.2*R817/D817,L816)</f>
        <v/>
      </c>
      <c r="M817">
        <f>IF(G817=1,0.2*R817/E817,M816)</f>
        <v/>
      </c>
      <c r="N817">
        <f>IF(G817=1,0.2*R817/F817,N816)</f>
        <v/>
      </c>
      <c r="O817">
        <f>IF(G817=1,R817*(1-1.0),IF(H816=0,1,O816*(1+0.00023125256064071564)))</f>
        <v/>
      </c>
      <c r="P817">
        <f>IF(G817=1,IF(H816=0,1,ABS(0.2-J816*B817/I817)+ABS(0.2-K816*C817/I817)+ABS(0.2-L816*D817/I817)+ABS(0.2-M816*E817/I817)+ABS(0.2-N816*F817/I817)),0)</f>
        <v/>
      </c>
      <c r="Q817">
        <f>P817*0.0015</f>
        <v/>
      </c>
      <c r="R817">
        <f>I817*(1-Q817)</f>
        <v/>
      </c>
      <c r="S817">
        <f>R817/R816-1</f>
        <v/>
      </c>
      <c r="T817">
        <f>MAX(T816,R817)</f>
        <v/>
      </c>
      <c r="U817">
        <f>R817/T817-1</f>
        <v/>
      </c>
      <c r="V817" t="n">
        <v>2.069784329535572</v>
      </c>
      <c r="W817" s="5">
        <f>R817-V817</f>
        <v/>
      </c>
    </row>
    <row r="818">
      <c r="A818" s="3" t="n">
        <v>39636</v>
      </c>
      <c r="B818">
        <f>Prices!B818</f>
        <v/>
      </c>
      <c r="C818">
        <f>Prices!C818</f>
        <v/>
      </c>
      <c r="D818">
        <f>Prices!D818</f>
        <v/>
      </c>
      <c r="E818">
        <f>Prices!E818</f>
        <v/>
      </c>
      <c r="F818">
        <f>Prices!F818</f>
        <v/>
      </c>
      <c r="G818">
        <f>IF(AND(816&gt;=16,TEXT(A818,"yyyy-mm")&lt;&gt;TEXT(A819,"yyyy-mm")),1,0)</f>
        <v/>
      </c>
      <c r="H818">
        <f>IF(OR(H817=1,G818=1),1,0)</f>
        <v/>
      </c>
      <c r="I818">
        <f>IF(H817=0,1,SUMPRODUCT(J817:N817,B818:F818)+O817*(1+0.00023125256064071564))</f>
        <v/>
      </c>
      <c r="J818">
        <f>IF(G818=1,0.2*R818/B818,J817)</f>
        <v/>
      </c>
      <c r="K818">
        <f>IF(G818=1,0.2*R818/C818,K817)</f>
        <v/>
      </c>
      <c r="L818">
        <f>IF(G818=1,0.2*R818/D818,L817)</f>
        <v/>
      </c>
      <c r="M818">
        <f>IF(G818=1,0.2*R818/E818,M817)</f>
        <v/>
      </c>
      <c r="N818">
        <f>IF(G818=1,0.2*R818/F818,N817)</f>
        <v/>
      </c>
      <c r="O818">
        <f>IF(G818=1,R818*(1-1.0),IF(H817=0,1,O817*(1+0.00023125256064071564)))</f>
        <v/>
      </c>
      <c r="P818">
        <f>IF(G818=1,IF(H817=0,1,ABS(0.2-J817*B818/I818)+ABS(0.2-K817*C818/I818)+ABS(0.2-L817*D818/I818)+ABS(0.2-M817*E818/I818)+ABS(0.2-N817*F818/I818)),0)</f>
        <v/>
      </c>
      <c r="Q818">
        <f>P818*0.0015</f>
        <v/>
      </c>
      <c r="R818">
        <f>I818*(1-Q818)</f>
        <v/>
      </c>
      <c r="S818">
        <f>R818/R817-1</f>
        <v/>
      </c>
      <c r="T818">
        <f>MAX(T817,R818)</f>
        <v/>
      </c>
      <c r="U818">
        <f>R818/T818-1</f>
        <v/>
      </c>
      <c r="V818" t="n">
        <v>2.095075053416979</v>
      </c>
      <c r="W818" s="5">
        <f>R818-V818</f>
        <v/>
      </c>
    </row>
    <row r="819">
      <c r="A819" s="3" t="n">
        <v>39637</v>
      </c>
      <c r="B819">
        <f>Prices!B819</f>
        <v/>
      </c>
      <c r="C819">
        <f>Prices!C819</f>
        <v/>
      </c>
      <c r="D819">
        <f>Prices!D819</f>
        <v/>
      </c>
      <c r="E819">
        <f>Prices!E819</f>
        <v/>
      </c>
      <c r="F819">
        <f>Prices!F819</f>
        <v/>
      </c>
      <c r="G819">
        <f>IF(AND(817&gt;=16,TEXT(A819,"yyyy-mm")&lt;&gt;TEXT(A820,"yyyy-mm")),1,0)</f>
        <v/>
      </c>
      <c r="H819">
        <f>IF(OR(H818=1,G819=1),1,0)</f>
        <v/>
      </c>
      <c r="I819">
        <f>IF(H818=0,1,SUMPRODUCT(J818:N818,B819:F819)+O818*(1+0.00023125256064071564))</f>
        <v/>
      </c>
      <c r="J819">
        <f>IF(G819=1,0.2*R819/B819,J818)</f>
        <v/>
      </c>
      <c r="K819">
        <f>IF(G819=1,0.2*R819/C819,K818)</f>
        <v/>
      </c>
      <c r="L819">
        <f>IF(G819=1,0.2*R819/D819,L818)</f>
        <v/>
      </c>
      <c r="M819">
        <f>IF(G819=1,0.2*R819/E819,M818)</f>
        <v/>
      </c>
      <c r="N819">
        <f>IF(G819=1,0.2*R819/F819,N818)</f>
        <v/>
      </c>
      <c r="O819">
        <f>IF(G819=1,R819*(1-1.0),IF(H818=0,1,O818*(1+0.00023125256064071564)))</f>
        <v/>
      </c>
      <c r="P819">
        <f>IF(G819=1,IF(H818=0,1,ABS(0.2-J818*B819/I819)+ABS(0.2-K818*C819/I819)+ABS(0.2-L818*D819/I819)+ABS(0.2-M818*E819/I819)+ABS(0.2-N818*F819/I819)),0)</f>
        <v/>
      </c>
      <c r="Q819">
        <f>P819*0.0015</f>
        <v/>
      </c>
      <c r="R819">
        <f>I819*(1-Q819)</f>
        <v/>
      </c>
      <c r="S819">
        <f>R819/R818-1</f>
        <v/>
      </c>
      <c r="T819">
        <f>MAX(T818,R819)</f>
        <v/>
      </c>
      <c r="U819">
        <f>R819/T819-1</f>
        <v/>
      </c>
      <c r="V819" t="n">
        <v>2.082630802644187</v>
      </c>
      <c r="W819" s="5">
        <f>R819-V819</f>
        <v/>
      </c>
    </row>
    <row r="820">
      <c r="A820" s="3" t="n">
        <v>39638</v>
      </c>
      <c r="B820">
        <f>Prices!B820</f>
        <v/>
      </c>
      <c r="C820">
        <f>Prices!C820</f>
        <v/>
      </c>
      <c r="D820">
        <f>Prices!D820</f>
        <v/>
      </c>
      <c r="E820">
        <f>Prices!E820</f>
        <v/>
      </c>
      <c r="F820">
        <f>Prices!F820</f>
        <v/>
      </c>
      <c r="G820">
        <f>IF(AND(818&gt;=16,TEXT(A820,"yyyy-mm")&lt;&gt;TEXT(A821,"yyyy-mm")),1,0)</f>
        <v/>
      </c>
      <c r="H820">
        <f>IF(OR(H819=1,G820=1),1,0)</f>
        <v/>
      </c>
      <c r="I820">
        <f>IF(H819=0,1,SUMPRODUCT(J819:N819,B820:F820)+O819*(1+0.00023125256064071564))</f>
        <v/>
      </c>
      <c r="J820">
        <f>IF(G820=1,0.2*R820/B820,J819)</f>
        <v/>
      </c>
      <c r="K820">
        <f>IF(G820=1,0.2*R820/C820,K819)</f>
        <v/>
      </c>
      <c r="L820">
        <f>IF(G820=1,0.2*R820/D820,L819)</f>
        <v/>
      </c>
      <c r="M820">
        <f>IF(G820=1,0.2*R820/E820,M819)</f>
        <v/>
      </c>
      <c r="N820">
        <f>IF(G820=1,0.2*R820/F820,N819)</f>
        <v/>
      </c>
      <c r="O820">
        <f>IF(G820=1,R820*(1-1.0),IF(H819=0,1,O819*(1+0.00023125256064071564)))</f>
        <v/>
      </c>
      <c r="P820">
        <f>IF(G820=1,IF(H819=0,1,ABS(0.2-J819*B820/I820)+ABS(0.2-K819*C820/I820)+ABS(0.2-L819*D820/I820)+ABS(0.2-M819*E820/I820)+ABS(0.2-N819*F820/I820)),0)</f>
        <v/>
      </c>
      <c r="Q820">
        <f>P820*0.0015</f>
        <v/>
      </c>
      <c r="R820">
        <f>I820*(1-Q820)</f>
        <v/>
      </c>
      <c r="S820">
        <f>R820/R819-1</f>
        <v/>
      </c>
      <c r="T820">
        <f>MAX(T819,R820)</f>
        <v/>
      </c>
      <c r="U820">
        <f>R820/T820-1</f>
        <v/>
      </c>
      <c r="V820" t="n">
        <v>2.162177463251505</v>
      </c>
      <c r="W820" s="5">
        <f>R820-V820</f>
        <v/>
      </c>
    </row>
    <row r="821">
      <c r="A821" s="3" t="n">
        <v>39639</v>
      </c>
      <c r="B821">
        <f>Prices!B821</f>
        <v/>
      </c>
      <c r="C821">
        <f>Prices!C821</f>
        <v/>
      </c>
      <c r="D821">
        <f>Prices!D821</f>
        <v/>
      </c>
      <c r="E821">
        <f>Prices!E821</f>
        <v/>
      </c>
      <c r="F821">
        <f>Prices!F821</f>
        <v/>
      </c>
      <c r="G821">
        <f>IF(AND(819&gt;=16,TEXT(A821,"yyyy-mm")&lt;&gt;TEXT(A822,"yyyy-mm")),1,0)</f>
        <v/>
      </c>
      <c r="H821">
        <f>IF(OR(H820=1,G821=1),1,0)</f>
        <v/>
      </c>
      <c r="I821">
        <f>IF(H820=0,1,SUMPRODUCT(J820:N820,B821:F821)+O820*(1+0.00023125256064071564))</f>
        <v/>
      </c>
      <c r="J821">
        <f>IF(G821=1,0.2*R821/B821,J820)</f>
        <v/>
      </c>
      <c r="K821">
        <f>IF(G821=1,0.2*R821/C821,K820)</f>
        <v/>
      </c>
      <c r="L821">
        <f>IF(G821=1,0.2*R821/D821,L820)</f>
        <v/>
      </c>
      <c r="M821">
        <f>IF(G821=1,0.2*R821/E821,M820)</f>
        <v/>
      </c>
      <c r="N821">
        <f>IF(G821=1,0.2*R821/F821,N820)</f>
        <v/>
      </c>
      <c r="O821">
        <f>IF(G821=1,R821*(1-1.0),IF(H820=0,1,O820*(1+0.00023125256064071564)))</f>
        <v/>
      </c>
      <c r="P821">
        <f>IF(G821=1,IF(H820=0,1,ABS(0.2-J820*B821/I821)+ABS(0.2-K820*C821/I821)+ABS(0.2-L820*D821/I821)+ABS(0.2-M820*E821/I821)+ABS(0.2-N820*F821/I821)),0)</f>
        <v/>
      </c>
      <c r="Q821">
        <f>P821*0.0015</f>
        <v/>
      </c>
      <c r="R821">
        <f>I821*(1-Q821)</f>
        <v/>
      </c>
      <c r="S821">
        <f>R821/R820-1</f>
        <v/>
      </c>
      <c r="T821">
        <f>MAX(T820,R821)</f>
        <v/>
      </c>
      <c r="U821">
        <f>R821/T821-1</f>
        <v/>
      </c>
      <c r="V821" t="n">
        <v>2.169362764762291</v>
      </c>
      <c r="W821" s="5">
        <f>R821-V821</f>
        <v/>
      </c>
    </row>
    <row r="822">
      <c r="A822" s="3" t="n">
        <v>39640</v>
      </c>
      <c r="B822">
        <f>Prices!B822</f>
        <v/>
      </c>
      <c r="C822">
        <f>Prices!C822</f>
        <v/>
      </c>
      <c r="D822">
        <f>Prices!D822</f>
        <v/>
      </c>
      <c r="E822">
        <f>Prices!E822</f>
        <v/>
      </c>
      <c r="F822">
        <f>Prices!F822</f>
        <v/>
      </c>
      <c r="G822">
        <f>IF(AND(820&gt;=16,TEXT(A822,"yyyy-mm")&lt;&gt;TEXT(A823,"yyyy-mm")),1,0)</f>
        <v/>
      </c>
      <c r="H822">
        <f>IF(OR(H821=1,G822=1),1,0)</f>
        <v/>
      </c>
      <c r="I822">
        <f>IF(H821=0,1,SUMPRODUCT(J821:N821,B822:F822)+O821*(1+0.00023125256064071564))</f>
        <v/>
      </c>
      <c r="J822">
        <f>IF(G822=1,0.2*R822/B822,J821)</f>
        <v/>
      </c>
      <c r="K822">
        <f>IF(G822=1,0.2*R822/C822,K821)</f>
        <v/>
      </c>
      <c r="L822">
        <f>IF(G822=1,0.2*R822/D822,L821)</f>
        <v/>
      </c>
      <c r="M822">
        <f>IF(G822=1,0.2*R822/E822,M821)</f>
        <v/>
      </c>
      <c r="N822">
        <f>IF(G822=1,0.2*R822/F822,N821)</f>
        <v/>
      </c>
      <c r="O822">
        <f>IF(G822=1,R822*(1-1.0),IF(H821=0,1,O821*(1+0.00023125256064071564)))</f>
        <v/>
      </c>
      <c r="P822">
        <f>IF(G822=1,IF(H821=0,1,ABS(0.2-J821*B822/I822)+ABS(0.2-K821*C822/I822)+ABS(0.2-L821*D822/I822)+ABS(0.2-M821*E822/I822)+ABS(0.2-N821*F822/I822)),0)</f>
        <v/>
      </c>
      <c r="Q822">
        <f>P822*0.0015</f>
        <v/>
      </c>
      <c r="R822">
        <f>I822*(1-Q822)</f>
        <v/>
      </c>
      <c r="S822">
        <f>R822/R821-1</f>
        <v/>
      </c>
      <c r="T822">
        <f>MAX(T821,R822)</f>
        <v/>
      </c>
      <c r="U822">
        <f>R822/T822-1</f>
        <v/>
      </c>
      <c r="V822" t="n">
        <v>2.107810997044112</v>
      </c>
      <c r="W822" s="5">
        <f>R822-V822</f>
        <v/>
      </c>
    </row>
    <row r="823">
      <c r="A823" s="3" t="n">
        <v>39643</v>
      </c>
      <c r="B823">
        <f>Prices!B823</f>
        <v/>
      </c>
      <c r="C823">
        <f>Prices!C823</f>
        <v/>
      </c>
      <c r="D823">
        <f>Prices!D823</f>
        <v/>
      </c>
      <c r="E823">
        <f>Prices!E823</f>
        <v/>
      </c>
      <c r="F823">
        <f>Prices!F823</f>
        <v/>
      </c>
      <c r="G823">
        <f>IF(AND(821&gt;=16,TEXT(A823,"yyyy-mm")&lt;&gt;TEXT(A824,"yyyy-mm")),1,0)</f>
        <v/>
      </c>
      <c r="H823">
        <f>IF(OR(H822=1,G823=1),1,0)</f>
        <v/>
      </c>
      <c r="I823">
        <f>IF(H822=0,1,SUMPRODUCT(J822:N822,B823:F823)+O822*(1+0.00023125256064071564))</f>
        <v/>
      </c>
      <c r="J823">
        <f>IF(G823=1,0.2*R823/B823,J822)</f>
        <v/>
      </c>
      <c r="K823">
        <f>IF(G823=1,0.2*R823/C823,K822)</f>
        <v/>
      </c>
      <c r="L823">
        <f>IF(G823=1,0.2*R823/D823,L822)</f>
        <v/>
      </c>
      <c r="M823">
        <f>IF(G823=1,0.2*R823/E823,M822)</f>
        <v/>
      </c>
      <c r="N823">
        <f>IF(G823=1,0.2*R823/F823,N822)</f>
        <v/>
      </c>
      <c r="O823">
        <f>IF(G823=1,R823*(1-1.0),IF(H822=0,1,O822*(1+0.00023125256064071564)))</f>
        <v/>
      </c>
      <c r="P823">
        <f>IF(G823=1,IF(H822=0,1,ABS(0.2-J822*B823/I823)+ABS(0.2-K822*C823/I823)+ABS(0.2-L822*D823/I823)+ABS(0.2-M822*E823/I823)+ABS(0.2-N822*F823/I823)),0)</f>
        <v/>
      </c>
      <c r="Q823">
        <f>P823*0.0015</f>
        <v/>
      </c>
      <c r="R823">
        <f>I823*(1-Q823)</f>
        <v/>
      </c>
      <c r="S823">
        <f>R823/R822-1</f>
        <v/>
      </c>
      <c r="T823">
        <f>MAX(T822,R823)</f>
        <v/>
      </c>
      <c r="U823">
        <f>R823/T823-1</f>
        <v/>
      </c>
      <c r="V823" t="n">
        <v>2.100999392109505</v>
      </c>
      <c r="W823" s="5">
        <f>R823-V823</f>
        <v/>
      </c>
    </row>
    <row r="824">
      <c r="A824" s="3" t="n">
        <v>39644</v>
      </c>
      <c r="B824">
        <f>Prices!B824</f>
        <v/>
      </c>
      <c r="C824">
        <f>Prices!C824</f>
        <v/>
      </c>
      <c r="D824">
        <f>Prices!D824</f>
        <v/>
      </c>
      <c r="E824">
        <f>Prices!E824</f>
        <v/>
      </c>
      <c r="F824">
        <f>Prices!F824</f>
        <v/>
      </c>
      <c r="G824">
        <f>IF(AND(822&gt;=16,TEXT(A824,"yyyy-mm")&lt;&gt;TEXT(A825,"yyyy-mm")),1,0)</f>
        <v/>
      </c>
      <c r="H824">
        <f>IF(OR(H823=1,G824=1),1,0)</f>
        <v/>
      </c>
      <c r="I824">
        <f>IF(H823=0,1,SUMPRODUCT(J823:N823,B824:F824)+O823*(1+0.00023125256064071564))</f>
        <v/>
      </c>
      <c r="J824">
        <f>IF(G824=1,0.2*R824/B824,J823)</f>
        <v/>
      </c>
      <c r="K824">
        <f>IF(G824=1,0.2*R824/C824,K823)</f>
        <v/>
      </c>
      <c r="L824">
        <f>IF(G824=1,0.2*R824/D824,L823)</f>
        <v/>
      </c>
      <c r="M824">
        <f>IF(G824=1,0.2*R824/E824,M823)</f>
        <v/>
      </c>
      <c r="N824">
        <f>IF(G824=1,0.2*R824/F824,N823)</f>
        <v/>
      </c>
      <c r="O824">
        <f>IF(G824=1,R824*(1-1.0),IF(H823=0,1,O823*(1+0.00023125256064071564)))</f>
        <v/>
      </c>
      <c r="P824">
        <f>IF(G824=1,IF(H823=0,1,ABS(0.2-J823*B824/I824)+ABS(0.2-K823*C824/I824)+ABS(0.2-L823*D824/I824)+ABS(0.2-M823*E824/I824)+ABS(0.2-N823*F824/I824)),0)</f>
        <v/>
      </c>
      <c r="Q824">
        <f>P824*0.0015</f>
        <v/>
      </c>
      <c r="R824">
        <f>I824*(1-Q824)</f>
        <v/>
      </c>
      <c r="S824">
        <f>R824/R823-1</f>
        <v/>
      </c>
      <c r="T824">
        <f>MAX(T823,R824)</f>
        <v/>
      </c>
      <c r="U824">
        <f>R824/T824-1</f>
        <v/>
      </c>
      <c r="V824" t="n">
        <v>2.02451845668929</v>
      </c>
      <c r="W824" s="5">
        <f>R824-V824</f>
        <v/>
      </c>
    </row>
    <row r="825">
      <c r="A825" s="3" t="n">
        <v>39645</v>
      </c>
      <c r="B825">
        <f>Prices!B825</f>
        <v/>
      </c>
      <c r="C825">
        <f>Prices!C825</f>
        <v/>
      </c>
      <c r="D825">
        <f>Prices!D825</f>
        <v/>
      </c>
      <c r="E825">
        <f>Prices!E825</f>
        <v/>
      </c>
      <c r="F825">
        <f>Prices!F825</f>
        <v/>
      </c>
      <c r="G825">
        <f>IF(AND(823&gt;=16,TEXT(A825,"yyyy-mm")&lt;&gt;TEXT(A826,"yyyy-mm")),1,0)</f>
        <v/>
      </c>
      <c r="H825">
        <f>IF(OR(H824=1,G825=1),1,0)</f>
        <v/>
      </c>
      <c r="I825">
        <f>IF(H824=0,1,SUMPRODUCT(J824:N824,B825:F825)+O824*(1+0.00023125256064071564))</f>
        <v/>
      </c>
      <c r="J825">
        <f>IF(G825=1,0.2*R825/B825,J824)</f>
        <v/>
      </c>
      <c r="K825">
        <f>IF(G825=1,0.2*R825/C825,K824)</f>
        <v/>
      </c>
      <c r="L825">
        <f>IF(G825=1,0.2*R825/D825,L824)</f>
        <v/>
      </c>
      <c r="M825">
        <f>IF(G825=1,0.2*R825/E825,M824)</f>
        <v/>
      </c>
      <c r="N825">
        <f>IF(G825=1,0.2*R825/F825,N824)</f>
        <v/>
      </c>
      <c r="O825">
        <f>IF(G825=1,R825*(1-1.0),IF(H824=0,1,O824*(1+0.00023125256064071564)))</f>
        <v/>
      </c>
      <c r="P825">
        <f>IF(G825=1,IF(H824=0,1,ABS(0.2-J824*B825/I825)+ABS(0.2-K824*C825/I825)+ABS(0.2-L824*D825/I825)+ABS(0.2-M824*E825/I825)+ABS(0.2-N824*F825/I825)),0)</f>
        <v/>
      </c>
      <c r="Q825">
        <f>P825*0.0015</f>
        <v/>
      </c>
      <c r="R825">
        <f>I825*(1-Q825)</f>
        <v/>
      </c>
      <c r="S825">
        <f>R825/R824-1</f>
        <v/>
      </c>
      <c r="T825">
        <f>MAX(T824,R825)</f>
        <v/>
      </c>
      <c r="U825">
        <f>R825/T825-1</f>
        <v/>
      </c>
      <c r="V825" t="n">
        <v>2.00002217406927</v>
      </c>
      <c r="W825" s="5">
        <f>R825-V825</f>
        <v/>
      </c>
    </row>
    <row r="826">
      <c r="A826" s="3" t="n">
        <v>39646</v>
      </c>
      <c r="B826">
        <f>Prices!B826</f>
        <v/>
      </c>
      <c r="C826">
        <f>Prices!C826</f>
        <v/>
      </c>
      <c r="D826">
        <f>Prices!D826</f>
        <v/>
      </c>
      <c r="E826">
        <f>Prices!E826</f>
        <v/>
      </c>
      <c r="F826">
        <f>Prices!F826</f>
        <v/>
      </c>
      <c r="G826">
        <f>IF(AND(824&gt;=16,TEXT(A826,"yyyy-mm")&lt;&gt;TEXT(A827,"yyyy-mm")),1,0)</f>
        <v/>
      </c>
      <c r="H826">
        <f>IF(OR(H825=1,G826=1),1,0)</f>
        <v/>
      </c>
      <c r="I826">
        <f>IF(H825=0,1,SUMPRODUCT(J825:N825,B826:F826)+O825*(1+0.00023125256064071564))</f>
        <v/>
      </c>
      <c r="J826">
        <f>IF(G826=1,0.2*R826/B826,J825)</f>
        <v/>
      </c>
      <c r="K826">
        <f>IF(G826=1,0.2*R826/C826,K825)</f>
        <v/>
      </c>
      <c r="L826">
        <f>IF(G826=1,0.2*R826/D826,L825)</f>
        <v/>
      </c>
      <c r="M826">
        <f>IF(G826=1,0.2*R826/E826,M825)</f>
        <v/>
      </c>
      <c r="N826">
        <f>IF(G826=1,0.2*R826/F826,N825)</f>
        <v/>
      </c>
      <c r="O826">
        <f>IF(G826=1,R826*(1-1.0),IF(H825=0,1,O825*(1+0.00023125256064071564)))</f>
        <v/>
      </c>
      <c r="P826">
        <f>IF(G826=1,IF(H825=0,1,ABS(0.2-J825*B826/I826)+ABS(0.2-K825*C826/I826)+ABS(0.2-L825*D826/I826)+ABS(0.2-M825*E826/I826)+ABS(0.2-N825*F826/I826)),0)</f>
        <v/>
      </c>
      <c r="Q826">
        <f>P826*0.0015</f>
        <v/>
      </c>
      <c r="R826">
        <f>I826*(1-Q826)</f>
        <v/>
      </c>
      <c r="S826">
        <f>R826/R825-1</f>
        <v/>
      </c>
      <c r="T826">
        <f>MAX(T825,R826)</f>
        <v/>
      </c>
      <c r="U826">
        <f>R826/T826-1</f>
        <v/>
      </c>
      <c r="V826" t="n">
        <v>2.042153130482229</v>
      </c>
      <c r="W826" s="5">
        <f>R826-V826</f>
        <v/>
      </c>
    </row>
    <row r="827">
      <c r="A827" s="3" t="n">
        <v>39647</v>
      </c>
      <c r="B827">
        <f>Prices!B827</f>
        <v/>
      </c>
      <c r="C827">
        <f>Prices!C827</f>
        <v/>
      </c>
      <c r="D827">
        <f>Prices!D827</f>
        <v/>
      </c>
      <c r="E827">
        <f>Prices!E827</f>
        <v/>
      </c>
      <c r="F827">
        <f>Prices!F827</f>
        <v/>
      </c>
      <c r="G827">
        <f>IF(AND(825&gt;=16,TEXT(A827,"yyyy-mm")&lt;&gt;TEXT(A828,"yyyy-mm")),1,0)</f>
        <v/>
      </c>
      <c r="H827">
        <f>IF(OR(H826=1,G827=1),1,0)</f>
        <v/>
      </c>
      <c r="I827">
        <f>IF(H826=0,1,SUMPRODUCT(J826:N826,B827:F827)+O826*(1+0.00023125256064071564))</f>
        <v/>
      </c>
      <c r="J827">
        <f>IF(G827=1,0.2*R827/B827,J826)</f>
        <v/>
      </c>
      <c r="K827">
        <f>IF(G827=1,0.2*R827/C827,K826)</f>
        <v/>
      </c>
      <c r="L827">
        <f>IF(G827=1,0.2*R827/D827,L826)</f>
        <v/>
      </c>
      <c r="M827">
        <f>IF(G827=1,0.2*R827/E827,M826)</f>
        <v/>
      </c>
      <c r="N827">
        <f>IF(G827=1,0.2*R827/F827,N826)</f>
        <v/>
      </c>
      <c r="O827">
        <f>IF(G827=1,R827*(1-1.0),IF(H826=0,1,O826*(1+0.00023125256064071564)))</f>
        <v/>
      </c>
      <c r="P827">
        <f>IF(G827=1,IF(H826=0,1,ABS(0.2-J826*B827/I827)+ABS(0.2-K826*C827/I827)+ABS(0.2-L826*D827/I827)+ABS(0.2-M826*E827/I827)+ABS(0.2-N826*F827/I827)),0)</f>
        <v/>
      </c>
      <c r="Q827">
        <f>P827*0.0015</f>
        <v/>
      </c>
      <c r="R827">
        <f>I827*(1-Q827)</f>
        <v/>
      </c>
      <c r="S827">
        <f>R827/R826-1</f>
        <v/>
      </c>
      <c r="T827">
        <f>MAX(T826,R827)</f>
        <v/>
      </c>
      <c r="U827">
        <f>R827/T827-1</f>
        <v/>
      </c>
      <c r="V827" t="n">
        <v>2.079205430174159</v>
      </c>
      <c r="W827" s="5">
        <f>R827-V827</f>
        <v/>
      </c>
    </row>
    <row r="828">
      <c r="A828" s="3" t="n">
        <v>39650</v>
      </c>
      <c r="B828">
        <f>Prices!B828</f>
        <v/>
      </c>
      <c r="C828">
        <f>Prices!C828</f>
        <v/>
      </c>
      <c r="D828">
        <f>Prices!D828</f>
        <v/>
      </c>
      <c r="E828">
        <f>Prices!E828</f>
        <v/>
      </c>
      <c r="F828">
        <f>Prices!F828</f>
        <v/>
      </c>
      <c r="G828">
        <f>IF(AND(826&gt;=16,TEXT(A828,"yyyy-mm")&lt;&gt;TEXT(A829,"yyyy-mm")),1,0)</f>
        <v/>
      </c>
      <c r="H828">
        <f>IF(OR(H827=1,G828=1),1,0)</f>
        <v/>
      </c>
      <c r="I828">
        <f>IF(H827=0,1,SUMPRODUCT(J827:N827,B828:F828)+O827*(1+0.00023125256064071564))</f>
        <v/>
      </c>
      <c r="J828">
        <f>IF(G828=1,0.2*R828/B828,J827)</f>
        <v/>
      </c>
      <c r="K828">
        <f>IF(G828=1,0.2*R828/C828,K827)</f>
        <v/>
      </c>
      <c r="L828">
        <f>IF(G828=1,0.2*R828/D828,L827)</f>
        <v/>
      </c>
      <c r="M828">
        <f>IF(G828=1,0.2*R828/E828,M827)</f>
        <v/>
      </c>
      <c r="N828">
        <f>IF(G828=1,0.2*R828/F828,N827)</f>
        <v/>
      </c>
      <c r="O828">
        <f>IF(G828=1,R828*(1-1.0),IF(H827=0,1,O827*(1+0.00023125256064071564)))</f>
        <v/>
      </c>
      <c r="P828">
        <f>IF(G828=1,IF(H827=0,1,ABS(0.2-J827*B828/I828)+ABS(0.2-K827*C828/I828)+ABS(0.2-L827*D828/I828)+ABS(0.2-M827*E828/I828)+ABS(0.2-N827*F828/I828)),0)</f>
        <v/>
      </c>
      <c r="Q828">
        <f>P828*0.0015</f>
        <v/>
      </c>
      <c r="R828">
        <f>I828*(1-Q828)</f>
        <v/>
      </c>
      <c r="S828">
        <f>R828/R827-1</f>
        <v/>
      </c>
      <c r="T828">
        <f>MAX(T827,R828)</f>
        <v/>
      </c>
      <c r="U828">
        <f>R828/T828-1</f>
        <v/>
      </c>
      <c r="V828" t="n">
        <v>2.094227932357911</v>
      </c>
      <c r="W828" s="5">
        <f>R828-V828</f>
        <v/>
      </c>
    </row>
    <row r="829">
      <c r="A829" s="3" t="n">
        <v>39651</v>
      </c>
      <c r="B829">
        <f>Prices!B829</f>
        <v/>
      </c>
      <c r="C829">
        <f>Prices!C829</f>
        <v/>
      </c>
      <c r="D829">
        <f>Prices!D829</f>
        <v/>
      </c>
      <c r="E829">
        <f>Prices!E829</f>
        <v/>
      </c>
      <c r="F829">
        <f>Prices!F829</f>
        <v/>
      </c>
      <c r="G829">
        <f>IF(AND(827&gt;=16,TEXT(A829,"yyyy-mm")&lt;&gt;TEXT(A830,"yyyy-mm")),1,0)</f>
        <v/>
      </c>
      <c r="H829">
        <f>IF(OR(H828=1,G829=1),1,0)</f>
        <v/>
      </c>
      <c r="I829">
        <f>IF(H828=0,1,SUMPRODUCT(J828:N828,B829:F829)+O828*(1+0.00023125256064071564))</f>
        <v/>
      </c>
      <c r="J829">
        <f>IF(G829=1,0.2*R829/B829,J828)</f>
        <v/>
      </c>
      <c r="K829">
        <f>IF(G829=1,0.2*R829/C829,K828)</f>
        <v/>
      </c>
      <c r="L829">
        <f>IF(G829=1,0.2*R829/D829,L828)</f>
        <v/>
      </c>
      <c r="M829">
        <f>IF(G829=1,0.2*R829/E829,M828)</f>
        <v/>
      </c>
      <c r="N829">
        <f>IF(G829=1,0.2*R829/F829,N828)</f>
        <v/>
      </c>
      <c r="O829">
        <f>IF(G829=1,R829*(1-1.0),IF(H828=0,1,O828*(1+0.00023125256064071564)))</f>
        <v/>
      </c>
      <c r="P829">
        <f>IF(G829=1,IF(H828=0,1,ABS(0.2-J828*B829/I829)+ABS(0.2-K828*C829/I829)+ABS(0.2-L828*D829/I829)+ABS(0.2-M828*E829/I829)+ABS(0.2-N828*F829/I829)),0)</f>
        <v/>
      </c>
      <c r="Q829">
        <f>P829*0.0015</f>
        <v/>
      </c>
      <c r="R829">
        <f>I829*(1-Q829)</f>
        <v/>
      </c>
      <c r="S829">
        <f>R829/R828-1</f>
        <v/>
      </c>
      <c r="T829">
        <f>MAX(T828,R829)</f>
        <v/>
      </c>
      <c r="U829">
        <f>R829/T829-1</f>
        <v/>
      </c>
      <c r="V829" t="n">
        <v>2.142796606776379</v>
      </c>
      <c r="W829" s="5">
        <f>R829-V829</f>
        <v/>
      </c>
    </row>
    <row r="830">
      <c r="A830" s="3" t="n">
        <v>39652</v>
      </c>
      <c r="B830">
        <f>Prices!B830</f>
        <v/>
      </c>
      <c r="C830">
        <f>Prices!C830</f>
        <v/>
      </c>
      <c r="D830">
        <f>Prices!D830</f>
        <v/>
      </c>
      <c r="E830">
        <f>Prices!E830</f>
        <v/>
      </c>
      <c r="F830">
        <f>Prices!F830</f>
        <v/>
      </c>
      <c r="G830">
        <f>IF(AND(828&gt;=16,TEXT(A830,"yyyy-mm")&lt;&gt;TEXT(A831,"yyyy-mm")),1,0)</f>
        <v/>
      </c>
      <c r="H830">
        <f>IF(OR(H829=1,G830=1),1,0)</f>
        <v/>
      </c>
      <c r="I830">
        <f>IF(H829=0,1,SUMPRODUCT(J829:N829,B830:F830)+O829*(1+0.00023125256064071564))</f>
        <v/>
      </c>
      <c r="J830">
        <f>IF(G830=1,0.2*R830/B830,J829)</f>
        <v/>
      </c>
      <c r="K830">
        <f>IF(G830=1,0.2*R830/C830,K829)</f>
        <v/>
      </c>
      <c r="L830">
        <f>IF(G830=1,0.2*R830/D830,L829)</f>
        <v/>
      </c>
      <c r="M830">
        <f>IF(G830=1,0.2*R830/E830,M829)</f>
        <v/>
      </c>
      <c r="N830">
        <f>IF(G830=1,0.2*R830/F830,N829)</f>
        <v/>
      </c>
      <c r="O830">
        <f>IF(G830=1,R830*(1-1.0),IF(H829=0,1,O829*(1+0.00023125256064071564)))</f>
        <v/>
      </c>
      <c r="P830">
        <f>IF(G830=1,IF(H829=0,1,ABS(0.2-J829*B830/I830)+ABS(0.2-K829*C830/I830)+ABS(0.2-L829*D830/I830)+ABS(0.2-M829*E830/I830)+ABS(0.2-N829*F830/I830)),0)</f>
        <v/>
      </c>
      <c r="Q830">
        <f>P830*0.0015</f>
        <v/>
      </c>
      <c r="R830">
        <f>I830*(1-Q830)</f>
        <v/>
      </c>
      <c r="S830">
        <f>R830/R829-1</f>
        <v/>
      </c>
      <c r="T830">
        <f>MAX(T829,R830)</f>
        <v/>
      </c>
      <c r="U830">
        <f>R830/T830-1</f>
        <v/>
      </c>
      <c r="V830" t="n">
        <v>2.259925000605099</v>
      </c>
      <c r="W830" s="5">
        <f>R830-V830</f>
        <v/>
      </c>
    </row>
    <row r="831">
      <c r="A831" s="3" t="n">
        <v>39653</v>
      </c>
      <c r="B831">
        <f>Prices!B831</f>
        <v/>
      </c>
      <c r="C831">
        <f>Prices!C831</f>
        <v/>
      </c>
      <c r="D831">
        <f>Prices!D831</f>
        <v/>
      </c>
      <c r="E831">
        <f>Prices!E831</f>
        <v/>
      </c>
      <c r="F831">
        <f>Prices!F831</f>
        <v/>
      </c>
      <c r="G831">
        <f>IF(AND(829&gt;=16,TEXT(A831,"yyyy-mm")&lt;&gt;TEXT(A832,"yyyy-mm")),1,0)</f>
        <v/>
      </c>
      <c r="H831">
        <f>IF(OR(H830=1,G831=1),1,0)</f>
        <v/>
      </c>
      <c r="I831">
        <f>IF(H830=0,1,SUMPRODUCT(J830:N830,B831:F831)+O830*(1+0.00023125256064071564))</f>
        <v/>
      </c>
      <c r="J831">
        <f>IF(G831=1,0.2*R831/B831,J830)</f>
        <v/>
      </c>
      <c r="K831">
        <f>IF(G831=1,0.2*R831/C831,K830)</f>
        <v/>
      </c>
      <c r="L831">
        <f>IF(G831=1,0.2*R831/D831,L830)</f>
        <v/>
      </c>
      <c r="M831">
        <f>IF(G831=1,0.2*R831/E831,M830)</f>
        <v/>
      </c>
      <c r="N831">
        <f>IF(G831=1,0.2*R831/F831,N830)</f>
        <v/>
      </c>
      <c r="O831">
        <f>IF(G831=1,R831*(1-1.0),IF(H830=0,1,O830*(1+0.00023125256064071564)))</f>
        <v/>
      </c>
      <c r="P831">
        <f>IF(G831=1,IF(H830=0,1,ABS(0.2-J830*B831/I831)+ABS(0.2-K830*C831/I831)+ABS(0.2-L830*D831/I831)+ABS(0.2-M830*E831/I831)+ABS(0.2-N830*F831/I831)),0)</f>
        <v/>
      </c>
      <c r="Q831">
        <f>P831*0.0015</f>
        <v/>
      </c>
      <c r="R831">
        <f>I831*(1-Q831)</f>
        <v/>
      </c>
      <c r="S831">
        <f>R831/R830-1</f>
        <v/>
      </c>
      <c r="T831">
        <f>MAX(T830,R831)</f>
        <v/>
      </c>
      <c r="U831">
        <f>R831/T831-1</f>
        <v/>
      </c>
      <c r="V831" t="n">
        <v>2.252395584900591</v>
      </c>
      <c r="W831" s="5">
        <f>R831-V831</f>
        <v/>
      </c>
    </row>
    <row r="832">
      <c r="A832" s="3" t="n">
        <v>39654</v>
      </c>
      <c r="B832">
        <f>Prices!B832</f>
        <v/>
      </c>
      <c r="C832">
        <f>Prices!C832</f>
        <v/>
      </c>
      <c r="D832">
        <f>Prices!D832</f>
        <v/>
      </c>
      <c r="E832">
        <f>Prices!E832</f>
        <v/>
      </c>
      <c r="F832">
        <f>Prices!F832</f>
        <v/>
      </c>
      <c r="G832">
        <f>IF(AND(830&gt;=16,TEXT(A832,"yyyy-mm")&lt;&gt;TEXT(A833,"yyyy-mm")),1,0)</f>
        <v/>
      </c>
      <c r="H832">
        <f>IF(OR(H831=1,G832=1),1,0)</f>
        <v/>
      </c>
      <c r="I832">
        <f>IF(H831=0,1,SUMPRODUCT(J831:N831,B832:F832)+O831*(1+0.00023125256064071564))</f>
        <v/>
      </c>
      <c r="J832">
        <f>IF(G832=1,0.2*R832/B832,J831)</f>
        <v/>
      </c>
      <c r="K832">
        <f>IF(G832=1,0.2*R832/C832,K831)</f>
        <v/>
      </c>
      <c r="L832">
        <f>IF(G832=1,0.2*R832/D832,L831)</f>
        <v/>
      </c>
      <c r="M832">
        <f>IF(G832=1,0.2*R832/E832,M831)</f>
        <v/>
      </c>
      <c r="N832">
        <f>IF(G832=1,0.2*R832/F832,N831)</f>
        <v/>
      </c>
      <c r="O832">
        <f>IF(G832=1,R832*(1-1.0),IF(H831=0,1,O831*(1+0.00023125256064071564)))</f>
        <v/>
      </c>
      <c r="P832">
        <f>IF(G832=1,IF(H831=0,1,ABS(0.2-J831*B832/I832)+ABS(0.2-K831*C832/I832)+ABS(0.2-L831*D832/I832)+ABS(0.2-M831*E832/I832)+ABS(0.2-N831*F832/I832)),0)</f>
        <v/>
      </c>
      <c r="Q832">
        <f>P832*0.0015</f>
        <v/>
      </c>
      <c r="R832">
        <f>I832*(1-Q832)</f>
        <v/>
      </c>
      <c r="S832">
        <f>R832/R831-1</f>
        <v/>
      </c>
      <c r="T832">
        <f>MAX(T831,R832)</f>
        <v/>
      </c>
      <c r="U832">
        <f>R832/T832-1</f>
        <v/>
      </c>
      <c r="V832" t="n">
        <v>2.236290897392799</v>
      </c>
      <c r="W832" s="5">
        <f>R832-V832</f>
        <v/>
      </c>
    </row>
    <row r="833">
      <c r="A833" s="3" t="n">
        <v>39657</v>
      </c>
      <c r="B833">
        <f>Prices!B833</f>
        <v/>
      </c>
      <c r="C833">
        <f>Prices!C833</f>
        <v/>
      </c>
      <c r="D833">
        <f>Prices!D833</f>
        <v/>
      </c>
      <c r="E833">
        <f>Prices!E833</f>
        <v/>
      </c>
      <c r="F833">
        <f>Prices!F833</f>
        <v/>
      </c>
      <c r="G833">
        <f>IF(AND(831&gt;=16,TEXT(A833,"yyyy-mm")&lt;&gt;TEXT(A834,"yyyy-mm")),1,0)</f>
        <v/>
      </c>
      <c r="H833">
        <f>IF(OR(H832=1,G833=1),1,0)</f>
        <v/>
      </c>
      <c r="I833">
        <f>IF(H832=0,1,SUMPRODUCT(J832:N832,B833:F833)+O832*(1+0.00023125256064071564))</f>
        <v/>
      </c>
      <c r="J833">
        <f>IF(G833=1,0.2*R833/B833,J832)</f>
        <v/>
      </c>
      <c r="K833">
        <f>IF(G833=1,0.2*R833/C833,K832)</f>
        <v/>
      </c>
      <c r="L833">
        <f>IF(G833=1,0.2*R833/D833,L832)</f>
        <v/>
      </c>
      <c r="M833">
        <f>IF(G833=1,0.2*R833/E833,M832)</f>
        <v/>
      </c>
      <c r="N833">
        <f>IF(G833=1,0.2*R833/F833,N832)</f>
        <v/>
      </c>
      <c r="O833">
        <f>IF(G833=1,R833*(1-1.0),IF(H832=0,1,O832*(1+0.00023125256064071564)))</f>
        <v/>
      </c>
      <c r="P833">
        <f>IF(G833=1,IF(H832=0,1,ABS(0.2-J832*B833/I833)+ABS(0.2-K832*C833/I833)+ABS(0.2-L832*D833/I833)+ABS(0.2-M832*E833/I833)+ABS(0.2-N832*F833/I833)),0)</f>
        <v/>
      </c>
      <c r="Q833">
        <f>P833*0.0015</f>
        <v/>
      </c>
      <c r="R833">
        <f>I833*(1-Q833)</f>
        <v/>
      </c>
      <c r="S833">
        <f>R833/R832-1</f>
        <v/>
      </c>
      <c r="T833">
        <f>MAX(T832,R833)</f>
        <v/>
      </c>
      <c r="U833">
        <f>R833/T833-1</f>
        <v/>
      </c>
      <c r="V833" t="n">
        <v>2.255044031800424</v>
      </c>
      <c r="W833" s="5">
        <f>R833-V833</f>
        <v/>
      </c>
    </row>
    <row r="834">
      <c r="A834" s="3" t="n">
        <v>39658</v>
      </c>
      <c r="B834">
        <f>Prices!B834</f>
        <v/>
      </c>
      <c r="C834">
        <f>Prices!C834</f>
        <v/>
      </c>
      <c r="D834">
        <f>Prices!D834</f>
        <v/>
      </c>
      <c r="E834">
        <f>Prices!E834</f>
        <v/>
      </c>
      <c r="F834">
        <f>Prices!F834</f>
        <v/>
      </c>
      <c r="G834">
        <f>IF(AND(832&gt;=16,TEXT(A834,"yyyy-mm")&lt;&gt;TEXT(A835,"yyyy-mm")),1,0)</f>
        <v/>
      </c>
      <c r="H834">
        <f>IF(OR(H833=1,G834=1),1,0)</f>
        <v/>
      </c>
      <c r="I834">
        <f>IF(H833=0,1,SUMPRODUCT(J833:N833,B834:F834)+O833*(1+0.00023125256064071564))</f>
        <v/>
      </c>
      <c r="J834">
        <f>IF(G834=1,0.2*R834/B834,J833)</f>
        <v/>
      </c>
      <c r="K834">
        <f>IF(G834=1,0.2*R834/C834,K833)</f>
        <v/>
      </c>
      <c r="L834">
        <f>IF(G834=1,0.2*R834/D834,L833)</f>
        <v/>
      </c>
      <c r="M834">
        <f>IF(G834=1,0.2*R834/E834,M833)</f>
        <v/>
      </c>
      <c r="N834">
        <f>IF(G834=1,0.2*R834/F834,N833)</f>
        <v/>
      </c>
      <c r="O834">
        <f>IF(G834=1,R834*(1-1.0),IF(H833=0,1,O833*(1+0.00023125256064071564)))</f>
        <v/>
      </c>
      <c r="P834">
        <f>IF(G834=1,IF(H833=0,1,ABS(0.2-J833*B834/I834)+ABS(0.2-K833*C834/I834)+ABS(0.2-L833*D834/I834)+ABS(0.2-M833*E834/I834)+ABS(0.2-N833*F834/I834)),0)</f>
        <v/>
      </c>
      <c r="Q834">
        <f>P834*0.0015</f>
        <v/>
      </c>
      <c r="R834">
        <f>I834*(1-Q834)</f>
        <v/>
      </c>
      <c r="S834">
        <f>R834/R833-1</f>
        <v/>
      </c>
      <c r="T834">
        <f>MAX(T833,R834)</f>
        <v/>
      </c>
      <c r="U834">
        <f>R834/T834-1</f>
        <v/>
      </c>
      <c r="V834" t="n">
        <v>2.190232803668136</v>
      </c>
      <c r="W834" s="5">
        <f>R834-V834</f>
        <v/>
      </c>
    </row>
    <row r="835">
      <c r="A835" s="3" t="n">
        <v>39659</v>
      </c>
      <c r="B835">
        <f>Prices!B835</f>
        <v/>
      </c>
      <c r="C835">
        <f>Prices!C835</f>
        <v/>
      </c>
      <c r="D835">
        <f>Prices!D835</f>
        <v/>
      </c>
      <c r="E835">
        <f>Prices!E835</f>
        <v/>
      </c>
      <c r="F835">
        <f>Prices!F835</f>
        <v/>
      </c>
      <c r="G835">
        <f>IF(AND(833&gt;=16,TEXT(A835,"yyyy-mm")&lt;&gt;TEXT(A836,"yyyy-mm")),1,0)</f>
        <v/>
      </c>
      <c r="H835">
        <f>IF(OR(H834=1,G835=1),1,0)</f>
        <v/>
      </c>
      <c r="I835">
        <f>IF(H834=0,1,SUMPRODUCT(J834:N834,B835:F835)+O834*(1+0.00023125256064071564))</f>
        <v/>
      </c>
      <c r="J835">
        <f>IF(G835=1,0.2*R835/B835,J834)</f>
        <v/>
      </c>
      <c r="K835">
        <f>IF(G835=1,0.2*R835/C835,K834)</f>
        <v/>
      </c>
      <c r="L835">
        <f>IF(G835=1,0.2*R835/D835,L834)</f>
        <v/>
      </c>
      <c r="M835">
        <f>IF(G835=1,0.2*R835/E835,M834)</f>
        <v/>
      </c>
      <c r="N835">
        <f>IF(G835=1,0.2*R835/F835,N834)</f>
        <v/>
      </c>
      <c r="O835">
        <f>IF(G835=1,R835*(1-1.0),IF(H834=0,1,O834*(1+0.00023125256064071564)))</f>
        <v/>
      </c>
      <c r="P835">
        <f>IF(G835=1,IF(H834=0,1,ABS(0.2-J834*B835/I835)+ABS(0.2-K834*C835/I835)+ABS(0.2-L834*D835/I835)+ABS(0.2-M834*E835/I835)+ABS(0.2-N834*F835/I835)),0)</f>
        <v/>
      </c>
      <c r="Q835">
        <f>P835*0.0015</f>
        <v/>
      </c>
      <c r="R835">
        <f>I835*(1-Q835)</f>
        <v/>
      </c>
      <c r="S835">
        <f>R835/R834-1</f>
        <v/>
      </c>
      <c r="T835">
        <f>MAX(T834,R835)</f>
        <v/>
      </c>
      <c r="U835">
        <f>R835/T835-1</f>
        <v/>
      </c>
      <c r="V835" t="n">
        <v>2.251508210140018</v>
      </c>
      <c r="W835" s="5">
        <f>R835-V835</f>
        <v/>
      </c>
    </row>
    <row r="836">
      <c r="A836" s="3" t="n">
        <v>39660</v>
      </c>
      <c r="B836">
        <f>Prices!B836</f>
        <v/>
      </c>
      <c r="C836">
        <f>Prices!C836</f>
        <v/>
      </c>
      <c r="D836">
        <f>Prices!D836</f>
        <v/>
      </c>
      <c r="E836">
        <f>Prices!E836</f>
        <v/>
      </c>
      <c r="F836">
        <f>Prices!F836</f>
        <v/>
      </c>
      <c r="G836">
        <f>IF(AND(834&gt;=16,TEXT(A836,"yyyy-mm")&lt;&gt;TEXT(A837,"yyyy-mm")),1,0)</f>
        <v/>
      </c>
      <c r="H836">
        <f>IF(OR(H835=1,G836=1),1,0)</f>
        <v/>
      </c>
      <c r="I836">
        <f>IF(H835=0,1,SUMPRODUCT(J835:N835,B836:F836)+O835*(1+0.00023125256064071564))</f>
        <v/>
      </c>
      <c r="J836">
        <f>IF(G836=1,0.2*R836/B836,J835)</f>
        <v/>
      </c>
      <c r="K836">
        <f>IF(G836=1,0.2*R836/C836,K835)</f>
        <v/>
      </c>
      <c r="L836">
        <f>IF(G836=1,0.2*R836/D836,L835)</f>
        <v/>
      </c>
      <c r="M836">
        <f>IF(G836=1,0.2*R836/E836,M835)</f>
        <v/>
      </c>
      <c r="N836">
        <f>IF(G836=1,0.2*R836/F836,N835)</f>
        <v/>
      </c>
      <c r="O836">
        <f>IF(G836=1,R836*(1-1.0),IF(H835=0,1,O835*(1+0.00023125256064071564)))</f>
        <v/>
      </c>
      <c r="P836">
        <f>IF(G836=1,IF(H835=0,1,ABS(0.2-J835*B836/I836)+ABS(0.2-K835*C836/I836)+ABS(0.2-L835*D836/I836)+ABS(0.2-M835*E836/I836)+ABS(0.2-N835*F836/I836)),0)</f>
        <v/>
      </c>
      <c r="Q836">
        <f>P836*0.0015</f>
        <v/>
      </c>
      <c r="R836">
        <f>I836*(1-Q836)</f>
        <v/>
      </c>
      <c r="S836">
        <f>R836/R835-1</f>
        <v/>
      </c>
      <c r="T836">
        <f>MAX(T835,R836)</f>
        <v/>
      </c>
      <c r="U836">
        <f>R836/T836-1</f>
        <v/>
      </c>
      <c r="V836" t="n">
        <v>2.254750694368761</v>
      </c>
      <c r="W836" s="5">
        <f>R836-V836</f>
        <v/>
      </c>
    </row>
    <row r="837">
      <c r="A837" s="3" t="n">
        <v>39661</v>
      </c>
      <c r="B837">
        <f>Prices!B837</f>
        <v/>
      </c>
      <c r="C837">
        <f>Prices!C837</f>
        <v/>
      </c>
      <c r="D837">
        <f>Prices!D837</f>
        <v/>
      </c>
      <c r="E837">
        <f>Prices!E837</f>
        <v/>
      </c>
      <c r="F837">
        <f>Prices!F837</f>
        <v/>
      </c>
      <c r="G837">
        <f>IF(AND(835&gt;=16,TEXT(A837,"yyyy-mm")&lt;&gt;TEXT(A838,"yyyy-mm")),1,0)</f>
        <v/>
      </c>
      <c r="H837">
        <f>IF(OR(H836=1,G837=1),1,0)</f>
        <v/>
      </c>
      <c r="I837">
        <f>IF(H836=0,1,SUMPRODUCT(J836:N836,B837:F837)+O836*(1+0.00023125256064071564))</f>
        <v/>
      </c>
      <c r="J837">
        <f>IF(G837=1,0.2*R837/B837,J836)</f>
        <v/>
      </c>
      <c r="K837">
        <f>IF(G837=1,0.2*R837/C837,K836)</f>
        <v/>
      </c>
      <c r="L837">
        <f>IF(G837=1,0.2*R837/D837,L836)</f>
        <v/>
      </c>
      <c r="M837">
        <f>IF(G837=1,0.2*R837/E837,M836)</f>
        <v/>
      </c>
      <c r="N837">
        <f>IF(G837=1,0.2*R837/F837,N836)</f>
        <v/>
      </c>
      <c r="O837">
        <f>IF(G837=1,R837*(1-1.0),IF(H836=0,1,O836*(1+0.00023125256064071564)))</f>
        <v/>
      </c>
      <c r="P837">
        <f>IF(G837=1,IF(H836=0,1,ABS(0.2-J836*B837/I837)+ABS(0.2-K836*C837/I837)+ABS(0.2-L836*D837/I837)+ABS(0.2-M836*E837/I837)+ABS(0.2-N836*F837/I837)),0)</f>
        <v/>
      </c>
      <c r="Q837">
        <f>P837*0.0015</f>
        <v/>
      </c>
      <c r="R837">
        <f>I837*(1-Q837)</f>
        <v/>
      </c>
      <c r="S837">
        <f>R837/R836-1</f>
        <v/>
      </c>
      <c r="T837">
        <f>MAX(T836,R837)</f>
        <v/>
      </c>
      <c r="U837">
        <f>R837/T837-1</f>
        <v/>
      </c>
      <c r="V837" t="n">
        <v>2.302798851747111</v>
      </c>
      <c r="W837" s="5">
        <f>R837-V837</f>
        <v/>
      </c>
    </row>
    <row r="838">
      <c r="A838" s="3" t="n">
        <v>39664</v>
      </c>
      <c r="B838">
        <f>Prices!B838</f>
        <v/>
      </c>
      <c r="C838">
        <f>Prices!C838</f>
        <v/>
      </c>
      <c r="D838">
        <f>Prices!D838</f>
        <v/>
      </c>
      <c r="E838">
        <f>Prices!E838</f>
        <v/>
      </c>
      <c r="F838">
        <f>Prices!F838</f>
        <v/>
      </c>
      <c r="G838">
        <f>IF(AND(836&gt;=16,TEXT(A838,"yyyy-mm")&lt;&gt;TEXT(A839,"yyyy-mm")),1,0)</f>
        <v/>
      </c>
      <c r="H838">
        <f>IF(OR(H837=1,G838=1),1,0)</f>
        <v/>
      </c>
      <c r="I838">
        <f>IF(H837=0,1,SUMPRODUCT(J837:N837,B838:F838)+O837*(1+0.00023125256064071564))</f>
        <v/>
      </c>
      <c r="J838">
        <f>IF(G838=1,0.2*R838/B838,J837)</f>
        <v/>
      </c>
      <c r="K838">
        <f>IF(G838=1,0.2*R838/C838,K837)</f>
        <v/>
      </c>
      <c r="L838">
        <f>IF(G838=1,0.2*R838/D838,L837)</f>
        <v/>
      </c>
      <c r="M838">
        <f>IF(G838=1,0.2*R838/E838,M837)</f>
        <v/>
      </c>
      <c r="N838">
        <f>IF(G838=1,0.2*R838/F838,N837)</f>
        <v/>
      </c>
      <c r="O838">
        <f>IF(G838=1,R838*(1-1.0),IF(H837=0,1,O837*(1+0.00023125256064071564)))</f>
        <v/>
      </c>
      <c r="P838">
        <f>IF(G838=1,IF(H837=0,1,ABS(0.2-J837*B838/I838)+ABS(0.2-K837*C838/I838)+ABS(0.2-L837*D838/I838)+ABS(0.2-M837*E838/I838)+ABS(0.2-N837*F838/I838)),0)</f>
        <v/>
      </c>
      <c r="Q838">
        <f>P838*0.0015</f>
        <v/>
      </c>
      <c r="R838">
        <f>I838*(1-Q838)</f>
        <v/>
      </c>
      <c r="S838">
        <f>R838/R837-1</f>
        <v/>
      </c>
      <c r="T838">
        <f>MAX(T837,R838)</f>
        <v/>
      </c>
      <c r="U838">
        <f>R838/T838-1</f>
        <v/>
      </c>
      <c r="V838" t="n">
        <v>2.332402839924356</v>
      </c>
      <c r="W838" s="5">
        <f>R838-V838</f>
        <v/>
      </c>
    </row>
    <row r="839">
      <c r="A839" s="3" t="n">
        <v>39665</v>
      </c>
      <c r="B839">
        <f>Prices!B839</f>
        <v/>
      </c>
      <c r="C839">
        <f>Prices!C839</f>
        <v/>
      </c>
      <c r="D839">
        <f>Prices!D839</f>
        <v/>
      </c>
      <c r="E839">
        <f>Prices!E839</f>
        <v/>
      </c>
      <c r="F839">
        <f>Prices!F839</f>
        <v/>
      </c>
      <c r="G839">
        <f>IF(AND(837&gt;=16,TEXT(A839,"yyyy-mm")&lt;&gt;TEXT(A840,"yyyy-mm")),1,0)</f>
        <v/>
      </c>
      <c r="H839">
        <f>IF(OR(H838=1,G839=1),1,0)</f>
        <v/>
      </c>
      <c r="I839">
        <f>IF(H838=0,1,SUMPRODUCT(J838:N838,B839:F839)+O838*(1+0.00023125256064071564))</f>
        <v/>
      </c>
      <c r="J839">
        <f>IF(G839=1,0.2*R839/B839,J838)</f>
        <v/>
      </c>
      <c r="K839">
        <f>IF(G839=1,0.2*R839/C839,K838)</f>
        <v/>
      </c>
      <c r="L839">
        <f>IF(G839=1,0.2*R839/D839,L838)</f>
        <v/>
      </c>
      <c r="M839">
        <f>IF(G839=1,0.2*R839/E839,M838)</f>
        <v/>
      </c>
      <c r="N839">
        <f>IF(G839=1,0.2*R839/F839,N838)</f>
        <v/>
      </c>
      <c r="O839">
        <f>IF(G839=1,R839*(1-1.0),IF(H838=0,1,O838*(1+0.00023125256064071564)))</f>
        <v/>
      </c>
      <c r="P839">
        <f>IF(G839=1,IF(H838=0,1,ABS(0.2-J838*B839/I839)+ABS(0.2-K838*C839/I839)+ABS(0.2-L838*D839/I839)+ABS(0.2-M838*E839/I839)+ABS(0.2-N838*F839/I839)),0)</f>
        <v/>
      </c>
      <c r="Q839">
        <f>P839*0.0015</f>
        <v/>
      </c>
      <c r="R839">
        <f>I839*(1-Q839)</f>
        <v/>
      </c>
      <c r="S839">
        <f>R839/R838-1</f>
        <v/>
      </c>
      <c r="T839">
        <f>MAX(T838,R839)</f>
        <v/>
      </c>
      <c r="U839">
        <f>R839/T839-1</f>
        <v/>
      </c>
      <c r="V839" t="n">
        <v>2.370061612964754</v>
      </c>
      <c r="W839" s="5">
        <f>R839-V839</f>
        <v/>
      </c>
    </row>
    <row r="840">
      <c r="A840" s="3" t="n">
        <v>39666</v>
      </c>
      <c r="B840">
        <f>Prices!B840</f>
        <v/>
      </c>
      <c r="C840">
        <f>Prices!C840</f>
        <v/>
      </c>
      <c r="D840">
        <f>Prices!D840</f>
        <v/>
      </c>
      <c r="E840">
        <f>Prices!E840</f>
        <v/>
      </c>
      <c r="F840">
        <f>Prices!F840</f>
        <v/>
      </c>
      <c r="G840">
        <f>IF(AND(838&gt;=16,TEXT(A840,"yyyy-mm")&lt;&gt;TEXT(A841,"yyyy-mm")),1,0)</f>
        <v/>
      </c>
      <c r="H840">
        <f>IF(OR(H839=1,G840=1),1,0)</f>
        <v/>
      </c>
      <c r="I840">
        <f>IF(H839=0,1,SUMPRODUCT(J839:N839,B840:F840)+O839*(1+0.00023125256064071564))</f>
        <v/>
      </c>
      <c r="J840">
        <f>IF(G840=1,0.2*R840/B840,J839)</f>
        <v/>
      </c>
      <c r="K840">
        <f>IF(G840=1,0.2*R840/C840,K839)</f>
        <v/>
      </c>
      <c r="L840">
        <f>IF(G840=1,0.2*R840/D840,L839)</f>
        <v/>
      </c>
      <c r="M840">
        <f>IF(G840=1,0.2*R840/E840,M839)</f>
        <v/>
      </c>
      <c r="N840">
        <f>IF(G840=1,0.2*R840/F840,N839)</f>
        <v/>
      </c>
      <c r="O840">
        <f>IF(G840=1,R840*(1-1.0),IF(H839=0,1,O839*(1+0.00023125256064071564)))</f>
        <v/>
      </c>
      <c r="P840">
        <f>IF(G840=1,IF(H839=0,1,ABS(0.2-J839*B840/I840)+ABS(0.2-K839*C840/I840)+ABS(0.2-L839*D840/I840)+ABS(0.2-M839*E840/I840)+ABS(0.2-N839*F840/I840)),0)</f>
        <v/>
      </c>
      <c r="Q840">
        <f>P840*0.0015</f>
        <v/>
      </c>
      <c r="R840">
        <f>I840*(1-Q840)</f>
        <v/>
      </c>
      <c r="S840">
        <f>R840/R839-1</f>
        <v/>
      </c>
      <c r="T840">
        <f>MAX(T839,R840)</f>
        <v/>
      </c>
      <c r="U840">
        <f>R840/T840-1</f>
        <v/>
      </c>
      <c r="V840" t="n">
        <v>2.35754274895136</v>
      </c>
      <c r="W840" s="5">
        <f>R840-V840</f>
        <v/>
      </c>
    </row>
    <row r="841">
      <c r="A841" s="3" t="n">
        <v>39667</v>
      </c>
      <c r="B841">
        <f>Prices!B841</f>
        <v/>
      </c>
      <c r="C841">
        <f>Prices!C841</f>
        <v/>
      </c>
      <c r="D841">
        <f>Prices!D841</f>
        <v/>
      </c>
      <c r="E841">
        <f>Prices!E841</f>
        <v/>
      </c>
      <c r="F841">
        <f>Prices!F841</f>
        <v/>
      </c>
      <c r="G841">
        <f>IF(AND(839&gt;=16,TEXT(A841,"yyyy-mm")&lt;&gt;TEXT(A842,"yyyy-mm")),1,0)</f>
        <v/>
      </c>
      <c r="H841">
        <f>IF(OR(H840=1,G841=1),1,0)</f>
        <v/>
      </c>
      <c r="I841">
        <f>IF(H840=0,1,SUMPRODUCT(J840:N840,B841:F841)+O840*(1+0.00023125256064071564))</f>
        <v/>
      </c>
      <c r="J841">
        <f>IF(G841=1,0.2*R841/B841,J840)</f>
        <v/>
      </c>
      <c r="K841">
        <f>IF(G841=1,0.2*R841/C841,K840)</f>
        <v/>
      </c>
      <c r="L841">
        <f>IF(G841=1,0.2*R841/D841,L840)</f>
        <v/>
      </c>
      <c r="M841">
        <f>IF(G841=1,0.2*R841/E841,M840)</f>
        <v/>
      </c>
      <c r="N841">
        <f>IF(G841=1,0.2*R841/F841,N840)</f>
        <v/>
      </c>
      <c r="O841">
        <f>IF(G841=1,R841*(1-1.0),IF(H840=0,1,O840*(1+0.00023125256064071564)))</f>
        <v/>
      </c>
      <c r="P841">
        <f>IF(G841=1,IF(H840=0,1,ABS(0.2-J840*B841/I841)+ABS(0.2-K840*C841/I841)+ABS(0.2-L840*D841/I841)+ABS(0.2-M840*E841/I841)+ABS(0.2-N840*F841/I841)),0)</f>
        <v/>
      </c>
      <c r="Q841">
        <f>P841*0.0015</f>
        <v/>
      </c>
      <c r="R841">
        <f>I841*(1-Q841)</f>
        <v/>
      </c>
      <c r="S841">
        <f>R841/R840-1</f>
        <v/>
      </c>
      <c r="T841">
        <f>MAX(T840,R841)</f>
        <v/>
      </c>
      <c r="U841">
        <f>R841/T841-1</f>
        <v/>
      </c>
      <c r="V841" t="n">
        <v>2.361230823006303</v>
      </c>
      <c r="W841" s="5">
        <f>R841-V841</f>
        <v/>
      </c>
    </row>
    <row r="842">
      <c r="A842" s="3" t="n">
        <v>39668</v>
      </c>
      <c r="B842">
        <f>Prices!B842</f>
        <v/>
      </c>
      <c r="C842">
        <f>Prices!C842</f>
        <v/>
      </c>
      <c r="D842">
        <f>Prices!D842</f>
        <v/>
      </c>
      <c r="E842">
        <f>Prices!E842</f>
        <v/>
      </c>
      <c r="F842">
        <f>Prices!F842</f>
        <v/>
      </c>
      <c r="G842">
        <f>IF(AND(840&gt;=16,TEXT(A842,"yyyy-mm")&lt;&gt;TEXT(A843,"yyyy-mm")),1,0)</f>
        <v/>
      </c>
      <c r="H842">
        <f>IF(OR(H841=1,G842=1),1,0)</f>
        <v/>
      </c>
      <c r="I842">
        <f>IF(H841=0,1,SUMPRODUCT(J841:N841,B842:F842)+O841*(1+0.00023125256064071564))</f>
        <v/>
      </c>
      <c r="J842">
        <f>IF(G842=1,0.2*R842/B842,J841)</f>
        <v/>
      </c>
      <c r="K842">
        <f>IF(G842=1,0.2*R842/C842,K841)</f>
        <v/>
      </c>
      <c r="L842">
        <f>IF(G842=1,0.2*R842/D842,L841)</f>
        <v/>
      </c>
      <c r="M842">
        <f>IF(G842=1,0.2*R842/E842,M841)</f>
        <v/>
      </c>
      <c r="N842">
        <f>IF(G842=1,0.2*R842/F842,N841)</f>
        <v/>
      </c>
      <c r="O842">
        <f>IF(G842=1,R842*(1-1.0),IF(H841=0,1,O841*(1+0.00023125256064071564)))</f>
        <v/>
      </c>
      <c r="P842">
        <f>IF(G842=1,IF(H841=0,1,ABS(0.2-J841*B842/I842)+ABS(0.2-K841*C842/I842)+ABS(0.2-L841*D842/I842)+ABS(0.2-M841*E842/I842)+ABS(0.2-N841*F842/I842)),0)</f>
        <v/>
      </c>
      <c r="Q842">
        <f>P842*0.0015</f>
        <v/>
      </c>
      <c r="R842">
        <f>I842*(1-Q842)</f>
        <v/>
      </c>
      <c r="S842">
        <f>R842/R841-1</f>
        <v/>
      </c>
      <c r="T842">
        <f>MAX(T841,R842)</f>
        <v/>
      </c>
      <c r="U842">
        <f>R842/T842-1</f>
        <v/>
      </c>
      <c r="V842" t="n">
        <v>2.368099554583343</v>
      </c>
      <c r="W842" s="5">
        <f>R842-V842</f>
        <v/>
      </c>
    </row>
    <row r="843">
      <c r="A843" s="3" t="n">
        <v>39671</v>
      </c>
      <c r="B843">
        <f>Prices!B843</f>
        <v/>
      </c>
      <c r="C843">
        <f>Prices!C843</f>
        <v/>
      </c>
      <c r="D843">
        <f>Prices!D843</f>
        <v/>
      </c>
      <c r="E843">
        <f>Prices!E843</f>
        <v/>
      </c>
      <c r="F843">
        <f>Prices!F843</f>
        <v/>
      </c>
      <c r="G843">
        <f>IF(AND(841&gt;=16,TEXT(A843,"yyyy-mm")&lt;&gt;TEXT(A844,"yyyy-mm")),1,0)</f>
        <v/>
      </c>
      <c r="H843">
        <f>IF(OR(H842=1,G843=1),1,0)</f>
        <v/>
      </c>
      <c r="I843">
        <f>IF(H842=0,1,SUMPRODUCT(J842:N842,B843:F843)+O842*(1+0.00023125256064071564))</f>
        <v/>
      </c>
      <c r="J843">
        <f>IF(G843=1,0.2*R843/B843,J842)</f>
        <v/>
      </c>
      <c r="K843">
        <f>IF(G843=1,0.2*R843/C843,K842)</f>
        <v/>
      </c>
      <c r="L843">
        <f>IF(G843=1,0.2*R843/D843,L842)</f>
        <v/>
      </c>
      <c r="M843">
        <f>IF(G843=1,0.2*R843/E843,M842)</f>
        <v/>
      </c>
      <c r="N843">
        <f>IF(G843=1,0.2*R843/F843,N842)</f>
        <v/>
      </c>
      <c r="O843">
        <f>IF(G843=1,R843*(1-1.0),IF(H842=0,1,O842*(1+0.00023125256064071564)))</f>
        <v/>
      </c>
      <c r="P843">
        <f>IF(G843=1,IF(H842=0,1,ABS(0.2-J842*B843/I843)+ABS(0.2-K842*C843/I843)+ABS(0.2-L842*D843/I843)+ABS(0.2-M842*E843/I843)+ABS(0.2-N842*F843/I843)),0)</f>
        <v/>
      </c>
      <c r="Q843">
        <f>P843*0.0015</f>
        <v/>
      </c>
      <c r="R843">
        <f>I843*(1-Q843)</f>
        <v/>
      </c>
      <c r="S843">
        <f>R843/R842-1</f>
        <v/>
      </c>
      <c r="T843">
        <f>MAX(T842,R843)</f>
        <v/>
      </c>
      <c r="U843">
        <f>R843/T843-1</f>
        <v/>
      </c>
      <c r="V843" t="n">
        <v>2.403367822084962</v>
      </c>
      <c r="W843" s="5">
        <f>R843-V843</f>
        <v/>
      </c>
    </row>
    <row r="844">
      <c r="A844" s="3" t="n">
        <v>39672</v>
      </c>
      <c r="B844">
        <f>Prices!B844</f>
        <v/>
      </c>
      <c r="C844">
        <f>Prices!C844</f>
        <v/>
      </c>
      <c r="D844">
        <f>Prices!D844</f>
        <v/>
      </c>
      <c r="E844">
        <f>Prices!E844</f>
        <v/>
      </c>
      <c r="F844">
        <f>Prices!F844</f>
        <v/>
      </c>
      <c r="G844">
        <f>IF(AND(842&gt;=16,TEXT(A844,"yyyy-mm")&lt;&gt;TEXT(A845,"yyyy-mm")),1,0)</f>
        <v/>
      </c>
      <c r="H844">
        <f>IF(OR(H843=1,G844=1),1,0)</f>
        <v/>
      </c>
      <c r="I844">
        <f>IF(H843=0,1,SUMPRODUCT(J843:N843,B844:F844)+O843*(1+0.00023125256064071564))</f>
        <v/>
      </c>
      <c r="J844">
        <f>IF(G844=1,0.2*R844/B844,J843)</f>
        <v/>
      </c>
      <c r="K844">
        <f>IF(G844=1,0.2*R844/C844,K843)</f>
        <v/>
      </c>
      <c r="L844">
        <f>IF(G844=1,0.2*R844/D844,L843)</f>
        <v/>
      </c>
      <c r="M844">
        <f>IF(G844=1,0.2*R844/E844,M843)</f>
        <v/>
      </c>
      <c r="N844">
        <f>IF(G844=1,0.2*R844/F844,N843)</f>
        <v/>
      </c>
      <c r="O844">
        <f>IF(G844=1,R844*(1-1.0),IF(H843=0,1,O843*(1+0.00023125256064071564)))</f>
        <v/>
      </c>
      <c r="P844">
        <f>IF(G844=1,IF(H843=0,1,ABS(0.2-J843*B844/I844)+ABS(0.2-K843*C844/I844)+ABS(0.2-L843*D844/I844)+ABS(0.2-M843*E844/I844)+ABS(0.2-N843*F844/I844)),0)</f>
        <v/>
      </c>
      <c r="Q844">
        <f>P844*0.0015</f>
        <v/>
      </c>
      <c r="R844">
        <f>I844*(1-Q844)</f>
        <v/>
      </c>
      <c r="S844">
        <f>R844/R843-1</f>
        <v/>
      </c>
      <c r="T844">
        <f>MAX(T843,R844)</f>
        <v/>
      </c>
      <c r="U844">
        <f>R844/T844-1</f>
        <v/>
      </c>
      <c r="V844" t="n">
        <v>2.372695332603971</v>
      </c>
      <c r="W844" s="5">
        <f>R844-V844</f>
        <v/>
      </c>
    </row>
    <row r="845">
      <c r="A845" s="3" t="n">
        <v>39673</v>
      </c>
      <c r="B845">
        <f>Prices!B845</f>
        <v/>
      </c>
      <c r="C845">
        <f>Prices!C845</f>
        <v/>
      </c>
      <c r="D845">
        <f>Prices!D845</f>
        <v/>
      </c>
      <c r="E845">
        <f>Prices!E845</f>
        <v/>
      </c>
      <c r="F845">
        <f>Prices!F845</f>
        <v/>
      </c>
      <c r="G845">
        <f>IF(AND(843&gt;=16,TEXT(A845,"yyyy-mm")&lt;&gt;TEXT(A846,"yyyy-mm")),1,0)</f>
        <v/>
      </c>
      <c r="H845">
        <f>IF(OR(H844=1,G845=1),1,0)</f>
        <v/>
      </c>
      <c r="I845">
        <f>IF(H844=0,1,SUMPRODUCT(J844:N844,B845:F845)+O844*(1+0.00023125256064071564))</f>
        <v/>
      </c>
      <c r="J845">
        <f>IF(G845=1,0.2*R845/B845,J844)</f>
        <v/>
      </c>
      <c r="K845">
        <f>IF(G845=1,0.2*R845/C845,K844)</f>
        <v/>
      </c>
      <c r="L845">
        <f>IF(G845=1,0.2*R845/D845,L844)</f>
        <v/>
      </c>
      <c r="M845">
        <f>IF(G845=1,0.2*R845/E845,M844)</f>
        <v/>
      </c>
      <c r="N845">
        <f>IF(G845=1,0.2*R845/F845,N844)</f>
        <v/>
      </c>
      <c r="O845">
        <f>IF(G845=1,R845*(1-1.0),IF(H844=0,1,O844*(1+0.00023125256064071564)))</f>
        <v/>
      </c>
      <c r="P845">
        <f>IF(G845=1,IF(H844=0,1,ABS(0.2-J844*B845/I845)+ABS(0.2-K844*C845/I845)+ABS(0.2-L844*D845/I845)+ABS(0.2-M844*E845/I845)+ABS(0.2-N844*F845/I845)),0)</f>
        <v/>
      </c>
      <c r="Q845">
        <f>P845*0.0015</f>
        <v/>
      </c>
      <c r="R845">
        <f>I845*(1-Q845)</f>
        <v/>
      </c>
      <c r="S845">
        <f>R845/R844-1</f>
        <v/>
      </c>
      <c r="T845">
        <f>MAX(T844,R845)</f>
        <v/>
      </c>
      <c r="U845">
        <f>R845/T845-1</f>
        <v/>
      </c>
      <c r="V845" t="n">
        <v>2.368388860695025</v>
      </c>
      <c r="W845" s="5">
        <f>R845-V845</f>
        <v/>
      </c>
    </row>
    <row r="846">
      <c r="A846" s="3" t="n">
        <v>39674</v>
      </c>
      <c r="B846">
        <f>Prices!B846</f>
        <v/>
      </c>
      <c r="C846">
        <f>Prices!C846</f>
        <v/>
      </c>
      <c r="D846">
        <f>Prices!D846</f>
        <v/>
      </c>
      <c r="E846">
        <f>Prices!E846</f>
        <v/>
      </c>
      <c r="F846">
        <f>Prices!F846</f>
        <v/>
      </c>
      <c r="G846">
        <f>IF(AND(844&gt;=16,TEXT(A846,"yyyy-mm")&lt;&gt;TEXT(A847,"yyyy-mm")),1,0)</f>
        <v/>
      </c>
      <c r="H846">
        <f>IF(OR(H845=1,G846=1),1,0)</f>
        <v/>
      </c>
      <c r="I846">
        <f>IF(H845=0,1,SUMPRODUCT(J845:N845,B846:F846)+O845*(1+0.00023125256064071564))</f>
        <v/>
      </c>
      <c r="J846">
        <f>IF(G846=1,0.2*R846/B846,J845)</f>
        <v/>
      </c>
      <c r="K846">
        <f>IF(G846=1,0.2*R846/C846,K845)</f>
        <v/>
      </c>
      <c r="L846">
        <f>IF(G846=1,0.2*R846/D846,L845)</f>
        <v/>
      </c>
      <c r="M846">
        <f>IF(G846=1,0.2*R846/E846,M845)</f>
        <v/>
      </c>
      <c r="N846">
        <f>IF(G846=1,0.2*R846/F846,N845)</f>
        <v/>
      </c>
      <c r="O846">
        <f>IF(G846=1,R846*(1-1.0),IF(H845=0,1,O845*(1+0.00023125256064071564)))</f>
        <v/>
      </c>
      <c r="P846">
        <f>IF(G846=1,IF(H845=0,1,ABS(0.2-J845*B846/I846)+ABS(0.2-K845*C846/I846)+ABS(0.2-L845*D846/I846)+ABS(0.2-M845*E846/I846)+ABS(0.2-N845*F846/I846)),0)</f>
        <v/>
      </c>
      <c r="Q846">
        <f>P846*0.0015</f>
        <v/>
      </c>
      <c r="R846">
        <f>I846*(1-Q846)</f>
        <v/>
      </c>
      <c r="S846">
        <f>R846/R845-1</f>
        <v/>
      </c>
      <c r="T846">
        <f>MAX(T845,R846)</f>
        <v/>
      </c>
      <c r="U846">
        <f>R846/T846-1</f>
        <v/>
      </c>
      <c r="V846" t="n">
        <v>2.323457013722584</v>
      </c>
      <c r="W846" s="5">
        <f>R846-V846</f>
        <v/>
      </c>
    </row>
    <row r="847">
      <c r="A847" s="3" t="n">
        <v>39678</v>
      </c>
      <c r="B847">
        <f>Prices!B847</f>
        <v/>
      </c>
      <c r="C847">
        <f>Prices!C847</f>
        <v/>
      </c>
      <c r="D847">
        <f>Prices!D847</f>
        <v/>
      </c>
      <c r="E847">
        <f>Prices!E847</f>
        <v/>
      </c>
      <c r="F847">
        <f>Prices!F847</f>
        <v/>
      </c>
      <c r="G847">
        <f>IF(AND(845&gt;=16,TEXT(A847,"yyyy-mm")&lt;&gt;TEXT(A848,"yyyy-mm")),1,0)</f>
        <v/>
      </c>
      <c r="H847">
        <f>IF(OR(H846=1,G847=1),1,0)</f>
        <v/>
      </c>
      <c r="I847">
        <f>IF(H846=0,1,SUMPRODUCT(J846:N846,B847:F847)+O846*(1+0.00023125256064071564))</f>
        <v/>
      </c>
      <c r="J847">
        <f>IF(G847=1,0.2*R847/B847,J846)</f>
        <v/>
      </c>
      <c r="K847">
        <f>IF(G847=1,0.2*R847/C847,K846)</f>
        <v/>
      </c>
      <c r="L847">
        <f>IF(G847=1,0.2*R847/D847,L846)</f>
        <v/>
      </c>
      <c r="M847">
        <f>IF(G847=1,0.2*R847/E847,M846)</f>
        <v/>
      </c>
      <c r="N847">
        <f>IF(G847=1,0.2*R847/F847,N846)</f>
        <v/>
      </c>
      <c r="O847">
        <f>IF(G847=1,R847*(1-1.0),IF(H846=0,1,O846*(1+0.00023125256064071564)))</f>
        <v/>
      </c>
      <c r="P847">
        <f>IF(G847=1,IF(H846=0,1,ABS(0.2-J846*B847/I847)+ABS(0.2-K846*C847/I847)+ABS(0.2-L846*D847/I847)+ABS(0.2-M846*E847/I847)+ABS(0.2-N846*F847/I847)),0)</f>
        <v/>
      </c>
      <c r="Q847">
        <f>P847*0.0015</f>
        <v/>
      </c>
      <c r="R847">
        <f>I847*(1-Q847)</f>
        <v/>
      </c>
      <c r="S847">
        <f>R847/R846-1</f>
        <v/>
      </c>
      <c r="T847">
        <f>MAX(T846,R847)</f>
        <v/>
      </c>
      <c r="U847">
        <f>R847/T847-1</f>
        <v/>
      </c>
      <c r="V847" t="n">
        <v>2.297258431162016</v>
      </c>
      <c r="W847" s="5">
        <f>R847-V847</f>
        <v/>
      </c>
    </row>
    <row r="848">
      <c r="A848" s="3" t="n">
        <v>39679</v>
      </c>
      <c r="B848">
        <f>Prices!B848</f>
        <v/>
      </c>
      <c r="C848">
        <f>Prices!C848</f>
        <v/>
      </c>
      <c r="D848">
        <f>Prices!D848</f>
        <v/>
      </c>
      <c r="E848">
        <f>Prices!E848</f>
        <v/>
      </c>
      <c r="F848">
        <f>Prices!F848</f>
        <v/>
      </c>
      <c r="G848">
        <f>IF(AND(846&gt;=16,TEXT(A848,"yyyy-mm")&lt;&gt;TEXT(A849,"yyyy-mm")),1,0)</f>
        <v/>
      </c>
      <c r="H848">
        <f>IF(OR(H847=1,G848=1),1,0)</f>
        <v/>
      </c>
      <c r="I848">
        <f>IF(H847=0,1,SUMPRODUCT(J847:N847,B848:F848)+O847*(1+0.00023125256064071564))</f>
        <v/>
      </c>
      <c r="J848">
        <f>IF(G848=1,0.2*R848/B848,J847)</f>
        <v/>
      </c>
      <c r="K848">
        <f>IF(G848=1,0.2*R848/C848,K847)</f>
        <v/>
      </c>
      <c r="L848">
        <f>IF(G848=1,0.2*R848/D848,L847)</f>
        <v/>
      </c>
      <c r="M848">
        <f>IF(G848=1,0.2*R848/E848,M847)</f>
        <v/>
      </c>
      <c r="N848">
        <f>IF(G848=1,0.2*R848/F848,N847)</f>
        <v/>
      </c>
      <c r="O848">
        <f>IF(G848=1,R848*(1-1.0),IF(H847=0,1,O847*(1+0.00023125256064071564)))</f>
        <v/>
      </c>
      <c r="P848">
        <f>IF(G848=1,IF(H847=0,1,ABS(0.2-J847*B848/I848)+ABS(0.2-K847*C848/I848)+ABS(0.2-L847*D848/I848)+ABS(0.2-M847*E848/I848)+ABS(0.2-N847*F848/I848)),0)</f>
        <v/>
      </c>
      <c r="Q848">
        <f>P848*0.0015</f>
        <v/>
      </c>
      <c r="R848">
        <f>I848*(1-Q848)</f>
        <v/>
      </c>
      <c r="S848">
        <f>R848/R847-1</f>
        <v/>
      </c>
      <c r="T848">
        <f>MAX(T847,R848)</f>
        <v/>
      </c>
      <c r="U848">
        <f>R848/T848-1</f>
        <v/>
      </c>
      <c r="V848" t="n">
        <v>2.29356917810801</v>
      </c>
      <c r="W848" s="5">
        <f>R848-V848</f>
        <v/>
      </c>
    </row>
    <row r="849">
      <c r="A849" s="3" t="n">
        <v>39680</v>
      </c>
      <c r="B849">
        <f>Prices!B849</f>
        <v/>
      </c>
      <c r="C849">
        <f>Prices!C849</f>
        <v/>
      </c>
      <c r="D849">
        <f>Prices!D849</f>
        <v/>
      </c>
      <c r="E849">
        <f>Prices!E849</f>
        <v/>
      </c>
      <c r="F849">
        <f>Prices!F849</f>
        <v/>
      </c>
      <c r="G849">
        <f>IF(AND(847&gt;=16,TEXT(A849,"yyyy-mm")&lt;&gt;TEXT(A850,"yyyy-mm")),1,0)</f>
        <v/>
      </c>
      <c r="H849">
        <f>IF(OR(H848=1,G849=1),1,0)</f>
        <v/>
      </c>
      <c r="I849">
        <f>IF(H848=0,1,SUMPRODUCT(J848:N848,B849:F849)+O848*(1+0.00023125256064071564))</f>
        <v/>
      </c>
      <c r="J849">
        <f>IF(G849=1,0.2*R849/B849,J848)</f>
        <v/>
      </c>
      <c r="K849">
        <f>IF(G849=1,0.2*R849/C849,K848)</f>
        <v/>
      </c>
      <c r="L849">
        <f>IF(G849=1,0.2*R849/D849,L848)</f>
        <v/>
      </c>
      <c r="M849">
        <f>IF(G849=1,0.2*R849/E849,M848)</f>
        <v/>
      </c>
      <c r="N849">
        <f>IF(G849=1,0.2*R849/F849,N848)</f>
        <v/>
      </c>
      <c r="O849">
        <f>IF(G849=1,R849*(1-1.0),IF(H848=0,1,O848*(1+0.00023125256064071564)))</f>
        <v/>
      </c>
      <c r="P849">
        <f>IF(G849=1,IF(H848=0,1,ABS(0.2-J848*B849/I849)+ABS(0.2-K848*C849/I849)+ABS(0.2-L848*D849/I849)+ABS(0.2-M848*E849/I849)+ABS(0.2-N848*F849/I849)),0)</f>
        <v/>
      </c>
      <c r="Q849">
        <f>P849*0.0015</f>
        <v/>
      </c>
      <c r="R849">
        <f>I849*(1-Q849)</f>
        <v/>
      </c>
      <c r="S849">
        <f>R849/R848-1</f>
        <v/>
      </c>
      <c r="T849">
        <f>MAX(T848,R849)</f>
        <v/>
      </c>
      <c r="U849">
        <f>R849/T849-1</f>
        <v/>
      </c>
      <c r="V849" t="n">
        <v>2.323023743221406</v>
      </c>
      <c r="W849" s="5">
        <f>R849-V849</f>
        <v/>
      </c>
    </row>
    <row r="850">
      <c r="A850" s="3" t="n">
        <v>39681</v>
      </c>
      <c r="B850">
        <f>Prices!B850</f>
        <v/>
      </c>
      <c r="C850">
        <f>Prices!C850</f>
        <v/>
      </c>
      <c r="D850">
        <f>Prices!D850</f>
        <v/>
      </c>
      <c r="E850">
        <f>Prices!E850</f>
        <v/>
      </c>
      <c r="F850">
        <f>Prices!F850</f>
        <v/>
      </c>
      <c r="G850">
        <f>IF(AND(848&gt;=16,TEXT(A850,"yyyy-mm")&lt;&gt;TEXT(A851,"yyyy-mm")),1,0)</f>
        <v/>
      </c>
      <c r="H850">
        <f>IF(OR(H849=1,G850=1),1,0)</f>
        <v/>
      </c>
      <c r="I850">
        <f>IF(H849=0,1,SUMPRODUCT(J849:N849,B850:F850)+O849*(1+0.00023125256064071564))</f>
        <v/>
      </c>
      <c r="J850">
        <f>IF(G850=1,0.2*R850/B850,J849)</f>
        <v/>
      </c>
      <c r="K850">
        <f>IF(G850=1,0.2*R850/C850,K849)</f>
        <v/>
      </c>
      <c r="L850">
        <f>IF(G850=1,0.2*R850/D850,L849)</f>
        <v/>
      </c>
      <c r="M850">
        <f>IF(G850=1,0.2*R850/E850,M849)</f>
        <v/>
      </c>
      <c r="N850">
        <f>IF(G850=1,0.2*R850/F850,N849)</f>
        <v/>
      </c>
      <c r="O850">
        <f>IF(G850=1,R850*(1-1.0),IF(H849=0,1,O849*(1+0.00023125256064071564)))</f>
        <v/>
      </c>
      <c r="P850">
        <f>IF(G850=1,IF(H849=0,1,ABS(0.2-J849*B850/I850)+ABS(0.2-K849*C850/I850)+ABS(0.2-L849*D850/I850)+ABS(0.2-M849*E850/I850)+ABS(0.2-N849*F850/I850)),0)</f>
        <v/>
      </c>
      <c r="Q850">
        <f>P850*0.0015</f>
        <v/>
      </c>
      <c r="R850">
        <f>I850*(1-Q850)</f>
        <v/>
      </c>
      <c r="S850">
        <f>R850/R849-1</f>
        <v/>
      </c>
      <c r="T850">
        <f>MAX(T849,R850)</f>
        <v/>
      </c>
      <c r="U850">
        <f>R850/T850-1</f>
        <v/>
      </c>
      <c r="V850" t="n">
        <v>2.263745592053133</v>
      </c>
      <c r="W850" s="5">
        <f>R850-V850</f>
        <v/>
      </c>
    </row>
    <row r="851">
      <c r="A851" s="3" t="n">
        <v>39682</v>
      </c>
      <c r="B851">
        <f>Prices!B851</f>
        <v/>
      </c>
      <c r="C851">
        <f>Prices!C851</f>
        <v/>
      </c>
      <c r="D851">
        <f>Prices!D851</f>
        <v/>
      </c>
      <c r="E851">
        <f>Prices!E851</f>
        <v/>
      </c>
      <c r="F851">
        <f>Prices!F851</f>
        <v/>
      </c>
      <c r="G851">
        <f>IF(AND(849&gt;=16,TEXT(A851,"yyyy-mm")&lt;&gt;TEXT(A852,"yyyy-mm")),1,0)</f>
        <v/>
      </c>
      <c r="H851">
        <f>IF(OR(H850=1,G851=1),1,0)</f>
        <v/>
      </c>
      <c r="I851">
        <f>IF(H850=0,1,SUMPRODUCT(J850:N850,B851:F851)+O850*(1+0.00023125256064071564))</f>
        <v/>
      </c>
      <c r="J851">
        <f>IF(G851=1,0.2*R851/B851,J850)</f>
        <v/>
      </c>
      <c r="K851">
        <f>IF(G851=1,0.2*R851/C851,K850)</f>
        <v/>
      </c>
      <c r="L851">
        <f>IF(G851=1,0.2*R851/D851,L850)</f>
        <v/>
      </c>
      <c r="M851">
        <f>IF(G851=1,0.2*R851/E851,M850)</f>
        <v/>
      </c>
      <c r="N851">
        <f>IF(G851=1,0.2*R851/F851,N850)</f>
        <v/>
      </c>
      <c r="O851">
        <f>IF(G851=1,R851*(1-1.0),IF(H850=0,1,O850*(1+0.00023125256064071564)))</f>
        <v/>
      </c>
      <c r="P851">
        <f>IF(G851=1,IF(H850=0,1,ABS(0.2-J850*B851/I851)+ABS(0.2-K850*C851/I851)+ABS(0.2-L850*D851/I851)+ABS(0.2-M850*E851/I851)+ABS(0.2-N850*F851/I851)),0)</f>
        <v/>
      </c>
      <c r="Q851">
        <f>P851*0.0015</f>
        <v/>
      </c>
      <c r="R851">
        <f>I851*(1-Q851)</f>
        <v/>
      </c>
      <c r="S851">
        <f>R851/R850-1</f>
        <v/>
      </c>
      <c r="T851">
        <f>MAX(T850,R851)</f>
        <v/>
      </c>
      <c r="U851">
        <f>R851/T851-1</f>
        <v/>
      </c>
      <c r="V851" t="n">
        <v>2.273316921646654</v>
      </c>
      <c r="W851" s="5">
        <f>R851-V851</f>
        <v/>
      </c>
    </row>
    <row r="852">
      <c r="A852" s="3" t="n">
        <v>39685</v>
      </c>
      <c r="B852">
        <f>Prices!B852</f>
        <v/>
      </c>
      <c r="C852">
        <f>Prices!C852</f>
        <v/>
      </c>
      <c r="D852">
        <f>Prices!D852</f>
        <v/>
      </c>
      <c r="E852">
        <f>Prices!E852</f>
        <v/>
      </c>
      <c r="F852">
        <f>Prices!F852</f>
        <v/>
      </c>
      <c r="G852">
        <f>IF(AND(850&gt;=16,TEXT(A852,"yyyy-mm")&lt;&gt;TEXT(A853,"yyyy-mm")),1,0)</f>
        <v/>
      </c>
      <c r="H852">
        <f>IF(OR(H851=1,G852=1),1,0)</f>
        <v/>
      </c>
      <c r="I852">
        <f>IF(H851=0,1,SUMPRODUCT(J851:N851,B852:F852)+O851*(1+0.00023125256064071564))</f>
        <v/>
      </c>
      <c r="J852">
        <f>IF(G852=1,0.2*R852/B852,J851)</f>
        <v/>
      </c>
      <c r="K852">
        <f>IF(G852=1,0.2*R852/C852,K851)</f>
        <v/>
      </c>
      <c r="L852">
        <f>IF(G852=1,0.2*R852/D852,L851)</f>
        <v/>
      </c>
      <c r="M852">
        <f>IF(G852=1,0.2*R852/E852,M851)</f>
        <v/>
      </c>
      <c r="N852">
        <f>IF(G852=1,0.2*R852/F852,N851)</f>
        <v/>
      </c>
      <c r="O852">
        <f>IF(G852=1,R852*(1-1.0),IF(H851=0,1,O851*(1+0.00023125256064071564)))</f>
        <v/>
      </c>
      <c r="P852">
        <f>IF(G852=1,IF(H851=0,1,ABS(0.2-J851*B852/I852)+ABS(0.2-K851*C852/I852)+ABS(0.2-L851*D852/I852)+ABS(0.2-M851*E852/I852)+ABS(0.2-N851*F852/I852)),0)</f>
        <v/>
      </c>
      <c r="Q852">
        <f>P852*0.0015</f>
        <v/>
      </c>
      <c r="R852">
        <f>I852*(1-Q852)</f>
        <v/>
      </c>
      <c r="S852">
        <f>R852/R851-1</f>
        <v/>
      </c>
      <c r="T852">
        <f>MAX(T851,R852)</f>
        <v/>
      </c>
      <c r="U852">
        <f>R852/T852-1</f>
        <v/>
      </c>
      <c r="V852" t="n">
        <v>2.274592949989317</v>
      </c>
      <c r="W852" s="5">
        <f>R852-V852</f>
        <v/>
      </c>
    </row>
    <row r="853">
      <c r="A853" s="3" t="n">
        <v>39686</v>
      </c>
      <c r="B853">
        <f>Prices!B853</f>
        <v/>
      </c>
      <c r="C853">
        <f>Prices!C853</f>
        <v/>
      </c>
      <c r="D853">
        <f>Prices!D853</f>
        <v/>
      </c>
      <c r="E853">
        <f>Prices!E853</f>
        <v/>
      </c>
      <c r="F853">
        <f>Prices!F853</f>
        <v/>
      </c>
      <c r="G853">
        <f>IF(AND(851&gt;=16,TEXT(A853,"yyyy-mm")&lt;&gt;TEXT(A854,"yyyy-mm")),1,0)</f>
        <v/>
      </c>
      <c r="H853">
        <f>IF(OR(H852=1,G853=1),1,0)</f>
        <v/>
      </c>
      <c r="I853">
        <f>IF(H852=0,1,SUMPRODUCT(J852:N852,B853:F853)+O852*(1+0.00023125256064071564))</f>
        <v/>
      </c>
      <c r="J853">
        <f>IF(G853=1,0.2*R853/B853,J852)</f>
        <v/>
      </c>
      <c r="K853">
        <f>IF(G853=1,0.2*R853/C853,K852)</f>
        <v/>
      </c>
      <c r="L853">
        <f>IF(G853=1,0.2*R853/D853,L852)</f>
        <v/>
      </c>
      <c r="M853">
        <f>IF(G853=1,0.2*R853/E853,M852)</f>
        <v/>
      </c>
      <c r="N853">
        <f>IF(G853=1,0.2*R853/F853,N852)</f>
        <v/>
      </c>
      <c r="O853">
        <f>IF(G853=1,R853*(1-1.0),IF(H852=0,1,O852*(1+0.00023125256064071564)))</f>
        <v/>
      </c>
      <c r="P853">
        <f>IF(G853=1,IF(H852=0,1,ABS(0.2-J852*B853/I853)+ABS(0.2-K852*C853/I853)+ABS(0.2-L852*D853/I853)+ABS(0.2-M852*E853/I853)+ABS(0.2-N852*F853/I853)),0)</f>
        <v/>
      </c>
      <c r="Q853">
        <f>P853*0.0015</f>
        <v/>
      </c>
      <c r="R853">
        <f>I853*(1-Q853)</f>
        <v/>
      </c>
      <c r="S853">
        <f>R853/R852-1</f>
        <v/>
      </c>
      <c r="T853">
        <f>MAX(T852,R853)</f>
        <v/>
      </c>
      <c r="U853">
        <f>R853/T853-1</f>
        <v/>
      </c>
      <c r="V853" t="n">
        <v>2.27788326410069</v>
      </c>
      <c r="W853" s="5">
        <f>R853-V853</f>
        <v/>
      </c>
    </row>
    <row r="854">
      <c r="A854" s="3" t="n">
        <v>39687</v>
      </c>
      <c r="B854">
        <f>Prices!B854</f>
        <v/>
      </c>
      <c r="C854">
        <f>Prices!C854</f>
        <v/>
      </c>
      <c r="D854">
        <f>Prices!D854</f>
        <v/>
      </c>
      <c r="E854">
        <f>Prices!E854</f>
        <v/>
      </c>
      <c r="F854">
        <f>Prices!F854</f>
        <v/>
      </c>
      <c r="G854">
        <f>IF(AND(852&gt;=16,TEXT(A854,"yyyy-mm")&lt;&gt;TEXT(A855,"yyyy-mm")),1,0)</f>
        <v/>
      </c>
      <c r="H854">
        <f>IF(OR(H853=1,G854=1),1,0)</f>
        <v/>
      </c>
      <c r="I854">
        <f>IF(H853=0,1,SUMPRODUCT(J853:N853,B854:F854)+O853*(1+0.00023125256064071564))</f>
        <v/>
      </c>
      <c r="J854">
        <f>IF(G854=1,0.2*R854/B854,J853)</f>
        <v/>
      </c>
      <c r="K854">
        <f>IF(G854=1,0.2*R854/C854,K853)</f>
        <v/>
      </c>
      <c r="L854">
        <f>IF(G854=1,0.2*R854/D854,L853)</f>
        <v/>
      </c>
      <c r="M854">
        <f>IF(G854=1,0.2*R854/E854,M853)</f>
        <v/>
      </c>
      <c r="N854">
        <f>IF(G854=1,0.2*R854/F854,N853)</f>
        <v/>
      </c>
      <c r="O854">
        <f>IF(G854=1,R854*(1-1.0),IF(H853=0,1,O853*(1+0.00023125256064071564)))</f>
        <v/>
      </c>
      <c r="P854">
        <f>IF(G854=1,IF(H853=0,1,ABS(0.2-J853*B854/I854)+ABS(0.2-K853*C854/I854)+ABS(0.2-L853*D854/I854)+ABS(0.2-M853*E854/I854)+ABS(0.2-N853*F854/I854)),0)</f>
        <v/>
      </c>
      <c r="Q854">
        <f>P854*0.0015</f>
        <v/>
      </c>
      <c r="R854">
        <f>I854*(1-Q854)</f>
        <v/>
      </c>
      <c r="S854">
        <f>R854/R853-1</f>
        <v/>
      </c>
      <c r="T854">
        <f>MAX(T853,R854)</f>
        <v/>
      </c>
      <c r="U854">
        <f>R854/T854-1</f>
        <v/>
      </c>
      <c r="V854" t="n">
        <v>2.254994279270958</v>
      </c>
      <c r="W854" s="5">
        <f>R854-V854</f>
        <v/>
      </c>
    </row>
    <row r="855">
      <c r="A855" s="3" t="n">
        <v>39688</v>
      </c>
      <c r="B855">
        <f>Prices!B855</f>
        <v/>
      </c>
      <c r="C855">
        <f>Prices!C855</f>
        <v/>
      </c>
      <c r="D855">
        <f>Prices!D855</f>
        <v/>
      </c>
      <c r="E855">
        <f>Prices!E855</f>
        <v/>
      </c>
      <c r="F855">
        <f>Prices!F855</f>
        <v/>
      </c>
      <c r="G855">
        <f>IF(AND(853&gt;=16,TEXT(A855,"yyyy-mm")&lt;&gt;TEXT(A856,"yyyy-mm")),1,0)</f>
        <v/>
      </c>
      <c r="H855">
        <f>IF(OR(H854=1,G855=1),1,0)</f>
        <v/>
      </c>
      <c r="I855">
        <f>IF(H854=0,1,SUMPRODUCT(J854:N854,B855:F855)+O854*(1+0.00023125256064071564))</f>
        <v/>
      </c>
      <c r="J855">
        <f>IF(G855=1,0.2*R855/B855,J854)</f>
        <v/>
      </c>
      <c r="K855">
        <f>IF(G855=1,0.2*R855/C855,K854)</f>
        <v/>
      </c>
      <c r="L855">
        <f>IF(G855=1,0.2*R855/D855,L854)</f>
        <v/>
      </c>
      <c r="M855">
        <f>IF(G855=1,0.2*R855/E855,M854)</f>
        <v/>
      </c>
      <c r="N855">
        <f>IF(G855=1,0.2*R855/F855,N854)</f>
        <v/>
      </c>
      <c r="O855">
        <f>IF(G855=1,R855*(1-1.0),IF(H854=0,1,O854*(1+0.00023125256064071564)))</f>
        <v/>
      </c>
      <c r="P855">
        <f>IF(G855=1,IF(H854=0,1,ABS(0.2-J854*B855/I855)+ABS(0.2-K854*C855/I855)+ABS(0.2-L854*D855/I855)+ABS(0.2-M854*E855/I855)+ABS(0.2-N854*F855/I855)),0)</f>
        <v/>
      </c>
      <c r="Q855">
        <f>P855*0.0015</f>
        <v/>
      </c>
      <c r="R855">
        <f>I855*(1-Q855)</f>
        <v/>
      </c>
      <c r="S855">
        <f>R855/R854-1</f>
        <v/>
      </c>
      <c r="T855">
        <f>MAX(T854,R855)</f>
        <v/>
      </c>
      <c r="U855">
        <f>R855/T855-1</f>
        <v/>
      </c>
      <c r="V855" t="n">
        <v>2.221703477316213</v>
      </c>
      <c r="W855" s="5">
        <f>R855-V855</f>
        <v/>
      </c>
    </row>
    <row r="856">
      <c r="A856" s="3" t="n">
        <v>39689</v>
      </c>
      <c r="B856">
        <f>Prices!B856</f>
        <v/>
      </c>
      <c r="C856">
        <f>Prices!C856</f>
        <v/>
      </c>
      <c r="D856">
        <f>Prices!D856</f>
        <v/>
      </c>
      <c r="E856">
        <f>Prices!E856</f>
        <v/>
      </c>
      <c r="F856">
        <f>Prices!F856</f>
        <v/>
      </c>
      <c r="G856">
        <f>IF(AND(854&gt;=16,TEXT(A856,"yyyy-mm")&lt;&gt;TEXT(A857,"yyyy-mm")),1,0)</f>
        <v/>
      </c>
      <c r="H856">
        <f>IF(OR(H855=1,G856=1),1,0)</f>
        <v/>
      </c>
      <c r="I856">
        <f>IF(H855=0,1,SUMPRODUCT(J855:N855,B856:F856)+O855*(1+0.00023125256064071564))</f>
        <v/>
      </c>
      <c r="J856">
        <f>IF(G856=1,0.2*R856/B856,J855)</f>
        <v/>
      </c>
      <c r="K856">
        <f>IF(G856=1,0.2*R856/C856,K855)</f>
        <v/>
      </c>
      <c r="L856">
        <f>IF(G856=1,0.2*R856/D856,L855)</f>
        <v/>
      </c>
      <c r="M856">
        <f>IF(G856=1,0.2*R856/E856,M855)</f>
        <v/>
      </c>
      <c r="N856">
        <f>IF(G856=1,0.2*R856/F856,N855)</f>
        <v/>
      </c>
      <c r="O856">
        <f>IF(G856=1,R856*(1-1.0),IF(H855=0,1,O855*(1+0.00023125256064071564)))</f>
        <v/>
      </c>
      <c r="P856">
        <f>IF(G856=1,IF(H855=0,1,ABS(0.2-J855*B856/I856)+ABS(0.2-K855*C856/I856)+ABS(0.2-L855*D856/I856)+ABS(0.2-M855*E856/I856)+ABS(0.2-N855*F856/I856)),0)</f>
        <v/>
      </c>
      <c r="Q856">
        <f>P856*0.0015</f>
        <v/>
      </c>
      <c r="R856">
        <f>I856*(1-Q856)</f>
        <v/>
      </c>
      <c r="S856">
        <f>R856/R855-1</f>
        <v/>
      </c>
      <c r="T856">
        <f>MAX(T855,R856)</f>
        <v/>
      </c>
      <c r="U856">
        <f>R856/T856-1</f>
        <v/>
      </c>
      <c r="V856" t="n">
        <v>2.286940078907864</v>
      </c>
      <c r="W856" s="5">
        <f>R856-V856</f>
        <v/>
      </c>
    </row>
    <row r="857">
      <c r="A857" s="3" t="n">
        <v>39692</v>
      </c>
      <c r="B857">
        <f>Prices!B857</f>
        <v/>
      </c>
      <c r="C857">
        <f>Prices!C857</f>
        <v/>
      </c>
      <c r="D857">
        <f>Prices!D857</f>
        <v/>
      </c>
      <c r="E857">
        <f>Prices!E857</f>
        <v/>
      </c>
      <c r="F857">
        <f>Prices!F857</f>
        <v/>
      </c>
      <c r="G857">
        <f>IF(AND(855&gt;=16,TEXT(A857,"yyyy-mm")&lt;&gt;TEXT(A858,"yyyy-mm")),1,0)</f>
        <v/>
      </c>
      <c r="H857">
        <f>IF(OR(H856=1,G857=1),1,0)</f>
        <v/>
      </c>
      <c r="I857">
        <f>IF(H856=0,1,SUMPRODUCT(J856:N856,B857:F857)+O856*(1+0.00023125256064071564))</f>
        <v/>
      </c>
      <c r="J857">
        <f>IF(G857=1,0.2*R857/B857,J856)</f>
        <v/>
      </c>
      <c r="K857">
        <f>IF(G857=1,0.2*R857/C857,K856)</f>
        <v/>
      </c>
      <c r="L857">
        <f>IF(G857=1,0.2*R857/D857,L856)</f>
        <v/>
      </c>
      <c r="M857">
        <f>IF(G857=1,0.2*R857/E857,M856)</f>
        <v/>
      </c>
      <c r="N857">
        <f>IF(G857=1,0.2*R857/F857,N856)</f>
        <v/>
      </c>
      <c r="O857">
        <f>IF(G857=1,R857*(1-1.0),IF(H856=0,1,O856*(1+0.00023125256064071564)))</f>
        <v/>
      </c>
      <c r="P857">
        <f>IF(G857=1,IF(H856=0,1,ABS(0.2-J856*B857/I857)+ABS(0.2-K856*C857/I857)+ABS(0.2-L856*D857/I857)+ABS(0.2-M856*E857/I857)+ABS(0.2-N856*F857/I857)),0)</f>
        <v/>
      </c>
      <c r="Q857">
        <f>P857*0.0015</f>
        <v/>
      </c>
      <c r="R857">
        <f>I857*(1-Q857)</f>
        <v/>
      </c>
      <c r="S857">
        <f>R857/R856-1</f>
        <v/>
      </c>
      <c r="T857">
        <f>MAX(T856,R857)</f>
        <v/>
      </c>
      <c r="U857">
        <f>R857/T857-1</f>
        <v/>
      </c>
      <c r="V857" t="n">
        <v>2.283500983906885</v>
      </c>
      <c r="W857" s="5">
        <f>R857-V857</f>
        <v/>
      </c>
    </row>
    <row r="858">
      <c r="A858" s="3" t="n">
        <v>39693</v>
      </c>
      <c r="B858">
        <f>Prices!B858</f>
        <v/>
      </c>
      <c r="C858">
        <f>Prices!C858</f>
        <v/>
      </c>
      <c r="D858">
        <f>Prices!D858</f>
        <v/>
      </c>
      <c r="E858">
        <f>Prices!E858</f>
        <v/>
      </c>
      <c r="F858">
        <f>Prices!F858</f>
        <v/>
      </c>
      <c r="G858">
        <f>IF(AND(856&gt;=16,TEXT(A858,"yyyy-mm")&lt;&gt;TEXT(A859,"yyyy-mm")),1,0)</f>
        <v/>
      </c>
      <c r="H858">
        <f>IF(OR(H857=1,G858=1),1,0)</f>
        <v/>
      </c>
      <c r="I858">
        <f>IF(H857=0,1,SUMPRODUCT(J857:N857,B858:F858)+O857*(1+0.00023125256064071564))</f>
        <v/>
      </c>
      <c r="J858">
        <f>IF(G858=1,0.2*R858/B858,J857)</f>
        <v/>
      </c>
      <c r="K858">
        <f>IF(G858=1,0.2*R858/C858,K857)</f>
        <v/>
      </c>
      <c r="L858">
        <f>IF(G858=1,0.2*R858/D858,L857)</f>
        <v/>
      </c>
      <c r="M858">
        <f>IF(G858=1,0.2*R858/E858,M857)</f>
        <v/>
      </c>
      <c r="N858">
        <f>IF(G858=1,0.2*R858/F858,N857)</f>
        <v/>
      </c>
      <c r="O858">
        <f>IF(G858=1,R858*(1-1.0),IF(H857=0,1,O857*(1+0.00023125256064071564)))</f>
        <v/>
      </c>
      <c r="P858">
        <f>IF(G858=1,IF(H857=0,1,ABS(0.2-J857*B858/I858)+ABS(0.2-K857*C858/I858)+ABS(0.2-L857*D858/I858)+ABS(0.2-M857*E858/I858)+ABS(0.2-N857*F858/I858)),0)</f>
        <v/>
      </c>
      <c r="Q858">
        <f>P858*0.0015</f>
        <v/>
      </c>
      <c r="R858">
        <f>I858*(1-Q858)</f>
        <v/>
      </c>
      <c r="S858">
        <f>R858/R857-1</f>
        <v/>
      </c>
      <c r="T858">
        <f>MAX(T857,R858)</f>
        <v/>
      </c>
      <c r="U858">
        <f>R858/T858-1</f>
        <v/>
      </c>
      <c r="V858" t="n">
        <v>2.335372100192191</v>
      </c>
      <c r="W858" s="5">
        <f>R858-V858</f>
        <v/>
      </c>
    </row>
    <row r="859">
      <c r="A859" s="3" t="n">
        <v>39695</v>
      </c>
      <c r="B859">
        <f>Prices!B859</f>
        <v/>
      </c>
      <c r="C859">
        <f>Prices!C859</f>
        <v/>
      </c>
      <c r="D859">
        <f>Prices!D859</f>
        <v/>
      </c>
      <c r="E859">
        <f>Prices!E859</f>
        <v/>
      </c>
      <c r="F859">
        <f>Prices!F859</f>
        <v/>
      </c>
      <c r="G859">
        <f>IF(AND(857&gt;=16,TEXT(A859,"yyyy-mm")&lt;&gt;TEXT(A860,"yyyy-mm")),1,0)</f>
        <v/>
      </c>
      <c r="H859">
        <f>IF(OR(H858=1,G859=1),1,0)</f>
        <v/>
      </c>
      <c r="I859">
        <f>IF(H858=0,1,SUMPRODUCT(J858:N858,B859:F859)+O858*(1+0.00023125256064071564))</f>
        <v/>
      </c>
      <c r="J859">
        <f>IF(G859=1,0.2*R859/B859,J858)</f>
        <v/>
      </c>
      <c r="K859">
        <f>IF(G859=1,0.2*R859/C859,K858)</f>
        <v/>
      </c>
      <c r="L859">
        <f>IF(G859=1,0.2*R859/D859,L858)</f>
        <v/>
      </c>
      <c r="M859">
        <f>IF(G859=1,0.2*R859/E859,M858)</f>
        <v/>
      </c>
      <c r="N859">
        <f>IF(G859=1,0.2*R859/F859,N858)</f>
        <v/>
      </c>
      <c r="O859">
        <f>IF(G859=1,R859*(1-1.0),IF(H858=0,1,O858*(1+0.00023125256064071564)))</f>
        <v/>
      </c>
      <c r="P859">
        <f>IF(G859=1,IF(H858=0,1,ABS(0.2-J858*B859/I859)+ABS(0.2-K858*C859/I859)+ABS(0.2-L858*D859/I859)+ABS(0.2-M858*E859/I859)+ABS(0.2-N858*F859/I859)),0)</f>
        <v/>
      </c>
      <c r="Q859">
        <f>P859*0.0015</f>
        <v/>
      </c>
      <c r="R859">
        <f>I859*(1-Q859)</f>
        <v/>
      </c>
      <c r="S859">
        <f>R859/R858-1</f>
        <v/>
      </c>
      <c r="T859">
        <f>MAX(T858,R859)</f>
        <v/>
      </c>
      <c r="U859">
        <f>R859/T859-1</f>
        <v/>
      </c>
      <c r="V859" t="n">
        <v>2.321557046682567</v>
      </c>
      <c r="W859" s="5">
        <f>R859-V859</f>
        <v/>
      </c>
    </row>
    <row r="860">
      <c r="A860" s="3" t="n">
        <v>39696</v>
      </c>
      <c r="B860">
        <f>Prices!B860</f>
        <v/>
      </c>
      <c r="C860">
        <f>Prices!C860</f>
        <v/>
      </c>
      <c r="D860">
        <f>Prices!D860</f>
        <v/>
      </c>
      <c r="E860">
        <f>Prices!E860</f>
        <v/>
      </c>
      <c r="F860">
        <f>Prices!F860</f>
        <v/>
      </c>
      <c r="G860">
        <f>IF(AND(858&gt;=16,TEXT(A860,"yyyy-mm")&lt;&gt;TEXT(A861,"yyyy-mm")),1,0)</f>
        <v/>
      </c>
      <c r="H860">
        <f>IF(OR(H859=1,G860=1),1,0)</f>
        <v/>
      </c>
      <c r="I860">
        <f>IF(H859=0,1,SUMPRODUCT(J859:N859,B860:F860)+O859*(1+0.00023125256064071564))</f>
        <v/>
      </c>
      <c r="J860">
        <f>IF(G860=1,0.2*R860/B860,J859)</f>
        <v/>
      </c>
      <c r="K860">
        <f>IF(G860=1,0.2*R860/C860,K859)</f>
        <v/>
      </c>
      <c r="L860">
        <f>IF(G860=1,0.2*R860/D860,L859)</f>
        <v/>
      </c>
      <c r="M860">
        <f>IF(G860=1,0.2*R860/E860,M859)</f>
        <v/>
      </c>
      <c r="N860">
        <f>IF(G860=1,0.2*R860/F860,N859)</f>
        <v/>
      </c>
      <c r="O860">
        <f>IF(G860=1,R860*(1-1.0),IF(H859=0,1,O859*(1+0.00023125256064071564)))</f>
        <v/>
      </c>
      <c r="P860">
        <f>IF(G860=1,IF(H859=0,1,ABS(0.2-J859*B860/I860)+ABS(0.2-K859*C860/I860)+ABS(0.2-L859*D860/I860)+ABS(0.2-M859*E860/I860)+ABS(0.2-N859*F860/I860)),0)</f>
        <v/>
      </c>
      <c r="Q860">
        <f>P860*0.0015</f>
        <v/>
      </c>
      <c r="R860">
        <f>I860*(1-Q860)</f>
        <v/>
      </c>
      <c r="S860">
        <f>R860/R859-1</f>
        <v/>
      </c>
      <c r="T860">
        <f>MAX(T859,R860)</f>
        <v/>
      </c>
      <c r="U860">
        <f>R860/T860-1</f>
        <v/>
      </c>
      <c r="V860" t="n">
        <v>2.279273759496315</v>
      </c>
      <c r="W860" s="5">
        <f>R860-V860</f>
        <v/>
      </c>
    </row>
    <row r="861">
      <c r="A861" s="3" t="n">
        <v>39699</v>
      </c>
      <c r="B861">
        <f>Prices!B861</f>
        <v/>
      </c>
      <c r="C861">
        <f>Prices!C861</f>
        <v/>
      </c>
      <c r="D861">
        <f>Prices!D861</f>
        <v/>
      </c>
      <c r="E861">
        <f>Prices!E861</f>
        <v/>
      </c>
      <c r="F861">
        <f>Prices!F861</f>
        <v/>
      </c>
      <c r="G861">
        <f>IF(AND(859&gt;=16,TEXT(A861,"yyyy-mm")&lt;&gt;TEXT(A862,"yyyy-mm")),1,0)</f>
        <v/>
      </c>
      <c r="H861">
        <f>IF(OR(H860=1,G861=1),1,0)</f>
        <v/>
      </c>
      <c r="I861">
        <f>IF(H860=0,1,SUMPRODUCT(J860:N860,B861:F861)+O860*(1+0.00023125256064071564))</f>
        <v/>
      </c>
      <c r="J861">
        <f>IF(G861=1,0.2*R861/B861,J860)</f>
        <v/>
      </c>
      <c r="K861">
        <f>IF(G861=1,0.2*R861/C861,K860)</f>
        <v/>
      </c>
      <c r="L861">
        <f>IF(G861=1,0.2*R861/D861,L860)</f>
        <v/>
      </c>
      <c r="M861">
        <f>IF(G861=1,0.2*R861/E861,M860)</f>
        <v/>
      </c>
      <c r="N861">
        <f>IF(G861=1,0.2*R861/F861,N860)</f>
        <v/>
      </c>
      <c r="O861">
        <f>IF(G861=1,R861*(1-1.0),IF(H860=0,1,O860*(1+0.00023125256064071564)))</f>
        <v/>
      </c>
      <c r="P861">
        <f>IF(G861=1,IF(H860=0,1,ABS(0.2-J860*B861/I861)+ABS(0.2-K860*C861/I861)+ABS(0.2-L860*D861/I861)+ABS(0.2-M860*E861/I861)+ABS(0.2-N860*F861/I861)),0)</f>
        <v/>
      </c>
      <c r="Q861">
        <f>P861*0.0015</f>
        <v/>
      </c>
      <c r="R861">
        <f>I861*(1-Q861)</f>
        <v/>
      </c>
      <c r="S861">
        <f>R861/R860-1</f>
        <v/>
      </c>
      <c r="T861">
        <f>MAX(T860,R861)</f>
        <v/>
      </c>
      <c r="U861">
        <f>R861/T861-1</f>
        <v/>
      </c>
      <c r="V861" t="n">
        <v>2.311584491498959</v>
      </c>
      <c r="W861" s="5">
        <f>R861-V861</f>
        <v/>
      </c>
    </row>
    <row r="862">
      <c r="A862" s="3" t="n">
        <v>39700</v>
      </c>
      <c r="B862">
        <f>Prices!B862</f>
        <v/>
      </c>
      <c r="C862">
        <f>Prices!C862</f>
        <v/>
      </c>
      <c r="D862">
        <f>Prices!D862</f>
        <v/>
      </c>
      <c r="E862">
        <f>Prices!E862</f>
        <v/>
      </c>
      <c r="F862">
        <f>Prices!F862</f>
        <v/>
      </c>
      <c r="G862">
        <f>IF(AND(860&gt;=16,TEXT(A862,"yyyy-mm")&lt;&gt;TEXT(A863,"yyyy-mm")),1,0)</f>
        <v/>
      </c>
      <c r="H862">
        <f>IF(OR(H861=1,G862=1),1,0)</f>
        <v/>
      </c>
      <c r="I862">
        <f>IF(H861=0,1,SUMPRODUCT(J861:N861,B862:F862)+O861*(1+0.00023125256064071564))</f>
        <v/>
      </c>
      <c r="J862">
        <f>IF(G862=1,0.2*R862/B862,J861)</f>
        <v/>
      </c>
      <c r="K862">
        <f>IF(G862=1,0.2*R862/C862,K861)</f>
        <v/>
      </c>
      <c r="L862">
        <f>IF(G862=1,0.2*R862/D862,L861)</f>
        <v/>
      </c>
      <c r="M862">
        <f>IF(G862=1,0.2*R862/E862,M861)</f>
        <v/>
      </c>
      <c r="N862">
        <f>IF(G862=1,0.2*R862/F862,N861)</f>
        <v/>
      </c>
      <c r="O862">
        <f>IF(G862=1,R862*(1-1.0),IF(H861=0,1,O861*(1+0.00023125256064071564)))</f>
        <v/>
      </c>
      <c r="P862">
        <f>IF(G862=1,IF(H861=0,1,ABS(0.2-J861*B862/I862)+ABS(0.2-K861*C862/I862)+ABS(0.2-L861*D862/I862)+ABS(0.2-M861*E862/I862)+ABS(0.2-N861*F862/I862)),0)</f>
        <v/>
      </c>
      <c r="Q862">
        <f>P862*0.0015</f>
        <v/>
      </c>
      <c r="R862">
        <f>I862*(1-Q862)</f>
        <v/>
      </c>
      <c r="S862">
        <f>R862/R861-1</f>
        <v/>
      </c>
      <c r="T862">
        <f>MAX(T861,R862)</f>
        <v/>
      </c>
      <c r="U862">
        <f>R862/T862-1</f>
        <v/>
      </c>
      <c r="V862" t="n">
        <v>2.297830427073057</v>
      </c>
      <c r="W862" s="5">
        <f>R862-V862</f>
        <v/>
      </c>
    </row>
    <row r="863">
      <c r="A863" s="3" t="n">
        <v>39701</v>
      </c>
      <c r="B863">
        <f>Prices!B863</f>
        <v/>
      </c>
      <c r="C863">
        <f>Prices!C863</f>
        <v/>
      </c>
      <c r="D863">
        <f>Prices!D863</f>
        <v/>
      </c>
      <c r="E863">
        <f>Prices!E863</f>
        <v/>
      </c>
      <c r="F863">
        <f>Prices!F863</f>
        <v/>
      </c>
      <c r="G863">
        <f>IF(AND(861&gt;=16,TEXT(A863,"yyyy-mm")&lt;&gt;TEXT(A864,"yyyy-mm")),1,0)</f>
        <v/>
      </c>
      <c r="H863">
        <f>IF(OR(H862=1,G863=1),1,0)</f>
        <v/>
      </c>
      <c r="I863">
        <f>IF(H862=0,1,SUMPRODUCT(J862:N862,B863:F863)+O862*(1+0.00023125256064071564))</f>
        <v/>
      </c>
      <c r="J863">
        <f>IF(G863=1,0.2*R863/B863,J862)</f>
        <v/>
      </c>
      <c r="K863">
        <f>IF(G863=1,0.2*R863/C863,K862)</f>
        <v/>
      </c>
      <c r="L863">
        <f>IF(G863=1,0.2*R863/D863,L862)</f>
        <v/>
      </c>
      <c r="M863">
        <f>IF(G863=1,0.2*R863/E863,M862)</f>
        <v/>
      </c>
      <c r="N863">
        <f>IF(G863=1,0.2*R863/F863,N862)</f>
        <v/>
      </c>
      <c r="O863">
        <f>IF(G863=1,R863*(1-1.0),IF(H862=0,1,O862*(1+0.00023125256064071564)))</f>
        <v/>
      </c>
      <c r="P863">
        <f>IF(G863=1,IF(H862=0,1,ABS(0.2-J862*B863/I863)+ABS(0.2-K862*C863/I863)+ABS(0.2-L862*D863/I863)+ABS(0.2-M862*E863/I863)+ABS(0.2-N862*F863/I863)),0)</f>
        <v/>
      </c>
      <c r="Q863">
        <f>P863*0.0015</f>
        <v/>
      </c>
      <c r="R863">
        <f>I863*(1-Q863)</f>
        <v/>
      </c>
      <c r="S863">
        <f>R863/R862-1</f>
        <v/>
      </c>
      <c r="T863">
        <f>MAX(T862,R863)</f>
        <v/>
      </c>
      <c r="U863">
        <f>R863/T863-1</f>
        <v/>
      </c>
      <c r="V863" t="n">
        <v>2.27357313665028</v>
      </c>
      <c r="W863" s="5">
        <f>R863-V863</f>
        <v/>
      </c>
    </row>
    <row r="864">
      <c r="A864" s="3" t="n">
        <v>39702</v>
      </c>
      <c r="B864">
        <f>Prices!B864</f>
        <v/>
      </c>
      <c r="C864">
        <f>Prices!C864</f>
        <v/>
      </c>
      <c r="D864">
        <f>Prices!D864</f>
        <v/>
      </c>
      <c r="E864">
        <f>Prices!E864</f>
        <v/>
      </c>
      <c r="F864">
        <f>Prices!F864</f>
        <v/>
      </c>
      <c r="G864">
        <f>IF(AND(862&gt;=16,TEXT(A864,"yyyy-mm")&lt;&gt;TEXT(A865,"yyyy-mm")),1,0)</f>
        <v/>
      </c>
      <c r="H864">
        <f>IF(OR(H863=1,G864=1),1,0)</f>
        <v/>
      </c>
      <c r="I864">
        <f>IF(H863=0,1,SUMPRODUCT(J863:N863,B864:F864)+O863*(1+0.00023125256064071564))</f>
        <v/>
      </c>
      <c r="J864">
        <f>IF(G864=1,0.2*R864/B864,J863)</f>
        <v/>
      </c>
      <c r="K864">
        <f>IF(G864=1,0.2*R864/C864,K863)</f>
        <v/>
      </c>
      <c r="L864">
        <f>IF(G864=1,0.2*R864/D864,L863)</f>
        <v/>
      </c>
      <c r="M864">
        <f>IF(G864=1,0.2*R864/E864,M863)</f>
        <v/>
      </c>
      <c r="N864">
        <f>IF(G864=1,0.2*R864/F864,N863)</f>
        <v/>
      </c>
      <c r="O864">
        <f>IF(G864=1,R864*(1-1.0),IF(H863=0,1,O863*(1+0.00023125256064071564)))</f>
        <v/>
      </c>
      <c r="P864">
        <f>IF(G864=1,IF(H863=0,1,ABS(0.2-J863*B864/I864)+ABS(0.2-K863*C864/I864)+ABS(0.2-L863*D864/I864)+ABS(0.2-M863*E864/I864)+ABS(0.2-N863*F864/I864)),0)</f>
        <v/>
      </c>
      <c r="Q864">
        <f>P864*0.0015</f>
        <v/>
      </c>
      <c r="R864">
        <f>I864*(1-Q864)</f>
        <v/>
      </c>
      <c r="S864">
        <f>R864/R863-1</f>
        <v/>
      </c>
      <c r="T864">
        <f>MAX(T863,R864)</f>
        <v/>
      </c>
      <c r="U864">
        <f>R864/T864-1</f>
        <v/>
      </c>
      <c r="V864" t="n">
        <v>2.239865254346947</v>
      </c>
      <c r="W864" s="5">
        <f>R864-V864</f>
        <v/>
      </c>
    </row>
    <row r="865">
      <c r="A865" s="3" t="n">
        <v>39703</v>
      </c>
      <c r="B865">
        <f>Prices!B865</f>
        <v/>
      </c>
      <c r="C865">
        <f>Prices!C865</f>
        <v/>
      </c>
      <c r="D865">
        <f>Prices!D865</f>
        <v/>
      </c>
      <c r="E865">
        <f>Prices!E865</f>
        <v/>
      </c>
      <c r="F865">
        <f>Prices!F865</f>
        <v/>
      </c>
      <c r="G865">
        <f>IF(AND(863&gt;=16,TEXT(A865,"yyyy-mm")&lt;&gt;TEXT(A866,"yyyy-mm")),1,0)</f>
        <v/>
      </c>
      <c r="H865">
        <f>IF(OR(H864=1,G865=1),1,0)</f>
        <v/>
      </c>
      <c r="I865">
        <f>IF(H864=0,1,SUMPRODUCT(J864:N864,B865:F865)+O864*(1+0.00023125256064071564))</f>
        <v/>
      </c>
      <c r="J865">
        <f>IF(G865=1,0.2*R865/B865,J864)</f>
        <v/>
      </c>
      <c r="K865">
        <f>IF(G865=1,0.2*R865/C865,K864)</f>
        <v/>
      </c>
      <c r="L865">
        <f>IF(G865=1,0.2*R865/D865,L864)</f>
        <v/>
      </c>
      <c r="M865">
        <f>IF(G865=1,0.2*R865/E865,M864)</f>
        <v/>
      </c>
      <c r="N865">
        <f>IF(G865=1,0.2*R865/F865,N864)</f>
        <v/>
      </c>
      <c r="O865">
        <f>IF(G865=1,R865*(1-1.0),IF(H864=0,1,O864*(1+0.00023125256064071564)))</f>
        <v/>
      </c>
      <c r="P865">
        <f>IF(G865=1,IF(H864=0,1,ABS(0.2-J864*B865/I865)+ABS(0.2-K864*C865/I865)+ABS(0.2-L864*D865/I865)+ABS(0.2-M864*E865/I865)+ABS(0.2-N864*F865/I865)),0)</f>
        <v/>
      </c>
      <c r="Q865">
        <f>P865*0.0015</f>
        <v/>
      </c>
      <c r="R865">
        <f>I865*(1-Q865)</f>
        <v/>
      </c>
      <c r="S865">
        <f>R865/R864-1</f>
        <v/>
      </c>
      <c r="T865">
        <f>MAX(T864,R865)</f>
        <v/>
      </c>
      <c r="U865">
        <f>R865/T865-1</f>
        <v/>
      </c>
      <c r="V865" t="n">
        <v>2.206866113424776</v>
      </c>
      <c r="W865" s="5">
        <f>R865-V865</f>
        <v/>
      </c>
    </row>
    <row r="866">
      <c r="A866" s="3" t="n">
        <v>39706</v>
      </c>
      <c r="B866">
        <f>Prices!B866</f>
        <v/>
      </c>
      <c r="C866">
        <f>Prices!C866</f>
        <v/>
      </c>
      <c r="D866">
        <f>Prices!D866</f>
        <v/>
      </c>
      <c r="E866">
        <f>Prices!E866</f>
        <v/>
      </c>
      <c r="F866">
        <f>Prices!F866</f>
        <v/>
      </c>
      <c r="G866">
        <f>IF(AND(864&gt;=16,TEXT(A866,"yyyy-mm")&lt;&gt;TEXT(A867,"yyyy-mm")),1,0)</f>
        <v/>
      </c>
      <c r="H866">
        <f>IF(OR(H865=1,G866=1),1,0)</f>
        <v/>
      </c>
      <c r="I866">
        <f>IF(H865=0,1,SUMPRODUCT(J865:N865,B866:F866)+O865*(1+0.00023125256064071564))</f>
        <v/>
      </c>
      <c r="J866">
        <f>IF(G866=1,0.2*R866/B866,J865)</f>
        <v/>
      </c>
      <c r="K866">
        <f>IF(G866=1,0.2*R866/C866,K865)</f>
        <v/>
      </c>
      <c r="L866">
        <f>IF(G866=1,0.2*R866/D866,L865)</f>
        <v/>
      </c>
      <c r="M866">
        <f>IF(G866=1,0.2*R866/E866,M865)</f>
        <v/>
      </c>
      <c r="N866">
        <f>IF(G866=1,0.2*R866/F866,N865)</f>
        <v/>
      </c>
      <c r="O866">
        <f>IF(G866=1,R866*(1-1.0),IF(H865=0,1,O865*(1+0.00023125256064071564)))</f>
        <v/>
      </c>
      <c r="P866">
        <f>IF(G866=1,IF(H865=0,1,ABS(0.2-J865*B866/I866)+ABS(0.2-K865*C866/I866)+ABS(0.2-L865*D866/I866)+ABS(0.2-M865*E866/I866)+ABS(0.2-N865*F866/I866)),0)</f>
        <v/>
      </c>
      <c r="Q866">
        <f>P866*0.0015</f>
        <v/>
      </c>
      <c r="R866">
        <f>I866*(1-Q866)</f>
        <v/>
      </c>
      <c r="S866">
        <f>R866/R865-1</f>
        <v/>
      </c>
      <c r="T866">
        <f>MAX(T865,R866)</f>
        <v/>
      </c>
      <c r="U866">
        <f>R866/T866-1</f>
        <v/>
      </c>
      <c r="V866" t="n">
        <v>2.117918545721014</v>
      </c>
      <c r="W866" s="5">
        <f>R866-V866</f>
        <v/>
      </c>
    </row>
    <row r="867">
      <c r="A867" s="3" t="n">
        <v>39707</v>
      </c>
      <c r="B867">
        <f>Prices!B867</f>
        <v/>
      </c>
      <c r="C867">
        <f>Prices!C867</f>
        <v/>
      </c>
      <c r="D867">
        <f>Prices!D867</f>
        <v/>
      </c>
      <c r="E867">
        <f>Prices!E867</f>
        <v/>
      </c>
      <c r="F867">
        <f>Prices!F867</f>
        <v/>
      </c>
      <c r="G867">
        <f>IF(AND(865&gt;=16,TEXT(A867,"yyyy-mm")&lt;&gt;TEXT(A868,"yyyy-mm")),1,0)</f>
        <v/>
      </c>
      <c r="H867">
        <f>IF(OR(H866=1,G867=1),1,0)</f>
        <v/>
      </c>
      <c r="I867">
        <f>IF(H866=0,1,SUMPRODUCT(J866:N866,B867:F867)+O866*(1+0.00023125256064071564))</f>
        <v/>
      </c>
      <c r="J867">
        <f>IF(G867=1,0.2*R867/B867,J866)</f>
        <v/>
      </c>
      <c r="K867">
        <f>IF(G867=1,0.2*R867/C867,K866)</f>
        <v/>
      </c>
      <c r="L867">
        <f>IF(G867=1,0.2*R867/D867,L866)</f>
        <v/>
      </c>
      <c r="M867">
        <f>IF(G867=1,0.2*R867/E867,M866)</f>
        <v/>
      </c>
      <c r="N867">
        <f>IF(G867=1,0.2*R867/F867,N866)</f>
        <v/>
      </c>
      <c r="O867">
        <f>IF(G867=1,R867*(1-1.0),IF(H866=0,1,O866*(1+0.00023125256064071564)))</f>
        <v/>
      </c>
      <c r="P867">
        <f>IF(G867=1,IF(H866=0,1,ABS(0.2-J866*B867/I867)+ABS(0.2-K866*C867/I867)+ABS(0.2-L866*D867/I867)+ABS(0.2-M866*E867/I867)+ABS(0.2-N866*F867/I867)),0)</f>
        <v/>
      </c>
      <c r="Q867">
        <f>P867*0.0015</f>
        <v/>
      </c>
      <c r="R867">
        <f>I867*(1-Q867)</f>
        <v/>
      </c>
      <c r="S867">
        <f>R867/R866-1</f>
        <v/>
      </c>
      <c r="T867">
        <f>MAX(T866,R867)</f>
        <v/>
      </c>
      <c r="U867">
        <f>R867/T867-1</f>
        <v/>
      </c>
      <c r="V867" t="n">
        <v>2.103426185405518</v>
      </c>
      <c r="W867" s="5">
        <f>R867-V867</f>
        <v/>
      </c>
    </row>
    <row r="868">
      <c r="A868" s="3" t="n">
        <v>39708</v>
      </c>
      <c r="B868">
        <f>Prices!B868</f>
        <v/>
      </c>
      <c r="C868">
        <f>Prices!C868</f>
        <v/>
      </c>
      <c r="D868">
        <f>Prices!D868</f>
        <v/>
      </c>
      <c r="E868">
        <f>Prices!E868</f>
        <v/>
      </c>
      <c r="F868">
        <f>Prices!F868</f>
        <v/>
      </c>
      <c r="G868">
        <f>IF(AND(866&gt;=16,TEXT(A868,"yyyy-mm")&lt;&gt;TEXT(A869,"yyyy-mm")),1,0)</f>
        <v/>
      </c>
      <c r="H868">
        <f>IF(OR(H867=1,G868=1),1,0)</f>
        <v/>
      </c>
      <c r="I868">
        <f>IF(H867=0,1,SUMPRODUCT(J867:N867,B868:F868)+O867*(1+0.00023125256064071564))</f>
        <v/>
      </c>
      <c r="J868">
        <f>IF(G868=1,0.2*R868/B868,J867)</f>
        <v/>
      </c>
      <c r="K868">
        <f>IF(G868=1,0.2*R868/C868,K867)</f>
        <v/>
      </c>
      <c r="L868">
        <f>IF(G868=1,0.2*R868/D868,L867)</f>
        <v/>
      </c>
      <c r="M868">
        <f>IF(G868=1,0.2*R868/E868,M867)</f>
        <v/>
      </c>
      <c r="N868">
        <f>IF(G868=1,0.2*R868/F868,N867)</f>
        <v/>
      </c>
      <c r="O868">
        <f>IF(G868=1,R868*(1-1.0),IF(H867=0,1,O867*(1+0.00023125256064071564)))</f>
        <v/>
      </c>
      <c r="P868">
        <f>IF(G868=1,IF(H867=0,1,ABS(0.2-J867*B868/I868)+ABS(0.2-K867*C868/I868)+ABS(0.2-L867*D868/I868)+ABS(0.2-M867*E868/I868)+ABS(0.2-N867*F868/I868)),0)</f>
        <v/>
      </c>
      <c r="Q868">
        <f>P868*0.0015</f>
        <v/>
      </c>
      <c r="R868">
        <f>I868*(1-Q868)</f>
        <v/>
      </c>
      <c r="S868">
        <f>R868/R867-1</f>
        <v/>
      </c>
      <c r="T868">
        <f>MAX(T867,R868)</f>
        <v/>
      </c>
      <c r="U868">
        <f>R868/T868-1</f>
        <v/>
      </c>
      <c r="V868" t="n">
        <v>2.070826863312901</v>
      </c>
      <c r="W868" s="5">
        <f>R868-V868</f>
        <v/>
      </c>
    </row>
    <row r="869">
      <c r="A869" s="3" t="n">
        <v>39709</v>
      </c>
      <c r="B869">
        <f>Prices!B869</f>
        <v/>
      </c>
      <c r="C869">
        <f>Prices!C869</f>
        <v/>
      </c>
      <c r="D869">
        <f>Prices!D869</f>
        <v/>
      </c>
      <c r="E869">
        <f>Prices!E869</f>
        <v/>
      </c>
      <c r="F869">
        <f>Prices!F869</f>
        <v/>
      </c>
      <c r="G869">
        <f>IF(AND(867&gt;=16,TEXT(A869,"yyyy-mm")&lt;&gt;TEXT(A870,"yyyy-mm")),1,0)</f>
        <v/>
      </c>
      <c r="H869">
        <f>IF(OR(H868=1,G869=1),1,0)</f>
        <v/>
      </c>
      <c r="I869">
        <f>IF(H868=0,1,SUMPRODUCT(J868:N868,B869:F869)+O868*(1+0.00023125256064071564))</f>
        <v/>
      </c>
      <c r="J869">
        <f>IF(G869=1,0.2*R869/B869,J868)</f>
        <v/>
      </c>
      <c r="K869">
        <f>IF(G869=1,0.2*R869/C869,K868)</f>
        <v/>
      </c>
      <c r="L869">
        <f>IF(G869=1,0.2*R869/D869,L868)</f>
        <v/>
      </c>
      <c r="M869">
        <f>IF(G869=1,0.2*R869/E869,M868)</f>
        <v/>
      </c>
      <c r="N869">
        <f>IF(G869=1,0.2*R869/F869,N868)</f>
        <v/>
      </c>
      <c r="O869">
        <f>IF(G869=1,R869*(1-1.0),IF(H868=0,1,O868*(1+0.00023125256064071564)))</f>
        <v/>
      </c>
      <c r="P869">
        <f>IF(G869=1,IF(H868=0,1,ABS(0.2-J868*B869/I869)+ABS(0.2-K868*C869/I869)+ABS(0.2-L868*D869/I869)+ABS(0.2-M868*E869/I869)+ABS(0.2-N868*F869/I869)),0)</f>
        <v/>
      </c>
      <c r="Q869">
        <f>P869*0.0015</f>
        <v/>
      </c>
      <c r="R869">
        <f>I869*(1-Q869)</f>
        <v/>
      </c>
      <c r="S869">
        <f>R869/R868-1</f>
        <v/>
      </c>
      <c r="T869">
        <f>MAX(T868,R869)</f>
        <v/>
      </c>
      <c r="U869">
        <f>R869/T869-1</f>
        <v/>
      </c>
      <c r="V869" t="n">
        <v>2.061103757544609</v>
      </c>
      <c r="W869" s="5">
        <f>R869-V869</f>
        <v/>
      </c>
    </row>
    <row r="870">
      <c r="A870" s="3" t="n">
        <v>39710</v>
      </c>
      <c r="B870">
        <f>Prices!B870</f>
        <v/>
      </c>
      <c r="C870">
        <f>Prices!C870</f>
        <v/>
      </c>
      <c r="D870">
        <f>Prices!D870</f>
        <v/>
      </c>
      <c r="E870">
        <f>Prices!E870</f>
        <v/>
      </c>
      <c r="F870">
        <f>Prices!F870</f>
        <v/>
      </c>
      <c r="G870">
        <f>IF(AND(868&gt;=16,TEXT(A870,"yyyy-mm")&lt;&gt;TEXT(A871,"yyyy-mm")),1,0)</f>
        <v/>
      </c>
      <c r="H870">
        <f>IF(OR(H869=1,G870=1),1,0)</f>
        <v/>
      </c>
      <c r="I870">
        <f>IF(H869=0,1,SUMPRODUCT(J869:N869,B870:F870)+O869*(1+0.00023125256064071564))</f>
        <v/>
      </c>
      <c r="J870">
        <f>IF(G870=1,0.2*R870/B870,J869)</f>
        <v/>
      </c>
      <c r="K870">
        <f>IF(G870=1,0.2*R870/C870,K869)</f>
        <v/>
      </c>
      <c r="L870">
        <f>IF(G870=1,0.2*R870/D870,L869)</f>
        <v/>
      </c>
      <c r="M870">
        <f>IF(G870=1,0.2*R870/E870,M869)</f>
        <v/>
      </c>
      <c r="N870">
        <f>IF(G870=1,0.2*R870/F870,N869)</f>
        <v/>
      </c>
      <c r="O870">
        <f>IF(G870=1,R870*(1-1.0),IF(H869=0,1,O869*(1+0.00023125256064071564)))</f>
        <v/>
      </c>
      <c r="P870">
        <f>IF(G870=1,IF(H869=0,1,ABS(0.2-J869*B870/I870)+ABS(0.2-K869*C870/I870)+ABS(0.2-L869*D870/I870)+ABS(0.2-M869*E870/I870)+ABS(0.2-N869*F870/I870)),0)</f>
        <v/>
      </c>
      <c r="Q870">
        <f>P870*0.0015</f>
        <v/>
      </c>
      <c r="R870">
        <f>I870*(1-Q870)</f>
        <v/>
      </c>
      <c r="S870">
        <f>R870/R869-1</f>
        <v/>
      </c>
      <c r="T870">
        <f>MAX(T869,R870)</f>
        <v/>
      </c>
      <c r="U870">
        <f>R870/T870-1</f>
        <v/>
      </c>
      <c r="V870" t="n">
        <v>2.127494733315022</v>
      </c>
      <c r="W870" s="5">
        <f>R870-V870</f>
        <v/>
      </c>
    </row>
    <row r="871">
      <c r="A871" s="3" t="n">
        <v>39713</v>
      </c>
      <c r="B871">
        <f>Prices!B871</f>
        <v/>
      </c>
      <c r="C871">
        <f>Prices!C871</f>
        <v/>
      </c>
      <c r="D871">
        <f>Prices!D871</f>
        <v/>
      </c>
      <c r="E871">
        <f>Prices!E871</f>
        <v/>
      </c>
      <c r="F871">
        <f>Prices!F871</f>
        <v/>
      </c>
      <c r="G871">
        <f>IF(AND(869&gt;=16,TEXT(A871,"yyyy-mm")&lt;&gt;TEXT(A872,"yyyy-mm")),1,0)</f>
        <v/>
      </c>
      <c r="H871">
        <f>IF(OR(H870=1,G871=1),1,0)</f>
        <v/>
      </c>
      <c r="I871">
        <f>IF(H870=0,1,SUMPRODUCT(J870:N870,B871:F871)+O870*(1+0.00023125256064071564))</f>
        <v/>
      </c>
      <c r="J871">
        <f>IF(G871=1,0.2*R871/B871,J870)</f>
        <v/>
      </c>
      <c r="K871">
        <f>IF(G871=1,0.2*R871/C871,K870)</f>
        <v/>
      </c>
      <c r="L871">
        <f>IF(G871=1,0.2*R871/D871,L870)</f>
        <v/>
      </c>
      <c r="M871">
        <f>IF(G871=1,0.2*R871/E871,M870)</f>
        <v/>
      </c>
      <c r="N871">
        <f>IF(G871=1,0.2*R871/F871,N870)</f>
        <v/>
      </c>
      <c r="O871">
        <f>IF(G871=1,R871*(1-1.0),IF(H870=0,1,O870*(1+0.00023125256064071564)))</f>
        <v/>
      </c>
      <c r="P871">
        <f>IF(G871=1,IF(H870=0,1,ABS(0.2-J870*B871/I871)+ABS(0.2-K870*C871/I871)+ABS(0.2-L870*D871/I871)+ABS(0.2-M870*E871/I871)+ABS(0.2-N870*F871/I871)),0)</f>
        <v/>
      </c>
      <c r="Q871">
        <f>P871*0.0015</f>
        <v/>
      </c>
      <c r="R871">
        <f>I871*(1-Q871)</f>
        <v/>
      </c>
      <c r="S871">
        <f>R871/R870-1</f>
        <v/>
      </c>
      <c r="T871">
        <f>MAX(T870,R871)</f>
        <v/>
      </c>
      <c r="U871">
        <f>R871/T871-1</f>
        <v/>
      </c>
      <c r="V871" t="n">
        <v>2.12553151132681</v>
      </c>
      <c r="W871" s="5">
        <f>R871-V871</f>
        <v/>
      </c>
    </row>
    <row r="872">
      <c r="A872" s="3" t="n">
        <v>39714</v>
      </c>
      <c r="B872">
        <f>Prices!B872</f>
        <v/>
      </c>
      <c r="C872">
        <f>Prices!C872</f>
        <v/>
      </c>
      <c r="D872">
        <f>Prices!D872</f>
        <v/>
      </c>
      <c r="E872">
        <f>Prices!E872</f>
        <v/>
      </c>
      <c r="F872">
        <f>Prices!F872</f>
        <v/>
      </c>
      <c r="G872">
        <f>IF(AND(870&gt;=16,TEXT(A872,"yyyy-mm")&lt;&gt;TEXT(A873,"yyyy-mm")),1,0)</f>
        <v/>
      </c>
      <c r="H872">
        <f>IF(OR(H871=1,G872=1),1,0)</f>
        <v/>
      </c>
      <c r="I872">
        <f>IF(H871=0,1,SUMPRODUCT(J871:N871,B872:F872)+O871*(1+0.00023125256064071564))</f>
        <v/>
      </c>
      <c r="J872">
        <f>IF(G872=1,0.2*R872/B872,J871)</f>
        <v/>
      </c>
      <c r="K872">
        <f>IF(G872=1,0.2*R872/C872,K871)</f>
        <v/>
      </c>
      <c r="L872">
        <f>IF(G872=1,0.2*R872/D872,L871)</f>
        <v/>
      </c>
      <c r="M872">
        <f>IF(G872=1,0.2*R872/E872,M871)</f>
        <v/>
      </c>
      <c r="N872">
        <f>IF(G872=1,0.2*R872/F872,N871)</f>
        <v/>
      </c>
      <c r="O872">
        <f>IF(G872=1,R872*(1-1.0),IF(H871=0,1,O871*(1+0.00023125256064071564)))</f>
        <v/>
      </c>
      <c r="P872">
        <f>IF(G872=1,IF(H871=0,1,ABS(0.2-J871*B872/I872)+ABS(0.2-K871*C872/I872)+ABS(0.2-L871*D872/I872)+ABS(0.2-M871*E872/I872)+ABS(0.2-N871*F872/I872)),0)</f>
        <v/>
      </c>
      <c r="Q872">
        <f>P872*0.0015</f>
        <v/>
      </c>
      <c r="R872">
        <f>I872*(1-Q872)</f>
        <v/>
      </c>
      <c r="S872">
        <f>R872/R871-1</f>
        <v/>
      </c>
      <c r="T872">
        <f>MAX(T871,R872)</f>
        <v/>
      </c>
      <c r="U872">
        <f>R872/T872-1</f>
        <v/>
      </c>
      <c r="V872" t="n">
        <v>2.090257423307992</v>
      </c>
      <c r="W872" s="5">
        <f>R872-V872</f>
        <v/>
      </c>
    </row>
    <row r="873">
      <c r="A873" s="3" t="n">
        <v>39715</v>
      </c>
      <c r="B873">
        <f>Prices!B873</f>
        <v/>
      </c>
      <c r="C873">
        <f>Prices!C873</f>
        <v/>
      </c>
      <c r="D873">
        <f>Prices!D873</f>
        <v/>
      </c>
      <c r="E873">
        <f>Prices!E873</f>
        <v/>
      </c>
      <c r="F873">
        <f>Prices!F873</f>
        <v/>
      </c>
      <c r="G873">
        <f>IF(AND(871&gt;=16,TEXT(A873,"yyyy-mm")&lt;&gt;TEXT(A874,"yyyy-mm")),1,0)</f>
        <v/>
      </c>
      <c r="H873">
        <f>IF(OR(H872=1,G873=1),1,0)</f>
        <v/>
      </c>
      <c r="I873">
        <f>IF(H872=0,1,SUMPRODUCT(J872:N872,B873:F873)+O872*(1+0.00023125256064071564))</f>
        <v/>
      </c>
      <c r="J873">
        <f>IF(G873=1,0.2*R873/B873,J872)</f>
        <v/>
      </c>
      <c r="K873">
        <f>IF(G873=1,0.2*R873/C873,K872)</f>
        <v/>
      </c>
      <c r="L873">
        <f>IF(G873=1,0.2*R873/D873,L872)</f>
        <v/>
      </c>
      <c r="M873">
        <f>IF(G873=1,0.2*R873/E873,M872)</f>
        <v/>
      </c>
      <c r="N873">
        <f>IF(G873=1,0.2*R873/F873,N872)</f>
        <v/>
      </c>
      <c r="O873">
        <f>IF(G873=1,R873*(1-1.0),IF(H872=0,1,O872*(1+0.00023125256064071564)))</f>
        <v/>
      </c>
      <c r="P873">
        <f>IF(G873=1,IF(H872=0,1,ABS(0.2-J872*B873/I873)+ABS(0.2-K872*C873/I873)+ABS(0.2-L872*D873/I873)+ABS(0.2-M872*E873/I873)+ABS(0.2-N872*F873/I873)),0)</f>
        <v/>
      </c>
      <c r="Q873">
        <f>P873*0.0015</f>
        <v/>
      </c>
      <c r="R873">
        <f>I873*(1-Q873)</f>
        <v/>
      </c>
      <c r="S873">
        <f>R873/R872-1</f>
        <v/>
      </c>
      <c r="T873">
        <f>MAX(T872,R873)</f>
        <v/>
      </c>
      <c r="U873">
        <f>R873/T873-1</f>
        <v/>
      </c>
      <c r="V873" t="n">
        <v>2.101108255026714</v>
      </c>
      <c r="W873" s="5">
        <f>R873-V873</f>
        <v/>
      </c>
    </row>
    <row r="874">
      <c r="A874" s="3" t="n">
        <v>39716</v>
      </c>
      <c r="B874">
        <f>Prices!B874</f>
        <v/>
      </c>
      <c r="C874">
        <f>Prices!C874</f>
        <v/>
      </c>
      <c r="D874">
        <f>Prices!D874</f>
        <v/>
      </c>
      <c r="E874">
        <f>Prices!E874</f>
        <v/>
      </c>
      <c r="F874">
        <f>Prices!F874</f>
        <v/>
      </c>
      <c r="G874">
        <f>IF(AND(872&gt;=16,TEXT(A874,"yyyy-mm")&lt;&gt;TEXT(A875,"yyyy-mm")),1,0)</f>
        <v/>
      </c>
      <c r="H874">
        <f>IF(OR(H873=1,G874=1),1,0)</f>
        <v/>
      </c>
      <c r="I874">
        <f>IF(H873=0,1,SUMPRODUCT(J873:N873,B874:F874)+O873*(1+0.00023125256064071564))</f>
        <v/>
      </c>
      <c r="J874">
        <f>IF(G874=1,0.2*R874/B874,J873)</f>
        <v/>
      </c>
      <c r="K874">
        <f>IF(G874=1,0.2*R874/C874,K873)</f>
        <v/>
      </c>
      <c r="L874">
        <f>IF(G874=1,0.2*R874/D874,L873)</f>
        <v/>
      </c>
      <c r="M874">
        <f>IF(G874=1,0.2*R874/E874,M873)</f>
        <v/>
      </c>
      <c r="N874">
        <f>IF(G874=1,0.2*R874/F874,N873)</f>
        <v/>
      </c>
      <c r="O874">
        <f>IF(G874=1,R874*(1-1.0),IF(H873=0,1,O873*(1+0.00023125256064071564)))</f>
        <v/>
      </c>
      <c r="P874">
        <f>IF(G874=1,IF(H873=0,1,ABS(0.2-J873*B874/I874)+ABS(0.2-K873*C874/I874)+ABS(0.2-L873*D874/I874)+ABS(0.2-M873*E874/I874)+ABS(0.2-N873*F874/I874)),0)</f>
        <v/>
      </c>
      <c r="Q874">
        <f>P874*0.0015</f>
        <v/>
      </c>
      <c r="R874">
        <f>I874*(1-Q874)</f>
        <v/>
      </c>
      <c r="S874">
        <f>R874/R873-1</f>
        <v/>
      </c>
      <c r="T874">
        <f>MAX(T873,R874)</f>
        <v/>
      </c>
      <c r="U874">
        <f>R874/T874-1</f>
        <v/>
      </c>
      <c r="V874" t="n">
        <v>2.077154085987688</v>
      </c>
      <c r="W874" s="5">
        <f>R874-V874</f>
        <v/>
      </c>
    </row>
    <row r="875">
      <c r="A875" s="3" t="n">
        <v>39717</v>
      </c>
      <c r="B875">
        <f>Prices!B875</f>
        <v/>
      </c>
      <c r="C875">
        <f>Prices!C875</f>
        <v/>
      </c>
      <c r="D875">
        <f>Prices!D875</f>
        <v/>
      </c>
      <c r="E875">
        <f>Prices!E875</f>
        <v/>
      </c>
      <c r="F875">
        <f>Prices!F875</f>
        <v/>
      </c>
      <c r="G875">
        <f>IF(AND(873&gt;=16,TEXT(A875,"yyyy-mm")&lt;&gt;TEXT(A876,"yyyy-mm")),1,0)</f>
        <v/>
      </c>
      <c r="H875">
        <f>IF(OR(H874=1,G875=1),1,0)</f>
        <v/>
      </c>
      <c r="I875">
        <f>IF(H874=0,1,SUMPRODUCT(J874:N874,B875:F875)+O874*(1+0.00023125256064071564))</f>
        <v/>
      </c>
      <c r="J875">
        <f>IF(G875=1,0.2*R875/B875,J874)</f>
        <v/>
      </c>
      <c r="K875">
        <f>IF(G875=1,0.2*R875/C875,K874)</f>
        <v/>
      </c>
      <c r="L875">
        <f>IF(G875=1,0.2*R875/D875,L874)</f>
        <v/>
      </c>
      <c r="M875">
        <f>IF(G875=1,0.2*R875/E875,M874)</f>
        <v/>
      </c>
      <c r="N875">
        <f>IF(G875=1,0.2*R875/F875,N874)</f>
        <v/>
      </c>
      <c r="O875">
        <f>IF(G875=1,R875*(1-1.0),IF(H874=0,1,O874*(1+0.00023125256064071564)))</f>
        <v/>
      </c>
      <c r="P875">
        <f>IF(G875=1,IF(H874=0,1,ABS(0.2-J874*B875/I875)+ABS(0.2-K874*C875/I875)+ABS(0.2-L874*D875/I875)+ABS(0.2-M874*E875/I875)+ABS(0.2-N874*F875/I875)),0)</f>
        <v/>
      </c>
      <c r="Q875">
        <f>P875*0.0015</f>
        <v/>
      </c>
      <c r="R875">
        <f>I875*(1-Q875)</f>
        <v/>
      </c>
      <c r="S875">
        <f>R875/R874-1</f>
        <v/>
      </c>
      <c r="T875">
        <f>MAX(T874,R875)</f>
        <v/>
      </c>
      <c r="U875">
        <f>R875/T875-1</f>
        <v/>
      </c>
      <c r="V875" t="n">
        <v>2.021037492291058</v>
      </c>
      <c r="W875" s="5">
        <f>R875-V875</f>
        <v/>
      </c>
    </row>
    <row r="876">
      <c r="A876" s="3" t="n">
        <v>39720</v>
      </c>
      <c r="B876">
        <f>Prices!B876</f>
        <v/>
      </c>
      <c r="C876">
        <f>Prices!C876</f>
        <v/>
      </c>
      <c r="D876">
        <f>Prices!D876</f>
        <v/>
      </c>
      <c r="E876">
        <f>Prices!E876</f>
        <v/>
      </c>
      <c r="F876">
        <f>Prices!F876</f>
        <v/>
      </c>
      <c r="G876">
        <f>IF(AND(874&gt;=16,TEXT(A876,"yyyy-mm")&lt;&gt;TEXT(A877,"yyyy-mm")),1,0)</f>
        <v/>
      </c>
      <c r="H876">
        <f>IF(OR(H875=1,G876=1),1,0)</f>
        <v/>
      </c>
      <c r="I876">
        <f>IF(H875=0,1,SUMPRODUCT(J875:N875,B876:F876)+O875*(1+0.00023125256064071564))</f>
        <v/>
      </c>
      <c r="J876">
        <f>IF(G876=1,0.2*R876/B876,J875)</f>
        <v/>
      </c>
      <c r="K876">
        <f>IF(G876=1,0.2*R876/C876,K875)</f>
        <v/>
      </c>
      <c r="L876">
        <f>IF(G876=1,0.2*R876/D876,L875)</f>
        <v/>
      </c>
      <c r="M876">
        <f>IF(G876=1,0.2*R876/E876,M875)</f>
        <v/>
      </c>
      <c r="N876">
        <f>IF(G876=1,0.2*R876/F876,N875)</f>
        <v/>
      </c>
      <c r="O876">
        <f>IF(G876=1,R876*(1-1.0),IF(H875=0,1,O875*(1+0.00023125256064071564)))</f>
        <v/>
      </c>
      <c r="P876">
        <f>IF(G876=1,IF(H875=0,1,ABS(0.2-J875*B876/I876)+ABS(0.2-K875*C876/I876)+ABS(0.2-L875*D876/I876)+ABS(0.2-M875*E876/I876)+ABS(0.2-N875*F876/I876)),0)</f>
        <v/>
      </c>
      <c r="Q876">
        <f>P876*0.0015</f>
        <v/>
      </c>
      <c r="R876">
        <f>I876*(1-Q876)</f>
        <v/>
      </c>
      <c r="S876">
        <f>R876/R875-1</f>
        <v/>
      </c>
      <c r="T876">
        <f>MAX(T875,R876)</f>
        <v/>
      </c>
      <c r="U876">
        <f>R876/T876-1</f>
        <v/>
      </c>
      <c r="V876" t="n">
        <v>1.951972946638329</v>
      </c>
      <c r="W876" s="5">
        <f>R876-V876</f>
        <v/>
      </c>
    </row>
    <row r="877">
      <c r="A877" s="3" t="n">
        <v>39721</v>
      </c>
      <c r="B877">
        <f>Prices!B877</f>
        <v/>
      </c>
      <c r="C877">
        <f>Prices!C877</f>
        <v/>
      </c>
      <c r="D877">
        <f>Prices!D877</f>
        <v/>
      </c>
      <c r="E877">
        <f>Prices!E877</f>
        <v/>
      </c>
      <c r="F877">
        <f>Prices!F877</f>
        <v/>
      </c>
      <c r="G877">
        <f>IF(AND(875&gt;=16,TEXT(A877,"yyyy-mm")&lt;&gt;TEXT(A878,"yyyy-mm")),1,0)</f>
        <v/>
      </c>
      <c r="H877">
        <f>IF(OR(H876=1,G877=1),1,0)</f>
        <v/>
      </c>
      <c r="I877">
        <f>IF(H876=0,1,SUMPRODUCT(J876:N876,B877:F877)+O876*(1+0.00023125256064071564))</f>
        <v/>
      </c>
      <c r="J877">
        <f>IF(G877=1,0.2*R877/B877,J876)</f>
        <v/>
      </c>
      <c r="K877">
        <f>IF(G877=1,0.2*R877/C877,K876)</f>
        <v/>
      </c>
      <c r="L877">
        <f>IF(G877=1,0.2*R877/D877,L876)</f>
        <v/>
      </c>
      <c r="M877">
        <f>IF(G877=1,0.2*R877/E877,M876)</f>
        <v/>
      </c>
      <c r="N877">
        <f>IF(G877=1,0.2*R877/F877,N876)</f>
        <v/>
      </c>
      <c r="O877">
        <f>IF(G877=1,R877*(1-1.0),IF(H876=0,1,O876*(1+0.00023125256064071564)))</f>
        <v/>
      </c>
      <c r="P877">
        <f>IF(G877=1,IF(H876=0,1,ABS(0.2-J876*B877/I877)+ABS(0.2-K876*C877/I877)+ABS(0.2-L876*D877/I877)+ABS(0.2-M876*E877/I877)+ABS(0.2-N876*F877/I877)),0)</f>
        <v/>
      </c>
      <c r="Q877">
        <f>P877*0.0015</f>
        <v/>
      </c>
      <c r="R877">
        <f>I877*(1-Q877)</f>
        <v/>
      </c>
      <c r="S877">
        <f>R877/R876-1</f>
        <v/>
      </c>
      <c r="T877">
        <f>MAX(T876,R877)</f>
        <v/>
      </c>
      <c r="U877">
        <f>R877/T877-1</f>
        <v/>
      </c>
      <c r="V877" t="n">
        <v>1.973963116995395</v>
      </c>
      <c r="W877" s="5">
        <f>R877-V877</f>
        <v/>
      </c>
    </row>
    <row r="878">
      <c r="A878" s="3" t="n">
        <v>39722</v>
      </c>
      <c r="B878">
        <f>Prices!B878</f>
        <v/>
      </c>
      <c r="C878">
        <f>Prices!C878</f>
        <v/>
      </c>
      <c r="D878">
        <f>Prices!D878</f>
        <v/>
      </c>
      <c r="E878">
        <f>Prices!E878</f>
        <v/>
      </c>
      <c r="F878">
        <f>Prices!F878</f>
        <v/>
      </c>
      <c r="G878">
        <f>IF(AND(876&gt;=16,TEXT(A878,"yyyy-mm")&lt;&gt;TEXT(A879,"yyyy-mm")),1,0)</f>
        <v/>
      </c>
      <c r="H878">
        <f>IF(OR(H877=1,G878=1),1,0)</f>
        <v/>
      </c>
      <c r="I878">
        <f>IF(H877=0,1,SUMPRODUCT(J877:N877,B878:F878)+O877*(1+0.00023125256064071564))</f>
        <v/>
      </c>
      <c r="J878">
        <f>IF(G878=1,0.2*R878/B878,J877)</f>
        <v/>
      </c>
      <c r="K878">
        <f>IF(G878=1,0.2*R878/C878,K877)</f>
        <v/>
      </c>
      <c r="L878">
        <f>IF(G878=1,0.2*R878/D878,L877)</f>
        <v/>
      </c>
      <c r="M878">
        <f>IF(G878=1,0.2*R878/E878,M877)</f>
        <v/>
      </c>
      <c r="N878">
        <f>IF(G878=1,0.2*R878/F878,N877)</f>
        <v/>
      </c>
      <c r="O878">
        <f>IF(G878=1,R878*(1-1.0),IF(H877=0,1,O877*(1+0.00023125256064071564)))</f>
        <v/>
      </c>
      <c r="P878">
        <f>IF(G878=1,IF(H877=0,1,ABS(0.2-J877*B878/I878)+ABS(0.2-K877*C878/I878)+ABS(0.2-L877*D878/I878)+ABS(0.2-M877*E878/I878)+ABS(0.2-N877*F878/I878)),0)</f>
        <v/>
      </c>
      <c r="Q878">
        <f>P878*0.0015</f>
        <v/>
      </c>
      <c r="R878">
        <f>I878*(1-Q878)</f>
        <v/>
      </c>
      <c r="S878">
        <f>R878/R877-1</f>
        <v/>
      </c>
      <c r="T878">
        <f>MAX(T877,R878)</f>
        <v/>
      </c>
      <c r="U878">
        <f>R878/T878-1</f>
        <v/>
      </c>
      <c r="V878" t="n">
        <v>1.985910419973177</v>
      </c>
      <c r="W878" s="5">
        <f>R878-V878</f>
        <v/>
      </c>
    </row>
    <row r="879">
      <c r="A879" s="3" t="n">
        <v>39724</v>
      </c>
      <c r="B879">
        <f>Prices!B879</f>
        <v/>
      </c>
      <c r="C879">
        <f>Prices!C879</f>
        <v/>
      </c>
      <c r="D879">
        <f>Prices!D879</f>
        <v/>
      </c>
      <c r="E879">
        <f>Prices!E879</f>
        <v/>
      </c>
      <c r="F879">
        <f>Prices!F879</f>
        <v/>
      </c>
      <c r="G879">
        <f>IF(AND(877&gt;=16,TEXT(A879,"yyyy-mm")&lt;&gt;TEXT(A880,"yyyy-mm")),1,0)</f>
        <v/>
      </c>
      <c r="H879">
        <f>IF(OR(H878=1,G879=1),1,0)</f>
        <v/>
      </c>
      <c r="I879">
        <f>IF(H878=0,1,SUMPRODUCT(J878:N878,B879:F879)+O878*(1+0.00023125256064071564))</f>
        <v/>
      </c>
      <c r="J879">
        <f>IF(G879=1,0.2*R879/B879,J878)</f>
        <v/>
      </c>
      <c r="K879">
        <f>IF(G879=1,0.2*R879/C879,K878)</f>
        <v/>
      </c>
      <c r="L879">
        <f>IF(G879=1,0.2*R879/D879,L878)</f>
        <v/>
      </c>
      <c r="M879">
        <f>IF(G879=1,0.2*R879/E879,M878)</f>
        <v/>
      </c>
      <c r="N879">
        <f>IF(G879=1,0.2*R879/F879,N878)</f>
        <v/>
      </c>
      <c r="O879">
        <f>IF(G879=1,R879*(1-1.0),IF(H878=0,1,O878*(1+0.00023125256064071564)))</f>
        <v/>
      </c>
      <c r="P879">
        <f>IF(G879=1,IF(H878=0,1,ABS(0.2-J878*B879/I879)+ABS(0.2-K878*C879/I879)+ABS(0.2-L878*D879/I879)+ABS(0.2-M878*E879/I879)+ABS(0.2-N878*F879/I879)),0)</f>
        <v/>
      </c>
      <c r="Q879">
        <f>P879*0.0015</f>
        <v/>
      </c>
      <c r="R879">
        <f>I879*(1-Q879)</f>
        <v/>
      </c>
      <c r="S879">
        <f>R879/R878-1</f>
        <v/>
      </c>
      <c r="T879">
        <f>MAX(T878,R879)</f>
        <v/>
      </c>
      <c r="U879">
        <f>R879/T879-1</f>
        <v/>
      </c>
      <c r="V879" t="n">
        <v>1.938187676918227</v>
      </c>
      <c r="W879" s="5">
        <f>R879-V879</f>
        <v/>
      </c>
    </row>
    <row r="880">
      <c r="A880" s="3" t="n">
        <v>39727</v>
      </c>
      <c r="B880">
        <f>Prices!B880</f>
        <v/>
      </c>
      <c r="C880">
        <f>Prices!C880</f>
        <v/>
      </c>
      <c r="D880">
        <f>Prices!D880</f>
        <v/>
      </c>
      <c r="E880">
        <f>Prices!E880</f>
        <v/>
      </c>
      <c r="F880">
        <f>Prices!F880</f>
        <v/>
      </c>
      <c r="G880">
        <f>IF(AND(878&gt;=16,TEXT(A880,"yyyy-mm")&lt;&gt;TEXT(A881,"yyyy-mm")),1,0)</f>
        <v/>
      </c>
      <c r="H880">
        <f>IF(OR(H879=1,G880=1),1,0)</f>
        <v/>
      </c>
      <c r="I880">
        <f>IF(H879=0,1,SUMPRODUCT(J879:N879,B880:F880)+O879*(1+0.00023125256064071564))</f>
        <v/>
      </c>
      <c r="J880">
        <f>IF(G880=1,0.2*R880/B880,J879)</f>
        <v/>
      </c>
      <c r="K880">
        <f>IF(G880=1,0.2*R880/C880,K879)</f>
        <v/>
      </c>
      <c r="L880">
        <f>IF(G880=1,0.2*R880/D880,L879)</f>
        <v/>
      </c>
      <c r="M880">
        <f>IF(G880=1,0.2*R880/E880,M879)</f>
        <v/>
      </c>
      <c r="N880">
        <f>IF(G880=1,0.2*R880/F880,N879)</f>
        <v/>
      </c>
      <c r="O880">
        <f>IF(G880=1,R880*(1-1.0),IF(H879=0,1,O879*(1+0.00023125256064071564)))</f>
        <v/>
      </c>
      <c r="P880">
        <f>IF(G880=1,IF(H879=0,1,ABS(0.2-J879*B880/I880)+ABS(0.2-K879*C880/I880)+ABS(0.2-L879*D880/I880)+ABS(0.2-M879*E880/I880)+ABS(0.2-N879*F880/I880)),0)</f>
        <v/>
      </c>
      <c r="Q880">
        <f>P880*0.0015</f>
        <v/>
      </c>
      <c r="R880">
        <f>I880*(1-Q880)</f>
        <v/>
      </c>
      <c r="S880">
        <f>R880/R879-1</f>
        <v/>
      </c>
      <c r="T880">
        <f>MAX(T879,R880)</f>
        <v/>
      </c>
      <c r="U880">
        <f>R880/T880-1</f>
        <v/>
      </c>
      <c r="V880" t="n">
        <v>1.824784049652927</v>
      </c>
      <c r="W880" s="5">
        <f>R880-V880</f>
        <v/>
      </c>
    </row>
    <row r="881">
      <c r="A881" s="3" t="n">
        <v>39728</v>
      </c>
      <c r="B881">
        <f>Prices!B881</f>
        <v/>
      </c>
      <c r="C881">
        <f>Prices!C881</f>
        <v/>
      </c>
      <c r="D881">
        <f>Prices!D881</f>
        <v/>
      </c>
      <c r="E881">
        <f>Prices!E881</f>
        <v/>
      </c>
      <c r="F881">
        <f>Prices!F881</f>
        <v/>
      </c>
      <c r="G881">
        <f>IF(AND(879&gt;=16,TEXT(A881,"yyyy-mm")&lt;&gt;TEXT(A882,"yyyy-mm")),1,0)</f>
        <v/>
      </c>
      <c r="H881">
        <f>IF(OR(H880=1,G881=1),1,0)</f>
        <v/>
      </c>
      <c r="I881">
        <f>IF(H880=0,1,SUMPRODUCT(J880:N880,B881:F881)+O880*(1+0.00023125256064071564))</f>
        <v/>
      </c>
      <c r="J881">
        <f>IF(G881=1,0.2*R881/B881,J880)</f>
        <v/>
      </c>
      <c r="K881">
        <f>IF(G881=1,0.2*R881/C881,K880)</f>
        <v/>
      </c>
      <c r="L881">
        <f>IF(G881=1,0.2*R881/D881,L880)</f>
        <v/>
      </c>
      <c r="M881">
        <f>IF(G881=1,0.2*R881/E881,M880)</f>
        <v/>
      </c>
      <c r="N881">
        <f>IF(G881=1,0.2*R881/F881,N880)</f>
        <v/>
      </c>
      <c r="O881">
        <f>IF(G881=1,R881*(1-1.0),IF(H880=0,1,O880*(1+0.00023125256064071564)))</f>
        <v/>
      </c>
      <c r="P881">
        <f>IF(G881=1,IF(H880=0,1,ABS(0.2-J880*B881/I881)+ABS(0.2-K880*C881/I881)+ABS(0.2-L880*D881/I881)+ABS(0.2-M880*E881/I881)+ABS(0.2-N880*F881/I881)),0)</f>
        <v/>
      </c>
      <c r="Q881">
        <f>P881*0.0015</f>
        <v/>
      </c>
      <c r="R881">
        <f>I881*(1-Q881)</f>
        <v/>
      </c>
      <c r="S881">
        <f>R881/R880-1</f>
        <v/>
      </c>
      <c r="T881">
        <f>MAX(T880,R881)</f>
        <v/>
      </c>
      <c r="U881">
        <f>R881/T881-1</f>
        <v/>
      </c>
      <c r="V881" t="n">
        <v>1.801756368910668</v>
      </c>
      <c r="W881" s="5">
        <f>R881-V881</f>
        <v/>
      </c>
    </row>
    <row r="882">
      <c r="A882" s="3" t="n">
        <v>39729</v>
      </c>
      <c r="B882">
        <f>Prices!B882</f>
        <v/>
      </c>
      <c r="C882">
        <f>Prices!C882</f>
        <v/>
      </c>
      <c r="D882">
        <f>Prices!D882</f>
        <v/>
      </c>
      <c r="E882">
        <f>Prices!E882</f>
        <v/>
      </c>
      <c r="F882">
        <f>Prices!F882</f>
        <v/>
      </c>
      <c r="G882">
        <f>IF(AND(880&gt;=16,TEXT(A882,"yyyy-mm")&lt;&gt;TEXT(A883,"yyyy-mm")),1,0)</f>
        <v/>
      </c>
      <c r="H882">
        <f>IF(OR(H881=1,G882=1),1,0)</f>
        <v/>
      </c>
      <c r="I882">
        <f>IF(H881=0,1,SUMPRODUCT(J881:N881,B882:F882)+O881*(1+0.00023125256064071564))</f>
        <v/>
      </c>
      <c r="J882">
        <f>IF(G882=1,0.2*R882/B882,J881)</f>
        <v/>
      </c>
      <c r="K882">
        <f>IF(G882=1,0.2*R882/C882,K881)</f>
        <v/>
      </c>
      <c r="L882">
        <f>IF(G882=1,0.2*R882/D882,L881)</f>
        <v/>
      </c>
      <c r="M882">
        <f>IF(G882=1,0.2*R882/E882,M881)</f>
        <v/>
      </c>
      <c r="N882">
        <f>IF(G882=1,0.2*R882/F882,N881)</f>
        <v/>
      </c>
      <c r="O882">
        <f>IF(G882=1,R882*(1-1.0),IF(H881=0,1,O881*(1+0.00023125256064071564)))</f>
        <v/>
      </c>
      <c r="P882">
        <f>IF(G882=1,IF(H881=0,1,ABS(0.2-J881*B882/I882)+ABS(0.2-K881*C882/I882)+ABS(0.2-L881*D882/I882)+ABS(0.2-M881*E882/I882)+ABS(0.2-N881*F882/I882)),0)</f>
        <v/>
      </c>
      <c r="Q882">
        <f>P882*0.0015</f>
        <v/>
      </c>
      <c r="R882">
        <f>I882*(1-Q882)</f>
        <v/>
      </c>
      <c r="S882">
        <f>R882/R881-1</f>
        <v/>
      </c>
      <c r="T882">
        <f>MAX(T881,R882)</f>
        <v/>
      </c>
      <c r="U882">
        <f>R882/T882-1</f>
        <v/>
      </c>
      <c r="V882" t="n">
        <v>1.729498652816846</v>
      </c>
      <c r="W882" s="5">
        <f>R882-V882</f>
        <v/>
      </c>
    </row>
    <row r="883">
      <c r="A883" s="3" t="n">
        <v>39731</v>
      </c>
      <c r="B883">
        <f>Prices!B883</f>
        <v/>
      </c>
      <c r="C883">
        <f>Prices!C883</f>
        <v/>
      </c>
      <c r="D883">
        <f>Prices!D883</f>
        <v/>
      </c>
      <c r="E883">
        <f>Prices!E883</f>
        <v/>
      </c>
      <c r="F883">
        <f>Prices!F883</f>
        <v/>
      </c>
      <c r="G883">
        <f>IF(AND(881&gt;=16,TEXT(A883,"yyyy-mm")&lt;&gt;TEXT(A884,"yyyy-mm")),1,0)</f>
        <v/>
      </c>
      <c r="H883">
        <f>IF(OR(H882=1,G883=1),1,0)</f>
        <v/>
      </c>
      <c r="I883">
        <f>IF(H882=0,1,SUMPRODUCT(J882:N882,B883:F883)+O882*(1+0.00023125256064071564))</f>
        <v/>
      </c>
      <c r="J883">
        <f>IF(G883=1,0.2*R883/B883,J882)</f>
        <v/>
      </c>
      <c r="K883">
        <f>IF(G883=1,0.2*R883/C883,K882)</f>
        <v/>
      </c>
      <c r="L883">
        <f>IF(G883=1,0.2*R883/D883,L882)</f>
        <v/>
      </c>
      <c r="M883">
        <f>IF(G883=1,0.2*R883/E883,M882)</f>
        <v/>
      </c>
      <c r="N883">
        <f>IF(G883=1,0.2*R883/F883,N882)</f>
        <v/>
      </c>
      <c r="O883">
        <f>IF(G883=1,R883*(1-1.0),IF(H882=0,1,O882*(1+0.00023125256064071564)))</f>
        <v/>
      </c>
      <c r="P883">
        <f>IF(G883=1,IF(H882=0,1,ABS(0.2-J882*B883/I883)+ABS(0.2-K882*C883/I883)+ABS(0.2-L882*D883/I883)+ABS(0.2-M882*E883/I883)+ABS(0.2-N882*F883/I883)),0)</f>
        <v/>
      </c>
      <c r="Q883">
        <f>P883*0.0015</f>
        <v/>
      </c>
      <c r="R883">
        <f>I883*(1-Q883)</f>
        <v/>
      </c>
      <c r="S883">
        <f>R883/R882-1</f>
        <v/>
      </c>
      <c r="T883">
        <f>MAX(T882,R883)</f>
        <v/>
      </c>
      <c r="U883">
        <f>R883/T883-1</f>
        <v/>
      </c>
      <c r="V883" t="n">
        <v>1.605812792513921</v>
      </c>
      <c r="W883" s="5">
        <f>R883-V883</f>
        <v/>
      </c>
    </row>
    <row r="884">
      <c r="A884" s="3" t="n">
        <v>39734</v>
      </c>
      <c r="B884">
        <f>Prices!B884</f>
        <v/>
      </c>
      <c r="C884">
        <f>Prices!C884</f>
        <v/>
      </c>
      <c r="D884">
        <f>Prices!D884</f>
        <v/>
      </c>
      <c r="E884">
        <f>Prices!E884</f>
        <v/>
      </c>
      <c r="F884">
        <f>Prices!F884</f>
        <v/>
      </c>
      <c r="G884">
        <f>IF(AND(882&gt;=16,TEXT(A884,"yyyy-mm")&lt;&gt;TEXT(A885,"yyyy-mm")),1,0)</f>
        <v/>
      </c>
      <c r="H884">
        <f>IF(OR(H883=1,G884=1),1,0)</f>
        <v/>
      </c>
      <c r="I884">
        <f>IF(H883=0,1,SUMPRODUCT(J883:N883,B884:F884)+O883*(1+0.00023125256064071564))</f>
        <v/>
      </c>
      <c r="J884">
        <f>IF(G884=1,0.2*R884/B884,J883)</f>
        <v/>
      </c>
      <c r="K884">
        <f>IF(G884=1,0.2*R884/C884,K883)</f>
        <v/>
      </c>
      <c r="L884">
        <f>IF(G884=1,0.2*R884/D884,L883)</f>
        <v/>
      </c>
      <c r="M884">
        <f>IF(G884=1,0.2*R884/E884,M883)</f>
        <v/>
      </c>
      <c r="N884">
        <f>IF(G884=1,0.2*R884/F884,N883)</f>
        <v/>
      </c>
      <c r="O884">
        <f>IF(G884=1,R884*(1-1.0),IF(H883=0,1,O883*(1+0.00023125256064071564)))</f>
        <v/>
      </c>
      <c r="P884">
        <f>IF(G884=1,IF(H883=0,1,ABS(0.2-J883*B884/I884)+ABS(0.2-K883*C884/I884)+ABS(0.2-L883*D884/I884)+ABS(0.2-M883*E884/I884)+ABS(0.2-N883*F884/I884)),0)</f>
        <v/>
      </c>
      <c r="Q884">
        <f>P884*0.0015</f>
        <v/>
      </c>
      <c r="R884">
        <f>I884*(1-Q884)</f>
        <v/>
      </c>
      <c r="S884">
        <f>R884/R883-1</f>
        <v/>
      </c>
      <c r="T884">
        <f>MAX(T883,R884)</f>
        <v/>
      </c>
      <c r="U884">
        <f>R884/T884-1</f>
        <v/>
      </c>
      <c r="V884" t="n">
        <v>1.667453014808208</v>
      </c>
      <c r="W884" s="5">
        <f>R884-V884</f>
        <v/>
      </c>
    </row>
    <row r="885">
      <c r="A885" s="3" t="n">
        <v>39735</v>
      </c>
      <c r="B885">
        <f>Prices!B885</f>
        <v/>
      </c>
      <c r="C885">
        <f>Prices!C885</f>
        <v/>
      </c>
      <c r="D885">
        <f>Prices!D885</f>
        <v/>
      </c>
      <c r="E885">
        <f>Prices!E885</f>
        <v/>
      </c>
      <c r="F885">
        <f>Prices!F885</f>
        <v/>
      </c>
      <c r="G885">
        <f>IF(AND(883&gt;=16,TEXT(A885,"yyyy-mm")&lt;&gt;TEXT(A886,"yyyy-mm")),1,0)</f>
        <v/>
      </c>
      <c r="H885">
        <f>IF(OR(H884=1,G885=1),1,0)</f>
        <v/>
      </c>
      <c r="I885">
        <f>IF(H884=0,1,SUMPRODUCT(J884:N884,B885:F885)+O884*(1+0.00023125256064071564))</f>
        <v/>
      </c>
      <c r="J885">
        <f>IF(G885=1,0.2*R885/B885,J884)</f>
        <v/>
      </c>
      <c r="K885">
        <f>IF(G885=1,0.2*R885/C885,K884)</f>
        <v/>
      </c>
      <c r="L885">
        <f>IF(G885=1,0.2*R885/D885,L884)</f>
        <v/>
      </c>
      <c r="M885">
        <f>IF(G885=1,0.2*R885/E885,M884)</f>
        <v/>
      </c>
      <c r="N885">
        <f>IF(G885=1,0.2*R885/F885,N884)</f>
        <v/>
      </c>
      <c r="O885">
        <f>IF(G885=1,R885*(1-1.0),IF(H884=0,1,O884*(1+0.00023125256064071564)))</f>
        <v/>
      </c>
      <c r="P885">
        <f>IF(G885=1,IF(H884=0,1,ABS(0.2-J884*B885/I885)+ABS(0.2-K884*C885/I885)+ABS(0.2-L884*D885/I885)+ABS(0.2-M884*E885/I885)+ABS(0.2-N884*F885/I885)),0)</f>
        <v/>
      </c>
      <c r="Q885">
        <f>P885*0.0015</f>
        <v/>
      </c>
      <c r="R885">
        <f>I885*(1-Q885)</f>
        <v/>
      </c>
      <c r="S885">
        <f>R885/R884-1</f>
        <v/>
      </c>
      <c r="T885">
        <f>MAX(T884,R885)</f>
        <v/>
      </c>
      <c r="U885">
        <f>R885/T885-1</f>
        <v/>
      </c>
      <c r="V885" t="n">
        <v>1.69700070825955</v>
      </c>
      <c r="W885" s="5">
        <f>R885-V885</f>
        <v/>
      </c>
    </row>
    <row r="886">
      <c r="A886" s="3" t="n">
        <v>39736</v>
      </c>
      <c r="B886">
        <f>Prices!B886</f>
        <v/>
      </c>
      <c r="C886">
        <f>Prices!C886</f>
        <v/>
      </c>
      <c r="D886">
        <f>Prices!D886</f>
        <v/>
      </c>
      <c r="E886">
        <f>Prices!E886</f>
        <v/>
      </c>
      <c r="F886">
        <f>Prices!F886</f>
        <v/>
      </c>
      <c r="G886">
        <f>IF(AND(884&gt;=16,TEXT(A886,"yyyy-mm")&lt;&gt;TEXT(A887,"yyyy-mm")),1,0)</f>
        <v/>
      </c>
      <c r="H886">
        <f>IF(OR(H885=1,G886=1),1,0)</f>
        <v/>
      </c>
      <c r="I886">
        <f>IF(H885=0,1,SUMPRODUCT(J885:N885,B886:F886)+O885*(1+0.00023125256064071564))</f>
        <v/>
      </c>
      <c r="J886">
        <f>IF(G886=1,0.2*R886/B886,J885)</f>
        <v/>
      </c>
      <c r="K886">
        <f>IF(G886=1,0.2*R886/C886,K885)</f>
        <v/>
      </c>
      <c r="L886">
        <f>IF(G886=1,0.2*R886/D886,L885)</f>
        <v/>
      </c>
      <c r="M886">
        <f>IF(G886=1,0.2*R886/E886,M885)</f>
        <v/>
      </c>
      <c r="N886">
        <f>IF(G886=1,0.2*R886/F886,N885)</f>
        <v/>
      </c>
      <c r="O886">
        <f>IF(G886=1,R886*(1-1.0),IF(H885=0,1,O885*(1+0.00023125256064071564)))</f>
        <v/>
      </c>
      <c r="P886">
        <f>IF(G886=1,IF(H885=0,1,ABS(0.2-J885*B886/I886)+ABS(0.2-K885*C886/I886)+ABS(0.2-L885*D886/I886)+ABS(0.2-M885*E886/I886)+ABS(0.2-N885*F886/I886)),0)</f>
        <v/>
      </c>
      <c r="Q886">
        <f>P886*0.0015</f>
        <v/>
      </c>
      <c r="R886">
        <f>I886*(1-Q886)</f>
        <v/>
      </c>
      <c r="S886">
        <f>R886/R885-1</f>
        <v/>
      </c>
      <c r="T886">
        <f>MAX(T885,R886)</f>
        <v/>
      </c>
      <c r="U886">
        <f>R886/T886-1</f>
        <v/>
      </c>
      <c r="V886" t="n">
        <v>1.627212726648803</v>
      </c>
      <c r="W886" s="5">
        <f>R886-V886</f>
        <v/>
      </c>
    </row>
    <row r="887">
      <c r="A887" s="3" t="n">
        <v>39737</v>
      </c>
      <c r="B887">
        <f>Prices!B887</f>
        <v/>
      </c>
      <c r="C887">
        <f>Prices!C887</f>
        <v/>
      </c>
      <c r="D887">
        <f>Prices!D887</f>
        <v/>
      </c>
      <c r="E887">
        <f>Prices!E887</f>
        <v/>
      </c>
      <c r="F887">
        <f>Prices!F887</f>
        <v/>
      </c>
      <c r="G887">
        <f>IF(AND(885&gt;=16,TEXT(A887,"yyyy-mm")&lt;&gt;TEXT(A888,"yyyy-mm")),1,0)</f>
        <v/>
      </c>
      <c r="H887">
        <f>IF(OR(H886=1,G887=1),1,0)</f>
        <v/>
      </c>
      <c r="I887">
        <f>IF(H886=0,1,SUMPRODUCT(J886:N886,B887:F887)+O886*(1+0.00023125256064071564))</f>
        <v/>
      </c>
      <c r="J887">
        <f>IF(G887=1,0.2*R887/B887,J886)</f>
        <v/>
      </c>
      <c r="K887">
        <f>IF(G887=1,0.2*R887/C887,K886)</f>
        <v/>
      </c>
      <c r="L887">
        <f>IF(G887=1,0.2*R887/D887,L886)</f>
        <v/>
      </c>
      <c r="M887">
        <f>IF(G887=1,0.2*R887/E887,M886)</f>
        <v/>
      </c>
      <c r="N887">
        <f>IF(G887=1,0.2*R887/F887,N886)</f>
        <v/>
      </c>
      <c r="O887">
        <f>IF(G887=1,R887*(1-1.0),IF(H886=0,1,O886*(1+0.00023125256064071564)))</f>
        <v/>
      </c>
      <c r="P887">
        <f>IF(G887=1,IF(H886=0,1,ABS(0.2-J886*B887/I887)+ABS(0.2-K886*C887/I887)+ABS(0.2-L886*D887/I887)+ABS(0.2-M886*E887/I887)+ABS(0.2-N886*F887/I887)),0)</f>
        <v/>
      </c>
      <c r="Q887">
        <f>P887*0.0015</f>
        <v/>
      </c>
      <c r="R887">
        <f>I887*(1-Q887)</f>
        <v/>
      </c>
      <c r="S887">
        <f>R887/R886-1</f>
        <v/>
      </c>
      <c r="T887">
        <f>MAX(T886,R887)</f>
        <v/>
      </c>
      <c r="U887">
        <f>R887/T887-1</f>
        <v/>
      </c>
      <c r="V887" t="n">
        <v>1.612792419062868</v>
      </c>
      <c r="W887" s="5">
        <f>R887-V887</f>
        <v/>
      </c>
    </row>
    <row r="888">
      <c r="A888" s="3" t="n">
        <v>39738</v>
      </c>
      <c r="B888">
        <f>Prices!B888</f>
        <v/>
      </c>
      <c r="C888">
        <f>Prices!C888</f>
        <v/>
      </c>
      <c r="D888">
        <f>Prices!D888</f>
        <v/>
      </c>
      <c r="E888">
        <f>Prices!E888</f>
        <v/>
      </c>
      <c r="F888">
        <f>Prices!F888</f>
        <v/>
      </c>
      <c r="G888">
        <f>IF(AND(886&gt;=16,TEXT(A888,"yyyy-mm")&lt;&gt;TEXT(A889,"yyyy-mm")),1,0)</f>
        <v/>
      </c>
      <c r="H888">
        <f>IF(OR(H887=1,G888=1),1,0)</f>
        <v/>
      </c>
      <c r="I888">
        <f>IF(H887=0,1,SUMPRODUCT(J887:N887,B888:F888)+O887*(1+0.00023125256064071564))</f>
        <v/>
      </c>
      <c r="J888">
        <f>IF(G888=1,0.2*R888/B888,J887)</f>
        <v/>
      </c>
      <c r="K888">
        <f>IF(G888=1,0.2*R888/C888,K887)</f>
        <v/>
      </c>
      <c r="L888">
        <f>IF(G888=1,0.2*R888/D888,L887)</f>
        <v/>
      </c>
      <c r="M888">
        <f>IF(G888=1,0.2*R888/E888,M887)</f>
        <v/>
      </c>
      <c r="N888">
        <f>IF(G888=1,0.2*R888/F888,N887)</f>
        <v/>
      </c>
      <c r="O888">
        <f>IF(G888=1,R888*(1-1.0),IF(H887=0,1,O887*(1+0.00023125256064071564)))</f>
        <v/>
      </c>
      <c r="P888">
        <f>IF(G888=1,IF(H887=0,1,ABS(0.2-J887*B888/I888)+ABS(0.2-K887*C888/I888)+ABS(0.2-L887*D888/I888)+ABS(0.2-M887*E888/I888)+ABS(0.2-N887*F888/I888)),0)</f>
        <v/>
      </c>
      <c r="Q888">
        <f>P888*0.0015</f>
        <v/>
      </c>
      <c r="R888">
        <f>I888*(1-Q888)</f>
        <v/>
      </c>
      <c r="S888">
        <f>R888/R887-1</f>
        <v/>
      </c>
      <c r="T888">
        <f>MAX(T887,R888)</f>
        <v/>
      </c>
      <c r="U888">
        <f>R888/T888-1</f>
        <v/>
      </c>
      <c r="V888" t="n">
        <v>1.559055055921328</v>
      </c>
      <c r="W888" s="5">
        <f>R888-V888</f>
        <v/>
      </c>
    </row>
    <row r="889">
      <c r="A889" s="3" t="n">
        <v>39741</v>
      </c>
      <c r="B889">
        <f>Prices!B889</f>
        <v/>
      </c>
      <c r="C889">
        <f>Prices!C889</f>
        <v/>
      </c>
      <c r="D889">
        <f>Prices!D889</f>
        <v/>
      </c>
      <c r="E889">
        <f>Prices!E889</f>
        <v/>
      </c>
      <c r="F889">
        <f>Prices!F889</f>
        <v/>
      </c>
      <c r="G889">
        <f>IF(AND(887&gt;=16,TEXT(A889,"yyyy-mm")&lt;&gt;TEXT(A890,"yyyy-mm")),1,0)</f>
        <v/>
      </c>
      <c r="H889">
        <f>IF(OR(H888=1,G889=1),1,0)</f>
        <v/>
      </c>
      <c r="I889">
        <f>IF(H888=0,1,SUMPRODUCT(J888:N888,B889:F889)+O888*(1+0.00023125256064071564))</f>
        <v/>
      </c>
      <c r="J889">
        <f>IF(G889=1,0.2*R889/B889,J888)</f>
        <v/>
      </c>
      <c r="K889">
        <f>IF(G889=1,0.2*R889/C889,K888)</f>
        <v/>
      </c>
      <c r="L889">
        <f>IF(G889=1,0.2*R889/D889,L888)</f>
        <v/>
      </c>
      <c r="M889">
        <f>IF(G889=1,0.2*R889/E889,M888)</f>
        <v/>
      </c>
      <c r="N889">
        <f>IF(G889=1,0.2*R889/F889,N888)</f>
        <v/>
      </c>
      <c r="O889">
        <f>IF(G889=1,R889*(1-1.0),IF(H888=0,1,O888*(1+0.00023125256064071564)))</f>
        <v/>
      </c>
      <c r="P889">
        <f>IF(G889=1,IF(H888=0,1,ABS(0.2-J888*B889/I889)+ABS(0.2-K888*C889/I889)+ABS(0.2-L888*D889/I889)+ABS(0.2-M888*E889/I889)+ABS(0.2-N888*F889/I889)),0)</f>
        <v/>
      </c>
      <c r="Q889">
        <f>P889*0.0015</f>
        <v/>
      </c>
      <c r="R889">
        <f>I889*(1-Q889)</f>
        <v/>
      </c>
      <c r="S889">
        <f>R889/R888-1</f>
        <v/>
      </c>
      <c r="T889">
        <f>MAX(T888,R889)</f>
        <v/>
      </c>
      <c r="U889">
        <f>R889/T889-1</f>
        <v/>
      </c>
      <c r="V889" t="n">
        <v>1.566270352133704</v>
      </c>
      <c r="W889" s="5">
        <f>R889-V889</f>
        <v/>
      </c>
    </row>
    <row r="890">
      <c r="A890" s="3" t="n">
        <v>39742</v>
      </c>
      <c r="B890">
        <f>Prices!B890</f>
        <v/>
      </c>
      <c r="C890">
        <f>Prices!C890</f>
        <v/>
      </c>
      <c r="D890">
        <f>Prices!D890</f>
        <v/>
      </c>
      <c r="E890">
        <f>Prices!E890</f>
        <v/>
      </c>
      <c r="F890">
        <f>Prices!F890</f>
        <v/>
      </c>
      <c r="G890">
        <f>IF(AND(888&gt;=16,TEXT(A890,"yyyy-mm")&lt;&gt;TEXT(A891,"yyyy-mm")),1,0)</f>
        <v/>
      </c>
      <c r="H890">
        <f>IF(OR(H889=1,G890=1),1,0)</f>
        <v/>
      </c>
      <c r="I890">
        <f>IF(H889=0,1,SUMPRODUCT(J889:N889,B890:F890)+O889*(1+0.00023125256064071564))</f>
        <v/>
      </c>
      <c r="J890">
        <f>IF(G890=1,0.2*R890/B890,J889)</f>
        <v/>
      </c>
      <c r="K890">
        <f>IF(G890=1,0.2*R890/C890,K889)</f>
        <v/>
      </c>
      <c r="L890">
        <f>IF(G890=1,0.2*R890/D890,L889)</f>
        <v/>
      </c>
      <c r="M890">
        <f>IF(G890=1,0.2*R890/E890,M889)</f>
        <v/>
      </c>
      <c r="N890">
        <f>IF(G890=1,0.2*R890/F890,N889)</f>
        <v/>
      </c>
      <c r="O890">
        <f>IF(G890=1,R890*(1-1.0),IF(H889=0,1,O889*(1+0.00023125256064071564)))</f>
        <v/>
      </c>
      <c r="P890">
        <f>IF(G890=1,IF(H889=0,1,ABS(0.2-J889*B890/I890)+ABS(0.2-K889*C890/I890)+ABS(0.2-L889*D890/I890)+ABS(0.2-M889*E890/I890)+ABS(0.2-N889*F890/I890)),0)</f>
        <v/>
      </c>
      <c r="Q890">
        <f>P890*0.0015</f>
        <v/>
      </c>
      <c r="R890">
        <f>I890*(1-Q890)</f>
        <v/>
      </c>
      <c r="S890">
        <f>R890/R889-1</f>
        <v/>
      </c>
      <c r="T890">
        <f>MAX(T889,R890)</f>
        <v/>
      </c>
      <c r="U890">
        <f>R890/T890-1</f>
        <v/>
      </c>
      <c r="V890" t="n">
        <v>1.608497821667078</v>
      </c>
      <c r="W890" s="5">
        <f>R890-V890</f>
        <v/>
      </c>
    </row>
    <row r="891">
      <c r="A891" s="3" t="n">
        <v>39743</v>
      </c>
      <c r="B891">
        <f>Prices!B891</f>
        <v/>
      </c>
      <c r="C891">
        <f>Prices!C891</f>
        <v/>
      </c>
      <c r="D891">
        <f>Prices!D891</f>
        <v/>
      </c>
      <c r="E891">
        <f>Prices!E891</f>
        <v/>
      </c>
      <c r="F891">
        <f>Prices!F891</f>
        <v/>
      </c>
      <c r="G891">
        <f>IF(AND(889&gt;=16,TEXT(A891,"yyyy-mm")&lt;&gt;TEXT(A892,"yyyy-mm")),1,0)</f>
        <v/>
      </c>
      <c r="H891">
        <f>IF(OR(H890=1,G891=1),1,0)</f>
        <v/>
      </c>
      <c r="I891">
        <f>IF(H890=0,1,SUMPRODUCT(J890:N890,B891:F891)+O890*(1+0.00023125256064071564))</f>
        <v/>
      </c>
      <c r="J891">
        <f>IF(G891=1,0.2*R891/B891,J890)</f>
        <v/>
      </c>
      <c r="K891">
        <f>IF(G891=1,0.2*R891/C891,K890)</f>
        <v/>
      </c>
      <c r="L891">
        <f>IF(G891=1,0.2*R891/D891,L890)</f>
        <v/>
      </c>
      <c r="M891">
        <f>IF(G891=1,0.2*R891/E891,M890)</f>
        <v/>
      </c>
      <c r="N891">
        <f>IF(G891=1,0.2*R891/F891,N890)</f>
        <v/>
      </c>
      <c r="O891">
        <f>IF(G891=1,R891*(1-1.0),IF(H890=0,1,O890*(1+0.00023125256064071564)))</f>
        <v/>
      </c>
      <c r="P891">
        <f>IF(G891=1,IF(H890=0,1,ABS(0.2-J890*B891/I891)+ABS(0.2-K890*C891/I891)+ABS(0.2-L890*D891/I891)+ABS(0.2-M890*E891/I891)+ABS(0.2-N890*F891/I891)),0)</f>
        <v/>
      </c>
      <c r="Q891">
        <f>P891*0.0015</f>
        <v/>
      </c>
      <c r="R891">
        <f>I891*(1-Q891)</f>
        <v/>
      </c>
      <c r="S891">
        <f>R891/R890-1</f>
        <v/>
      </c>
      <c r="T891">
        <f>MAX(T890,R891)</f>
        <v/>
      </c>
      <c r="U891">
        <f>R891/T891-1</f>
        <v/>
      </c>
      <c r="V891" t="n">
        <v>1.555354818118577</v>
      </c>
      <c r="W891" s="5">
        <f>R891-V891</f>
        <v/>
      </c>
    </row>
    <row r="892">
      <c r="A892" s="3" t="n">
        <v>39744</v>
      </c>
      <c r="B892">
        <f>Prices!B892</f>
        <v/>
      </c>
      <c r="C892">
        <f>Prices!C892</f>
        <v/>
      </c>
      <c r="D892">
        <f>Prices!D892</f>
        <v/>
      </c>
      <c r="E892">
        <f>Prices!E892</f>
        <v/>
      </c>
      <c r="F892">
        <f>Prices!F892</f>
        <v/>
      </c>
      <c r="G892">
        <f>IF(AND(890&gt;=16,TEXT(A892,"yyyy-mm")&lt;&gt;TEXT(A893,"yyyy-mm")),1,0)</f>
        <v/>
      </c>
      <c r="H892">
        <f>IF(OR(H891=1,G892=1),1,0)</f>
        <v/>
      </c>
      <c r="I892">
        <f>IF(H891=0,1,SUMPRODUCT(J891:N891,B892:F892)+O891*(1+0.00023125256064071564))</f>
        <v/>
      </c>
      <c r="J892">
        <f>IF(G892=1,0.2*R892/B892,J891)</f>
        <v/>
      </c>
      <c r="K892">
        <f>IF(G892=1,0.2*R892/C892,K891)</f>
        <v/>
      </c>
      <c r="L892">
        <f>IF(G892=1,0.2*R892/D892,L891)</f>
        <v/>
      </c>
      <c r="M892">
        <f>IF(G892=1,0.2*R892/E892,M891)</f>
        <v/>
      </c>
      <c r="N892">
        <f>IF(G892=1,0.2*R892/F892,N891)</f>
        <v/>
      </c>
      <c r="O892">
        <f>IF(G892=1,R892*(1-1.0),IF(H891=0,1,O891*(1+0.00023125256064071564)))</f>
        <v/>
      </c>
      <c r="P892">
        <f>IF(G892=1,IF(H891=0,1,ABS(0.2-J891*B892/I892)+ABS(0.2-K891*C892/I892)+ABS(0.2-L891*D892/I892)+ABS(0.2-M891*E892/I892)+ABS(0.2-N891*F892/I892)),0)</f>
        <v/>
      </c>
      <c r="Q892">
        <f>P892*0.0015</f>
        <v/>
      </c>
      <c r="R892">
        <f>I892*(1-Q892)</f>
        <v/>
      </c>
      <c r="S892">
        <f>R892/R891-1</f>
        <v/>
      </c>
      <c r="T892">
        <f>MAX(T891,R892)</f>
        <v/>
      </c>
      <c r="U892">
        <f>R892/T892-1</f>
        <v/>
      </c>
      <c r="V892" t="n">
        <v>1.499459336880499</v>
      </c>
      <c r="W892" s="5">
        <f>R892-V892</f>
        <v/>
      </c>
    </row>
    <row r="893">
      <c r="A893" s="3" t="n">
        <v>39745</v>
      </c>
      <c r="B893">
        <f>Prices!B893</f>
        <v/>
      </c>
      <c r="C893">
        <f>Prices!C893</f>
        <v/>
      </c>
      <c r="D893">
        <f>Prices!D893</f>
        <v/>
      </c>
      <c r="E893">
        <f>Prices!E893</f>
        <v/>
      </c>
      <c r="F893">
        <f>Prices!F893</f>
        <v/>
      </c>
      <c r="G893">
        <f>IF(AND(891&gt;=16,TEXT(A893,"yyyy-mm")&lt;&gt;TEXT(A894,"yyyy-mm")),1,0)</f>
        <v/>
      </c>
      <c r="H893">
        <f>IF(OR(H892=1,G893=1),1,0)</f>
        <v/>
      </c>
      <c r="I893">
        <f>IF(H892=0,1,SUMPRODUCT(J892:N892,B893:F893)+O892*(1+0.00023125256064071564))</f>
        <v/>
      </c>
      <c r="J893">
        <f>IF(G893=1,0.2*R893/B893,J892)</f>
        <v/>
      </c>
      <c r="K893">
        <f>IF(G893=1,0.2*R893/C893,K892)</f>
        <v/>
      </c>
      <c r="L893">
        <f>IF(G893=1,0.2*R893/D893,L892)</f>
        <v/>
      </c>
      <c r="M893">
        <f>IF(G893=1,0.2*R893/E893,M892)</f>
        <v/>
      </c>
      <c r="N893">
        <f>IF(G893=1,0.2*R893/F893,N892)</f>
        <v/>
      </c>
      <c r="O893">
        <f>IF(G893=1,R893*(1-1.0),IF(H892=0,1,O892*(1+0.00023125256064071564)))</f>
        <v/>
      </c>
      <c r="P893">
        <f>IF(G893=1,IF(H892=0,1,ABS(0.2-J892*B893/I893)+ABS(0.2-K892*C893/I893)+ABS(0.2-L892*D893/I893)+ABS(0.2-M892*E893/I893)+ABS(0.2-N892*F893/I893)),0)</f>
        <v/>
      </c>
      <c r="Q893">
        <f>P893*0.0015</f>
        <v/>
      </c>
      <c r="R893">
        <f>I893*(1-Q893)</f>
        <v/>
      </c>
      <c r="S893">
        <f>R893/R892-1</f>
        <v/>
      </c>
      <c r="T893">
        <f>MAX(T892,R893)</f>
        <v/>
      </c>
      <c r="U893">
        <f>R893/T893-1</f>
        <v/>
      </c>
      <c r="V893" t="n">
        <v>1.376536621428999</v>
      </c>
      <c r="W893" s="5">
        <f>R893-V893</f>
        <v/>
      </c>
    </row>
    <row r="894">
      <c r="A894" s="3" t="n">
        <v>39748</v>
      </c>
      <c r="B894">
        <f>Prices!B894</f>
        <v/>
      </c>
      <c r="C894">
        <f>Prices!C894</f>
        <v/>
      </c>
      <c r="D894">
        <f>Prices!D894</f>
        <v/>
      </c>
      <c r="E894">
        <f>Prices!E894</f>
        <v/>
      </c>
      <c r="F894">
        <f>Prices!F894</f>
        <v/>
      </c>
      <c r="G894">
        <f>IF(AND(892&gt;=16,TEXT(A894,"yyyy-mm")&lt;&gt;TEXT(A895,"yyyy-mm")),1,0)</f>
        <v/>
      </c>
      <c r="H894">
        <f>IF(OR(H893=1,G894=1),1,0)</f>
        <v/>
      </c>
      <c r="I894">
        <f>IF(H893=0,1,SUMPRODUCT(J893:N893,B894:F894)+O893*(1+0.00023125256064071564))</f>
        <v/>
      </c>
      <c r="J894">
        <f>IF(G894=1,0.2*R894/B894,J893)</f>
        <v/>
      </c>
      <c r="K894">
        <f>IF(G894=1,0.2*R894/C894,K893)</f>
        <v/>
      </c>
      <c r="L894">
        <f>IF(G894=1,0.2*R894/D894,L893)</f>
        <v/>
      </c>
      <c r="M894">
        <f>IF(G894=1,0.2*R894/E894,M893)</f>
        <v/>
      </c>
      <c r="N894">
        <f>IF(G894=1,0.2*R894/F894,N893)</f>
        <v/>
      </c>
      <c r="O894">
        <f>IF(G894=1,R894*(1-1.0),IF(H893=0,1,O893*(1+0.00023125256064071564)))</f>
        <v/>
      </c>
      <c r="P894">
        <f>IF(G894=1,IF(H893=0,1,ABS(0.2-J893*B894/I894)+ABS(0.2-K893*C894/I894)+ABS(0.2-L893*D894/I894)+ABS(0.2-M893*E894/I894)+ABS(0.2-N893*F894/I894)),0)</f>
        <v/>
      </c>
      <c r="Q894">
        <f>P894*0.0015</f>
        <v/>
      </c>
      <c r="R894">
        <f>I894*(1-Q894)</f>
        <v/>
      </c>
      <c r="S894">
        <f>R894/R893-1</f>
        <v/>
      </c>
      <c r="T894">
        <f>MAX(T893,R894)</f>
        <v/>
      </c>
      <c r="U894">
        <f>R894/T894-1</f>
        <v/>
      </c>
      <c r="V894" t="n">
        <v>1.321371852494743</v>
      </c>
      <c r="W894" s="5">
        <f>R894-V894</f>
        <v/>
      </c>
    </row>
    <row r="895">
      <c r="A895" s="3" t="n">
        <v>39749</v>
      </c>
      <c r="B895">
        <f>Prices!B895</f>
        <v/>
      </c>
      <c r="C895">
        <f>Prices!C895</f>
        <v/>
      </c>
      <c r="D895">
        <f>Prices!D895</f>
        <v/>
      </c>
      <c r="E895">
        <f>Prices!E895</f>
        <v/>
      </c>
      <c r="F895">
        <f>Prices!F895</f>
        <v/>
      </c>
      <c r="G895">
        <f>IF(AND(893&gt;=16,TEXT(A895,"yyyy-mm")&lt;&gt;TEXT(A896,"yyyy-mm")),1,0)</f>
        <v/>
      </c>
      <c r="H895">
        <f>IF(OR(H894=1,G895=1),1,0)</f>
        <v/>
      </c>
      <c r="I895">
        <f>IF(H894=0,1,SUMPRODUCT(J894:N894,B895:F895)+O894*(1+0.00023125256064071564))</f>
        <v/>
      </c>
      <c r="J895">
        <f>IF(G895=1,0.2*R895/B895,J894)</f>
        <v/>
      </c>
      <c r="K895">
        <f>IF(G895=1,0.2*R895/C895,K894)</f>
        <v/>
      </c>
      <c r="L895">
        <f>IF(G895=1,0.2*R895/D895,L894)</f>
        <v/>
      </c>
      <c r="M895">
        <f>IF(G895=1,0.2*R895/E895,M894)</f>
        <v/>
      </c>
      <c r="N895">
        <f>IF(G895=1,0.2*R895/F895,N894)</f>
        <v/>
      </c>
      <c r="O895">
        <f>IF(G895=1,R895*(1-1.0),IF(H894=0,1,O894*(1+0.00023125256064071564)))</f>
        <v/>
      </c>
      <c r="P895">
        <f>IF(G895=1,IF(H894=0,1,ABS(0.2-J894*B895/I895)+ABS(0.2-K894*C895/I895)+ABS(0.2-L894*D895/I895)+ABS(0.2-M894*E895/I895)+ABS(0.2-N894*F895/I895)),0)</f>
        <v/>
      </c>
      <c r="Q895">
        <f>P895*0.0015</f>
        <v/>
      </c>
      <c r="R895">
        <f>I895*(1-Q895)</f>
        <v/>
      </c>
      <c r="S895">
        <f>R895/R894-1</f>
        <v/>
      </c>
      <c r="T895">
        <f>MAX(T894,R895)</f>
        <v/>
      </c>
      <c r="U895">
        <f>R895/T895-1</f>
        <v/>
      </c>
      <c r="V895" t="n">
        <v>1.396994460711701</v>
      </c>
      <c r="W895" s="5">
        <f>R895-V895</f>
        <v/>
      </c>
    </row>
    <row r="896">
      <c r="A896" s="3" t="n">
        <v>39750</v>
      </c>
      <c r="B896">
        <f>Prices!B896</f>
        <v/>
      </c>
      <c r="C896">
        <f>Prices!C896</f>
        <v/>
      </c>
      <c r="D896">
        <f>Prices!D896</f>
        <v/>
      </c>
      <c r="E896">
        <f>Prices!E896</f>
        <v/>
      </c>
      <c r="F896">
        <f>Prices!F896</f>
        <v/>
      </c>
      <c r="G896">
        <f>IF(AND(894&gt;=16,TEXT(A896,"yyyy-mm")&lt;&gt;TEXT(A897,"yyyy-mm")),1,0)</f>
        <v/>
      </c>
      <c r="H896">
        <f>IF(OR(H895=1,G896=1),1,0)</f>
        <v/>
      </c>
      <c r="I896">
        <f>IF(H895=0,1,SUMPRODUCT(J895:N895,B896:F896)+O895*(1+0.00023125256064071564))</f>
        <v/>
      </c>
      <c r="J896">
        <f>IF(G896=1,0.2*R896/B896,J895)</f>
        <v/>
      </c>
      <c r="K896">
        <f>IF(G896=1,0.2*R896/C896,K895)</f>
        <v/>
      </c>
      <c r="L896">
        <f>IF(G896=1,0.2*R896/D896,L895)</f>
        <v/>
      </c>
      <c r="M896">
        <f>IF(G896=1,0.2*R896/E896,M895)</f>
        <v/>
      </c>
      <c r="N896">
        <f>IF(G896=1,0.2*R896/F896,N895)</f>
        <v/>
      </c>
      <c r="O896">
        <f>IF(G896=1,R896*(1-1.0),IF(H895=0,1,O895*(1+0.00023125256064071564)))</f>
        <v/>
      </c>
      <c r="P896">
        <f>IF(G896=1,IF(H895=0,1,ABS(0.2-J895*B896/I896)+ABS(0.2-K895*C896/I896)+ABS(0.2-L895*D896/I896)+ABS(0.2-M895*E896/I896)+ABS(0.2-N895*F896/I896)),0)</f>
        <v/>
      </c>
      <c r="Q896">
        <f>P896*0.0015</f>
        <v/>
      </c>
      <c r="R896">
        <f>I896*(1-Q896)</f>
        <v/>
      </c>
      <c r="S896">
        <f>R896/R895-1</f>
        <v/>
      </c>
      <c r="T896">
        <f>MAX(T895,R896)</f>
        <v/>
      </c>
      <c r="U896">
        <f>R896/T896-1</f>
        <v/>
      </c>
      <c r="V896" t="n">
        <v>1.388981541627655</v>
      </c>
      <c r="W896" s="5">
        <f>R896-V896</f>
        <v/>
      </c>
    </row>
    <row r="897">
      <c r="A897" s="3" t="n">
        <v>39752</v>
      </c>
      <c r="B897">
        <f>Prices!B897</f>
        <v/>
      </c>
      <c r="C897">
        <f>Prices!C897</f>
        <v/>
      </c>
      <c r="D897">
        <f>Prices!D897</f>
        <v/>
      </c>
      <c r="E897">
        <f>Prices!E897</f>
        <v/>
      </c>
      <c r="F897">
        <f>Prices!F897</f>
        <v/>
      </c>
      <c r="G897">
        <f>IF(AND(895&gt;=16,TEXT(A897,"yyyy-mm")&lt;&gt;TEXT(A898,"yyyy-mm")),1,0)</f>
        <v/>
      </c>
      <c r="H897">
        <f>IF(OR(H896=1,G897=1),1,0)</f>
        <v/>
      </c>
      <c r="I897">
        <f>IF(H896=0,1,SUMPRODUCT(J896:N896,B897:F897)+O896*(1+0.00023125256064071564))</f>
        <v/>
      </c>
      <c r="J897">
        <f>IF(G897=1,0.2*R897/B897,J896)</f>
        <v/>
      </c>
      <c r="K897">
        <f>IF(G897=1,0.2*R897/C897,K896)</f>
        <v/>
      </c>
      <c r="L897">
        <f>IF(G897=1,0.2*R897/D897,L896)</f>
        <v/>
      </c>
      <c r="M897">
        <f>IF(G897=1,0.2*R897/E897,M896)</f>
        <v/>
      </c>
      <c r="N897">
        <f>IF(G897=1,0.2*R897/F897,N896)</f>
        <v/>
      </c>
      <c r="O897">
        <f>IF(G897=1,R897*(1-1.0),IF(H896=0,1,O896*(1+0.00023125256064071564)))</f>
        <v/>
      </c>
      <c r="P897">
        <f>IF(G897=1,IF(H896=0,1,ABS(0.2-J896*B897/I897)+ABS(0.2-K896*C897/I897)+ABS(0.2-L896*D897/I897)+ABS(0.2-M896*E897/I897)+ABS(0.2-N896*F897/I897)),0)</f>
        <v/>
      </c>
      <c r="Q897">
        <f>P897*0.0015</f>
        <v/>
      </c>
      <c r="R897">
        <f>I897*(1-Q897)</f>
        <v/>
      </c>
      <c r="S897">
        <f>R897/R896-1</f>
        <v/>
      </c>
      <c r="T897">
        <f>MAX(T896,R897)</f>
        <v/>
      </c>
      <c r="U897">
        <f>R897/T897-1</f>
        <v/>
      </c>
      <c r="V897" t="n">
        <v>1.442037445507256</v>
      </c>
      <c r="W897" s="5">
        <f>R897-V897</f>
        <v/>
      </c>
    </row>
    <row r="898">
      <c r="A898" s="3" t="n">
        <v>39755</v>
      </c>
      <c r="B898">
        <f>Prices!B898</f>
        <v/>
      </c>
      <c r="C898">
        <f>Prices!C898</f>
        <v/>
      </c>
      <c r="D898">
        <f>Prices!D898</f>
        <v/>
      </c>
      <c r="E898">
        <f>Prices!E898</f>
        <v/>
      </c>
      <c r="F898">
        <f>Prices!F898</f>
        <v/>
      </c>
      <c r="G898">
        <f>IF(AND(896&gt;=16,TEXT(A898,"yyyy-mm")&lt;&gt;TEXT(A899,"yyyy-mm")),1,0)</f>
        <v/>
      </c>
      <c r="H898">
        <f>IF(OR(H897=1,G898=1),1,0)</f>
        <v/>
      </c>
      <c r="I898">
        <f>IF(H897=0,1,SUMPRODUCT(J897:N897,B898:F898)+O897*(1+0.00023125256064071564))</f>
        <v/>
      </c>
      <c r="J898">
        <f>IF(G898=1,0.2*R898/B898,J897)</f>
        <v/>
      </c>
      <c r="K898">
        <f>IF(G898=1,0.2*R898/C898,K897)</f>
        <v/>
      </c>
      <c r="L898">
        <f>IF(G898=1,0.2*R898/D898,L897)</f>
        <v/>
      </c>
      <c r="M898">
        <f>IF(G898=1,0.2*R898/E898,M897)</f>
        <v/>
      </c>
      <c r="N898">
        <f>IF(G898=1,0.2*R898/F898,N897)</f>
        <v/>
      </c>
      <c r="O898">
        <f>IF(G898=1,R898*(1-1.0),IF(H897=0,1,O897*(1+0.00023125256064071564)))</f>
        <v/>
      </c>
      <c r="P898">
        <f>IF(G898=1,IF(H897=0,1,ABS(0.2-J897*B898/I898)+ABS(0.2-K897*C898/I898)+ABS(0.2-L897*D898/I898)+ABS(0.2-M897*E898/I898)+ABS(0.2-N897*F898/I898)),0)</f>
        <v/>
      </c>
      <c r="Q898">
        <f>P898*0.0015</f>
        <v/>
      </c>
      <c r="R898">
        <f>I898*(1-Q898)</f>
        <v/>
      </c>
      <c r="S898">
        <f>R898/R897-1</f>
        <v/>
      </c>
      <c r="T898">
        <f>MAX(T897,R898)</f>
        <v/>
      </c>
      <c r="U898">
        <f>R898/T898-1</f>
        <v/>
      </c>
      <c r="V898" t="n">
        <v>1.505571666051937</v>
      </c>
      <c r="W898" s="5">
        <f>R898-V898</f>
        <v/>
      </c>
    </row>
    <row r="899">
      <c r="A899" s="3" t="n">
        <v>39756</v>
      </c>
      <c r="B899">
        <f>Prices!B899</f>
        <v/>
      </c>
      <c r="C899">
        <f>Prices!C899</f>
        <v/>
      </c>
      <c r="D899">
        <f>Prices!D899</f>
        <v/>
      </c>
      <c r="E899">
        <f>Prices!E899</f>
        <v/>
      </c>
      <c r="F899">
        <f>Prices!F899</f>
        <v/>
      </c>
      <c r="G899">
        <f>IF(AND(897&gt;=16,TEXT(A899,"yyyy-mm")&lt;&gt;TEXT(A900,"yyyy-mm")),1,0)</f>
        <v/>
      </c>
      <c r="H899">
        <f>IF(OR(H898=1,G899=1),1,0)</f>
        <v/>
      </c>
      <c r="I899">
        <f>IF(H898=0,1,SUMPRODUCT(J898:N898,B899:F899)+O898*(1+0.00023125256064071564))</f>
        <v/>
      </c>
      <c r="J899">
        <f>IF(G899=1,0.2*R899/B899,J898)</f>
        <v/>
      </c>
      <c r="K899">
        <f>IF(G899=1,0.2*R899/C899,K898)</f>
        <v/>
      </c>
      <c r="L899">
        <f>IF(G899=1,0.2*R899/D899,L898)</f>
        <v/>
      </c>
      <c r="M899">
        <f>IF(G899=1,0.2*R899/E899,M898)</f>
        <v/>
      </c>
      <c r="N899">
        <f>IF(G899=1,0.2*R899/F899,N898)</f>
        <v/>
      </c>
      <c r="O899">
        <f>IF(G899=1,R899*(1-1.0),IF(H898=0,1,O898*(1+0.00023125256064071564)))</f>
        <v/>
      </c>
      <c r="P899">
        <f>IF(G899=1,IF(H898=0,1,ABS(0.2-J898*B899/I899)+ABS(0.2-K898*C899/I899)+ABS(0.2-L898*D899/I899)+ABS(0.2-M898*E899/I899)+ABS(0.2-N898*F899/I899)),0)</f>
        <v/>
      </c>
      <c r="Q899">
        <f>P899*0.0015</f>
        <v/>
      </c>
      <c r="R899">
        <f>I899*(1-Q899)</f>
        <v/>
      </c>
      <c r="S899">
        <f>R899/R898-1</f>
        <v/>
      </c>
      <c r="T899">
        <f>MAX(T898,R899)</f>
        <v/>
      </c>
      <c r="U899">
        <f>R899/T899-1</f>
        <v/>
      </c>
      <c r="V899" t="n">
        <v>1.545156763340944</v>
      </c>
      <c r="W899" s="5">
        <f>R899-V899</f>
        <v/>
      </c>
    </row>
    <row r="900">
      <c r="A900" s="3" t="n">
        <v>39757</v>
      </c>
      <c r="B900">
        <f>Prices!B900</f>
        <v/>
      </c>
      <c r="C900">
        <f>Prices!C900</f>
        <v/>
      </c>
      <c r="D900">
        <f>Prices!D900</f>
        <v/>
      </c>
      <c r="E900">
        <f>Prices!E900</f>
        <v/>
      </c>
      <c r="F900">
        <f>Prices!F900</f>
        <v/>
      </c>
      <c r="G900">
        <f>IF(AND(898&gt;=16,TEXT(A900,"yyyy-mm")&lt;&gt;TEXT(A901,"yyyy-mm")),1,0)</f>
        <v/>
      </c>
      <c r="H900">
        <f>IF(OR(H899=1,G900=1),1,0)</f>
        <v/>
      </c>
      <c r="I900">
        <f>IF(H899=0,1,SUMPRODUCT(J899:N899,B900:F900)+O899*(1+0.00023125256064071564))</f>
        <v/>
      </c>
      <c r="J900">
        <f>IF(G900=1,0.2*R900/B900,J899)</f>
        <v/>
      </c>
      <c r="K900">
        <f>IF(G900=1,0.2*R900/C900,K899)</f>
        <v/>
      </c>
      <c r="L900">
        <f>IF(G900=1,0.2*R900/D900,L899)</f>
        <v/>
      </c>
      <c r="M900">
        <f>IF(G900=1,0.2*R900/E900,M899)</f>
        <v/>
      </c>
      <c r="N900">
        <f>IF(G900=1,0.2*R900/F900,N899)</f>
        <v/>
      </c>
      <c r="O900">
        <f>IF(G900=1,R900*(1-1.0),IF(H899=0,1,O899*(1+0.00023125256064071564)))</f>
        <v/>
      </c>
      <c r="P900">
        <f>IF(G900=1,IF(H899=0,1,ABS(0.2-J899*B900/I900)+ABS(0.2-K899*C900/I900)+ABS(0.2-L899*D900/I900)+ABS(0.2-M899*E900/I900)+ABS(0.2-N899*F900/I900)),0)</f>
        <v/>
      </c>
      <c r="Q900">
        <f>P900*0.0015</f>
        <v/>
      </c>
      <c r="R900">
        <f>I900*(1-Q900)</f>
        <v/>
      </c>
      <c r="S900">
        <f>R900/R899-1</f>
        <v/>
      </c>
      <c r="T900">
        <f>MAX(T899,R900)</f>
        <v/>
      </c>
      <c r="U900">
        <f>R900/T900-1</f>
        <v/>
      </c>
      <c r="V900" t="n">
        <v>1.513252672462927</v>
      </c>
      <c r="W900" s="5">
        <f>R900-V900</f>
        <v/>
      </c>
    </row>
    <row r="901">
      <c r="A901" s="3" t="n">
        <v>39758</v>
      </c>
      <c r="B901">
        <f>Prices!B901</f>
        <v/>
      </c>
      <c r="C901">
        <f>Prices!C901</f>
        <v/>
      </c>
      <c r="D901">
        <f>Prices!D901</f>
        <v/>
      </c>
      <c r="E901">
        <f>Prices!E901</f>
        <v/>
      </c>
      <c r="F901">
        <f>Prices!F901</f>
        <v/>
      </c>
      <c r="G901">
        <f>IF(AND(899&gt;=16,TEXT(A901,"yyyy-mm")&lt;&gt;TEXT(A902,"yyyy-mm")),1,0)</f>
        <v/>
      </c>
      <c r="H901">
        <f>IF(OR(H900=1,G901=1),1,0)</f>
        <v/>
      </c>
      <c r="I901">
        <f>IF(H900=0,1,SUMPRODUCT(J900:N900,B901:F901)+O900*(1+0.00023125256064071564))</f>
        <v/>
      </c>
      <c r="J901">
        <f>IF(G901=1,0.2*R901/B901,J900)</f>
        <v/>
      </c>
      <c r="K901">
        <f>IF(G901=1,0.2*R901/C901,K900)</f>
        <v/>
      </c>
      <c r="L901">
        <f>IF(G901=1,0.2*R901/D901,L900)</f>
        <v/>
      </c>
      <c r="M901">
        <f>IF(G901=1,0.2*R901/E901,M900)</f>
        <v/>
      </c>
      <c r="N901">
        <f>IF(G901=1,0.2*R901/F901,N900)</f>
        <v/>
      </c>
      <c r="O901">
        <f>IF(G901=1,R901*(1-1.0),IF(H900=0,1,O900*(1+0.00023125256064071564)))</f>
        <v/>
      </c>
      <c r="P901">
        <f>IF(G901=1,IF(H900=0,1,ABS(0.2-J900*B901/I901)+ABS(0.2-K900*C901/I901)+ABS(0.2-L900*D901/I901)+ABS(0.2-M900*E901/I901)+ABS(0.2-N900*F901/I901)),0)</f>
        <v/>
      </c>
      <c r="Q901">
        <f>P901*0.0015</f>
        <v/>
      </c>
      <c r="R901">
        <f>I901*(1-Q901)</f>
        <v/>
      </c>
      <c r="S901">
        <f>R901/R900-1</f>
        <v/>
      </c>
      <c r="T901">
        <f>MAX(T900,R901)</f>
        <v/>
      </c>
      <c r="U901">
        <f>R901/T901-1</f>
        <v/>
      </c>
      <c r="V901" t="n">
        <v>1.475365197093455</v>
      </c>
      <c r="W901" s="5">
        <f>R901-V901</f>
        <v/>
      </c>
    </row>
    <row r="902">
      <c r="A902" s="3" t="n">
        <v>39759</v>
      </c>
      <c r="B902">
        <f>Prices!B902</f>
        <v/>
      </c>
      <c r="C902">
        <f>Prices!C902</f>
        <v/>
      </c>
      <c r="D902">
        <f>Prices!D902</f>
        <v/>
      </c>
      <c r="E902">
        <f>Prices!E902</f>
        <v/>
      </c>
      <c r="F902">
        <f>Prices!F902</f>
        <v/>
      </c>
      <c r="G902">
        <f>IF(AND(900&gt;=16,TEXT(A902,"yyyy-mm")&lt;&gt;TEXT(A903,"yyyy-mm")),1,0)</f>
        <v/>
      </c>
      <c r="H902">
        <f>IF(OR(H901=1,G902=1),1,0)</f>
        <v/>
      </c>
      <c r="I902">
        <f>IF(H901=0,1,SUMPRODUCT(J901:N901,B902:F902)+O901*(1+0.00023125256064071564))</f>
        <v/>
      </c>
      <c r="J902">
        <f>IF(G902=1,0.2*R902/B902,J901)</f>
        <v/>
      </c>
      <c r="K902">
        <f>IF(G902=1,0.2*R902/C902,K901)</f>
        <v/>
      </c>
      <c r="L902">
        <f>IF(G902=1,0.2*R902/D902,L901)</f>
        <v/>
      </c>
      <c r="M902">
        <f>IF(G902=1,0.2*R902/E902,M901)</f>
        <v/>
      </c>
      <c r="N902">
        <f>IF(G902=1,0.2*R902/F902,N901)</f>
        <v/>
      </c>
      <c r="O902">
        <f>IF(G902=1,R902*(1-1.0),IF(H901=0,1,O901*(1+0.00023125256064071564)))</f>
        <v/>
      </c>
      <c r="P902">
        <f>IF(G902=1,IF(H901=0,1,ABS(0.2-J901*B902/I902)+ABS(0.2-K901*C902/I902)+ABS(0.2-L901*D902/I902)+ABS(0.2-M901*E902/I902)+ABS(0.2-N901*F902/I902)),0)</f>
        <v/>
      </c>
      <c r="Q902">
        <f>P902*0.0015</f>
        <v/>
      </c>
      <c r="R902">
        <f>I902*(1-Q902)</f>
        <v/>
      </c>
      <c r="S902">
        <f>R902/R901-1</f>
        <v/>
      </c>
      <c r="T902">
        <f>MAX(T901,R902)</f>
        <v/>
      </c>
      <c r="U902">
        <f>R902/T902-1</f>
        <v/>
      </c>
      <c r="V902" t="n">
        <v>1.503098711825323</v>
      </c>
      <c r="W902" s="5">
        <f>R902-V902</f>
        <v/>
      </c>
    </row>
    <row r="903">
      <c r="A903" s="3" t="n">
        <v>39762</v>
      </c>
      <c r="B903">
        <f>Prices!B903</f>
        <v/>
      </c>
      <c r="C903">
        <f>Prices!C903</f>
        <v/>
      </c>
      <c r="D903">
        <f>Prices!D903</f>
        <v/>
      </c>
      <c r="E903">
        <f>Prices!E903</f>
        <v/>
      </c>
      <c r="F903">
        <f>Prices!F903</f>
        <v/>
      </c>
      <c r="G903">
        <f>IF(AND(901&gt;=16,TEXT(A903,"yyyy-mm")&lt;&gt;TEXT(A904,"yyyy-mm")),1,0)</f>
        <v/>
      </c>
      <c r="H903">
        <f>IF(OR(H902=1,G903=1),1,0)</f>
        <v/>
      </c>
      <c r="I903">
        <f>IF(H902=0,1,SUMPRODUCT(J902:N902,B903:F903)+O902*(1+0.00023125256064071564))</f>
        <v/>
      </c>
      <c r="J903">
        <f>IF(G903=1,0.2*R903/B903,J902)</f>
        <v/>
      </c>
      <c r="K903">
        <f>IF(G903=1,0.2*R903/C903,K902)</f>
        <v/>
      </c>
      <c r="L903">
        <f>IF(G903=1,0.2*R903/D903,L902)</f>
        <v/>
      </c>
      <c r="M903">
        <f>IF(G903=1,0.2*R903/E903,M902)</f>
        <v/>
      </c>
      <c r="N903">
        <f>IF(G903=1,0.2*R903/F903,N902)</f>
        <v/>
      </c>
      <c r="O903">
        <f>IF(G903=1,R903*(1-1.0),IF(H902=0,1,O902*(1+0.00023125256064071564)))</f>
        <v/>
      </c>
      <c r="P903">
        <f>IF(G903=1,IF(H902=0,1,ABS(0.2-J902*B903/I903)+ABS(0.2-K902*C903/I903)+ABS(0.2-L902*D903/I903)+ABS(0.2-M902*E903/I903)+ABS(0.2-N902*F903/I903)),0)</f>
        <v/>
      </c>
      <c r="Q903">
        <f>P903*0.0015</f>
        <v/>
      </c>
      <c r="R903">
        <f>I903*(1-Q903)</f>
        <v/>
      </c>
      <c r="S903">
        <f>R903/R902-1</f>
        <v/>
      </c>
      <c r="T903">
        <f>MAX(T902,R903)</f>
        <v/>
      </c>
      <c r="U903">
        <f>R903/T903-1</f>
        <v/>
      </c>
      <c r="V903" t="n">
        <v>1.562067265217973</v>
      </c>
      <c r="W903" s="5">
        <f>R903-V903</f>
        <v/>
      </c>
    </row>
    <row r="904">
      <c r="A904" s="3" t="n">
        <v>39763</v>
      </c>
      <c r="B904">
        <f>Prices!B904</f>
        <v/>
      </c>
      <c r="C904">
        <f>Prices!C904</f>
        <v/>
      </c>
      <c r="D904">
        <f>Prices!D904</f>
        <v/>
      </c>
      <c r="E904">
        <f>Prices!E904</f>
        <v/>
      </c>
      <c r="F904">
        <f>Prices!F904</f>
        <v/>
      </c>
      <c r="G904">
        <f>IF(AND(902&gt;=16,TEXT(A904,"yyyy-mm")&lt;&gt;TEXT(A905,"yyyy-mm")),1,0)</f>
        <v/>
      </c>
      <c r="H904">
        <f>IF(OR(H903=1,G904=1),1,0)</f>
        <v/>
      </c>
      <c r="I904">
        <f>IF(H903=0,1,SUMPRODUCT(J903:N903,B904:F904)+O903*(1+0.00023125256064071564))</f>
        <v/>
      </c>
      <c r="J904">
        <f>IF(G904=1,0.2*R904/B904,J903)</f>
        <v/>
      </c>
      <c r="K904">
        <f>IF(G904=1,0.2*R904/C904,K903)</f>
        <v/>
      </c>
      <c r="L904">
        <f>IF(G904=1,0.2*R904/D904,L903)</f>
        <v/>
      </c>
      <c r="M904">
        <f>IF(G904=1,0.2*R904/E904,M903)</f>
        <v/>
      </c>
      <c r="N904">
        <f>IF(G904=1,0.2*R904/F904,N903)</f>
        <v/>
      </c>
      <c r="O904">
        <f>IF(G904=1,R904*(1-1.0),IF(H903=0,1,O903*(1+0.00023125256064071564)))</f>
        <v/>
      </c>
      <c r="P904">
        <f>IF(G904=1,IF(H903=0,1,ABS(0.2-J903*B904/I904)+ABS(0.2-K903*C904/I904)+ABS(0.2-L903*D904/I904)+ABS(0.2-M903*E904/I904)+ABS(0.2-N903*F904/I904)),0)</f>
        <v/>
      </c>
      <c r="Q904">
        <f>P904*0.0015</f>
        <v/>
      </c>
      <c r="R904">
        <f>I904*(1-Q904)</f>
        <v/>
      </c>
      <c r="S904">
        <f>R904/R903-1</f>
        <v/>
      </c>
      <c r="T904">
        <f>MAX(T903,R904)</f>
        <v/>
      </c>
      <c r="U904">
        <f>R904/T904-1</f>
        <v/>
      </c>
      <c r="V904" t="n">
        <v>1.498296739696319</v>
      </c>
      <c r="W904" s="5">
        <f>R904-V904</f>
        <v/>
      </c>
    </row>
    <row r="905">
      <c r="A905" s="3" t="n">
        <v>39764</v>
      </c>
      <c r="B905">
        <f>Prices!B905</f>
        <v/>
      </c>
      <c r="C905">
        <f>Prices!C905</f>
        <v/>
      </c>
      <c r="D905">
        <f>Prices!D905</f>
        <v/>
      </c>
      <c r="E905">
        <f>Prices!E905</f>
        <v/>
      </c>
      <c r="F905">
        <f>Prices!F905</f>
        <v/>
      </c>
      <c r="G905">
        <f>IF(AND(903&gt;=16,TEXT(A905,"yyyy-mm")&lt;&gt;TEXT(A906,"yyyy-mm")),1,0)</f>
        <v/>
      </c>
      <c r="H905">
        <f>IF(OR(H904=1,G905=1),1,0)</f>
        <v/>
      </c>
      <c r="I905">
        <f>IF(H904=0,1,SUMPRODUCT(J904:N904,B905:F905)+O904*(1+0.00023125256064071564))</f>
        <v/>
      </c>
      <c r="J905">
        <f>IF(G905=1,0.2*R905/B905,J904)</f>
        <v/>
      </c>
      <c r="K905">
        <f>IF(G905=1,0.2*R905/C905,K904)</f>
        <v/>
      </c>
      <c r="L905">
        <f>IF(G905=1,0.2*R905/D905,L904)</f>
        <v/>
      </c>
      <c r="M905">
        <f>IF(G905=1,0.2*R905/E905,M904)</f>
        <v/>
      </c>
      <c r="N905">
        <f>IF(G905=1,0.2*R905/F905,N904)</f>
        <v/>
      </c>
      <c r="O905">
        <f>IF(G905=1,R905*(1-1.0),IF(H904=0,1,O904*(1+0.00023125256064071564)))</f>
        <v/>
      </c>
      <c r="P905">
        <f>IF(G905=1,IF(H904=0,1,ABS(0.2-J904*B905/I905)+ABS(0.2-K904*C905/I905)+ABS(0.2-L904*D905/I905)+ABS(0.2-M904*E905/I905)+ABS(0.2-N904*F905/I905)),0)</f>
        <v/>
      </c>
      <c r="Q905">
        <f>P905*0.0015</f>
        <v/>
      </c>
      <c r="R905">
        <f>I905*(1-Q905)</f>
        <v/>
      </c>
      <c r="S905">
        <f>R905/R904-1</f>
        <v/>
      </c>
      <c r="T905">
        <f>MAX(T904,R905)</f>
        <v/>
      </c>
      <c r="U905">
        <f>R905/T905-1</f>
        <v/>
      </c>
      <c r="V905" t="n">
        <v>1.472025023208166</v>
      </c>
      <c r="W905" s="5">
        <f>R905-V905</f>
        <v/>
      </c>
    </row>
    <row r="906">
      <c r="A906" s="3" t="n">
        <v>39766</v>
      </c>
      <c r="B906">
        <f>Prices!B906</f>
        <v/>
      </c>
      <c r="C906">
        <f>Prices!C906</f>
        <v/>
      </c>
      <c r="D906">
        <f>Prices!D906</f>
        <v/>
      </c>
      <c r="E906">
        <f>Prices!E906</f>
        <v/>
      </c>
      <c r="F906">
        <f>Prices!F906</f>
        <v/>
      </c>
      <c r="G906">
        <f>IF(AND(904&gt;=16,TEXT(A906,"yyyy-mm")&lt;&gt;TEXT(A907,"yyyy-mm")),1,0)</f>
        <v/>
      </c>
      <c r="H906">
        <f>IF(OR(H905=1,G906=1),1,0)</f>
        <v/>
      </c>
      <c r="I906">
        <f>IF(H905=0,1,SUMPRODUCT(J905:N905,B906:F906)+O905*(1+0.00023125256064071564))</f>
        <v/>
      </c>
      <c r="J906">
        <f>IF(G906=1,0.2*R906/B906,J905)</f>
        <v/>
      </c>
      <c r="K906">
        <f>IF(G906=1,0.2*R906/C906,K905)</f>
        <v/>
      </c>
      <c r="L906">
        <f>IF(G906=1,0.2*R906/D906,L905)</f>
        <v/>
      </c>
      <c r="M906">
        <f>IF(G906=1,0.2*R906/E906,M905)</f>
        <v/>
      </c>
      <c r="N906">
        <f>IF(G906=1,0.2*R906/F906,N905)</f>
        <v/>
      </c>
      <c r="O906">
        <f>IF(G906=1,R906*(1-1.0),IF(H905=0,1,O905*(1+0.00023125256064071564)))</f>
        <v/>
      </c>
      <c r="P906">
        <f>IF(G906=1,IF(H905=0,1,ABS(0.2-J905*B906/I906)+ABS(0.2-K905*C906/I906)+ABS(0.2-L905*D906/I906)+ABS(0.2-M905*E906/I906)+ABS(0.2-N905*F906/I906)),0)</f>
        <v/>
      </c>
      <c r="Q906">
        <f>P906*0.0015</f>
        <v/>
      </c>
      <c r="R906">
        <f>I906*(1-Q906)</f>
        <v/>
      </c>
      <c r="S906">
        <f>R906/R905-1</f>
        <v/>
      </c>
      <c r="T906">
        <f>MAX(T905,R906)</f>
        <v/>
      </c>
      <c r="U906">
        <f>R906/T906-1</f>
        <v/>
      </c>
      <c r="V906" t="n">
        <v>1.451143521293528</v>
      </c>
      <c r="W906" s="5">
        <f>R906-V906</f>
        <v/>
      </c>
    </row>
    <row r="907">
      <c r="A907" s="3" t="n">
        <v>39769</v>
      </c>
      <c r="B907">
        <f>Prices!B907</f>
        <v/>
      </c>
      <c r="C907">
        <f>Prices!C907</f>
        <v/>
      </c>
      <c r="D907">
        <f>Prices!D907</f>
        <v/>
      </c>
      <c r="E907">
        <f>Prices!E907</f>
        <v/>
      </c>
      <c r="F907">
        <f>Prices!F907</f>
        <v/>
      </c>
      <c r="G907">
        <f>IF(AND(905&gt;=16,TEXT(A907,"yyyy-mm")&lt;&gt;TEXT(A908,"yyyy-mm")),1,0)</f>
        <v/>
      </c>
      <c r="H907">
        <f>IF(OR(H906=1,G907=1),1,0)</f>
        <v/>
      </c>
      <c r="I907">
        <f>IF(H906=0,1,SUMPRODUCT(J906:N906,B907:F907)+O906*(1+0.00023125256064071564))</f>
        <v/>
      </c>
      <c r="J907">
        <f>IF(G907=1,0.2*R907/B907,J906)</f>
        <v/>
      </c>
      <c r="K907">
        <f>IF(G907=1,0.2*R907/C907,K906)</f>
        <v/>
      </c>
      <c r="L907">
        <f>IF(G907=1,0.2*R907/D907,L906)</f>
        <v/>
      </c>
      <c r="M907">
        <f>IF(G907=1,0.2*R907/E907,M906)</f>
        <v/>
      </c>
      <c r="N907">
        <f>IF(G907=1,0.2*R907/F907,N906)</f>
        <v/>
      </c>
      <c r="O907">
        <f>IF(G907=1,R907*(1-1.0),IF(H906=0,1,O906*(1+0.00023125256064071564)))</f>
        <v/>
      </c>
      <c r="P907">
        <f>IF(G907=1,IF(H906=0,1,ABS(0.2-J906*B907/I907)+ABS(0.2-K906*C907/I907)+ABS(0.2-L906*D907/I907)+ABS(0.2-M906*E907/I907)+ABS(0.2-N906*F907/I907)),0)</f>
        <v/>
      </c>
      <c r="Q907">
        <f>P907*0.0015</f>
        <v/>
      </c>
      <c r="R907">
        <f>I907*(1-Q907)</f>
        <v/>
      </c>
      <c r="S907">
        <f>R907/R906-1</f>
        <v/>
      </c>
      <c r="T907">
        <f>MAX(T906,R907)</f>
        <v/>
      </c>
      <c r="U907">
        <f>R907/T907-1</f>
        <v/>
      </c>
      <c r="V907" t="n">
        <v>1.428196168134827</v>
      </c>
      <c r="W907" s="5">
        <f>R907-V907</f>
        <v/>
      </c>
    </row>
    <row r="908">
      <c r="A908" s="3" t="n">
        <v>39770</v>
      </c>
      <c r="B908">
        <f>Prices!B908</f>
        <v/>
      </c>
      <c r="C908">
        <f>Prices!C908</f>
        <v/>
      </c>
      <c r="D908">
        <f>Prices!D908</f>
        <v/>
      </c>
      <c r="E908">
        <f>Prices!E908</f>
        <v/>
      </c>
      <c r="F908">
        <f>Prices!F908</f>
        <v/>
      </c>
      <c r="G908">
        <f>IF(AND(906&gt;=16,TEXT(A908,"yyyy-mm")&lt;&gt;TEXT(A909,"yyyy-mm")),1,0)</f>
        <v/>
      </c>
      <c r="H908">
        <f>IF(OR(H907=1,G908=1),1,0)</f>
        <v/>
      </c>
      <c r="I908">
        <f>IF(H907=0,1,SUMPRODUCT(J907:N907,B908:F908)+O907*(1+0.00023125256064071564))</f>
        <v/>
      </c>
      <c r="J908">
        <f>IF(G908=1,0.2*R908/B908,J907)</f>
        <v/>
      </c>
      <c r="K908">
        <f>IF(G908=1,0.2*R908/C908,K907)</f>
        <v/>
      </c>
      <c r="L908">
        <f>IF(G908=1,0.2*R908/D908,L907)</f>
        <v/>
      </c>
      <c r="M908">
        <f>IF(G908=1,0.2*R908/E908,M907)</f>
        <v/>
      </c>
      <c r="N908">
        <f>IF(G908=1,0.2*R908/F908,N907)</f>
        <v/>
      </c>
      <c r="O908">
        <f>IF(G908=1,R908*(1-1.0),IF(H907=0,1,O907*(1+0.00023125256064071564)))</f>
        <v/>
      </c>
      <c r="P908">
        <f>IF(G908=1,IF(H907=0,1,ABS(0.2-J907*B908/I908)+ABS(0.2-K907*C908/I908)+ABS(0.2-L907*D908/I908)+ABS(0.2-M907*E908/I908)+ABS(0.2-N907*F908/I908)),0)</f>
        <v/>
      </c>
      <c r="Q908">
        <f>P908*0.0015</f>
        <v/>
      </c>
      <c r="R908">
        <f>I908*(1-Q908)</f>
        <v/>
      </c>
      <c r="S908">
        <f>R908/R907-1</f>
        <v/>
      </c>
      <c r="T908">
        <f>MAX(T907,R908)</f>
        <v/>
      </c>
      <c r="U908">
        <f>R908/T908-1</f>
        <v/>
      </c>
      <c r="V908" t="n">
        <v>1.390576647585536</v>
      </c>
      <c r="W908" s="5">
        <f>R908-V908</f>
        <v/>
      </c>
    </row>
    <row r="909">
      <c r="A909" s="3" t="n">
        <v>39771</v>
      </c>
      <c r="B909">
        <f>Prices!B909</f>
        <v/>
      </c>
      <c r="C909">
        <f>Prices!C909</f>
        <v/>
      </c>
      <c r="D909">
        <f>Prices!D909</f>
        <v/>
      </c>
      <c r="E909">
        <f>Prices!E909</f>
        <v/>
      </c>
      <c r="F909">
        <f>Prices!F909</f>
        <v/>
      </c>
      <c r="G909">
        <f>IF(AND(907&gt;=16,TEXT(A909,"yyyy-mm")&lt;&gt;TEXT(A910,"yyyy-mm")),1,0)</f>
        <v/>
      </c>
      <c r="H909">
        <f>IF(OR(H908=1,G909=1),1,0)</f>
        <v/>
      </c>
      <c r="I909">
        <f>IF(H908=0,1,SUMPRODUCT(J908:N908,B909:F909)+O908*(1+0.00023125256064071564))</f>
        <v/>
      </c>
      <c r="J909">
        <f>IF(G909=1,0.2*R909/B909,J908)</f>
        <v/>
      </c>
      <c r="K909">
        <f>IF(G909=1,0.2*R909/C909,K908)</f>
        <v/>
      </c>
      <c r="L909">
        <f>IF(G909=1,0.2*R909/D909,L908)</f>
        <v/>
      </c>
      <c r="M909">
        <f>IF(G909=1,0.2*R909/E909,M908)</f>
        <v/>
      </c>
      <c r="N909">
        <f>IF(G909=1,0.2*R909/F909,N908)</f>
        <v/>
      </c>
      <c r="O909">
        <f>IF(G909=1,R909*(1-1.0),IF(H908=0,1,O908*(1+0.00023125256064071564)))</f>
        <v/>
      </c>
      <c r="P909">
        <f>IF(G909=1,IF(H908=0,1,ABS(0.2-J908*B909/I909)+ABS(0.2-K908*C909/I909)+ABS(0.2-L908*D909/I909)+ABS(0.2-M908*E909/I909)+ABS(0.2-N908*F909/I909)),0)</f>
        <v/>
      </c>
      <c r="Q909">
        <f>P909*0.0015</f>
        <v/>
      </c>
      <c r="R909">
        <f>I909*(1-Q909)</f>
        <v/>
      </c>
      <c r="S909">
        <f>R909/R908-1</f>
        <v/>
      </c>
      <c r="T909">
        <f>MAX(T908,R909)</f>
        <v/>
      </c>
      <c r="U909">
        <f>R909/T909-1</f>
        <v/>
      </c>
      <c r="V909" t="n">
        <v>1.369090509509801</v>
      </c>
      <c r="W909" s="5">
        <f>R909-V909</f>
        <v/>
      </c>
    </row>
    <row r="910">
      <c r="A910" s="3" t="n">
        <v>39772</v>
      </c>
      <c r="B910">
        <f>Prices!B910</f>
        <v/>
      </c>
      <c r="C910">
        <f>Prices!C910</f>
        <v/>
      </c>
      <c r="D910">
        <f>Prices!D910</f>
        <v/>
      </c>
      <c r="E910">
        <f>Prices!E910</f>
        <v/>
      </c>
      <c r="F910">
        <f>Prices!F910</f>
        <v/>
      </c>
      <c r="G910">
        <f>IF(AND(908&gt;=16,TEXT(A910,"yyyy-mm")&lt;&gt;TEXT(A911,"yyyy-mm")),1,0)</f>
        <v/>
      </c>
      <c r="H910">
        <f>IF(OR(H909=1,G910=1),1,0)</f>
        <v/>
      </c>
      <c r="I910">
        <f>IF(H909=0,1,SUMPRODUCT(J909:N909,B910:F910)+O909*(1+0.00023125256064071564))</f>
        <v/>
      </c>
      <c r="J910">
        <f>IF(G910=1,0.2*R910/B910,J909)</f>
        <v/>
      </c>
      <c r="K910">
        <f>IF(G910=1,0.2*R910/C910,K909)</f>
        <v/>
      </c>
      <c r="L910">
        <f>IF(G910=1,0.2*R910/D910,L909)</f>
        <v/>
      </c>
      <c r="M910">
        <f>IF(G910=1,0.2*R910/E910,M909)</f>
        <v/>
      </c>
      <c r="N910">
        <f>IF(G910=1,0.2*R910/F910,N909)</f>
        <v/>
      </c>
      <c r="O910">
        <f>IF(G910=1,R910*(1-1.0),IF(H909=0,1,O909*(1+0.00023125256064071564)))</f>
        <v/>
      </c>
      <c r="P910">
        <f>IF(G910=1,IF(H909=0,1,ABS(0.2-J909*B910/I910)+ABS(0.2-K909*C910/I910)+ABS(0.2-L909*D910/I910)+ABS(0.2-M909*E910/I910)+ABS(0.2-N909*F910/I910)),0)</f>
        <v/>
      </c>
      <c r="Q910">
        <f>P910*0.0015</f>
        <v/>
      </c>
      <c r="R910">
        <f>I910*(1-Q910)</f>
        <v/>
      </c>
      <c r="S910">
        <f>R910/R909-1</f>
        <v/>
      </c>
      <c r="T910">
        <f>MAX(T909,R910)</f>
        <v/>
      </c>
      <c r="U910">
        <f>R910/T910-1</f>
        <v/>
      </c>
      <c r="V910" t="n">
        <v>1.327933330119973</v>
      </c>
      <c r="W910" s="5">
        <f>R910-V910</f>
        <v/>
      </c>
    </row>
    <row r="911">
      <c r="A911" s="3" t="n">
        <v>39773</v>
      </c>
      <c r="B911">
        <f>Prices!B911</f>
        <v/>
      </c>
      <c r="C911">
        <f>Prices!C911</f>
        <v/>
      </c>
      <c r="D911">
        <f>Prices!D911</f>
        <v/>
      </c>
      <c r="E911">
        <f>Prices!E911</f>
        <v/>
      </c>
      <c r="F911">
        <f>Prices!F911</f>
        <v/>
      </c>
      <c r="G911">
        <f>IF(AND(909&gt;=16,TEXT(A911,"yyyy-mm")&lt;&gt;TEXT(A912,"yyyy-mm")),1,0)</f>
        <v/>
      </c>
      <c r="H911">
        <f>IF(OR(H910=1,G911=1),1,0)</f>
        <v/>
      </c>
      <c r="I911">
        <f>IF(H910=0,1,SUMPRODUCT(J910:N910,B911:F911)+O910*(1+0.00023125256064071564))</f>
        <v/>
      </c>
      <c r="J911">
        <f>IF(G911=1,0.2*R911/B911,J910)</f>
        <v/>
      </c>
      <c r="K911">
        <f>IF(G911=1,0.2*R911/C911,K910)</f>
        <v/>
      </c>
      <c r="L911">
        <f>IF(G911=1,0.2*R911/D911,L910)</f>
        <v/>
      </c>
      <c r="M911">
        <f>IF(G911=1,0.2*R911/E911,M910)</f>
        <v/>
      </c>
      <c r="N911">
        <f>IF(G911=1,0.2*R911/F911,N910)</f>
        <v/>
      </c>
      <c r="O911">
        <f>IF(G911=1,R911*(1-1.0),IF(H910=0,1,O910*(1+0.00023125256064071564)))</f>
        <v/>
      </c>
      <c r="P911">
        <f>IF(G911=1,IF(H910=0,1,ABS(0.2-J910*B911/I911)+ABS(0.2-K910*C911/I911)+ABS(0.2-L910*D911/I911)+ABS(0.2-M910*E911/I911)+ABS(0.2-N910*F911/I911)),0)</f>
        <v/>
      </c>
      <c r="Q911">
        <f>P911*0.0015</f>
        <v/>
      </c>
      <c r="R911">
        <f>I911*(1-Q911)</f>
        <v/>
      </c>
      <c r="S911">
        <f>R911/R910-1</f>
        <v/>
      </c>
      <c r="T911">
        <f>MAX(T910,R911)</f>
        <v/>
      </c>
      <c r="U911">
        <f>R911/T911-1</f>
        <v/>
      </c>
      <c r="V911" t="n">
        <v>1.352047011868896</v>
      </c>
      <c r="W911" s="5">
        <f>R911-V911</f>
        <v/>
      </c>
    </row>
    <row r="912">
      <c r="A912" s="3" t="n">
        <v>39776</v>
      </c>
      <c r="B912">
        <f>Prices!B912</f>
        <v/>
      </c>
      <c r="C912">
        <f>Prices!C912</f>
        <v/>
      </c>
      <c r="D912">
        <f>Prices!D912</f>
        <v/>
      </c>
      <c r="E912">
        <f>Prices!E912</f>
        <v/>
      </c>
      <c r="F912">
        <f>Prices!F912</f>
        <v/>
      </c>
      <c r="G912">
        <f>IF(AND(910&gt;=16,TEXT(A912,"yyyy-mm")&lt;&gt;TEXT(A913,"yyyy-mm")),1,0)</f>
        <v/>
      </c>
      <c r="H912">
        <f>IF(OR(H911=1,G912=1),1,0)</f>
        <v/>
      </c>
      <c r="I912">
        <f>IF(H911=0,1,SUMPRODUCT(J911:N911,B912:F912)+O911*(1+0.00023125256064071564))</f>
        <v/>
      </c>
      <c r="J912">
        <f>IF(G912=1,0.2*R912/B912,J911)</f>
        <v/>
      </c>
      <c r="K912">
        <f>IF(G912=1,0.2*R912/C912,K911)</f>
        <v/>
      </c>
      <c r="L912">
        <f>IF(G912=1,0.2*R912/D912,L911)</f>
        <v/>
      </c>
      <c r="M912">
        <f>IF(G912=1,0.2*R912/E912,M911)</f>
        <v/>
      </c>
      <c r="N912">
        <f>IF(G912=1,0.2*R912/F912,N911)</f>
        <v/>
      </c>
      <c r="O912">
        <f>IF(G912=1,R912*(1-1.0),IF(H911=0,1,O911*(1+0.00023125256064071564)))</f>
        <v/>
      </c>
      <c r="P912">
        <f>IF(G912=1,IF(H911=0,1,ABS(0.2-J911*B912/I912)+ABS(0.2-K911*C912/I912)+ABS(0.2-L911*D912/I912)+ABS(0.2-M911*E912/I912)+ABS(0.2-N911*F912/I912)),0)</f>
        <v/>
      </c>
      <c r="Q912">
        <f>P912*0.0015</f>
        <v/>
      </c>
      <c r="R912">
        <f>I912*(1-Q912)</f>
        <v/>
      </c>
      <c r="S912">
        <f>R912/R911-1</f>
        <v/>
      </c>
      <c r="T912">
        <f>MAX(T911,R912)</f>
        <v/>
      </c>
      <c r="U912">
        <f>R912/T912-1</f>
        <v/>
      </c>
      <c r="V912" t="n">
        <v>1.357596978244226</v>
      </c>
      <c r="W912" s="5">
        <f>R912-V912</f>
        <v/>
      </c>
    </row>
    <row r="913">
      <c r="A913" s="3" t="n">
        <v>39777</v>
      </c>
      <c r="B913">
        <f>Prices!B913</f>
        <v/>
      </c>
      <c r="C913">
        <f>Prices!C913</f>
        <v/>
      </c>
      <c r="D913">
        <f>Prices!D913</f>
        <v/>
      </c>
      <c r="E913">
        <f>Prices!E913</f>
        <v/>
      </c>
      <c r="F913">
        <f>Prices!F913</f>
        <v/>
      </c>
      <c r="G913">
        <f>IF(AND(911&gt;=16,TEXT(A913,"yyyy-mm")&lt;&gt;TEXT(A914,"yyyy-mm")),1,0)</f>
        <v/>
      </c>
      <c r="H913">
        <f>IF(OR(H912=1,G913=1),1,0)</f>
        <v/>
      </c>
      <c r="I913">
        <f>IF(H912=0,1,SUMPRODUCT(J912:N912,B913:F913)+O912*(1+0.00023125256064071564))</f>
        <v/>
      </c>
      <c r="J913">
        <f>IF(G913=1,0.2*R913/B913,J912)</f>
        <v/>
      </c>
      <c r="K913">
        <f>IF(G913=1,0.2*R913/C913,K912)</f>
        <v/>
      </c>
      <c r="L913">
        <f>IF(G913=1,0.2*R913/D913,L912)</f>
        <v/>
      </c>
      <c r="M913">
        <f>IF(G913=1,0.2*R913/E913,M912)</f>
        <v/>
      </c>
      <c r="N913">
        <f>IF(G913=1,0.2*R913/F913,N912)</f>
        <v/>
      </c>
      <c r="O913">
        <f>IF(G913=1,R913*(1-1.0),IF(H912=0,1,O912*(1+0.00023125256064071564)))</f>
        <v/>
      </c>
      <c r="P913">
        <f>IF(G913=1,IF(H912=0,1,ABS(0.2-J912*B913/I913)+ABS(0.2-K912*C913/I913)+ABS(0.2-L912*D913/I913)+ABS(0.2-M912*E913/I913)+ABS(0.2-N912*F913/I913)),0)</f>
        <v/>
      </c>
      <c r="Q913">
        <f>P913*0.0015</f>
        <v/>
      </c>
      <c r="R913">
        <f>I913*(1-Q913)</f>
        <v/>
      </c>
      <c r="S913">
        <f>R913/R912-1</f>
        <v/>
      </c>
      <c r="T913">
        <f>MAX(T912,R913)</f>
        <v/>
      </c>
      <c r="U913">
        <f>R913/T913-1</f>
        <v/>
      </c>
      <c r="V913" t="n">
        <v>1.347906957567778</v>
      </c>
      <c r="W913" s="5">
        <f>R913-V913</f>
        <v/>
      </c>
    </row>
    <row r="914">
      <c r="A914" s="3" t="n">
        <v>39778</v>
      </c>
      <c r="B914">
        <f>Prices!B914</f>
        <v/>
      </c>
      <c r="C914">
        <f>Prices!C914</f>
        <v/>
      </c>
      <c r="D914">
        <f>Prices!D914</f>
        <v/>
      </c>
      <c r="E914">
        <f>Prices!E914</f>
        <v/>
      </c>
      <c r="F914">
        <f>Prices!F914</f>
        <v/>
      </c>
      <c r="G914">
        <f>IF(AND(912&gt;=16,TEXT(A914,"yyyy-mm")&lt;&gt;TEXT(A915,"yyyy-mm")),1,0)</f>
        <v/>
      </c>
      <c r="H914">
        <f>IF(OR(H913=1,G914=1),1,0)</f>
        <v/>
      </c>
      <c r="I914">
        <f>IF(H913=0,1,SUMPRODUCT(J913:N913,B914:F914)+O913*(1+0.00023125256064071564))</f>
        <v/>
      </c>
      <c r="J914">
        <f>IF(G914=1,0.2*R914/B914,J913)</f>
        <v/>
      </c>
      <c r="K914">
        <f>IF(G914=1,0.2*R914/C914,K913)</f>
        <v/>
      </c>
      <c r="L914">
        <f>IF(G914=1,0.2*R914/D914,L913)</f>
        <v/>
      </c>
      <c r="M914">
        <f>IF(G914=1,0.2*R914/E914,M913)</f>
        <v/>
      </c>
      <c r="N914">
        <f>IF(G914=1,0.2*R914/F914,N913)</f>
        <v/>
      </c>
      <c r="O914">
        <f>IF(G914=1,R914*(1-1.0),IF(H913=0,1,O913*(1+0.00023125256064071564)))</f>
        <v/>
      </c>
      <c r="P914">
        <f>IF(G914=1,IF(H913=0,1,ABS(0.2-J913*B914/I914)+ABS(0.2-K913*C914/I914)+ABS(0.2-L913*D914/I914)+ABS(0.2-M913*E914/I914)+ABS(0.2-N913*F914/I914)),0)</f>
        <v/>
      </c>
      <c r="Q914">
        <f>P914*0.0015</f>
        <v/>
      </c>
      <c r="R914">
        <f>I914*(1-Q914)</f>
        <v/>
      </c>
      <c r="S914">
        <f>R914/R913-1</f>
        <v/>
      </c>
      <c r="T914">
        <f>MAX(T913,R914)</f>
        <v/>
      </c>
      <c r="U914">
        <f>R914/T914-1</f>
        <v/>
      </c>
      <c r="V914" t="n">
        <v>1.36941810378151</v>
      </c>
      <c r="W914" s="5">
        <f>R914-V914</f>
        <v/>
      </c>
    </row>
    <row r="915">
      <c r="A915" s="3" t="n">
        <v>39780</v>
      </c>
      <c r="B915">
        <f>Prices!B915</f>
        <v/>
      </c>
      <c r="C915">
        <f>Prices!C915</f>
        <v/>
      </c>
      <c r="D915">
        <f>Prices!D915</f>
        <v/>
      </c>
      <c r="E915">
        <f>Prices!E915</f>
        <v/>
      </c>
      <c r="F915">
        <f>Prices!F915</f>
        <v/>
      </c>
      <c r="G915">
        <f>IF(AND(913&gt;=16,TEXT(A915,"yyyy-mm")&lt;&gt;TEXT(A916,"yyyy-mm")),1,0)</f>
        <v/>
      </c>
      <c r="H915">
        <f>IF(OR(H914=1,G915=1),1,0)</f>
        <v/>
      </c>
      <c r="I915">
        <f>IF(H914=0,1,SUMPRODUCT(J914:N914,B915:F915)+O914*(1+0.00023125256064071564))</f>
        <v/>
      </c>
      <c r="J915">
        <f>IF(G915=1,0.2*R915/B915,J914)</f>
        <v/>
      </c>
      <c r="K915">
        <f>IF(G915=1,0.2*R915/C915,K914)</f>
        <v/>
      </c>
      <c r="L915">
        <f>IF(G915=1,0.2*R915/D915,L914)</f>
        <v/>
      </c>
      <c r="M915">
        <f>IF(G915=1,0.2*R915/E915,M914)</f>
        <v/>
      </c>
      <c r="N915">
        <f>IF(G915=1,0.2*R915/F915,N914)</f>
        <v/>
      </c>
      <c r="O915">
        <f>IF(G915=1,R915*(1-1.0),IF(H914=0,1,O914*(1+0.00023125256064071564)))</f>
        <v/>
      </c>
      <c r="P915">
        <f>IF(G915=1,IF(H914=0,1,ABS(0.2-J914*B915/I915)+ABS(0.2-K914*C915/I915)+ABS(0.2-L914*D915/I915)+ABS(0.2-M914*E915/I915)+ABS(0.2-N914*F915/I915)),0)</f>
        <v/>
      </c>
      <c r="Q915">
        <f>P915*0.0015</f>
        <v/>
      </c>
      <c r="R915">
        <f>I915*(1-Q915)</f>
        <v/>
      </c>
      <c r="S915">
        <f>R915/R914-1</f>
        <v/>
      </c>
      <c r="T915">
        <f>MAX(T914,R915)</f>
        <v/>
      </c>
      <c r="U915">
        <f>R915/T915-1</f>
        <v/>
      </c>
      <c r="V915" t="n">
        <v>1.377665549073225</v>
      </c>
      <c r="W915" s="5">
        <f>R915-V915</f>
        <v/>
      </c>
    </row>
    <row r="916">
      <c r="A916" s="3" t="n">
        <v>39783</v>
      </c>
      <c r="B916">
        <f>Prices!B916</f>
        <v/>
      </c>
      <c r="C916">
        <f>Prices!C916</f>
        <v/>
      </c>
      <c r="D916">
        <f>Prices!D916</f>
        <v/>
      </c>
      <c r="E916">
        <f>Prices!E916</f>
        <v/>
      </c>
      <c r="F916">
        <f>Prices!F916</f>
        <v/>
      </c>
      <c r="G916">
        <f>IF(AND(914&gt;=16,TEXT(A916,"yyyy-mm")&lt;&gt;TEXT(A917,"yyyy-mm")),1,0)</f>
        <v/>
      </c>
      <c r="H916">
        <f>IF(OR(H915=1,G916=1),1,0)</f>
        <v/>
      </c>
      <c r="I916">
        <f>IF(H915=0,1,SUMPRODUCT(J915:N915,B916:F916)+O915*(1+0.00023125256064071564))</f>
        <v/>
      </c>
      <c r="J916">
        <f>IF(G916=1,0.2*R916/B916,J915)</f>
        <v/>
      </c>
      <c r="K916">
        <f>IF(G916=1,0.2*R916/C916,K915)</f>
        <v/>
      </c>
      <c r="L916">
        <f>IF(G916=1,0.2*R916/D916,L915)</f>
        <v/>
      </c>
      <c r="M916">
        <f>IF(G916=1,0.2*R916/E916,M915)</f>
        <v/>
      </c>
      <c r="N916">
        <f>IF(G916=1,0.2*R916/F916,N915)</f>
        <v/>
      </c>
      <c r="O916">
        <f>IF(G916=1,R916*(1-1.0),IF(H915=0,1,O915*(1+0.00023125256064071564)))</f>
        <v/>
      </c>
      <c r="P916">
        <f>IF(G916=1,IF(H915=0,1,ABS(0.2-J915*B916/I916)+ABS(0.2-K915*C916/I916)+ABS(0.2-L915*D916/I916)+ABS(0.2-M915*E916/I916)+ABS(0.2-N915*F916/I916)),0)</f>
        <v/>
      </c>
      <c r="Q916">
        <f>P916*0.0015</f>
        <v/>
      </c>
      <c r="R916">
        <f>I916*(1-Q916)</f>
        <v/>
      </c>
      <c r="S916">
        <f>R916/R915-1</f>
        <v/>
      </c>
      <c r="T916">
        <f>MAX(T915,R916)</f>
        <v/>
      </c>
      <c r="U916">
        <f>R916/T916-1</f>
        <v/>
      </c>
      <c r="V916" t="n">
        <v>1.352152760080311</v>
      </c>
      <c r="W916" s="5">
        <f>R916-V916</f>
        <v/>
      </c>
    </row>
    <row r="917">
      <c r="A917" s="3" t="n">
        <v>39784</v>
      </c>
      <c r="B917">
        <f>Prices!B917</f>
        <v/>
      </c>
      <c r="C917">
        <f>Prices!C917</f>
        <v/>
      </c>
      <c r="D917">
        <f>Prices!D917</f>
        <v/>
      </c>
      <c r="E917">
        <f>Prices!E917</f>
        <v/>
      </c>
      <c r="F917">
        <f>Prices!F917</f>
        <v/>
      </c>
      <c r="G917">
        <f>IF(AND(915&gt;=16,TEXT(A917,"yyyy-mm")&lt;&gt;TEXT(A918,"yyyy-mm")),1,0)</f>
        <v/>
      </c>
      <c r="H917">
        <f>IF(OR(H916=1,G917=1),1,0)</f>
        <v/>
      </c>
      <c r="I917">
        <f>IF(H916=0,1,SUMPRODUCT(J916:N916,B917:F917)+O916*(1+0.00023125256064071564))</f>
        <v/>
      </c>
      <c r="J917">
        <f>IF(G917=1,0.2*R917/B917,J916)</f>
        <v/>
      </c>
      <c r="K917">
        <f>IF(G917=1,0.2*R917/C917,K916)</f>
        <v/>
      </c>
      <c r="L917">
        <f>IF(G917=1,0.2*R917/D917,L916)</f>
        <v/>
      </c>
      <c r="M917">
        <f>IF(G917=1,0.2*R917/E917,M916)</f>
        <v/>
      </c>
      <c r="N917">
        <f>IF(G917=1,0.2*R917/F917,N916)</f>
        <v/>
      </c>
      <c r="O917">
        <f>IF(G917=1,R917*(1-1.0),IF(H916=0,1,O916*(1+0.00023125256064071564)))</f>
        <v/>
      </c>
      <c r="P917">
        <f>IF(G917=1,IF(H916=0,1,ABS(0.2-J916*B917/I917)+ABS(0.2-K916*C917/I917)+ABS(0.2-L916*D917/I917)+ABS(0.2-M916*E917/I917)+ABS(0.2-N916*F917/I917)),0)</f>
        <v/>
      </c>
      <c r="Q917">
        <f>P917*0.0015</f>
        <v/>
      </c>
      <c r="R917">
        <f>I917*(1-Q917)</f>
        <v/>
      </c>
      <c r="S917">
        <f>R917/R916-1</f>
        <v/>
      </c>
      <c r="T917">
        <f>MAX(T916,R917)</f>
        <v/>
      </c>
      <c r="U917">
        <f>R917/T917-1</f>
        <v/>
      </c>
      <c r="V917" t="n">
        <v>1.339896004500952</v>
      </c>
      <c r="W917" s="5">
        <f>R917-V917</f>
        <v/>
      </c>
    </row>
    <row r="918">
      <c r="A918" s="3" t="n">
        <v>39785</v>
      </c>
      <c r="B918">
        <f>Prices!B918</f>
        <v/>
      </c>
      <c r="C918">
        <f>Prices!C918</f>
        <v/>
      </c>
      <c r="D918">
        <f>Prices!D918</f>
        <v/>
      </c>
      <c r="E918">
        <f>Prices!E918</f>
        <v/>
      </c>
      <c r="F918">
        <f>Prices!F918</f>
        <v/>
      </c>
      <c r="G918">
        <f>IF(AND(916&gt;=16,TEXT(A918,"yyyy-mm")&lt;&gt;TEXT(A919,"yyyy-mm")),1,0)</f>
        <v/>
      </c>
      <c r="H918">
        <f>IF(OR(H917=1,G918=1),1,0)</f>
        <v/>
      </c>
      <c r="I918">
        <f>IF(H917=0,1,SUMPRODUCT(J917:N917,B918:F918)+O917*(1+0.00023125256064071564))</f>
        <v/>
      </c>
      <c r="J918">
        <f>IF(G918=1,0.2*R918/B918,J917)</f>
        <v/>
      </c>
      <c r="K918">
        <f>IF(G918=1,0.2*R918/C918,K917)</f>
        <v/>
      </c>
      <c r="L918">
        <f>IF(G918=1,0.2*R918/D918,L917)</f>
        <v/>
      </c>
      <c r="M918">
        <f>IF(G918=1,0.2*R918/E918,M917)</f>
        <v/>
      </c>
      <c r="N918">
        <f>IF(G918=1,0.2*R918/F918,N917)</f>
        <v/>
      </c>
      <c r="O918">
        <f>IF(G918=1,R918*(1-1.0),IF(H917=0,1,O917*(1+0.00023125256064071564)))</f>
        <v/>
      </c>
      <c r="P918">
        <f>IF(G918=1,IF(H917=0,1,ABS(0.2-J917*B918/I918)+ABS(0.2-K917*C918/I918)+ABS(0.2-L917*D918/I918)+ABS(0.2-M917*E918/I918)+ABS(0.2-N917*F918/I918)),0)</f>
        <v/>
      </c>
      <c r="Q918">
        <f>P918*0.0015</f>
        <v/>
      </c>
      <c r="R918">
        <f>I918*(1-Q918)</f>
        <v/>
      </c>
      <c r="S918">
        <f>R918/R917-1</f>
        <v/>
      </c>
      <c r="T918">
        <f>MAX(T917,R918)</f>
        <v/>
      </c>
      <c r="U918">
        <f>R918/T918-1</f>
        <v/>
      </c>
      <c r="V918" t="n">
        <v>1.346015994064942</v>
      </c>
      <c r="W918" s="5">
        <f>R918-V918</f>
        <v/>
      </c>
    </row>
    <row r="919">
      <c r="A919" s="3" t="n">
        <v>39786</v>
      </c>
      <c r="B919">
        <f>Prices!B919</f>
        <v/>
      </c>
      <c r="C919">
        <f>Prices!C919</f>
        <v/>
      </c>
      <c r="D919">
        <f>Prices!D919</f>
        <v/>
      </c>
      <c r="E919">
        <f>Prices!E919</f>
        <v/>
      </c>
      <c r="F919">
        <f>Prices!F919</f>
        <v/>
      </c>
      <c r="G919">
        <f>IF(AND(917&gt;=16,TEXT(A919,"yyyy-mm")&lt;&gt;TEXT(A920,"yyyy-mm")),1,0)</f>
        <v/>
      </c>
      <c r="H919">
        <f>IF(OR(H918=1,G919=1),1,0)</f>
        <v/>
      </c>
      <c r="I919">
        <f>IF(H918=0,1,SUMPRODUCT(J918:N918,B919:F919)+O918*(1+0.00023125256064071564))</f>
        <v/>
      </c>
      <c r="J919">
        <f>IF(G919=1,0.2*R919/B919,J918)</f>
        <v/>
      </c>
      <c r="K919">
        <f>IF(G919=1,0.2*R919/C919,K918)</f>
        <v/>
      </c>
      <c r="L919">
        <f>IF(G919=1,0.2*R919/D919,L918)</f>
        <v/>
      </c>
      <c r="M919">
        <f>IF(G919=1,0.2*R919/E919,M918)</f>
        <v/>
      </c>
      <c r="N919">
        <f>IF(G919=1,0.2*R919/F919,N918)</f>
        <v/>
      </c>
      <c r="O919">
        <f>IF(G919=1,R919*(1-1.0),IF(H918=0,1,O918*(1+0.00023125256064071564)))</f>
        <v/>
      </c>
      <c r="P919">
        <f>IF(G919=1,IF(H918=0,1,ABS(0.2-J918*B919/I919)+ABS(0.2-K918*C919/I919)+ABS(0.2-L918*D919/I919)+ABS(0.2-M918*E919/I919)+ABS(0.2-N918*F919/I919)),0)</f>
        <v/>
      </c>
      <c r="Q919">
        <f>P919*0.0015</f>
        <v/>
      </c>
      <c r="R919">
        <f>I919*(1-Q919)</f>
        <v/>
      </c>
      <c r="S919">
        <f>R919/R918-1</f>
        <v/>
      </c>
      <c r="T919">
        <f>MAX(T918,R919)</f>
        <v/>
      </c>
      <c r="U919">
        <f>R919/T919-1</f>
        <v/>
      </c>
      <c r="V919" t="n">
        <v>1.385345282154217</v>
      </c>
      <c r="W919" s="5">
        <f>R919-V919</f>
        <v/>
      </c>
    </row>
    <row r="920">
      <c r="A920" s="3" t="n">
        <v>39787</v>
      </c>
      <c r="B920">
        <f>Prices!B920</f>
        <v/>
      </c>
      <c r="C920">
        <f>Prices!C920</f>
        <v/>
      </c>
      <c r="D920">
        <f>Prices!D920</f>
        <v/>
      </c>
      <c r="E920">
        <f>Prices!E920</f>
        <v/>
      </c>
      <c r="F920">
        <f>Prices!F920</f>
        <v/>
      </c>
      <c r="G920">
        <f>IF(AND(918&gt;=16,TEXT(A920,"yyyy-mm")&lt;&gt;TEXT(A921,"yyyy-mm")),1,0)</f>
        <v/>
      </c>
      <c r="H920">
        <f>IF(OR(H919=1,G920=1),1,0)</f>
        <v/>
      </c>
      <c r="I920">
        <f>IF(H919=0,1,SUMPRODUCT(J919:N919,B920:F920)+O919*(1+0.00023125256064071564))</f>
        <v/>
      </c>
      <c r="J920">
        <f>IF(G920=1,0.2*R920/B920,J919)</f>
        <v/>
      </c>
      <c r="K920">
        <f>IF(G920=1,0.2*R920/C920,K919)</f>
        <v/>
      </c>
      <c r="L920">
        <f>IF(G920=1,0.2*R920/D920,L919)</f>
        <v/>
      </c>
      <c r="M920">
        <f>IF(G920=1,0.2*R920/E920,M919)</f>
        <v/>
      </c>
      <c r="N920">
        <f>IF(G920=1,0.2*R920/F920,N919)</f>
        <v/>
      </c>
      <c r="O920">
        <f>IF(G920=1,R920*(1-1.0),IF(H919=0,1,O919*(1+0.00023125256064071564)))</f>
        <v/>
      </c>
      <c r="P920">
        <f>IF(G920=1,IF(H919=0,1,ABS(0.2-J919*B920/I920)+ABS(0.2-K919*C920/I920)+ABS(0.2-L919*D920/I920)+ABS(0.2-M919*E920/I920)+ABS(0.2-N919*F920/I920)),0)</f>
        <v/>
      </c>
      <c r="Q920">
        <f>P920*0.0015</f>
        <v/>
      </c>
      <c r="R920">
        <f>I920*(1-Q920)</f>
        <v/>
      </c>
      <c r="S920">
        <f>R920/R919-1</f>
        <v/>
      </c>
      <c r="T920">
        <f>MAX(T919,R920)</f>
        <v/>
      </c>
      <c r="U920">
        <f>R920/T920-1</f>
        <v/>
      </c>
      <c r="V920" t="n">
        <v>1.363857334516492</v>
      </c>
      <c r="W920" s="5">
        <f>R920-V920</f>
        <v/>
      </c>
    </row>
    <row r="921">
      <c r="A921" s="3" t="n">
        <v>39790</v>
      </c>
      <c r="B921">
        <f>Prices!B921</f>
        <v/>
      </c>
      <c r="C921">
        <f>Prices!C921</f>
        <v/>
      </c>
      <c r="D921">
        <f>Prices!D921</f>
        <v/>
      </c>
      <c r="E921">
        <f>Prices!E921</f>
        <v/>
      </c>
      <c r="F921">
        <f>Prices!F921</f>
        <v/>
      </c>
      <c r="G921">
        <f>IF(AND(919&gt;=16,TEXT(A921,"yyyy-mm")&lt;&gt;TEXT(A922,"yyyy-mm")),1,0)</f>
        <v/>
      </c>
      <c r="H921">
        <f>IF(OR(H920=1,G921=1),1,0)</f>
        <v/>
      </c>
      <c r="I921">
        <f>IF(H920=0,1,SUMPRODUCT(J920:N920,B921:F921)+O920*(1+0.00023125256064071564))</f>
        <v/>
      </c>
      <c r="J921">
        <f>IF(G921=1,0.2*R921/B921,J920)</f>
        <v/>
      </c>
      <c r="K921">
        <f>IF(G921=1,0.2*R921/C921,K920)</f>
        <v/>
      </c>
      <c r="L921">
        <f>IF(G921=1,0.2*R921/D921,L920)</f>
        <v/>
      </c>
      <c r="M921">
        <f>IF(G921=1,0.2*R921/E921,M920)</f>
        <v/>
      </c>
      <c r="N921">
        <f>IF(G921=1,0.2*R921/F921,N920)</f>
        <v/>
      </c>
      <c r="O921">
        <f>IF(G921=1,R921*(1-1.0),IF(H920=0,1,O920*(1+0.00023125256064071564)))</f>
        <v/>
      </c>
      <c r="P921">
        <f>IF(G921=1,IF(H920=0,1,ABS(0.2-J920*B921/I921)+ABS(0.2-K920*C921/I921)+ABS(0.2-L920*D921/I921)+ABS(0.2-M920*E921/I921)+ABS(0.2-N920*F921/I921)),0)</f>
        <v/>
      </c>
      <c r="Q921">
        <f>P921*0.0015</f>
        <v/>
      </c>
      <c r="R921">
        <f>I921*(1-Q921)</f>
        <v/>
      </c>
      <c r="S921">
        <f>R921/R920-1</f>
        <v/>
      </c>
      <c r="T921">
        <f>MAX(T920,R921)</f>
        <v/>
      </c>
      <c r="U921">
        <f>R921/T921-1</f>
        <v/>
      </c>
      <c r="V921" t="n">
        <v>1.372940206143058</v>
      </c>
      <c r="W921" s="5">
        <f>R921-V921</f>
        <v/>
      </c>
    </row>
    <row r="922">
      <c r="A922" s="3" t="n">
        <v>39792</v>
      </c>
      <c r="B922">
        <f>Prices!B922</f>
        <v/>
      </c>
      <c r="C922">
        <f>Prices!C922</f>
        <v/>
      </c>
      <c r="D922">
        <f>Prices!D922</f>
        <v/>
      </c>
      <c r="E922">
        <f>Prices!E922</f>
        <v/>
      </c>
      <c r="F922">
        <f>Prices!F922</f>
        <v/>
      </c>
      <c r="G922">
        <f>IF(AND(920&gt;=16,TEXT(A922,"yyyy-mm")&lt;&gt;TEXT(A923,"yyyy-mm")),1,0)</f>
        <v/>
      </c>
      <c r="H922">
        <f>IF(OR(H921=1,G922=1),1,0)</f>
        <v/>
      </c>
      <c r="I922">
        <f>IF(H921=0,1,SUMPRODUCT(J921:N921,B922:F922)+O921*(1+0.00023125256064071564))</f>
        <v/>
      </c>
      <c r="J922">
        <f>IF(G922=1,0.2*R922/B922,J921)</f>
        <v/>
      </c>
      <c r="K922">
        <f>IF(G922=1,0.2*R922/C922,K921)</f>
        <v/>
      </c>
      <c r="L922">
        <f>IF(G922=1,0.2*R922/D922,L921)</f>
        <v/>
      </c>
      <c r="M922">
        <f>IF(G922=1,0.2*R922/E922,M921)</f>
        <v/>
      </c>
      <c r="N922">
        <f>IF(G922=1,0.2*R922/F922,N921)</f>
        <v/>
      </c>
      <c r="O922">
        <f>IF(G922=1,R922*(1-1.0),IF(H921=0,1,O921*(1+0.00023125256064071564)))</f>
        <v/>
      </c>
      <c r="P922">
        <f>IF(G922=1,IF(H921=0,1,ABS(0.2-J921*B922/I922)+ABS(0.2-K921*C922/I922)+ABS(0.2-L921*D922/I922)+ABS(0.2-M921*E922/I922)+ABS(0.2-N921*F922/I922)),0)</f>
        <v/>
      </c>
      <c r="Q922">
        <f>P922*0.0015</f>
        <v/>
      </c>
      <c r="R922">
        <f>I922*(1-Q922)</f>
        <v/>
      </c>
      <c r="S922">
        <f>R922/R921-1</f>
        <v/>
      </c>
      <c r="T922">
        <f>MAX(T921,R922)</f>
        <v/>
      </c>
      <c r="U922">
        <f>R922/T922-1</f>
        <v/>
      </c>
      <c r="V922" t="n">
        <v>1.412754542335028</v>
      </c>
      <c r="W922" s="5">
        <f>R922-V922</f>
        <v/>
      </c>
    </row>
    <row r="923">
      <c r="A923" s="3" t="n">
        <v>39793</v>
      </c>
      <c r="B923">
        <f>Prices!B923</f>
        <v/>
      </c>
      <c r="C923">
        <f>Prices!C923</f>
        <v/>
      </c>
      <c r="D923">
        <f>Prices!D923</f>
        <v/>
      </c>
      <c r="E923">
        <f>Prices!E923</f>
        <v/>
      </c>
      <c r="F923">
        <f>Prices!F923</f>
        <v/>
      </c>
      <c r="G923">
        <f>IF(AND(921&gt;=16,TEXT(A923,"yyyy-mm")&lt;&gt;TEXT(A924,"yyyy-mm")),1,0)</f>
        <v/>
      </c>
      <c r="H923">
        <f>IF(OR(H922=1,G923=1),1,0)</f>
        <v/>
      </c>
      <c r="I923">
        <f>IF(H922=0,1,SUMPRODUCT(J922:N922,B923:F923)+O922*(1+0.00023125256064071564))</f>
        <v/>
      </c>
      <c r="J923">
        <f>IF(G923=1,0.2*R923/B923,J922)</f>
        <v/>
      </c>
      <c r="K923">
        <f>IF(G923=1,0.2*R923/C923,K922)</f>
        <v/>
      </c>
      <c r="L923">
        <f>IF(G923=1,0.2*R923/D923,L922)</f>
        <v/>
      </c>
      <c r="M923">
        <f>IF(G923=1,0.2*R923/E923,M922)</f>
        <v/>
      </c>
      <c r="N923">
        <f>IF(G923=1,0.2*R923/F923,N922)</f>
        <v/>
      </c>
      <c r="O923">
        <f>IF(G923=1,R923*(1-1.0),IF(H922=0,1,O922*(1+0.00023125256064071564)))</f>
        <v/>
      </c>
      <c r="P923">
        <f>IF(G923=1,IF(H922=0,1,ABS(0.2-J922*B923/I923)+ABS(0.2-K922*C923/I923)+ABS(0.2-L922*D923/I923)+ABS(0.2-M922*E923/I923)+ABS(0.2-N922*F923/I923)),0)</f>
        <v/>
      </c>
      <c r="Q923">
        <f>P923*0.0015</f>
        <v/>
      </c>
      <c r="R923">
        <f>I923*(1-Q923)</f>
        <v/>
      </c>
      <c r="S923">
        <f>R923/R922-1</f>
        <v/>
      </c>
      <c r="T923">
        <f>MAX(T922,R923)</f>
        <v/>
      </c>
      <c r="U923">
        <f>R923/T923-1</f>
        <v/>
      </c>
      <c r="V923" t="n">
        <v>1.423670929257671</v>
      </c>
      <c r="W923" s="5">
        <f>R923-V923</f>
        <v/>
      </c>
    </row>
    <row r="924">
      <c r="A924" s="3" t="n">
        <v>39794</v>
      </c>
      <c r="B924">
        <f>Prices!B924</f>
        <v/>
      </c>
      <c r="C924">
        <f>Prices!C924</f>
        <v/>
      </c>
      <c r="D924">
        <f>Prices!D924</f>
        <v/>
      </c>
      <c r="E924">
        <f>Prices!E924</f>
        <v/>
      </c>
      <c r="F924">
        <f>Prices!F924</f>
        <v/>
      </c>
      <c r="G924">
        <f>IF(AND(922&gt;=16,TEXT(A924,"yyyy-mm")&lt;&gt;TEXT(A925,"yyyy-mm")),1,0)</f>
        <v/>
      </c>
      <c r="H924">
        <f>IF(OR(H923=1,G924=1),1,0)</f>
        <v/>
      </c>
      <c r="I924">
        <f>IF(H923=0,1,SUMPRODUCT(J923:N923,B924:F924)+O923*(1+0.00023125256064071564))</f>
        <v/>
      </c>
      <c r="J924">
        <f>IF(G924=1,0.2*R924/B924,J923)</f>
        <v/>
      </c>
      <c r="K924">
        <f>IF(G924=1,0.2*R924/C924,K923)</f>
        <v/>
      </c>
      <c r="L924">
        <f>IF(G924=1,0.2*R924/D924,L923)</f>
        <v/>
      </c>
      <c r="M924">
        <f>IF(G924=1,0.2*R924/E924,M923)</f>
        <v/>
      </c>
      <c r="N924">
        <f>IF(G924=1,0.2*R924/F924,N923)</f>
        <v/>
      </c>
      <c r="O924">
        <f>IF(G924=1,R924*(1-1.0),IF(H923=0,1,O923*(1+0.00023125256064071564)))</f>
        <v/>
      </c>
      <c r="P924">
        <f>IF(G924=1,IF(H923=0,1,ABS(0.2-J923*B924/I924)+ABS(0.2-K923*C924/I924)+ABS(0.2-L923*D924/I924)+ABS(0.2-M923*E924/I924)+ABS(0.2-N923*F924/I924)),0)</f>
        <v/>
      </c>
      <c r="Q924">
        <f>P924*0.0015</f>
        <v/>
      </c>
      <c r="R924">
        <f>I924*(1-Q924)</f>
        <v/>
      </c>
      <c r="S924">
        <f>R924/R923-1</f>
        <v/>
      </c>
      <c r="T924">
        <f>MAX(T923,R924)</f>
        <v/>
      </c>
      <c r="U924">
        <f>R924/T924-1</f>
        <v/>
      </c>
      <c r="V924" t="n">
        <v>1.429277202070127</v>
      </c>
      <c r="W924" s="5">
        <f>R924-V924</f>
        <v/>
      </c>
    </row>
    <row r="925">
      <c r="A925" s="3" t="n">
        <v>39797</v>
      </c>
      <c r="B925">
        <f>Prices!B925</f>
        <v/>
      </c>
      <c r="C925">
        <f>Prices!C925</f>
        <v/>
      </c>
      <c r="D925">
        <f>Prices!D925</f>
        <v/>
      </c>
      <c r="E925">
        <f>Prices!E925</f>
        <v/>
      </c>
      <c r="F925">
        <f>Prices!F925</f>
        <v/>
      </c>
      <c r="G925">
        <f>IF(AND(923&gt;=16,TEXT(A925,"yyyy-mm")&lt;&gt;TEXT(A926,"yyyy-mm")),1,0)</f>
        <v/>
      </c>
      <c r="H925">
        <f>IF(OR(H924=1,G925=1),1,0)</f>
        <v/>
      </c>
      <c r="I925">
        <f>IF(H924=0,1,SUMPRODUCT(J924:N924,B925:F925)+O924*(1+0.00023125256064071564))</f>
        <v/>
      </c>
      <c r="J925">
        <f>IF(G925=1,0.2*R925/B925,J924)</f>
        <v/>
      </c>
      <c r="K925">
        <f>IF(G925=1,0.2*R925/C925,K924)</f>
        <v/>
      </c>
      <c r="L925">
        <f>IF(G925=1,0.2*R925/D925,L924)</f>
        <v/>
      </c>
      <c r="M925">
        <f>IF(G925=1,0.2*R925/E925,M924)</f>
        <v/>
      </c>
      <c r="N925">
        <f>IF(G925=1,0.2*R925/F925,N924)</f>
        <v/>
      </c>
      <c r="O925">
        <f>IF(G925=1,R925*(1-1.0),IF(H924=0,1,O924*(1+0.00023125256064071564)))</f>
        <v/>
      </c>
      <c r="P925">
        <f>IF(G925=1,IF(H924=0,1,ABS(0.2-J924*B925/I925)+ABS(0.2-K924*C925/I925)+ABS(0.2-L924*D925/I925)+ABS(0.2-M924*E925/I925)+ABS(0.2-N924*F925/I925)),0)</f>
        <v/>
      </c>
      <c r="Q925">
        <f>P925*0.0015</f>
        <v/>
      </c>
      <c r="R925">
        <f>I925*(1-Q925)</f>
        <v/>
      </c>
      <c r="S925">
        <f>R925/R924-1</f>
        <v/>
      </c>
      <c r="T925">
        <f>MAX(T924,R925)</f>
        <v/>
      </c>
      <c r="U925">
        <f>R925/T925-1</f>
        <v/>
      </c>
      <c r="V925" t="n">
        <v>1.465832454853165</v>
      </c>
      <c r="W925" s="5">
        <f>R925-V925</f>
        <v/>
      </c>
    </row>
    <row r="926">
      <c r="A926" s="3" t="n">
        <v>39798</v>
      </c>
      <c r="B926">
        <f>Prices!B926</f>
        <v/>
      </c>
      <c r="C926">
        <f>Prices!C926</f>
        <v/>
      </c>
      <c r="D926">
        <f>Prices!D926</f>
        <v/>
      </c>
      <c r="E926">
        <f>Prices!E926</f>
        <v/>
      </c>
      <c r="F926">
        <f>Prices!F926</f>
        <v/>
      </c>
      <c r="G926">
        <f>IF(AND(924&gt;=16,TEXT(A926,"yyyy-mm")&lt;&gt;TEXT(A927,"yyyy-mm")),1,0)</f>
        <v/>
      </c>
      <c r="H926">
        <f>IF(OR(H925=1,G926=1),1,0)</f>
        <v/>
      </c>
      <c r="I926">
        <f>IF(H925=0,1,SUMPRODUCT(J925:N925,B926:F926)+O925*(1+0.00023125256064071564))</f>
        <v/>
      </c>
      <c r="J926">
        <f>IF(G926=1,0.2*R926/B926,J925)</f>
        <v/>
      </c>
      <c r="K926">
        <f>IF(G926=1,0.2*R926/C926,K925)</f>
        <v/>
      </c>
      <c r="L926">
        <f>IF(G926=1,0.2*R926/D926,L925)</f>
        <v/>
      </c>
      <c r="M926">
        <f>IF(G926=1,0.2*R926/E926,M925)</f>
        <v/>
      </c>
      <c r="N926">
        <f>IF(G926=1,0.2*R926/F926,N925)</f>
        <v/>
      </c>
      <c r="O926">
        <f>IF(G926=1,R926*(1-1.0),IF(H925=0,1,O925*(1+0.00023125256064071564)))</f>
        <v/>
      </c>
      <c r="P926">
        <f>IF(G926=1,IF(H925=0,1,ABS(0.2-J925*B926/I926)+ABS(0.2-K925*C926/I926)+ABS(0.2-L925*D926/I926)+ABS(0.2-M925*E926/I926)+ABS(0.2-N925*F926/I926)),0)</f>
        <v/>
      </c>
      <c r="Q926">
        <f>P926*0.0015</f>
        <v/>
      </c>
      <c r="R926">
        <f>I926*(1-Q926)</f>
        <v/>
      </c>
      <c r="S926">
        <f>R926/R925-1</f>
        <v/>
      </c>
      <c r="T926">
        <f>MAX(T925,R926)</f>
        <v/>
      </c>
      <c r="U926">
        <f>R926/T926-1</f>
        <v/>
      </c>
      <c r="V926" t="n">
        <v>1.497476523259344</v>
      </c>
      <c r="W926" s="5">
        <f>R926-V926</f>
        <v/>
      </c>
    </row>
    <row r="927">
      <c r="A927" s="3" t="n">
        <v>39799</v>
      </c>
      <c r="B927">
        <f>Prices!B927</f>
        <v/>
      </c>
      <c r="C927">
        <f>Prices!C927</f>
        <v/>
      </c>
      <c r="D927">
        <f>Prices!D927</f>
        <v/>
      </c>
      <c r="E927">
        <f>Prices!E927</f>
        <v/>
      </c>
      <c r="F927">
        <f>Prices!F927</f>
        <v/>
      </c>
      <c r="G927">
        <f>IF(AND(925&gt;=16,TEXT(A927,"yyyy-mm")&lt;&gt;TEXT(A928,"yyyy-mm")),1,0)</f>
        <v/>
      </c>
      <c r="H927">
        <f>IF(OR(H926=1,G927=1),1,0)</f>
        <v/>
      </c>
      <c r="I927">
        <f>IF(H926=0,1,SUMPRODUCT(J926:N926,B927:F927)+O926*(1+0.00023125256064071564))</f>
        <v/>
      </c>
      <c r="J927">
        <f>IF(G927=1,0.2*R927/B927,J926)</f>
        <v/>
      </c>
      <c r="K927">
        <f>IF(G927=1,0.2*R927/C927,K926)</f>
        <v/>
      </c>
      <c r="L927">
        <f>IF(G927=1,0.2*R927/D927,L926)</f>
        <v/>
      </c>
      <c r="M927">
        <f>IF(G927=1,0.2*R927/E927,M926)</f>
        <v/>
      </c>
      <c r="N927">
        <f>IF(G927=1,0.2*R927/F927,N926)</f>
        <v/>
      </c>
      <c r="O927">
        <f>IF(G927=1,R927*(1-1.0),IF(H926=0,1,O926*(1+0.00023125256064071564)))</f>
        <v/>
      </c>
      <c r="P927">
        <f>IF(G927=1,IF(H926=0,1,ABS(0.2-J926*B927/I927)+ABS(0.2-K926*C927/I927)+ABS(0.2-L926*D927/I927)+ABS(0.2-M926*E927/I927)+ABS(0.2-N926*F927/I927)),0)</f>
        <v/>
      </c>
      <c r="Q927">
        <f>P927*0.0015</f>
        <v/>
      </c>
      <c r="R927">
        <f>I927*(1-Q927)</f>
        <v/>
      </c>
      <c r="S927">
        <f>R927/R926-1</f>
        <v/>
      </c>
      <c r="T927">
        <f>MAX(T926,R927)</f>
        <v/>
      </c>
      <c r="U927">
        <f>R927/T927-1</f>
        <v/>
      </c>
      <c r="V927" t="n">
        <v>1.46232230027908</v>
      </c>
      <c r="W927" s="5">
        <f>R927-V927</f>
        <v/>
      </c>
    </row>
    <row r="928">
      <c r="A928" s="3" t="n">
        <v>39800</v>
      </c>
      <c r="B928">
        <f>Prices!B928</f>
        <v/>
      </c>
      <c r="C928">
        <f>Prices!C928</f>
        <v/>
      </c>
      <c r="D928">
        <f>Prices!D928</f>
        <v/>
      </c>
      <c r="E928">
        <f>Prices!E928</f>
        <v/>
      </c>
      <c r="F928">
        <f>Prices!F928</f>
        <v/>
      </c>
      <c r="G928">
        <f>IF(AND(926&gt;=16,TEXT(A928,"yyyy-mm")&lt;&gt;TEXT(A929,"yyyy-mm")),1,0)</f>
        <v/>
      </c>
      <c r="H928">
        <f>IF(OR(H927=1,G928=1),1,0)</f>
        <v/>
      </c>
      <c r="I928">
        <f>IF(H927=0,1,SUMPRODUCT(J927:N927,B928:F928)+O927*(1+0.00023125256064071564))</f>
        <v/>
      </c>
      <c r="J928">
        <f>IF(G928=1,0.2*R928/B928,J927)</f>
        <v/>
      </c>
      <c r="K928">
        <f>IF(G928=1,0.2*R928/C928,K927)</f>
        <v/>
      </c>
      <c r="L928">
        <f>IF(G928=1,0.2*R928/D928,L927)</f>
        <v/>
      </c>
      <c r="M928">
        <f>IF(G928=1,0.2*R928/E928,M927)</f>
        <v/>
      </c>
      <c r="N928">
        <f>IF(G928=1,0.2*R928/F928,N927)</f>
        <v/>
      </c>
      <c r="O928">
        <f>IF(G928=1,R928*(1-1.0),IF(H927=0,1,O927*(1+0.00023125256064071564)))</f>
        <v/>
      </c>
      <c r="P928">
        <f>IF(G928=1,IF(H927=0,1,ABS(0.2-J927*B928/I928)+ABS(0.2-K927*C928/I928)+ABS(0.2-L927*D928/I928)+ABS(0.2-M927*E928/I928)+ABS(0.2-N927*F928/I928)),0)</f>
        <v/>
      </c>
      <c r="Q928">
        <f>P928*0.0015</f>
        <v/>
      </c>
      <c r="R928">
        <f>I928*(1-Q928)</f>
        <v/>
      </c>
      <c r="S928">
        <f>R928/R927-1</f>
        <v/>
      </c>
      <c r="T928">
        <f>MAX(T927,R928)</f>
        <v/>
      </c>
      <c r="U928">
        <f>R928/T928-1</f>
        <v/>
      </c>
      <c r="V928" t="n">
        <v>1.50278113728154</v>
      </c>
      <c r="W928" s="5">
        <f>R928-V928</f>
        <v/>
      </c>
    </row>
    <row r="929">
      <c r="A929" s="3" t="n">
        <v>39801</v>
      </c>
      <c r="B929">
        <f>Prices!B929</f>
        <v/>
      </c>
      <c r="C929">
        <f>Prices!C929</f>
        <v/>
      </c>
      <c r="D929">
        <f>Prices!D929</f>
        <v/>
      </c>
      <c r="E929">
        <f>Prices!E929</f>
        <v/>
      </c>
      <c r="F929">
        <f>Prices!F929</f>
        <v/>
      </c>
      <c r="G929">
        <f>IF(AND(927&gt;=16,TEXT(A929,"yyyy-mm")&lt;&gt;TEXT(A930,"yyyy-mm")),1,0)</f>
        <v/>
      </c>
      <c r="H929">
        <f>IF(OR(H928=1,G929=1),1,0)</f>
        <v/>
      </c>
      <c r="I929">
        <f>IF(H928=0,1,SUMPRODUCT(J928:N928,B929:F929)+O928*(1+0.00023125256064071564))</f>
        <v/>
      </c>
      <c r="J929">
        <f>IF(G929=1,0.2*R929/B929,J928)</f>
        <v/>
      </c>
      <c r="K929">
        <f>IF(G929=1,0.2*R929/C929,K928)</f>
        <v/>
      </c>
      <c r="L929">
        <f>IF(G929=1,0.2*R929/D929,L928)</f>
        <v/>
      </c>
      <c r="M929">
        <f>IF(G929=1,0.2*R929/E929,M928)</f>
        <v/>
      </c>
      <c r="N929">
        <f>IF(G929=1,0.2*R929/F929,N928)</f>
        <v/>
      </c>
      <c r="O929">
        <f>IF(G929=1,R929*(1-1.0),IF(H928=0,1,O928*(1+0.00023125256064071564)))</f>
        <v/>
      </c>
      <c r="P929">
        <f>IF(G929=1,IF(H928=0,1,ABS(0.2-J928*B929/I929)+ABS(0.2-K928*C929/I929)+ABS(0.2-L928*D929/I929)+ABS(0.2-M928*E929/I929)+ABS(0.2-N928*F929/I929)),0)</f>
        <v/>
      </c>
      <c r="Q929">
        <f>P929*0.0015</f>
        <v/>
      </c>
      <c r="R929">
        <f>I929*(1-Q929)</f>
        <v/>
      </c>
      <c r="S929">
        <f>R929/R928-1</f>
        <v/>
      </c>
      <c r="T929">
        <f>MAX(T928,R929)</f>
        <v/>
      </c>
      <c r="U929">
        <f>R929/T929-1</f>
        <v/>
      </c>
      <c r="V929" t="n">
        <v>1.52291550060096</v>
      </c>
      <c r="W929" s="5">
        <f>R929-V929</f>
        <v/>
      </c>
    </row>
    <row r="930">
      <c r="A930" s="3" t="n">
        <v>39804</v>
      </c>
      <c r="B930">
        <f>Prices!B930</f>
        <v/>
      </c>
      <c r="C930">
        <f>Prices!C930</f>
        <v/>
      </c>
      <c r="D930">
        <f>Prices!D930</f>
        <v/>
      </c>
      <c r="E930">
        <f>Prices!E930</f>
        <v/>
      </c>
      <c r="F930">
        <f>Prices!F930</f>
        <v/>
      </c>
      <c r="G930">
        <f>IF(AND(928&gt;=16,TEXT(A930,"yyyy-mm")&lt;&gt;TEXT(A931,"yyyy-mm")),1,0)</f>
        <v/>
      </c>
      <c r="H930">
        <f>IF(OR(H929=1,G930=1),1,0)</f>
        <v/>
      </c>
      <c r="I930">
        <f>IF(H929=0,1,SUMPRODUCT(J929:N929,B930:F930)+O929*(1+0.00023125256064071564))</f>
        <v/>
      </c>
      <c r="J930">
        <f>IF(G930=1,0.2*R930/B930,J929)</f>
        <v/>
      </c>
      <c r="K930">
        <f>IF(G930=1,0.2*R930/C930,K929)</f>
        <v/>
      </c>
      <c r="L930">
        <f>IF(G930=1,0.2*R930/D930,L929)</f>
        <v/>
      </c>
      <c r="M930">
        <f>IF(G930=1,0.2*R930/E930,M929)</f>
        <v/>
      </c>
      <c r="N930">
        <f>IF(G930=1,0.2*R930/F930,N929)</f>
        <v/>
      </c>
      <c r="O930">
        <f>IF(G930=1,R930*(1-1.0),IF(H929=0,1,O929*(1+0.00023125256064071564)))</f>
        <v/>
      </c>
      <c r="P930">
        <f>IF(G930=1,IF(H929=0,1,ABS(0.2-J929*B930/I930)+ABS(0.2-K929*C930/I930)+ABS(0.2-L929*D930/I930)+ABS(0.2-M929*E930/I930)+ABS(0.2-N929*F930/I930)),0)</f>
        <v/>
      </c>
      <c r="Q930">
        <f>P930*0.0015</f>
        <v/>
      </c>
      <c r="R930">
        <f>I930*(1-Q930)</f>
        <v/>
      </c>
      <c r="S930">
        <f>R930/R929-1</f>
        <v/>
      </c>
      <c r="T930">
        <f>MAX(T929,R930)</f>
        <v/>
      </c>
      <c r="U930">
        <f>R930/T930-1</f>
        <v/>
      </c>
      <c r="V930" t="n">
        <v>1.511654549121213</v>
      </c>
      <c r="W930" s="5">
        <f>R930-V930</f>
        <v/>
      </c>
    </row>
    <row r="931">
      <c r="A931" s="3" t="n">
        <v>39805</v>
      </c>
      <c r="B931">
        <f>Prices!B931</f>
        <v/>
      </c>
      <c r="C931">
        <f>Prices!C931</f>
        <v/>
      </c>
      <c r="D931">
        <f>Prices!D931</f>
        <v/>
      </c>
      <c r="E931">
        <f>Prices!E931</f>
        <v/>
      </c>
      <c r="F931">
        <f>Prices!F931</f>
        <v/>
      </c>
      <c r="G931">
        <f>IF(AND(929&gt;=16,TEXT(A931,"yyyy-mm")&lt;&gt;TEXT(A932,"yyyy-mm")),1,0)</f>
        <v/>
      </c>
      <c r="H931">
        <f>IF(OR(H930=1,G931=1),1,0)</f>
        <v/>
      </c>
      <c r="I931">
        <f>IF(H930=0,1,SUMPRODUCT(J930:N930,B931:F931)+O930*(1+0.00023125256064071564))</f>
        <v/>
      </c>
      <c r="J931">
        <f>IF(G931=1,0.2*R931/B931,J930)</f>
        <v/>
      </c>
      <c r="K931">
        <f>IF(G931=1,0.2*R931/C931,K930)</f>
        <v/>
      </c>
      <c r="L931">
        <f>IF(G931=1,0.2*R931/D931,L930)</f>
        <v/>
      </c>
      <c r="M931">
        <f>IF(G931=1,0.2*R931/E931,M930)</f>
        <v/>
      </c>
      <c r="N931">
        <f>IF(G931=1,0.2*R931/F931,N930)</f>
        <v/>
      </c>
      <c r="O931">
        <f>IF(G931=1,R931*(1-1.0),IF(H930=0,1,O930*(1+0.00023125256064071564)))</f>
        <v/>
      </c>
      <c r="P931">
        <f>IF(G931=1,IF(H930=0,1,ABS(0.2-J930*B931/I931)+ABS(0.2-K930*C931/I931)+ABS(0.2-L930*D931/I931)+ABS(0.2-M930*E931/I931)+ABS(0.2-N930*F931/I931)),0)</f>
        <v/>
      </c>
      <c r="Q931">
        <f>P931*0.0015</f>
        <v/>
      </c>
      <c r="R931">
        <f>I931*(1-Q931)</f>
        <v/>
      </c>
      <c r="S931">
        <f>R931/R930-1</f>
        <v/>
      </c>
      <c r="T931">
        <f>MAX(T930,R931)</f>
        <v/>
      </c>
      <c r="U931">
        <f>R931/T931-1</f>
        <v/>
      </c>
      <c r="V931" t="n">
        <v>1.481882022472881</v>
      </c>
      <c r="W931" s="5">
        <f>R931-V931</f>
        <v/>
      </c>
    </row>
    <row r="932">
      <c r="A932" s="3" t="n">
        <v>39806</v>
      </c>
      <c r="B932">
        <f>Prices!B932</f>
        <v/>
      </c>
      <c r="C932">
        <f>Prices!C932</f>
        <v/>
      </c>
      <c r="D932">
        <f>Prices!D932</f>
        <v/>
      </c>
      <c r="E932">
        <f>Prices!E932</f>
        <v/>
      </c>
      <c r="F932">
        <f>Prices!F932</f>
        <v/>
      </c>
      <c r="G932">
        <f>IF(AND(930&gt;=16,TEXT(A932,"yyyy-mm")&lt;&gt;TEXT(A933,"yyyy-mm")),1,0)</f>
        <v/>
      </c>
      <c r="H932">
        <f>IF(OR(H931=1,G932=1),1,0)</f>
        <v/>
      </c>
      <c r="I932">
        <f>IF(H931=0,1,SUMPRODUCT(J931:N931,B932:F932)+O931*(1+0.00023125256064071564))</f>
        <v/>
      </c>
      <c r="J932">
        <f>IF(G932=1,0.2*R932/B932,J931)</f>
        <v/>
      </c>
      <c r="K932">
        <f>IF(G932=1,0.2*R932/C932,K931)</f>
        <v/>
      </c>
      <c r="L932">
        <f>IF(G932=1,0.2*R932/D932,L931)</f>
        <v/>
      </c>
      <c r="M932">
        <f>IF(G932=1,0.2*R932/E932,M931)</f>
        <v/>
      </c>
      <c r="N932">
        <f>IF(G932=1,0.2*R932/F932,N931)</f>
        <v/>
      </c>
      <c r="O932">
        <f>IF(G932=1,R932*(1-1.0),IF(H931=0,1,O931*(1+0.00023125256064071564)))</f>
        <v/>
      </c>
      <c r="P932">
        <f>IF(G932=1,IF(H931=0,1,ABS(0.2-J931*B932/I932)+ABS(0.2-K931*C932/I932)+ABS(0.2-L931*D932/I932)+ABS(0.2-M931*E932/I932)+ABS(0.2-N931*F932/I932)),0)</f>
        <v/>
      </c>
      <c r="Q932">
        <f>P932*0.0015</f>
        <v/>
      </c>
      <c r="R932">
        <f>I932*(1-Q932)</f>
        <v/>
      </c>
      <c r="S932">
        <f>R932/R931-1</f>
        <v/>
      </c>
      <c r="T932">
        <f>MAX(T931,R932)</f>
        <v/>
      </c>
      <c r="U932">
        <f>R932/T932-1</f>
        <v/>
      </c>
      <c r="V932" t="n">
        <v>1.468058785488578</v>
      </c>
      <c r="W932" s="5">
        <f>R932-V932</f>
        <v/>
      </c>
    </row>
    <row r="933">
      <c r="A933" s="3" t="n">
        <v>39808</v>
      </c>
      <c r="B933">
        <f>Prices!B933</f>
        <v/>
      </c>
      <c r="C933">
        <f>Prices!C933</f>
        <v/>
      </c>
      <c r="D933">
        <f>Prices!D933</f>
        <v/>
      </c>
      <c r="E933">
        <f>Prices!E933</f>
        <v/>
      </c>
      <c r="F933">
        <f>Prices!F933</f>
        <v/>
      </c>
      <c r="G933">
        <f>IF(AND(931&gt;=16,TEXT(A933,"yyyy-mm")&lt;&gt;TEXT(A934,"yyyy-mm")),1,0)</f>
        <v/>
      </c>
      <c r="H933">
        <f>IF(OR(H932=1,G933=1),1,0)</f>
        <v/>
      </c>
      <c r="I933">
        <f>IF(H932=0,1,SUMPRODUCT(J932:N932,B933:F933)+O932*(1+0.00023125256064071564))</f>
        <v/>
      </c>
      <c r="J933">
        <f>IF(G933=1,0.2*R933/B933,J932)</f>
        <v/>
      </c>
      <c r="K933">
        <f>IF(G933=1,0.2*R933/C933,K932)</f>
        <v/>
      </c>
      <c r="L933">
        <f>IF(G933=1,0.2*R933/D933,L932)</f>
        <v/>
      </c>
      <c r="M933">
        <f>IF(G933=1,0.2*R933/E933,M932)</f>
        <v/>
      </c>
      <c r="N933">
        <f>IF(G933=1,0.2*R933/F933,N932)</f>
        <v/>
      </c>
      <c r="O933">
        <f>IF(G933=1,R933*(1-1.0),IF(H932=0,1,O932*(1+0.00023125256064071564)))</f>
        <v/>
      </c>
      <c r="P933">
        <f>IF(G933=1,IF(H932=0,1,ABS(0.2-J932*B933/I933)+ABS(0.2-K932*C933/I933)+ABS(0.2-L932*D933/I933)+ABS(0.2-M932*E933/I933)+ABS(0.2-N932*F933/I933)),0)</f>
        <v/>
      </c>
      <c r="Q933">
        <f>P933*0.0015</f>
        <v/>
      </c>
      <c r="R933">
        <f>I933*(1-Q933)</f>
        <v/>
      </c>
      <c r="S933">
        <f>R933/R932-1</f>
        <v/>
      </c>
      <c r="T933">
        <f>MAX(T932,R933)</f>
        <v/>
      </c>
      <c r="U933">
        <f>R933/T933-1</f>
        <v/>
      </c>
      <c r="V933" t="n">
        <v>1.452047782305095</v>
      </c>
      <c r="W933" s="5">
        <f>R933-V933</f>
        <v/>
      </c>
    </row>
    <row r="934">
      <c r="A934" s="3" t="n">
        <v>39811</v>
      </c>
      <c r="B934">
        <f>Prices!B934</f>
        <v/>
      </c>
      <c r="C934">
        <f>Prices!C934</f>
        <v/>
      </c>
      <c r="D934">
        <f>Prices!D934</f>
        <v/>
      </c>
      <c r="E934">
        <f>Prices!E934</f>
        <v/>
      </c>
      <c r="F934">
        <f>Prices!F934</f>
        <v/>
      </c>
      <c r="G934">
        <f>IF(AND(932&gt;=16,TEXT(A934,"yyyy-mm")&lt;&gt;TEXT(A935,"yyyy-mm")),1,0)</f>
        <v/>
      </c>
      <c r="H934">
        <f>IF(OR(H933=1,G934=1),1,0)</f>
        <v/>
      </c>
      <c r="I934">
        <f>IF(H933=0,1,SUMPRODUCT(J933:N933,B934:F934)+O933*(1+0.00023125256064071564))</f>
        <v/>
      </c>
      <c r="J934">
        <f>IF(G934=1,0.2*R934/B934,J933)</f>
        <v/>
      </c>
      <c r="K934">
        <f>IF(G934=1,0.2*R934/C934,K933)</f>
        <v/>
      </c>
      <c r="L934">
        <f>IF(G934=1,0.2*R934/D934,L933)</f>
        <v/>
      </c>
      <c r="M934">
        <f>IF(G934=1,0.2*R934/E934,M933)</f>
        <v/>
      </c>
      <c r="N934">
        <f>IF(G934=1,0.2*R934/F934,N933)</f>
        <v/>
      </c>
      <c r="O934">
        <f>IF(G934=1,R934*(1-1.0),IF(H933=0,1,O933*(1+0.00023125256064071564)))</f>
        <v/>
      </c>
      <c r="P934">
        <f>IF(G934=1,IF(H933=0,1,ABS(0.2-J933*B934/I934)+ABS(0.2-K933*C934/I934)+ABS(0.2-L933*D934/I934)+ABS(0.2-M933*E934/I934)+ABS(0.2-N933*F934/I934)),0)</f>
        <v/>
      </c>
      <c r="Q934">
        <f>P934*0.0015</f>
        <v/>
      </c>
      <c r="R934">
        <f>I934*(1-Q934)</f>
        <v/>
      </c>
      <c r="S934">
        <f>R934/R933-1</f>
        <v/>
      </c>
      <c r="T934">
        <f>MAX(T933,R934)</f>
        <v/>
      </c>
      <c r="U934">
        <f>R934/T934-1</f>
        <v/>
      </c>
      <c r="V934" t="n">
        <v>1.474670067460717</v>
      </c>
      <c r="W934" s="5">
        <f>R934-V934</f>
        <v/>
      </c>
    </row>
    <row r="935">
      <c r="A935" s="3" t="n">
        <v>39812</v>
      </c>
      <c r="B935">
        <f>Prices!B935</f>
        <v/>
      </c>
      <c r="C935">
        <f>Prices!C935</f>
        <v/>
      </c>
      <c r="D935">
        <f>Prices!D935</f>
        <v/>
      </c>
      <c r="E935">
        <f>Prices!E935</f>
        <v/>
      </c>
      <c r="F935">
        <f>Prices!F935</f>
        <v/>
      </c>
      <c r="G935">
        <f>IF(AND(933&gt;=16,TEXT(A935,"yyyy-mm")&lt;&gt;TEXT(A936,"yyyy-mm")),1,0)</f>
        <v/>
      </c>
      <c r="H935">
        <f>IF(OR(H934=1,G935=1),1,0)</f>
        <v/>
      </c>
      <c r="I935">
        <f>IF(H934=0,1,SUMPRODUCT(J934:N934,B935:F935)+O934*(1+0.00023125256064071564))</f>
        <v/>
      </c>
      <c r="J935">
        <f>IF(G935=1,0.2*R935/B935,J934)</f>
        <v/>
      </c>
      <c r="K935">
        <f>IF(G935=1,0.2*R935/C935,K934)</f>
        <v/>
      </c>
      <c r="L935">
        <f>IF(G935=1,0.2*R935/D935,L934)</f>
        <v/>
      </c>
      <c r="M935">
        <f>IF(G935=1,0.2*R935/E935,M934)</f>
        <v/>
      </c>
      <c r="N935">
        <f>IF(G935=1,0.2*R935/F935,N934)</f>
        <v/>
      </c>
      <c r="O935">
        <f>IF(G935=1,R935*(1-1.0),IF(H934=0,1,O934*(1+0.00023125256064071564)))</f>
        <v/>
      </c>
      <c r="P935">
        <f>IF(G935=1,IF(H934=0,1,ABS(0.2-J934*B935/I935)+ABS(0.2-K934*C935/I935)+ABS(0.2-L934*D935/I935)+ABS(0.2-M934*E935/I935)+ABS(0.2-N934*F935/I935)),0)</f>
        <v/>
      </c>
      <c r="Q935">
        <f>P935*0.0015</f>
        <v/>
      </c>
      <c r="R935">
        <f>I935*(1-Q935)</f>
        <v/>
      </c>
      <c r="S935">
        <f>R935/R934-1</f>
        <v/>
      </c>
      <c r="T935">
        <f>MAX(T934,R935)</f>
        <v/>
      </c>
      <c r="U935">
        <f>R935/T935-1</f>
        <v/>
      </c>
      <c r="V935" t="n">
        <v>1.500257374851602</v>
      </c>
      <c r="W935" s="5">
        <f>R935-V935</f>
        <v/>
      </c>
    </row>
    <row r="936">
      <c r="A936" s="3" t="n">
        <v>39813</v>
      </c>
      <c r="B936">
        <f>Prices!B936</f>
        <v/>
      </c>
      <c r="C936">
        <f>Prices!C936</f>
        <v/>
      </c>
      <c r="D936">
        <f>Prices!D936</f>
        <v/>
      </c>
      <c r="E936">
        <f>Prices!E936</f>
        <v/>
      </c>
      <c r="F936">
        <f>Prices!F936</f>
        <v/>
      </c>
      <c r="G936">
        <f>IF(AND(934&gt;=16,TEXT(A936,"yyyy-mm")&lt;&gt;TEXT(A937,"yyyy-mm")),1,0)</f>
        <v/>
      </c>
      <c r="H936">
        <f>IF(OR(H935=1,G936=1),1,0)</f>
        <v/>
      </c>
      <c r="I936">
        <f>IF(H935=0,1,SUMPRODUCT(J935:N935,B936:F936)+O935*(1+0.00023125256064071564))</f>
        <v/>
      </c>
      <c r="J936">
        <f>IF(G936=1,0.2*R936/B936,J935)</f>
        <v/>
      </c>
      <c r="K936">
        <f>IF(G936=1,0.2*R936/C936,K935)</f>
        <v/>
      </c>
      <c r="L936">
        <f>IF(G936=1,0.2*R936/D936,L935)</f>
        <v/>
      </c>
      <c r="M936">
        <f>IF(G936=1,0.2*R936/E936,M935)</f>
        <v/>
      </c>
      <c r="N936">
        <f>IF(G936=1,0.2*R936/F936,N935)</f>
        <v/>
      </c>
      <c r="O936">
        <f>IF(G936=1,R936*(1-1.0),IF(H935=0,1,O935*(1+0.00023125256064071564)))</f>
        <v/>
      </c>
      <c r="P936">
        <f>IF(G936=1,IF(H935=0,1,ABS(0.2-J935*B936/I936)+ABS(0.2-K935*C936/I936)+ABS(0.2-L935*D936/I936)+ABS(0.2-M935*E936/I936)+ABS(0.2-N935*F936/I936)),0)</f>
        <v/>
      </c>
      <c r="Q936">
        <f>P936*0.0015</f>
        <v/>
      </c>
      <c r="R936">
        <f>I936*(1-Q936)</f>
        <v/>
      </c>
      <c r="S936">
        <f>R936/R935-1</f>
        <v/>
      </c>
      <c r="T936">
        <f>MAX(T935,R936)</f>
        <v/>
      </c>
      <c r="U936">
        <f>R936/T936-1</f>
        <v/>
      </c>
      <c r="V936" t="n">
        <v>1.502031042290416</v>
      </c>
      <c r="W936" s="5">
        <f>R936-V936</f>
        <v/>
      </c>
    </row>
    <row r="937">
      <c r="A937" s="3" t="n">
        <v>39814</v>
      </c>
      <c r="B937">
        <f>Prices!B937</f>
        <v/>
      </c>
      <c r="C937">
        <f>Prices!C937</f>
        <v/>
      </c>
      <c r="D937">
        <f>Prices!D937</f>
        <v/>
      </c>
      <c r="E937">
        <f>Prices!E937</f>
        <v/>
      </c>
      <c r="F937">
        <f>Prices!F937</f>
        <v/>
      </c>
      <c r="G937">
        <f>IF(AND(935&gt;=16,TEXT(A937,"yyyy-mm")&lt;&gt;TEXT(A938,"yyyy-mm")),1,0)</f>
        <v/>
      </c>
      <c r="H937">
        <f>IF(OR(H936=1,G937=1),1,0)</f>
        <v/>
      </c>
      <c r="I937">
        <f>IF(H936=0,1,SUMPRODUCT(J936:N936,B937:F937)+O936*(1+0.00023125256064071564))</f>
        <v/>
      </c>
      <c r="J937">
        <f>IF(G937=1,0.2*R937/B937,J936)</f>
        <v/>
      </c>
      <c r="K937">
        <f>IF(G937=1,0.2*R937/C937,K936)</f>
        <v/>
      </c>
      <c r="L937">
        <f>IF(G937=1,0.2*R937/D937,L936)</f>
        <v/>
      </c>
      <c r="M937">
        <f>IF(G937=1,0.2*R937/E937,M936)</f>
        <v/>
      </c>
      <c r="N937">
        <f>IF(G937=1,0.2*R937/F937,N936)</f>
        <v/>
      </c>
      <c r="O937">
        <f>IF(G937=1,R937*(1-1.0),IF(H936=0,1,O936*(1+0.00023125256064071564)))</f>
        <v/>
      </c>
      <c r="P937">
        <f>IF(G937=1,IF(H936=0,1,ABS(0.2-J936*B937/I937)+ABS(0.2-K936*C937/I937)+ABS(0.2-L936*D937/I937)+ABS(0.2-M936*E937/I937)+ABS(0.2-N936*F937/I937)),0)</f>
        <v/>
      </c>
      <c r="Q937">
        <f>P937*0.0015</f>
        <v/>
      </c>
      <c r="R937">
        <f>I937*(1-Q937)</f>
        <v/>
      </c>
      <c r="S937">
        <f>R937/R936-1</f>
        <v/>
      </c>
      <c r="T937">
        <f>MAX(T936,R937)</f>
        <v/>
      </c>
      <c r="U937">
        <f>R937/T937-1</f>
        <v/>
      </c>
      <c r="V937" t="n">
        <v>1.526107293521635</v>
      </c>
      <c r="W937" s="5">
        <f>R937-V937</f>
        <v/>
      </c>
    </row>
    <row r="938">
      <c r="A938" s="3" t="n">
        <v>39815</v>
      </c>
      <c r="B938">
        <f>Prices!B938</f>
        <v/>
      </c>
      <c r="C938">
        <f>Prices!C938</f>
        <v/>
      </c>
      <c r="D938">
        <f>Prices!D938</f>
        <v/>
      </c>
      <c r="E938">
        <f>Prices!E938</f>
        <v/>
      </c>
      <c r="F938">
        <f>Prices!F938</f>
        <v/>
      </c>
      <c r="G938">
        <f>IF(AND(936&gt;=16,TEXT(A938,"yyyy-mm")&lt;&gt;TEXT(A939,"yyyy-mm")),1,0)</f>
        <v/>
      </c>
      <c r="H938">
        <f>IF(OR(H937=1,G938=1),1,0)</f>
        <v/>
      </c>
      <c r="I938">
        <f>IF(H937=0,1,SUMPRODUCT(J937:N937,B938:F938)+O937*(1+0.00023125256064071564))</f>
        <v/>
      </c>
      <c r="J938">
        <f>IF(G938=1,0.2*R938/B938,J937)</f>
        <v/>
      </c>
      <c r="K938">
        <f>IF(G938=1,0.2*R938/C938,K937)</f>
        <v/>
      </c>
      <c r="L938">
        <f>IF(G938=1,0.2*R938/D938,L937)</f>
        <v/>
      </c>
      <c r="M938">
        <f>IF(G938=1,0.2*R938/E938,M937)</f>
        <v/>
      </c>
      <c r="N938">
        <f>IF(G938=1,0.2*R938/F938,N937)</f>
        <v/>
      </c>
      <c r="O938">
        <f>IF(G938=1,R938*(1-1.0),IF(H937=0,1,O937*(1+0.00023125256064071564)))</f>
        <v/>
      </c>
      <c r="P938">
        <f>IF(G938=1,IF(H937=0,1,ABS(0.2-J937*B938/I938)+ABS(0.2-K937*C938/I938)+ABS(0.2-L937*D938/I938)+ABS(0.2-M937*E938/I938)+ABS(0.2-N937*F938/I938)),0)</f>
        <v/>
      </c>
      <c r="Q938">
        <f>P938*0.0015</f>
        <v/>
      </c>
      <c r="R938">
        <f>I938*(1-Q938)</f>
        <v/>
      </c>
      <c r="S938">
        <f>R938/R937-1</f>
        <v/>
      </c>
      <c r="T938">
        <f>MAX(T937,R938)</f>
        <v/>
      </c>
      <c r="U938">
        <f>R938/T938-1</f>
        <v/>
      </c>
      <c r="V938" t="n">
        <v>1.540620318583628</v>
      </c>
      <c r="W938" s="5">
        <f>R938-V938</f>
        <v/>
      </c>
    </row>
    <row r="939">
      <c r="A939" s="3" t="n">
        <v>39818</v>
      </c>
      <c r="B939">
        <f>Prices!B939</f>
        <v/>
      </c>
      <c r="C939">
        <f>Prices!C939</f>
        <v/>
      </c>
      <c r="D939">
        <f>Prices!D939</f>
        <v/>
      </c>
      <c r="E939">
        <f>Prices!E939</f>
        <v/>
      </c>
      <c r="F939">
        <f>Prices!F939</f>
        <v/>
      </c>
      <c r="G939">
        <f>IF(AND(937&gt;=16,TEXT(A939,"yyyy-mm")&lt;&gt;TEXT(A940,"yyyy-mm")),1,0)</f>
        <v/>
      </c>
      <c r="H939">
        <f>IF(OR(H938=1,G939=1),1,0)</f>
        <v/>
      </c>
      <c r="I939">
        <f>IF(H938=0,1,SUMPRODUCT(J938:N938,B939:F939)+O938*(1+0.00023125256064071564))</f>
        <v/>
      </c>
      <c r="J939">
        <f>IF(G939=1,0.2*R939/B939,J938)</f>
        <v/>
      </c>
      <c r="K939">
        <f>IF(G939=1,0.2*R939/C939,K938)</f>
        <v/>
      </c>
      <c r="L939">
        <f>IF(G939=1,0.2*R939/D939,L938)</f>
        <v/>
      </c>
      <c r="M939">
        <f>IF(G939=1,0.2*R939/E939,M938)</f>
        <v/>
      </c>
      <c r="N939">
        <f>IF(G939=1,0.2*R939/F939,N938)</f>
        <v/>
      </c>
      <c r="O939">
        <f>IF(G939=1,R939*(1-1.0),IF(H938=0,1,O938*(1+0.00023125256064071564)))</f>
        <v/>
      </c>
      <c r="P939">
        <f>IF(G939=1,IF(H938=0,1,ABS(0.2-J938*B939/I939)+ABS(0.2-K938*C939/I939)+ABS(0.2-L938*D939/I939)+ABS(0.2-M938*E939/I939)+ABS(0.2-N938*F939/I939)),0)</f>
        <v/>
      </c>
      <c r="Q939">
        <f>P939*0.0015</f>
        <v/>
      </c>
      <c r="R939">
        <f>I939*(1-Q939)</f>
        <v/>
      </c>
      <c r="S939">
        <f>R939/R938-1</f>
        <v/>
      </c>
      <c r="T939">
        <f>MAX(T938,R939)</f>
        <v/>
      </c>
      <c r="U939">
        <f>R939/T939-1</f>
        <v/>
      </c>
      <c r="V939" t="n">
        <v>1.560348756284088</v>
      </c>
      <c r="W939" s="5">
        <f>R939-V939</f>
        <v/>
      </c>
    </row>
    <row r="940">
      <c r="A940" s="3" t="n">
        <v>39819</v>
      </c>
      <c r="B940">
        <f>Prices!B940</f>
        <v/>
      </c>
      <c r="C940">
        <f>Prices!C940</f>
        <v/>
      </c>
      <c r="D940">
        <f>Prices!D940</f>
        <v/>
      </c>
      <c r="E940">
        <f>Prices!E940</f>
        <v/>
      </c>
      <c r="F940">
        <f>Prices!F940</f>
        <v/>
      </c>
      <c r="G940">
        <f>IF(AND(938&gt;=16,TEXT(A940,"yyyy-mm")&lt;&gt;TEXT(A941,"yyyy-mm")),1,0)</f>
        <v/>
      </c>
      <c r="H940">
        <f>IF(OR(H939=1,G940=1),1,0)</f>
        <v/>
      </c>
      <c r="I940">
        <f>IF(H939=0,1,SUMPRODUCT(J939:N939,B940:F940)+O939*(1+0.00023125256064071564))</f>
        <v/>
      </c>
      <c r="J940">
        <f>IF(G940=1,0.2*R940/B940,J939)</f>
        <v/>
      </c>
      <c r="K940">
        <f>IF(G940=1,0.2*R940/C940,K939)</f>
        <v/>
      </c>
      <c r="L940">
        <f>IF(G940=1,0.2*R940/D940,L939)</f>
        <v/>
      </c>
      <c r="M940">
        <f>IF(G940=1,0.2*R940/E940,M939)</f>
        <v/>
      </c>
      <c r="N940">
        <f>IF(G940=1,0.2*R940/F940,N939)</f>
        <v/>
      </c>
      <c r="O940">
        <f>IF(G940=1,R940*(1-1.0),IF(H939=0,1,O939*(1+0.00023125256064071564)))</f>
        <v/>
      </c>
      <c r="P940">
        <f>IF(G940=1,IF(H939=0,1,ABS(0.2-J939*B940/I940)+ABS(0.2-K939*C940/I940)+ABS(0.2-L939*D940/I940)+ABS(0.2-M939*E940/I940)+ABS(0.2-N939*F940/I940)),0)</f>
        <v/>
      </c>
      <c r="Q940">
        <f>P940*0.0015</f>
        <v/>
      </c>
      <c r="R940">
        <f>I940*(1-Q940)</f>
        <v/>
      </c>
      <c r="S940">
        <f>R940/R939-1</f>
        <v/>
      </c>
      <c r="T940">
        <f>MAX(T939,R940)</f>
        <v/>
      </c>
      <c r="U940">
        <f>R940/T940-1</f>
        <v/>
      </c>
      <c r="V940" t="n">
        <v>1.564232199836264</v>
      </c>
      <c r="W940" s="5">
        <f>R940-V940</f>
        <v/>
      </c>
    </row>
    <row r="941">
      <c r="A941" s="3" t="n">
        <v>39820</v>
      </c>
      <c r="B941">
        <f>Prices!B941</f>
        <v/>
      </c>
      <c r="C941">
        <f>Prices!C941</f>
        <v/>
      </c>
      <c r="D941">
        <f>Prices!D941</f>
        <v/>
      </c>
      <c r="E941">
        <f>Prices!E941</f>
        <v/>
      </c>
      <c r="F941">
        <f>Prices!F941</f>
        <v/>
      </c>
      <c r="G941">
        <f>IF(AND(939&gt;=16,TEXT(A941,"yyyy-mm")&lt;&gt;TEXT(A942,"yyyy-mm")),1,0)</f>
        <v/>
      </c>
      <c r="H941">
        <f>IF(OR(H940=1,G941=1),1,0)</f>
        <v/>
      </c>
      <c r="I941">
        <f>IF(H940=0,1,SUMPRODUCT(J940:N940,B941:F941)+O940*(1+0.00023125256064071564))</f>
        <v/>
      </c>
      <c r="J941">
        <f>IF(G941=1,0.2*R941/B941,J940)</f>
        <v/>
      </c>
      <c r="K941">
        <f>IF(G941=1,0.2*R941/C941,K940)</f>
        <v/>
      </c>
      <c r="L941">
        <f>IF(G941=1,0.2*R941/D941,L940)</f>
        <v/>
      </c>
      <c r="M941">
        <f>IF(G941=1,0.2*R941/E941,M940)</f>
        <v/>
      </c>
      <c r="N941">
        <f>IF(G941=1,0.2*R941/F941,N940)</f>
        <v/>
      </c>
      <c r="O941">
        <f>IF(G941=1,R941*(1-1.0),IF(H940=0,1,O940*(1+0.00023125256064071564)))</f>
        <v/>
      </c>
      <c r="P941">
        <f>IF(G941=1,IF(H940=0,1,ABS(0.2-J940*B941/I941)+ABS(0.2-K940*C941/I941)+ABS(0.2-L940*D941/I941)+ABS(0.2-M940*E941/I941)+ABS(0.2-N940*F941/I941)),0)</f>
        <v/>
      </c>
      <c r="Q941">
        <f>P941*0.0015</f>
        <v/>
      </c>
      <c r="R941">
        <f>I941*(1-Q941)</f>
        <v/>
      </c>
      <c r="S941">
        <f>R941/R940-1</f>
        <v/>
      </c>
      <c r="T941">
        <f>MAX(T940,R941)</f>
        <v/>
      </c>
      <c r="U941">
        <f>R941/T941-1</f>
        <v/>
      </c>
      <c r="V941" t="n">
        <v>1.498514024300881</v>
      </c>
      <c r="W941" s="5">
        <f>R941-V941</f>
        <v/>
      </c>
    </row>
    <row r="942">
      <c r="A942" s="3" t="n">
        <v>39822</v>
      </c>
      <c r="B942">
        <f>Prices!B942</f>
        <v/>
      </c>
      <c r="C942">
        <f>Prices!C942</f>
        <v/>
      </c>
      <c r="D942">
        <f>Prices!D942</f>
        <v/>
      </c>
      <c r="E942">
        <f>Prices!E942</f>
        <v/>
      </c>
      <c r="F942">
        <f>Prices!F942</f>
        <v/>
      </c>
      <c r="G942">
        <f>IF(AND(940&gt;=16,TEXT(A942,"yyyy-mm")&lt;&gt;TEXT(A943,"yyyy-mm")),1,0)</f>
        <v/>
      </c>
      <c r="H942">
        <f>IF(OR(H941=1,G942=1),1,0)</f>
        <v/>
      </c>
      <c r="I942">
        <f>IF(H941=0,1,SUMPRODUCT(J941:N941,B942:F942)+O941*(1+0.00023125256064071564))</f>
        <v/>
      </c>
      <c r="J942">
        <f>IF(G942=1,0.2*R942/B942,J941)</f>
        <v/>
      </c>
      <c r="K942">
        <f>IF(G942=1,0.2*R942/C942,K941)</f>
        <v/>
      </c>
      <c r="L942">
        <f>IF(G942=1,0.2*R942/D942,L941)</f>
        <v/>
      </c>
      <c r="M942">
        <f>IF(G942=1,0.2*R942/E942,M941)</f>
        <v/>
      </c>
      <c r="N942">
        <f>IF(G942=1,0.2*R942/F942,N941)</f>
        <v/>
      </c>
      <c r="O942">
        <f>IF(G942=1,R942*(1-1.0),IF(H941=0,1,O941*(1+0.00023125256064071564)))</f>
        <v/>
      </c>
      <c r="P942">
        <f>IF(G942=1,IF(H941=0,1,ABS(0.2-J941*B942/I942)+ABS(0.2-K941*C942/I942)+ABS(0.2-L941*D942/I942)+ABS(0.2-M941*E942/I942)+ABS(0.2-N941*F942/I942)),0)</f>
        <v/>
      </c>
      <c r="Q942">
        <f>P942*0.0015</f>
        <v/>
      </c>
      <c r="R942">
        <f>I942*(1-Q942)</f>
        <v/>
      </c>
      <c r="S942">
        <f>R942/R941-1</f>
        <v/>
      </c>
      <c r="T942">
        <f>MAX(T941,R942)</f>
        <v/>
      </c>
      <c r="U942">
        <f>R942/T942-1</f>
        <v/>
      </c>
      <c r="V942" t="n">
        <v>1.488924216550267</v>
      </c>
      <c r="W942" s="5">
        <f>R942-V942</f>
        <v/>
      </c>
    </row>
    <row r="943">
      <c r="A943" s="3" t="n">
        <v>39825</v>
      </c>
      <c r="B943">
        <f>Prices!B943</f>
        <v/>
      </c>
      <c r="C943">
        <f>Prices!C943</f>
        <v/>
      </c>
      <c r="D943">
        <f>Prices!D943</f>
        <v/>
      </c>
      <c r="E943">
        <f>Prices!E943</f>
        <v/>
      </c>
      <c r="F943">
        <f>Prices!F943</f>
        <v/>
      </c>
      <c r="G943">
        <f>IF(AND(941&gt;=16,TEXT(A943,"yyyy-mm")&lt;&gt;TEXT(A944,"yyyy-mm")),1,0)</f>
        <v/>
      </c>
      <c r="H943">
        <f>IF(OR(H942=1,G943=1),1,0)</f>
        <v/>
      </c>
      <c r="I943">
        <f>IF(H942=0,1,SUMPRODUCT(J942:N942,B943:F943)+O942*(1+0.00023125256064071564))</f>
        <v/>
      </c>
      <c r="J943">
        <f>IF(G943=1,0.2*R943/B943,J942)</f>
        <v/>
      </c>
      <c r="K943">
        <f>IF(G943=1,0.2*R943/C943,K942)</f>
        <v/>
      </c>
      <c r="L943">
        <f>IF(G943=1,0.2*R943/D943,L942)</f>
        <v/>
      </c>
      <c r="M943">
        <f>IF(G943=1,0.2*R943/E943,M942)</f>
        <v/>
      </c>
      <c r="N943">
        <f>IF(G943=1,0.2*R943/F943,N942)</f>
        <v/>
      </c>
      <c r="O943">
        <f>IF(G943=1,R943*(1-1.0),IF(H942=0,1,O942*(1+0.00023125256064071564)))</f>
        <v/>
      </c>
      <c r="P943">
        <f>IF(G943=1,IF(H942=0,1,ABS(0.2-J942*B943/I943)+ABS(0.2-K942*C943/I943)+ABS(0.2-L942*D943/I943)+ABS(0.2-M942*E943/I943)+ABS(0.2-N942*F943/I943)),0)</f>
        <v/>
      </c>
      <c r="Q943">
        <f>P943*0.0015</f>
        <v/>
      </c>
      <c r="R943">
        <f>I943*(1-Q943)</f>
        <v/>
      </c>
      <c r="S943">
        <f>R943/R942-1</f>
        <v/>
      </c>
      <c r="T943">
        <f>MAX(T942,R943)</f>
        <v/>
      </c>
      <c r="U943">
        <f>R943/T943-1</f>
        <v/>
      </c>
      <c r="V943" t="n">
        <v>1.456267915153295</v>
      </c>
      <c r="W943" s="5">
        <f>R943-V943</f>
        <v/>
      </c>
    </row>
    <row r="944">
      <c r="A944" s="3" t="n">
        <v>39826</v>
      </c>
      <c r="B944">
        <f>Prices!B944</f>
        <v/>
      </c>
      <c r="C944">
        <f>Prices!C944</f>
        <v/>
      </c>
      <c r="D944">
        <f>Prices!D944</f>
        <v/>
      </c>
      <c r="E944">
        <f>Prices!E944</f>
        <v/>
      </c>
      <c r="F944">
        <f>Prices!F944</f>
        <v/>
      </c>
      <c r="G944">
        <f>IF(AND(942&gt;=16,TEXT(A944,"yyyy-mm")&lt;&gt;TEXT(A945,"yyyy-mm")),1,0)</f>
        <v/>
      </c>
      <c r="H944">
        <f>IF(OR(H943=1,G944=1),1,0)</f>
        <v/>
      </c>
      <c r="I944">
        <f>IF(H943=0,1,SUMPRODUCT(J943:N943,B944:F944)+O943*(1+0.00023125256064071564))</f>
        <v/>
      </c>
      <c r="J944">
        <f>IF(G944=1,0.2*R944/B944,J943)</f>
        <v/>
      </c>
      <c r="K944">
        <f>IF(G944=1,0.2*R944/C944,K943)</f>
        <v/>
      </c>
      <c r="L944">
        <f>IF(G944=1,0.2*R944/D944,L943)</f>
        <v/>
      </c>
      <c r="M944">
        <f>IF(G944=1,0.2*R944/E944,M943)</f>
        <v/>
      </c>
      <c r="N944">
        <f>IF(G944=1,0.2*R944/F944,N943)</f>
        <v/>
      </c>
      <c r="O944">
        <f>IF(G944=1,R944*(1-1.0),IF(H943=0,1,O943*(1+0.00023125256064071564)))</f>
        <v/>
      </c>
      <c r="P944">
        <f>IF(G944=1,IF(H943=0,1,ABS(0.2-J943*B944/I944)+ABS(0.2-K943*C944/I944)+ABS(0.2-L943*D944/I944)+ABS(0.2-M943*E944/I944)+ABS(0.2-N943*F944/I944)),0)</f>
        <v/>
      </c>
      <c r="Q944">
        <f>P944*0.0015</f>
        <v/>
      </c>
      <c r="R944">
        <f>I944*(1-Q944)</f>
        <v/>
      </c>
      <c r="S944">
        <f>R944/R943-1</f>
        <v/>
      </c>
      <c r="T944">
        <f>MAX(T943,R944)</f>
        <v/>
      </c>
      <c r="U944">
        <f>R944/T944-1</f>
        <v/>
      </c>
      <c r="V944" t="n">
        <v>1.450692596324354</v>
      </c>
      <c r="W944" s="5">
        <f>R944-V944</f>
        <v/>
      </c>
    </row>
    <row r="945">
      <c r="A945" s="3" t="n">
        <v>39827</v>
      </c>
      <c r="B945">
        <f>Prices!B945</f>
        <v/>
      </c>
      <c r="C945">
        <f>Prices!C945</f>
        <v/>
      </c>
      <c r="D945">
        <f>Prices!D945</f>
        <v/>
      </c>
      <c r="E945">
        <f>Prices!E945</f>
        <v/>
      </c>
      <c r="F945">
        <f>Prices!F945</f>
        <v/>
      </c>
      <c r="G945">
        <f>IF(AND(943&gt;=16,TEXT(A945,"yyyy-mm")&lt;&gt;TEXT(A946,"yyyy-mm")),1,0)</f>
        <v/>
      </c>
      <c r="H945">
        <f>IF(OR(H944=1,G945=1),1,0)</f>
        <v/>
      </c>
      <c r="I945">
        <f>IF(H944=0,1,SUMPRODUCT(J944:N944,B945:F945)+O944*(1+0.00023125256064071564))</f>
        <v/>
      </c>
      <c r="J945">
        <f>IF(G945=1,0.2*R945/B945,J944)</f>
        <v/>
      </c>
      <c r="K945">
        <f>IF(G945=1,0.2*R945/C945,K944)</f>
        <v/>
      </c>
      <c r="L945">
        <f>IF(G945=1,0.2*R945/D945,L944)</f>
        <v/>
      </c>
      <c r="M945">
        <f>IF(G945=1,0.2*R945/E945,M944)</f>
        <v/>
      </c>
      <c r="N945">
        <f>IF(G945=1,0.2*R945/F945,N944)</f>
        <v/>
      </c>
      <c r="O945">
        <f>IF(G945=1,R945*(1-1.0),IF(H944=0,1,O944*(1+0.00023125256064071564)))</f>
        <v/>
      </c>
      <c r="P945">
        <f>IF(G945=1,IF(H944=0,1,ABS(0.2-J944*B945/I945)+ABS(0.2-K944*C945/I945)+ABS(0.2-L944*D945/I945)+ABS(0.2-M944*E945/I945)+ABS(0.2-N944*F945/I945)),0)</f>
        <v/>
      </c>
      <c r="Q945">
        <f>P945*0.0015</f>
        <v/>
      </c>
      <c r="R945">
        <f>I945*(1-Q945)</f>
        <v/>
      </c>
      <c r="S945">
        <f>R945/R944-1</f>
        <v/>
      </c>
      <c r="T945">
        <f>MAX(T944,R945)</f>
        <v/>
      </c>
      <c r="U945">
        <f>R945/T945-1</f>
        <v/>
      </c>
      <c r="V945" t="n">
        <v>1.479007476609481</v>
      </c>
      <c r="W945" s="5">
        <f>R945-V945</f>
        <v/>
      </c>
    </row>
    <row r="946">
      <c r="A946" s="3" t="n">
        <v>39828</v>
      </c>
      <c r="B946">
        <f>Prices!B946</f>
        <v/>
      </c>
      <c r="C946">
        <f>Prices!C946</f>
        <v/>
      </c>
      <c r="D946">
        <f>Prices!D946</f>
        <v/>
      </c>
      <c r="E946">
        <f>Prices!E946</f>
        <v/>
      </c>
      <c r="F946">
        <f>Prices!F946</f>
        <v/>
      </c>
      <c r="G946">
        <f>IF(AND(944&gt;=16,TEXT(A946,"yyyy-mm")&lt;&gt;TEXT(A947,"yyyy-mm")),1,0)</f>
        <v/>
      </c>
      <c r="H946">
        <f>IF(OR(H945=1,G946=1),1,0)</f>
        <v/>
      </c>
      <c r="I946">
        <f>IF(H945=0,1,SUMPRODUCT(J945:N945,B946:F946)+O945*(1+0.00023125256064071564))</f>
        <v/>
      </c>
      <c r="J946">
        <f>IF(G946=1,0.2*R946/B946,J945)</f>
        <v/>
      </c>
      <c r="K946">
        <f>IF(G946=1,0.2*R946/C946,K945)</f>
        <v/>
      </c>
      <c r="L946">
        <f>IF(G946=1,0.2*R946/D946,L945)</f>
        <v/>
      </c>
      <c r="M946">
        <f>IF(G946=1,0.2*R946/E946,M945)</f>
        <v/>
      </c>
      <c r="N946">
        <f>IF(G946=1,0.2*R946/F946,N945)</f>
        <v/>
      </c>
      <c r="O946">
        <f>IF(G946=1,R946*(1-1.0),IF(H945=0,1,O945*(1+0.00023125256064071564)))</f>
        <v/>
      </c>
      <c r="P946">
        <f>IF(G946=1,IF(H945=0,1,ABS(0.2-J945*B946/I946)+ABS(0.2-K945*C946/I946)+ABS(0.2-L945*D946/I946)+ABS(0.2-M945*E946/I946)+ABS(0.2-N945*F946/I946)),0)</f>
        <v/>
      </c>
      <c r="Q946">
        <f>P946*0.0015</f>
        <v/>
      </c>
      <c r="R946">
        <f>I946*(1-Q946)</f>
        <v/>
      </c>
      <c r="S946">
        <f>R946/R945-1</f>
        <v/>
      </c>
      <c r="T946">
        <f>MAX(T945,R946)</f>
        <v/>
      </c>
      <c r="U946">
        <f>R946/T946-1</f>
        <v/>
      </c>
      <c r="V946" t="n">
        <v>1.450361822970273</v>
      </c>
      <c r="W946" s="5">
        <f>R946-V946</f>
        <v/>
      </c>
    </row>
    <row r="947">
      <c r="A947" s="3" t="n">
        <v>39829</v>
      </c>
      <c r="B947">
        <f>Prices!B947</f>
        <v/>
      </c>
      <c r="C947">
        <f>Prices!C947</f>
        <v/>
      </c>
      <c r="D947">
        <f>Prices!D947</f>
        <v/>
      </c>
      <c r="E947">
        <f>Prices!E947</f>
        <v/>
      </c>
      <c r="F947">
        <f>Prices!F947</f>
        <v/>
      </c>
      <c r="G947">
        <f>IF(AND(945&gt;=16,TEXT(A947,"yyyy-mm")&lt;&gt;TEXT(A948,"yyyy-mm")),1,0)</f>
        <v/>
      </c>
      <c r="H947">
        <f>IF(OR(H946=1,G947=1),1,0)</f>
        <v/>
      </c>
      <c r="I947">
        <f>IF(H946=0,1,SUMPRODUCT(J946:N946,B947:F947)+O946*(1+0.00023125256064071564))</f>
        <v/>
      </c>
      <c r="J947">
        <f>IF(G947=1,0.2*R947/B947,J946)</f>
        <v/>
      </c>
      <c r="K947">
        <f>IF(G947=1,0.2*R947/C947,K946)</f>
        <v/>
      </c>
      <c r="L947">
        <f>IF(G947=1,0.2*R947/D947,L946)</f>
        <v/>
      </c>
      <c r="M947">
        <f>IF(G947=1,0.2*R947/E947,M946)</f>
        <v/>
      </c>
      <c r="N947">
        <f>IF(G947=1,0.2*R947/F947,N946)</f>
        <v/>
      </c>
      <c r="O947">
        <f>IF(G947=1,R947*(1-1.0),IF(H946=0,1,O946*(1+0.00023125256064071564)))</f>
        <v/>
      </c>
      <c r="P947">
        <f>IF(G947=1,IF(H946=0,1,ABS(0.2-J946*B947/I947)+ABS(0.2-K946*C947/I947)+ABS(0.2-L946*D947/I947)+ABS(0.2-M946*E947/I947)+ABS(0.2-N946*F947/I947)),0)</f>
        <v/>
      </c>
      <c r="Q947">
        <f>P947*0.0015</f>
        <v/>
      </c>
      <c r="R947">
        <f>I947*(1-Q947)</f>
        <v/>
      </c>
      <c r="S947">
        <f>R947/R946-1</f>
        <v/>
      </c>
      <c r="T947">
        <f>MAX(T946,R947)</f>
        <v/>
      </c>
      <c r="U947">
        <f>R947/T947-1</f>
        <v/>
      </c>
      <c r="V947" t="n">
        <v>1.473856384504036</v>
      </c>
      <c r="W947" s="5">
        <f>R947-V947</f>
        <v/>
      </c>
    </row>
    <row r="948">
      <c r="A948" s="3" t="n">
        <v>39832</v>
      </c>
      <c r="B948">
        <f>Prices!B948</f>
        <v/>
      </c>
      <c r="C948">
        <f>Prices!C948</f>
        <v/>
      </c>
      <c r="D948">
        <f>Prices!D948</f>
        <v/>
      </c>
      <c r="E948">
        <f>Prices!E948</f>
        <v/>
      </c>
      <c r="F948">
        <f>Prices!F948</f>
        <v/>
      </c>
      <c r="G948">
        <f>IF(AND(946&gt;=16,TEXT(A948,"yyyy-mm")&lt;&gt;TEXT(A949,"yyyy-mm")),1,0)</f>
        <v/>
      </c>
      <c r="H948">
        <f>IF(OR(H947=1,G948=1),1,0)</f>
        <v/>
      </c>
      <c r="I948">
        <f>IF(H947=0,1,SUMPRODUCT(J947:N947,B948:F948)+O947*(1+0.00023125256064071564))</f>
        <v/>
      </c>
      <c r="J948">
        <f>IF(G948=1,0.2*R948/B948,J947)</f>
        <v/>
      </c>
      <c r="K948">
        <f>IF(G948=1,0.2*R948/C948,K947)</f>
        <v/>
      </c>
      <c r="L948">
        <f>IF(G948=1,0.2*R948/D948,L947)</f>
        <v/>
      </c>
      <c r="M948">
        <f>IF(G948=1,0.2*R948/E948,M947)</f>
        <v/>
      </c>
      <c r="N948">
        <f>IF(G948=1,0.2*R948/F948,N947)</f>
        <v/>
      </c>
      <c r="O948">
        <f>IF(G948=1,R948*(1-1.0),IF(H947=0,1,O947*(1+0.00023125256064071564)))</f>
        <v/>
      </c>
      <c r="P948">
        <f>IF(G948=1,IF(H947=0,1,ABS(0.2-J947*B948/I948)+ABS(0.2-K947*C948/I948)+ABS(0.2-L947*D948/I948)+ABS(0.2-M947*E948/I948)+ABS(0.2-N947*F948/I948)),0)</f>
        <v/>
      </c>
      <c r="Q948">
        <f>P948*0.0015</f>
        <v/>
      </c>
      <c r="R948">
        <f>I948*(1-Q948)</f>
        <v/>
      </c>
      <c r="S948">
        <f>R948/R947-1</f>
        <v/>
      </c>
      <c r="T948">
        <f>MAX(T947,R948)</f>
        <v/>
      </c>
      <c r="U948">
        <f>R948/T948-1</f>
        <v/>
      </c>
      <c r="V948" t="n">
        <v>1.479227956669821</v>
      </c>
      <c r="W948" s="5">
        <f>R948-V948</f>
        <v/>
      </c>
    </row>
    <row r="949">
      <c r="A949" s="3" t="n">
        <v>39833</v>
      </c>
      <c r="B949">
        <f>Prices!B949</f>
        <v/>
      </c>
      <c r="C949">
        <f>Prices!C949</f>
        <v/>
      </c>
      <c r="D949">
        <f>Prices!D949</f>
        <v/>
      </c>
      <c r="E949">
        <f>Prices!E949</f>
        <v/>
      </c>
      <c r="F949">
        <f>Prices!F949</f>
        <v/>
      </c>
      <c r="G949">
        <f>IF(AND(947&gt;=16,TEXT(A949,"yyyy-mm")&lt;&gt;TEXT(A950,"yyyy-mm")),1,0)</f>
        <v/>
      </c>
      <c r="H949">
        <f>IF(OR(H948=1,G949=1),1,0)</f>
        <v/>
      </c>
      <c r="I949">
        <f>IF(H948=0,1,SUMPRODUCT(J948:N948,B949:F949)+O948*(1+0.00023125256064071564))</f>
        <v/>
      </c>
      <c r="J949">
        <f>IF(G949=1,0.2*R949/B949,J948)</f>
        <v/>
      </c>
      <c r="K949">
        <f>IF(G949=1,0.2*R949/C949,K948)</f>
        <v/>
      </c>
      <c r="L949">
        <f>IF(G949=1,0.2*R949/D949,L948)</f>
        <v/>
      </c>
      <c r="M949">
        <f>IF(G949=1,0.2*R949/E949,M948)</f>
        <v/>
      </c>
      <c r="N949">
        <f>IF(G949=1,0.2*R949/F949,N948)</f>
        <v/>
      </c>
      <c r="O949">
        <f>IF(G949=1,R949*(1-1.0),IF(H948=0,1,O948*(1+0.00023125256064071564)))</f>
        <v/>
      </c>
      <c r="P949">
        <f>IF(G949=1,IF(H948=0,1,ABS(0.2-J948*B949/I949)+ABS(0.2-K948*C949/I949)+ABS(0.2-L948*D949/I949)+ABS(0.2-M948*E949/I949)+ABS(0.2-N948*F949/I949)),0)</f>
        <v/>
      </c>
      <c r="Q949">
        <f>P949*0.0015</f>
        <v/>
      </c>
      <c r="R949">
        <f>I949*(1-Q949)</f>
        <v/>
      </c>
      <c r="S949">
        <f>R949/R948-1</f>
        <v/>
      </c>
      <c r="T949">
        <f>MAX(T948,R949)</f>
        <v/>
      </c>
      <c r="U949">
        <f>R949/T949-1</f>
        <v/>
      </c>
      <c r="V949" t="n">
        <v>1.462058063730046</v>
      </c>
      <c r="W949" s="5">
        <f>R949-V949</f>
        <v/>
      </c>
    </row>
    <row r="950">
      <c r="A950" s="3" t="n">
        <v>39834</v>
      </c>
      <c r="B950">
        <f>Prices!B950</f>
        <v/>
      </c>
      <c r="C950">
        <f>Prices!C950</f>
        <v/>
      </c>
      <c r="D950">
        <f>Prices!D950</f>
        <v/>
      </c>
      <c r="E950">
        <f>Prices!E950</f>
        <v/>
      </c>
      <c r="F950">
        <f>Prices!F950</f>
        <v/>
      </c>
      <c r="G950">
        <f>IF(AND(948&gt;=16,TEXT(A950,"yyyy-mm")&lt;&gt;TEXT(A951,"yyyy-mm")),1,0)</f>
        <v/>
      </c>
      <c r="H950">
        <f>IF(OR(H949=1,G950=1),1,0)</f>
        <v/>
      </c>
      <c r="I950">
        <f>IF(H949=0,1,SUMPRODUCT(J949:N949,B950:F950)+O949*(1+0.00023125256064071564))</f>
        <v/>
      </c>
      <c r="J950">
        <f>IF(G950=1,0.2*R950/B950,J949)</f>
        <v/>
      </c>
      <c r="K950">
        <f>IF(G950=1,0.2*R950/C950,K949)</f>
        <v/>
      </c>
      <c r="L950">
        <f>IF(G950=1,0.2*R950/D950,L949)</f>
        <v/>
      </c>
      <c r="M950">
        <f>IF(G950=1,0.2*R950/E950,M949)</f>
        <v/>
      </c>
      <c r="N950">
        <f>IF(G950=1,0.2*R950/F950,N949)</f>
        <v/>
      </c>
      <c r="O950">
        <f>IF(G950=1,R950*(1-1.0),IF(H949=0,1,O949*(1+0.00023125256064071564)))</f>
        <v/>
      </c>
      <c r="P950">
        <f>IF(G950=1,IF(H949=0,1,ABS(0.2-J949*B950/I950)+ABS(0.2-K949*C950/I950)+ABS(0.2-L949*D950/I950)+ABS(0.2-M949*E950/I950)+ABS(0.2-N949*F950/I950)),0)</f>
        <v/>
      </c>
      <c r="Q950">
        <f>P950*0.0015</f>
        <v/>
      </c>
      <c r="R950">
        <f>I950*(1-Q950)</f>
        <v/>
      </c>
      <c r="S950">
        <f>R950/R949-1</f>
        <v/>
      </c>
      <c r="T950">
        <f>MAX(T949,R950)</f>
        <v/>
      </c>
      <c r="U950">
        <f>R950/T950-1</f>
        <v/>
      </c>
      <c r="V950" t="n">
        <v>1.435753582465173</v>
      </c>
      <c r="W950" s="5">
        <f>R950-V950</f>
        <v/>
      </c>
    </row>
    <row r="951">
      <c r="A951" s="3" t="n">
        <v>39835</v>
      </c>
      <c r="B951">
        <f>Prices!B951</f>
        <v/>
      </c>
      <c r="C951">
        <f>Prices!C951</f>
        <v/>
      </c>
      <c r="D951">
        <f>Prices!D951</f>
        <v/>
      </c>
      <c r="E951">
        <f>Prices!E951</f>
        <v/>
      </c>
      <c r="F951">
        <f>Prices!F951</f>
        <v/>
      </c>
      <c r="G951">
        <f>IF(AND(949&gt;=16,TEXT(A951,"yyyy-mm")&lt;&gt;TEXT(A952,"yyyy-mm")),1,0)</f>
        <v/>
      </c>
      <c r="H951">
        <f>IF(OR(H950=1,G951=1),1,0)</f>
        <v/>
      </c>
      <c r="I951">
        <f>IF(H950=0,1,SUMPRODUCT(J950:N950,B951:F951)+O950*(1+0.00023125256064071564))</f>
        <v/>
      </c>
      <c r="J951">
        <f>IF(G951=1,0.2*R951/B951,J950)</f>
        <v/>
      </c>
      <c r="K951">
        <f>IF(G951=1,0.2*R951/C951,K950)</f>
        <v/>
      </c>
      <c r="L951">
        <f>IF(G951=1,0.2*R951/D951,L950)</f>
        <v/>
      </c>
      <c r="M951">
        <f>IF(G951=1,0.2*R951/E951,M950)</f>
        <v/>
      </c>
      <c r="N951">
        <f>IF(G951=1,0.2*R951/F951,N950)</f>
        <v/>
      </c>
      <c r="O951">
        <f>IF(G951=1,R951*(1-1.0),IF(H950=0,1,O950*(1+0.00023125256064071564)))</f>
        <v/>
      </c>
      <c r="P951">
        <f>IF(G951=1,IF(H950=0,1,ABS(0.2-J950*B951/I951)+ABS(0.2-K950*C951/I951)+ABS(0.2-L950*D951/I951)+ABS(0.2-M950*E951/I951)+ABS(0.2-N950*F951/I951)),0)</f>
        <v/>
      </c>
      <c r="Q951">
        <f>P951*0.0015</f>
        <v/>
      </c>
      <c r="R951">
        <f>I951*(1-Q951)</f>
        <v/>
      </c>
      <c r="S951">
        <f>R951/R950-1</f>
        <v/>
      </c>
      <c r="T951">
        <f>MAX(T950,R951)</f>
        <v/>
      </c>
      <c r="U951">
        <f>R951/T951-1</f>
        <v/>
      </c>
      <c r="V951" t="n">
        <v>1.428504859960691</v>
      </c>
      <c r="W951" s="5">
        <f>R951-V951</f>
        <v/>
      </c>
    </row>
    <row r="952">
      <c r="A952" s="3" t="n">
        <v>39836</v>
      </c>
      <c r="B952">
        <f>Prices!B952</f>
        <v/>
      </c>
      <c r="C952">
        <f>Prices!C952</f>
        <v/>
      </c>
      <c r="D952">
        <f>Prices!D952</f>
        <v/>
      </c>
      <c r="E952">
        <f>Prices!E952</f>
        <v/>
      </c>
      <c r="F952">
        <f>Prices!F952</f>
        <v/>
      </c>
      <c r="G952">
        <f>IF(AND(950&gt;=16,TEXT(A952,"yyyy-mm")&lt;&gt;TEXT(A953,"yyyy-mm")),1,0)</f>
        <v/>
      </c>
      <c r="H952">
        <f>IF(OR(H951=1,G952=1),1,0)</f>
        <v/>
      </c>
      <c r="I952">
        <f>IF(H951=0,1,SUMPRODUCT(J951:N951,B952:F952)+O951*(1+0.00023125256064071564))</f>
        <v/>
      </c>
      <c r="J952">
        <f>IF(G952=1,0.2*R952/B952,J951)</f>
        <v/>
      </c>
      <c r="K952">
        <f>IF(G952=1,0.2*R952/C952,K951)</f>
        <v/>
      </c>
      <c r="L952">
        <f>IF(G952=1,0.2*R952/D952,L951)</f>
        <v/>
      </c>
      <c r="M952">
        <f>IF(G952=1,0.2*R952/E952,M951)</f>
        <v/>
      </c>
      <c r="N952">
        <f>IF(G952=1,0.2*R952/F952,N951)</f>
        <v/>
      </c>
      <c r="O952">
        <f>IF(G952=1,R952*(1-1.0),IF(H951=0,1,O951*(1+0.00023125256064071564)))</f>
        <v/>
      </c>
      <c r="P952">
        <f>IF(G952=1,IF(H951=0,1,ABS(0.2-J951*B952/I952)+ABS(0.2-K951*C952/I952)+ABS(0.2-L951*D952/I952)+ABS(0.2-M951*E952/I952)+ABS(0.2-N951*F952/I952)),0)</f>
        <v/>
      </c>
      <c r="Q952">
        <f>P952*0.0015</f>
        <v/>
      </c>
      <c r="R952">
        <f>I952*(1-Q952)</f>
        <v/>
      </c>
      <c r="S952">
        <f>R952/R951-1</f>
        <v/>
      </c>
      <c r="T952">
        <f>MAX(T951,R952)</f>
        <v/>
      </c>
      <c r="U952">
        <f>R952/T952-1</f>
        <v/>
      </c>
      <c r="V952" t="n">
        <v>1.407997142966319</v>
      </c>
      <c r="W952" s="5">
        <f>R952-V952</f>
        <v/>
      </c>
    </row>
    <row r="953">
      <c r="A953" s="3" t="n">
        <v>39840</v>
      </c>
      <c r="B953">
        <f>Prices!B953</f>
        <v/>
      </c>
      <c r="C953">
        <f>Prices!C953</f>
        <v/>
      </c>
      <c r="D953">
        <f>Prices!D953</f>
        <v/>
      </c>
      <c r="E953">
        <f>Prices!E953</f>
        <v/>
      </c>
      <c r="F953">
        <f>Prices!F953</f>
        <v/>
      </c>
      <c r="G953">
        <f>IF(AND(951&gt;=16,TEXT(A953,"yyyy-mm")&lt;&gt;TEXT(A954,"yyyy-mm")),1,0)</f>
        <v/>
      </c>
      <c r="H953">
        <f>IF(OR(H952=1,G953=1),1,0)</f>
        <v/>
      </c>
      <c r="I953">
        <f>IF(H952=0,1,SUMPRODUCT(J952:N952,B953:F953)+O952*(1+0.00023125256064071564))</f>
        <v/>
      </c>
      <c r="J953">
        <f>IF(G953=1,0.2*R953/B953,J952)</f>
        <v/>
      </c>
      <c r="K953">
        <f>IF(G953=1,0.2*R953/C953,K952)</f>
        <v/>
      </c>
      <c r="L953">
        <f>IF(G953=1,0.2*R953/D953,L952)</f>
        <v/>
      </c>
      <c r="M953">
        <f>IF(G953=1,0.2*R953/E953,M952)</f>
        <v/>
      </c>
      <c r="N953">
        <f>IF(G953=1,0.2*R953/F953,N952)</f>
        <v/>
      </c>
      <c r="O953">
        <f>IF(G953=1,R953*(1-1.0),IF(H952=0,1,O952*(1+0.00023125256064071564)))</f>
        <v/>
      </c>
      <c r="P953">
        <f>IF(G953=1,IF(H952=0,1,ABS(0.2-J952*B953/I953)+ABS(0.2-K952*C953/I953)+ABS(0.2-L952*D953/I953)+ABS(0.2-M952*E953/I953)+ABS(0.2-N952*F953/I953)),0)</f>
        <v/>
      </c>
      <c r="Q953">
        <f>P953*0.0015</f>
        <v/>
      </c>
      <c r="R953">
        <f>I953*(1-Q953)</f>
        <v/>
      </c>
      <c r="S953">
        <f>R953/R952-1</f>
        <v/>
      </c>
      <c r="T953">
        <f>MAX(T952,R953)</f>
        <v/>
      </c>
      <c r="U953">
        <f>R953/T953-1</f>
        <v/>
      </c>
      <c r="V953" t="n">
        <v>1.430291468706051</v>
      </c>
      <c r="W953" s="5">
        <f>R953-V953</f>
        <v/>
      </c>
    </row>
    <row r="954">
      <c r="A954" s="3" t="n">
        <v>39841</v>
      </c>
      <c r="B954">
        <f>Prices!B954</f>
        <v/>
      </c>
      <c r="C954">
        <f>Prices!C954</f>
        <v/>
      </c>
      <c r="D954">
        <f>Prices!D954</f>
        <v/>
      </c>
      <c r="E954">
        <f>Prices!E954</f>
        <v/>
      </c>
      <c r="F954">
        <f>Prices!F954</f>
        <v/>
      </c>
      <c r="G954">
        <f>IF(AND(952&gt;=16,TEXT(A954,"yyyy-mm")&lt;&gt;TEXT(A955,"yyyy-mm")),1,0)</f>
        <v/>
      </c>
      <c r="H954">
        <f>IF(OR(H953=1,G954=1),1,0)</f>
        <v/>
      </c>
      <c r="I954">
        <f>IF(H953=0,1,SUMPRODUCT(J953:N953,B954:F954)+O953*(1+0.00023125256064071564))</f>
        <v/>
      </c>
      <c r="J954">
        <f>IF(G954=1,0.2*R954/B954,J953)</f>
        <v/>
      </c>
      <c r="K954">
        <f>IF(G954=1,0.2*R954/C954,K953)</f>
        <v/>
      </c>
      <c r="L954">
        <f>IF(G954=1,0.2*R954/D954,L953)</f>
        <v/>
      </c>
      <c r="M954">
        <f>IF(G954=1,0.2*R954/E954,M953)</f>
        <v/>
      </c>
      <c r="N954">
        <f>IF(G954=1,0.2*R954/F954,N953)</f>
        <v/>
      </c>
      <c r="O954">
        <f>IF(G954=1,R954*(1-1.0),IF(H953=0,1,O953*(1+0.00023125256064071564)))</f>
        <v/>
      </c>
      <c r="P954">
        <f>IF(G954=1,IF(H953=0,1,ABS(0.2-J953*B954/I954)+ABS(0.2-K953*C954/I954)+ABS(0.2-L953*D954/I954)+ABS(0.2-M953*E954/I954)+ABS(0.2-N953*F954/I954)),0)</f>
        <v/>
      </c>
      <c r="Q954">
        <f>P954*0.0015</f>
        <v/>
      </c>
      <c r="R954">
        <f>I954*(1-Q954)</f>
        <v/>
      </c>
      <c r="S954">
        <f>R954/R953-1</f>
        <v/>
      </c>
      <c r="T954">
        <f>MAX(T953,R954)</f>
        <v/>
      </c>
      <c r="U954">
        <f>R954/T954-1</f>
        <v/>
      </c>
      <c r="V954" t="n">
        <v>1.455289750622838</v>
      </c>
      <c r="W954" s="5">
        <f>R954-V954</f>
        <v/>
      </c>
    </row>
    <row r="955">
      <c r="A955" s="3" t="n">
        <v>39842</v>
      </c>
      <c r="B955">
        <f>Prices!B955</f>
        <v/>
      </c>
      <c r="C955">
        <f>Prices!C955</f>
        <v/>
      </c>
      <c r="D955">
        <f>Prices!D955</f>
        <v/>
      </c>
      <c r="E955">
        <f>Prices!E955</f>
        <v/>
      </c>
      <c r="F955">
        <f>Prices!F955</f>
        <v/>
      </c>
      <c r="G955">
        <f>IF(AND(953&gt;=16,TEXT(A955,"yyyy-mm")&lt;&gt;TEXT(A956,"yyyy-mm")),1,0)</f>
        <v/>
      </c>
      <c r="H955">
        <f>IF(OR(H954=1,G955=1),1,0)</f>
        <v/>
      </c>
      <c r="I955">
        <f>IF(H954=0,1,SUMPRODUCT(J954:N954,B955:F955)+O954*(1+0.00023125256064071564))</f>
        <v/>
      </c>
      <c r="J955">
        <f>IF(G955=1,0.2*R955/B955,J954)</f>
        <v/>
      </c>
      <c r="K955">
        <f>IF(G955=1,0.2*R955/C955,K954)</f>
        <v/>
      </c>
      <c r="L955">
        <f>IF(G955=1,0.2*R955/D955,L954)</f>
        <v/>
      </c>
      <c r="M955">
        <f>IF(G955=1,0.2*R955/E955,M954)</f>
        <v/>
      </c>
      <c r="N955">
        <f>IF(G955=1,0.2*R955/F955,N954)</f>
        <v/>
      </c>
      <c r="O955">
        <f>IF(G955=1,R955*(1-1.0),IF(H954=0,1,O954*(1+0.00023125256064071564)))</f>
        <v/>
      </c>
      <c r="P955">
        <f>IF(G955=1,IF(H954=0,1,ABS(0.2-J954*B955/I955)+ABS(0.2-K954*C955/I955)+ABS(0.2-L954*D955/I955)+ABS(0.2-M954*E955/I955)+ABS(0.2-N954*F955/I955)),0)</f>
        <v/>
      </c>
      <c r="Q955">
        <f>P955*0.0015</f>
        <v/>
      </c>
      <c r="R955">
        <f>I955*(1-Q955)</f>
        <v/>
      </c>
      <c r="S955">
        <f>R955/R954-1</f>
        <v/>
      </c>
      <c r="T955">
        <f>MAX(T954,R955)</f>
        <v/>
      </c>
      <c r="U955">
        <f>R955/T955-1</f>
        <v/>
      </c>
      <c r="V955" t="n">
        <v>1.452234579242954</v>
      </c>
      <c r="W955" s="5">
        <f>R955-V955</f>
        <v/>
      </c>
    </row>
    <row r="956">
      <c r="A956" s="3" t="n">
        <v>39843</v>
      </c>
      <c r="B956">
        <f>Prices!B956</f>
        <v/>
      </c>
      <c r="C956">
        <f>Prices!C956</f>
        <v/>
      </c>
      <c r="D956">
        <f>Prices!D956</f>
        <v/>
      </c>
      <c r="E956">
        <f>Prices!E956</f>
        <v/>
      </c>
      <c r="F956">
        <f>Prices!F956</f>
        <v/>
      </c>
      <c r="G956">
        <f>IF(AND(954&gt;=16,TEXT(A956,"yyyy-mm")&lt;&gt;TEXT(A957,"yyyy-mm")),1,0)</f>
        <v/>
      </c>
      <c r="H956">
        <f>IF(OR(H955=1,G956=1),1,0)</f>
        <v/>
      </c>
      <c r="I956">
        <f>IF(H955=0,1,SUMPRODUCT(J955:N955,B956:F956)+O955*(1+0.00023125256064071564))</f>
        <v/>
      </c>
      <c r="J956">
        <f>IF(G956=1,0.2*R956/B956,J955)</f>
        <v/>
      </c>
      <c r="K956">
        <f>IF(G956=1,0.2*R956/C956,K955)</f>
        <v/>
      </c>
      <c r="L956">
        <f>IF(G956=1,0.2*R956/D956,L955)</f>
        <v/>
      </c>
      <c r="M956">
        <f>IF(G956=1,0.2*R956/E956,M955)</f>
        <v/>
      </c>
      <c r="N956">
        <f>IF(G956=1,0.2*R956/F956,N955)</f>
        <v/>
      </c>
      <c r="O956">
        <f>IF(G956=1,R956*(1-1.0),IF(H955=0,1,O955*(1+0.00023125256064071564)))</f>
        <v/>
      </c>
      <c r="P956">
        <f>IF(G956=1,IF(H955=0,1,ABS(0.2-J955*B956/I956)+ABS(0.2-K955*C956/I956)+ABS(0.2-L955*D956/I956)+ABS(0.2-M955*E956/I956)+ABS(0.2-N955*F956/I956)),0)</f>
        <v/>
      </c>
      <c r="Q956">
        <f>P956*0.0015</f>
        <v/>
      </c>
      <c r="R956">
        <f>I956*(1-Q956)</f>
        <v/>
      </c>
      <c r="S956">
        <f>R956/R955-1</f>
        <v/>
      </c>
      <c r="T956">
        <f>MAX(T955,R956)</f>
        <v/>
      </c>
      <c r="U956">
        <f>R956/T956-1</f>
        <v/>
      </c>
      <c r="V956" t="n">
        <v>1.469446170471382</v>
      </c>
      <c r="W956" s="5">
        <f>R956-V956</f>
        <v/>
      </c>
    </row>
    <row r="957">
      <c r="A957" s="3" t="n">
        <v>39846</v>
      </c>
      <c r="B957">
        <f>Prices!B957</f>
        <v/>
      </c>
      <c r="C957">
        <f>Prices!C957</f>
        <v/>
      </c>
      <c r="D957">
        <f>Prices!D957</f>
        <v/>
      </c>
      <c r="E957">
        <f>Prices!E957</f>
        <v/>
      </c>
      <c r="F957">
        <f>Prices!F957</f>
        <v/>
      </c>
      <c r="G957">
        <f>IF(AND(955&gt;=16,TEXT(A957,"yyyy-mm")&lt;&gt;TEXT(A958,"yyyy-mm")),1,0)</f>
        <v/>
      </c>
      <c r="H957">
        <f>IF(OR(H956=1,G957=1),1,0)</f>
        <v/>
      </c>
      <c r="I957">
        <f>IF(H956=0,1,SUMPRODUCT(J956:N956,B957:F957)+O956*(1+0.00023125256064071564))</f>
        <v/>
      </c>
      <c r="J957">
        <f>IF(G957=1,0.2*R957/B957,J956)</f>
        <v/>
      </c>
      <c r="K957">
        <f>IF(G957=1,0.2*R957/C957,K956)</f>
        <v/>
      </c>
      <c r="L957">
        <f>IF(G957=1,0.2*R957/D957,L956)</f>
        <v/>
      </c>
      <c r="M957">
        <f>IF(G957=1,0.2*R957/E957,M956)</f>
        <v/>
      </c>
      <c r="N957">
        <f>IF(G957=1,0.2*R957/F957,N956)</f>
        <v/>
      </c>
      <c r="O957">
        <f>IF(G957=1,R957*(1-1.0),IF(H956=0,1,O956*(1+0.00023125256064071564)))</f>
        <v/>
      </c>
      <c r="P957">
        <f>IF(G957=1,IF(H956=0,1,ABS(0.2-J956*B957/I957)+ABS(0.2-K956*C957/I957)+ABS(0.2-L956*D957/I957)+ABS(0.2-M956*E957/I957)+ABS(0.2-N956*F957/I957)),0)</f>
        <v/>
      </c>
      <c r="Q957">
        <f>P957*0.0015</f>
        <v/>
      </c>
      <c r="R957">
        <f>I957*(1-Q957)</f>
        <v/>
      </c>
      <c r="S957">
        <f>R957/R956-1</f>
        <v/>
      </c>
      <c r="T957">
        <f>MAX(T956,R957)</f>
        <v/>
      </c>
      <c r="U957">
        <f>R957/T957-1</f>
        <v/>
      </c>
      <c r="V957" t="n">
        <v>1.439035760439043</v>
      </c>
      <c r="W957" s="5">
        <f>R957-V957</f>
        <v/>
      </c>
    </row>
    <row r="958">
      <c r="A958" s="3" t="n">
        <v>39847</v>
      </c>
      <c r="B958">
        <f>Prices!B958</f>
        <v/>
      </c>
      <c r="C958">
        <f>Prices!C958</f>
        <v/>
      </c>
      <c r="D958">
        <f>Prices!D958</f>
        <v/>
      </c>
      <c r="E958">
        <f>Prices!E958</f>
        <v/>
      </c>
      <c r="F958">
        <f>Prices!F958</f>
        <v/>
      </c>
      <c r="G958">
        <f>IF(AND(956&gt;=16,TEXT(A958,"yyyy-mm")&lt;&gt;TEXT(A959,"yyyy-mm")),1,0)</f>
        <v/>
      </c>
      <c r="H958">
        <f>IF(OR(H957=1,G958=1),1,0)</f>
        <v/>
      </c>
      <c r="I958">
        <f>IF(H957=0,1,SUMPRODUCT(J957:N957,B958:F958)+O957*(1+0.00023125256064071564))</f>
        <v/>
      </c>
      <c r="J958">
        <f>IF(G958=1,0.2*R958/B958,J957)</f>
        <v/>
      </c>
      <c r="K958">
        <f>IF(G958=1,0.2*R958/C958,K957)</f>
        <v/>
      </c>
      <c r="L958">
        <f>IF(G958=1,0.2*R958/D958,L957)</f>
        <v/>
      </c>
      <c r="M958">
        <f>IF(G958=1,0.2*R958/E958,M957)</f>
        <v/>
      </c>
      <c r="N958">
        <f>IF(G958=1,0.2*R958/F958,N957)</f>
        <v/>
      </c>
      <c r="O958">
        <f>IF(G958=1,R958*(1-1.0),IF(H957=0,1,O957*(1+0.00023125256064071564)))</f>
        <v/>
      </c>
      <c r="P958">
        <f>IF(G958=1,IF(H957=0,1,ABS(0.2-J957*B958/I958)+ABS(0.2-K957*C958/I958)+ABS(0.2-L957*D958/I958)+ABS(0.2-M957*E958/I958)+ABS(0.2-N957*F958/I958)),0)</f>
        <v/>
      </c>
      <c r="Q958">
        <f>P958*0.0015</f>
        <v/>
      </c>
      <c r="R958">
        <f>I958*(1-Q958)</f>
        <v/>
      </c>
      <c r="S958">
        <f>R958/R957-1</f>
        <v/>
      </c>
      <c r="T958">
        <f>MAX(T957,R958)</f>
        <v/>
      </c>
      <c r="U958">
        <f>R958/T958-1</f>
        <v/>
      </c>
      <c r="V958" t="n">
        <v>1.439387748137409</v>
      </c>
      <c r="W958" s="5">
        <f>R958-V958</f>
        <v/>
      </c>
    </row>
    <row r="959">
      <c r="A959" s="3" t="n">
        <v>39848</v>
      </c>
      <c r="B959">
        <f>Prices!B959</f>
        <v/>
      </c>
      <c r="C959">
        <f>Prices!C959</f>
        <v/>
      </c>
      <c r="D959">
        <f>Prices!D959</f>
        <v/>
      </c>
      <c r="E959">
        <f>Prices!E959</f>
        <v/>
      </c>
      <c r="F959">
        <f>Prices!F959</f>
        <v/>
      </c>
      <c r="G959">
        <f>IF(AND(957&gt;=16,TEXT(A959,"yyyy-mm")&lt;&gt;TEXT(A960,"yyyy-mm")),1,0)</f>
        <v/>
      </c>
      <c r="H959">
        <f>IF(OR(H958=1,G959=1),1,0)</f>
        <v/>
      </c>
      <c r="I959">
        <f>IF(H958=0,1,SUMPRODUCT(J958:N958,B959:F959)+O958*(1+0.00023125256064071564))</f>
        <v/>
      </c>
      <c r="J959">
        <f>IF(G959=1,0.2*R959/B959,J958)</f>
        <v/>
      </c>
      <c r="K959">
        <f>IF(G959=1,0.2*R959/C959,K958)</f>
        <v/>
      </c>
      <c r="L959">
        <f>IF(G959=1,0.2*R959/D959,L958)</f>
        <v/>
      </c>
      <c r="M959">
        <f>IF(G959=1,0.2*R959/E959,M958)</f>
        <v/>
      </c>
      <c r="N959">
        <f>IF(G959=1,0.2*R959/F959,N958)</f>
        <v/>
      </c>
      <c r="O959">
        <f>IF(G959=1,R959*(1-1.0),IF(H958=0,1,O958*(1+0.00023125256064071564)))</f>
        <v/>
      </c>
      <c r="P959">
        <f>IF(G959=1,IF(H958=0,1,ABS(0.2-J958*B959/I959)+ABS(0.2-K958*C959/I959)+ABS(0.2-L958*D959/I959)+ABS(0.2-M958*E959/I959)+ABS(0.2-N958*F959/I959)),0)</f>
        <v/>
      </c>
      <c r="Q959">
        <f>P959*0.0015</f>
        <v/>
      </c>
      <c r="R959">
        <f>I959*(1-Q959)</f>
        <v/>
      </c>
      <c r="S959">
        <f>R959/R958-1</f>
        <v/>
      </c>
      <c r="T959">
        <f>MAX(T958,R959)</f>
        <v/>
      </c>
      <c r="U959">
        <f>R959/T959-1</f>
        <v/>
      </c>
      <c r="V959" t="n">
        <v>1.442779510496045</v>
      </c>
      <c r="W959" s="5">
        <f>R959-V959</f>
        <v/>
      </c>
    </row>
    <row r="960">
      <c r="A960" s="3" t="n">
        <v>39849</v>
      </c>
      <c r="B960">
        <f>Prices!B960</f>
        <v/>
      </c>
      <c r="C960">
        <f>Prices!C960</f>
        <v/>
      </c>
      <c r="D960">
        <f>Prices!D960</f>
        <v/>
      </c>
      <c r="E960">
        <f>Prices!E960</f>
        <v/>
      </c>
      <c r="F960">
        <f>Prices!F960</f>
        <v/>
      </c>
      <c r="G960">
        <f>IF(AND(958&gt;=16,TEXT(A960,"yyyy-mm")&lt;&gt;TEXT(A961,"yyyy-mm")),1,0)</f>
        <v/>
      </c>
      <c r="H960">
        <f>IF(OR(H959=1,G960=1),1,0)</f>
        <v/>
      </c>
      <c r="I960">
        <f>IF(H959=0,1,SUMPRODUCT(J959:N959,B960:F960)+O959*(1+0.00023125256064071564))</f>
        <v/>
      </c>
      <c r="J960">
        <f>IF(G960=1,0.2*R960/B960,J959)</f>
        <v/>
      </c>
      <c r="K960">
        <f>IF(G960=1,0.2*R960/C960,K959)</f>
        <v/>
      </c>
      <c r="L960">
        <f>IF(G960=1,0.2*R960/D960,L959)</f>
        <v/>
      </c>
      <c r="M960">
        <f>IF(G960=1,0.2*R960/E960,M959)</f>
        <v/>
      </c>
      <c r="N960">
        <f>IF(G960=1,0.2*R960/F960,N959)</f>
        <v/>
      </c>
      <c r="O960">
        <f>IF(G960=1,R960*(1-1.0),IF(H959=0,1,O959*(1+0.00023125256064071564)))</f>
        <v/>
      </c>
      <c r="P960">
        <f>IF(G960=1,IF(H959=0,1,ABS(0.2-J959*B960/I960)+ABS(0.2-K959*C960/I960)+ABS(0.2-L959*D960/I960)+ABS(0.2-M959*E960/I960)+ABS(0.2-N959*F960/I960)),0)</f>
        <v/>
      </c>
      <c r="Q960">
        <f>P960*0.0015</f>
        <v/>
      </c>
      <c r="R960">
        <f>I960*(1-Q960)</f>
        <v/>
      </c>
      <c r="S960">
        <f>R960/R959-1</f>
        <v/>
      </c>
      <c r="T960">
        <f>MAX(T959,R960)</f>
        <v/>
      </c>
      <c r="U960">
        <f>R960/T960-1</f>
        <v/>
      </c>
      <c r="V960" t="n">
        <v>1.433385391296792</v>
      </c>
      <c r="W960" s="5">
        <f>R960-V960</f>
        <v/>
      </c>
    </row>
    <row r="961">
      <c r="A961" s="3" t="n">
        <v>39850</v>
      </c>
      <c r="B961">
        <f>Prices!B961</f>
        <v/>
      </c>
      <c r="C961">
        <f>Prices!C961</f>
        <v/>
      </c>
      <c r="D961">
        <f>Prices!D961</f>
        <v/>
      </c>
      <c r="E961">
        <f>Prices!E961</f>
        <v/>
      </c>
      <c r="F961">
        <f>Prices!F961</f>
        <v/>
      </c>
      <c r="G961">
        <f>IF(AND(959&gt;=16,TEXT(A961,"yyyy-mm")&lt;&gt;TEXT(A962,"yyyy-mm")),1,0)</f>
        <v/>
      </c>
      <c r="H961">
        <f>IF(OR(H960=1,G961=1),1,0)</f>
        <v/>
      </c>
      <c r="I961">
        <f>IF(H960=0,1,SUMPRODUCT(J960:N960,B961:F961)+O960*(1+0.00023125256064071564))</f>
        <v/>
      </c>
      <c r="J961">
        <f>IF(G961=1,0.2*R961/B961,J960)</f>
        <v/>
      </c>
      <c r="K961">
        <f>IF(G961=1,0.2*R961/C961,K960)</f>
        <v/>
      </c>
      <c r="L961">
        <f>IF(G961=1,0.2*R961/D961,L960)</f>
        <v/>
      </c>
      <c r="M961">
        <f>IF(G961=1,0.2*R961/E961,M960)</f>
        <v/>
      </c>
      <c r="N961">
        <f>IF(G961=1,0.2*R961/F961,N960)</f>
        <v/>
      </c>
      <c r="O961">
        <f>IF(G961=1,R961*(1-1.0),IF(H960=0,1,O960*(1+0.00023125256064071564)))</f>
        <v/>
      </c>
      <c r="P961">
        <f>IF(G961=1,IF(H960=0,1,ABS(0.2-J960*B961/I961)+ABS(0.2-K960*C961/I961)+ABS(0.2-L960*D961/I961)+ABS(0.2-M960*E961/I961)+ABS(0.2-N960*F961/I961)),0)</f>
        <v/>
      </c>
      <c r="Q961">
        <f>P961*0.0015</f>
        <v/>
      </c>
      <c r="R961">
        <f>I961*(1-Q961)</f>
        <v/>
      </c>
      <c r="S961">
        <f>R961/R960-1</f>
        <v/>
      </c>
      <c r="T961">
        <f>MAX(T960,R961)</f>
        <v/>
      </c>
      <c r="U961">
        <f>R961/T961-1</f>
        <v/>
      </c>
      <c r="V961" t="n">
        <v>1.455961475199796</v>
      </c>
      <c r="W961" s="5">
        <f>R961-V961</f>
        <v/>
      </c>
    </row>
    <row r="962">
      <c r="A962" s="3" t="n">
        <v>39853</v>
      </c>
      <c r="B962">
        <f>Prices!B962</f>
        <v/>
      </c>
      <c r="C962">
        <f>Prices!C962</f>
        <v/>
      </c>
      <c r="D962">
        <f>Prices!D962</f>
        <v/>
      </c>
      <c r="E962">
        <f>Prices!E962</f>
        <v/>
      </c>
      <c r="F962">
        <f>Prices!F962</f>
        <v/>
      </c>
      <c r="G962">
        <f>IF(AND(960&gt;=16,TEXT(A962,"yyyy-mm")&lt;&gt;TEXT(A963,"yyyy-mm")),1,0)</f>
        <v/>
      </c>
      <c r="H962">
        <f>IF(OR(H961=1,G962=1),1,0)</f>
        <v/>
      </c>
      <c r="I962">
        <f>IF(H961=0,1,SUMPRODUCT(J961:N961,B962:F962)+O961*(1+0.00023125256064071564))</f>
        <v/>
      </c>
      <c r="J962">
        <f>IF(G962=1,0.2*R962/B962,J961)</f>
        <v/>
      </c>
      <c r="K962">
        <f>IF(G962=1,0.2*R962/C962,K961)</f>
        <v/>
      </c>
      <c r="L962">
        <f>IF(G962=1,0.2*R962/D962,L961)</f>
        <v/>
      </c>
      <c r="M962">
        <f>IF(G962=1,0.2*R962/E962,M961)</f>
        <v/>
      </c>
      <c r="N962">
        <f>IF(G962=1,0.2*R962/F962,N961)</f>
        <v/>
      </c>
      <c r="O962">
        <f>IF(G962=1,R962*(1-1.0),IF(H961=0,1,O961*(1+0.00023125256064071564)))</f>
        <v/>
      </c>
      <c r="P962">
        <f>IF(G962=1,IF(H961=0,1,ABS(0.2-J961*B962/I962)+ABS(0.2-K961*C962/I962)+ABS(0.2-L961*D962/I962)+ABS(0.2-M961*E962/I962)+ABS(0.2-N961*F962/I962)),0)</f>
        <v/>
      </c>
      <c r="Q962">
        <f>P962*0.0015</f>
        <v/>
      </c>
      <c r="R962">
        <f>I962*(1-Q962)</f>
        <v/>
      </c>
      <c r="S962">
        <f>R962/R961-1</f>
        <v/>
      </c>
      <c r="T962">
        <f>MAX(T961,R962)</f>
        <v/>
      </c>
      <c r="U962">
        <f>R962/T962-1</f>
        <v/>
      </c>
      <c r="V962" t="n">
        <v>1.477128714048995</v>
      </c>
      <c r="W962" s="5">
        <f>R962-V962</f>
        <v/>
      </c>
    </row>
    <row r="963">
      <c r="A963" s="3" t="n">
        <v>39854</v>
      </c>
      <c r="B963">
        <f>Prices!B963</f>
        <v/>
      </c>
      <c r="C963">
        <f>Prices!C963</f>
        <v/>
      </c>
      <c r="D963">
        <f>Prices!D963</f>
        <v/>
      </c>
      <c r="E963">
        <f>Prices!E963</f>
        <v/>
      </c>
      <c r="F963">
        <f>Prices!F963</f>
        <v/>
      </c>
      <c r="G963">
        <f>IF(AND(961&gt;=16,TEXT(A963,"yyyy-mm")&lt;&gt;TEXT(A964,"yyyy-mm")),1,0)</f>
        <v/>
      </c>
      <c r="H963">
        <f>IF(OR(H962=1,G963=1),1,0)</f>
        <v/>
      </c>
      <c r="I963">
        <f>IF(H962=0,1,SUMPRODUCT(J962:N962,B963:F963)+O962*(1+0.00023125256064071564))</f>
        <v/>
      </c>
      <c r="J963">
        <f>IF(G963=1,0.2*R963/B963,J962)</f>
        <v/>
      </c>
      <c r="K963">
        <f>IF(G963=1,0.2*R963/C963,K962)</f>
        <v/>
      </c>
      <c r="L963">
        <f>IF(G963=1,0.2*R963/D963,L962)</f>
        <v/>
      </c>
      <c r="M963">
        <f>IF(G963=1,0.2*R963/E963,M962)</f>
        <v/>
      </c>
      <c r="N963">
        <f>IF(G963=1,0.2*R963/F963,N962)</f>
        <v/>
      </c>
      <c r="O963">
        <f>IF(G963=1,R963*(1-1.0),IF(H962=0,1,O962*(1+0.00023125256064071564)))</f>
        <v/>
      </c>
      <c r="P963">
        <f>IF(G963=1,IF(H962=0,1,ABS(0.2-J962*B963/I963)+ABS(0.2-K962*C963/I963)+ABS(0.2-L962*D963/I963)+ABS(0.2-M962*E963/I963)+ABS(0.2-N962*F963/I963)),0)</f>
        <v/>
      </c>
      <c r="Q963">
        <f>P963*0.0015</f>
        <v/>
      </c>
      <c r="R963">
        <f>I963*(1-Q963)</f>
        <v/>
      </c>
      <c r="S963">
        <f>R963/R962-1</f>
        <v/>
      </c>
      <c r="T963">
        <f>MAX(T962,R963)</f>
        <v/>
      </c>
      <c r="U963">
        <f>R963/T963-1</f>
        <v/>
      </c>
      <c r="V963" t="n">
        <v>1.485914304064618</v>
      </c>
      <c r="W963" s="5">
        <f>R963-V963</f>
        <v/>
      </c>
    </row>
    <row r="964">
      <c r="A964" s="3" t="n">
        <v>39855</v>
      </c>
      <c r="B964">
        <f>Prices!B964</f>
        <v/>
      </c>
      <c r="C964">
        <f>Prices!C964</f>
        <v/>
      </c>
      <c r="D964">
        <f>Prices!D964</f>
        <v/>
      </c>
      <c r="E964">
        <f>Prices!E964</f>
        <v/>
      </c>
      <c r="F964">
        <f>Prices!F964</f>
        <v/>
      </c>
      <c r="G964">
        <f>IF(AND(962&gt;=16,TEXT(A964,"yyyy-mm")&lt;&gt;TEXT(A965,"yyyy-mm")),1,0)</f>
        <v/>
      </c>
      <c r="H964">
        <f>IF(OR(H963=1,G964=1),1,0)</f>
        <v/>
      </c>
      <c r="I964">
        <f>IF(H963=0,1,SUMPRODUCT(J963:N963,B964:F964)+O963*(1+0.00023125256064071564))</f>
        <v/>
      </c>
      <c r="J964">
        <f>IF(G964=1,0.2*R964/B964,J963)</f>
        <v/>
      </c>
      <c r="K964">
        <f>IF(G964=1,0.2*R964/C964,K963)</f>
        <v/>
      </c>
      <c r="L964">
        <f>IF(G964=1,0.2*R964/D964,L963)</f>
        <v/>
      </c>
      <c r="M964">
        <f>IF(G964=1,0.2*R964/E964,M963)</f>
        <v/>
      </c>
      <c r="N964">
        <f>IF(G964=1,0.2*R964/F964,N963)</f>
        <v/>
      </c>
      <c r="O964">
        <f>IF(G964=1,R964*(1-1.0),IF(H963=0,1,O963*(1+0.00023125256064071564)))</f>
        <v/>
      </c>
      <c r="P964">
        <f>IF(G964=1,IF(H963=0,1,ABS(0.2-J963*B964/I964)+ABS(0.2-K963*C964/I964)+ABS(0.2-L963*D964/I964)+ABS(0.2-M963*E964/I964)+ABS(0.2-N963*F964/I964)),0)</f>
        <v/>
      </c>
      <c r="Q964">
        <f>P964*0.0015</f>
        <v/>
      </c>
      <c r="R964">
        <f>I964*(1-Q964)</f>
        <v/>
      </c>
      <c r="S964">
        <f>R964/R963-1</f>
        <v/>
      </c>
      <c r="T964">
        <f>MAX(T963,R964)</f>
        <v/>
      </c>
      <c r="U964">
        <f>R964/T964-1</f>
        <v/>
      </c>
      <c r="V964" t="n">
        <v>1.485674312732529</v>
      </c>
      <c r="W964" s="5">
        <f>R964-V964</f>
        <v/>
      </c>
    </row>
    <row r="965">
      <c r="A965" s="3" t="n">
        <v>39856</v>
      </c>
      <c r="B965">
        <f>Prices!B965</f>
        <v/>
      </c>
      <c r="C965">
        <f>Prices!C965</f>
        <v/>
      </c>
      <c r="D965">
        <f>Prices!D965</f>
        <v/>
      </c>
      <c r="E965">
        <f>Prices!E965</f>
        <v/>
      </c>
      <c r="F965">
        <f>Prices!F965</f>
        <v/>
      </c>
      <c r="G965">
        <f>IF(AND(963&gt;=16,TEXT(A965,"yyyy-mm")&lt;&gt;TEXT(A966,"yyyy-mm")),1,0)</f>
        <v/>
      </c>
      <c r="H965">
        <f>IF(OR(H964=1,G965=1),1,0)</f>
        <v/>
      </c>
      <c r="I965">
        <f>IF(H964=0,1,SUMPRODUCT(J964:N964,B965:F965)+O964*(1+0.00023125256064071564))</f>
        <v/>
      </c>
      <c r="J965">
        <f>IF(G965=1,0.2*R965/B965,J964)</f>
        <v/>
      </c>
      <c r="K965">
        <f>IF(G965=1,0.2*R965/C965,K964)</f>
        <v/>
      </c>
      <c r="L965">
        <f>IF(G965=1,0.2*R965/D965,L964)</f>
        <v/>
      </c>
      <c r="M965">
        <f>IF(G965=1,0.2*R965/E965,M964)</f>
        <v/>
      </c>
      <c r="N965">
        <f>IF(G965=1,0.2*R965/F965,N964)</f>
        <v/>
      </c>
      <c r="O965">
        <f>IF(G965=1,R965*(1-1.0),IF(H964=0,1,O964*(1+0.00023125256064071564)))</f>
        <v/>
      </c>
      <c r="P965">
        <f>IF(G965=1,IF(H964=0,1,ABS(0.2-J964*B965/I965)+ABS(0.2-K964*C965/I965)+ABS(0.2-L964*D965/I965)+ABS(0.2-M964*E965/I965)+ABS(0.2-N964*F965/I965)),0)</f>
        <v/>
      </c>
      <c r="Q965">
        <f>P965*0.0015</f>
        <v/>
      </c>
      <c r="R965">
        <f>I965*(1-Q965)</f>
        <v/>
      </c>
      <c r="S965">
        <f>R965/R964-1</f>
        <v/>
      </c>
      <c r="T965">
        <f>MAX(T964,R965)</f>
        <v/>
      </c>
      <c r="U965">
        <f>R965/T965-1</f>
        <v/>
      </c>
      <c r="V965" t="n">
        <v>1.483332669631776</v>
      </c>
      <c r="W965" s="5">
        <f>R965-V965</f>
        <v/>
      </c>
    </row>
    <row r="966">
      <c r="A966" s="3" t="n">
        <v>39857</v>
      </c>
      <c r="B966">
        <f>Prices!B966</f>
        <v/>
      </c>
      <c r="C966">
        <f>Prices!C966</f>
        <v/>
      </c>
      <c r="D966">
        <f>Prices!D966</f>
        <v/>
      </c>
      <c r="E966">
        <f>Prices!E966</f>
        <v/>
      </c>
      <c r="F966">
        <f>Prices!F966</f>
        <v/>
      </c>
      <c r="G966">
        <f>IF(AND(964&gt;=16,TEXT(A966,"yyyy-mm")&lt;&gt;TEXT(A967,"yyyy-mm")),1,0)</f>
        <v/>
      </c>
      <c r="H966">
        <f>IF(OR(H965=1,G966=1),1,0)</f>
        <v/>
      </c>
      <c r="I966">
        <f>IF(H965=0,1,SUMPRODUCT(J965:N965,B966:F966)+O965*(1+0.00023125256064071564))</f>
        <v/>
      </c>
      <c r="J966">
        <f>IF(G966=1,0.2*R966/B966,J965)</f>
        <v/>
      </c>
      <c r="K966">
        <f>IF(G966=1,0.2*R966/C966,K965)</f>
        <v/>
      </c>
      <c r="L966">
        <f>IF(G966=1,0.2*R966/D966,L965)</f>
        <v/>
      </c>
      <c r="M966">
        <f>IF(G966=1,0.2*R966/E966,M965)</f>
        <v/>
      </c>
      <c r="N966">
        <f>IF(G966=1,0.2*R966/F966,N965)</f>
        <v/>
      </c>
      <c r="O966">
        <f>IF(G966=1,R966*(1-1.0),IF(H965=0,1,O965*(1+0.00023125256064071564)))</f>
        <v/>
      </c>
      <c r="P966">
        <f>IF(G966=1,IF(H965=0,1,ABS(0.2-J965*B966/I966)+ABS(0.2-K965*C966/I966)+ABS(0.2-L965*D966/I966)+ABS(0.2-M965*E966/I966)+ABS(0.2-N965*F966/I966)),0)</f>
        <v/>
      </c>
      <c r="Q966">
        <f>P966*0.0015</f>
        <v/>
      </c>
      <c r="R966">
        <f>I966*(1-Q966)</f>
        <v/>
      </c>
      <c r="S966">
        <f>R966/R965-1</f>
        <v/>
      </c>
      <c r="T966">
        <f>MAX(T965,R966)</f>
        <v/>
      </c>
      <c r="U966">
        <f>R966/T966-1</f>
        <v/>
      </c>
      <c r="V966" t="n">
        <v>1.497000593719621</v>
      </c>
      <c r="W966" s="5">
        <f>R966-V966</f>
        <v/>
      </c>
    </row>
    <row r="967">
      <c r="A967" s="3" t="n">
        <v>39860</v>
      </c>
      <c r="B967">
        <f>Prices!B967</f>
        <v/>
      </c>
      <c r="C967">
        <f>Prices!C967</f>
        <v/>
      </c>
      <c r="D967">
        <f>Prices!D967</f>
        <v/>
      </c>
      <c r="E967">
        <f>Prices!E967</f>
        <v/>
      </c>
      <c r="F967">
        <f>Prices!F967</f>
        <v/>
      </c>
      <c r="G967">
        <f>IF(AND(965&gt;=16,TEXT(A967,"yyyy-mm")&lt;&gt;TEXT(A968,"yyyy-mm")),1,0)</f>
        <v/>
      </c>
      <c r="H967">
        <f>IF(OR(H966=1,G967=1),1,0)</f>
        <v/>
      </c>
      <c r="I967">
        <f>IF(H966=0,1,SUMPRODUCT(J966:N966,B967:F967)+O966*(1+0.00023125256064071564))</f>
        <v/>
      </c>
      <c r="J967">
        <f>IF(G967=1,0.2*R967/B967,J966)</f>
        <v/>
      </c>
      <c r="K967">
        <f>IF(G967=1,0.2*R967/C967,K966)</f>
        <v/>
      </c>
      <c r="L967">
        <f>IF(G967=1,0.2*R967/D967,L966)</f>
        <v/>
      </c>
      <c r="M967">
        <f>IF(G967=1,0.2*R967/E967,M966)</f>
        <v/>
      </c>
      <c r="N967">
        <f>IF(G967=1,0.2*R967/F967,N966)</f>
        <v/>
      </c>
      <c r="O967">
        <f>IF(G967=1,R967*(1-1.0),IF(H966=0,1,O966*(1+0.00023125256064071564)))</f>
        <v/>
      </c>
      <c r="P967">
        <f>IF(G967=1,IF(H966=0,1,ABS(0.2-J966*B967/I967)+ABS(0.2-K966*C967/I967)+ABS(0.2-L966*D967/I967)+ABS(0.2-M966*E967/I967)+ABS(0.2-N966*F967/I967)),0)</f>
        <v/>
      </c>
      <c r="Q967">
        <f>P967*0.0015</f>
        <v/>
      </c>
      <c r="R967">
        <f>I967*(1-Q967)</f>
        <v/>
      </c>
      <c r="S967">
        <f>R967/R966-1</f>
        <v/>
      </c>
      <c r="T967">
        <f>MAX(T966,R967)</f>
        <v/>
      </c>
      <c r="U967">
        <f>R967/T967-1</f>
        <v/>
      </c>
      <c r="V967" t="n">
        <v>1.461795120619705</v>
      </c>
      <c r="W967" s="5">
        <f>R967-V967</f>
        <v/>
      </c>
    </row>
    <row r="968">
      <c r="A968" s="3" t="n">
        <v>39861</v>
      </c>
      <c r="B968">
        <f>Prices!B968</f>
        <v/>
      </c>
      <c r="C968">
        <f>Prices!C968</f>
        <v/>
      </c>
      <c r="D968">
        <f>Prices!D968</f>
        <v/>
      </c>
      <c r="E968">
        <f>Prices!E968</f>
        <v/>
      </c>
      <c r="F968">
        <f>Prices!F968</f>
        <v/>
      </c>
      <c r="G968">
        <f>IF(AND(966&gt;=16,TEXT(A968,"yyyy-mm")&lt;&gt;TEXT(A969,"yyyy-mm")),1,0)</f>
        <v/>
      </c>
      <c r="H968">
        <f>IF(OR(H967=1,G968=1),1,0)</f>
        <v/>
      </c>
      <c r="I968">
        <f>IF(H967=0,1,SUMPRODUCT(J967:N967,B968:F968)+O967*(1+0.00023125256064071564))</f>
        <v/>
      </c>
      <c r="J968">
        <f>IF(G968=1,0.2*R968/B968,J967)</f>
        <v/>
      </c>
      <c r="K968">
        <f>IF(G968=1,0.2*R968/C968,K967)</f>
        <v/>
      </c>
      <c r="L968">
        <f>IF(G968=1,0.2*R968/D968,L967)</f>
        <v/>
      </c>
      <c r="M968">
        <f>IF(G968=1,0.2*R968/E968,M967)</f>
        <v/>
      </c>
      <c r="N968">
        <f>IF(G968=1,0.2*R968/F968,N967)</f>
        <v/>
      </c>
      <c r="O968">
        <f>IF(G968=1,R968*(1-1.0),IF(H967=0,1,O967*(1+0.00023125256064071564)))</f>
        <v/>
      </c>
      <c r="P968">
        <f>IF(G968=1,IF(H967=0,1,ABS(0.2-J967*B968/I968)+ABS(0.2-K967*C968/I968)+ABS(0.2-L967*D968/I968)+ABS(0.2-M967*E968/I968)+ABS(0.2-N967*F968/I968)),0)</f>
        <v/>
      </c>
      <c r="Q968">
        <f>P968*0.0015</f>
        <v/>
      </c>
      <c r="R968">
        <f>I968*(1-Q968)</f>
        <v/>
      </c>
      <c r="S968">
        <f>R968/R967-1</f>
        <v/>
      </c>
      <c r="T968">
        <f>MAX(T967,R968)</f>
        <v/>
      </c>
      <c r="U968">
        <f>R968/T968-1</f>
        <v/>
      </c>
      <c r="V968" t="n">
        <v>1.434432412008747</v>
      </c>
      <c r="W968" s="5">
        <f>R968-V968</f>
        <v/>
      </c>
    </row>
    <row r="969">
      <c r="A969" s="3" t="n">
        <v>39862</v>
      </c>
      <c r="B969">
        <f>Prices!B969</f>
        <v/>
      </c>
      <c r="C969">
        <f>Prices!C969</f>
        <v/>
      </c>
      <c r="D969">
        <f>Prices!D969</f>
        <v/>
      </c>
      <c r="E969">
        <f>Prices!E969</f>
        <v/>
      </c>
      <c r="F969">
        <f>Prices!F969</f>
        <v/>
      </c>
      <c r="G969">
        <f>IF(AND(967&gt;=16,TEXT(A969,"yyyy-mm")&lt;&gt;TEXT(A970,"yyyy-mm")),1,0)</f>
        <v/>
      </c>
      <c r="H969">
        <f>IF(OR(H968=1,G969=1),1,0)</f>
        <v/>
      </c>
      <c r="I969">
        <f>IF(H968=0,1,SUMPRODUCT(J968:N968,B969:F969)+O968*(1+0.00023125256064071564))</f>
        <v/>
      </c>
      <c r="J969">
        <f>IF(G969=1,0.2*R969/B969,J968)</f>
        <v/>
      </c>
      <c r="K969">
        <f>IF(G969=1,0.2*R969/C969,K968)</f>
        <v/>
      </c>
      <c r="L969">
        <f>IF(G969=1,0.2*R969/D969,L968)</f>
        <v/>
      </c>
      <c r="M969">
        <f>IF(G969=1,0.2*R969/E969,M968)</f>
        <v/>
      </c>
      <c r="N969">
        <f>IF(G969=1,0.2*R969/F969,N968)</f>
        <v/>
      </c>
      <c r="O969">
        <f>IF(G969=1,R969*(1-1.0),IF(H968=0,1,O968*(1+0.00023125256064071564)))</f>
        <v/>
      </c>
      <c r="P969">
        <f>IF(G969=1,IF(H968=0,1,ABS(0.2-J968*B969/I969)+ABS(0.2-K968*C969/I969)+ABS(0.2-L968*D969/I969)+ABS(0.2-M968*E969/I969)+ABS(0.2-N968*F969/I969)),0)</f>
        <v/>
      </c>
      <c r="Q969">
        <f>P969*0.0015</f>
        <v/>
      </c>
      <c r="R969">
        <f>I969*(1-Q969)</f>
        <v/>
      </c>
      <c r="S969">
        <f>R969/R968-1</f>
        <v/>
      </c>
      <c r="T969">
        <f>MAX(T968,R969)</f>
        <v/>
      </c>
      <c r="U969">
        <f>R969/T969-1</f>
        <v/>
      </c>
      <c r="V969" t="n">
        <v>1.433013980135063</v>
      </c>
      <c r="W969" s="5">
        <f>R969-V969</f>
        <v/>
      </c>
    </row>
    <row r="970">
      <c r="A970" s="3" t="n">
        <v>39863</v>
      </c>
      <c r="B970">
        <f>Prices!B970</f>
        <v/>
      </c>
      <c r="C970">
        <f>Prices!C970</f>
        <v/>
      </c>
      <c r="D970">
        <f>Prices!D970</f>
        <v/>
      </c>
      <c r="E970">
        <f>Prices!E970</f>
        <v/>
      </c>
      <c r="F970">
        <f>Prices!F970</f>
        <v/>
      </c>
      <c r="G970">
        <f>IF(AND(968&gt;=16,TEXT(A970,"yyyy-mm")&lt;&gt;TEXT(A971,"yyyy-mm")),1,0)</f>
        <v/>
      </c>
      <c r="H970">
        <f>IF(OR(H969=1,G970=1),1,0)</f>
        <v/>
      </c>
      <c r="I970">
        <f>IF(H969=0,1,SUMPRODUCT(J969:N969,B970:F970)+O969*(1+0.00023125256064071564))</f>
        <v/>
      </c>
      <c r="J970">
        <f>IF(G970=1,0.2*R970/B970,J969)</f>
        <v/>
      </c>
      <c r="K970">
        <f>IF(G970=1,0.2*R970/C970,K969)</f>
        <v/>
      </c>
      <c r="L970">
        <f>IF(G970=1,0.2*R970/D970,L969)</f>
        <v/>
      </c>
      <c r="M970">
        <f>IF(G970=1,0.2*R970/E970,M969)</f>
        <v/>
      </c>
      <c r="N970">
        <f>IF(G970=1,0.2*R970/F970,N969)</f>
        <v/>
      </c>
      <c r="O970">
        <f>IF(G970=1,R970*(1-1.0),IF(H969=0,1,O969*(1+0.00023125256064071564)))</f>
        <v/>
      </c>
      <c r="P970">
        <f>IF(G970=1,IF(H969=0,1,ABS(0.2-J969*B970/I970)+ABS(0.2-K969*C970/I970)+ABS(0.2-L969*D970/I970)+ABS(0.2-M969*E970/I970)+ABS(0.2-N969*F970/I970)),0)</f>
        <v/>
      </c>
      <c r="Q970">
        <f>P970*0.0015</f>
        <v/>
      </c>
      <c r="R970">
        <f>I970*(1-Q970)</f>
        <v/>
      </c>
      <c r="S970">
        <f>R970/R969-1</f>
        <v/>
      </c>
      <c r="T970">
        <f>MAX(T969,R970)</f>
        <v/>
      </c>
      <c r="U970">
        <f>R970/T970-1</f>
        <v/>
      </c>
      <c r="V970" t="n">
        <v>1.433620926279293</v>
      </c>
      <c r="W970" s="5">
        <f>R970-V970</f>
        <v/>
      </c>
    </row>
    <row r="971">
      <c r="A971" s="3" t="n">
        <v>39864</v>
      </c>
      <c r="B971">
        <f>Prices!B971</f>
        <v/>
      </c>
      <c r="C971">
        <f>Prices!C971</f>
        <v/>
      </c>
      <c r="D971">
        <f>Prices!D971</f>
        <v/>
      </c>
      <c r="E971">
        <f>Prices!E971</f>
        <v/>
      </c>
      <c r="F971">
        <f>Prices!F971</f>
        <v/>
      </c>
      <c r="G971">
        <f>IF(AND(969&gt;=16,TEXT(A971,"yyyy-mm")&lt;&gt;TEXT(A972,"yyyy-mm")),1,0)</f>
        <v/>
      </c>
      <c r="H971">
        <f>IF(OR(H970=1,G971=1),1,0)</f>
        <v/>
      </c>
      <c r="I971">
        <f>IF(H970=0,1,SUMPRODUCT(J970:N970,B971:F971)+O970*(1+0.00023125256064071564))</f>
        <v/>
      </c>
      <c r="J971">
        <f>IF(G971=1,0.2*R971/B971,J970)</f>
        <v/>
      </c>
      <c r="K971">
        <f>IF(G971=1,0.2*R971/C971,K970)</f>
        <v/>
      </c>
      <c r="L971">
        <f>IF(G971=1,0.2*R971/D971,L970)</f>
        <v/>
      </c>
      <c r="M971">
        <f>IF(G971=1,0.2*R971/E971,M970)</f>
        <v/>
      </c>
      <c r="N971">
        <f>IF(G971=1,0.2*R971/F971,N970)</f>
        <v/>
      </c>
      <c r="O971">
        <f>IF(G971=1,R971*(1-1.0),IF(H970=0,1,O970*(1+0.00023125256064071564)))</f>
        <v/>
      </c>
      <c r="P971">
        <f>IF(G971=1,IF(H970=0,1,ABS(0.2-J970*B971/I971)+ABS(0.2-K970*C971/I971)+ABS(0.2-L970*D971/I971)+ABS(0.2-M970*E971/I971)+ABS(0.2-N970*F971/I971)),0)</f>
        <v/>
      </c>
      <c r="Q971">
        <f>P971*0.0015</f>
        <v/>
      </c>
      <c r="R971">
        <f>I971*(1-Q971)</f>
        <v/>
      </c>
      <c r="S971">
        <f>R971/R970-1</f>
        <v/>
      </c>
      <c r="T971">
        <f>MAX(T970,R971)</f>
        <v/>
      </c>
      <c r="U971">
        <f>R971/T971-1</f>
        <v/>
      </c>
      <c r="V971" t="n">
        <v>1.414201407971798</v>
      </c>
      <c r="W971" s="5">
        <f>R971-V971</f>
        <v/>
      </c>
    </row>
    <row r="972">
      <c r="A972" s="3" t="n">
        <v>39868</v>
      </c>
      <c r="B972">
        <f>Prices!B972</f>
        <v/>
      </c>
      <c r="C972">
        <f>Prices!C972</f>
        <v/>
      </c>
      <c r="D972">
        <f>Prices!D972</f>
        <v/>
      </c>
      <c r="E972">
        <f>Prices!E972</f>
        <v/>
      </c>
      <c r="F972">
        <f>Prices!F972</f>
        <v/>
      </c>
      <c r="G972">
        <f>IF(AND(970&gt;=16,TEXT(A972,"yyyy-mm")&lt;&gt;TEXT(A973,"yyyy-mm")),1,0)</f>
        <v/>
      </c>
      <c r="H972">
        <f>IF(OR(H971=1,G972=1),1,0)</f>
        <v/>
      </c>
      <c r="I972">
        <f>IF(H971=0,1,SUMPRODUCT(J971:N971,B972:F972)+O971*(1+0.00023125256064071564))</f>
        <v/>
      </c>
      <c r="J972">
        <f>IF(G972=1,0.2*R972/B972,J971)</f>
        <v/>
      </c>
      <c r="K972">
        <f>IF(G972=1,0.2*R972/C972,K971)</f>
        <v/>
      </c>
      <c r="L972">
        <f>IF(G972=1,0.2*R972/D972,L971)</f>
        <v/>
      </c>
      <c r="M972">
        <f>IF(G972=1,0.2*R972/E972,M971)</f>
        <v/>
      </c>
      <c r="N972">
        <f>IF(G972=1,0.2*R972/F972,N971)</f>
        <v/>
      </c>
      <c r="O972">
        <f>IF(G972=1,R972*(1-1.0),IF(H971=0,1,O971*(1+0.00023125256064071564)))</f>
        <v/>
      </c>
      <c r="P972">
        <f>IF(G972=1,IF(H971=0,1,ABS(0.2-J971*B972/I972)+ABS(0.2-K971*C972/I972)+ABS(0.2-L971*D972/I972)+ABS(0.2-M971*E972/I972)+ABS(0.2-N971*F972/I972)),0)</f>
        <v/>
      </c>
      <c r="Q972">
        <f>P972*0.0015</f>
        <v/>
      </c>
      <c r="R972">
        <f>I972*(1-Q972)</f>
        <v/>
      </c>
      <c r="S972">
        <f>R972/R971-1</f>
        <v/>
      </c>
      <c r="T972">
        <f>MAX(T971,R972)</f>
        <v/>
      </c>
      <c r="U972">
        <f>R972/T972-1</f>
        <v/>
      </c>
      <c r="V972" t="n">
        <v>1.39850246566854</v>
      </c>
      <c r="W972" s="5">
        <f>R972-V972</f>
        <v/>
      </c>
    </row>
    <row r="973">
      <c r="A973" s="3" t="n">
        <v>39869</v>
      </c>
      <c r="B973">
        <f>Prices!B973</f>
        <v/>
      </c>
      <c r="C973">
        <f>Prices!C973</f>
        <v/>
      </c>
      <c r="D973">
        <f>Prices!D973</f>
        <v/>
      </c>
      <c r="E973">
        <f>Prices!E973</f>
        <v/>
      </c>
      <c r="F973">
        <f>Prices!F973</f>
        <v/>
      </c>
      <c r="G973">
        <f>IF(AND(971&gt;=16,TEXT(A973,"yyyy-mm")&lt;&gt;TEXT(A974,"yyyy-mm")),1,0)</f>
        <v/>
      </c>
      <c r="H973">
        <f>IF(OR(H972=1,G973=1),1,0)</f>
        <v/>
      </c>
      <c r="I973">
        <f>IF(H972=0,1,SUMPRODUCT(J972:N972,B973:F973)+O972*(1+0.00023125256064071564))</f>
        <v/>
      </c>
      <c r="J973">
        <f>IF(G973=1,0.2*R973/B973,J972)</f>
        <v/>
      </c>
      <c r="K973">
        <f>IF(G973=1,0.2*R973/C973,K972)</f>
        <v/>
      </c>
      <c r="L973">
        <f>IF(G973=1,0.2*R973/D973,L972)</f>
        <v/>
      </c>
      <c r="M973">
        <f>IF(G973=1,0.2*R973/E973,M972)</f>
        <v/>
      </c>
      <c r="N973">
        <f>IF(G973=1,0.2*R973/F973,N972)</f>
        <v/>
      </c>
      <c r="O973">
        <f>IF(G973=1,R973*(1-1.0),IF(H972=0,1,O972*(1+0.00023125256064071564)))</f>
        <v/>
      </c>
      <c r="P973">
        <f>IF(G973=1,IF(H972=0,1,ABS(0.2-J972*B973/I973)+ABS(0.2-K972*C973/I973)+ABS(0.2-L972*D973/I973)+ABS(0.2-M972*E973/I973)+ABS(0.2-N972*F973/I973)),0)</f>
        <v/>
      </c>
      <c r="Q973">
        <f>P973*0.0015</f>
        <v/>
      </c>
      <c r="R973">
        <f>I973*(1-Q973)</f>
        <v/>
      </c>
      <c r="S973">
        <f>R973/R972-1</f>
        <v/>
      </c>
      <c r="T973">
        <f>MAX(T972,R973)</f>
        <v/>
      </c>
      <c r="U973">
        <f>R973/T973-1</f>
        <v/>
      </c>
      <c r="V973" t="n">
        <v>1.406445898125003</v>
      </c>
      <c r="W973" s="5">
        <f>R973-V973</f>
        <v/>
      </c>
    </row>
    <row r="974">
      <c r="A974" s="3" t="n">
        <v>39870</v>
      </c>
      <c r="B974">
        <f>Prices!B974</f>
        <v/>
      </c>
      <c r="C974">
        <f>Prices!C974</f>
        <v/>
      </c>
      <c r="D974">
        <f>Prices!D974</f>
        <v/>
      </c>
      <c r="E974">
        <f>Prices!E974</f>
        <v/>
      </c>
      <c r="F974">
        <f>Prices!F974</f>
        <v/>
      </c>
      <c r="G974">
        <f>IF(AND(972&gt;=16,TEXT(A974,"yyyy-mm")&lt;&gt;TEXT(A975,"yyyy-mm")),1,0)</f>
        <v/>
      </c>
      <c r="H974">
        <f>IF(OR(H973=1,G974=1),1,0)</f>
        <v/>
      </c>
      <c r="I974">
        <f>IF(H973=0,1,SUMPRODUCT(J973:N973,B974:F974)+O973*(1+0.00023125256064071564))</f>
        <v/>
      </c>
      <c r="J974">
        <f>IF(G974=1,0.2*R974/B974,J973)</f>
        <v/>
      </c>
      <c r="K974">
        <f>IF(G974=1,0.2*R974/C974,K973)</f>
        <v/>
      </c>
      <c r="L974">
        <f>IF(G974=1,0.2*R974/D974,L973)</f>
        <v/>
      </c>
      <c r="M974">
        <f>IF(G974=1,0.2*R974/E974,M973)</f>
        <v/>
      </c>
      <c r="N974">
        <f>IF(G974=1,0.2*R974/F974,N973)</f>
        <v/>
      </c>
      <c r="O974">
        <f>IF(G974=1,R974*(1-1.0),IF(H973=0,1,O973*(1+0.00023125256064071564)))</f>
        <v/>
      </c>
      <c r="P974">
        <f>IF(G974=1,IF(H973=0,1,ABS(0.2-J973*B974/I974)+ABS(0.2-K973*C974/I974)+ABS(0.2-L973*D974/I974)+ABS(0.2-M973*E974/I974)+ABS(0.2-N973*F974/I974)),0)</f>
        <v/>
      </c>
      <c r="Q974">
        <f>P974*0.0015</f>
        <v/>
      </c>
      <c r="R974">
        <f>I974*(1-Q974)</f>
        <v/>
      </c>
      <c r="S974">
        <f>R974/R973-1</f>
        <v/>
      </c>
      <c r="T974">
        <f>MAX(T973,R974)</f>
        <v/>
      </c>
      <c r="U974">
        <f>R974/T974-1</f>
        <v/>
      </c>
      <c r="V974" t="n">
        <v>1.405412733186983</v>
      </c>
      <c r="W974" s="5">
        <f>R974-V974</f>
        <v/>
      </c>
    </row>
    <row r="975">
      <c r="A975" s="3" t="n">
        <v>39871</v>
      </c>
      <c r="B975">
        <f>Prices!B975</f>
        <v/>
      </c>
      <c r="C975">
        <f>Prices!C975</f>
        <v/>
      </c>
      <c r="D975">
        <f>Prices!D975</f>
        <v/>
      </c>
      <c r="E975">
        <f>Prices!E975</f>
        <v/>
      </c>
      <c r="F975">
        <f>Prices!F975</f>
        <v/>
      </c>
      <c r="G975">
        <f>IF(AND(973&gt;=16,TEXT(A975,"yyyy-mm")&lt;&gt;TEXT(A976,"yyyy-mm")),1,0)</f>
        <v/>
      </c>
      <c r="H975">
        <f>IF(OR(H974=1,G975=1),1,0)</f>
        <v/>
      </c>
      <c r="I975">
        <f>IF(H974=0,1,SUMPRODUCT(J974:N974,B975:F975)+O974*(1+0.00023125256064071564))</f>
        <v/>
      </c>
      <c r="J975">
        <f>IF(G975=1,0.2*R975/B975,J974)</f>
        <v/>
      </c>
      <c r="K975">
        <f>IF(G975=1,0.2*R975/C975,K974)</f>
        <v/>
      </c>
      <c r="L975">
        <f>IF(G975=1,0.2*R975/D975,L974)</f>
        <v/>
      </c>
      <c r="M975">
        <f>IF(G975=1,0.2*R975/E975,M974)</f>
        <v/>
      </c>
      <c r="N975">
        <f>IF(G975=1,0.2*R975/F975,N974)</f>
        <v/>
      </c>
      <c r="O975">
        <f>IF(G975=1,R975*(1-1.0),IF(H974=0,1,O974*(1+0.00023125256064071564)))</f>
        <v/>
      </c>
      <c r="P975">
        <f>IF(G975=1,IF(H974=0,1,ABS(0.2-J974*B975/I975)+ABS(0.2-K974*C975/I975)+ABS(0.2-L974*D975/I975)+ABS(0.2-M974*E975/I975)+ABS(0.2-N974*F975/I975)),0)</f>
        <v/>
      </c>
      <c r="Q975">
        <f>P975*0.0015</f>
        <v/>
      </c>
      <c r="R975">
        <f>I975*(1-Q975)</f>
        <v/>
      </c>
      <c r="S975">
        <f>R975/R974-1</f>
        <v/>
      </c>
      <c r="T975">
        <f>MAX(T974,R975)</f>
        <v/>
      </c>
      <c r="U975">
        <f>R975/T975-1</f>
        <v/>
      </c>
      <c r="V975" t="n">
        <v>1.405028240336239</v>
      </c>
      <c r="W975" s="5">
        <f>R975-V975</f>
        <v/>
      </c>
    </row>
    <row r="976">
      <c r="A976" s="3" t="n">
        <v>39874</v>
      </c>
      <c r="B976">
        <f>Prices!B976</f>
        <v/>
      </c>
      <c r="C976">
        <f>Prices!C976</f>
        <v/>
      </c>
      <c r="D976">
        <f>Prices!D976</f>
        <v/>
      </c>
      <c r="E976">
        <f>Prices!E976</f>
        <v/>
      </c>
      <c r="F976">
        <f>Prices!F976</f>
        <v/>
      </c>
      <c r="G976">
        <f>IF(AND(974&gt;=16,TEXT(A976,"yyyy-mm")&lt;&gt;TEXT(A977,"yyyy-mm")),1,0)</f>
        <v/>
      </c>
      <c r="H976">
        <f>IF(OR(H975=1,G976=1),1,0)</f>
        <v/>
      </c>
      <c r="I976">
        <f>IF(H975=0,1,SUMPRODUCT(J975:N975,B976:F976)+O975*(1+0.00023125256064071564))</f>
        <v/>
      </c>
      <c r="J976">
        <f>IF(G976=1,0.2*R976/B976,J975)</f>
        <v/>
      </c>
      <c r="K976">
        <f>IF(G976=1,0.2*R976/C976,K975)</f>
        <v/>
      </c>
      <c r="L976">
        <f>IF(G976=1,0.2*R976/D976,L975)</f>
        <v/>
      </c>
      <c r="M976">
        <f>IF(G976=1,0.2*R976/E976,M975)</f>
        <v/>
      </c>
      <c r="N976">
        <f>IF(G976=1,0.2*R976/F976,N975)</f>
        <v/>
      </c>
      <c r="O976">
        <f>IF(G976=1,R976*(1-1.0),IF(H975=0,1,O975*(1+0.00023125256064071564)))</f>
        <v/>
      </c>
      <c r="P976">
        <f>IF(G976=1,IF(H975=0,1,ABS(0.2-J975*B976/I976)+ABS(0.2-K975*C976/I976)+ABS(0.2-L975*D976/I976)+ABS(0.2-M975*E976/I976)+ABS(0.2-N975*F976/I976)),0)</f>
        <v/>
      </c>
      <c r="Q976">
        <f>P976*0.0015</f>
        <v/>
      </c>
      <c r="R976">
        <f>I976*(1-Q976)</f>
        <v/>
      </c>
      <c r="S976">
        <f>R976/R975-1</f>
        <v/>
      </c>
      <c r="T976">
        <f>MAX(T975,R976)</f>
        <v/>
      </c>
      <c r="U976">
        <f>R976/T976-1</f>
        <v/>
      </c>
      <c r="V976" t="n">
        <v>1.374930034007146</v>
      </c>
      <c r="W976" s="5">
        <f>R976-V976</f>
        <v/>
      </c>
    </row>
    <row r="977">
      <c r="A977" s="3" t="n">
        <v>39875</v>
      </c>
      <c r="B977">
        <f>Prices!B977</f>
        <v/>
      </c>
      <c r="C977">
        <f>Prices!C977</f>
        <v/>
      </c>
      <c r="D977">
        <f>Prices!D977</f>
        <v/>
      </c>
      <c r="E977">
        <f>Prices!E977</f>
        <v/>
      </c>
      <c r="F977">
        <f>Prices!F977</f>
        <v/>
      </c>
      <c r="G977">
        <f>IF(AND(975&gt;=16,TEXT(A977,"yyyy-mm")&lt;&gt;TEXT(A978,"yyyy-mm")),1,0)</f>
        <v/>
      </c>
      <c r="H977">
        <f>IF(OR(H976=1,G977=1),1,0)</f>
        <v/>
      </c>
      <c r="I977">
        <f>IF(H976=0,1,SUMPRODUCT(J976:N976,B977:F977)+O976*(1+0.00023125256064071564))</f>
        <v/>
      </c>
      <c r="J977">
        <f>IF(G977=1,0.2*R977/B977,J976)</f>
        <v/>
      </c>
      <c r="K977">
        <f>IF(G977=1,0.2*R977/C977,K976)</f>
        <v/>
      </c>
      <c r="L977">
        <f>IF(G977=1,0.2*R977/D977,L976)</f>
        <v/>
      </c>
      <c r="M977">
        <f>IF(G977=1,0.2*R977/E977,M976)</f>
        <v/>
      </c>
      <c r="N977">
        <f>IF(G977=1,0.2*R977/F977,N976)</f>
        <v/>
      </c>
      <c r="O977">
        <f>IF(G977=1,R977*(1-1.0),IF(H976=0,1,O976*(1+0.00023125256064071564)))</f>
        <v/>
      </c>
      <c r="P977">
        <f>IF(G977=1,IF(H976=0,1,ABS(0.2-J976*B977/I977)+ABS(0.2-K976*C977/I977)+ABS(0.2-L976*D977/I977)+ABS(0.2-M976*E977/I977)+ABS(0.2-N976*F977/I977)),0)</f>
        <v/>
      </c>
      <c r="Q977">
        <f>P977*0.0015</f>
        <v/>
      </c>
      <c r="R977">
        <f>I977*(1-Q977)</f>
        <v/>
      </c>
      <c r="S977">
        <f>R977/R976-1</f>
        <v/>
      </c>
      <c r="T977">
        <f>MAX(T976,R977)</f>
        <v/>
      </c>
      <c r="U977">
        <f>R977/T977-1</f>
        <v/>
      </c>
      <c r="V977" t="n">
        <v>1.35466658642887</v>
      </c>
      <c r="W977" s="5">
        <f>R977-V977</f>
        <v/>
      </c>
    </row>
    <row r="978">
      <c r="A978" s="3" t="n">
        <v>39876</v>
      </c>
      <c r="B978">
        <f>Prices!B978</f>
        <v/>
      </c>
      <c r="C978">
        <f>Prices!C978</f>
        <v/>
      </c>
      <c r="D978">
        <f>Prices!D978</f>
        <v/>
      </c>
      <c r="E978">
        <f>Prices!E978</f>
        <v/>
      </c>
      <c r="F978">
        <f>Prices!F978</f>
        <v/>
      </c>
      <c r="G978">
        <f>IF(AND(976&gt;=16,TEXT(A978,"yyyy-mm")&lt;&gt;TEXT(A979,"yyyy-mm")),1,0)</f>
        <v/>
      </c>
      <c r="H978">
        <f>IF(OR(H977=1,G978=1),1,0)</f>
        <v/>
      </c>
      <c r="I978">
        <f>IF(H977=0,1,SUMPRODUCT(J977:N977,B978:F978)+O977*(1+0.00023125256064071564))</f>
        <v/>
      </c>
      <c r="J978">
        <f>IF(G978=1,0.2*R978/B978,J977)</f>
        <v/>
      </c>
      <c r="K978">
        <f>IF(G978=1,0.2*R978/C978,K977)</f>
        <v/>
      </c>
      <c r="L978">
        <f>IF(G978=1,0.2*R978/D978,L977)</f>
        <v/>
      </c>
      <c r="M978">
        <f>IF(G978=1,0.2*R978/E978,M977)</f>
        <v/>
      </c>
      <c r="N978">
        <f>IF(G978=1,0.2*R978/F978,N977)</f>
        <v/>
      </c>
      <c r="O978">
        <f>IF(G978=1,R978*(1-1.0),IF(H977=0,1,O977*(1+0.00023125256064071564)))</f>
        <v/>
      </c>
      <c r="P978">
        <f>IF(G978=1,IF(H977=0,1,ABS(0.2-J977*B978/I978)+ABS(0.2-K977*C978/I978)+ABS(0.2-L977*D978/I978)+ABS(0.2-M977*E978/I978)+ABS(0.2-N977*F978/I978)),0)</f>
        <v/>
      </c>
      <c r="Q978">
        <f>P978*0.0015</f>
        <v/>
      </c>
      <c r="R978">
        <f>I978*(1-Q978)</f>
        <v/>
      </c>
      <c r="S978">
        <f>R978/R977-1</f>
        <v/>
      </c>
      <c r="T978">
        <f>MAX(T977,R978)</f>
        <v/>
      </c>
      <c r="U978">
        <f>R978/T978-1</f>
        <v/>
      </c>
      <c r="V978" t="n">
        <v>1.364203902083431</v>
      </c>
      <c r="W978" s="5">
        <f>R978-V978</f>
        <v/>
      </c>
    </row>
    <row r="979">
      <c r="A979" s="3" t="n">
        <v>39877</v>
      </c>
      <c r="B979">
        <f>Prices!B979</f>
        <v/>
      </c>
      <c r="C979">
        <f>Prices!C979</f>
        <v/>
      </c>
      <c r="D979">
        <f>Prices!D979</f>
        <v/>
      </c>
      <c r="E979">
        <f>Prices!E979</f>
        <v/>
      </c>
      <c r="F979">
        <f>Prices!F979</f>
        <v/>
      </c>
      <c r="G979">
        <f>IF(AND(977&gt;=16,TEXT(A979,"yyyy-mm")&lt;&gt;TEXT(A980,"yyyy-mm")),1,0)</f>
        <v/>
      </c>
      <c r="H979">
        <f>IF(OR(H978=1,G979=1),1,0)</f>
        <v/>
      </c>
      <c r="I979">
        <f>IF(H978=0,1,SUMPRODUCT(J978:N978,B979:F979)+O978*(1+0.00023125256064071564))</f>
        <v/>
      </c>
      <c r="J979">
        <f>IF(G979=1,0.2*R979/B979,J978)</f>
        <v/>
      </c>
      <c r="K979">
        <f>IF(G979=1,0.2*R979/C979,K978)</f>
        <v/>
      </c>
      <c r="L979">
        <f>IF(G979=1,0.2*R979/D979,L978)</f>
        <v/>
      </c>
      <c r="M979">
        <f>IF(G979=1,0.2*R979/E979,M978)</f>
        <v/>
      </c>
      <c r="N979">
        <f>IF(G979=1,0.2*R979/F979,N978)</f>
        <v/>
      </c>
      <c r="O979">
        <f>IF(G979=1,R979*(1-1.0),IF(H978=0,1,O978*(1+0.00023125256064071564)))</f>
        <v/>
      </c>
      <c r="P979">
        <f>IF(G979=1,IF(H978=0,1,ABS(0.2-J978*B979/I979)+ABS(0.2-K978*C979/I979)+ABS(0.2-L978*D979/I979)+ABS(0.2-M978*E979/I979)+ABS(0.2-N978*F979/I979)),0)</f>
        <v/>
      </c>
      <c r="Q979">
        <f>P979*0.0015</f>
        <v/>
      </c>
      <c r="R979">
        <f>I979*(1-Q979)</f>
        <v/>
      </c>
      <c r="S979">
        <f>R979/R978-1</f>
        <v/>
      </c>
      <c r="T979">
        <f>MAX(T978,R979)</f>
        <v/>
      </c>
      <c r="U979">
        <f>R979/T979-1</f>
        <v/>
      </c>
      <c r="V979" t="n">
        <v>1.338091748359355</v>
      </c>
      <c r="W979" s="5">
        <f>R979-V979</f>
        <v/>
      </c>
    </row>
    <row r="980">
      <c r="A980" s="3" t="n">
        <v>39878</v>
      </c>
      <c r="B980">
        <f>Prices!B980</f>
        <v/>
      </c>
      <c r="C980">
        <f>Prices!C980</f>
        <v/>
      </c>
      <c r="D980">
        <f>Prices!D980</f>
        <v/>
      </c>
      <c r="E980">
        <f>Prices!E980</f>
        <v/>
      </c>
      <c r="F980">
        <f>Prices!F980</f>
        <v/>
      </c>
      <c r="G980">
        <f>IF(AND(978&gt;=16,TEXT(A980,"yyyy-mm")&lt;&gt;TEXT(A981,"yyyy-mm")),1,0)</f>
        <v/>
      </c>
      <c r="H980">
        <f>IF(OR(H979=1,G980=1),1,0)</f>
        <v/>
      </c>
      <c r="I980">
        <f>IF(H979=0,1,SUMPRODUCT(J979:N979,B980:F980)+O979*(1+0.00023125256064071564))</f>
        <v/>
      </c>
      <c r="J980">
        <f>IF(G980=1,0.2*R980/B980,J979)</f>
        <v/>
      </c>
      <c r="K980">
        <f>IF(G980=1,0.2*R980/C980,K979)</f>
        <v/>
      </c>
      <c r="L980">
        <f>IF(G980=1,0.2*R980/D980,L979)</f>
        <v/>
      </c>
      <c r="M980">
        <f>IF(G980=1,0.2*R980/E980,M979)</f>
        <v/>
      </c>
      <c r="N980">
        <f>IF(G980=1,0.2*R980/F980,N979)</f>
        <v/>
      </c>
      <c r="O980">
        <f>IF(G980=1,R980*(1-1.0),IF(H979=0,1,O979*(1+0.00023125256064071564)))</f>
        <v/>
      </c>
      <c r="P980">
        <f>IF(G980=1,IF(H979=0,1,ABS(0.2-J979*B980/I980)+ABS(0.2-K979*C980/I980)+ABS(0.2-L979*D980/I980)+ABS(0.2-M979*E980/I980)+ABS(0.2-N979*F980/I980)),0)</f>
        <v/>
      </c>
      <c r="Q980">
        <f>P980*0.0015</f>
        <v/>
      </c>
      <c r="R980">
        <f>I980*(1-Q980)</f>
        <v/>
      </c>
      <c r="S980">
        <f>R980/R979-1</f>
        <v/>
      </c>
      <c r="T980">
        <f>MAX(T979,R980)</f>
        <v/>
      </c>
      <c r="U980">
        <f>R980/T980-1</f>
        <v/>
      </c>
      <c r="V980" t="n">
        <v>1.340107624330451</v>
      </c>
      <c r="W980" s="5">
        <f>R980-V980</f>
        <v/>
      </c>
    </row>
    <row r="981">
      <c r="A981" s="3" t="n">
        <v>39881</v>
      </c>
      <c r="B981">
        <f>Prices!B981</f>
        <v/>
      </c>
      <c r="C981">
        <f>Prices!C981</f>
        <v/>
      </c>
      <c r="D981">
        <f>Prices!D981</f>
        <v/>
      </c>
      <c r="E981">
        <f>Prices!E981</f>
        <v/>
      </c>
      <c r="F981">
        <f>Prices!F981</f>
        <v/>
      </c>
      <c r="G981">
        <f>IF(AND(979&gt;=16,TEXT(A981,"yyyy-mm")&lt;&gt;TEXT(A982,"yyyy-mm")),1,0)</f>
        <v/>
      </c>
      <c r="H981">
        <f>IF(OR(H980=1,G981=1),1,0)</f>
        <v/>
      </c>
      <c r="I981">
        <f>IF(H980=0,1,SUMPRODUCT(J980:N980,B981:F981)+O980*(1+0.00023125256064071564))</f>
        <v/>
      </c>
      <c r="J981">
        <f>IF(G981=1,0.2*R981/B981,J980)</f>
        <v/>
      </c>
      <c r="K981">
        <f>IF(G981=1,0.2*R981/C981,K980)</f>
        <v/>
      </c>
      <c r="L981">
        <f>IF(G981=1,0.2*R981/D981,L980)</f>
        <v/>
      </c>
      <c r="M981">
        <f>IF(G981=1,0.2*R981/E981,M980)</f>
        <v/>
      </c>
      <c r="N981">
        <f>IF(G981=1,0.2*R981/F981,N980)</f>
        <v/>
      </c>
      <c r="O981">
        <f>IF(G981=1,R981*(1-1.0),IF(H980=0,1,O980*(1+0.00023125256064071564)))</f>
        <v/>
      </c>
      <c r="P981">
        <f>IF(G981=1,IF(H980=0,1,ABS(0.2-J980*B981/I981)+ABS(0.2-K980*C981/I981)+ABS(0.2-L980*D981/I981)+ABS(0.2-M980*E981/I981)+ABS(0.2-N980*F981/I981)),0)</f>
        <v/>
      </c>
      <c r="Q981">
        <f>P981*0.0015</f>
        <v/>
      </c>
      <c r="R981">
        <f>I981*(1-Q981)</f>
        <v/>
      </c>
      <c r="S981">
        <f>R981/R980-1</f>
        <v/>
      </c>
      <c r="T981">
        <f>MAX(T980,R981)</f>
        <v/>
      </c>
      <c r="U981">
        <f>R981/T981-1</f>
        <v/>
      </c>
      <c r="V981" t="n">
        <v>1.316929429541614</v>
      </c>
      <c r="W981" s="5">
        <f>R981-V981</f>
        <v/>
      </c>
    </row>
    <row r="982">
      <c r="A982" s="3" t="n">
        <v>39884</v>
      </c>
      <c r="B982">
        <f>Prices!B982</f>
        <v/>
      </c>
      <c r="C982">
        <f>Prices!C982</f>
        <v/>
      </c>
      <c r="D982">
        <f>Prices!D982</f>
        <v/>
      </c>
      <c r="E982">
        <f>Prices!E982</f>
        <v/>
      </c>
      <c r="F982">
        <f>Prices!F982</f>
        <v/>
      </c>
      <c r="G982">
        <f>IF(AND(980&gt;=16,TEXT(A982,"yyyy-mm")&lt;&gt;TEXT(A983,"yyyy-mm")),1,0)</f>
        <v/>
      </c>
      <c r="H982">
        <f>IF(OR(H981=1,G982=1),1,0)</f>
        <v/>
      </c>
      <c r="I982">
        <f>IF(H981=0,1,SUMPRODUCT(J981:N981,B982:F982)+O981*(1+0.00023125256064071564))</f>
        <v/>
      </c>
      <c r="J982">
        <f>IF(G982=1,0.2*R982/B982,J981)</f>
        <v/>
      </c>
      <c r="K982">
        <f>IF(G982=1,0.2*R982/C982,K981)</f>
        <v/>
      </c>
      <c r="L982">
        <f>IF(G982=1,0.2*R982/D982,L981)</f>
        <v/>
      </c>
      <c r="M982">
        <f>IF(G982=1,0.2*R982/E982,M981)</f>
        <v/>
      </c>
      <c r="N982">
        <f>IF(G982=1,0.2*R982/F982,N981)</f>
        <v/>
      </c>
      <c r="O982">
        <f>IF(G982=1,R982*(1-1.0),IF(H981=0,1,O981*(1+0.00023125256064071564)))</f>
        <v/>
      </c>
      <c r="P982">
        <f>IF(G982=1,IF(H981=0,1,ABS(0.2-J981*B982/I982)+ABS(0.2-K981*C982/I982)+ABS(0.2-L981*D982/I982)+ABS(0.2-M981*E982/I982)+ABS(0.2-N981*F982/I982)),0)</f>
        <v/>
      </c>
      <c r="Q982">
        <f>P982*0.0015</f>
        <v/>
      </c>
      <c r="R982">
        <f>I982*(1-Q982)</f>
        <v/>
      </c>
      <c r="S982">
        <f>R982/R981-1</f>
        <v/>
      </c>
      <c r="T982">
        <f>MAX(T981,R982)</f>
        <v/>
      </c>
      <c r="U982">
        <f>R982/T982-1</f>
        <v/>
      </c>
      <c r="V982" t="n">
        <v>1.334689321055478</v>
      </c>
      <c r="W982" s="5">
        <f>R982-V982</f>
        <v/>
      </c>
    </row>
    <row r="983">
      <c r="A983" s="3" t="n">
        <v>39885</v>
      </c>
      <c r="B983">
        <f>Prices!B983</f>
        <v/>
      </c>
      <c r="C983">
        <f>Prices!C983</f>
        <v/>
      </c>
      <c r="D983">
        <f>Prices!D983</f>
        <v/>
      </c>
      <c r="E983">
        <f>Prices!E983</f>
        <v/>
      </c>
      <c r="F983">
        <f>Prices!F983</f>
        <v/>
      </c>
      <c r="G983">
        <f>IF(AND(981&gt;=16,TEXT(A983,"yyyy-mm")&lt;&gt;TEXT(A984,"yyyy-mm")),1,0)</f>
        <v/>
      </c>
      <c r="H983">
        <f>IF(OR(H982=1,G983=1),1,0)</f>
        <v/>
      </c>
      <c r="I983">
        <f>IF(H982=0,1,SUMPRODUCT(J982:N982,B983:F983)+O982*(1+0.00023125256064071564))</f>
        <v/>
      </c>
      <c r="J983">
        <f>IF(G983=1,0.2*R983/B983,J982)</f>
        <v/>
      </c>
      <c r="K983">
        <f>IF(G983=1,0.2*R983/C983,K982)</f>
        <v/>
      </c>
      <c r="L983">
        <f>IF(G983=1,0.2*R983/D983,L982)</f>
        <v/>
      </c>
      <c r="M983">
        <f>IF(G983=1,0.2*R983/E983,M982)</f>
        <v/>
      </c>
      <c r="N983">
        <f>IF(G983=1,0.2*R983/F983,N982)</f>
        <v/>
      </c>
      <c r="O983">
        <f>IF(G983=1,R983*(1-1.0),IF(H982=0,1,O982*(1+0.00023125256064071564)))</f>
        <v/>
      </c>
      <c r="P983">
        <f>IF(G983=1,IF(H982=0,1,ABS(0.2-J982*B983/I983)+ABS(0.2-K982*C983/I983)+ABS(0.2-L982*D983/I983)+ABS(0.2-M982*E983/I983)+ABS(0.2-N982*F983/I983)),0)</f>
        <v/>
      </c>
      <c r="Q983">
        <f>P983*0.0015</f>
        <v/>
      </c>
      <c r="R983">
        <f>I983*(1-Q983)</f>
        <v/>
      </c>
      <c r="S983">
        <f>R983/R982-1</f>
        <v/>
      </c>
      <c r="T983">
        <f>MAX(T982,R983)</f>
        <v/>
      </c>
      <c r="U983">
        <f>R983/T983-1</f>
        <v/>
      </c>
      <c r="V983" t="n">
        <v>1.366193577491496</v>
      </c>
      <c r="W983" s="5">
        <f>R983-V983</f>
        <v/>
      </c>
    </row>
    <row r="984">
      <c r="A984" s="3" t="n">
        <v>39888</v>
      </c>
      <c r="B984">
        <f>Prices!B984</f>
        <v/>
      </c>
      <c r="C984">
        <f>Prices!C984</f>
        <v/>
      </c>
      <c r="D984">
        <f>Prices!D984</f>
        <v/>
      </c>
      <c r="E984">
        <f>Prices!E984</f>
        <v/>
      </c>
      <c r="F984">
        <f>Prices!F984</f>
        <v/>
      </c>
      <c r="G984">
        <f>IF(AND(982&gt;=16,TEXT(A984,"yyyy-mm")&lt;&gt;TEXT(A985,"yyyy-mm")),1,0)</f>
        <v/>
      </c>
      <c r="H984">
        <f>IF(OR(H983=1,G984=1),1,0)</f>
        <v/>
      </c>
      <c r="I984">
        <f>IF(H983=0,1,SUMPRODUCT(J983:N983,B984:F984)+O983*(1+0.00023125256064071564))</f>
        <v/>
      </c>
      <c r="J984">
        <f>IF(G984=1,0.2*R984/B984,J983)</f>
        <v/>
      </c>
      <c r="K984">
        <f>IF(G984=1,0.2*R984/C984,K983)</f>
        <v/>
      </c>
      <c r="L984">
        <f>IF(G984=1,0.2*R984/D984,L983)</f>
        <v/>
      </c>
      <c r="M984">
        <f>IF(G984=1,0.2*R984/E984,M983)</f>
        <v/>
      </c>
      <c r="N984">
        <f>IF(G984=1,0.2*R984/F984,N983)</f>
        <v/>
      </c>
      <c r="O984">
        <f>IF(G984=1,R984*(1-1.0),IF(H983=0,1,O983*(1+0.00023125256064071564)))</f>
        <v/>
      </c>
      <c r="P984">
        <f>IF(G984=1,IF(H983=0,1,ABS(0.2-J983*B984/I984)+ABS(0.2-K983*C984/I984)+ABS(0.2-L983*D984/I984)+ABS(0.2-M983*E984/I984)+ABS(0.2-N983*F984/I984)),0)</f>
        <v/>
      </c>
      <c r="Q984">
        <f>P984*0.0015</f>
        <v/>
      </c>
      <c r="R984">
        <f>I984*(1-Q984)</f>
        <v/>
      </c>
      <c r="S984">
        <f>R984/R983-1</f>
        <v/>
      </c>
      <c r="T984">
        <f>MAX(T983,R984)</f>
        <v/>
      </c>
      <c r="U984">
        <f>R984/T984-1</f>
        <v/>
      </c>
      <c r="V984" t="n">
        <v>1.394769832520561</v>
      </c>
      <c r="W984" s="5">
        <f>R984-V984</f>
        <v/>
      </c>
    </row>
    <row r="985">
      <c r="A985" s="3" t="n">
        <v>39889</v>
      </c>
      <c r="B985">
        <f>Prices!B985</f>
        <v/>
      </c>
      <c r="C985">
        <f>Prices!C985</f>
        <v/>
      </c>
      <c r="D985">
        <f>Prices!D985</f>
        <v/>
      </c>
      <c r="E985">
        <f>Prices!E985</f>
        <v/>
      </c>
      <c r="F985">
        <f>Prices!F985</f>
        <v/>
      </c>
      <c r="G985">
        <f>IF(AND(983&gt;=16,TEXT(A985,"yyyy-mm")&lt;&gt;TEXT(A986,"yyyy-mm")),1,0)</f>
        <v/>
      </c>
      <c r="H985">
        <f>IF(OR(H984=1,G985=1),1,0)</f>
        <v/>
      </c>
      <c r="I985">
        <f>IF(H984=0,1,SUMPRODUCT(J984:N984,B985:F985)+O984*(1+0.00023125256064071564))</f>
        <v/>
      </c>
      <c r="J985">
        <f>IF(G985=1,0.2*R985/B985,J984)</f>
        <v/>
      </c>
      <c r="K985">
        <f>IF(G985=1,0.2*R985/C985,K984)</f>
        <v/>
      </c>
      <c r="L985">
        <f>IF(G985=1,0.2*R985/D985,L984)</f>
        <v/>
      </c>
      <c r="M985">
        <f>IF(G985=1,0.2*R985/E985,M984)</f>
        <v/>
      </c>
      <c r="N985">
        <f>IF(G985=1,0.2*R985/F985,N984)</f>
        <v/>
      </c>
      <c r="O985">
        <f>IF(G985=1,R985*(1-1.0),IF(H984=0,1,O984*(1+0.00023125256064071564)))</f>
        <v/>
      </c>
      <c r="P985">
        <f>IF(G985=1,IF(H984=0,1,ABS(0.2-J984*B985/I985)+ABS(0.2-K984*C985/I985)+ABS(0.2-L984*D985/I985)+ABS(0.2-M984*E985/I985)+ABS(0.2-N984*F985/I985)),0)</f>
        <v/>
      </c>
      <c r="Q985">
        <f>P985*0.0015</f>
        <v/>
      </c>
      <c r="R985">
        <f>I985*(1-Q985)</f>
        <v/>
      </c>
      <c r="S985">
        <f>R985/R984-1</f>
        <v/>
      </c>
      <c r="T985">
        <f>MAX(T984,R985)</f>
        <v/>
      </c>
      <c r="U985">
        <f>R985/T985-1</f>
        <v/>
      </c>
      <c r="V985" t="n">
        <v>1.389213086653766</v>
      </c>
      <c r="W985" s="5">
        <f>R985-V985</f>
        <v/>
      </c>
    </row>
    <row r="986">
      <c r="A986" s="3" t="n">
        <v>39890</v>
      </c>
      <c r="B986">
        <f>Prices!B986</f>
        <v/>
      </c>
      <c r="C986">
        <f>Prices!C986</f>
        <v/>
      </c>
      <c r="D986">
        <f>Prices!D986</f>
        <v/>
      </c>
      <c r="E986">
        <f>Prices!E986</f>
        <v/>
      </c>
      <c r="F986">
        <f>Prices!F986</f>
        <v/>
      </c>
      <c r="G986">
        <f>IF(AND(984&gt;=16,TEXT(A986,"yyyy-mm")&lt;&gt;TEXT(A987,"yyyy-mm")),1,0)</f>
        <v/>
      </c>
      <c r="H986">
        <f>IF(OR(H985=1,G986=1),1,0)</f>
        <v/>
      </c>
      <c r="I986">
        <f>IF(H985=0,1,SUMPRODUCT(J985:N985,B986:F986)+O985*(1+0.00023125256064071564))</f>
        <v/>
      </c>
      <c r="J986">
        <f>IF(G986=1,0.2*R986/B986,J985)</f>
        <v/>
      </c>
      <c r="K986">
        <f>IF(G986=1,0.2*R986/C986,K985)</f>
        <v/>
      </c>
      <c r="L986">
        <f>IF(G986=1,0.2*R986/D986,L985)</f>
        <v/>
      </c>
      <c r="M986">
        <f>IF(G986=1,0.2*R986/E986,M985)</f>
        <v/>
      </c>
      <c r="N986">
        <f>IF(G986=1,0.2*R986/F986,N985)</f>
        <v/>
      </c>
      <c r="O986">
        <f>IF(G986=1,R986*(1-1.0),IF(H985=0,1,O985*(1+0.00023125256064071564)))</f>
        <v/>
      </c>
      <c r="P986">
        <f>IF(G986=1,IF(H985=0,1,ABS(0.2-J985*B986/I986)+ABS(0.2-K985*C986/I986)+ABS(0.2-L985*D986/I986)+ABS(0.2-M985*E986/I986)+ABS(0.2-N985*F986/I986)),0)</f>
        <v/>
      </c>
      <c r="Q986">
        <f>P986*0.0015</f>
        <v/>
      </c>
      <c r="R986">
        <f>I986*(1-Q986)</f>
        <v/>
      </c>
      <c r="S986">
        <f>R986/R985-1</f>
        <v/>
      </c>
      <c r="T986">
        <f>MAX(T985,R986)</f>
        <v/>
      </c>
      <c r="U986">
        <f>R986/T986-1</f>
        <v/>
      </c>
      <c r="V986" t="n">
        <v>1.403449268661817</v>
      </c>
      <c r="W986" s="5">
        <f>R986-V986</f>
        <v/>
      </c>
    </row>
    <row r="987">
      <c r="A987" s="3" t="n">
        <v>39891</v>
      </c>
      <c r="B987">
        <f>Prices!B987</f>
        <v/>
      </c>
      <c r="C987">
        <f>Prices!C987</f>
        <v/>
      </c>
      <c r="D987">
        <f>Prices!D987</f>
        <v/>
      </c>
      <c r="E987">
        <f>Prices!E987</f>
        <v/>
      </c>
      <c r="F987">
        <f>Prices!F987</f>
        <v/>
      </c>
      <c r="G987">
        <f>IF(AND(985&gt;=16,TEXT(A987,"yyyy-mm")&lt;&gt;TEXT(A988,"yyyy-mm")),1,0)</f>
        <v/>
      </c>
      <c r="H987">
        <f>IF(OR(H986=1,G987=1),1,0)</f>
        <v/>
      </c>
      <c r="I987">
        <f>IF(H986=0,1,SUMPRODUCT(J986:N986,B987:F987)+O986*(1+0.00023125256064071564))</f>
        <v/>
      </c>
      <c r="J987">
        <f>IF(G987=1,0.2*R987/B987,J986)</f>
        <v/>
      </c>
      <c r="K987">
        <f>IF(G987=1,0.2*R987/C987,K986)</f>
        <v/>
      </c>
      <c r="L987">
        <f>IF(G987=1,0.2*R987/D987,L986)</f>
        <v/>
      </c>
      <c r="M987">
        <f>IF(G987=1,0.2*R987/E987,M986)</f>
        <v/>
      </c>
      <c r="N987">
        <f>IF(G987=1,0.2*R987/F987,N986)</f>
        <v/>
      </c>
      <c r="O987">
        <f>IF(G987=1,R987*(1-1.0),IF(H986=0,1,O986*(1+0.00023125256064071564)))</f>
        <v/>
      </c>
      <c r="P987">
        <f>IF(G987=1,IF(H986=0,1,ABS(0.2-J986*B987/I987)+ABS(0.2-K986*C987/I987)+ABS(0.2-L986*D987/I987)+ABS(0.2-M986*E987/I987)+ABS(0.2-N986*F987/I987)),0)</f>
        <v/>
      </c>
      <c r="Q987">
        <f>P987*0.0015</f>
        <v/>
      </c>
      <c r="R987">
        <f>I987*(1-Q987)</f>
        <v/>
      </c>
      <c r="S987">
        <f>R987/R986-1</f>
        <v/>
      </c>
      <c r="T987">
        <f>MAX(T986,R987)</f>
        <v/>
      </c>
      <c r="U987">
        <f>R987/T987-1</f>
        <v/>
      </c>
      <c r="V987" t="n">
        <v>1.410417514895663</v>
      </c>
      <c r="W987" s="5">
        <f>R987-V987</f>
        <v/>
      </c>
    </row>
    <row r="988">
      <c r="A988" s="3" t="n">
        <v>39892</v>
      </c>
      <c r="B988">
        <f>Prices!B988</f>
        <v/>
      </c>
      <c r="C988">
        <f>Prices!C988</f>
        <v/>
      </c>
      <c r="D988">
        <f>Prices!D988</f>
        <v/>
      </c>
      <c r="E988">
        <f>Prices!E988</f>
        <v/>
      </c>
      <c r="F988">
        <f>Prices!F988</f>
        <v/>
      </c>
      <c r="G988">
        <f>IF(AND(986&gt;=16,TEXT(A988,"yyyy-mm")&lt;&gt;TEXT(A989,"yyyy-mm")),1,0)</f>
        <v/>
      </c>
      <c r="H988">
        <f>IF(OR(H987=1,G988=1),1,0)</f>
        <v/>
      </c>
      <c r="I988">
        <f>IF(H987=0,1,SUMPRODUCT(J987:N987,B988:F988)+O987*(1+0.00023125256064071564))</f>
        <v/>
      </c>
      <c r="J988">
        <f>IF(G988=1,0.2*R988/B988,J987)</f>
        <v/>
      </c>
      <c r="K988">
        <f>IF(G988=1,0.2*R988/C988,K987)</f>
        <v/>
      </c>
      <c r="L988">
        <f>IF(G988=1,0.2*R988/D988,L987)</f>
        <v/>
      </c>
      <c r="M988">
        <f>IF(G988=1,0.2*R988/E988,M987)</f>
        <v/>
      </c>
      <c r="N988">
        <f>IF(G988=1,0.2*R988/F988,N987)</f>
        <v/>
      </c>
      <c r="O988">
        <f>IF(G988=1,R988*(1-1.0),IF(H987=0,1,O987*(1+0.00023125256064071564)))</f>
        <v/>
      </c>
      <c r="P988">
        <f>IF(G988=1,IF(H987=0,1,ABS(0.2-J987*B988/I988)+ABS(0.2-K987*C988/I988)+ABS(0.2-L987*D988/I988)+ABS(0.2-M987*E988/I988)+ABS(0.2-N987*F988/I988)),0)</f>
        <v/>
      </c>
      <c r="Q988">
        <f>P988*0.0015</f>
        <v/>
      </c>
      <c r="R988">
        <f>I988*(1-Q988)</f>
        <v/>
      </c>
      <c r="S988">
        <f>R988/R987-1</f>
        <v/>
      </c>
      <c r="T988">
        <f>MAX(T987,R988)</f>
        <v/>
      </c>
      <c r="U988">
        <f>R988/T988-1</f>
        <v/>
      </c>
      <c r="V988" t="n">
        <v>1.402853584109601</v>
      </c>
      <c r="W988" s="5">
        <f>R988-V988</f>
        <v/>
      </c>
    </row>
    <row r="989">
      <c r="A989" s="3" t="n">
        <v>39895</v>
      </c>
      <c r="B989">
        <f>Prices!B989</f>
        <v/>
      </c>
      <c r="C989">
        <f>Prices!C989</f>
        <v/>
      </c>
      <c r="D989">
        <f>Prices!D989</f>
        <v/>
      </c>
      <c r="E989">
        <f>Prices!E989</f>
        <v/>
      </c>
      <c r="F989">
        <f>Prices!F989</f>
        <v/>
      </c>
      <c r="G989">
        <f>IF(AND(987&gt;=16,TEXT(A989,"yyyy-mm")&lt;&gt;TEXT(A990,"yyyy-mm")),1,0)</f>
        <v/>
      </c>
      <c r="H989">
        <f>IF(OR(H988=1,G989=1),1,0)</f>
        <v/>
      </c>
      <c r="I989">
        <f>IF(H988=0,1,SUMPRODUCT(J988:N988,B989:F989)+O988*(1+0.00023125256064071564))</f>
        <v/>
      </c>
      <c r="J989">
        <f>IF(G989=1,0.2*R989/B989,J988)</f>
        <v/>
      </c>
      <c r="K989">
        <f>IF(G989=1,0.2*R989/C989,K988)</f>
        <v/>
      </c>
      <c r="L989">
        <f>IF(G989=1,0.2*R989/D989,L988)</f>
        <v/>
      </c>
      <c r="M989">
        <f>IF(G989=1,0.2*R989/E989,M988)</f>
        <v/>
      </c>
      <c r="N989">
        <f>IF(G989=1,0.2*R989/F989,N988)</f>
        <v/>
      </c>
      <c r="O989">
        <f>IF(G989=1,R989*(1-1.0),IF(H988=0,1,O988*(1+0.00023125256064071564)))</f>
        <v/>
      </c>
      <c r="P989">
        <f>IF(G989=1,IF(H988=0,1,ABS(0.2-J988*B989/I989)+ABS(0.2-K988*C989/I989)+ABS(0.2-L988*D989/I989)+ABS(0.2-M988*E989/I989)+ABS(0.2-N988*F989/I989)),0)</f>
        <v/>
      </c>
      <c r="Q989">
        <f>P989*0.0015</f>
        <v/>
      </c>
      <c r="R989">
        <f>I989*(1-Q989)</f>
        <v/>
      </c>
      <c r="S989">
        <f>R989/R988-1</f>
        <v/>
      </c>
      <c r="T989">
        <f>MAX(T988,R989)</f>
        <v/>
      </c>
      <c r="U989">
        <f>R989/T989-1</f>
        <v/>
      </c>
      <c r="V989" t="n">
        <v>1.44769147814937</v>
      </c>
      <c r="W989" s="5">
        <f>R989-V989</f>
        <v/>
      </c>
    </row>
    <row r="990">
      <c r="A990" s="3" t="n">
        <v>39896</v>
      </c>
      <c r="B990">
        <f>Prices!B990</f>
        <v/>
      </c>
      <c r="C990">
        <f>Prices!C990</f>
        <v/>
      </c>
      <c r="D990">
        <f>Prices!D990</f>
        <v/>
      </c>
      <c r="E990">
        <f>Prices!E990</f>
        <v/>
      </c>
      <c r="F990">
        <f>Prices!F990</f>
        <v/>
      </c>
      <c r="G990">
        <f>IF(AND(988&gt;=16,TEXT(A990,"yyyy-mm")&lt;&gt;TEXT(A991,"yyyy-mm")),1,0)</f>
        <v/>
      </c>
      <c r="H990">
        <f>IF(OR(H989=1,G990=1),1,0)</f>
        <v/>
      </c>
      <c r="I990">
        <f>IF(H989=0,1,SUMPRODUCT(J989:N989,B990:F990)+O989*(1+0.00023125256064071564))</f>
        <v/>
      </c>
      <c r="J990">
        <f>IF(G990=1,0.2*R990/B990,J989)</f>
        <v/>
      </c>
      <c r="K990">
        <f>IF(G990=1,0.2*R990/C990,K989)</f>
        <v/>
      </c>
      <c r="L990">
        <f>IF(G990=1,0.2*R990/D990,L989)</f>
        <v/>
      </c>
      <c r="M990">
        <f>IF(G990=1,0.2*R990/E990,M989)</f>
        <v/>
      </c>
      <c r="N990">
        <f>IF(G990=1,0.2*R990/F990,N989)</f>
        <v/>
      </c>
      <c r="O990">
        <f>IF(G990=1,R990*(1-1.0),IF(H989=0,1,O989*(1+0.00023125256064071564)))</f>
        <v/>
      </c>
      <c r="P990">
        <f>IF(G990=1,IF(H989=0,1,ABS(0.2-J989*B990/I990)+ABS(0.2-K989*C990/I990)+ABS(0.2-L989*D990/I990)+ABS(0.2-M989*E990/I990)+ABS(0.2-N989*F990/I990)),0)</f>
        <v/>
      </c>
      <c r="Q990">
        <f>P990*0.0015</f>
        <v/>
      </c>
      <c r="R990">
        <f>I990*(1-Q990)</f>
        <v/>
      </c>
      <c r="S990">
        <f>R990/R989-1</f>
        <v/>
      </c>
      <c r="T990">
        <f>MAX(T989,R990)</f>
        <v/>
      </c>
      <c r="U990">
        <f>R990/T990-1</f>
        <v/>
      </c>
      <c r="V990" t="n">
        <v>1.447899099206132</v>
      </c>
      <c r="W990" s="5">
        <f>R990-V990</f>
        <v/>
      </c>
    </row>
    <row r="991">
      <c r="A991" s="3" t="n">
        <v>39897</v>
      </c>
      <c r="B991">
        <f>Prices!B991</f>
        <v/>
      </c>
      <c r="C991">
        <f>Prices!C991</f>
        <v/>
      </c>
      <c r="D991">
        <f>Prices!D991</f>
        <v/>
      </c>
      <c r="E991">
        <f>Prices!E991</f>
        <v/>
      </c>
      <c r="F991">
        <f>Prices!F991</f>
        <v/>
      </c>
      <c r="G991">
        <f>IF(AND(989&gt;=16,TEXT(A991,"yyyy-mm")&lt;&gt;TEXT(A992,"yyyy-mm")),1,0)</f>
        <v/>
      </c>
      <c r="H991">
        <f>IF(OR(H990=1,G991=1),1,0)</f>
        <v/>
      </c>
      <c r="I991">
        <f>IF(H990=0,1,SUMPRODUCT(J990:N990,B991:F991)+O990*(1+0.00023125256064071564))</f>
        <v/>
      </c>
      <c r="J991">
        <f>IF(G991=1,0.2*R991/B991,J990)</f>
        <v/>
      </c>
      <c r="K991">
        <f>IF(G991=1,0.2*R991/C991,K990)</f>
        <v/>
      </c>
      <c r="L991">
        <f>IF(G991=1,0.2*R991/D991,L990)</f>
        <v/>
      </c>
      <c r="M991">
        <f>IF(G991=1,0.2*R991/E991,M990)</f>
        <v/>
      </c>
      <c r="N991">
        <f>IF(G991=1,0.2*R991/F991,N990)</f>
        <v/>
      </c>
      <c r="O991">
        <f>IF(G991=1,R991*(1-1.0),IF(H990=0,1,O990*(1+0.00023125256064071564)))</f>
        <v/>
      </c>
      <c r="P991">
        <f>IF(G991=1,IF(H990=0,1,ABS(0.2-J990*B991/I991)+ABS(0.2-K990*C991/I991)+ABS(0.2-L990*D991/I991)+ABS(0.2-M990*E991/I991)+ABS(0.2-N990*F991/I991)),0)</f>
        <v/>
      </c>
      <c r="Q991">
        <f>P991*0.0015</f>
        <v/>
      </c>
      <c r="R991">
        <f>I991*(1-Q991)</f>
        <v/>
      </c>
      <c r="S991">
        <f>R991/R990-1</f>
        <v/>
      </c>
      <c r="T991">
        <f>MAX(T990,R991)</f>
        <v/>
      </c>
      <c r="U991">
        <f>R991/T991-1</f>
        <v/>
      </c>
      <c r="V991" t="n">
        <v>1.456593246972093</v>
      </c>
      <c r="W991" s="5">
        <f>R991-V991</f>
        <v/>
      </c>
    </row>
    <row r="992">
      <c r="A992" s="3" t="n">
        <v>39898</v>
      </c>
      <c r="B992">
        <f>Prices!B992</f>
        <v/>
      </c>
      <c r="C992">
        <f>Prices!C992</f>
        <v/>
      </c>
      <c r="D992">
        <f>Prices!D992</f>
        <v/>
      </c>
      <c r="E992">
        <f>Prices!E992</f>
        <v/>
      </c>
      <c r="F992">
        <f>Prices!F992</f>
        <v/>
      </c>
      <c r="G992">
        <f>IF(AND(990&gt;=16,TEXT(A992,"yyyy-mm")&lt;&gt;TEXT(A993,"yyyy-mm")),1,0)</f>
        <v/>
      </c>
      <c r="H992">
        <f>IF(OR(H991=1,G992=1),1,0)</f>
        <v/>
      </c>
      <c r="I992">
        <f>IF(H991=0,1,SUMPRODUCT(J991:N991,B992:F992)+O991*(1+0.00023125256064071564))</f>
        <v/>
      </c>
      <c r="J992">
        <f>IF(G992=1,0.2*R992/B992,J991)</f>
        <v/>
      </c>
      <c r="K992">
        <f>IF(G992=1,0.2*R992/C992,K991)</f>
        <v/>
      </c>
      <c r="L992">
        <f>IF(G992=1,0.2*R992/D992,L991)</f>
        <v/>
      </c>
      <c r="M992">
        <f>IF(G992=1,0.2*R992/E992,M991)</f>
        <v/>
      </c>
      <c r="N992">
        <f>IF(G992=1,0.2*R992/F992,N991)</f>
        <v/>
      </c>
      <c r="O992">
        <f>IF(G992=1,R992*(1-1.0),IF(H991=0,1,O991*(1+0.00023125256064071564)))</f>
        <v/>
      </c>
      <c r="P992">
        <f>IF(G992=1,IF(H991=0,1,ABS(0.2-J991*B992/I992)+ABS(0.2-K991*C992/I992)+ABS(0.2-L991*D992/I992)+ABS(0.2-M991*E992/I992)+ABS(0.2-N991*F992/I992)),0)</f>
        <v/>
      </c>
      <c r="Q992">
        <f>P992*0.0015</f>
        <v/>
      </c>
      <c r="R992">
        <f>I992*(1-Q992)</f>
        <v/>
      </c>
      <c r="S992">
        <f>R992/R991-1</f>
        <v/>
      </c>
      <c r="T992">
        <f>MAX(T991,R992)</f>
        <v/>
      </c>
      <c r="U992">
        <f>R992/T992-1</f>
        <v/>
      </c>
      <c r="V992" t="n">
        <v>1.478064654687231</v>
      </c>
      <c r="W992" s="5">
        <f>R992-V992</f>
        <v/>
      </c>
    </row>
    <row r="993">
      <c r="A993" s="3" t="n">
        <v>39899</v>
      </c>
      <c r="B993">
        <f>Prices!B993</f>
        <v/>
      </c>
      <c r="C993">
        <f>Prices!C993</f>
        <v/>
      </c>
      <c r="D993">
        <f>Prices!D993</f>
        <v/>
      </c>
      <c r="E993">
        <f>Prices!E993</f>
        <v/>
      </c>
      <c r="F993">
        <f>Prices!F993</f>
        <v/>
      </c>
      <c r="G993">
        <f>IF(AND(991&gt;=16,TEXT(A993,"yyyy-mm")&lt;&gt;TEXT(A994,"yyyy-mm")),1,0)</f>
        <v/>
      </c>
      <c r="H993">
        <f>IF(OR(H992=1,G993=1),1,0)</f>
        <v/>
      </c>
      <c r="I993">
        <f>IF(H992=0,1,SUMPRODUCT(J992:N992,B993:F993)+O992*(1+0.00023125256064071564))</f>
        <v/>
      </c>
      <c r="J993">
        <f>IF(G993=1,0.2*R993/B993,J992)</f>
        <v/>
      </c>
      <c r="K993">
        <f>IF(G993=1,0.2*R993/C993,K992)</f>
        <v/>
      </c>
      <c r="L993">
        <f>IF(G993=1,0.2*R993/D993,L992)</f>
        <v/>
      </c>
      <c r="M993">
        <f>IF(G993=1,0.2*R993/E993,M992)</f>
        <v/>
      </c>
      <c r="N993">
        <f>IF(G993=1,0.2*R993/F993,N992)</f>
        <v/>
      </c>
      <c r="O993">
        <f>IF(G993=1,R993*(1-1.0),IF(H992=0,1,O992*(1+0.00023125256064071564)))</f>
        <v/>
      </c>
      <c r="P993">
        <f>IF(G993=1,IF(H992=0,1,ABS(0.2-J992*B993/I993)+ABS(0.2-K992*C993/I993)+ABS(0.2-L992*D993/I993)+ABS(0.2-M992*E993/I993)+ABS(0.2-N992*F993/I993)),0)</f>
        <v/>
      </c>
      <c r="Q993">
        <f>P993*0.0015</f>
        <v/>
      </c>
      <c r="R993">
        <f>I993*(1-Q993)</f>
        <v/>
      </c>
      <c r="S993">
        <f>R993/R992-1</f>
        <v/>
      </c>
      <c r="T993">
        <f>MAX(T992,R993)</f>
        <v/>
      </c>
      <c r="U993">
        <f>R993/T993-1</f>
        <v/>
      </c>
      <c r="V993" t="n">
        <v>1.507400913966117</v>
      </c>
      <c r="W993" s="5">
        <f>R993-V993</f>
        <v/>
      </c>
    </row>
    <row r="994">
      <c r="A994" s="3" t="n">
        <v>39902</v>
      </c>
      <c r="B994">
        <f>Prices!B994</f>
        <v/>
      </c>
      <c r="C994">
        <f>Prices!C994</f>
        <v/>
      </c>
      <c r="D994">
        <f>Prices!D994</f>
        <v/>
      </c>
      <c r="E994">
        <f>Prices!E994</f>
        <v/>
      </c>
      <c r="F994">
        <f>Prices!F994</f>
        <v/>
      </c>
      <c r="G994">
        <f>IF(AND(992&gt;=16,TEXT(A994,"yyyy-mm")&lt;&gt;TEXT(A995,"yyyy-mm")),1,0)</f>
        <v/>
      </c>
      <c r="H994">
        <f>IF(OR(H993=1,G994=1),1,0)</f>
        <v/>
      </c>
      <c r="I994">
        <f>IF(H993=0,1,SUMPRODUCT(J993:N993,B994:F994)+O993*(1+0.00023125256064071564))</f>
        <v/>
      </c>
      <c r="J994">
        <f>IF(G994=1,0.2*R994/B994,J993)</f>
        <v/>
      </c>
      <c r="K994">
        <f>IF(G994=1,0.2*R994/C994,K993)</f>
        <v/>
      </c>
      <c r="L994">
        <f>IF(G994=1,0.2*R994/D994,L993)</f>
        <v/>
      </c>
      <c r="M994">
        <f>IF(G994=1,0.2*R994/E994,M993)</f>
        <v/>
      </c>
      <c r="N994">
        <f>IF(G994=1,0.2*R994/F994,N993)</f>
        <v/>
      </c>
      <c r="O994">
        <f>IF(G994=1,R994*(1-1.0),IF(H993=0,1,O993*(1+0.00023125256064071564)))</f>
        <v/>
      </c>
      <c r="P994">
        <f>IF(G994=1,IF(H993=0,1,ABS(0.2-J993*B994/I994)+ABS(0.2-K993*C994/I994)+ABS(0.2-L993*D994/I994)+ABS(0.2-M993*E994/I994)+ABS(0.2-N993*F994/I994)),0)</f>
        <v/>
      </c>
      <c r="Q994">
        <f>P994*0.0015</f>
        <v/>
      </c>
      <c r="R994">
        <f>I994*(1-Q994)</f>
        <v/>
      </c>
      <c r="S994">
        <f>R994/R993-1</f>
        <v/>
      </c>
      <c r="T994">
        <f>MAX(T993,R994)</f>
        <v/>
      </c>
      <c r="U994">
        <f>R994/T994-1</f>
        <v/>
      </c>
      <c r="V994" t="n">
        <v>1.474052462631252</v>
      </c>
      <c r="W994" s="5">
        <f>R994-V994</f>
        <v/>
      </c>
    </row>
    <row r="995">
      <c r="A995" s="3" t="n">
        <v>39903</v>
      </c>
      <c r="B995">
        <f>Prices!B995</f>
        <v/>
      </c>
      <c r="C995">
        <f>Prices!C995</f>
        <v/>
      </c>
      <c r="D995">
        <f>Prices!D995</f>
        <v/>
      </c>
      <c r="E995">
        <f>Prices!E995</f>
        <v/>
      </c>
      <c r="F995">
        <f>Prices!F995</f>
        <v/>
      </c>
      <c r="G995">
        <f>IF(AND(993&gt;=16,TEXT(A995,"yyyy-mm")&lt;&gt;TEXT(A996,"yyyy-mm")),1,0)</f>
        <v/>
      </c>
      <c r="H995">
        <f>IF(OR(H994=1,G995=1),1,0)</f>
        <v/>
      </c>
      <c r="I995">
        <f>IF(H994=0,1,SUMPRODUCT(J994:N994,B995:F995)+O994*(1+0.00023125256064071564))</f>
        <v/>
      </c>
      <c r="J995">
        <f>IF(G995=1,0.2*R995/B995,J994)</f>
        <v/>
      </c>
      <c r="K995">
        <f>IF(G995=1,0.2*R995/C995,K994)</f>
        <v/>
      </c>
      <c r="L995">
        <f>IF(G995=1,0.2*R995/D995,L994)</f>
        <v/>
      </c>
      <c r="M995">
        <f>IF(G995=1,0.2*R995/E995,M994)</f>
        <v/>
      </c>
      <c r="N995">
        <f>IF(G995=1,0.2*R995/F995,N994)</f>
        <v/>
      </c>
      <c r="O995">
        <f>IF(G995=1,R995*(1-1.0),IF(H994=0,1,O994*(1+0.00023125256064071564)))</f>
        <v/>
      </c>
      <c r="P995">
        <f>IF(G995=1,IF(H994=0,1,ABS(0.2-J994*B995/I995)+ABS(0.2-K994*C995/I995)+ABS(0.2-L994*D995/I995)+ABS(0.2-M994*E995/I995)+ABS(0.2-N994*F995/I995)),0)</f>
        <v/>
      </c>
      <c r="Q995">
        <f>P995*0.0015</f>
        <v/>
      </c>
      <c r="R995">
        <f>I995*(1-Q995)</f>
        <v/>
      </c>
      <c r="S995">
        <f>R995/R994-1</f>
        <v/>
      </c>
      <c r="T995">
        <f>MAX(T994,R995)</f>
        <v/>
      </c>
      <c r="U995">
        <f>R995/T995-1</f>
        <v/>
      </c>
      <c r="V995" t="n">
        <v>1.501556177260229</v>
      </c>
      <c r="W995" s="5">
        <f>R995-V995</f>
        <v/>
      </c>
    </row>
    <row r="996">
      <c r="A996" s="3" t="n">
        <v>39904</v>
      </c>
      <c r="B996">
        <f>Prices!B996</f>
        <v/>
      </c>
      <c r="C996">
        <f>Prices!C996</f>
        <v/>
      </c>
      <c r="D996">
        <f>Prices!D996</f>
        <v/>
      </c>
      <c r="E996">
        <f>Prices!E996</f>
        <v/>
      </c>
      <c r="F996">
        <f>Prices!F996</f>
        <v/>
      </c>
      <c r="G996">
        <f>IF(AND(994&gt;=16,TEXT(A996,"yyyy-mm")&lt;&gt;TEXT(A997,"yyyy-mm")),1,0)</f>
        <v/>
      </c>
      <c r="H996">
        <f>IF(OR(H995=1,G996=1),1,0)</f>
        <v/>
      </c>
      <c r="I996">
        <f>IF(H995=0,1,SUMPRODUCT(J995:N995,B996:F996)+O995*(1+0.00023125256064071564))</f>
        <v/>
      </c>
      <c r="J996">
        <f>IF(G996=1,0.2*R996/B996,J995)</f>
        <v/>
      </c>
      <c r="K996">
        <f>IF(G996=1,0.2*R996/C996,K995)</f>
        <v/>
      </c>
      <c r="L996">
        <f>IF(G996=1,0.2*R996/D996,L995)</f>
        <v/>
      </c>
      <c r="M996">
        <f>IF(G996=1,0.2*R996/E996,M995)</f>
        <v/>
      </c>
      <c r="N996">
        <f>IF(G996=1,0.2*R996/F996,N995)</f>
        <v/>
      </c>
      <c r="O996">
        <f>IF(G996=1,R996*(1-1.0),IF(H995=0,1,O995*(1+0.00023125256064071564)))</f>
        <v/>
      </c>
      <c r="P996">
        <f>IF(G996=1,IF(H995=0,1,ABS(0.2-J995*B996/I996)+ABS(0.2-K995*C996/I996)+ABS(0.2-L995*D996/I996)+ABS(0.2-M995*E996/I996)+ABS(0.2-N995*F996/I996)),0)</f>
        <v/>
      </c>
      <c r="Q996">
        <f>P996*0.0015</f>
        <v/>
      </c>
      <c r="R996">
        <f>I996*(1-Q996)</f>
        <v/>
      </c>
      <c r="S996">
        <f>R996/R995-1</f>
        <v/>
      </c>
      <c r="T996">
        <f>MAX(T995,R996)</f>
        <v/>
      </c>
      <c r="U996">
        <f>R996/T996-1</f>
        <v/>
      </c>
      <c r="V996" t="n">
        <v>1.505867216670038</v>
      </c>
      <c r="W996" s="5">
        <f>R996-V996</f>
        <v/>
      </c>
    </row>
    <row r="997">
      <c r="A997" s="3" t="n">
        <v>39905</v>
      </c>
      <c r="B997">
        <f>Prices!B997</f>
        <v/>
      </c>
      <c r="C997">
        <f>Prices!C997</f>
        <v/>
      </c>
      <c r="D997">
        <f>Prices!D997</f>
        <v/>
      </c>
      <c r="E997">
        <f>Prices!E997</f>
        <v/>
      </c>
      <c r="F997">
        <f>Prices!F997</f>
        <v/>
      </c>
      <c r="G997">
        <f>IF(AND(995&gt;=16,TEXT(A997,"yyyy-mm")&lt;&gt;TEXT(A998,"yyyy-mm")),1,0)</f>
        <v/>
      </c>
      <c r="H997">
        <f>IF(OR(H996=1,G997=1),1,0)</f>
        <v/>
      </c>
      <c r="I997">
        <f>IF(H996=0,1,SUMPRODUCT(J996:N996,B997:F997)+O996*(1+0.00023125256064071564))</f>
        <v/>
      </c>
      <c r="J997">
        <f>IF(G997=1,0.2*R997/B997,J996)</f>
        <v/>
      </c>
      <c r="K997">
        <f>IF(G997=1,0.2*R997/C997,K996)</f>
        <v/>
      </c>
      <c r="L997">
        <f>IF(G997=1,0.2*R997/D997,L996)</f>
        <v/>
      </c>
      <c r="M997">
        <f>IF(G997=1,0.2*R997/E997,M996)</f>
        <v/>
      </c>
      <c r="N997">
        <f>IF(G997=1,0.2*R997/F997,N996)</f>
        <v/>
      </c>
      <c r="O997">
        <f>IF(G997=1,R997*(1-1.0),IF(H996=0,1,O996*(1+0.00023125256064071564)))</f>
        <v/>
      </c>
      <c r="P997">
        <f>IF(G997=1,IF(H996=0,1,ABS(0.2-J996*B997/I997)+ABS(0.2-K996*C997/I997)+ABS(0.2-L996*D997/I997)+ABS(0.2-M996*E997/I997)+ABS(0.2-N996*F997/I997)),0)</f>
        <v/>
      </c>
      <c r="Q997">
        <f>P997*0.0015</f>
        <v/>
      </c>
      <c r="R997">
        <f>I997*(1-Q997)</f>
        <v/>
      </c>
      <c r="S997">
        <f>R997/R996-1</f>
        <v/>
      </c>
      <c r="T997">
        <f>MAX(T996,R997)</f>
        <v/>
      </c>
      <c r="U997">
        <f>R997/T997-1</f>
        <v/>
      </c>
      <c r="V997" t="n">
        <v>1.548065916259075</v>
      </c>
      <c r="W997" s="5">
        <f>R997-V997</f>
        <v/>
      </c>
    </row>
    <row r="998">
      <c r="A998" s="3" t="n">
        <v>39909</v>
      </c>
      <c r="B998">
        <f>Prices!B998</f>
        <v/>
      </c>
      <c r="C998">
        <f>Prices!C998</f>
        <v/>
      </c>
      <c r="D998">
        <f>Prices!D998</f>
        <v/>
      </c>
      <c r="E998">
        <f>Prices!E998</f>
        <v/>
      </c>
      <c r="F998">
        <f>Prices!F998</f>
        <v/>
      </c>
      <c r="G998">
        <f>IF(AND(996&gt;=16,TEXT(A998,"yyyy-mm")&lt;&gt;TEXT(A999,"yyyy-mm")),1,0)</f>
        <v/>
      </c>
      <c r="H998">
        <f>IF(OR(H997=1,G998=1),1,0)</f>
        <v/>
      </c>
      <c r="I998">
        <f>IF(H997=0,1,SUMPRODUCT(J997:N997,B998:F998)+O997*(1+0.00023125256064071564))</f>
        <v/>
      </c>
      <c r="J998">
        <f>IF(G998=1,0.2*R998/B998,J997)</f>
        <v/>
      </c>
      <c r="K998">
        <f>IF(G998=1,0.2*R998/C998,K997)</f>
        <v/>
      </c>
      <c r="L998">
        <f>IF(G998=1,0.2*R998/D998,L997)</f>
        <v/>
      </c>
      <c r="M998">
        <f>IF(G998=1,0.2*R998/E998,M997)</f>
        <v/>
      </c>
      <c r="N998">
        <f>IF(G998=1,0.2*R998/F998,N997)</f>
        <v/>
      </c>
      <c r="O998">
        <f>IF(G998=1,R998*(1-1.0),IF(H997=0,1,O997*(1+0.00023125256064071564)))</f>
        <v/>
      </c>
      <c r="P998">
        <f>IF(G998=1,IF(H997=0,1,ABS(0.2-J997*B998/I998)+ABS(0.2-K997*C998/I998)+ABS(0.2-L997*D998/I998)+ABS(0.2-M997*E998/I998)+ABS(0.2-N997*F998/I998)),0)</f>
        <v/>
      </c>
      <c r="Q998">
        <f>P998*0.0015</f>
        <v/>
      </c>
      <c r="R998">
        <f>I998*(1-Q998)</f>
        <v/>
      </c>
      <c r="S998">
        <f>R998/R997-1</f>
        <v/>
      </c>
      <c r="T998">
        <f>MAX(T997,R998)</f>
        <v/>
      </c>
      <c r="U998">
        <f>R998/T998-1</f>
        <v/>
      </c>
      <c r="V998" t="n">
        <v>1.563507510561635</v>
      </c>
      <c r="W998" s="5">
        <f>R998-V998</f>
        <v/>
      </c>
    </row>
    <row r="999">
      <c r="A999" s="3" t="n">
        <v>39911</v>
      </c>
      <c r="B999">
        <f>Prices!B999</f>
        <v/>
      </c>
      <c r="C999">
        <f>Prices!C999</f>
        <v/>
      </c>
      <c r="D999">
        <f>Prices!D999</f>
        <v/>
      </c>
      <c r="E999">
        <f>Prices!E999</f>
        <v/>
      </c>
      <c r="F999">
        <f>Prices!F999</f>
        <v/>
      </c>
      <c r="G999">
        <f>IF(AND(997&gt;=16,TEXT(A999,"yyyy-mm")&lt;&gt;TEXT(A1000,"yyyy-mm")),1,0)</f>
        <v/>
      </c>
      <c r="H999">
        <f>IF(OR(H998=1,G999=1),1,0)</f>
        <v/>
      </c>
      <c r="I999">
        <f>IF(H998=0,1,SUMPRODUCT(J998:N998,B999:F999)+O998*(1+0.00023125256064071564))</f>
        <v/>
      </c>
      <c r="J999">
        <f>IF(G999=1,0.2*R999/B999,J998)</f>
        <v/>
      </c>
      <c r="K999">
        <f>IF(G999=1,0.2*R999/C999,K998)</f>
        <v/>
      </c>
      <c r="L999">
        <f>IF(G999=1,0.2*R999/D999,L998)</f>
        <v/>
      </c>
      <c r="M999">
        <f>IF(G999=1,0.2*R999/E999,M998)</f>
        <v/>
      </c>
      <c r="N999">
        <f>IF(G999=1,0.2*R999/F999,N998)</f>
        <v/>
      </c>
      <c r="O999">
        <f>IF(G999=1,R999*(1-1.0),IF(H998=0,1,O998*(1+0.00023125256064071564)))</f>
        <v/>
      </c>
      <c r="P999">
        <f>IF(G999=1,IF(H998=0,1,ABS(0.2-J998*B999/I999)+ABS(0.2-K998*C999/I999)+ABS(0.2-L998*D999/I999)+ABS(0.2-M998*E999/I999)+ABS(0.2-N998*F999/I999)),0)</f>
        <v/>
      </c>
      <c r="Q999">
        <f>P999*0.0015</f>
        <v/>
      </c>
      <c r="R999">
        <f>I999*(1-Q999)</f>
        <v/>
      </c>
      <c r="S999">
        <f>R999/R998-1</f>
        <v/>
      </c>
      <c r="T999">
        <f>MAX(T998,R999)</f>
        <v/>
      </c>
      <c r="U999">
        <f>R999/T999-1</f>
        <v/>
      </c>
      <c r="V999" t="n">
        <v>1.600326020287786</v>
      </c>
      <c r="W999" s="5">
        <f>R999-V999</f>
        <v/>
      </c>
    </row>
    <row r="1000">
      <c r="A1000" s="3" t="n">
        <v>39912</v>
      </c>
      <c r="B1000">
        <f>Prices!B1000</f>
        <v/>
      </c>
      <c r="C1000">
        <f>Prices!C1000</f>
        <v/>
      </c>
      <c r="D1000">
        <f>Prices!D1000</f>
        <v/>
      </c>
      <c r="E1000">
        <f>Prices!E1000</f>
        <v/>
      </c>
      <c r="F1000">
        <f>Prices!F1000</f>
        <v/>
      </c>
      <c r="G1000">
        <f>IF(AND(998&gt;=16,TEXT(A1000,"yyyy-mm")&lt;&gt;TEXT(A1001,"yyyy-mm")),1,0)</f>
        <v/>
      </c>
      <c r="H1000">
        <f>IF(OR(H999=1,G1000=1),1,0)</f>
        <v/>
      </c>
      <c r="I1000">
        <f>IF(H999=0,1,SUMPRODUCT(J999:N999,B1000:F1000)+O999*(1+0.00023125256064071564))</f>
        <v/>
      </c>
      <c r="J1000">
        <f>IF(G1000=1,0.2*R1000/B1000,J999)</f>
        <v/>
      </c>
      <c r="K1000">
        <f>IF(G1000=1,0.2*R1000/C1000,K999)</f>
        <v/>
      </c>
      <c r="L1000">
        <f>IF(G1000=1,0.2*R1000/D1000,L999)</f>
        <v/>
      </c>
      <c r="M1000">
        <f>IF(G1000=1,0.2*R1000/E1000,M999)</f>
        <v/>
      </c>
      <c r="N1000">
        <f>IF(G1000=1,0.2*R1000/F1000,N999)</f>
        <v/>
      </c>
      <c r="O1000">
        <f>IF(G1000=1,R1000*(1-1.0),IF(H999=0,1,O999*(1+0.00023125256064071564)))</f>
        <v/>
      </c>
      <c r="P1000">
        <f>IF(G1000=1,IF(H999=0,1,ABS(0.2-J999*B1000/I1000)+ABS(0.2-K999*C1000/I1000)+ABS(0.2-L999*D1000/I1000)+ABS(0.2-M999*E1000/I1000)+ABS(0.2-N999*F1000/I1000)),0)</f>
        <v/>
      </c>
      <c r="Q1000">
        <f>P1000*0.0015</f>
        <v/>
      </c>
      <c r="R1000">
        <f>I1000*(1-Q1000)</f>
        <v/>
      </c>
      <c r="S1000">
        <f>R1000/R999-1</f>
        <v/>
      </c>
      <c r="T1000">
        <f>MAX(T999,R1000)</f>
        <v/>
      </c>
      <c r="U1000">
        <f>R1000/T1000-1</f>
        <v/>
      </c>
      <c r="V1000" t="n">
        <v>1.614150838529964</v>
      </c>
      <c r="W1000" s="5">
        <f>R1000-V1000</f>
        <v/>
      </c>
    </row>
    <row r="1001">
      <c r="A1001" s="3" t="n">
        <v>39916</v>
      </c>
      <c r="B1001">
        <f>Prices!B1001</f>
        <v/>
      </c>
      <c r="C1001">
        <f>Prices!C1001</f>
        <v/>
      </c>
      <c r="D1001">
        <f>Prices!D1001</f>
        <v/>
      </c>
      <c r="E1001">
        <f>Prices!E1001</f>
        <v/>
      </c>
      <c r="F1001">
        <f>Prices!F1001</f>
        <v/>
      </c>
      <c r="G1001">
        <f>IF(AND(999&gt;=16,TEXT(A1001,"yyyy-mm")&lt;&gt;TEXT(A1002,"yyyy-mm")),1,0)</f>
        <v/>
      </c>
      <c r="H1001">
        <f>IF(OR(H1000=1,G1001=1),1,0)</f>
        <v/>
      </c>
      <c r="I1001">
        <f>IF(H1000=0,1,SUMPRODUCT(J1000:N1000,B1001:F1001)+O1000*(1+0.00023125256064071564))</f>
        <v/>
      </c>
      <c r="J1001">
        <f>IF(G1001=1,0.2*R1001/B1001,J1000)</f>
        <v/>
      </c>
      <c r="K1001">
        <f>IF(G1001=1,0.2*R1001/C1001,K1000)</f>
        <v/>
      </c>
      <c r="L1001">
        <f>IF(G1001=1,0.2*R1001/D1001,L1000)</f>
        <v/>
      </c>
      <c r="M1001">
        <f>IF(G1001=1,0.2*R1001/E1001,M1000)</f>
        <v/>
      </c>
      <c r="N1001">
        <f>IF(G1001=1,0.2*R1001/F1001,N1000)</f>
        <v/>
      </c>
      <c r="O1001">
        <f>IF(G1001=1,R1001*(1-1.0),IF(H1000=0,1,O1000*(1+0.00023125256064071564)))</f>
        <v/>
      </c>
      <c r="P1001">
        <f>IF(G1001=1,IF(H1000=0,1,ABS(0.2-J1000*B1001/I1001)+ABS(0.2-K1000*C1001/I1001)+ABS(0.2-L1000*D1001/I1001)+ABS(0.2-M1000*E1001/I1001)+ABS(0.2-N1000*F1001/I1001)),0)</f>
        <v/>
      </c>
      <c r="Q1001">
        <f>P1001*0.0015</f>
        <v/>
      </c>
      <c r="R1001">
        <f>I1001*(1-Q1001)</f>
        <v/>
      </c>
      <c r="S1001">
        <f>R1001/R1000-1</f>
        <v/>
      </c>
      <c r="T1001">
        <f>MAX(T1000,R1001)</f>
        <v/>
      </c>
      <c r="U1001">
        <f>R1001/T1001-1</f>
        <v/>
      </c>
      <c r="V1001" t="n">
        <v>1.639480247759838</v>
      </c>
      <c r="W1001" s="5">
        <f>R1001-V1001</f>
        <v/>
      </c>
    </row>
    <row r="1002">
      <c r="A1002" s="3" t="n">
        <v>39918</v>
      </c>
      <c r="B1002">
        <f>Prices!B1002</f>
        <v/>
      </c>
      <c r="C1002">
        <f>Prices!C1002</f>
        <v/>
      </c>
      <c r="D1002">
        <f>Prices!D1002</f>
        <v/>
      </c>
      <c r="E1002">
        <f>Prices!E1002</f>
        <v/>
      </c>
      <c r="F1002">
        <f>Prices!F1002</f>
        <v/>
      </c>
      <c r="G1002">
        <f>IF(AND(1000&gt;=16,TEXT(A1002,"yyyy-mm")&lt;&gt;TEXT(A1003,"yyyy-mm")),1,0)</f>
        <v/>
      </c>
      <c r="H1002">
        <f>IF(OR(H1001=1,G1002=1),1,0)</f>
        <v/>
      </c>
      <c r="I1002">
        <f>IF(H1001=0,1,SUMPRODUCT(J1001:N1001,B1002:F1002)+O1001*(1+0.00023125256064071564))</f>
        <v/>
      </c>
      <c r="J1002">
        <f>IF(G1002=1,0.2*R1002/B1002,J1001)</f>
        <v/>
      </c>
      <c r="K1002">
        <f>IF(G1002=1,0.2*R1002/C1002,K1001)</f>
        <v/>
      </c>
      <c r="L1002">
        <f>IF(G1002=1,0.2*R1002/D1002,L1001)</f>
        <v/>
      </c>
      <c r="M1002">
        <f>IF(G1002=1,0.2*R1002/E1002,M1001)</f>
        <v/>
      </c>
      <c r="N1002">
        <f>IF(G1002=1,0.2*R1002/F1002,N1001)</f>
        <v/>
      </c>
      <c r="O1002">
        <f>IF(G1002=1,R1002*(1-1.0),IF(H1001=0,1,O1001*(1+0.00023125256064071564)))</f>
        <v/>
      </c>
      <c r="P1002">
        <f>IF(G1002=1,IF(H1001=0,1,ABS(0.2-J1001*B1002/I1002)+ABS(0.2-K1001*C1002/I1002)+ABS(0.2-L1001*D1002/I1002)+ABS(0.2-M1001*E1002/I1002)+ABS(0.2-N1001*F1002/I1002)),0)</f>
        <v/>
      </c>
      <c r="Q1002">
        <f>P1002*0.0015</f>
        <v/>
      </c>
      <c r="R1002">
        <f>I1002*(1-Q1002)</f>
        <v/>
      </c>
      <c r="S1002">
        <f>R1002/R1001-1</f>
        <v/>
      </c>
      <c r="T1002">
        <f>MAX(T1001,R1002)</f>
        <v/>
      </c>
      <c r="U1002">
        <f>R1002/T1002-1</f>
        <v/>
      </c>
      <c r="V1002" t="n">
        <v>1.688008200812246</v>
      </c>
      <c r="W1002" s="5">
        <f>R1002-V1002</f>
        <v/>
      </c>
    </row>
    <row r="1003">
      <c r="A1003" s="3" t="n">
        <v>39919</v>
      </c>
      <c r="B1003">
        <f>Prices!B1003</f>
        <v/>
      </c>
      <c r="C1003">
        <f>Prices!C1003</f>
        <v/>
      </c>
      <c r="D1003">
        <f>Prices!D1003</f>
        <v/>
      </c>
      <c r="E1003">
        <f>Prices!E1003</f>
        <v/>
      </c>
      <c r="F1003">
        <f>Prices!F1003</f>
        <v/>
      </c>
      <c r="G1003">
        <f>IF(AND(1001&gt;=16,TEXT(A1003,"yyyy-mm")&lt;&gt;TEXT(A1004,"yyyy-mm")),1,0)</f>
        <v/>
      </c>
      <c r="H1003">
        <f>IF(OR(H1002=1,G1003=1),1,0)</f>
        <v/>
      </c>
      <c r="I1003">
        <f>IF(H1002=0,1,SUMPRODUCT(J1002:N1002,B1003:F1003)+O1002*(1+0.00023125256064071564))</f>
        <v/>
      </c>
      <c r="J1003">
        <f>IF(G1003=1,0.2*R1003/B1003,J1002)</f>
        <v/>
      </c>
      <c r="K1003">
        <f>IF(G1003=1,0.2*R1003/C1003,K1002)</f>
        <v/>
      </c>
      <c r="L1003">
        <f>IF(G1003=1,0.2*R1003/D1003,L1002)</f>
        <v/>
      </c>
      <c r="M1003">
        <f>IF(G1003=1,0.2*R1003/E1003,M1002)</f>
        <v/>
      </c>
      <c r="N1003">
        <f>IF(G1003=1,0.2*R1003/F1003,N1002)</f>
        <v/>
      </c>
      <c r="O1003">
        <f>IF(G1003=1,R1003*(1-1.0),IF(H1002=0,1,O1002*(1+0.00023125256064071564)))</f>
        <v/>
      </c>
      <c r="P1003">
        <f>IF(G1003=1,IF(H1002=0,1,ABS(0.2-J1002*B1003/I1003)+ABS(0.2-K1002*C1003/I1003)+ABS(0.2-L1002*D1003/I1003)+ABS(0.2-M1002*E1003/I1003)+ABS(0.2-N1002*F1003/I1003)),0)</f>
        <v/>
      </c>
      <c r="Q1003">
        <f>P1003*0.0015</f>
        <v/>
      </c>
      <c r="R1003">
        <f>I1003*(1-Q1003)</f>
        <v/>
      </c>
      <c r="S1003">
        <f>R1003/R1002-1</f>
        <v/>
      </c>
      <c r="T1003">
        <f>MAX(T1002,R1003)</f>
        <v/>
      </c>
      <c r="U1003">
        <f>R1003/T1003-1</f>
        <v/>
      </c>
      <c r="V1003" t="n">
        <v>1.646109099605055</v>
      </c>
      <c r="W1003" s="5">
        <f>R1003-V1003</f>
        <v/>
      </c>
    </row>
    <row r="1004">
      <c r="A1004" s="3" t="n">
        <v>39920</v>
      </c>
      <c r="B1004">
        <f>Prices!B1004</f>
        <v/>
      </c>
      <c r="C1004">
        <f>Prices!C1004</f>
        <v/>
      </c>
      <c r="D1004">
        <f>Prices!D1004</f>
        <v/>
      </c>
      <c r="E1004">
        <f>Prices!E1004</f>
        <v/>
      </c>
      <c r="F1004">
        <f>Prices!F1004</f>
        <v/>
      </c>
      <c r="G1004">
        <f>IF(AND(1002&gt;=16,TEXT(A1004,"yyyy-mm")&lt;&gt;TEXT(A1005,"yyyy-mm")),1,0)</f>
        <v/>
      </c>
      <c r="H1004">
        <f>IF(OR(H1003=1,G1004=1),1,0)</f>
        <v/>
      </c>
      <c r="I1004">
        <f>IF(H1003=0,1,SUMPRODUCT(J1003:N1003,B1004:F1004)+O1003*(1+0.00023125256064071564))</f>
        <v/>
      </c>
      <c r="J1004">
        <f>IF(G1004=1,0.2*R1004/B1004,J1003)</f>
        <v/>
      </c>
      <c r="K1004">
        <f>IF(G1004=1,0.2*R1004/C1004,K1003)</f>
        <v/>
      </c>
      <c r="L1004">
        <f>IF(G1004=1,0.2*R1004/D1004,L1003)</f>
        <v/>
      </c>
      <c r="M1004">
        <f>IF(G1004=1,0.2*R1004/E1004,M1003)</f>
        <v/>
      </c>
      <c r="N1004">
        <f>IF(G1004=1,0.2*R1004/F1004,N1003)</f>
        <v/>
      </c>
      <c r="O1004">
        <f>IF(G1004=1,R1004*(1-1.0),IF(H1003=0,1,O1003*(1+0.00023125256064071564)))</f>
        <v/>
      </c>
      <c r="P1004">
        <f>IF(G1004=1,IF(H1003=0,1,ABS(0.2-J1003*B1004/I1004)+ABS(0.2-K1003*C1004/I1004)+ABS(0.2-L1003*D1004/I1004)+ABS(0.2-M1003*E1004/I1004)+ABS(0.2-N1003*F1004/I1004)),0)</f>
        <v/>
      </c>
      <c r="Q1004">
        <f>P1004*0.0015</f>
        <v/>
      </c>
      <c r="R1004">
        <f>I1004*(1-Q1004)</f>
        <v/>
      </c>
      <c r="S1004">
        <f>R1004/R1003-1</f>
        <v/>
      </c>
      <c r="T1004">
        <f>MAX(T1003,R1004)</f>
        <v/>
      </c>
      <c r="U1004">
        <f>R1004/T1004-1</f>
        <v/>
      </c>
      <c r="V1004" t="n">
        <v>1.6572487697189</v>
      </c>
      <c r="W1004" s="5">
        <f>R1004-V1004</f>
        <v/>
      </c>
    </row>
    <row r="1005">
      <c r="A1005" s="3" t="n">
        <v>39923</v>
      </c>
      <c r="B1005">
        <f>Prices!B1005</f>
        <v/>
      </c>
      <c r="C1005">
        <f>Prices!C1005</f>
        <v/>
      </c>
      <c r="D1005">
        <f>Prices!D1005</f>
        <v/>
      </c>
      <c r="E1005">
        <f>Prices!E1005</f>
        <v/>
      </c>
      <c r="F1005">
        <f>Prices!F1005</f>
        <v/>
      </c>
      <c r="G1005">
        <f>IF(AND(1003&gt;=16,TEXT(A1005,"yyyy-mm")&lt;&gt;TEXT(A1006,"yyyy-mm")),1,0)</f>
        <v/>
      </c>
      <c r="H1005">
        <f>IF(OR(H1004=1,G1005=1),1,0)</f>
        <v/>
      </c>
      <c r="I1005">
        <f>IF(H1004=0,1,SUMPRODUCT(J1004:N1004,B1005:F1005)+O1004*(1+0.00023125256064071564))</f>
        <v/>
      </c>
      <c r="J1005">
        <f>IF(G1005=1,0.2*R1005/B1005,J1004)</f>
        <v/>
      </c>
      <c r="K1005">
        <f>IF(G1005=1,0.2*R1005/C1005,K1004)</f>
        <v/>
      </c>
      <c r="L1005">
        <f>IF(G1005=1,0.2*R1005/D1005,L1004)</f>
        <v/>
      </c>
      <c r="M1005">
        <f>IF(G1005=1,0.2*R1005/E1005,M1004)</f>
        <v/>
      </c>
      <c r="N1005">
        <f>IF(G1005=1,0.2*R1005/F1005,N1004)</f>
        <v/>
      </c>
      <c r="O1005">
        <f>IF(G1005=1,R1005*(1-1.0),IF(H1004=0,1,O1004*(1+0.00023125256064071564)))</f>
        <v/>
      </c>
      <c r="P1005">
        <f>IF(G1005=1,IF(H1004=0,1,ABS(0.2-J1004*B1005/I1005)+ABS(0.2-K1004*C1005/I1005)+ABS(0.2-L1004*D1005/I1005)+ABS(0.2-M1004*E1005/I1005)+ABS(0.2-N1004*F1005/I1005)),0)</f>
        <v/>
      </c>
      <c r="Q1005">
        <f>P1005*0.0015</f>
        <v/>
      </c>
      <c r="R1005">
        <f>I1005*(1-Q1005)</f>
        <v/>
      </c>
      <c r="S1005">
        <f>R1005/R1004-1</f>
        <v/>
      </c>
      <c r="T1005">
        <f>MAX(T1004,R1005)</f>
        <v/>
      </c>
      <c r="U1005">
        <f>R1005/T1005-1</f>
        <v/>
      </c>
      <c r="V1005" t="n">
        <v>1.671279709834621</v>
      </c>
      <c r="W1005" s="5">
        <f>R1005-V1005</f>
        <v/>
      </c>
    </row>
    <row r="1006">
      <c r="A1006" s="3" t="n">
        <v>39924</v>
      </c>
      <c r="B1006">
        <f>Prices!B1006</f>
        <v/>
      </c>
      <c r="C1006">
        <f>Prices!C1006</f>
        <v/>
      </c>
      <c r="D1006">
        <f>Prices!D1006</f>
        <v/>
      </c>
      <c r="E1006">
        <f>Prices!E1006</f>
        <v/>
      </c>
      <c r="F1006">
        <f>Prices!F1006</f>
        <v/>
      </c>
      <c r="G1006">
        <f>IF(AND(1004&gt;=16,TEXT(A1006,"yyyy-mm")&lt;&gt;TEXT(A1007,"yyyy-mm")),1,0)</f>
        <v/>
      </c>
      <c r="H1006">
        <f>IF(OR(H1005=1,G1006=1),1,0)</f>
        <v/>
      </c>
      <c r="I1006">
        <f>IF(H1005=0,1,SUMPRODUCT(J1005:N1005,B1006:F1006)+O1005*(1+0.00023125256064071564))</f>
        <v/>
      </c>
      <c r="J1006">
        <f>IF(G1006=1,0.2*R1006/B1006,J1005)</f>
        <v/>
      </c>
      <c r="K1006">
        <f>IF(G1006=1,0.2*R1006/C1006,K1005)</f>
        <v/>
      </c>
      <c r="L1006">
        <f>IF(G1006=1,0.2*R1006/D1006,L1005)</f>
        <v/>
      </c>
      <c r="M1006">
        <f>IF(G1006=1,0.2*R1006/E1006,M1005)</f>
        <v/>
      </c>
      <c r="N1006">
        <f>IF(G1006=1,0.2*R1006/F1006,N1005)</f>
        <v/>
      </c>
      <c r="O1006">
        <f>IF(G1006=1,R1006*(1-1.0),IF(H1005=0,1,O1005*(1+0.00023125256064071564)))</f>
        <v/>
      </c>
      <c r="P1006">
        <f>IF(G1006=1,IF(H1005=0,1,ABS(0.2-J1005*B1006/I1006)+ABS(0.2-K1005*C1006/I1006)+ABS(0.2-L1005*D1006/I1006)+ABS(0.2-M1005*E1006/I1006)+ABS(0.2-N1005*F1006/I1006)),0)</f>
        <v/>
      </c>
      <c r="Q1006">
        <f>P1006*0.0015</f>
        <v/>
      </c>
      <c r="R1006">
        <f>I1006*(1-Q1006)</f>
        <v/>
      </c>
      <c r="S1006">
        <f>R1006/R1005-1</f>
        <v/>
      </c>
      <c r="T1006">
        <f>MAX(T1005,R1006)</f>
        <v/>
      </c>
      <c r="U1006">
        <f>R1006/T1006-1</f>
        <v/>
      </c>
      <c r="V1006" t="n">
        <v>1.664806363817324</v>
      </c>
      <c r="W1006" s="5">
        <f>R1006-V1006</f>
        <v/>
      </c>
    </row>
    <row r="1007">
      <c r="A1007" s="3" t="n">
        <v>39925</v>
      </c>
      <c r="B1007">
        <f>Prices!B1007</f>
        <v/>
      </c>
      <c r="C1007">
        <f>Prices!C1007</f>
        <v/>
      </c>
      <c r="D1007">
        <f>Prices!D1007</f>
        <v/>
      </c>
      <c r="E1007">
        <f>Prices!E1007</f>
        <v/>
      </c>
      <c r="F1007">
        <f>Prices!F1007</f>
        <v/>
      </c>
      <c r="G1007">
        <f>IF(AND(1005&gt;=16,TEXT(A1007,"yyyy-mm")&lt;&gt;TEXT(A1008,"yyyy-mm")),1,0)</f>
        <v/>
      </c>
      <c r="H1007">
        <f>IF(OR(H1006=1,G1007=1),1,0)</f>
        <v/>
      </c>
      <c r="I1007">
        <f>IF(H1006=0,1,SUMPRODUCT(J1006:N1006,B1007:F1007)+O1006*(1+0.00023125256064071564))</f>
        <v/>
      </c>
      <c r="J1007">
        <f>IF(G1007=1,0.2*R1007/B1007,J1006)</f>
        <v/>
      </c>
      <c r="K1007">
        <f>IF(G1007=1,0.2*R1007/C1007,K1006)</f>
        <v/>
      </c>
      <c r="L1007">
        <f>IF(G1007=1,0.2*R1007/D1007,L1006)</f>
        <v/>
      </c>
      <c r="M1007">
        <f>IF(G1007=1,0.2*R1007/E1007,M1006)</f>
        <v/>
      </c>
      <c r="N1007">
        <f>IF(G1007=1,0.2*R1007/F1007,N1006)</f>
        <v/>
      </c>
      <c r="O1007">
        <f>IF(G1007=1,R1007*(1-1.0),IF(H1006=0,1,O1006*(1+0.00023125256064071564)))</f>
        <v/>
      </c>
      <c r="P1007">
        <f>IF(G1007=1,IF(H1006=0,1,ABS(0.2-J1006*B1007/I1007)+ABS(0.2-K1006*C1007/I1007)+ABS(0.2-L1006*D1007/I1007)+ABS(0.2-M1006*E1007/I1007)+ABS(0.2-N1006*F1007/I1007)),0)</f>
        <v/>
      </c>
      <c r="Q1007">
        <f>P1007*0.0015</f>
        <v/>
      </c>
      <c r="R1007">
        <f>I1007*(1-Q1007)</f>
        <v/>
      </c>
      <c r="S1007">
        <f>R1007/R1006-1</f>
        <v/>
      </c>
      <c r="T1007">
        <f>MAX(T1006,R1007)</f>
        <v/>
      </c>
      <c r="U1007">
        <f>R1007/T1007-1</f>
        <v/>
      </c>
      <c r="V1007" t="n">
        <v>1.642822108683056</v>
      </c>
      <c r="W1007" s="5">
        <f>R1007-V1007</f>
        <v/>
      </c>
    </row>
    <row r="1008">
      <c r="A1008" s="3" t="n">
        <v>39926</v>
      </c>
      <c r="B1008">
        <f>Prices!B1008</f>
        <v/>
      </c>
      <c r="C1008">
        <f>Prices!C1008</f>
        <v/>
      </c>
      <c r="D1008">
        <f>Prices!D1008</f>
        <v/>
      </c>
      <c r="E1008">
        <f>Prices!E1008</f>
        <v/>
      </c>
      <c r="F1008">
        <f>Prices!F1008</f>
        <v/>
      </c>
      <c r="G1008">
        <f>IF(AND(1006&gt;=16,TEXT(A1008,"yyyy-mm")&lt;&gt;TEXT(A1009,"yyyy-mm")),1,0)</f>
        <v/>
      </c>
      <c r="H1008">
        <f>IF(OR(H1007=1,G1008=1),1,0)</f>
        <v/>
      </c>
      <c r="I1008">
        <f>IF(H1007=0,1,SUMPRODUCT(J1007:N1007,B1008:F1008)+O1007*(1+0.00023125256064071564))</f>
        <v/>
      </c>
      <c r="J1008">
        <f>IF(G1008=1,0.2*R1008/B1008,J1007)</f>
        <v/>
      </c>
      <c r="K1008">
        <f>IF(G1008=1,0.2*R1008/C1008,K1007)</f>
        <v/>
      </c>
      <c r="L1008">
        <f>IF(G1008=1,0.2*R1008/D1008,L1007)</f>
        <v/>
      </c>
      <c r="M1008">
        <f>IF(G1008=1,0.2*R1008/E1008,M1007)</f>
        <v/>
      </c>
      <c r="N1008">
        <f>IF(G1008=1,0.2*R1008/F1008,N1007)</f>
        <v/>
      </c>
      <c r="O1008">
        <f>IF(G1008=1,R1008*(1-1.0),IF(H1007=0,1,O1007*(1+0.00023125256064071564)))</f>
        <v/>
      </c>
      <c r="P1008">
        <f>IF(G1008=1,IF(H1007=0,1,ABS(0.2-J1007*B1008/I1008)+ABS(0.2-K1007*C1008/I1008)+ABS(0.2-L1007*D1008/I1008)+ABS(0.2-M1007*E1008/I1008)+ABS(0.2-N1007*F1008/I1008)),0)</f>
        <v/>
      </c>
      <c r="Q1008">
        <f>P1008*0.0015</f>
        <v/>
      </c>
      <c r="R1008">
        <f>I1008*(1-Q1008)</f>
        <v/>
      </c>
      <c r="S1008">
        <f>R1008/R1007-1</f>
        <v/>
      </c>
      <c r="T1008">
        <f>MAX(T1007,R1008)</f>
        <v/>
      </c>
      <c r="U1008">
        <f>R1008/T1008-1</f>
        <v/>
      </c>
      <c r="V1008" t="n">
        <v>1.673020636669173</v>
      </c>
      <c r="W1008" s="5">
        <f>R1008-V1008</f>
        <v/>
      </c>
    </row>
    <row r="1009">
      <c r="A1009" s="3" t="n">
        <v>39927</v>
      </c>
      <c r="B1009">
        <f>Prices!B1009</f>
        <v/>
      </c>
      <c r="C1009">
        <f>Prices!C1009</f>
        <v/>
      </c>
      <c r="D1009">
        <f>Prices!D1009</f>
        <v/>
      </c>
      <c r="E1009">
        <f>Prices!E1009</f>
        <v/>
      </c>
      <c r="F1009">
        <f>Prices!F1009</f>
        <v/>
      </c>
      <c r="G1009">
        <f>IF(AND(1007&gt;=16,TEXT(A1009,"yyyy-mm")&lt;&gt;TEXT(A1010,"yyyy-mm")),1,0)</f>
        <v/>
      </c>
      <c r="H1009">
        <f>IF(OR(H1008=1,G1009=1),1,0)</f>
        <v/>
      </c>
      <c r="I1009">
        <f>IF(H1008=0,1,SUMPRODUCT(J1008:N1008,B1009:F1009)+O1008*(1+0.00023125256064071564))</f>
        <v/>
      </c>
      <c r="J1009">
        <f>IF(G1009=1,0.2*R1009/B1009,J1008)</f>
        <v/>
      </c>
      <c r="K1009">
        <f>IF(G1009=1,0.2*R1009/C1009,K1008)</f>
        <v/>
      </c>
      <c r="L1009">
        <f>IF(G1009=1,0.2*R1009/D1009,L1008)</f>
        <v/>
      </c>
      <c r="M1009">
        <f>IF(G1009=1,0.2*R1009/E1009,M1008)</f>
        <v/>
      </c>
      <c r="N1009">
        <f>IF(G1009=1,0.2*R1009/F1009,N1008)</f>
        <v/>
      </c>
      <c r="O1009">
        <f>IF(G1009=1,R1009*(1-1.0),IF(H1008=0,1,O1008*(1+0.00023125256064071564)))</f>
        <v/>
      </c>
      <c r="P1009">
        <f>IF(G1009=1,IF(H1008=0,1,ABS(0.2-J1008*B1009/I1009)+ABS(0.2-K1008*C1009/I1009)+ABS(0.2-L1008*D1009/I1009)+ABS(0.2-M1008*E1009/I1009)+ABS(0.2-N1008*F1009/I1009)),0)</f>
        <v/>
      </c>
      <c r="Q1009">
        <f>P1009*0.0015</f>
        <v/>
      </c>
      <c r="R1009">
        <f>I1009*(1-Q1009)</f>
        <v/>
      </c>
      <c r="S1009">
        <f>R1009/R1008-1</f>
        <v/>
      </c>
      <c r="T1009">
        <f>MAX(T1008,R1009)</f>
        <v/>
      </c>
      <c r="U1009">
        <f>R1009/T1009-1</f>
        <v/>
      </c>
      <c r="V1009" t="n">
        <v>1.694201564459584</v>
      </c>
      <c r="W1009" s="5">
        <f>R1009-V1009</f>
        <v/>
      </c>
    </row>
    <row r="1010">
      <c r="A1010" s="3" t="n">
        <v>39930</v>
      </c>
      <c r="B1010">
        <f>Prices!B1010</f>
        <v/>
      </c>
      <c r="C1010">
        <f>Prices!C1010</f>
        <v/>
      </c>
      <c r="D1010">
        <f>Prices!D1010</f>
        <v/>
      </c>
      <c r="E1010">
        <f>Prices!E1010</f>
        <v/>
      </c>
      <c r="F1010">
        <f>Prices!F1010</f>
        <v/>
      </c>
      <c r="G1010">
        <f>IF(AND(1008&gt;=16,TEXT(A1010,"yyyy-mm")&lt;&gt;TEXT(A1011,"yyyy-mm")),1,0)</f>
        <v/>
      </c>
      <c r="H1010">
        <f>IF(OR(H1009=1,G1010=1),1,0)</f>
        <v/>
      </c>
      <c r="I1010">
        <f>IF(H1009=0,1,SUMPRODUCT(J1009:N1009,B1010:F1010)+O1009*(1+0.00023125256064071564))</f>
        <v/>
      </c>
      <c r="J1010">
        <f>IF(G1010=1,0.2*R1010/B1010,J1009)</f>
        <v/>
      </c>
      <c r="K1010">
        <f>IF(G1010=1,0.2*R1010/C1010,K1009)</f>
        <v/>
      </c>
      <c r="L1010">
        <f>IF(G1010=1,0.2*R1010/D1010,L1009)</f>
        <v/>
      </c>
      <c r="M1010">
        <f>IF(G1010=1,0.2*R1010/E1010,M1009)</f>
        <v/>
      </c>
      <c r="N1010">
        <f>IF(G1010=1,0.2*R1010/F1010,N1009)</f>
        <v/>
      </c>
      <c r="O1010">
        <f>IF(G1010=1,R1010*(1-1.0),IF(H1009=0,1,O1009*(1+0.00023125256064071564)))</f>
        <v/>
      </c>
      <c r="P1010">
        <f>IF(G1010=1,IF(H1009=0,1,ABS(0.2-J1009*B1010/I1010)+ABS(0.2-K1009*C1010/I1010)+ABS(0.2-L1009*D1010/I1010)+ABS(0.2-M1009*E1010/I1010)+ABS(0.2-N1009*F1010/I1010)),0)</f>
        <v/>
      </c>
      <c r="Q1010">
        <f>P1010*0.0015</f>
        <v/>
      </c>
      <c r="R1010">
        <f>I1010*(1-Q1010)</f>
        <v/>
      </c>
      <c r="S1010">
        <f>R1010/R1009-1</f>
        <v/>
      </c>
      <c r="T1010">
        <f>MAX(T1009,R1010)</f>
        <v/>
      </c>
      <c r="U1010">
        <f>R1010/T1010-1</f>
        <v/>
      </c>
      <c r="V1010" t="n">
        <v>1.683657480203435</v>
      </c>
      <c r="W1010" s="5">
        <f>R1010-V1010</f>
        <v/>
      </c>
    </row>
    <row r="1011">
      <c r="A1011" s="3" t="n">
        <v>39931</v>
      </c>
      <c r="B1011">
        <f>Prices!B1011</f>
        <v/>
      </c>
      <c r="C1011">
        <f>Prices!C1011</f>
        <v/>
      </c>
      <c r="D1011">
        <f>Prices!D1011</f>
        <v/>
      </c>
      <c r="E1011">
        <f>Prices!E1011</f>
        <v/>
      </c>
      <c r="F1011">
        <f>Prices!F1011</f>
        <v/>
      </c>
      <c r="G1011">
        <f>IF(AND(1009&gt;=16,TEXT(A1011,"yyyy-mm")&lt;&gt;TEXT(A1012,"yyyy-mm")),1,0)</f>
        <v/>
      </c>
      <c r="H1011">
        <f>IF(OR(H1010=1,G1011=1),1,0)</f>
        <v/>
      </c>
      <c r="I1011">
        <f>IF(H1010=0,1,SUMPRODUCT(J1010:N1010,B1011:F1011)+O1010*(1+0.00023125256064071564))</f>
        <v/>
      </c>
      <c r="J1011">
        <f>IF(G1011=1,0.2*R1011/B1011,J1010)</f>
        <v/>
      </c>
      <c r="K1011">
        <f>IF(G1011=1,0.2*R1011/C1011,K1010)</f>
        <v/>
      </c>
      <c r="L1011">
        <f>IF(G1011=1,0.2*R1011/D1011,L1010)</f>
        <v/>
      </c>
      <c r="M1011">
        <f>IF(G1011=1,0.2*R1011/E1011,M1010)</f>
        <v/>
      </c>
      <c r="N1011">
        <f>IF(G1011=1,0.2*R1011/F1011,N1010)</f>
        <v/>
      </c>
      <c r="O1011">
        <f>IF(G1011=1,R1011*(1-1.0),IF(H1010=0,1,O1010*(1+0.00023125256064071564)))</f>
        <v/>
      </c>
      <c r="P1011">
        <f>IF(G1011=1,IF(H1010=0,1,ABS(0.2-J1010*B1011/I1011)+ABS(0.2-K1010*C1011/I1011)+ABS(0.2-L1010*D1011/I1011)+ABS(0.2-M1010*E1011/I1011)+ABS(0.2-N1010*F1011/I1011)),0)</f>
        <v/>
      </c>
      <c r="Q1011">
        <f>P1011*0.0015</f>
        <v/>
      </c>
      <c r="R1011">
        <f>I1011*(1-Q1011)</f>
        <v/>
      </c>
      <c r="S1011">
        <f>R1011/R1010-1</f>
        <v/>
      </c>
      <c r="T1011">
        <f>MAX(T1010,R1011)</f>
        <v/>
      </c>
      <c r="U1011">
        <f>R1011/T1011-1</f>
        <v/>
      </c>
      <c r="V1011" t="n">
        <v>1.636275251276648</v>
      </c>
      <c r="W1011" s="5">
        <f>R1011-V1011</f>
        <v/>
      </c>
    </row>
    <row r="1012">
      <c r="A1012" s="3" t="n">
        <v>39932</v>
      </c>
      <c r="B1012">
        <f>Prices!B1012</f>
        <v/>
      </c>
      <c r="C1012">
        <f>Prices!C1012</f>
        <v/>
      </c>
      <c r="D1012">
        <f>Prices!D1012</f>
        <v/>
      </c>
      <c r="E1012">
        <f>Prices!E1012</f>
        <v/>
      </c>
      <c r="F1012">
        <f>Prices!F1012</f>
        <v/>
      </c>
      <c r="G1012">
        <f>IF(AND(1010&gt;=16,TEXT(A1012,"yyyy-mm")&lt;&gt;TEXT(A1013,"yyyy-mm")),1,0)</f>
        <v/>
      </c>
      <c r="H1012">
        <f>IF(OR(H1011=1,G1012=1),1,0)</f>
        <v/>
      </c>
      <c r="I1012">
        <f>IF(H1011=0,1,SUMPRODUCT(J1011:N1011,B1012:F1012)+O1011*(1+0.00023125256064071564))</f>
        <v/>
      </c>
      <c r="J1012">
        <f>IF(G1012=1,0.2*R1012/B1012,J1011)</f>
        <v/>
      </c>
      <c r="K1012">
        <f>IF(G1012=1,0.2*R1012/C1012,K1011)</f>
        <v/>
      </c>
      <c r="L1012">
        <f>IF(G1012=1,0.2*R1012/D1012,L1011)</f>
        <v/>
      </c>
      <c r="M1012">
        <f>IF(G1012=1,0.2*R1012/E1012,M1011)</f>
        <v/>
      </c>
      <c r="N1012">
        <f>IF(G1012=1,0.2*R1012/F1012,N1011)</f>
        <v/>
      </c>
      <c r="O1012">
        <f>IF(G1012=1,R1012*(1-1.0),IF(H1011=0,1,O1011*(1+0.00023125256064071564)))</f>
        <v/>
      </c>
      <c r="P1012">
        <f>IF(G1012=1,IF(H1011=0,1,ABS(0.2-J1011*B1012/I1012)+ABS(0.2-K1011*C1012/I1012)+ABS(0.2-L1011*D1012/I1012)+ABS(0.2-M1011*E1012/I1012)+ABS(0.2-N1011*F1012/I1012)),0)</f>
        <v/>
      </c>
      <c r="Q1012">
        <f>P1012*0.0015</f>
        <v/>
      </c>
      <c r="R1012">
        <f>I1012*(1-Q1012)</f>
        <v/>
      </c>
      <c r="S1012">
        <f>R1012/R1011-1</f>
        <v/>
      </c>
      <c r="T1012">
        <f>MAX(T1011,R1012)</f>
        <v/>
      </c>
      <c r="U1012">
        <f>R1012/T1012-1</f>
        <v/>
      </c>
      <c r="V1012" t="n">
        <v>1.669239027997136</v>
      </c>
      <c r="W1012" s="5">
        <f>R1012-V1012</f>
        <v/>
      </c>
    </row>
    <row r="1013">
      <c r="A1013" s="3" t="n">
        <v>39937</v>
      </c>
      <c r="B1013">
        <f>Prices!B1013</f>
        <v/>
      </c>
      <c r="C1013">
        <f>Prices!C1013</f>
        <v/>
      </c>
      <c r="D1013">
        <f>Prices!D1013</f>
        <v/>
      </c>
      <c r="E1013">
        <f>Prices!E1013</f>
        <v/>
      </c>
      <c r="F1013">
        <f>Prices!F1013</f>
        <v/>
      </c>
      <c r="G1013">
        <f>IF(AND(1011&gt;=16,TEXT(A1013,"yyyy-mm")&lt;&gt;TEXT(A1014,"yyyy-mm")),1,0)</f>
        <v/>
      </c>
      <c r="H1013">
        <f>IF(OR(H1012=1,G1013=1),1,0)</f>
        <v/>
      </c>
      <c r="I1013">
        <f>IF(H1012=0,1,SUMPRODUCT(J1012:N1012,B1013:F1013)+O1012*(1+0.00023125256064071564))</f>
        <v/>
      </c>
      <c r="J1013">
        <f>IF(G1013=1,0.2*R1013/B1013,J1012)</f>
        <v/>
      </c>
      <c r="K1013">
        <f>IF(G1013=1,0.2*R1013/C1013,K1012)</f>
        <v/>
      </c>
      <c r="L1013">
        <f>IF(G1013=1,0.2*R1013/D1013,L1012)</f>
        <v/>
      </c>
      <c r="M1013">
        <f>IF(G1013=1,0.2*R1013/E1013,M1012)</f>
        <v/>
      </c>
      <c r="N1013">
        <f>IF(G1013=1,0.2*R1013/F1013,N1012)</f>
        <v/>
      </c>
      <c r="O1013">
        <f>IF(G1013=1,R1013*(1-1.0),IF(H1012=0,1,O1012*(1+0.00023125256064071564)))</f>
        <v/>
      </c>
      <c r="P1013">
        <f>IF(G1013=1,IF(H1012=0,1,ABS(0.2-J1012*B1013/I1013)+ABS(0.2-K1012*C1013/I1013)+ABS(0.2-L1012*D1013/I1013)+ABS(0.2-M1012*E1013/I1013)+ABS(0.2-N1012*F1013/I1013)),0)</f>
        <v/>
      </c>
      <c r="Q1013">
        <f>P1013*0.0015</f>
        <v/>
      </c>
      <c r="R1013">
        <f>I1013*(1-Q1013)</f>
        <v/>
      </c>
      <c r="S1013">
        <f>R1013/R1012-1</f>
        <v/>
      </c>
      <c r="T1013">
        <f>MAX(T1012,R1013)</f>
        <v/>
      </c>
      <c r="U1013">
        <f>R1013/T1013-1</f>
        <v/>
      </c>
      <c r="V1013" t="n">
        <v>1.727127304571268</v>
      </c>
      <c r="W1013" s="5">
        <f>R1013-V1013</f>
        <v/>
      </c>
    </row>
    <row r="1014">
      <c r="A1014" s="3" t="n">
        <v>39938</v>
      </c>
      <c r="B1014">
        <f>Prices!B1014</f>
        <v/>
      </c>
      <c r="C1014">
        <f>Prices!C1014</f>
        <v/>
      </c>
      <c r="D1014">
        <f>Prices!D1014</f>
        <v/>
      </c>
      <c r="E1014">
        <f>Prices!E1014</f>
        <v/>
      </c>
      <c r="F1014">
        <f>Prices!F1014</f>
        <v/>
      </c>
      <c r="G1014">
        <f>IF(AND(1012&gt;=16,TEXT(A1014,"yyyy-mm")&lt;&gt;TEXT(A1015,"yyyy-mm")),1,0)</f>
        <v/>
      </c>
      <c r="H1014">
        <f>IF(OR(H1013=1,G1014=1),1,0)</f>
        <v/>
      </c>
      <c r="I1014">
        <f>IF(H1013=0,1,SUMPRODUCT(J1013:N1013,B1014:F1014)+O1013*(1+0.00023125256064071564))</f>
        <v/>
      </c>
      <c r="J1014">
        <f>IF(G1014=1,0.2*R1014/B1014,J1013)</f>
        <v/>
      </c>
      <c r="K1014">
        <f>IF(G1014=1,0.2*R1014/C1014,K1013)</f>
        <v/>
      </c>
      <c r="L1014">
        <f>IF(G1014=1,0.2*R1014/D1014,L1013)</f>
        <v/>
      </c>
      <c r="M1014">
        <f>IF(G1014=1,0.2*R1014/E1014,M1013)</f>
        <v/>
      </c>
      <c r="N1014">
        <f>IF(G1014=1,0.2*R1014/F1014,N1013)</f>
        <v/>
      </c>
      <c r="O1014">
        <f>IF(G1014=1,R1014*(1-1.0),IF(H1013=0,1,O1013*(1+0.00023125256064071564)))</f>
        <v/>
      </c>
      <c r="P1014">
        <f>IF(G1014=1,IF(H1013=0,1,ABS(0.2-J1013*B1014/I1014)+ABS(0.2-K1013*C1014/I1014)+ABS(0.2-L1013*D1014/I1014)+ABS(0.2-M1013*E1014/I1014)+ABS(0.2-N1013*F1014/I1014)),0)</f>
        <v/>
      </c>
      <c r="Q1014">
        <f>P1014*0.0015</f>
        <v/>
      </c>
      <c r="R1014">
        <f>I1014*(1-Q1014)</f>
        <v/>
      </c>
      <c r="S1014">
        <f>R1014/R1013-1</f>
        <v/>
      </c>
      <c r="T1014">
        <f>MAX(T1013,R1014)</f>
        <v/>
      </c>
      <c r="U1014">
        <f>R1014/T1014-1</f>
        <v/>
      </c>
      <c r="V1014" t="n">
        <v>1.737843253862308</v>
      </c>
      <c r="W1014" s="5">
        <f>R1014-V1014</f>
        <v/>
      </c>
    </row>
    <row r="1015">
      <c r="A1015" s="3" t="n">
        <v>39939</v>
      </c>
      <c r="B1015">
        <f>Prices!B1015</f>
        <v/>
      </c>
      <c r="C1015">
        <f>Prices!C1015</f>
        <v/>
      </c>
      <c r="D1015">
        <f>Prices!D1015</f>
        <v/>
      </c>
      <c r="E1015">
        <f>Prices!E1015</f>
        <v/>
      </c>
      <c r="F1015">
        <f>Prices!F1015</f>
        <v/>
      </c>
      <c r="G1015">
        <f>IF(AND(1013&gt;=16,TEXT(A1015,"yyyy-mm")&lt;&gt;TEXT(A1016,"yyyy-mm")),1,0)</f>
        <v/>
      </c>
      <c r="H1015">
        <f>IF(OR(H1014=1,G1015=1),1,0)</f>
        <v/>
      </c>
      <c r="I1015">
        <f>IF(H1014=0,1,SUMPRODUCT(J1014:N1014,B1015:F1015)+O1014*(1+0.00023125256064071564))</f>
        <v/>
      </c>
      <c r="J1015">
        <f>IF(G1015=1,0.2*R1015/B1015,J1014)</f>
        <v/>
      </c>
      <c r="K1015">
        <f>IF(G1015=1,0.2*R1015/C1015,K1014)</f>
        <v/>
      </c>
      <c r="L1015">
        <f>IF(G1015=1,0.2*R1015/D1015,L1014)</f>
        <v/>
      </c>
      <c r="M1015">
        <f>IF(G1015=1,0.2*R1015/E1015,M1014)</f>
        <v/>
      </c>
      <c r="N1015">
        <f>IF(G1015=1,0.2*R1015/F1015,N1014)</f>
        <v/>
      </c>
      <c r="O1015">
        <f>IF(G1015=1,R1015*(1-1.0),IF(H1014=0,1,O1014*(1+0.00023125256064071564)))</f>
        <v/>
      </c>
      <c r="P1015">
        <f>IF(G1015=1,IF(H1014=0,1,ABS(0.2-J1014*B1015/I1015)+ABS(0.2-K1014*C1015/I1015)+ABS(0.2-L1014*D1015/I1015)+ABS(0.2-M1014*E1015/I1015)+ABS(0.2-N1014*F1015/I1015)),0)</f>
        <v/>
      </c>
      <c r="Q1015">
        <f>P1015*0.0015</f>
        <v/>
      </c>
      <c r="R1015">
        <f>I1015*(1-Q1015)</f>
        <v/>
      </c>
      <c r="S1015">
        <f>R1015/R1014-1</f>
        <v/>
      </c>
      <c r="T1015">
        <f>MAX(T1014,R1015)</f>
        <v/>
      </c>
      <c r="U1015">
        <f>R1015/T1015-1</f>
        <v/>
      </c>
      <c r="V1015" t="n">
        <v>1.719019464600936</v>
      </c>
      <c r="W1015" s="5">
        <f>R1015-V1015</f>
        <v/>
      </c>
    </row>
    <row r="1016">
      <c r="A1016" s="3" t="n">
        <v>39940</v>
      </c>
      <c r="B1016">
        <f>Prices!B1016</f>
        <v/>
      </c>
      <c r="C1016">
        <f>Prices!C1016</f>
        <v/>
      </c>
      <c r="D1016">
        <f>Prices!D1016</f>
        <v/>
      </c>
      <c r="E1016">
        <f>Prices!E1016</f>
        <v/>
      </c>
      <c r="F1016">
        <f>Prices!F1016</f>
        <v/>
      </c>
      <c r="G1016">
        <f>IF(AND(1014&gt;=16,TEXT(A1016,"yyyy-mm")&lt;&gt;TEXT(A1017,"yyyy-mm")),1,0)</f>
        <v/>
      </c>
      <c r="H1016">
        <f>IF(OR(H1015=1,G1016=1),1,0)</f>
        <v/>
      </c>
      <c r="I1016">
        <f>IF(H1015=0,1,SUMPRODUCT(J1015:N1015,B1016:F1016)+O1015*(1+0.00023125256064071564))</f>
        <v/>
      </c>
      <c r="J1016">
        <f>IF(G1016=1,0.2*R1016/B1016,J1015)</f>
        <v/>
      </c>
      <c r="K1016">
        <f>IF(G1016=1,0.2*R1016/C1016,K1015)</f>
        <v/>
      </c>
      <c r="L1016">
        <f>IF(G1016=1,0.2*R1016/D1016,L1015)</f>
        <v/>
      </c>
      <c r="M1016">
        <f>IF(G1016=1,0.2*R1016/E1016,M1015)</f>
        <v/>
      </c>
      <c r="N1016">
        <f>IF(G1016=1,0.2*R1016/F1016,N1015)</f>
        <v/>
      </c>
      <c r="O1016">
        <f>IF(G1016=1,R1016*(1-1.0),IF(H1015=0,1,O1015*(1+0.00023125256064071564)))</f>
        <v/>
      </c>
      <c r="P1016">
        <f>IF(G1016=1,IF(H1015=0,1,ABS(0.2-J1015*B1016/I1016)+ABS(0.2-K1015*C1016/I1016)+ABS(0.2-L1015*D1016/I1016)+ABS(0.2-M1015*E1016/I1016)+ABS(0.2-N1015*F1016/I1016)),0)</f>
        <v/>
      </c>
      <c r="Q1016">
        <f>P1016*0.0015</f>
        <v/>
      </c>
      <c r="R1016">
        <f>I1016*(1-Q1016)</f>
        <v/>
      </c>
      <c r="S1016">
        <f>R1016/R1015-1</f>
        <v/>
      </c>
      <c r="T1016">
        <f>MAX(T1015,R1016)</f>
        <v/>
      </c>
      <c r="U1016">
        <f>R1016/T1016-1</f>
        <v/>
      </c>
      <c r="V1016" t="n">
        <v>1.748083046784626</v>
      </c>
      <c r="W1016" s="5">
        <f>R1016-V1016</f>
        <v/>
      </c>
    </row>
    <row r="1017">
      <c r="A1017" s="3" t="n">
        <v>39941</v>
      </c>
      <c r="B1017">
        <f>Prices!B1017</f>
        <v/>
      </c>
      <c r="C1017">
        <f>Prices!C1017</f>
        <v/>
      </c>
      <c r="D1017">
        <f>Prices!D1017</f>
        <v/>
      </c>
      <c r="E1017">
        <f>Prices!E1017</f>
        <v/>
      </c>
      <c r="F1017">
        <f>Prices!F1017</f>
        <v/>
      </c>
      <c r="G1017">
        <f>IF(AND(1015&gt;=16,TEXT(A1017,"yyyy-mm")&lt;&gt;TEXT(A1018,"yyyy-mm")),1,0)</f>
        <v/>
      </c>
      <c r="H1017">
        <f>IF(OR(H1016=1,G1017=1),1,0)</f>
        <v/>
      </c>
      <c r="I1017">
        <f>IF(H1016=0,1,SUMPRODUCT(J1016:N1016,B1017:F1017)+O1016*(1+0.00023125256064071564))</f>
        <v/>
      </c>
      <c r="J1017">
        <f>IF(G1017=1,0.2*R1017/B1017,J1016)</f>
        <v/>
      </c>
      <c r="K1017">
        <f>IF(G1017=1,0.2*R1017/C1017,K1016)</f>
        <v/>
      </c>
      <c r="L1017">
        <f>IF(G1017=1,0.2*R1017/D1017,L1016)</f>
        <v/>
      </c>
      <c r="M1017">
        <f>IF(G1017=1,0.2*R1017/E1017,M1016)</f>
        <v/>
      </c>
      <c r="N1017">
        <f>IF(G1017=1,0.2*R1017/F1017,N1016)</f>
        <v/>
      </c>
      <c r="O1017">
        <f>IF(G1017=1,R1017*(1-1.0),IF(H1016=0,1,O1016*(1+0.00023125256064071564)))</f>
        <v/>
      </c>
      <c r="P1017">
        <f>IF(G1017=1,IF(H1016=0,1,ABS(0.2-J1016*B1017/I1017)+ABS(0.2-K1016*C1017/I1017)+ABS(0.2-L1016*D1017/I1017)+ABS(0.2-M1016*E1017/I1017)+ABS(0.2-N1016*F1017/I1017)),0)</f>
        <v/>
      </c>
      <c r="Q1017">
        <f>P1017*0.0015</f>
        <v/>
      </c>
      <c r="R1017">
        <f>I1017*(1-Q1017)</f>
        <v/>
      </c>
      <c r="S1017">
        <f>R1017/R1016-1</f>
        <v/>
      </c>
      <c r="T1017">
        <f>MAX(T1016,R1017)</f>
        <v/>
      </c>
      <c r="U1017">
        <f>R1017/T1017-1</f>
        <v/>
      </c>
      <c r="V1017" t="n">
        <v>1.738466055100433</v>
      </c>
      <c r="W1017" s="5">
        <f>R1017-V1017</f>
        <v/>
      </c>
    </row>
    <row r="1018">
      <c r="A1018" s="3" t="n">
        <v>39944</v>
      </c>
      <c r="B1018">
        <f>Prices!B1018</f>
        <v/>
      </c>
      <c r="C1018">
        <f>Prices!C1018</f>
        <v/>
      </c>
      <c r="D1018">
        <f>Prices!D1018</f>
        <v/>
      </c>
      <c r="E1018">
        <f>Prices!E1018</f>
        <v/>
      </c>
      <c r="F1018">
        <f>Prices!F1018</f>
        <v/>
      </c>
      <c r="G1018">
        <f>IF(AND(1016&gt;=16,TEXT(A1018,"yyyy-mm")&lt;&gt;TEXT(A1019,"yyyy-mm")),1,0)</f>
        <v/>
      </c>
      <c r="H1018">
        <f>IF(OR(H1017=1,G1018=1),1,0)</f>
        <v/>
      </c>
      <c r="I1018">
        <f>IF(H1017=0,1,SUMPRODUCT(J1017:N1017,B1018:F1018)+O1017*(1+0.00023125256064071564))</f>
        <v/>
      </c>
      <c r="J1018">
        <f>IF(G1018=1,0.2*R1018/B1018,J1017)</f>
        <v/>
      </c>
      <c r="K1018">
        <f>IF(G1018=1,0.2*R1018/C1018,K1017)</f>
        <v/>
      </c>
      <c r="L1018">
        <f>IF(G1018=1,0.2*R1018/D1018,L1017)</f>
        <v/>
      </c>
      <c r="M1018">
        <f>IF(G1018=1,0.2*R1018/E1018,M1017)</f>
        <v/>
      </c>
      <c r="N1018">
        <f>IF(G1018=1,0.2*R1018/F1018,N1017)</f>
        <v/>
      </c>
      <c r="O1018">
        <f>IF(G1018=1,R1018*(1-1.0),IF(H1017=0,1,O1017*(1+0.00023125256064071564)))</f>
        <v/>
      </c>
      <c r="P1018">
        <f>IF(G1018=1,IF(H1017=0,1,ABS(0.2-J1017*B1018/I1018)+ABS(0.2-K1017*C1018/I1018)+ABS(0.2-L1017*D1018/I1018)+ABS(0.2-M1017*E1018/I1018)+ABS(0.2-N1017*F1018/I1018)),0)</f>
        <v/>
      </c>
      <c r="Q1018">
        <f>P1018*0.0015</f>
        <v/>
      </c>
      <c r="R1018">
        <f>I1018*(1-Q1018)</f>
        <v/>
      </c>
      <c r="S1018">
        <f>R1018/R1017-1</f>
        <v/>
      </c>
      <c r="T1018">
        <f>MAX(T1017,R1018)</f>
        <v/>
      </c>
      <c r="U1018">
        <f>R1018/T1018-1</f>
        <v/>
      </c>
      <c r="V1018" t="n">
        <v>1.715829080079346</v>
      </c>
      <c r="W1018" s="5">
        <f>R1018-V1018</f>
        <v/>
      </c>
    </row>
    <row r="1019">
      <c r="A1019" s="3" t="n">
        <v>39945</v>
      </c>
      <c r="B1019">
        <f>Prices!B1019</f>
        <v/>
      </c>
      <c r="C1019">
        <f>Prices!C1019</f>
        <v/>
      </c>
      <c r="D1019">
        <f>Prices!D1019</f>
        <v/>
      </c>
      <c r="E1019">
        <f>Prices!E1019</f>
        <v/>
      </c>
      <c r="F1019">
        <f>Prices!F1019</f>
        <v/>
      </c>
      <c r="G1019">
        <f>IF(AND(1017&gt;=16,TEXT(A1019,"yyyy-mm")&lt;&gt;TEXT(A1020,"yyyy-mm")),1,0)</f>
        <v/>
      </c>
      <c r="H1019">
        <f>IF(OR(H1018=1,G1019=1),1,0)</f>
        <v/>
      </c>
      <c r="I1019">
        <f>IF(H1018=0,1,SUMPRODUCT(J1018:N1018,B1019:F1019)+O1018*(1+0.00023125256064071564))</f>
        <v/>
      </c>
      <c r="J1019">
        <f>IF(G1019=1,0.2*R1019/B1019,J1018)</f>
        <v/>
      </c>
      <c r="K1019">
        <f>IF(G1019=1,0.2*R1019/C1019,K1018)</f>
        <v/>
      </c>
      <c r="L1019">
        <f>IF(G1019=1,0.2*R1019/D1019,L1018)</f>
        <v/>
      </c>
      <c r="M1019">
        <f>IF(G1019=1,0.2*R1019/E1019,M1018)</f>
        <v/>
      </c>
      <c r="N1019">
        <f>IF(G1019=1,0.2*R1019/F1019,N1018)</f>
        <v/>
      </c>
      <c r="O1019">
        <f>IF(G1019=1,R1019*(1-1.0),IF(H1018=0,1,O1018*(1+0.00023125256064071564)))</f>
        <v/>
      </c>
      <c r="P1019">
        <f>IF(G1019=1,IF(H1018=0,1,ABS(0.2-J1018*B1019/I1019)+ABS(0.2-K1018*C1019/I1019)+ABS(0.2-L1018*D1019/I1019)+ABS(0.2-M1018*E1019/I1019)+ABS(0.2-N1018*F1019/I1019)),0)</f>
        <v/>
      </c>
      <c r="Q1019">
        <f>P1019*0.0015</f>
        <v/>
      </c>
      <c r="R1019">
        <f>I1019*(1-Q1019)</f>
        <v/>
      </c>
      <c r="S1019">
        <f>R1019/R1018-1</f>
        <v/>
      </c>
      <c r="T1019">
        <f>MAX(T1018,R1019)</f>
        <v/>
      </c>
      <c r="U1019">
        <f>R1019/T1019-1</f>
        <v/>
      </c>
      <c r="V1019" t="n">
        <v>1.742006472089052</v>
      </c>
      <c r="W1019" s="5">
        <f>R1019-V1019</f>
        <v/>
      </c>
    </row>
    <row r="1020">
      <c r="A1020" s="3" t="n">
        <v>39946</v>
      </c>
      <c r="B1020">
        <f>Prices!B1020</f>
        <v/>
      </c>
      <c r="C1020">
        <f>Prices!C1020</f>
        <v/>
      </c>
      <c r="D1020">
        <f>Prices!D1020</f>
        <v/>
      </c>
      <c r="E1020">
        <f>Prices!E1020</f>
        <v/>
      </c>
      <c r="F1020">
        <f>Prices!F1020</f>
        <v/>
      </c>
      <c r="G1020">
        <f>IF(AND(1018&gt;=16,TEXT(A1020,"yyyy-mm")&lt;&gt;TEXT(A1021,"yyyy-mm")),1,0)</f>
        <v/>
      </c>
      <c r="H1020">
        <f>IF(OR(H1019=1,G1020=1),1,0)</f>
        <v/>
      </c>
      <c r="I1020">
        <f>IF(H1019=0,1,SUMPRODUCT(J1019:N1019,B1020:F1020)+O1019*(1+0.00023125256064071564))</f>
        <v/>
      </c>
      <c r="J1020">
        <f>IF(G1020=1,0.2*R1020/B1020,J1019)</f>
        <v/>
      </c>
      <c r="K1020">
        <f>IF(G1020=1,0.2*R1020/C1020,K1019)</f>
        <v/>
      </c>
      <c r="L1020">
        <f>IF(G1020=1,0.2*R1020/D1020,L1019)</f>
        <v/>
      </c>
      <c r="M1020">
        <f>IF(G1020=1,0.2*R1020/E1020,M1019)</f>
        <v/>
      </c>
      <c r="N1020">
        <f>IF(G1020=1,0.2*R1020/F1020,N1019)</f>
        <v/>
      </c>
      <c r="O1020">
        <f>IF(G1020=1,R1020*(1-1.0),IF(H1019=0,1,O1019*(1+0.00023125256064071564)))</f>
        <v/>
      </c>
      <c r="P1020">
        <f>IF(G1020=1,IF(H1019=0,1,ABS(0.2-J1019*B1020/I1020)+ABS(0.2-K1019*C1020/I1020)+ABS(0.2-L1019*D1020/I1020)+ABS(0.2-M1019*E1020/I1020)+ABS(0.2-N1019*F1020/I1020)),0)</f>
        <v/>
      </c>
      <c r="Q1020">
        <f>P1020*0.0015</f>
        <v/>
      </c>
      <c r="R1020">
        <f>I1020*(1-Q1020)</f>
        <v/>
      </c>
      <c r="S1020">
        <f>R1020/R1019-1</f>
        <v/>
      </c>
      <c r="T1020">
        <f>MAX(T1019,R1020)</f>
        <v/>
      </c>
      <c r="U1020">
        <f>R1020/T1020-1</f>
        <v/>
      </c>
      <c r="V1020" t="n">
        <v>1.735698028540588</v>
      </c>
      <c r="W1020" s="5">
        <f>R1020-V1020</f>
        <v/>
      </c>
    </row>
    <row r="1021">
      <c r="A1021" s="3" t="n">
        <v>39947</v>
      </c>
      <c r="B1021">
        <f>Prices!B1021</f>
        <v/>
      </c>
      <c r="C1021">
        <f>Prices!C1021</f>
        <v/>
      </c>
      <c r="D1021">
        <f>Prices!D1021</f>
        <v/>
      </c>
      <c r="E1021">
        <f>Prices!E1021</f>
        <v/>
      </c>
      <c r="F1021">
        <f>Prices!F1021</f>
        <v/>
      </c>
      <c r="G1021">
        <f>IF(AND(1019&gt;=16,TEXT(A1021,"yyyy-mm")&lt;&gt;TEXT(A1022,"yyyy-mm")),1,0)</f>
        <v/>
      </c>
      <c r="H1021">
        <f>IF(OR(H1020=1,G1021=1),1,0)</f>
        <v/>
      </c>
      <c r="I1021">
        <f>IF(H1020=0,1,SUMPRODUCT(J1020:N1020,B1021:F1021)+O1020*(1+0.00023125256064071564))</f>
        <v/>
      </c>
      <c r="J1021">
        <f>IF(G1021=1,0.2*R1021/B1021,J1020)</f>
        <v/>
      </c>
      <c r="K1021">
        <f>IF(G1021=1,0.2*R1021/C1021,K1020)</f>
        <v/>
      </c>
      <c r="L1021">
        <f>IF(G1021=1,0.2*R1021/D1021,L1020)</f>
        <v/>
      </c>
      <c r="M1021">
        <f>IF(G1021=1,0.2*R1021/E1021,M1020)</f>
        <v/>
      </c>
      <c r="N1021">
        <f>IF(G1021=1,0.2*R1021/F1021,N1020)</f>
        <v/>
      </c>
      <c r="O1021">
        <f>IF(G1021=1,R1021*(1-1.0),IF(H1020=0,1,O1020*(1+0.00023125256064071564)))</f>
        <v/>
      </c>
      <c r="P1021">
        <f>IF(G1021=1,IF(H1020=0,1,ABS(0.2-J1020*B1021/I1021)+ABS(0.2-K1020*C1021/I1021)+ABS(0.2-L1020*D1021/I1021)+ABS(0.2-M1020*E1021/I1021)+ABS(0.2-N1020*F1021/I1021)),0)</f>
        <v/>
      </c>
      <c r="Q1021">
        <f>P1021*0.0015</f>
        <v/>
      </c>
      <c r="R1021">
        <f>I1021*(1-Q1021)</f>
        <v/>
      </c>
      <c r="S1021">
        <f>R1021/R1020-1</f>
        <v/>
      </c>
      <c r="T1021">
        <f>MAX(T1020,R1021)</f>
        <v/>
      </c>
      <c r="U1021">
        <f>R1021/T1021-1</f>
        <v/>
      </c>
      <c r="V1021" t="n">
        <v>1.740915065202824</v>
      </c>
      <c r="W1021" s="5">
        <f>R1021-V1021</f>
        <v/>
      </c>
    </row>
    <row r="1022">
      <c r="A1022" s="3" t="n">
        <v>39948</v>
      </c>
      <c r="B1022">
        <f>Prices!B1022</f>
        <v/>
      </c>
      <c r="C1022">
        <f>Prices!C1022</f>
        <v/>
      </c>
      <c r="D1022">
        <f>Prices!D1022</f>
        <v/>
      </c>
      <c r="E1022">
        <f>Prices!E1022</f>
        <v/>
      </c>
      <c r="F1022">
        <f>Prices!F1022</f>
        <v/>
      </c>
      <c r="G1022">
        <f>IF(AND(1020&gt;=16,TEXT(A1022,"yyyy-mm")&lt;&gt;TEXT(A1023,"yyyy-mm")),1,0)</f>
        <v/>
      </c>
      <c r="H1022">
        <f>IF(OR(H1021=1,G1022=1),1,0)</f>
        <v/>
      </c>
      <c r="I1022">
        <f>IF(H1021=0,1,SUMPRODUCT(J1021:N1021,B1022:F1022)+O1021*(1+0.00023125256064071564))</f>
        <v/>
      </c>
      <c r="J1022">
        <f>IF(G1022=1,0.2*R1022/B1022,J1021)</f>
        <v/>
      </c>
      <c r="K1022">
        <f>IF(G1022=1,0.2*R1022/C1022,K1021)</f>
        <v/>
      </c>
      <c r="L1022">
        <f>IF(G1022=1,0.2*R1022/D1022,L1021)</f>
        <v/>
      </c>
      <c r="M1022">
        <f>IF(G1022=1,0.2*R1022/E1022,M1021)</f>
        <v/>
      </c>
      <c r="N1022">
        <f>IF(G1022=1,0.2*R1022/F1022,N1021)</f>
        <v/>
      </c>
      <c r="O1022">
        <f>IF(G1022=1,R1022*(1-1.0),IF(H1021=0,1,O1021*(1+0.00023125256064071564)))</f>
        <v/>
      </c>
      <c r="P1022">
        <f>IF(G1022=1,IF(H1021=0,1,ABS(0.2-J1021*B1022/I1022)+ABS(0.2-K1021*C1022/I1022)+ABS(0.2-L1021*D1022/I1022)+ABS(0.2-M1021*E1022/I1022)+ABS(0.2-N1021*F1022/I1022)),0)</f>
        <v/>
      </c>
      <c r="Q1022">
        <f>P1022*0.0015</f>
        <v/>
      </c>
      <c r="R1022">
        <f>I1022*(1-Q1022)</f>
        <v/>
      </c>
      <c r="S1022">
        <f>R1022/R1021-1</f>
        <v/>
      </c>
      <c r="T1022">
        <f>MAX(T1021,R1022)</f>
        <v/>
      </c>
      <c r="U1022">
        <f>R1022/T1022-1</f>
        <v/>
      </c>
      <c r="V1022" t="n">
        <v>1.76508911858348</v>
      </c>
      <c r="W1022" s="5">
        <f>R1022-V1022</f>
        <v/>
      </c>
    </row>
    <row r="1023">
      <c r="A1023" s="3" t="n">
        <v>39951</v>
      </c>
      <c r="B1023">
        <f>Prices!B1023</f>
        <v/>
      </c>
      <c r="C1023">
        <f>Prices!C1023</f>
        <v/>
      </c>
      <c r="D1023">
        <f>Prices!D1023</f>
        <v/>
      </c>
      <c r="E1023">
        <f>Prices!E1023</f>
        <v/>
      </c>
      <c r="F1023">
        <f>Prices!F1023</f>
        <v/>
      </c>
      <c r="G1023">
        <f>IF(AND(1021&gt;=16,TEXT(A1023,"yyyy-mm")&lt;&gt;TEXT(A1024,"yyyy-mm")),1,0)</f>
        <v/>
      </c>
      <c r="H1023">
        <f>IF(OR(H1022=1,G1023=1),1,0)</f>
        <v/>
      </c>
      <c r="I1023">
        <f>IF(H1022=0,1,SUMPRODUCT(J1022:N1022,B1023:F1023)+O1022*(1+0.00023125256064071564))</f>
        <v/>
      </c>
      <c r="J1023">
        <f>IF(G1023=1,0.2*R1023/B1023,J1022)</f>
        <v/>
      </c>
      <c r="K1023">
        <f>IF(G1023=1,0.2*R1023/C1023,K1022)</f>
        <v/>
      </c>
      <c r="L1023">
        <f>IF(G1023=1,0.2*R1023/D1023,L1022)</f>
        <v/>
      </c>
      <c r="M1023">
        <f>IF(G1023=1,0.2*R1023/E1023,M1022)</f>
        <v/>
      </c>
      <c r="N1023">
        <f>IF(G1023=1,0.2*R1023/F1023,N1022)</f>
        <v/>
      </c>
      <c r="O1023">
        <f>IF(G1023=1,R1023*(1-1.0),IF(H1022=0,1,O1022*(1+0.00023125256064071564)))</f>
        <v/>
      </c>
      <c r="P1023">
        <f>IF(G1023=1,IF(H1022=0,1,ABS(0.2-J1022*B1023/I1023)+ABS(0.2-K1022*C1023/I1023)+ABS(0.2-L1022*D1023/I1023)+ABS(0.2-M1022*E1023/I1023)+ABS(0.2-N1022*F1023/I1023)),0)</f>
        <v/>
      </c>
      <c r="Q1023">
        <f>P1023*0.0015</f>
        <v/>
      </c>
      <c r="R1023">
        <f>I1023*(1-Q1023)</f>
        <v/>
      </c>
      <c r="S1023">
        <f>R1023/R1022-1</f>
        <v/>
      </c>
      <c r="T1023">
        <f>MAX(T1022,R1023)</f>
        <v/>
      </c>
      <c r="U1023">
        <f>R1023/T1023-1</f>
        <v/>
      </c>
      <c r="V1023" t="n">
        <v>1.99225560894244</v>
      </c>
      <c r="W1023" s="5">
        <f>R1023-V1023</f>
        <v/>
      </c>
    </row>
    <row r="1024">
      <c r="A1024" s="3" t="n">
        <v>39952</v>
      </c>
      <c r="B1024">
        <f>Prices!B1024</f>
        <v/>
      </c>
      <c r="C1024">
        <f>Prices!C1024</f>
        <v/>
      </c>
      <c r="D1024">
        <f>Prices!D1024</f>
        <v/>
      </c>
      <c r="E1024">
        <f>Prices!E1024</f>
        <v/>
      </c>
      <c r="F1024">
        <f>Prices!F1024</f>
        <v/>
      </c>
      <c r="G1024">
        <f>IF(AND(1022&gt;=16,TEXT(A1024,"yyyy-mm")&lt;&gt;TEXT(A1025,"yyyy-mm")),1,0)</f>
        <v/>
      </c>
      <c r="H1024">
        <f>IF(OR(H1023=1,G1024=1),1,0)</f>
        <v/>
      </c>
      <c r="I1024">
        <f>IF(H1023=0,1,SUMPRODUCT(J1023:N1023,B1024:F1024)+O1023*(1+0.00023125256064071564))</f>
        <v/>
      </c>
      <c r="J1024">
        <f>IF(G1024=1,0.2*R1024/B1024,J1023)</f>
        <v/>
      </c>
      <c r="K1024">
        <f>IF(G1024=1,0.2*R1024/C1024,K1023)</f>
        <v/>
      </c>
      <c r="L1024">
        <f>IF(G1024=1,0.2*R1024/D1024,L1023)</f>
        <v/>
      </c>
      <c r="M1024">
        <f>IF(G1024=1,0.2*R1024/E1024,M1023)</f>
        <v/>
      </c>
      <c r="N1024">
        <f>IF(G1024=1,0.2*R1024/F1024,N1023)</f>
        <v/>
      </c>
      <c r="O1024">
        <f>IF(G1024=1,R1024*(1-1.0),IF(H1023=0,1,O1023*(1+0.00023125256064071564)))</f>
        <v/>
      </c>
      <c r="P1024">
        <f>IF(G1024=1,IF(H1023=0,1,ABS(0.2-J1023*B1024/I1024)+ABS(0.2-K1023*C1024/I1024)+ABS(0.2-L1023*D1024/I1024)+ABS(0.2-M1023*E1024/I1024)+ABS(0.2-N1023*F1024/I1024)),0)</f>
        <v/>
      </c>
      <c r="Q1024">
        <f>P1024*0.0015</f>
        <v/>
      </c>
      <c r="R1024">
        <f>I1024*(1-Q1024)</f>
        <v/>
      </c>
      <c r="S1024">
        <f>R1024/R1023-1</f>
        <v/>
      </c>
      <c r="T1024">
        <f>MAX(T1023,R1024)</f>
        <v/>
      </c>
      <c r="U1024">
        <f>R1024/T1024-1</f>
        <v/>
      </c>
      <c r="V1024" t="n">
        <v>1.980781113904751</v>
      </c>
      <c r="W1024" s="5">
        <f>R1024-V1024</f>
        <v/>
      </c>
    </row>
    <row r="1025">
      <c r="A1025" s="3" t="n">
        <v>39953</v>
      </c>
      <c r="B1025">
        <f>Prices!B1025</f>
        <v/>
      </c>
      <c r="C1025">
        <f>Prices!C1025</f>
        <v/>
      </c>
      <c r="D1025">
        <f>Prices!D1025</f>
        <v/>
      </c>
      <c r="E1025">
        <f>Prices!E1025</f>
        <v/>
      </c>
      <c r="F1025">
        <f>Prices!F1025</f>
        <v/>
      </c>
      <c r="G1025">
        <f>IF(AND(1023&gt;=16,TEXT(A1025,"yyyy-mm")&lt;&gt;TEXT(A1026,"yyyy-mm")),1,0)</f>
        <v/>
      </c>
      <c r="H1025">
        <f>IF(OR(H1024=1,G1025=1),1,0)</f>
        <v/>
      </c>
      <c r="I1025">
        <f>IF(H1024=0,1,SUMPRODUCT(J1024:N1024,B1025:F1025)+O1024*(1+0.00023125256064071564))</f>
        <v/>
      </c>
      <c r="J1025">
        <f>IF(G1025=1,0.2*R1025/B1025,J1024)</f>
        <v/>
      </c>
      <c r="K1025">
        <f>IF(G1025=1,0.2*R1025/C1025,K1024)</f>
        <v/>
      </c>
      <c r="L1025">
        <f>IF(G1025=1,0.2*R1025/D1025,L1024)</f>
        <v/>
      </c>
      <c r="M1025">
        <f>IF(G1025=1,0.2*R1025/E1025,M1024)</f>
        <v/>
      </c>
      <c r="N1025">
        <f>IF(G1025=1,0.2*R1025/F1025,N1024)</f>
        <v/>
      </c>
      <c r="O1025">
        <f>IF(G1025=1,R1025*(1-1.0),IF(H1024=0,1,O1024*(1+0.00023125256064071564)))</f>
        <v/>
      </c>
      <c r="P1025">
        <f>IF(G1025=1,IF(H1024=0,1,ABS(0.2-J1024*B1025/I1025)+ABS(0.2-K1024*C1025/I1025)+ABS(0.2-L1024*D1025/I1025)+ABS(0.2-M1024*E1025/I1025)+ABS(0.2-N1024*F1025/I1025)),0)</f>
        <v/>
      </c>
      <c r="Q1025">
        <f>P1025*0.0015</f>
        <v/>
      </c>
      <c r="R1025">
        <f>I1025*(1-Q1025)</f>
        <v/>
      </c>
      <c r="S1025">
        <f>R1025/R1024-1</f>
        <v/>
      </c>
      <c r="T1025">
        <f>MAX(T1024,R1025)</f>
        <v/>
      </c>
      <c r="U1025">
        <f>R1025/T1025-1</f>
        <v/>
      </c>
      <c r="V1025" t="n">
        <v>2.048565291580333</v>
      </c>
      <c r="W1025" s="5">
        <f>R1025-V1025</f>
        <v/>
      </c>
    </row>
    <row r="1026">
      <c r="A1026" s="3" t="n">
        <v>39954</v>
      </c>
      <c r="B1026">
        <f>Prices!B1026</f>
        <v/>
      </c>
      <c r="C1026">
        <f>Prices!C1026</f>
        <v/>
      </c>
      <c r="D1026">
        <f>Prices!D1026</f>
        <v/>
      </c>
      <c r="E1026">
        <f>Prices!E1026</f>
        <v/>
      </c>
      <c r="F1026">
        <f>Prices!F1026</f>
        <v/>
      </c>
      <c r="G1026">
        <f>IF(AND(1024&gt;=16,TEXT(A1026,"yyyy-mm")&lt;&gt;TEXT(A1027,"yyyy-mm")),1,0)</f>
        <v/>
      </c>
      <c r="H1026">
        <f>IF(OR(H1025=1,G1026=1),1,0)</f>
        <v/>
      </c>
      <c r="I1026">
        <f>IF(H1025=0,1,SUMPRODUCT(J1025:N1025,B1026:F1026)+O1025*(1+0.00023125256064071564))</f>
        <v/>
      </c>
      <c r="J1026">
        <f>IF(G1026=1,0.2*R1026/B1026,J1025)</f>
        <v/>
      </c>
      <c r="K1026">
        <f>IF(G1026=1,0.2*R1026/C1026,K1025)</f>
        <v/>
      </c>
      <c r="L1026">
        <f>IF(G1026=1,0.2*R1026/D1026,L1025)</f>
        <v/>
      </c>
      <c r="M1026">
        <f>IF(G1026=1,0.2*R1026/E1026,M1025)</f>
        <v/>
      </c>
      <c r="N1026">
        <f>IF(G1026=1,0.2*R1026/F1026,N1025)</f>
        <v/>
      </c>
      <c r="O1026">
        <f>IF(G1026=1,R1026*(1-1.0),IF(H1025=0,1,O1025*(1+0.00023125256064071564)))</f>
        <v/>
      </c>
      <c r="P1026">
        <f>IF(G1026=1,IF(H1025=0,1,ABS(0.2-J1025*B1026/I1026)+ABS(0.2-K1025*C1026/I1026)+ABS(0.2-L1025*D1026/I1026)+ABS(0.2-M1025*E1026/I1026)+ABS(0.2-N1025*F1026/I1026)),0)</f>
        <v/>
      </c>
      <c r="Q1026">
        <f>P1026*0.0015</f>
        <v/>
      </c>
      <c r="R1026">
        <f>I1026*(1-Q1026)</f>
        <v/>
      </c>
      <c r="S1026">
        <f>R1026/R1025-1</f>
        <v/>
      </c>
      <c r="T1026">
        <f>MAX(T1025,R1026)</f>
        <v/>
      </c>
      <c r="U1026">
        <f>R1026/T1026-1</f>
        <v/>
      </c>
      <c r="V1026" t="n">
        <v>2.044224612762034</v>
      </c>
      <c r="W1026" s="5">
        <f>R1026-V1026</f>
        <v/>
      </c>
    </row>
    <row r="1027">
      <c r="A1027" s="3" t="n">
        <v>39955</v>
      </c>
      <c r="B1027">
        <f>Prices!B1027</f>
        <v/>
      </c>
      <c r="C1027">
        <f>Prices!C1027</f>
        <v/>
      </c>
      <c r="D1027">
        <f>Prices!D1027</f>
        <v/>
      </c>
      <c r="E1027">
        <f>Prices!E1027</f>
        <v/>
      </c>
      <c r="F1027">
        <f>Prices!F1027</f>
        <v/>
      </c>
      <c r="G1027">
        <f>IF(AND(1025&gt;=16,TEXT(A1027,"yyyy-mm")&lt;&gt;TEXT(A1028,"yyyy-mm")),1,0)</f>
        <v/>
      </c>
      <c r="H1027">
        <f>IF(OR(H1026=1,G1027=1),1,0)</f>
        <v/>
      </c>
      <c r="I1027">
        <f>IF(H1026=0,1,SUMPRODUCT(J1026:N1026,B1027:F1027)+O1026*(1+0.00023125256064071564))</f>
        <v/>
      </c>
      <c r="J1027">
        <f>IF(G1027=1,0.2*R1027/B1027,J1026)</f>
        <v/>
      </c>
      <c r="K1027">
        <f>IF(G1027=1,0.2*R1027/C1027,K1026)</f>
        <v/>
      </c>
      <c r="L1027">
        <f>IF(G1027=1,0.2*R1027/D1027,L1026)</f>
        <v/>
      </c>
      <c r="M1027">
        <f>IF(G1027=1,0.2*R1027/E1027,M1026)</f>
        <v/>
      </c>
      <c r="N1027">
        <f>IF(G1027=1,0.2*R1027/F1027,N1026)</f>
        <v/>
      </c>
      <c r="O1027">
        <f>IF(G1027=1,R1027*(1-1.0),IF(H1026=0,1,O1026*(1+0.00023125256064071564)))</f>
        <v/>
      </c>
      <c r="P1027">
        <f>IF(G1027=1,IF(H1026=0,1,ABS(0.2-J1026*B1027/I1027)+ABS(0.2-K1026*C1027/I1027)+ABS(0.2-L1026*D1027/I1027)+ABS(0.2-M1026*E1027/I1027)+ABS(0.2-N1026*F1027/I1027)),0)</f>
        <v/>
      </c>
      <c r="Q1027">
        <f>P1027*0.0015</f>
        <v/>
      </c>
      <c r="R1027">
        <f>I1027*(1-Q1027)</f>
        <v/>
      </c>
      <c r="S1027">
        <f>R1027/R1026-1</f>
        <v/>
      </c>
      <c r="T1027">
        <f>MAX(T1026,R1027)</f>
        <v/>
      </c>
      <c r="U1027">
        <f>R1027/T1027-1</f>
        <v/>
      </c>
      <c r="V1027" t="n">
        <v>2.059860236755648</v>
      </c>
      <c r="W1027" s="5">
        <f>R1027-V1027</f>
        <v/>
      </c>
    </row>
    <row r="1028">
      <c r="A1028" s="3" t="n">
        <v>39958</v>
      </c>
      <c r="B1028">
        <f>Prices!B1028</f>
        <v/>
      </c>
      <c r="C1028">
        <f>Prices!C1028</f>
        <v/>
      </c>
      <c r="D1028">
        <f>Prices!D1028</f>
        <v/>
      </c>
      <c r="E1028">
        <f>Prices!E1028</f>
        <v/>
      </c>
      <c r="F1028">
        <f>Prices!F1028</f>
        <v/>
      </c>
      <c r="G1028">
        <f>IF(AND(1026&gt;=16,TEXT(A1028,"yyyy-mm")&lt;&gt;TEXT(A1029,"yyyy-mm")),1,0)</f>
        <v/>
      </c>
      <c r="H1028">
        <f>IF(OR(H1027=1,G1028=1),1,0)</f>
        <v/>
      </c>
      <c r="I1028">
        <f>IF(H1027=0,1,SUMPRODUCT(J1027:N1027,B1028:F1028)+O1027*(1+0.00023125256064071564))</f>
        <v/>
      </c>
      <c r="J1028">
        <f>IF(G1028=1,0.2*R1028/B1028,J1027)</f>
        <v/>
      </c>
      <c r="K1028">
        <f>IF(G1028=1,0.2*R1028/C1028,K1027)</f>
        <v/>
      </c>
      <c r="L1028">
        <f>IF(G1028=1,0.2*R1028/D1028,L1027)</f>
        <v/>
      </c>
      <c r="M1028">
        <f>IF(G1028=1,0.2*R1028/E1028,M1027)</f>
        <v/>
      </c>
      <c r="N1028">
        <f>IF(G1028=1,0.2*R1028/F1028,N1027)</f>
        <v/>
      </c>
      <c r="O1028">
        <f>IF(G1028=1,R1028*(1-1.0),IF(H1027=0,1,O1027*(1+0.00023125256064071564)))</f>
        <v/>
      </c>
      <c r="P1028">
        <f>IF(G1028=1,IF(H1027=0,1,ABS(0.2-J1027*B1028/I1028)+ABS(0.2-K1027*C1028/I1028)+ABS(0.2-L1027*D1028/I1028)+ABS(0.2-M1027*E1028/I1028)+ABS(0.2-N1027*F1028/I1028)),0)</f>
        <v/>
      </c>
      <c r="Q1028">
        <f>P1028*0.0015</f>
        <v/>
      </c>
      <c r="R1028">
        <f>I1028*(1-Q1028)</f>
        <v/>
      </c>
      <c r="S1028">
        <f>R1028/R1027-1</f>
        <v/>
      </c>
      <c r="T1028">
        <f>MAX(T1027,R1028)</f>
        <v/>
      </c>
      <c r="U1028">
        <f>R1028/T1028-1</f>
        <v/>
      </c>
      <c r="V1028" t="n">
        <v>2.098185224344066</v>
      </c>
      <c r="W1028" s="5">
        <f>R1028-V1028</f>
        <v/>
      </c>
    </row>
    <row r="1029">
      <c r="A1029" s="3" t="n">
        <v>39959</v>
      </c>
      <c r="B1029">
        <f>Prices!B1029</f>
        <v/>
      </c>
      <c r="C1029">
        <f>Prices!C1029</f>
        <v/>
      </c>
      <c r="D1029">
        <f>Prices!D1029</f>
        <v/>
      </c>
      <c r="E1029">
        <f>Prices!E1029</f>
        <v/>
      </c>
      <c r="F1029">
        <f>Prices!F1029</f>
        <v/>
      </c>
      <c r="G1029">
        <f>IF(AND(1027&gt;=16,TEXT(A1029,"yyyy-mm")&lt;&gt;TEXT(A1030,"yyyy-mm")),1,0)</f>
        <v/>
      </c>
      <c r="H1029">
        <f>IF(OR(H1028=1,G1029=1),1,0)</f>
        <v/>
      </c>
      <c r="I1029">
        <f>IF(H1028=0,1,SUMPRODUCT(J1028:N1028,B1029:F1029)+O1028*(1+0.00023125256064071564))</f>
        <v/>
      </c>
      <c r="J1029">
        <f>IF(G1029=1,0.2*R1029/B1029,J1028)</f>
        <v/>
      </c>
      <c r="K1029">
        <f>IF(G1029=1,0.2*R1029/C1029,K1028)</f>
        <v/>
      </c>
      <c r="L1029">
        <f>IF(G1029=1,0.2*R1029/D1029,L1028)</f>
        <v/>
      </c>
      <c r="M1029">
        <f>IF(G1029=1,0.2*R1029/E1029,M1028)</f>
        <v/>
      </c>
      <c r="N1029">
        <f>IF(G1029=1,0.2*R1029/F1029,N1028)</f>
        <v/>
      </c>
      <c r="O1029">
        <f>IF(G1029=1,R1029*(1-1.0),IF(H1028=0,1,O1028*(1+0.00023125256064071564)))</f>
        <v/>
      </c>
      <c r="P1029">
        <f>IF(G1029=1,IF(H1028=0,1,ABS(0.2-J1028*B1029/I1029)+ABS(0.2-K1028*C1029/I1029)+ABS(0.2-L1028*D1029/I1029)+ABS(0.2-M1028*E1029/I1029)+ABS(0.2-N1028*F1029/I1029)),0)</f>
        <v/>
      </c>
      <c r="Q1029">
        <f>P1029*0.0015</f>
        <v/>
      </c>
      <c r="R1029">
        <f>I1029*(1-Q1029)</f>
        <v/>
      </c>
      <c r="S1029">
        <f>R1029/R1028-1</f>
        <v/>
      </c>
      <c r="T1029">
        <f>MAX(T1028,R1029)</f>
        <v/>
      </c>
      <c r="U1029">
        <f>R1029/T1029-1</f>
        <v/>
      </c>
      <c r="V1029" t="n">
        <v>2.045415084304306</v>
      </c>
      <c r="W1029" s="5">
        <f>R1029-V1029</f>
        <v/>
      </c>
    </row>
    <row r="1030">
      <c r="A1030" s="3" t="n">
        <v>39960</v>
      </c>
      <c r="B1030">
        <f>Prices!B1030</f>
        <v/>
      </c>
      <c r="C1030">
        <f>Prices!C1030</f>
        <v/>
      </c>
      <c r="D1030">
        <f>Prices!D1030</f>
        <v/>
      </c>
      <c r="E1030">
        <f>Prices!E1030</f>
        <v/>
      </c>
      <c r="F1030">
        <f>Prices!F1030</f>
        <v/>
      </c>
      <c r="G1030">
        <f>IF(AND(1028&gt;=16,TEXT(A1030,"yyyy-mm")&lt;&gt;TEXT(A1031,"yyyy-mm")),1,0)</f>
        <v/>
      </c>
      <c r="H1030">
        <f>IF(OR(H1029=1,G1030=1),1,0)</f>
        <v/>
      </c>
      <c r="I1030">
        <f>IF(H1029=0,1,SUMPRODUCT(J1029:N1029,B1030:F1030)+O1029*(1+0.00023125256064071564))</f>
        <v/>
      </c>
      <c r="J1030">
        <f>IF(G1030=1,0.2*R1030/B1030,J1029)</f>
        <v/>
      </c>
      <c r="K1030">
        <f>IF(G1030=1,0.2*R1030/C1030,K1029)</f>
        <v/>
      </c>
      <c r="L1030">
        <f>IF(G1030=1,0.2*R1030/D1030,L1029)</f>
        <v/>
      </c>
      <c r="M1030">
        <f>IF(G1030=1,0.2*R1030/E1030,M1029)</f>
        <v/>
      </c>
      <c r="N1030">
        <f>IF(G1030=1,0.2*R1030/F1030,N1029)</f>
        <v/>
      </c>
      <c r="O1030">
        <f>IF(G1030=1,R1030*(1-1.0),IF(H1029=0,1,O1029*(1+0.00023125256064071564)))</f>
        <v/>
      </c>
      <c r="P1030">
        <f>IF(G1030=1,IF(H1029=0,1,ABS(0.2-J1029*B1030/I1030)+ABS(0.2-K1029*C1030/I1030)+ABS(0.2-L1029*D1030/I1030)+ABS(0.2-M1029*E1030/I1030)+ABS(0.2-N1029*F1030/I1030)),0)</f>
        <v/>
      </c>
      <c r="Q1030">
        <f>P1030*0.0015</f>
        <v/>
      </c>
      <c r="R1030">
        <f>I1030*(1-Q1030)</f>
        <v/>
      </c>
      <c r="S1030">
        <f>R1030/R1029-1</f>
        <v/>
      </c>
      <c r="T1030">
        <f>MAX(T1029,R1030)</f>
        <v/>
      </c>
      <c r="U1030">
        <f>R1030/T1030-1</f>
        <v/>
      </c>
      <c r="V1030" t="n">
        <v>2.102045552426317</v>
      </c>
      <c r="W1030" s="5">
        <f>R1030-V1030</f>
        <v/>
      </c>
    </row>
    <row r="1031">
      <c r="A1031" s="3" t="n">
        <v>39961</v>
      </c>
      <c r="B1031">
        <f>Prices!B1031</f>
        <v/>
      </c>
      <c r="C1031">
        <f>Prices!C1031</f>
        <v/>
      </c>
      <c r="D1031">
        <f>Prices!D1031</f>
        <v/>
      </c>
      <c r="E1031">
        <f>Prices!E1031</f>
        <v/>
      </c>
      <c r="F1031">
        <f>Prices!F1031</f>
        <v/>
      </c>
      <c r="G1031">
        <f>IF(AND(1029&gt;=16,TEXT(A1031,"yyyy-mm")&lt;&gt;TEXT(A1032,"yyyy-mm")),1,0)</f>
        <v/>
      </c>
      <c r="H1031">
        <f>IF(OR(H1030=1,G1031=1),1,0)</f>
        <v/>
      </c>
      <c r="I1031">
        <f>IF(H1030=0,1,SUMPRODUCT(J1030:N1030,B1031:F1031)+O1030*(1+0.00023125256064071564))</f>
        <v/>
      </c>
      <c r="J1031">
        <f>IF(G1031=1,0.2*R1031/B1031,J1030)</f>
        <v/>
      </c>
      <c r="K1031">
        <f>IF(G1031=1,0.2*R1031/C1031,K1030)</f>
        <v/>
      </c>
      <c r="L1031">
        <f>IF(G1031=1,0.2*R1031/D1031,L1030)</f>
        <v/>
      </c>
      <c r="M1031">
        <f>IF(G1031=1,0.2*R1031/E1031,M1030)</f>
        <v/>
      </c>
      <c r="N1031">
        <f>IF(G1031=1,0.2*R1031/F1031,N1030)</f>
        <v/>
      </c>
      <c r="O1031">
        <f>IF(G1031=1,R1031*(1-1.0),IF(H1030=0,1,O1030*(1+0.00023125256064071564)))</f>
        <v/>
      </c>
      <c r="P1031">
        <f>IF(G1031=1,IF(H1030=0,1,ABS(0.2-J1030*B1031/I1031)+ABS(0.2-K1030*C1031/I1031)+ABS(0.2-L1030*D1031/I1031)+ABS(0.2-M1030*E1031/I1031)+ABS(0.2-N1030*F1031/I1031)),0)</f>
        <v/>
      </c>
      <c r="Q1031">
        <f>P1031*0.0015</f>
        <v/>
      </c>
      <c r="R1031">
        <f>I1031*(1-Q1031)</f>
        <v/>
      </c>
      <c r="S1031">
        <f>R1031/R1030-1</f>
        <v/>
      </c>
      <c r="T1031">
        <f>MAX(T1030,R1031)</f>
        <v/>
      </c>
      <c r="U1031">
        <f>R1031/T1031-1</f>
        <v/>
      </c>
      <c r="V1031" t="n">
        <v>2.110578820252023</v>
      </c>
      <c r="W1031" s="5">
        <f>R1031-V1031</f>
        <v/>
      </c>
    </row>
    <row r="1032">
      <c r="A1032" s="3" t="n">
        <v>39962</v>
      </c>
      <c r="B1032">
        <f>Prices!B1032</f>
        <v/>
      </c>
      <c r="C1032">
        <f>Prices!C1032</f>
        <v/>
      </c>
      <c r="D1032">
        <f>Prices!D1032</f>
        <v/>
      </c>
      <c r="E1032">
        <f>Prices!E1032</f>
        <v/>
      </c>
      <c r="F1032">
        <f>Prices!F1032</f>
        <v/>
      </c>
      <c r="G1032">
        <f>IF(AND(1030&gt;=16,TEXT(A1032,"yyyy-mm")&lt;&gt;TEXT(A1033,"yyyy-mm")),1,0)</f>
        <v/>
      </c>
      <c r="H1032">
        <f>IF(OR(H1031=1,G1032=1),1,0)</f>
        <v/>
      </c>
      <c r="I1032">
        <f>IF(H1031=0,1,SUMPRODUCT(J1031:N1031,B1032:F1032)+O1031*(1+0.00023125256064071564))</f>
        <v/>
      </c>
      <c r="J1032">
        <f>IF(G1032=1,0.2*R1032/B1032,J1031)</f>
        <v/>
      </c>
      <c r="K1032">
        <f>IF(G1032=1,0.2*R1032/C1032,K1031)</f>
        <v/>
      </c>
      <c r="L1032">
        <f>IF(G1032=1,0.2*R1032/D1032,L1031)</f>
        <v/>
      </c>
      <c r="M1032">
        <f>IF(G1032=1,0.2*R1032/E1032,M1031)</f>
        <v/>
      </c>
      <c r="N1032">
        <f>IF(G1032=1,0.2*R1032/F1032,N1031)</f>
        <v/>
      </c>
      <c r="O1032">
        <f>IF(G1032=1,R1032*(1-1.0),IF(H1031=0,1,O1031*(1+0.00023125256064071564)))</f>
        <v/>
      </c>
      <c r="P1032">
        <f>IF(G1032=1,IF(H1031=0,1,ABS(0.2-J1031*B1032/I1032)+ABS(0.2-K1031*C1032/I1032)+ABS(0.2-L1031*D1032/I1032)+ABS(0.2-M1031*E1032/I1032)+ABS(0.2-N1031*F1032/I1032)),0)</f>
        <v/>
      </c>
      <c r="Q1032">
        <f>P1032*0.0015</f>
        <v/>
      </c>
      <c r="R1032">
        <f>I1032*(1-Q1032)</f>
        <v/>
      </c>
      <c r="S1032">
        <f>R1032/R1031-1</f>
        <v/>
      </c>
      <c r="T1032">
        <f>MAX(T1031,R1032)</f>
        <v/>
      </c>
      <c r="U1032">
        <f>R1032/T1032-1</f>
        <v/>
      </c>
      <c r="V1032" t="n">
        <v>2.151805406040177</v>
      </c>
      <c r="W1032" s="5">
        <f>R1032-V1032</f>
        <v/>
      </c>
    </row>
    <row r="1033">
      <c r="A1033" s="3" t="n">
        <v>39965</v>
      </c>
      <c r="B1033">
        <f>Prices!B1033</f>
        <v/>
      </c>
      <c r="C1033">
        <f>Prices!C1033</f>
        <v/>
      </c>
      <c r="D1033">
        <f>Prices!D1033</f>
        <v/>
      </c>
      <c r="E1033">
        <f>Prices!E1033</f>
        <v/>
      </c>
      <c r="F1033">
        <f>Prices!F1033</f>
        <v/>
      </c>
      <c r="G1033">
        <f>IF(AND(1031&gt;=16,TEXT(A1033,"yyyy-mm")&lt;&gt;TEXT(A1034,"yyyy-mm")),1,0)</f>
        <v/>
      </c>
      <c r="H1033">
        <f>IF(OR(H1032=1,G1033=1),1,0)</f>
        <v/>
      </c>
      <c r="I1033">
        <f>IF(H1032=0,1,SUMPRODUCT(J1032:N1032,B1033:F1033)+O1032*(1+0.00023125256064071564))</f>
        <v/>
      </c>
      <c r="J1033">
        <f>IF(G1033=1,0.2*R1033/B1033,J1032)</f>
        <v/>
      </c>
      <c r="K1033">
        <f>IF(G1033=1,0.2*R1033/C1033,K1032)</f>
        <v/>
      </c>
      <c r="L1033">
        <f>IF(G1033=1,0.2*R1033/D1033,L1032)</f>
        <v/>
      </c>
      <c r="M1033">
        <f>IF(G1033=1,0.2*R1033/E1033,M1032)</f>
        <v/>
      </c>
      <c r="N1033">
        <f>IF(G1033=1,0.2*R1033/F1033,N1032)</f>
        <v/>
      </c>
      <c r="O1033">
        <f>IF(G1033=1,R1033*(1-1.0),IF(H1032=0,1,O1032*(1+0.00023125256064071564)))</f>
        <v/>
      </c>
      <c r="P1033">
        <f>IF(G1033=1,IF(H1032=0,1,ABS(0.2-J1032*B1033/I1033)+ABS(0.2-K1032*C1033/I1033)+ABS(0.2-L1032*D1033/I1033)+ABS(0.2-M1032*E1033/I1033)+ABS(0.2-N1032*F1033/I1033)),0)</f>
        <v/>
      </c>
      <c r="Q1033">
        <f>P1033*0.0015</f>
        <v/>
      </c>
      <c r="R1033">
        <f>I1033*(1-Q1033)</f>
        <v/>
      </c>
      <c r="S1033">
        <f>R1033/R1032-1</f>
        <v/>
      </c>
      <c r="T1033">
        <f>MAX(T1032,R1033)</f>
        <v/>
      </c>
      <c r="U1033">
        <f>R1033/T1033-1</f>
        <v/>
      </c>
      <c r="V1033" t="n">
        <v>2.208113041870143</v>
      </c>
      <c r="W1033" s="5">
        <f>R1033-V1033</f>
        <v/>
      </c>
    </row>
    <row r="1034">
      <c r="A1034" s="3" t="n">
        <v>39966</v>
      </c>
      <c r="B1034">
        <f>Prices!B1034</f>
        <v/>
      </c>
      <c r="C1034">
        <f>Prices!C1034</f>
        <v/>
      </c>
      <c r="D1034">
        <f>Prices!D1034</f>
        <v/>
      </c>
      <c r="E1034">
        <f>Prices!E1034</f>
        <v/>
      </c>
      <c r="F1034">
        <f>Prices!F1034</f>
        <v/>
      </c>
      <c r="G1034">
        <f>IF(AND(1032&gt;=16,TEXT(A1034,"yyyy-mm")&lt;&gt;TEXT(A1035,"yyyy-mm")),1,0)</f>
        <v/>
      </c>
      <c r="H1034">
        <f>IF(OR(H1033=1,G1034=1),1,0)</f>
        <v/>
      </c>
      <c r="I1034">
        <f>IF(H1033=0,1,SUMPRODUCT(J1033:N1033,B1034:F1034)+O1033*(1+0.00023125256064071564))</f>
        <v/>
      </c>
      <c r="J1034">
        <f>IF(G1034=1,0.2*R1034/B1034,J1033)</f>
        <v/>
      </c>
      <c r="K1034">
        <f>IF(G1034=1,0.2*R1034/C1034,K1033)</f>
        <v/>
      </c>
      <c r="L1034">
        <f>IF(G1034=1,0.2*R1034/D1034,L1033)</f>
        <v/>
      </c>
      <c r="M1034">
        <f>IF(G1034=1,0.2*R1034/E1034,M1033)</f>
        <v/>
      </c>
      <c r="N1034">
        <f>IF(G1034=1,0.2*R1034/F1034,N1033)</f>
        <v/>
      </c>
      <c r="O1034">
        <f>IF(G1034=1,R1034*(1-1.0),IF(H1033=0,1,O1033*(1+0.00023125256064071564)))</f>
        <v/>
      </c>
      <c r="P1034">
        <f>IF(G1034=1,IF(H1033=0,1,ABS(0.2-J1033*B1034/I1034)+ABS(0.2-K1033*C1034/I1034)+ABS(0.2-L1033*D1034/I1034)+ABS(0.2-M1033*E1034/I1034)+ABS(0.2-N1033*F1034/I1034)),0)</f>
        <v/>
      </c>
      <c r="Q1034">
        <f>P1034*0.0015</f>
        <v/>
      </c>
      <c r="R1034">
        <f>I1034*(1-Q1034)</f>
        <v/>
      </c>
      <c r="S1034">
        <f>R1034/R1033-1</f>
        <v/>
      </c>
      <c r="T1034">
        <f>MAX(T1033,R1034)</f>
        <v/>
      </c>
      <c r="U1034">
        <f>R1034/T1034-1</f>
        <v/>
      </c>
      <c r="V1034" t="n">
        <v>2.214974820357658</v>
      </c>
      <c r="W1034" s="5">
        <f>R1034-V1034</f>
        <v/>
      </c>
    </row>
    <row r="1035">
      <c r="A1035" s="3" t="n">
        <v>39967</v>
      </c>
      <c r="B1035">
        <f>Prices!B1035</f>
        <v/>
      </c>
      <c r="C1035">
        <f>Prices!C1035</f>
        <v/>
      </c>
      <c r="D1035">
        <f>Prices!D1035</f>
        <v/>
      </c>
      <c r="E1035">
        <f>Prices!E1035</f>
        <v/>
      </c>
      <c r="F1035">
        <f>Prices!F1035</f>
        <v/>
      </c>
      <c r="G1035">
        <f>IF(AND(1033&gt;=16,TEXT(A1035,"yyyy-mm")&lt;&gt;TEXT(A1036,"yyyy-mm")),1,0)</f>
        <v/>
      </c>
      <c r="H1035">
        <f>IF(OR(H1034=1,G1035=1),1,0)</f>
        <v/>
      </c>
      <c r="I1035">
        <f>IF(H1034=0,1,SUMPRODUCT(J1034:N1034,B1035:F1035)+O1034*(1+0.00023125256064071564))</f>
        <v/>
      </c>
      <c r="J1035">
        <f>IF(G1035=1,0.2*R1035/B1035,J1034)</f>
        <v/>
      </c>
      <c r="K1035">
        <f>IF(G1035=1,0.2*R1035/C1035,K1034)</f>
        <v/>
      </c>
      <c r="L1035">
        <f>IF(G1035=1,0.2*R1035/D1035,L1034)</f>
        <v/>
      </c>
      <c r="M1035">
        <f>IF(G1035=1,0.2*R1035/E1035,M1034)</f>
        <v/>
      </c>
      <c r="N1035">
        <f>IF(G1035=1,0.2*R1035/F1035,N1034)</f>
        <v/>
      </c>
      <c r="O1035">
        <f>IF(G1035=1,R1035*(1-1.0),IF(H1034=0,1,O1034*(1+0.00023125256064071564)))</f>
        <v/>
      </c>
      <c r="P1035">
        <f>IF(G1035=1,IF(H1034=0,1,ABS(0.2-J1034*B1035/I1035)+ABS(0.2-K1034*C1035/I1035)+ABS(0.2-L1034*D1035/I1035)+ABS(0.2-M1034*E1035/I1035)+ABS(0.2-N1034*F1035/I1035)),0)</f>
        <v/>
      </c>
      <c r="Q1035">
        <f>P1035*0.0015</f>
        <v/>
      </c>
      <c r="R1035">
        <f>I1035*(1-Q1035)</f>
        <v/>
      </c>
      <c r="S1035">
        <f>R1035/R1034-1</f>
        <v/>
      </c>
      <c r="T1035">
        <f>MAX(T1034,R1035)</f>
        <v/>
      </c>
      <c r="U1035">
        <f>R1035/T1035-1</f>
        <v/>
      </c>
      <c r="V1035" t="n">
        <v>2.241942371101892</v>
      </c>
      <c r="W1035" s="5">
        <f>R1035-V1035</f>
        <v/>
      </c>
    </row>
    <row r="1036">
      <c r="A1036" s="3" t="n">
        <v>39968</v>
      </c>
      <c r="B1036">
        <f>Prices!B1036</f>
        <v/>
      </c>
      <c r="C1036">
        <f>Prices!C1036</f>
        <v/>
      </c>
      <c r="D1036">
        <f>Prices!D1036</f>
        <v/>
      </c>
      <c r="E1036">
        <f>Prices!E1036</f>
        <v/>
      </c>
      <c r="F1036">
        <f>Prices!F1036</f>
        <v/>
      </c>
      <c r="G1036">
        <f>IF(AND(1034&gt;=16,TEXT(A1036,"yyyy-mm")&lt;&gt;TEXT(A1037,"yyyy-mm")),1,0)</f>
        <v/>
      </c>
      <c r="H1036">
        <f>IF(OR(H1035=1,G1036=1),1,0)</f>
        <v/>
      </c>
      <c r="I1036">
        <f>IF(H1035=0,1,SUMPRODUCT(J1035:N1035,B1036:F1036)+O1035*(1+0.00023125256064071564))</f>
        <v/>
      </c>
      <c r="J1036">
        <f>IF(G1036=1,0.2*R1036/B1036,J1035)</f>
        <v/>
      </c>
      <c r="K1036">
        <f>IF(G1036=1,0.2*R1036/C1036,K1035)</f>
        <v/>
      </c>
      <c r="L1036">
        <f>IF(G1036=1,0.2*R1036/D1036,L1035)</f>
        <v/>
      </c>
      <c r="M1036">
        <f>IF(G1036=1,0.2*R1036/E1036,M1035)</f>
        <v/>
      </c>
      <c r="N1036">
        <f>IF(G1036=1,0.2*R1036/F1036,N1035)</f>
        <v/>
      </c>
      <c r="O1036">
        <f>IF(G1036=1,R1036*(1-1.0),IF(H1035=0,1,O1035*(1+0.00023125256064071564)))</f>
        <v/>
      </c>
      <c r="P1036">
        <f>IF(G1036=1,IF(H1035=0,1,ABS(0.2-J1035*B1036/I1036)+ABS(0.2-K1035*C1036/I1036)+ABS(0.2-L1035*D1036/I1036)+ABS(0.2-M1035*E1036/I1036)+ABS(0.2-N1035*F1036/I1036)),0)</f>
        <v/>
      </c>
      <c r="Q1036">
        <f>P1036*0.0015</f>
        <v/>
      </c>
      <c r="R1036">
        <f>I1036*(1-Q1036)</f>
        <v/>
      </c>
      <c r="S1036">
        <f>R1036/R1035-1</f>
        <v/>
      </c>
      <c r="T1036">
        <f>MAX(T1035,R1036)</f>
        <v/>
      </c>
      <c r="U1036">
        <f>R1036/T1036-1</f>
        <v/>
      </c>
      <c r="V1036" t="n">
        <v>2.273121431730544</v>
      </c>
      <c r="W1036" s="5">
        <f>R1036-V1036</f>
        <v/>
      </c>
    </row>
    <row r="1037">
      <c r="A1037" s="3" t="n">
        <v>39969</v>
      </c>
      <c r="B1037">
        <f>Prices!B1037</f>
        <v/>
      </c>
      <c r="C1037">
        <f>Prices!C1037</f>
        <v/>
      </c>
      <c r="D1037">
        <f>Prices!D1037</f>
        <v/>
      </c>
      <c r="E1037">
        <f>Prices!E1037</f>
        <v/>
      </c>
      <c r="F1037">
        <f>Prices!F1037</f>
        <v/>
      </c>
      <c r="G1037">
        <f>IF(AND(1035&gt;=16,TEXT(A1037,"yyyy-mm")&lt;&gt;TEXT(A1038,"yyyy-mm")),1,0)</f>
        <v/>
      </c>
      <c r="H1037">
        <f>IF(OR(H1036=1,G1037=1),1,0)</f>
        <v/>
      </c>
      <c r="I1037">
        <f>IF(H1036=0,1,SUMPRODUCT(J1036:N1036,B1037:F1037)+O1036*(1+0.00023125256064071564))</f>
        <v/>
      </c>
      <c r="J1037">
        <f>IF(G1037=1,0.2*R1037/B1037,J1036)</f>
        <v/>
      </c>
      <c r="K1037">
        <f>IF(G1037=1,0.2*R1037/C1037,K1036)</f>
        <v/>
      </c>
      <c r="L1037">
        <f>IF(G1037=1,0.2*R1037/D1037,L1036)</f>
        <v/>
      </c>
      <c r="M1037">
        <f>IF(G1037=1,0.2*R1037/E1037,M1036)</f>
        <v/>
      </c>
      <c r="N1037">
        <f>IF(G1037=1,0.2*R1037/F1037,N1036)</f>
        <v/>
      </c>
      <c r="O1037">
        <f>IF(G1037=1,R1037*(1-1.0),IF(H1036=0,1,O1036*(1+0.00023125256064071564)))</f>
        <v/>
      </c>
      <c r="P1037">
        <f>IF(G1037=1,IF(H1036=0,1,ABS(0.2-J1036*B1037/I1037)+ABS(0.2-K1036*C1037/I1037)+ABS(0.2-L1036*D1037/I1037)+ABS(0.2-M1036*E1037/I1037)+ABS(0.2-N1036*F1037/I1037)),0)</f>
        <v/>
      </c>
      <c r="Q1037">
        <f>P1037*0.0015</f>
        <v/>
      </c>
      <c r="R1037">
        <f>I1037*(1-Q1037)</f>
        <v/>
      </c>
      <c r="S1037">
        <f>R1037/R1036-1</f>
        <v/>
      </c>
      <c r="T1037">
        <f>MAX(T1036,R1037)</f>
        <v/>
      </c>
      <c r="U1037">
        <f>R1037/T1037-1</f>
        <v/>
      </c>
      <c r="V1037" t="n">
        <v>2.279858461628428</v>
      </c>
      <c r="W1037" s="5">
        <f>R1037-V1037</f>
        <v/>
      </c>
    </row>
    <row r="1038">
      <c r="A1038" s="3" t="n">
        <v>39972</v>
      </c>
      <c r="B1038">
        <f>Prices!B1038</f>
        <v/>
      </c>
      <c r="C1038">
        <f>Prices!C1038</f>
        <v/>
      </c>
      <c r="D1038">
        <f>Prices!D1038</f>
        <v/>
      </c>
      <c r="E1038">
        <f>Prices!E1038</f>
        <v/>
      </c>
      <c r="F1038">
        <f>Prices!F1038</f>
        <v/>
      </c>
      <c r="G1038">
        <f>IF(AND(1036&gt;=16,TEXT(A1038,"yyyy-mm")&lt;&gt;TEXT(A1039,"yyyy-mm")),1,0)</f>
        <v/>
      </c>
      <c r="H1038">
        <f>IF(OR(H1037=1,G1038=1),1,0)</f>
        <v/>
      </c>
      <c r="I1038">
        <f>IF(H1037=0,1,SUMPRODUCT(J1037:N1037,B1038:F1038)+O1037*(1+0.00023125256064071564))</f>
        <v/>
      </c>
      <c r="J1038">
        <f>IF(G1038=1,0.2*R1038/B1038,J1037)</f>
        <v/>
      </c>
      <c r="K1038">
        <f>IF(G1038=1,0.2*R1038/C1038,K1037)</f>
        <v/>
      </c>
      <c r="L1038">
        <f>IF(G1038=1,0.2*R1038/D1038,L1037)</f>
        <v/>
      </c>
      <c r="M1038">
        <f>IF(G1038=1,0.2*R1038/E1038,M1037)</f>
        <v/>
      </c>
      <c r="N1038">
        <f>IF(G1038=1,0.2*R1038/F1038,N1037)</f>
        <v/>
      </c>
      <c r="O1038">
        <f>IF(G1038=1,R1038*(1-1.0),IF(H1037=0,1,O1037*(1+0.00023125256064071564)))</f>
        <v/>
      </c>
      <c r="P1038">
        <f>IF(G1038=1,IF(H1037=0,1,ABS(0.2-J1037*B1038/I1038)+ABS(0.2-K1037*C1038/I1038)+ABS(0.2-L1037*D1038/I1038)+ABS(0.2-M1037*E1038/I1038)+ABS(0.2-N1037*F1038/I1038)),0)</f>
        <v/>
      </c>
      <c r="Q1038">
        <f>P1038*0.0015</f>
        <v/>
      </c>
      <c r="R1038">
        <f>I1038*(1-Q1038)</f>
        <v/>
      </c>
      <c r="S1038">
        <f>R1038/R1037-1</f>
        <v/>
      </c>
      <c r="T1038">
        <f>MAX(T1037,R1038)</f>
        <v/>
      </c>
      <c r="U1038">
        <f>R1038/T1038-1</f>
        <v/>
      </c>
      <c r="V1038" t="n">
        <v>2.185954128646476</v>
      </c>
      <c r="W1038" s="5">
        <f>R1038-V1038</f>
        <v/>
      </c>
    </row>
    <row r="1039">
      <c r="A1039" s="3" t="n">
        <v>39973</v>
      </c>
      <c r="B1039">
        <f>Prices!B1039</f>
        <v/>
      </c>
      <c r="C1039">
        <f>Prices!C1039</f>
        <v/>
      </c>
      <c r="D1039">
        <f>Prices!D1039</f>
        <v/>
      </c>
      <c r="E1039">
        <f>Prices!E1039</f>
        <v/>
      </c>
      <c r="F1039">
        <f>Prices!F1039</f>
        <v/>
      </c>
      <c r="G1039">
        <f>IF(AND(1037&gt;=16,TEXT(A1039,"yyyy-mm")&lt;&gt;TEXT(A1040,"yyyy-mm")),1,0)</f>
        <v/>
      </c>
      <c r="H1039">
        <f>IF(OR(H1038=1,G1039=1),1,0)</f>
        <v/>
      </c>
      <c r="I1039">
        <f>IF(H1038=0,1,SUMPRODUCT(J1038:N1038,B1039:F1039)+O1038*(1+0.00023125256064071564))</f>
        <v/>
      </c>
      <c r="J1039">
        <f>IF(G1039=1,0.2*R1039/B1039,J1038)</f>
        <v/>
      </c>
      <c r="K1039">
        <f>IF(G1039=1,0.2*R1039/C1039,K1038)</f>
        <v/>
      </c>
      <c r="L1039">
        <f>IF(G1039=1,0.2*R1039/D1039,L1038)</f>
        <v/>
      </c>
      <c r="M1039">
        <f>IF(G1039=1,0.2*R1039/E1039,M1038)</f>
        <v/>
      </c>
      <c r="N1039">
        <f>IF(G1039=1,0.2*R1039/F1039,N1038)</f>
        <v/>
      </c>
      <c r="O1039">
        <f>IF(G1039=1,R1039*(1-1.0),IF(H1038=0,1,O1038*(1+0.00023125256064071564)))</f>
        <v/>
      </c>
      <c r="P1039">
        <f>IF(G1039=1,IF(H1038=0,1,ABS(0.2-J1038*B1039/I1039)+ABS(0.2-K1038*C1039/I1039)+ABS(0.2-L1038*D1039/I1039)+ABS(0.2-M1038*E1039/I1039)+ABS(0.2-N1038*F1039/I1039)),0)</f>
        <v/>
      </c>
      <c r="Q1039">
        <f>P1039*0.0015</f>
        <v/>
      </c>
      <c r="R1039">
        <f>I1039*(1-Q1039)</f>
        <v/>
      </c>
      <c r="S1039">
        <f>R1039/R1038-1</f>
        <v/>
      </c>
      <c r="T1039">
        <f>MAX(T1038,R1039)</f>
        <v/>
      </c>
      <c r="U1039">
        <f>R1039/T1039-1</f>
        <v/>
      </c>
      <c r="V1039" t="n">
        <v>2.241502185982808</v>
      </c>
      <c r="W1039" s="5">
        <f>R1039-V1039</f>
        <v/>
      </c>
    </row>
    <row r="1040">
      <c r="A1040" s="3" t="n">
        <v>39974</v>
      </c>
      <c r="B1040">
        <f>Prices!B1040</f>
        <v/>
      </c>
      <c r="C1040">
        <f>Prices!C1040</f>
        <v/>
      </c>
      <c r="D1040">
        <f>Prices!D1040</f>
        <v/>
      </c>
      <c r="E1040">
        <f>Prices!E1040</f>
        <v/>
      </c>
      <c r="F1040">
        <f>Prices!F1040</f>
        <v/>
      </c>
      <c r="G1040">
        <f>IF(AND(1038&gt;=16,TEXT(A1040,"yyyy-mm")&lt;&gt;TEXT(A1041,"yyyy-mm")),1,0)</f>
        <v/>
      </c>
      <c r="H1040">
        <f>IF(OR(H1039=1,G1040=1),1,0)</f>
        <v/>
      </c>
      <c r="I1040">
        <f>IF(H1039=0,1,SUMPRODUCT(J1039:N1039,B1040:F1040)+O1039*(1+0.00023125256064071564))</f>
        <v/>
      </c>
      <c r="J1040">
        <f>IF(G1040=1,0.2*R1040/B1040,J1039)</f>
        <v/>
      </c>
      <c r="K1040">
        <f>IF(G1040=1,0.2*R1040/C1040,K1039)</f>
        <v/>
      </c>
      <c r="L1040">
        <f>IF(G1040=1,0.2*R1040/D1040,L1039)</f>
        <v/>
      </c>
      <c r="M1040">
        <f>IF(G1040=1,0.2*R1040/E1040,M1039)</f>
        <v/>
      </c>
      <c r="N1040">
        <f>IF(G1040=1,0.2*R1040/F1040,N1039)</f>
        <v/>
      </c>
      <c r="O1040">
        <f>IF(G1040=1,R1040*(1-1.0),IF(H1039=0,1,O1039*(1+0.00023125256064071564)))</f>
        <v/>
      </c>
      <c r="P1040">
        <f>IF(G1040=1,IF(H1039=0,1,ABS(0.2-J1039*B1040/I1040)+ABS(0.2-K1039*C1040/I1040)+ABS(0.2-L1039*D1040/I1040)+ABS(0.2-M1039*E1040/I1040)+ABS(0.2-N1039*F1040/I1040)),0)</f>
        <v/>
      </c>
      <c r="Q1040">
        <f>P1040*0.0015</f>
        <v/>
      </c>
      <c r="R1040">
        <f>I1040*(1-Q1040)</f>
        <v/>
      </c>
      <c r="S1040">
        <f>R1040/R1039-1</f>
        <v/>
      </c>
      <c r="T1040">
        <f>MAX(T1039,R1040)</f>
        <v/>
      </c>
      <c r="U1040">
        <f>R1040/T1040-1</f>
        <v/>
      </c>
      <c r="V1040" t="n">
        <v>2.279507533043418</v>
      </c>
      <c r="W1040" s="5">
        <f>R1040-V1040</f>
        <v/>
      </c>
    </row>
    <row r="1041">
      <c r="A1041" s="3" t="n">
        <v>39975</v>
      </c>
      <c r="B1041">
        <f>Prices!B1041</f>
        <v/>
      </c>
      <c r="C1041">
        <f>Prices!C1041</f>
        <v/>
      </c>
      <c r="D1041">
        <f>Prices!D1041</f>
        <v/>
      </c>
      <c r="E1041">
        <f>Prices!E1041</f>
        <v/>
      </c>
      <c r="F1041">
        <f>Prices!F1041</f>
        <v/>
      </c>
      <c r="G1041">
        <f>IF(AND(1039&gt;=16,TEXT(A1041,"yyyy-mm")&lt;&gt;TEXT(A1042,"yyyy-mm")),1,0)</f>
        <v/>
      </c>
      <c r="H1041">
        <f>IF(OR(H1040=1,G1041=1),1,0)</f>
        <v/>
      </c>
      <c r="I1041">
        <f>IF(H1040=0,1,SUMPRODUCT(J1040:N1040,B1041:F1041)+O1040*(1+0.00023125256064071564))</f>
        <v/>
      </c>
      <c r="J1041">
        <f>IF(G1041=1,0.2*R1041/B1041,J1040)</f>
        <v/>
      </c>
      <c r="K1041">
        <f>IF(G1041=1,0.2*R1041/C1041,K1040)</f>
        <v/>
      </c>
      <c r="L1041">
        <f>IF(G1041=1,0.2*R1041/D1041,L1040)</f>
        <v/>
      </c>
      <c r="M1041">
        <f>IF(G1041=1,0.2*R1041/E1041,M1040)</f>
        <v/>
      </c>
      <c r="N1041">
        <f>IF(G1041=1,0.2*R1041/F1041,N1040)</f>
        <v/>
      </c>
      <c r="O1041">
        <f>IF(G1041=1,R1041*(1-1.0),IF(H1040=0,1,O1040*(1+0.00023125256064071564)))</f>
        <v/>
      </c>
      <c r="P1041">
        <f>IF(G1041=1,IF(H1040=0,1,ABS(0.2-J1040*B1041/I1041)+ABS(0.2-K1040*C1041/I1041)+ABS(0.2-L1040*D1041/I1041)+ABS(0.2-M1040*E1041/I1041)+ABS(0.2-N1040*F1041/I1041)),0)</f>
        <v/>
      </c>
      <c r="Q1041">
        <f>P1041*0.0015</f>
        <v/>
      </c>
      <c r="R1041">
        <f>I1041*(1-Q1041)</f>
        <v/>
      </c>
      <c r="S1041">
        <f>R1041/R1040-1</f>
        <v/>
      </c>
      <c r="T1041">
        <f>MAX(T1040,R1041)</f>
        <v/>
      </c>
      <c r="U1041">
        <f>R1041/T1041-1</f>
        <v/>
      </c>
      <c r="V1041" t="n">
        <v>2.277253857841777</v>
      </c>
      <c r="W1041" s="5">
        <f>R1041-V1041</f>
        <v/>
      </c>
    </row>
    <row r="1042">
      <c r="A1042" s="3" t="n">
        <v>39976</v>
      </c>
      <c r="B1042">
        <f>Prices!B1042</f>
        <v/>
      </c>
      <c r="C1042">
        <f>Prices!C1042</f>
        <v/>
      </c>
      <c r="D1042">
        <f>Prices!D1042</f>
        <v/>
      </c>
      <c r="E1042">
        <f>Prices!E1042</f>
        <v/>
      </c>
      <c r="F1042">
        <f>Prices!F1042</f>
        <v/>
      </c>
      <c r="G1042">
        <f>IF(AND(1040&gt;=16,TEXT(A1042,"yyyy-mm")&lt;&gt;TEXT(A1043,"yyyy-mm")),1,0)</f>
        <v/>
      </c>
      <c r="H1042">
        <f>IF(OR(H1041=1,G1042=1),1,0)</f>
        <v/>
      </c>
      <c r="I1042">
        <f>IF(H1041=0,1,SUMPRODUCT(J1041:N1041,B1042:F1042)+O1041*(1+0.00023125256064071564))</f>
        <v/>
      </c>
      <c r="J1042">
        <f>IF(G1042=1,0.2*R1042/B1042,J1041)</f>
        <v/>
      </c>
      <c r="K1042">
        <f>IF(G1042=1,0.2*R1042/C1042,K1041)</f>
        <v/>
      </c>
      <c r="L1042">
        <f>IF(G1042=1,0.2*R1042/D1042,L1041)</f>
        <v/>
      </c>
      <c r="M1042">
        <f>IF(G1042=1,0.2*R1042/E1042,M1041)</f>
        <v/>
      </c>
      <c r="N1042">
        <f>IF(G1042=1,0.2*R1042/F1042,N1041)</f>
        <v/>
      </c>
      <c r="O1042">
        <f>IF(G1042=1,R1042*(1-1.0),IF(H1041=0,1,O1041*(1+0.00023125256064071564)))</f>
        <v/>
      </c>
      <c r="P1042">
        <f>IF(G1042=1,IF(H1041=0,1,ABS(0.2-J1041*B1042/I1042)+ABS(0.2-K1041*C1042/I1042)+ABS(0.2-L1041*D1042/I1042)+ABS(0.2-M1041*E1042/I1042)+ABS(0.2-N1041*F1042/I1042)),0)</f>
        <v/>
      </c>
      <c r="Q1042">
        <f>P1042*0.0015</f>
        <v/>
      </c>
      <c r="R1042">
        <f>I1042*(1-Q1042)</f>
        <v/>
      </c>
      <c r="S1042">
        <f>R1042/R1041-1</f>
        <v/>
      </c>
      <c r="T1042">
        <f>MAX(T1041,R1042)</f>
        <v/>
      </c>
      <c r="U1042">
        <f>R1042/T1042-1</f>
        <v/>
      </c>
      <c r="V1042" t="n">
        <v>2.246405049697803</v>
      </c>
      <c r="W1042" s="5">
        <f>R1042-V1042</f>
        <v/>
      </c>
    </row>
    <row r="1043">
      <c r="A1043" s="3" t="n">
        <v>39979</v>
      </c>
      <c r="B1043">
        <f>Prices!B1043</f>
        <v/>
      </c>
      <c r="C1043">
        <f>Prices!C1043</f>
        <v/>
      </c>
      <c r="D1043">
        <f>Prices!D1043</f>
        <v/>
      </c>
      <c r="E1043">
        <f>Prices!E1043</f>
        <v/>
      </c>
      <c r="F1043">
        <f>Prices!F1043</f>
        <v/>
      </c>
      <c r="G1043">
        <f>IF(AND(1041&gt;=16,TEXT(A1043,"yyyy-mm")&lt;&gt;TEXT(A1044,"yyyy-mm")),1,0)</f>
        <v/>
      </c>
      <c r="H1043">
        <f>IF(OR(H1042=1,G1043=1),1,0)</f>
        <v/>
      </c>
      <c r="I1043">
        <f>IF(H1042=0,1,SUMPRODUCT(J1042:N1042,B1043:F1043)+O1042*(1+0.00023125256064071564))</f>
        <v/>
      </c>
      <c r="J1043">
        <f>IF(G1043=1,0.2*R1043/B1043,J1042)</f>
        <v/>
      </c>
      <c r="K1043">
        <f>IF(G1043=1,0.2*R1043/C1043,K1042)</f>
        <v/>
      </c>
      <c r="L1043">
        <f>IF(G1043=1,0.2*R1043/D1043,L1042)</f>
        <v/>
      </c>
      <c r="M1043">
        <f>IF(G1043=1,0.2*R1043/E1043,M1042)</f>
        <v/>
      </c>
      <c r="N1043">
        <f>IF(G1043=1,0.2*R1043/F1043,N1042)</f>
        <v/>
      </c>
      <c r="O1043">
        <f>IF(G1043=1,R1043*(1-1.0),IF(H1042=0,1,O1042*(1+0.00023125256064071564)))</f>
        <v/>
      </c>
      <c r="P1043">
        <f>IF(G1043=1,IF(H1042=0,1,ABS(0.2-J1042*B1043/I1043)+ABS(0.2-K1042*C1043/I1043)+ABS(0.2-L1042*D1043/I1043)+ABS(0.2-M1042*E1043/I1043)+ABS(0.2-N1042*F1043/I1043)),0)</f>
        <v/>
      </c>
      <c r="Q1043">
        <f>P1043*0.0015</f>
        <v/>
      </c>
      <c r="R1043">
        <f>I1043*(1-Q1043)</f>
        <v/>
      </c>
      <c r="S1043">
        <f>R1043/R1042-1</f>
        <v/>
      </c>
      <c r="T1043">
        <f>MAX(T1042,R1043)</f>
        <v/>
      </c>
      <c r="U1043">
        <f>R1043/T1043-1</f>
        <v/>
      </c>
      <c r="V1043" t="n">
        <v>2.222214440898513</v>
      </c>
      <c r="W1043" s="5">
        <f>R1043-V1043</f>
        <v/>
      </c>
    </row>
    <row r="1044">
      <c r="A1044" s="3" t="n">
        <v>39980</v>
      </c>
      <c r="B1044">
        <f>Prices!B1044</f>
        <v/>
      </c>
      <c r="C1044">
        <f>Prices!C1044</f>
        <v/>
      </c>
      <c r="D1044">
        <f>Prices!D1044</f>
        <v/>
      </c>
      <c r="E1044">
        <f>Prices!E1044</f>
        <v/>
      </c>
      <c r="F1044">
        <f>Prices!F1044</f>
        <v/>
      </c>
      <c r="G1044">
        <f>IF(AND(1042&gt;=16,TEXT(A1044,"yyyy-mm")&lt;&gt;TEXT(A1045,"yyyy-mm")),1,0)</f>
        <v/>
      </c>
      <c r="H1044">
        <f>IF(OR(H1043=1,G1044=1),1,0)</f>
        <v/>
      </c>
      <c r="I1044">
        <f>IF(H1043=0,1,SUMPRODUCT(J1043:N1043,B1044:F1044)+O1043*(1+0.00023125256064071564))</f>
        <v/>
      </c>
      <c r="J1044">
        <f>IF(G1044=1,0.2*R1044/B1044,J1043)</f>
        <v/>
      </c>
      <c r="K1044">
        <f>IF(G1044=1,0.2*R1044/C1044,K1043)</f>
        <v/>
      </c>
      <c r="L1044">
        <f>IF(G1044=1,0.2*R1044/D1044,L1043)</f>
        <v/>
      </c>
      <c r="M1044">
        <f>IF(G1044=1,0.2*R1044/E1044,M1043)</f>
        <v/>
      </c>
      <c r="N1044">
        <f>IF(G1044=1,0.2*R1044/F1044,N1043)</f>
        <v/>
      </c>
      <c r="O1044">
        <f>IF(G1044=1,R1044*(1-1.0),IF(H1043=0,1,O1043*(1+0.00023125256064071564)))</f>
        <v/>
      </c>
      <c r="P1044">
        <f>IF(G1044=1,IF(H1043=0,1,ABS(0.2-J1043*B1044/I1044)+ABS(0.2-K1043*C1044/I1044)+ABS(0.2-L1043*D1044/I1044)+ABS(0.2-M1043*E1044/I1044)+ABS(0.2-N1043*F1044/I1044)),0)</f>
        <v/>
      </c>
      <c r="Q1044">
        <f>P1044*0.0015</f>
        <v/>
      </c>
      <c r="R1044">
        <f>I1044*(1-Q1044)</f>
        <v/>
      </c>
      <c r="S1044">
        <f>R1044/R1043-1</f>
        <v/>
      </c>
      <c r="T1044">
        <f>MAX(T1043,R1044)</f>
        <v/>
      </c>
      <c r="U1044">
        <f>R1044/T1044-1</f>
        <v/>
      </c>
      <c r="V1044" t="n">
        <v>2.253519256507141</v>
      </c>
      <c r="W1044" s="5">
        <f>R1044-V1044</f>
        <v/>
      </c>
    </row>
    <row r="1045">
      <c r="A1045" s="3" t="n">
        <v>39981</v>
      </c>
      <c r="B1045">
        <f>Prices!B1045</f>
        <v/>
      </c>
      <c r="C1045">
        <f>Prices!C1045</f>
        <v/>
      </c>
      <c r="D1045">
        <f>Prices!D1045</f>
        <v/>
      </c>
      <c r="E1045">
        <f>Prices!E1045</f>
        <v/>
      </c>
      <c r="F1045">
        <f>Prices!F1045</f>
        <v/>
      </c>
      <c r="G1045">
        <f>IF(AND(1043&gt;=16,TEXT(A1045,"yyyy-mm")&lt;&gt;TEXT(A1046,"yyyy-mm")),1,0)</f>
        <v/>
      </c>
      <c r="H1045">
        <f>IF(OR(H1044=1,G1045=1),1,0)</f>
        <v/>
      </c>
      <c r="I1045">
        <f>IF(H1044=0,1,SUMPRODUCT(J1044:N1044,B1045:F1045)+O1044*(1+0.00023125256064071564))</f>
        <v/>
      </c>
      <c r="J1045">
        <f>IF(G1045=1,0.2*R1045/B1045,J1044)</f>
        <v/>
      </c>
      <c r="K1045">
        <f>IF(G1045=1,0.2*R1045/C1045,K1044)</f>
        <v/>
      </c>
      <c r="L1045">
        <f>IF(G1045=1,0.2*R1045/D1045,L1044)</f>
        <v/>
      </c>
      <c r="M1045">
        <f>IF(G1045=1,0.2*R1045/E1045,M1044)</f>
        <v/>
      </c>
      <c r="N1045">
        <f>IF(G1045=1,0.2*R1045/F1045,N1044)</f>
        <v/>
      </c>
      <c r="O1045">
        <f>IF(G1045=1,R1045*(1-1.0),IF(H1044=0,1,O1044*(1+0.00023125256064071564)))</f>
        <v/>
      </c>
      <c r="P1045">
        <f>IF(G1045=1,IF(H1044=0,1,ABS(0.2-J1044*B1045/I1045)+ABS(0.2-K1044*C1045/I1045)+ABS(0.2-L1044*D1045/I1045)+ABS(0.2-M1044*E1045/I1045)+ABS(0.2-N1044*F1045/I1045)),0)</f>
        <v/>
      </c>
      <c r="Q1045">
        <f>P1045*0.0015</f>
        <v/>
      </c>
      <c r="R1045">
        <f>I1045*(1-Q1045)</f>
        <v/>
      </c>
      <c r="S1045">
        <f>R1045/R1044-1</f>
        <v/>
      </c>
      <c r="T1045">
        <f>MAX(T1044,R1045)</f>
        <v/>
      </c>
      <c r="U1045">
        <f>R1045/T1045-1</f>
        <v/>
      </c>
      <c r="V1045" t="n">
        <v>2.177106915196749</v>
      </c>
      <c r="W1045" s="5">
        <f>R1045-V1045</f>
        <v/>
      </c>
    </row>
    <row r="1046">
      <c r="A1046" s="3" t="n">
        <v>39982</v>
      </c>
      <c r="B1046">
        <f>Prices!B1046</f>
        <v/>
      </c>
      <c r="C1046">
        <f>Prices!C1046</f>
        <v/>
      </c>
      <c r="D1046">
        <f>Prices!D1046</f>
        <v/>
      </c>
      <c r="E1046">
        <f>Prices!E1046</f>
        <v/>
      </c>
      <c r="F1046">
        <f>Prices!F1046</f>
        <v/>
      </c>
      <c r="G1046">
        <f>IF(AND(1044&gt;=16,TEXT(A1046,"yyyy-mm")&lt;&gt;TEXT(A1047,"yyyy-mm")),1,0)</f>
        <v/>
      </c>
      <c r="H1046">
        <f>IF(OR(H1045=1,G1046=1),1,0)</f>
        <v/>
      </c>
      <c r="I1046">
        <f>IF(H1045=0,1,SUMPRODUCT(J1045:N1045,B1046:F1046)+O1045*(1+0.00023125256064071564))</f>
        <v/>
      </c>
      <c r="J1046">
        <f>IF(G1046=1,0.2*R1046/B1046,J1045)</f>
        <v/>
      </c>
      <c r="K1046">
        <f>IF(G1046=1,0.2*R1046/C1046,K1045)</f>
        <v/>
      </c>
      <c r="L1046">
        <f>IF(G1046=1,0.2*R1046/D1046,L1045)</f>
        <v/>
      </c>
      <c r="M1046">
        <f>IF(G1046=1,0.2*R1046/E1046,M1045)</f>
        <v/>
      </c>
      <c r="N1046">
        <f>IF(G1046=1,0.2*R1046/F1046,N1045)</f>
        <v/>
      </c>
      <c r="O1046">
        <f>IF(G1046=1,R1046*(1-1.0),IF(H1045=0,1,O1045*(1+0.00023125256064071564)))</f>
        <v/>
      </c>
      <c r="P1046">
        <f>IF(G1046=1,IF(H1045=0,1,ABS(0.2-J1045*B1046/I1046)+ABS(0.2-K1045*C1046/I1046)+ABS(0.2-L1045*D1046/I1046)+ABS(0.2-M1045*E1046/I1046)+ABS(0.2-N1045*F1046/I1046)),0)</f>
        <v/>
      </c>
      <c r="Q1046">
        <f>P1046*0.0015</f>
        <v/>
      </c>
      <c r="R1046">
        <f>I1046*(1-Q1046)</f>
        <v/>
      </c>
      <c r="S1046">
        <f>R1046/R1045-1</f>
        <v/>
      </c>
      <c r="T1046">
        <f>MAX(T1045,R1046)</f>
        <v/>
      </c>
      <c r="U1046">
        <f>R1046/T1046-1</f>
        <v/>
      </c>
      <c r="V1046" t="n">
        <v>2.124026832605764</v>
      </c>
      <c r="W1046" s="5">
        <f>R1046-V1046</f>
        <v/>
      </c>
    </row>
    <row r="1047">
      <c r="A1047" s="3" t="n">
        <v>39983</v>
      </c>
      <c r="B1047">
        <f>Prices!B1047</f>
        <v/>
      </c>
      <c r="C1047">
        <f>Prices!C1047</f>
        <v/>
      </c>
      <c r="D1047">
        <f>Prices!D1047</f>
        <v/>
      </c>
      <c r="E1047">
        <f>Prices!E1047</f>
        <v/>
      </c>
      <c r="F1047">
        <f>Prices!F1047</f>
        <v/>
      </c>
      <c r="G1047">
        <f>IF(AND(1045&gt;=16,TEXT(A1047,"yyyy-mm")&lt;&gt;TEXT(A1048,"yyyy-mm")),1,0)</f>
        <v/>
      </c>
      <c r="H1047">
        <f>IF(OR(H1046=1,G1047=1),1,0)</f>
        <v/>
      </c>
      <c r="I1047">
        <f>IF(H1046=0,1,SUMPRODUCT(J1046:N1046,B1047:F1047)+O1046*(1+0.00023125256064071564))</f>
        <v/>
      </c>
      <c r="J1047">
        <f>IF(G1047=1,0.2*R1047/B1047,J1046)</f>
        <v/>
      </c>
      <c r="K1047">
        <f>IF(G1047=1,0.2*R1047/C1047,K1046)</f>
        <v/>
      </c>
      <c r="L1047">
        <f>IF(G1047=1,0.2*R1047/D1047,L1046)</f>
        <v/>
      </c>
      <c r="M1047">
        <f>IF(G1047=1,0.2*R1047/E1047,M1046)</f>
        <v/>
      </c>
      <c r="N1047">
        <f>IF(G1047=1,0.2*R1047/F1047,N1046)</f>
        <v/>
      </c>
      <c r="O1047">
        <f>IF(G1047=1,R1047*(1-1.0),IF(H1046=0,1,O1046*(1+0.00023125256064071564)))</f>
        <v/>
      </c>
      <c r="P1047">
        <f>IF(G1047=1,IF(H1046=0,1,ABS(0.2-J1046*B1047/I1047)+ABS(0.2-K1046*C1047/I1047)+ABS(0.2-L1046*D1047/I1047)+ABS(0.2-M1046*E1047/I1047)+ABS(0.2-N1046*F1047/I1047)),0)</f>
        <v/>
      </c>
      <c r="Q1047">
        <f>P1047*0.0015</f>
        <v/>
      </c>
      <c r="R1047">
        <f>I1047*(1-Q1047)</f>
        <v/>
      </c>
      <c r="S1047">
        <f>R1047/R1046-1</f>
        <v/>
      </c>
      <c r="T1047">
        <f>MAX(T1046,R1047)</f>
        <v/>
      </c>
      <c r="U1047">
        <f>R1047/T1047-1</f>
        <v/>
      </c>
      <c r="V1047" t="n">
        <v>2.159014389948623</v>
      </c>
      <c r="W1047" s="5">
        <f>R1047-V1047</f>
        <v/>
      </c>
    </row>
    <row r="1048">
      <c r="A1048" s="3" t="n">
        <v>39986</v>
      </c>
      <c r="B1048">
        <f>Prices!B1048</f>
        <v/>
      </c>
      <c r="C1048">
        <f>Prices!C1048</f>
        <v/>
      </c>
      <c r="D1048">
        <f>Prices!D1048</f>
        <v/>
      </c>
      <c r="E1048">
        <f>Prices!E1048</f>
        <v/>
      </c>
      <c r="F1048">
        <f>Prices!F1048</f>
        <v/>
      </c>
      <c r="G1048">
        <f>IF(AND(1046&gt;=16,TEXT(A1048,"yyyy-mm")&lt;&gt;TEXT(A1049,"yyyy-mm")),1,0)</f>
        <v/>
      </c>
      <c r="H1048">
        <f>IF(OR(H1047=1,G1048=1),1,0)</f>
        <v/>
      </c>
      <c r="I1048">
        <f>IF(H1047=0,1,SUMPRODUCT(J1047:N1047,B1048:F1048)+O1047*(1+0.00023125256064071564))</f>
        <v/>
      </c>
      <c r="J1048">
        <f>IF(G1048=1,0.2*R1048/B1048,J1047)</f>
        <v/>
      </c>
      <c r="K1048">
        <f>IF(G1048=1,0.2*R1048/C1048,K1047)</f>
        <v/>
      </c>
      <c r="L1048">
        <f>IF(G1048=1,0.2*R1048/D1048,L1047)</f>
        <v/>
      </c>
      <c r="M1048">
        <f>IF(G1048=1,0.2*R1048/E1048,M1047)</f>
        <v/>
      </c>
      <c r="N1048">
        <f>IF(G1048=1,0.2*R1048/F1048,N1047)</f>
        <v/>
      </c>
      <c r="O1048">
        <f>IF(G1048=1,R1048*(1-1.0),IF(H1047=0,1,O1047*(1+0.00023125256064071564)))</f>
        <v/>
      </c>
      <c r="P1048">
        <f>IF(G1048=1,IF(H1047=0,1,ABS(0.2-J1047*B1048/I1048)+ABS(0.2-K1047*C1048/I1048)+ABS(0.2-L1047*D1048/I1048)+ABS(0.2-M1047*E1048/I1048)+ABS(0.2-N1047*F1048/I1048)),0)</f>
        <v/>
      </c>
      <c r="Q1048">
        <f>P1048*0.0015</f>
        <v/>
      </c>
      <c r="R1048">
        <f>I1048*(1-Q1048)</f>
        <v/>
      </c>
      <c r="S1048">
        <f>R1048/R1047-1</f>
        <v/>
      </c>
      <c r="T1048">
        <f>MAX(T1047,R1048)</f>
        <v/>
      </c>
      <c r="U1048">
        <f>R1048/T1048-1</f>
        <v/>
      </c>
      <c r="V1048" t="n">
        <v>2.139055769211187</v>
      </c>
      <c r="W1048" s="5">
        <f>R1048-V1048</f>
        <v/>
      </c>
    </row>
    <row r="1049">
      <c r="A1049" s="3" t="n">
        <v>39987</v>
      </c>
      <c r="B1049">
        <f>Prices!B1049</f>
        <v/>
      </c>
      <c r="C1049">
        <f>Prices!C1049</f>
        <v/>
      </c>
      <c r="D1049">
        <f>Prices!D1049</f>
        <v/>
      </c>
      <c r="E1049">
        <f>Prices!E1049</f>
        <v/>
      </c>
      <c r="F1049">
        <f>Prices!F1049</f>
        <v/>
      </c>
      <c r="G1049">
        <f>IF(AND(1047&gt;=16,TEXT(A1049,"yyyy-mm")&lt;&gt;TEXT(A1050,"yyyy-mm")),1,0)</f>
        <v/>
      </c>
      <c r="H1049">
        <f>IF(OR(H1048=1,G1049=1),1,0)</f>
        <v/>
      </c>
      <c r="I1049">
        <f>IF(H1048=0,1,SUMPRODUCT(J1048:N1048,B1049:F1049)+O1048*(1+0.00023125256064071564))</f>
        <v/>
      </c>
      <c r="J1049">
        <f>IF(G1049=1,0.2*R1049/B1049,J1048)</f>
        <v/>
      </c>
      <c r="K1049">
        <f>IF(G1049=1,0.2*R1049/C1049,K1048)</f>
        <v/>
      </c>
      <c r="L1049">
        <f>IF(G1049=1,0.2*R1049/D1049,L1048)</f>
        <v/>
      </c>
      <c r="M1049">
        <f>IF(G1049=1,0.2*R1049/E1049,M1048)</f>
        <v/>
      </c>
      <c r="N1049">
        <f>IF(G1049=1,0.2*R1049/F1049,N1048)</f>
        <v/>
      </c>
      <c r="O1049">
        <f>IF(G1049=1,R1049*(1-1.0),IF(H1048=0,1,O1048*(1+0.00023125256064071564)))</f>
        <v/>
      </c>
      <c r="P1049">
        <f>IF(G1049=1,IF(H1048=0,1,ABS(0.2-J1048*B1049/I1049)+ABS(0.2-K1048*C1049/I1049)+ABS(0.2-L1048*D1049/I1049)+ABS(0.2-M1048*E1049/I1049)+ABS(0.2-N1048*F1049/I1049)),0)</f>
        <v/>
      </c>
      <c r="Q1049">
        <f>P1049*0.0015</f>
        <v/>
      </c>
      <c r="R1049">
        <f>I1049*(1-Q1049)</f>
        <v/>
      </c>
      <c r="S1049">
        <f>R1049/R1048-1</f>
        <v/>
      </c>
      <c r="T1049">
        <f>MAX(T1048,R1049)</f>
        <v/>
      </c>
      <c r="U1049">
        <f>R1049/T1049-1</f>
        <v/>
      </c>
      <c r="V1049" t="n">
        <v>2.137218183026049</v>
      </c>
      <c r="W1049" s="5">
        <f>R1049-V1049</f>
        <v/>
      </c>
    </row>
    <row r="1050">
      <c r="A1050" s="3" t="n">
        <v>39988</v>
      </c>
      <c r="B1050">
        <f>Prices!B1050</f>
        <v/>
      </c>
      <c r="C1050">
        <f>Prices!C1050</f>
        <v/>
      </c>
      <c r="D1050">
        <f>Prices!D1050</f>
        <v/>
      </c>
      <c r="E1050">
        <f>Prices!E1050</f>
        <v/>
      </c>
      <c r="F1050">
        <f>Prices!F1050</f>
        <v/>
      </c>
      <c r="G1050">
        <f>IF(AND(1048&gt;=16,TEXT(A1050,"yyyy-mm")&lt;&gt;TEXT(A1051,"yyyy-mm")),1,0)</f>
        <v/>
      </c>
      <c r="H1050">
        <f>IF(OR(H1049=1,G1050=1),1,0)</f>
        <v/>
      </c>
      <c r="I1050">
        <f>IF(H1049=0,1,SUMPRODUCT(J1049:N1049,B1050:F1050)+O1049*(1+0.00023125256064071564))</f>
        <v/>
      </c>
      <c r="J1050">
        <f>IF(G1050=1,0.2*R1050/B1050,J1049)</f>
        <v/>
      </c>
      <c r="K1050">
        <f>IF(G1050=1,0.2*R1050/C1050,K1049)</f>
        <v/>
      </c>
      <c r="L1050">
        <f>IF(G1050=1,0.2*R1050/D1050,L1049)</f>
        <v/>
      </c>
      <c r="M1050">
        <f>IF(G1050=1,0.2*R1050/E1050,M1049)</f>
        <v/>
      </c>
      <c r="N1050">
        <f>IF(G1050=1,0.2*R1050/F1050,N1049)</f>
        <v/>
      </c>
      <c r="O1050">
        <f>IF(G1050=1,R1050*(1-1.0),IF(H1049=0,1,O1049*(1+0.00023125256064071564)))</f>
        <v/>
      </c>
      <c r="P1050">
        <f>IF(G1050=1,IF(H1049=0,1,ABS(0.2-J1049*B1050/I1050)+ABS(0.2-K1049*C1050/I1050)+ABS(0.2-L1049*D1050/I1050)+ABS(0.2-M1049*E1050/I1050)+ABS(0.2-N1049*F1050/I1050)),0)</f>
        <v/>
      </c>
      <c r="Q1050">
        <f>P1050*0.0015</f>
        <v/>
      </c>
      <c r="R1050">
        <f>I1050*(1-Q1050)</f>
        <v/>
      </c>
      <c r="S1050">
        <f>R1050/R1049-1</f>
        <v/>
      </c>
      <c r="T1050">
        <f>MAX(T1049,R1050)</f>
        <v/>
      </c>
      <c r="U1050">
        <f>R1050/T1050-1</f>
        <v/>
      </c>
      <c r="V1050" t="n">
        <v>2.180305251989007</v>
      </c>
      <c r="W1050" s="5">
        <f>R1050-V1050</f>
        <v/>
      </c>
    </row>
    <row r="1051">
      <c r="A1051" s="3" t="n">
        <v>39989</v>
      </c>
      <c r="B1051">
        <f>Prices!B1051</f>
        <v/>
      </c>
      <c r="C1051">
        <f>Prices!C1051</f>
        <v/>
      </c>
      <c r="D1051">
        <f>Prices!D1051</f>
        <v/>
      </c>
      <c r="E1051">
        <f>Prices!E1051</f>
        <v/>
      </c>
      <c r="F1051">
        <f>Prices!F1051</f>
        <v/>
      </c>
      <c r="G1051">
        <f>IF(AND(1049&gt;=16,TEXT(A1051,"yyyy-mm")&lt;&gt;TEXT(A1052,"yyyy-mm")),1,0)</f>
        <v/>
      </c>
      <c r="H1051">
        <f>IF(OR(H1050=1,G1051=1),1,0)</f>
        <v/>
      </c>
      <c r="I1051">
        <f>IF(H1050=0,1,SUMPRODUCT(J1050:N1050,B1051:F1051)+O1050*(1+0.00023125256064071564))</f>
        <v/>
      </c>
      <c r="J1051">
        <f>IF(G1051=1,0.2*R1051/B1051,J1050)</f>
        <v/>
      </c>
      <c r="K1051">
        <f>IF(G1051=1,0.2*R1051/C1051,K1050)</f>
        <v/>
      </c>
      <c r="L1051">
        <f>IF(G1051=1,0.2*R1051/D1051,L1050)</f>
        <v/>
      </c>
      <c r="M1051">
        <f>IF(G1051=1,0.2*R1051/E1051,M1050)</f>
        <v/>
      </c>
      <c r="N1051">
        <f>IF(G1051=1,0.2*R1051/F1051,N1050)</f>
        <v/>
      </c>
      <c r="O1051">
        <f>IF(G1051=1,R1051*(1-1.0),IF(H1050=0,1,O1050*(1+0.00023125256064071564)))</f>
        <v/>
      </c>
      <c r="P1051">
        <f>IF(G1051=1,IF(H1050=0,1,ABS(0.2-J1050*B1051/I1051)+ABS(0.2-K1050*C1051/I1051)+ABS(0.2-L1050*D1051/I1051)+ABS(0.2-M1050*E1051/I1051)+ABS(0.2-N1050*F1051/I1051)),0)</f>
        <v/>
      </c>
      <c r="Q1051">
        <f>P1051*0.0015</f>
        <v/>
      </c>
      <c r="R1051">
        <f>I1051*(1-Q1051)</f>
        <v/>
      </c>
      <c r="S1051">
        <f>R1051/R1050-1</f>
        <v/>
      </c>
      <c r="T1051">
        <f>MAX(T1050,R1051)</f>
        <v/>
      </c>
      <c r="U1051">
        <f>R1051/T1051-1</f>
        <v/>
      </c>
      <c r="V1051" t="n">
        <v>2.162105107501542</v>
      </c>
      <c r="W1051" s="5">
        <f>R1051-V1051</f>
        <v/>
      </c>
    </row>
    <row r="1052">
      <c r="A1052" s="3" t="n">
        <v>39990</v>
      </c>
      <c r="B1052">
        <f>Prices!B1052</f>
        <v/>
      </c>
      <c r="C1052">
        <f>Prices!C1052</f>
        <v/>
      </c>
      <c r="D1052">
        <f>Prices!D1052</f>
        <v/>
      </c>
      <c r="E1052">
        <f>Prices!E1052</f>
        <v/>
      </c>
      <c r="F1052">
        <f>Prices!F1052</f>
        <v/>
      </c>
      <c r="G1052">
        <f>IF(AND(1050&gt;=16,TEXT(A1052,"yyyy-mm")&lt;&gt;TEXT(A1053,"yyyy-mm")),1,0)</f>
        <v/>
      </c>
      <c r="H1052">
        <f>IF(OR(H1051=1,G1052=1),1,0)</f>
        <v/>
      </c>
      <c r="I1052">
        <f>IF(H1051=0,1,SUMPRODUCT(J1051:N1051,B1052:F1052)+O1051*(1+0.00023125256064071564))</f>
        <v/>
      </c>
      <c r="J1052">
        <f>IF(G1052=1,0.2*R1052/B1052,J1051)</f>
        <v/>
      </c>
      <c r="K1052">
        <f>IF(G1052=1,0.2*R1052/C1052,K1051)</f>
        <v/>
      </c>
      <c r="L1052">
        <f>IF(G1052=1,0.2*R1052/D1052,L1051)</f>
        <v/>
      </c>
      <c r="M1052">
        <f>IF(G1052=1,0.2*R1052/E1052,M1051)</f>
        <v/>
      </c>
      <c r="N1052">
        <f>IF(G1052=1,0.2*R1052/F1052,N1051)</f>
        <v/>
      </c>
      <c r="O1052">
        <f>IF(G1052=1,R1052*(1-1.0),IF(H1051=0,1,O1051*(1+0.00023125256064071564)))</f>
        <v/>
      </c>
      <c r="P1052">
        <f>IF(G1052=1,IF(H1051=0,1,ABS(0.2-J1051*B1052/I1052)+ABS(0.2-K1051*C1052/I1052)+ABS(0.2-L1051*D1052/I1052)+ABS(0.2-M1051*E1052/I1052)+ABS(0.2-N1051*F1052/I1052)),0)</f>
        <v/>
      </c>
      <c r="Q1052">
        <f>P1052*0.0015</f>
        <v/>
      </c>
      <c r="R1052">
        <f>I1052*(1-Q1052)</f>
        <v/>
      </c>
      <c r="S1052">
        <f>R1052/R1051-1</f>
        <v/>
      </c>
      <c r="T1052">
        <f>MAX(T1051,R1052)</f>
        <v/>
      </c>
      <c r="U1052">
        <f>R1052/T1052-1</f>
        <v/>
      </c>
      <c r="V1052" t="n">
        <v>2.197316287030136</v>
      </c>
      <c r="W1052" s="5">
        <f>R1052-V1052</f>
        <v/>
      </c>
    </row>
    <row r="1053">
      <c r="A1053" s="3" t="n">
        <v>39993</v>
      </c>
      <c r="B1053">
        <f>Prices!B1053</f>
        <v/>
      </c>
      <c r="C1053">
        <f>Prices!C1053</f>
        <v/>
      </c>
      <c r="D1053">
        <f>Prices!D1053</f>
        <v/>
      </c>
      <c r="E1053">
        <f>Prices!E1053</f>
        <v/>
      </c>
      <c r="F1053">
        <f>Prices!F1053</f>
        <v/>
      </c>
      <c r="G1053">
        <f>IF(AND(1051&gt;=16,TEXT(A1053,"yyyy-mm")&lt;&gt;TEXT(A1054,"yyyy-mm")),1,0)</f>
        <v/>
      </c>
      <c r="H1053">
        <f>IF(OR(H1052=1,G1053=1),1,0)</f>
        <v/>
      </c>
      <c r="I1053">
        <f>IF(H1052=0,1,SUMPRODUCT(J1052:N1052,B1053:F1053)+O1052*(1+0.00023125256064071564))</f>
        <v/>
      </c>
      <c r="J1053">
        <f>IF(G1053=1,0.2*R1053/B1053,J1052)</f>
        <v/>
      </c>
      <c r="K1053">
        <f>IF(G1053=1,0.2*R1053/C1053,K1052)</f>
        <v/>
      </c>
      <c r="L1053">
        <f>IF(G1053=1,0.2*R1053/D1053,L1052)</f>
        <v/>
      </c>
      <c r="M1053">
        <f>IF(G1053=1,0.2*R1053/E1053,M1052)</f>
        <v/>
      </c>
      <c r="N1053">
        <f>IF(G1053=1,0.2*R1053/F1053,N1052)</f>
        <v/>
      </c>
      <c r="O1053">
        <f>IF(G1053=1,R1053*(1-1.0),IF(H1052=0,1,O1052*(1+0.00023125256064071564)))</f>
        <v/>
      </c>
      <c r="P1053">
        <f>IF(G1053=1,IF(H1052=0,1,ABS(0.2-J1052*B1053/I1053)+ABS(0.2-K1052*C1053/I1053)+ABS(0.2-L1052*D1053/I1053)+ABS(0.2-M1052*E1053/I1053)+ABS(0.2-N1052*F1053/I1053)),0)</f>
        <v/>
      </c>
      <c r="Q1053">
        <f>P1053*0.0015</f>
        <v/>
      </c>
      <c r="R1053">
        <f>I1053*(1-Q1053)</f>
        <v/>
      </c>
      <c r="S1053">
        <f>R1053/R1052-1</f>
        <v/>
      </c>
      <c r="T1053">
        <f>MAX(T1052,R1053)</f>
        <v/>
      </c>
      <c r="U1053">
        <f>R1053/T1053-1</f>
        <v/>
      </c>
      <c r="V1053" t="n">
        <v>2.212166379467687</v>
      </c>
      <c r="W1053" s="5">
        <f>R1053-V1053</f>
        <v/>
      </c>
    </row>
    <row r="1054">
      <c r="A1054" s="3" t="n">
        <v>39994</v>
      </c>
      <c r="B1054">
        <f>Prices!B1054</f>
        <v/>
      </c>
      <c r="C1054">
        <f>Prices!C1054</f>
        <v/>
      </c>
      <c r="D1054">
        <f>Prices!D1054</f>
        <v/>
      </c>
      <c r="E1054">
        <f>Prices!E1054</f>
        <v/>
      </c>
      <c r="F1054">
        <f>Prices!F1054</f>
        <v/>
      </c>
      <c r="G1054">
        <f>IF(AND(1052&gt;=16,TEXT(A1054,"yyyy-mm")&lt;&gt;TEXT(A1055,"yyyy-mm")),1,0)</f>
        <v/>
      </c>
      <c r="H1054">
        <f>IF(OR(H1053=1,G1054=1),1,0)</f>
        <v/>
      </c>
      <c r="I1054">
        <f>IF(H1053=0,1,SUMPRODUCT(J1053:N1053,B1054:F1054)+O1053*(1+0.00023125256064071564))</f>
        <v/>
      </c>
      <c r="J1054">
        <f>IF(G1054=1,0.2*R1054/B1054,J1053)</f>
        <v/>
      </c>
      <c r="K1054">
        <f>IF(G1054=1,0.2*R1054/C1054,K1053)</f>
        <v/>
      </c>
      <c r="L1054">
        <f>IF(G1054=1,0.2*R1054/D1054,L1053)</f>
        <v/>
      </c>
      <c r="M1054">
        <f>IF(G1054=1,0.2*R1054/E1054,M1053)</f>
        <v/>
      </c>
      <c r="N1054">
        <f>IF(G1054=1,0.2*R1054/F1054,N1053)</f>
        <v/>
      </c>
      <c r="O1054">
        <f>IF(G1054=1,R1054*(1-1.0),IF(H1053=0,1,O1053*(1+0.00023125256064071564)))</f>
        <v/>
      </c>
      <c r="P1054">
        <f>IF(G1054=1,IF(H1053=0,1,ABS(0.2-J1053*B1054/I1054)+ABS(0.2-K1053*C1054/I1054)+ABS(0.2-L1053*D1054/I1054)+ABS(0.2-M1053*E1054/I1054)+ABS(0.2-N1053*F1054/I1054)),0)</f>
        <v/>
      </c>
      <c r="Q1054">
        <f>P1054*0.0015</f>
        <v/>
      </c>
      <c r="R1054">
        <f>I1054*(1-Q1054)</f>
        <v/>
      </c>
      <c r="S1054">
        <f>R1054/R1053-1</f>
        <v/>
      </c>
      <c r="T1054">
        <f>MAX(T1053,R1054)</f>
        <v/>
      </c>
      <c r="U1054">
        <f>R1054/T1054-1</f>
        <v/>
      </c>
      <c r="V1054" t="n">
        <v>2.171694106726029</v>
      </c>
      <c r="W1054" s="5">
        <f>R1054-V1054</f>
        <v/>
      </c>
    </row>
    <row r="1055">
      <c r="A1055" s="3" t="n">
        <v>39995</v>
      </c>
      <c r="B1055">
        <f>Prices!B1055</f>
        <v/>
      </c>
      <c r="C1055">
        <f>Prices!C1055</f>
        <v/>
      </c>
      <c r="D1055">
        <f>Prices!D1055</f>
        <v/>
      </c>
      <c r="E1055">
        <f>Prices!E1055</f>
        <v/>
      </c>
      <c r="F1055">
        <f>Prices!F1055</f>
        <v/>
      </c>
      <c r="G1055">
        <f>IF(AND(1053&gt;=16,TEXT(A1055,"yyyy-mm")&lt;&gt;TEXT(A1056,"yyyy-mm")),1,0)</f>
        <v/>
      </c>
      <c r="H1055">
        <f>IF(OR(H1054=1,G1055=1),1,0)</f>
        <v/>
      </c>
      <c r="I1055">
        <f>IF(H1054=0,1,SUMPRODUCT(J1054:N1054,B1055:F1055)+O1054*(1+0.00023125256064071564))</f>
        <v/>
      </c>
      <c r="J1055">
        <f>IF(G1055=1,0.2*R1055/B1055,J1054)</f>
        <v/>
      </c>
      <c r="K1055">
        <f>IF(G1055=1,0.2*R1055/C1055,K1054)</f>
        <v/>
      </c>
      <c r="L1055">
        <f>IF(G1055=1,0.2*R1055/D1055,L1054)</f>
        <v/>
      </c>
      <c r="M1055">
        <f>IF(G1055=1,0.2*R1055/E1055,M1054)</f>
        <v/>
      </c>
      <c r="N1055">
        <f>IF(G1055=1,0.2*R1055/F1055,N1054)</f>
        <v/>
      </c>
      <c r="O1055">
        <f>IF(G1055=1,R1055*(1-1.0),IF(H1054=0,1,O1054*(1+0.00023125256064071564)))</f>
        <v/>
      </c>
      <c r="P1055">
        <f>IF(G1055=1,IF(H1054=0,1,ABS(0.2-J1054*B1055/I1055)+ABS(0.2-K1054*C1055/I1055)+ABS(0.2-L1054*D1055/I1055)+ABS(0.2-M1054*E1055/I1055)+ABS(0.2-N1054*F1055/I1055)),0)</f>
        <v/>
      </c>
      <c r="Q1055">
        <f>P1055*0.0015</f>
        <v/>
      </c>
      <c r="R1055">
        <f>I1055*(1-Q1055)</f>
        <v/>
      </c>
      <c r="S1055">
        <f>R1055/R1054-1</f>
        <v/>
      </c>
      <c r="T1055">
        <f>MAX(T1054,R1055)</f>
        <v/>
      </c>
      <c r="U1055">
        <f>R1055/T1055-1</f>
        <v/>
      </c>
      <c r="V1055" t="n">
        <v>2.193602069637757</v>
      </c>
      <c r="W1055" s="5">
        <f>R1055-V1055</f>
        <v/>
      </c>
    </row>
    <row r="1056">
      <c r="A1056" s="3" t="n">
        <v>39996</v>
      </c>
      <c r="B1056">
        <f>Prices!B1056</f>
        <v/>
      </c>
      <c r="C1056">
        <f>Prices!C1056</f>
        <v/>
      </c>
      <c r="D1056">
        <f>Prices!D1056</f>
        <v/>
      </c>
      <c r="E1056">
        <f>Prices!E1056</f>
        <v/>
      </c>
      <c r="F1056">
        <f>Prices!F1056</f>
        <v/>
      </c>
      <c r="G1056">
        <f>IF(AND(1054&gt;=16,TEXT(A1056,"yyyy-mm")&lt;&gt;TEXT(A1057,"yyyy-mm")),1,0)</f>
        <v/>
      </c>
      <c r="H1056">
        <f>IF(OR(H1055=1,G1056=1),1,0)</f>
        <v/>
      </c>
      <c r="I1056">
        <f>IF(H1055=0,1,SUMPRODUCT(J1055:N1055,B1056:F1056)+O1055*(1+0.00023125256064071564))</f>
        <v/>
      </c>
      <c r="J1056">
        <f>IF(G1056=1,0.2*R1056/B1056,J1055)</f>
        <v/>
      </c>
      <c r="K1056">
        <f>IF(G1056=1,0.2*R1056/C1056,K1055)</f>
        <v/>
      </c>
      <c r="L1056">
        <f>IF(G1056=1,0.2*R1056/D1056,L1055)</f>
        <v/>
      </c>
      <c r="M1056">
        <f>IF(G1056=1,0.2*R1056/E1056,M1055)</f>
        <v/>
      </c>
      <c r="N1056">
        <f>IF(G1056=1,0.2*R1056/F1056,N1055)</f>
        <v/>
      </c>
      <c r="O1056">
        <f>IF(G1056=1,R1056*(1-1.0),IF(H1055=0,1,O1055*(1+0.00023125256064071564)))</f>
        <v/>
      </c>
      <c r="P1056">
        <f>IF(G1056=1,IF(H1055=0,1,ABS(0.2-J1055*B1056/I1056)+ABS(0.2-K1055*C1056/I1056)+ABS(0.2-L1055*D1056/I1056)+ABS(0.2-M1055*E1056/I1056)+ABS(0.2-N1055*F1056/I1056)),0)</f>
        <v/>
      </c>
      <c r="Q1056">
        <f>P1056*0.0015</f>
        <v/>
      </c>
      <c r="R1056">
        <f>I1056*(1-Q1056)</f>
        <v/>
      </c>
      <c r="S1056">
        <f>R1056/R1055-1</f>
        <v/>
      </c>
      <c r="T1056">
        <f>MAX(T1055,R1056)</f>
        <v/>
      </c>
      <c r="U1056">
        <f>R1056/T1056-1</f>
        <v/>
      </c>
      <c r="V1056" t="n">
        <v>2.207917816772498</v>
      </c>
      <c r="W1056" s="5">
        <f>R1056-V1056</f>
        <v/>
      </c>
    </row>
    <row r="1057">
      <c r="A1057" s="3" t="n">
        <v>39997</v>
      </c>
      <c r="B1057">
        <f>Prices!B1057</f>
        <v/>
      </c>
      <c r="C1057">
        <f>Prices!C1057</f>
        <v/>
      </c>
      <c r="D1057">
        <f>Prices!D1057</f>
        <v/>
      </c>
      <c r="E1057">
        <f>Prices!E1057</f>
        <v/>
      </c>
      <c r="F1057">
        <f>Prices!F1057</f>
        <v/>
      </c>
      <c r="G1057">
        <f>IF(AND(1055&gt;=16,TEXT(A1057,"yyyy-mm")&lt;&gt;TEXT(A1058,"yyyy-mm")),1,0)</f>
        <v/>
      </c>
      <c r="H1057">
        <f>IF(OR(H1056=1,G1057=1),1,0)</f>
        <v/>
      </c>
      <c r="I1057">
        <f>IF(H1056=0,1,SUMPRODUCT(J1056:N1056,B1057:F1057)+O1056*(1+0.00023125256064071564))</f>
        <v/>
      </c>
      <c r="J1057">
        <f>IF(G1057=1,0.2*R1057/B1057,J1056)</f>
        <v/>
      </c>
      <c r="K1057">
        <f>IF(G1057=1,0.2*R1057/C1057,K1056)</f>
        <v/>
      </c>
      <c r="L1057">
        <f>IF(G1057=1,0.2*R1057/D1057,L1056)</f>
        <v/>
      </c>
      <c r="M1057">
        <f>IF(G1057=1,0.2*R1057/E1057,M1056)</f>
        <v/>
      </c>
      <c r="N1057">
        <f>IF(G1057=1,0.2*R1057/F1057,N1056)</f>
        <v/>
      </c>
      <c r="O1057">
        <f>IF(G1057=1,R1057*(1-1.0),IF(H1056=0,1,O1056*(1+0.00023125256064071564)))</f>
        <v/>
      </c>
      <c r="P1057">
        <f>IF(G1057=1,IF(H1056=0,1,ABS(0.2-J1056*B1057/I1057)+ABS(0.2-K1056*C1057/I1057)+ABS(0.2-L1056*D1057/I1057)+ABS(0.2-M1056*E1057/I1057)+ABS(0.2-N1056*F1057/I1057)),0)</f>
        <v/>
      </c>
      <c r="Q1057">
        <f>P1057*0.0015</f>
        <v/>
      </c>
      <c r="R1057">
        <f>I1057*(1-Q1057)</f>
        <v/>
      </c>
      <c r="S1057">
        <f>R1057/R1056-1</f>
        <v/>
      </c>
      <c r="T1057">
        <f>MAX(T1056,R1057)</f>
        <v/>
      </c>
      <c r="U1057">
        <f>R1057/T1057-1</f>
        <v/>
      </c>
      <c r="V1057" t="n">
        <v>2.22868699796482</v>
      </c>
      <c r="W1057" s="5">
        <f>R1057-V1057</f>
        <v/>
      </c>
    </row>
    <row r="1058">
      <c r="A1058" s="3" t="n">
        <v>40000</v>
      </c>
      <c r="B1058">
        <f>Prices!B1058</f>
        <v/>
      </c>
      <c r="C1058">
        <f>Prices!C1058</f>
        <v/>
      </c>
      <c r="D1058">
        <f>Prices!D1058</f>
        <v/>
      </c>
      <c r="E1058">
        <f>Prices!E1058</f>
        <v/>
      </c>
      <c r="F1058">
        <f>Prices!F1058</f>
        <v/>
      </c>
      <c r="G1058">
        <f>IF(AND(1056&gt;=16,TEXT(A1058,"yyyy-mm")&lt;&gt;TEXT(A1059,"yyyy-mm")),1,0)</f>
        <v/>
      </c>
      <c r="H1058">
        <f>IF(OR(H1057=1,G1058=1),1,0)</f>
        <v/>
      </c>
      <c r="I1058">
        <f>IF(H1057=0,1,SUMPRODUCT(J1057:N1057,B1058:F1058)+O1057*(1+0.00023125256064071564))</f>
        <v/>
      </c>
      <c r="J1058">
        <f>IF(G1058=1,0.2*R1058/B1058,J1057)</f>
        <v/>
      </c>
      <c r="K1058">
        <f>IF(G1058=1,0.2*R1058/C1058,K1057)</f>
        <v/>
      </c>
      <c r="L1058">
        <f>IF(G1058=1,0.2*R1058/D1058,L1057)</f>
        <v/>
      </c>
      <c r="M1058">
        <f>IF(G1058=1,0.2*R1058/E1058,M1057)</f>
        <v/>
      </c>
      <c r="N1058">
        <f>IF(G1058=1,0.2*R1058/F1058,N1057)</f>
        <v/>
      </c>
      <c r="O1058">
        <f>IF(G1058=1,R1058*(1-1.0),IF(H1057=0,1,O1057*(1+0.00023125256064071564)))</f>
        <v/>
      </c>
      <c r="P1058">
        <f>IF(G1058=1,IF(H1057=0,1,ABS(0.2-J1057*B1058/I1058)+ABS(0.2-K1057*C1058/I1058)+ABS(0.2-L1057*D1058/I1058)+ABS(0.2-M1057*E1058/I1058)+ABS(0.2-N1057*F1058/I1058)),0)</f>
        <v/>
      </c>
      <c r="Q1058">
        <f>P1058*0.0015</f>
        <v/>
      </c>
      <c r="R1058">
        <f>I1058*(1-Q1058)</f>
        <v/>
      </c>
      <c r="S1058">
        <f>R1058/R1057-1</f>
        <v/>
      </c>
      <c r="T1058">
        <f>MAX(T1057,R1058)</f>
        <v/>
      </c>
      <c r="U1058">
        <f>R1058/T1058-1</f>
        <v/>
      </c>
      <c r="V1058" t="n">
        <v>2.128900882634377</v>
      </c>
      <c r="W1058" s="5">
        <f>R1058-V1058</f>
        <v/>
      </c>
    </row>
    <row r="1059">
      <c r="A1059" s="3" t="n">
        <v>40001</v>
      </c>
      <c r="B1059">
        <f>Prices!B1059</f>
        <v/>
      </c>
      <c r="C1059">
        <f>Prices!C1059</f>
        <v/>
      </c>
      <c r="D1059">
        <f>Prices!D1059</f>
        <v/>
      </c>
      <c r="E1059">
        <f>Prices!E1059</f>
        <v/>
      </c>
      <c r="F1059">
        <f>Prices!F1059</f>
        <v/>
      </c>
      <c r="G1059">
        <f>IF(AND(1057&gt;=16,TEXT(A1059,"yyyy-mm")&lt;&gt;TEXT(A1060,"yyyy-mm")),1,0)</f>
        <v/>
      </c>
      <c r="H1059">
        <f>IF(OR(H1058=1,G1059=1),1,0)</f>
        <v/>
      </c>
      <c r="I1059">
        <f>IF(H1058=0,1,SUMPRODUCT(J1058:N1058,B1059:F1059)+O1058*(1+0.00023125256064071564))</f>
        <v/>
      </c>
      <c r="J1059">
        <f>IF(G1059=1,0.2*R1059/B1059,J1058)</f>
        <v/>
      </c>
      <c r="K1059">
        <f>IF(G1059=1,0.2*R1059/C1059,K1058)</f>
        <v/>
      </c>
      <c r="L1059">
        <f>IF(G1059=1,0.2*R1059/D1059,L1058)</f>
        <v/>
      </c>
      <c r="M1059">
        <f>IF(G1059=1,0.2*R1059/E1059,M1058)</f>
        <v/>
      </c>
      <c r="N1059">
        <f>IF(G1059=1,0.2*R1059/F1059,N1058)</f>
        <v/>
      </c>
      <c r="O1059">
        <f>IF(G1059=1,R1059*(1-1.0),IF(H1058=0,1,O1058*(1+0.00023125256064071564)))</f>
        <v/>
      </c>
      <c r="P1059">
        <f>IF(G1059=1,IF(H1058=0,1,ABS(0.2-J1058*B1059/I1059)+ABS(0.2-K1058*C1059/I1059)+ABS(0.2-L1058*D1059/I1059)+ABS(0.2-M1058*E1059/I1059)+ABS(0.2-N1058*F1059/I1059)),0)</f>
        <v/>
      </c>
      <c r="Q1059">
        <f>P1059*0.0015</f>
        <v/>
      </c>
      <c r="R1059">
        <f>I1059*(1-Q1059)</f>
        <v/>
      </c>
      <c r="S1059">
        <f>R1059/R1058-1</f>
        <v/>
      </c>
      <c r="T1059">
        <f>MAX(T1058,R1059)</f>
        <v/>
      </c>
      <c r="U1059">
        <f>R1059/T1059-1</f>
        <v/>
      </c>
      <c r="V1059" t="n">
        <v>2.15276335741801</v>
      </c>
      <c r="W1059" s="5">
        <f>R1059-V1059</f>
        <v/>
      </c>
    </row>
    <row r="1060">
      <c r="A1060" s="3" t="n">
        <v>40002</v>
      </c>
      <c r="B1060">
        <f>Prices!B1060</f>
        <v/>
      </c>
      <c r="C1060">
        <f>Prices!C1060</f>
        <v/>
      </c>
      <c r="D1060">
        <f>Prices!D1060</f>
        <v/>
      </c>
      <c r="E1060">
        <f>Prices!E1060</f>
        <v/>
      </c>
      <c r="F1060">
        <f>Prices!F1060</f>
        <v/>
      </c>
      <c r="G1060">
        <f>IF(AND(1058&gt;=16,TEXT(A1060,"yyyy-mm")&lt;&gt;TEXT(A1061,"yyyy-mm")),1,0)</f>
        <v/>
      </c>
      <c r="H1060">
        <f>IF(OR(H1059=1,G1060=1),1,0)</f>
        <v/>
      </c>
      <c r="I1060">
        <f>IF(H1059=0,1,SUMPRODUCT(J1059:N1059,B1060:F1060)+O1059*(1+0.00023125256064071564))</f>
        <v/>
      </c>
      <c r="J1060">
        <f>IF(G1060=1,0.2*R1060/B1060,J1059)</f>
        <v/>
      </c>
      <c r="K1060">
        <f>IF(G1060=1,0.2*R1060/C1060,K1059)</f>
        <v/>
      </c>
      <c r="L1060">
        <f>IF(G1060=1,0.2*R1060/D1060,L1059)</f>
        <v/>
      </c>
      <c r="M1060">
        <f>IF(G1060=1,0.2*R1060/E1060,M1059)</f>
        <v/>
      </c>
      <c r="N1060">
        <f>IF(G1060=1,0.2*R1060/F1060,N1059)</f>
        <v/>
      </c>
      <c r="O1060">
        <f>IF(G1060=1,R1060*(1-1.0),IF(H1059=0,1,O1059*(1+0.00023125256064071564)))</f>
        <v/>
      </c>
      <c r="P1060">
        <f>IF(G1060=1,IF(H1059=0,1,ABS(0.2-J1059*B1060/I1060)+ABS(0.2-K1059*C1060/I1060)+ABS(0.2-L1059*D1060/I1060)+ABS(0.2-M1059*E1060/I1060)+ABS(0.2-N1059*F1060/I1060)),0)</f>
        <v/>
      </c>
      <c r="Q1060">
        <f>P1060*0.0015</f>
        <v/>
      </c>
      <c r="R1060">
        <f>I1060*(1-Q1060)</f>
        <v/>
      </c>
      <c r="S1060">
        <f>R1060/R1059-1</f>
        <v/>
      </c>
      <c r="T1060">
        <f>MAX(T1059,R1060)</f>
        <v/>
      </c>
      <c r="U1060">
        <f>R1060/T1060-1</f>
        <v/>
      </c>
      <c r="V1060" t="n">
        <v>2.1065106614713</v>
      </c>
      <c r="W1060" s="5">
        <f>R1060-V1060</f>
        <v/>
      </c>
    </row>
    <row r="1061">
      <c r="A1061" s="3" t="n">
        <v>40003</v>
      </c>
      <c r="B1061">
        <f>Prices!B1061</f>
        <v/>
      </c>
      <c r="C1061">
        <f>Prices!C1061</f>
        <v/>
      </c>
      <c r="D1061">
        <f>Prices!D1061</f>
        <v/>
      </c>
      <c r="E1061">
        <f>Prices!E1061</f>
        <v/>
      </c>
      <c r="F1061">
        <f>Prices!F1061</f>
        <v/>
      </c>
      <c r="G1061">
        <f>IF(AND(1059&gt;=16,TEXT(A1061,"yyyy-mm")&lt;&gt;TEXT(A1062,"yyyy-mm")),1,0)</f>
        <v/>
      </c>
      <c r="H1061">
        <f>IF(OR(H1060=1,G1061=1),1,0)</f>
        <v/>
      </c>
      <c r="I1061">
        <f>IF(H1060=0,1,SUMPRODUCT(J1060:N1060,B1061:F1061)+O1060*(1+0.00023125256064071564))</f>
        <v/>
      </c>
      <c r="J1061">
        <f>IF(G1061=1,0.2*R1061/B1061,J1060)</f>
        <v/>
      </c>
      <c r="K1061">
        <f>IF(G1061=1,0.2*R1061/C1061,K1060)</f>
        <v/>
      </c>
      <c r="L1061">
        <f>IF(G1061=1,0.2*R1061/D1061,L1060)</f>
        <v/>
      </c>
      <c r="M1061">
        <f>IF(G1061=1,0.2*R1061/E1061,M1060)</f>
        <v/>
      </c>
      <c r="N1061">
        <f>IF(G1061=1,0.2*R1061/F1061,N1060)</f>
        <v/>
      </c>
      <c r="O1061">
        <f>IF(G1061=1,R1061*(1-1.0),IF(H1060=0,1,O1060*(1+0.00023125256064071564)))</f>
        <v/>
      </c>
      <c r="P1061">
        <f>IF(G1061=1,IF(H1060=0,1,ABS(0.2-J1060*B1061/I1061)+ABS(0.2-K1060*C1061/I1061)+ABS(0.2-L1060*D1061/I1061)+ABS(0.2-M1060*E1061/I1061)+ABS(0.2-N1060*F1061/I1061)),0)</f>
        <v/>
      </c>
      <c r="Q1061">
        <f>P1061*0.0015</f>
        <v/>
      </c>
      <c r="R1061">
        <f>I1061*(1-Q1061)</f>
        <v/>
      </c>
      <c r="S1061">
        <f>R1061/R1060-1</f>
        <v/>
      </c>
      <c r="T1061">
        <f>MAX(T1060,R1061)</f>
        <v/>
      </c>
      <c r="U1061">
        <f>R1061/T1061-1</f>
        <v/>
      </c>
      <c r="V1061" t="n">
        <v>2.120444847973721</v>
      </c>
      <c r="W1061" s="5">
        <f>R1061-V1061</f>
        <v/>
      </c>
    </row>
    <row r="1062">
      <c r="A1062" s="3" t="n">
        <v>40004</v>
      </c>
      <c r="B1062">
        <f>Prices!B1062</f>
        <v/>
      </c>
      <c r="C1062">
        <f>Prices!C1062</f>
        <v/>
      </c>
      <c r="D1062">
        <f>Prices!D1062</f>
        <v/>
      </c>
      <c r="E1062">
        <f>Prices!E1062</f>
        <v/>
      </c>
      <c r="F1062">
        <f>Prices!F1062</f>
        <v/>
      </c>
      <c r="G1062">
        <f>IF(AND(1060&gt;=16,TEXT(A1062,"yyyy-mm")&lt;&gt;TEXT(A1063,"yyyy-mm")),1,0)</f>
        <v/>
      </c>
      <c r="H1062">
        <f>IF(OR(H1061=1,G1062=1),1,0)</f>
        <v/>
      </c>
      <c r="I1062">
        <f>IF(H1061=0,1,SUMPRODUCT(J1061:N1061,B1062:F1062)+O1061*(1+0.00023125256064071564))</f>
        <v/>
      </c>
      <c r="J1062">
        <f>IF(G1062=1,0.2*R1062/B1062,J1061)</f>
        <v/>
      </c>
      <c r="K1062">
        <f>IF(G1062=1,0.2*R1062/C1062,K1061)</f>
        <v/>
      </c>
      <c r="L1062">
        <f>IF(G1062=1,0.2*R1062/D1062,L1061)</f>
        <v/>
      </c>
      <c r="M1062">
        <f>IF(G1062=1,0.2*R1062/E1062,M1061)</f>
        <v/>
      </c>
      <c r="N1062">
        <f>IF(G1062=1,0.2*R1062/F1062,N1061)</f>
        <v/>
      </c>
      <c r="O1062">
        <f>IF(G1062=1,R1062*(1-1.0),IF(H1061=0,1,O1061*(1+0.00023125256064071564)))</f>
        <v/>
      </c>
      <c r="P1062">
        <f>IF(G1062=1,IF(H1061=0,1,ABS(0.2-J1061*B1062/I1062)+ABS(0.2-K1061*C1062/I1062)+ABS(0.2-L1061*D1062/I1062)+ABS(0.2-M1061*E1062/I1062)+ABS(0.2-N1061*F1062/I1062)),0)</f>
        <v/>
      </c>
      <c r="Q1062">
        <f>P1062*0.0015</f>
        <v/>
      </c>
      <c r="R1062">
        <f>I1062*(1-Q1062)</f>
        <v/>
      </c>
      <c r="S1062">
        <f>R1062/R1061-1</f>
        <v/>
      </c>
      <c r="T1062">
        <f>MAX(T1061,R1062)</f>
        <v/>
      </c>
      <c r="U1062">
        <f>R1062/T1062-1</f>
        <v/>
      </c>
      <c r="V1062" t="n">
        <v>2.089458061481898</v>
      </c>
      <c r="W1062" s="5">
        <f>R1062-V1062</f>
        <v/>
      </c>
    </row>
    <row r="1063">
      <c r="A1063" s="3" t="n">
        <v>40007</v>
      </c>
      <c r="B1063">
        <f>Prices!B1063</f>
        <v/>
      </c>
      <c r="C1063">
        <f>Prices!C1063</f>
        <v/>
      </c>
      <c r="D1063">
        <f>Prices!D1063</f>
        <v/>
      </c>
      <c r="E1063">
        <f>Prices!E1063</f>
        <v/>
      </c>
      <c r="F1063">
        <f>Prices!F1063</f>
        <v/>
      </c>
      <c r="G1063">
        <f>IF(AND(1061&gt;=16,TEXT(A1063,"yyyy-mm")&lt;&gt;TEXT(A1064,"yyyy-mm")),1,0)</f>
        <v/>
      </c>
      <c r="H1063">
        <f>IF(OR(H1062=1,G1063=1),1,0)</f>
        <v/>
      </c>
      <c r="I1063">
        <f>IF(H1062=0,1,SUMPRODUCT(J1062:N1062,B1063:F1063)+O1062*(1+0.00023125256064071564))</f>
        <v/>
      </c>
      <c r="J1063">
        <f>IF(G1063=1,0.2*R1063/B1063,J1062)</f>
        <v/>
      </c>
      <c r="K1063">
        <f>IF(G1063=1,0.2*R1063/C1063,K1062)</f>
        <v/>
      </c>
      <c r="L1063">
        <f>IF(G1063=1,0.2*R1063/D1063,L1062)</f>
        <v/>
      </c>
      <c r="M1063">
        <f>IF(G1063=1,0.2*R1063/E1063,M1062)</f>
        <v/>
      </c>
      <c r="N1063">
        <f>IF(G1063=1,0.2*R1063/F1063,N1062)</f>
        <v/>
      </c>
      <c r="O1063">
        <f>IF(G1063=1,R1063*(1-1.0),IF(H1062=0,1,O1062*(1+0.00023125256064071564)))</f>
        <v/>
      </c>
      <c r="P1063">
        <f>IF(G1063=1,IF(H1062=0,1,ABS(0.2-J1062*B1063/I1063)+ABS(0.2-K1062*C1063/I1063)+ABS(0.2-L1062*D1063/I1063)+ABS(0.2-M1062*E1063/I1063)+ABS(0.2-N1062*F1063/I1063)),0)</f>
        <v/>
      </c>
      <c r="Q1063">
        <f>P1063*0.0015</f>
        <v/>
      </c>
      <c r="R1063">
        <f>I1063*(1-Q1063)</f>
        <v/>
      </c>
      <c r="S1063">
        <f>R1063/R1062-1</f>
        <v/>
      </c>
      <c r="T1063">
        <f>MAX(T1062,R1063)</f>
        <v/>
      </c>
      <c r="U1063">
        <f>R1063/T1063-1</f>
        <v/>
      </c>
      <c r="V1063" t="n">
        <v>2.048136821165002</v>
      </c>
      <c r="W1063" s="5">
        <f>R1063-V1063</f>
        <v/>
      </c>
    </row>
    <row r="1064">
      <c r="A1064" s="3" t="n">
        <v>40008</v>
      </c>
      <c r="B1064">
        <f>Prices!B1064</f>
        <v/>
      </c>
      <c r="C1064">
        <f>Prices!C1064</f>
        <v/>
      </c>
      <c r="D1064">
        <f>Prices!D1064</f>
        <v/>
      </c>
      <c r="E1064">
        <f>Prices!E1064</f>
        <v/>
      </c>
      <c r="F1064">
        <f>Prices!F1064</f>
        <v/>
      </c>
      <c r="G1064">
        <f>IF(AND(1062&gt;=16,TEXT(A1064,"yyyy-mm")&lt;&gt;TEXT(A1065,"yyyy-mm")),1,0)</f>
        <v/>
      </c>
      <c r="H1064">
        <f>IF(OR(H1063=1,G1064=1),1,0)</f>
        <v/>
      </c>
      <c r="I1064">
        <f>IF(H1063=0,1,SUMPRODUCT(J1063:N1063,B1064:F1064)+O1063*(1+0.00023125256064071564))</f>
        <v/>
      </c>
      <c r="J1064">
        <f>IF(G1064=1,0.2*R1064/B1064,J1063)</f>
        <v/>
      </c>
      <c r="K1064">
        <f>IF(G1064=1,0.2*R1064/C1064,K1063)</f>
        <v/>
      </c>
      <c r="L1064">
        <f>IF(G1064=1,0.2*R1064/D1064,L1063)</f>
        <v/>
      </c>
      <c r="M1064">
        <f>IF(G1064=1,0.2*R1064/E1064,M1063)</f>
        <v/>
      </c>
      <c r="N1064">
        <f>IF(G1064=1,0.2*R1064/F1064,N1063)</f>
        <v/>
      </c>
      <c r="O1064">
        <f>IF(G1064=1,R1064*(1-1.0),IF(H1063=0,1,O1063*(1+0.00023125256064071564)))</f>
        <v/>
      </c>
      <c r="P1064">
        <f>IF(G1064=1,IF(H1063=0,1,ABS(0.2-J1063*B1064/I1064)+ABS(0.2-K1063*C1064/I1064)+ABS(0.2-L1063*D1064/I1064)+ABS(0.2-M1063*E1064/I1064)+ABS(0.2-N1063*F1064/I1064)),0)</f>
        <v/>
      </c>
      <c r="Q1064">
        <f>P1064*0.0015</f>
        <v/>
      </c>
      <c r="R1064">
        <f>I1064*(1-Q1064)</f>
        <v/>
      </c>
      <c r="S1064">
        <f>R1064/R1063-1</f>
        <v/>
      </c>
      <c r="T1064">
        <f>MAX(T1063,R1064)</f>
        <v/>
      </c>
      <c r="U1064">
        <f>R1064/T1064-1</f>
        <v/>
      </c>
      <c r="V1064" t="n">
        <v>2.122131500939217</v>
      </c>
      <c r="W1064" s="5">
        <f>R1064-V1064</f>
        <v/>
      </c>
    </row>
    <row r="1065">
      <c r="A1065" s="3" t="n">
        <v>40009</v>
      </c>
      <c r="B1065">
        <f>Prices!B1065</f>
        <v/>
      </c>
      <c r="C1065">
        <f>Prices!C1065</f>
        <v/>
      </c>
      <c r="D1065">
        <f>Prices!D1065</f>
        <v/>
      </c>
      <c r="E1065">
        <f>Prices!E1065</f>
        <v/>
      </c>
      <c r="F1065">
        <f>Prices!F1065</f>
        <v/>
      </c>
      <c r="G1065">
        <f>IF(AND(1063&gt;=16,TEXT(A1065,"yyyy-mm")&lt;&gt;TEXT(A1066,"yyyy-mm")),1,0)</f>
        <v/>
      </c>
      <c r="H1065">
        <f>IF(OR(H1064=1,G1065=1),1,0)</f>
        <v/>
      </c>
      <c r="I1065">
        <f>IF(H1064=0,1,SUMPRODUCT(J1064:N1064,B1065:F1065)+O1064*(1+0.00023125256064071564))</f>
        <v/>
      </c>
      <c r="J1065">
        <f>IF(G1065=1,0.2*R1065/B1065,J1064)</f>
        <v/>
      </c>
      <c r="K1065">
        <f>IF(G1065=1,0.2*R1065/C1065,K1064)</f>
        <v/>
      </c>
      <c r="L1065">
        <f>IF(G1065=1,0.2*R1065/D1065,L1064)</f>
        <v/>
      </c>
      <c r="M1065">
        <f>IF(G1065=1,0.2*R1065/E1065,M1064)</f>
        <v/>
      </c>
      <c r="N1065">
        <f>IF(G1065=1,0.2*R1065/F1065,N1064)</f>
        <v/>
      </c>
      <c r="O1065">
        <f>IF(G1065=1,R1065*(1-1.0),IF(H1064=0,1,O1064*(1+0.00023125256064071564)))</f>
        <v/>
      </c>
      <c r="P1065">
        <f>IF(G1065=1,IF(H1064=0,1,ABS(0.2-J1064*B1065/I1065)+ABS(0.2-K1064*C1065/I1065)+ABS(0.2-L1064*D1065/I1065)+ABS(0.2-M1064*E1065/I1065)+ABS(0.2-N1064*F1065/I1065)),0)</f>
        <v/>
      </c>
      <c r="Q1065">
        <f>P1065*0.0015</f>
        <v/>
      </c>
      <c r="R1065">
        <f>I1065*(1-Q1065)</f>
        <v/>
      </c>
      <c r="S1065">
        <f>R1065/R1064-1</f>
        <v/>
      </c>
      <c r="T1065">
        <f>MAX(T1064,R1065)</f>
        <v/>
      </c>
      <c r="U1065">
        <f>R1065/T1065-1</f>
        <v/>
      </c>
      <c r="V1065" t="n">
        <v>2.194902876177527</v>
      </c>
      <c r="W1065" s="5">
        <f>R1065-V1065</f>
        <v/>
      </c>
    </row>
    <row r="1066">
      <c r="A1066" s="3" t="n">
        <v>40010</v>
      </c>
      <c r="B1066">
        <f>Prices!B1066</f>
        <v/>
      </c>
      <c r="C1066">
        <f>Prices!C1066</f>
        <v/>
      </c>
      <c r="D1066">
        <f>Prices!D1066</f>
        <v/>
      </c>
      <c r="E1066">
        <f>Prices!E1066</f>
        <v/>
      </c>
      <c r="F1066">
        <f>Prices!F1066</f>
        <v/>
      </c>
      <c r="G1066">
        <f>IF(AND(1064&gt;=16,TEXT(A1066,"yyyy-mm")&lt;&gt;TEXT(A1067,"yyyy-mm")),1,0)</f>
        <v/>
      </c>
      <c r="H1066">
        <f>IF(OR(H1065=1,G1066=1),1,0)</f>
        <v/>
      </c>
      <c r="I1066">
        <f>IF(H1065=0,1,SUMPRODUCT(J1065:N1065,B1066:F1066)+O1065*(1+0.00023125256064071564))</f>
        <v/>
      </c>
      <c r="J1066">
        <f>IF(G1066=1,0.2*R1066/B1066,J1065)</f>
        <v/>
      </c>
      <c r="K1066">
        <f>IF(G1066=1,0.2*R1066/C1066,K1065)</f>
        <v/>
      </c>
      <c r="L1066">
        <f>IF(G1066=1,0.2*R1066/D1066,L1065)</f>
        <v/>
      </c>
      <c r="M1066">
        <f>IF(G1066=1,0.2*R1066/E1066,M1065)</f>
        <v/>
      </c>
      <c r="N1066">
        <f>IF(G1066=1,0.2*R1066/F1066,N1065)</f>
        <v/>
      </c>
      <c r="O1066">
        <f>IF(G1066=1,R1066*(1-1.0),IF(H1065=0,1,O1065*(1+0.00023125256064071564)))</f>
        <v/>
      </c>
      <c r="P1066">
        <f>IF(G1066=1,IF(H1065=0,1,ABS(0.2-J1065*B1066/I1066)+ABS(0.2-K1065*C1066/I1066)+ABS(0.2-L1065*D1066/I1066)+ABS(0.2-M1065*E1066/I1066)+ABS(0.2-N1065*F1066/I1066)),0)</f>
        <v/>
      </c>
      <c r="Q1066">
        <f>P1066*0.0015</f>
        <v/>
      </c>
      <c r="R1066">
        <f>I1066*(1-Q1066)</f>
        <v/>
      </c>
      <c r="S1066">
        <f>R1066/R1065-1</f>
        <v/>
      </c>
      <c r="T1066">
        <f>MAX(T1065,R1066)</f>
        <v/>
      </c>
      <c r="U1066">
        <f>R1066/T1066-1</f>
        <v/>
      </c>
      <c r="V1066" t="n">
        <v>2.195214215198743</v>
      </c>
      <c r="W1066" s="5">
        <f>R1066-V1066</f>
        <v/>
      </c>
    </row>
    <row r="1067">
      <c r="A1067" s="3" t="n">
        <v>40011</v>
      </c>
      <c r="B1067">
        <f>Prices!B1067</f>
        <v/>
      </c>
      <c r="C1067">
        <f>Prices!C1067</f>
        <v/>
      </c>
      <c r="D1067">
        <f>Prices!D1067</f>
        <v/>
      </c>
      <c r="E1067">
        <f>Prices!E1067</f>
        <v/>
      </c>
      <c r="F1067">
        <f>Prices!F1067</f>
        <v/>
      </c>
      <c r="G1067">
        <f>IF(AND(1065&gt;=16,TEXT(A1067,"yyyy-mm")&lt;&gt;TEXT(A1068,"yyyy-mm")),1,0)</f>
        <v/>
      </c>
      <c r="H1067">
        <f>IF(OR(H1066=1,G1067=1),1,0)</f>
        <v/>
      </c>
      <c r="I1067">
        <f>IF(H1066=0,1,SUMPRODUCT(J1066:N1066,B1067:F1067)+O1066*(1+0.00023125256064071564))</f>
        <v/>
      </c>
      <c r="J1067">
        <f>IF(G1067=1,0.2*R1067/B1067,J1066)</f>
        <v/>
      </c>
      <c r="K1067">
        <f>IF(G1067=1,0.2*R1067/C1067,K1066)</f>
        <v/>
      </c>
      <c r="L1067">
        <f>IF(G1067=1,0.2*R1067/D1067,L1066)</f>
        <v/>
      </c>
      <c r="M1067">
        <f>IF(G1067=1,0.2*R1067/E1067,M1066)</f>
        <v/>
      </c>
      <c r="N1067">
        <f>IF(G1067=1,0.2*R1067/F1067,N1066)</f>
        <v/>
      </c>
      <c r="O1067">
        <f>IF(G1067=1,R1067*(1-1.0),IF(H1066=0,1,O1066*(1+0.00023125256064071564)))</f>
        <v/>
      </c>
      <c r="P1067">
        <f>IF(G1067=1,IF(H1066=0,1,ABS(0.2-J1066*B1067/I1067)+ABS(0.2-K1066*C1067/I1067)+ABS(0.2-L1066*D1067/I1067)+ABS(0.2-M1066*E1067/I1067)+ABS(0.2-N1066*F1067/I1067)),0)</f>
        <v/>
      </c>
      <c r="Q1067">
        <f>P1067*0.0015</f>
        <v/>
      </c>
      <c r="R1067">
        <f>I1067*(1-Q1067)</f>
        <v/>
      </c>
      <c r="S1067">
        <f>R1067/R1066-1</f>
        <v/>
      </c>
      <c r="T1067">
        <f>MAX(T1066,R1067)</f>
        <v/>
      </c>
      <c r="U1067">
        <f>R1067/T1067-1</f>
        <v/>
      </c>
      <c r="V1067" t="n">
        <v>2.247515377062726</v>
      </c>
      <c r="W1067" s="5">
        <f>R1067-V1067</f>
        <v/>
      </c>
    </row>
    <row r="1068">
      <c r="A1068" s="3" t="n">
        <v>40014</v>
      </c>
      <c r="B1068">
        <f>Prices!B1068</f>
        <v/>
      </c>
      <c r="C1068">
        <f>Prices!C1068</f>
        <v/>
      </c>
      <c r="D1068">
        <f>Prices!D1068</f>
        <v/>
      </c>
      <c r="E1068">
        <f>Prices!E1068</f>
        <v/>
      </c>
      <c r="F1068">
        <f>Prices!F1068</f>
        <v/>
      </c>
      <c r="G1068">
        <f>IF(AND(1066&gt;=16,TEXT(A1068,"yyyy-mm")&lt;&gt;TEXT(A1069,"yyyy-mm")),1,0)</f>
        <v/>
      </c>
      <c r="H1068">
        <f>IF(OR(H1067=1,G1068=1),1,0)</f>
        <v/>
      </c>
      <c r="I1068">
        <f>IF(H1067=0,1,SUMPRODUCT(J1067:N1067,B1068:F1068)+O1067*(1+0.00023125256064071564))</f>
        <v/>
      </c>
      <c r="J1068">
        <f>IF(G1068=1,0.2*R1068/B1068,J1067)</f>
        <v/>
      </c>
      <c r="K1068">
        <f>IF(G1068=1,0.2*R1068/C1068,K1067)</f>
        <v/>
      </c>
      <c r="L1068">
        <f>IF(G1068=1,0.2*R1068/D1068,L1067)</f>
        <v/>
      </c>
      <c r="M1068">
        <f>IF(G1068=1,0.2*R1068/E1068,M1067)</f>
        <v/>
      </c>
      <c r="N1068">
        <f>IF(G1068=1,0.2*R1068/F1068,N1067)</f>
        <v/>
      </c>
      <c r="O1068">
        <f>IF(G1068=1,R1068*(1-1.0),IF(H1067=0,1,O1067*(1+0.00023125256064071564)))</f>
        <v/>
      </c>
      <c r="P1068">
        <f>IF(G1068=1,IF(H1067=0,1,ABS(0.2-J1067*B1068/I1068)+ABS(0.2-K1067*C1068/I1068)+ABS(0.2-L1067*D1068/I1068)+ABS(0.2-M1067*E1068/I1068)+ABS(0.2-N1067*F1068/I1068)),0)</f>
        <v/>
      </c>
      <c r="Q1068">
        <f>P1068*0.0015</f>
        <v/>
      </c>
      <c r="R1068">
        <f>I1068*(1-Q1068)</f>
        <v/>
      </c>
      <c r="S1068">
        <f>R1068/R1067-1</f>
        <v/>
      </c>
      <c r="T1068">
        <f>MAX(T1067,R1068)</f>
        <v/>
      </c>
      <c r="U1068">
        <f>R1068/T1068-1</f>
        <v/>
      </c>
      <c r="V1068" t="n">
        <v>2.30284417998195</v>
      </c>
      <c r="W1068" s="5">
        <f>R1068-V1068</f>
        <v/>
      </c>
    </row>
    <row r="1069">
      <c r="A1069" s="3" t="n">
        <v>40015</v>
      </c>
      <c r="B1069">
        <f>Prices!B1069</f>
        <v/>
      </c>
      <c r="C1069">
        <f>Prices!C1069</f>
        <v/>
      </c>
      <c r="D1069">
        <f>Prices!D1069</f>
        <v/>
      </c>
      <c r="E1069">
        <f>Prices!E1069</f>
        <v/>
      </c>
      <c r="F1069">
        <f>Prices!F1069</f>
        <v/>
      </c>
      <c r="G1069">
        <f>IF(AND(1067&gt;=16,TEXT(A1069,"yyyy-mm")&lt;&gt;TEXT(A1070,"yyyy-mm")),1,0)</f>
        <v/>
      </c>
      <c r="H1069">
        <f>IF(OR(H1068=1,G1069=1),1,0)</f>
        <v/>
      </c>
      <c r="I1069">
        <f>IF(H1068=0,1,SUMPRODUCT(J1068:N1068,B1069:F1069)+O1068*(1+0.00023125256064071564))</f>
        <v/>
      </c>
      <c r="J1069">
        <f>IF(G1069=1,0.2*R1069/B1069,J1068)</f>
        <v/>
      </c>
      <c r="K1069">
        <f>IF(G1069=1,0.2*R1069/C1069,K1068)</f>
        <v/>
      </c>
      <c r="L1069">
        <f>IF(G1069=1,0.2*R1069/D1069,L1068)</f>
        <v/>
      </c>
      <c r="M1069">
        <f>IF(G1069=1,0.2*R1069/E1069,M1068)</f>
        <v/>
      </c>
      <c r="N1069">
        <f>IF(G1069=1,0.2*R1069/F1069,N1068)</f>
        <v/>
      </c>
      <c r="O1069">
        <f>IF(G1069=1,R1069*(1-1.0),IF(H1068=0,1,O1068*(1+0.00023125256064071564)))</f>
        <v/>
      </c>
      <c r="P1069">
        <f>IF(G1069=1,IF(H1068=0,1,ABS(0.2-J1068*B1069/I1069)+ABS(0.2-K1068*C1069/I1069)+ABS(0.2-L1068*D1069/I1069)+ABS(0.2-M1068*E1069/I1069)+ABS(0.2-N1068*F1069/I1069)),0)</f>
        <v/>
      </c>
      <c r="Q1069">
        <f>P1069*0.0015</f>
        <v/>
      </c>
      <c r="R1069">
        <f>I1069*(1-Q1069)</f>
        <v/>
      </c>
      <c r="S1069">
        <f>R1069/R1068-1</f>
        <v/>
      </c>
      <c r="T1069">
        <f>MAX(T1068,R1069)</f>
        <v/>
      </c>
      <c r="U1069">
        <f>R1069/T1069-1</f>
        <v/>
      </c>
      <c r="V1069" t="n">
        <v>2.302306297652755</v>
      </c>
      <c r="W1069" s="5">
        <f>R1069-V1069</f>
        <v/>
      </c>
    </row>
    <row r="1070">
      <c r="A1070" s="3" t="n">
        <v>40016</v>
      </c>
      <c r="B1070">
        <f>Prices!B1070</f>
        <v/>
      </c>
      <c r="C1070">
        <f>Prices!C1070</f>
        <v/>
      </c>
      <c r="D1070">
        <f>Prices!D1070</f>
        <v/>
      </c>
      <c r="E1070">
        <f>Prices!E1070</f>
        <v/>
      </c>
      <c r="F1070">
        <f>Prices!F1070</f>
        <v/>
      </c>
      <c r="G1070">
        <f>IF(AND(1068&gt;=16,TEXT(A1070,"yyyy-mm")&lt;&gt;TEXT(A1071,"yyyy-mm")),1,0)</f>
        <v/>
      </c>
      <c r="H1070">
        <f>IF(OR(H1069=1,G1070=1),1,0)</f>
        <v/>
      </c>
      <c r="I1070">
        <f>IF(H1069=0,1,SUMPRODUCT(J1069:N1069,B1070:F1070)+O1069*(1+0.00023125256064071564))</f>
        <v/>
      </c>
      <c r="J1070">
        <f>IF(G1070=1,0.2*R1070/B1070,J1069)</f>
        <v/>
      </c>
      <c r="K1070">
        <f>IF(G1070=1,0.2*R1070/C1070,K1069)</f>
        <v/>
      </c>
      <c r="L1070">
        <f>IF(G1070=1,0.2*R1070/D1070,L1069)</f>
        <v/>
      </c>
      <c r="M1070">
        <f>IF(G1070=1,0.2*R1070/E1070,M1069)</f>
        <v/>
      </c>
      <c r="N1070">
        <f>IF(G1070=1,0.2*R1070/F1070,N1069)</f>
        <v/>
      </c>
      <c r="O1070">
        <f>IF(G1070=1,R1070*(1-1.0),IF(H1069=0,1,O1069*(1+0.00023125256064071564)))</f>
        <v/>
      </c>
      <c r="P1070">
        <f>IF(G1070=1,IF(H1069=0,1,ABS(0.2-J1069*B1070/I1070)+ABS(0.2-K1069*C1070/I1070)+ABS(0.2-L1069*D1070/I1070)+ABS(0.2-M1069*E1070/I1070)+ABS(0.2-N1069*F1070/I1070)),0)</f>
        <v/>
      </c>
      <c r="Q1070">
        <f>P1070*0.0015</f>
        <v/>
      </c>
      <c r="R1070">
        <f>I1070*(1-Q1070)</f>
        <v/>
      </c>
      <c r="S1070">
        <f>R1070/R1069-1</f>
        <v/>
      </c>
      <c r="T1070">
        <f>MAX(T1069,R1070)</f>
        <v/>
      </c>
      <c r="U1070">
        <f>R1070/T1070-1</f>
        <v/>
      </c>
      <c r="V1070" t="n">
        <v>2.275829214815536</v>
      </c>
      <c r="W1070" s="5">
        <f>R1070-V1070</f>
        <v/>
      </c>
    </row>
    <row r="1071">
      <c r="A1071" s="3" t="n">
        <v>40017</v>
      </c>
      <c r="B1071">
        <f>Prices!B1071</f>
        <v/>
      </c>
      <c r="C1071">
        <f>Prices!C1071</f>
        <v/>
      </c>
      <c r="D1071">
        <f>Prices!D1071</f>
        <v/>
      </c>
      <c r="E1071">
        <f>Prices!E1071</f>
        <v/>
      </c>
      <c r="F1071">
        <f>Prices!F1071</f>
        <v/>
      </c>
      <c r="G1071">
        <f>IF(AND(1069&gt;=16,TEXT(A1071,"yyyy-mm")&lt;&gt;TEXT(A1072,"yyyy-mm")),1,0)</f>
        <v/>
      </c>
      <c r="H1071">
        <f>IF(OR(H1070=1,G1071=1),1,0)</f>
        <v/>
      </c>
      <c r="I1071">
        <f>IF(H1070=0,1,SUMPRODUCT(J1070:N1070,B1071:F1071)+O1070*(1+0.00023125256064071564))</f>
        <v/>
      </c>
      <c r="J1071">
        <f>IF(G1071=1,0.2*R1071/B1071,J1070)</f>
        <v/>
      </c>
      <c r="K1071">
        <f>IF(G1071=1,0.2*R1071/C1071,K1070)</f>
        <v/>
      </c>
      <c r="L1071">
        <f>IF(G1071=1,0.2*R1071/D1071,L1070)</f>
        <v/>
      </c>
      <c r="M1071">
        <f>IF(G1071=1,0.2*R1071/E1071,M1070)</f>
        <v/>
      </c>
      <c r="N1071">
        <f>IF(G1071=1,0.2*R1071/F1071,N1070)</f>
        <v/>
      </c>
      <c r="O1071">
        <f>IF(G1071=1,R1071*(1-1.0),IF(H1070=0,1,O1070*(1+0.00023125256064071564)))</f>
        <v/>
      </c>
      <c r="P1071">
        <f>IF(G1071=1,IF(H1070=0,1,ABS(0.2-J1070*B1071/I1071)+ABS(0.2-K1070*C1071/I1071)+ABS(0.2-L1070*D1071/I1071)+ABS(0.2-M1070*E1071/I1071)+ABS(0.2-N1070*F1071/I1071)),0)</f>
        <v/>
      </c>
      <c r="Q1071">
        <f>P1071*0.0015</f>
        <v/>
      </c>
      <c r="R1071">
        <f>I1071*(1-Q1071)</f>
        <v/>
      </c>
      <c r="S1071">
        <f>R1071/R1070-1</f>
        <v/>
      </c>
      <c r="T1071">
        <f>MAX(T1070,R1071)</f>
        <v/>
      </c>
      <c r="U1071">
        <f>R1071/T1071-1</f>
        <v/>
      </c>
      <c r="V1071" t="n">
        <v>2.330057349558736</v>
      </c>
      <c r="W1071" s="5">
        <f>R1071-V1071</f>
        <v/>
      </c>
    </row>
    <row r="1072">
      <c r="A1072" s="3" t="n">
        <v>40018</v>
      </c>
      <c r="B1072">
        <f>Prices!B1072</f>
        <v/>
      </c>
      <c r="C1072">
        <f>Prices!C1072</f>
        <v/>
      </c>
      <c r="D1072">
        <f>Prices!D1072</f>
        <v/>
      </c>
      <c r="E1072">
        <f>Prices!E1072</f>
        <v/>
      </c>
      <c r="F1072">
        <f>Prices!F1072</f>
        <v/>
      </c>
      <c r="G1072">
        <f>IF(AND(1070&gt;=16,TEXT(A1072,"yyyy-mm")&lt;&gt;TEXT(A1073,"yyyy-mm")),1,0)</f>
        <v/>
      </c>
      <c r="H1072">
        <f>IF(OR(H1071=1,G1072=1),1,0)</f>
        <v/>
      </c>
      <c r="I1072">
        <f>IF(H1071=0,1,SUMPRODUCT(J1071:N1071,B1072:F1072)+O1071*(1+0.00023125256064071564))</f>
        <v/>
      </c>
      <c r="J1072">
        <f>IF(G1072=1,0.2*R1072/B1072,J1071)</f>
        <v/>
      </c>
      <c r="K1072">
        <f>IF(G1072=1,0.2*R1072/C1072,K1071)</f>
        <v/>
      </c>
      <c r="L1072">
        <f>IF(G1072=1,0.2*R1072/D1072,L1071)</f>
        <v/>
      </c>
      <c r="M1072">
        <f>IF(G1072=1,0.2*R1072/E1072,M1071)</f>
        <v/>
      </c>
      <c r="N1072">
        <f>IF(G1072=1,0.2*R1072/F1072,N1071)</f>
        <v/>
      </c>
      <c r="O1072">
        <f>IF(G1072=1,R1072*(1-1.0),IF(H1071=0,1,O1071*(1+0.00023125256064071564)))</f>
        <v/>
      </c>
      <c r="P1072">
        <f>IF(G1072=1,IF(H1071=0,1,ABS(0.2-J1071*B1072/I1072)+ABS(0.2-K1071*C1072/I1072)+ABS(0.2-L1071*D1072/I1072)+ABS(0.2-M1071*E1072/I1072)+ABS(0.2-N1071*F1072/I1072)),0)</f>
        <v/>
      </c>
      <c r="Q1072">
        <f>P1072*0.0015</f>
        <v/>
      </c>
      <c r="R1072">
        <f>I1072*(1-Q1072)</f>
        <v/>
      </c>
      <c r="S1072">
        <f>R1072/R1071-1</f>
        <v/>
      </c>
      <c r="T1072">
        <f>MAX(T1071,R1072)</f>
        <v/>
      </c>
      <c r="U1072">
        <f>R1072/T1072-1</f>
        <v/>
      </c>
      <c r="V1072" t="n">
        <v>2.361283599929212</v>
      </c>
      <c r="W1072" s="5">
        <f>R1072-V1072</f>
        <v/>
      </c>
    </row>
    <row r="1073">
      <c r="A1073" s="3" t="n">
        <v>40021</v>
      </c>
      <c r="B1073">
        <f>Prices!B1073</f>
        <v/>
      </c>
      <c r="C1073">
        <f>Prices!C1073</f>
        <v/>
      </c>
      <c r="D1073">
        <f>Prices!D1073</f>
        <v/>
      </c>
      <c r="E1073">
        <f>Prices!E1073</f>
        <v/>
      </c>
      <c r="F1073">
        <f>Prices!F1073</f>
        <v/>
      </c>
      <c r="G1073">
        <f>IF(AND(1071&gt;=16,TEXT(A1073,"yyyy-mm")&lt;&gt;TEXT(A1074,"yyyy-mm")),1,0)</f>
        <v/>
      </c>
      <c r="H1073">
        <f>IF(OR(H1072=1,G1073=1),1,0)</f>
        <v/>
      </c>
      <c r="I1073">
        <f>IF(H1072=0,1,SUMPRODUCT(J1072:N1072,B1073:F1073)+O1072*(1+0.00023125256064071564))</f>
        <v/>
      </c>
      <c r="J1073">
        <f>IF(G1073=1,0.2*R1073/B1073,J1072)</f>
        <v/>
      </c>
      <c r="K1073">
        <f>IF(G1073=1,0.2*R1073/C1073,K1072)</f>
        <v/>
      </c>
      <c r="L1073">
        <f>IF(G1073=1,0.2*R1073/D1073,L1072)</f>
        <v/>
      </c>
      <c r="M1073">
        <f>IF(G1073=1,0.2*R1073/E1073,M1072)</f>
        <v/>
      </c>
      <c r="N1073">
        <f>IF(G1073=1,0.2*R1073/F1073,N1072)</f>
        <v/>
      </c>
      <c r="O1073">
        <f>IF(G1073=1,R1073*(1-1.0),IF(H1072=0,1,O1072*(1+0.00023125256064071564)))</f>
        <v/>
      </c>
      <c r="P1073">
        <f>IF(G1073=1,IF(H1072=0,1,ABS(0.2-J1072*B1073/I1073)+ABS(0.2-K1072*C1073/I1073)+ABS(0.2-L1072*D1073/I1073)+ABS(0.2-M1072*E1073/I1073)+ABS(0.2-N1072*F1073/I1073)),0)</f>
        <v/>
      </c>
      <c r="Q1073">
        <f>P1073*0.0015</f>
        <v/>
      </c>
      <c r="R1073">
        <f>I1073*(1-Q1073)</f>
        <v/>
      </c>
      <c r="S1073">
        <f>R1073/R1072-1</f>
        <v/>
      </c>
      <c r="T1073">
        <f>MAX(T1072,R1073)</f>
        <v/>
      </c>
      <c r="U1073">
        <f>R1073/T1073-1</f>
        <v/>
      </c>
      <c r="V1073" t="n">
        <v>2.391293605916824</v>
      </c>
      <c r="W1073" s="5">
        <f>R1073-V1073</f>
        <v/>
      </c>
    </row>
    <row r="1074">
      <c r="A1074" s="3" t="n">
        <v>40022</v>
      </c>
      <c r="B1074">
        <f>Prices!B1074</f>
        <v/>
      </c>
      <c r="C1074">
        <f>Prices!C1074</f>
        <v/>
      </c>
      <c r="D1074">
        <f>Prices!D1074</f>
        <v/>
      </c>
      <c r="E1074">
        <f>Prices!E1074</f>
        <v/>
      </c>
      <c r="F1074">
        <f>Prices!F1074</f>
        <v/>
      </c>
      <c r="G1074">
        <f>IF(AND(1072&gt;=16,TEXT(A1074,"yyyy-mm")&lt;&gt;TEXT(A1075,"yyyy-mm")),1,0)</f>
        <v/>
      </c>
      <c r="H1074">
        <f>IF(OR(H1073=1,G1074=1),1,0)</f>
        <v/>
      </c>
      <c r="I1074">
        <f>IF(H1073=0,1,SUMPRODUCT(J1073:N1073,B1074:F1074)+O1073*(1+0.00023125256064071564))</f>
        <v/>
      </c>
      <c r="J1074">
        <f>IF(G1074=1,0.2*R1074/B1074,J1073)</f>
        <v/>
      </c>
      <c r="K1074">
        <f>IF(G1074=1,0.2*R1074/C1074,K1073)</f>
        <v/>
      </c>
      <c r="L1074">
        <f>IF(G1074=1,0.2*R1074/D1074,L1073)</f>
        <v/>
      </c>
      <c r="M1074">
        <f>IF(G1074=1,0.2*R1074/E1074,M1073)</f>
        <v/>
      </c>
      <c r="N1074">
        <f>IF(G1074=1,0.2*R1074/F1074,N1073)</f>
        <v/>
      </c>
      <c r="O1074">
        <f>IF(G1074=1,R1074*(1-1.0),IF(H1073=0,1,O1073*(1+0.00023125256064071564)))</f>
        <v/>
      </c>
      <c r="P1074">
        <f>IF(G1074=1,IF(H1073=0,1,ABS(0.2-J1073*B1074/I1074)+ABS(0.2-K1073*C1074/I1074)+ABS(0.2-L1073*D1074/I1074)+ABS(0.2-M1073*E1074/I1074)+ABS(0.2-N1073*F1074/I1074)),0)</f>
        <v/>
      </c>
      <c r="Q1074">
        <f>P1074*0.0015</f>
        <v/>
      </c>
      <c r="R1074">
        <f>I1074*(1-Q1074)</f>
        <v/>
      </c>
      <c r="S1074">
        <f>R1074/R1073-1</f>
        <v/>
      </c>
      <c r="T1074">
        <f>MAX(T1073,R1074)</f>
        <v/>
      </c>
      <c r="U1074">
        <f>R1074/T1074-1</f>
        <v/>
      </c>
      <c r="V1074" t="n">
        <v>2.403679398812354</v>
      </c>
      <c r="W1074" s="5">
        <f>R1074-V1074</f>
        <v/>
      </c>
    </row>
    <row r="1075">
      <c r="A1075" s="3" t="n">
        <v>40023</v>
      </c>
      <c r="B1075">
        <f>Prices!B1075</f>
        <v/>
      </c>
      <c r="C1075">
        <f>Prices!C1075</f>
        <v/>
      </c>
      <c r="D1075">
        <f>Prices!D1075</f>
        <v/>
      </c>
      <c r="E1075">
        <f>Prices!E1075</f>
        <v/>
      </c>
      <c r="F1075">
        <f>Prices!F1075</f>
        <v/>
      </c>
      <c r="G1075">
        <f>IF(AND(1073&gt;=16,TEXT(A1075,"yyyy-mm")&lt;&gt;TEXT(A1076,"yyyy-mm")),1,0)</f>
        <v/>
      </c>
      <c r="H1075">
        <f>IF(OR(H1074=1,G1075=1),1,0)</f>
        <v/>
      </c>
      <c r="I1075">
        <f>IF(H1074=0,1,SUMPRODUCT(J1074:N1074,B1075:F1075)+O1074*(1+0.00023125256064071564))</f>
        <v/>
      </c>
      <c r="J1075">
        <f>IF(G1075=1,0.2*R1075/B1075,J1074)</f>
        <v/>
      </c>
      <c r="K1075">
        <f>IF(G1075=1,0.2*R1075/C1075,K1074)</f>
        <v/>
      </c>
      <c r="L1075">
        <f>IF(G1075=1,0.2*R1075/D1075,L1074)</f>
        <v/>
      </c>
      <c r="M1075">
        <f>IF(G1075=1,0.2*R1075/E1075,M1074)</f>
        <v/>
      </c>
      <c r="N1075">
        <f>IF(G1075=1,0.2*R1075/F1075,N1074)</f>
        <v/>
      </c>
      <c r="O1075">
        <f>IF(G1075=1,R1075*(1-1.0),IF(H1074=0,1,O1074*(1+0.00023125256064071564)))</f>
        <v/>
      </c>
      <c r="P1075">
        <f>IF(G1075=1,IF(H1074=0,1,ABS(0.2-J1074*B1075/I1075)+ABS(0.2-K1074*C1075/I1075)+ABS(0.2-L1074*D1075/I1075)+ABS(0.2-M1074*E1075/I1075)+ABS(0.2-N1074*F1075/I1075)),0)</f>
        <v/>
      </c>
      <c r="Q1075">
        <f>P1075*0.0015</f>
        <v/>
      </c>
      <c r="R1075">
        <f>I1075*(1-Q1075)</f>
        <v/>
      </c>
      <c r="S1075">
        <f>R1075/R1074-1</f>
        <v/>
      </c>
      <c r="T1075">
        <f>MAX(T1074,R1075)</f>
        <v/>
      </c>
      <c r="U1075">
        <f>R1075/T1075-1</f>
        <v/>
      </c>
      <c r="V1075" t="n">
        <v>2.375981507770271</v>
      </c>
      <c r="W1075" s="5">
        <f>R1075-V1075</f>
        <v/>
      </c>
    </row>
    <row r="1076">
      <c r="A1076" s="3" t="n">
        <v>40024</v>
      </c>
      <c r="B1076">
        <f>Prices!B1076</f>
        <v/>
      </c>
      <c r="C1076">
        <f>Prices!C1076</f>
        <v/>
      </c>
      <c r="D1076">
        <f>Prices!D1076</f>
        <v/>
      </c>
      <c r="E1076">
        <f>Prices!E1076</f>
        <v/>
      </c>
      <c r="F1076">
        <f>Prices!F1076</f>
        <v/>
      </c>
      <c r="G1076">
        <f>IF(AND(1074&gt;=16,TEXT(A1076,"yyyy-mm")&lt;&gt;TEXT(A1077,"yyyy-mm")),1,0)</f>
        <v/>
      </c>
      <c r="H1076">
        <f>IF(OR(H1075=1,G1076=1),1,0)</f>
        <v/>
      </c>
      <c r="I1076">
        <f>IF(H1075=0,1,SUMPRODUCT(J1075:N1075,B1076:F1076)+O1075*(1+0.00023125256064071564))</f>
        <v/>
      </c>
      <c r="J1076">
        <f>IF(G1076=1,0.2*R1076/B1076,J1075)</f>
        <v/>
      </c>
      <c r="K1076">
        <f>IF(G1076=1,0.2*R1076/C1076,K1075)</f>
        <v/>
      </c>
      <c r="L1076">
        <f>IF(G1076=1,0.2*R1076/D1076,L1075)</f>
        <v/>
      </c>
      <c r="M1076">
        <f>IF(G1076=1,0.2*R1076/E1076,M1075)</f>
        <v/>
      </c>
      <c r="N1076">
        <f>IF(G1076=1,0.2*R1076/F1076,N1075)</f>
        <v/>
      </c>
      <c r="O1076">
        <f>IF(G1076=1,R1076*(1-1.0),IF(H1075=0,1,O1075*(1+0.00023125256064071564)))</f>
        <v/>
      </c>
      <c r="P1076">
        <f>IF(G1076=1,IF(H1075=0,1,ABS(0.2-J1075*B1076/I1076)+ABS(0.2-K1075*C1076/I1076)+ABS(0.2-L1075*D1076/I1076)+ABS(0.2-M1075*E1076/I1076)+ABS(0.2-N1075*F1076/I1076)),0)</f>
        <v/>
      </c>
      <c r="Q1076">
        <f>P1076*0.0015</f>
        <v/>
      </c>
      <c r="R1076">
        <f>I1076*(1-Q1076)</f>
        <v/>
      </c>
      <c r="S1076">
        <f>R1076/R1075-1</f>
        <v/>
      </c>
      <c r="T1076">
        <f>MAX(T1075,R1076)</f>
        <v/>
      </c>
      <c r="U1076">
        <f>R1076/T1076-1</f>
        <v/>
      </c>
      <c r="V1076" t="n">
        <v>2.398769474352878</v>
      </c>
      <c r="W1076" s="5">
        <f>R1076-V1076</f>
        <v/>
      </c>
    </row>
    <row r="1077">
      <c r="A1077" s="3" t="n">
        <v>40025</v>
      </c>
      <c r="B1077">
        <f>Prices!B1077</f>
        <v/>
      </c>
      <c r="C1077">
        <f>Prices!C1077</f>
        <v/>
      </c>
      <c r="D1077">
        <f>Prices!D1077</f>
        <v/>
      </c>
      <c r="E1077">
        <f>Prices!E1077</f>
        <v/>
      </c>
      <c r="F1077">
        <f>Prices!F1077</f>
        <v/>
      </c>
      <c r="G1077">
        <f>IF(AND(1075&gt;=16,TEXT(A1077,"yyyy-mm")&lt;&gt;TEXT(A1078,"yyyy-mm")),1,0)</f>
        <v/>
      </c>
      <c r="H1077">
        <f>IF(OR(H1076=1,G1077=1),1,0)</f>
        <v/>
      </c>
      <c r="I1077">
        <f>IF(H1076=0,1,SUMPRODUCT(J1076:N1076,B1077:F1077)+O1076*(1+0.00023125256064071564))</f>
        <v/>
      </c>
      <c r="J1077">
        <f>IF(G1077=1,0.2*R1077/B1077,J1076)</f>
        <v/>
      </c>
      <c r="K1077">
        <f>IF(G1077=1,0.2*R1077/C1077,K1076)</f>
        <v/>
      </c>
      <c r="L1077">
        <f>IF(G1077=1,0.2*R1077/D1077,L1076)</f>
        <v/>
      </c>
      <c r="M1077">
        <f>IF(G1077=1,0.2*R1077/E1077,M1076)</f>
        <v/>
      </c>
      <c r="N1077">
        <f>IF(G1077=1,0.2*R1077/F1077,N1076)</f>
        <v/>
      </c>
      <c r="O1077">
        <f>IF(G1077=1,R1077*(1-1.0),IF(H1076=0,1,O1076*(1+0.00023125256064071564)))</f>
        <v/>
      </c>
      <c r="P1077">
        <f>IF(G1077=1,IF(H1076=0,1,ABS(0.2-J1076*B1077/I1077)+ABS(0.2-K1076*C1077/I1077)+ABS(0.2-L1076*D1077/I1077)+ABS(0.2-M1076*E1077/I1077)+ABS(0.2-N1076*F1077/I1077)),0)</f>
        <v/>
      </c>
      <c r="Q1077">
        <f>P1077*0.0015</f>
        <v/>
      </c>
      <c r="R1077">
        <f>I1077*(1-Q1077)</f>
        <v/>
      </c>
      <c r="S1077">
        <f>R1077/R1076-1</f>
        <v/>
      </c>
      <c r="T1077">
        <f>MAX(T1076,R1077)</f>
        <v/>
      </c>
      <c r="U1077">
        <f>R1077/T1077-1</f>
        <v/>
      </c>
      <c r="V1077" t="n">
        <v>2.419143325543842</v>
      </c>
      <c r="W1077" s="5">
        <f>R1077-V1077</f>
        <v/>
      </c>
    </row>
    <row r="1078">
      <c r="A1078" s="3" t="n">
        <v>40028</v>
      </c>
      <c r="B1078">
        <f>Prices!B1078</f>
        <v/>
      </c>
      <c r="C1078">
        <f>Prices!C1078</f>
        <v/>
      </c>
      <c r="D1078">
        <f>Prices!D1078</f>
        <v/>
      </c>
      <c r="E1078">
        <f>Prices!E1078</f>
        <v/>
      </c>
      <c r="F1078">
        <f>Prices!F1078</f>
        <v/>
      </c>
      <c r="G1078">
        <f>IF(AND(1076&gt;=16,TEXT(A1078,"yyyy-mm")&lt;&gt;TEXT(A1079,"yyyy-mm")),1,0)</f>
        <v/>
      </c>
      <c r="H1078">
        <f>IF(OR(H1077=1,G1078=1),1,0)</f>
        <v/>
      </c>
      <c r="I1078">
        <f>IF(H1077=0,1,SUMPRODUCT(J1077:N1077,B1078:F1078)+O1077*(1+0.00023125256064071564))</f>
        <v/>
      </c>
      <c r="J1078">
        <f>IF(G1078=1,0.2*R1078/B1078,J1077)</f>
        <v/>
      </c>
      <c r="K1078">
        <f>IF(G1078=1,0.2*R1078/C1078,K1077)</f>
        <v/>
      </c>
      <c r="L1078">
        <f>IF(G1078=1,0.2*R1078/D1078,L1077)</f>
        <v/>
      </c>
      <c r="M1078">
        <f>IF(G1078=1,0.2*R1078/E1078,M1077)</f>
        <v/>
      </c>
      <c r="N1078">
        <f>IF(G1078=1,0.2*R1078/F1078,N1077)</f>
        <v/>
      </c>
      <c r="O1078">
        <f>IF(G1078=1,R1078*(1-1.0),IF(H1077=0,1,O1077*(1+0.00023125256064071564)))</f>
        <v/>
      </c>
      <c r="P1078">
        <f>IF(G1078=1,IF(H1077=0,1,ABS(0.2-J1077*B1078/I1078)+ABS(0.2-K1077*C1078/I1078)+ABS(0.2-L1077*D1078/I1078)+ABS(0.2-M1077*E1078/I1078)+ABS(0.2-N1077*F1078/I1078)),0)</f>
        <v/>
      </c>
      <c r="Q1078">
        <f>P1078*0.0015</f>
        <v/>
      </c>
      <c r="R1078">
        <f>I1078*(1-Q1078)</f>
        <v/>
      </c>
      <c r="S1078">
        <f>R1078/R1077-1</f>
        <v/>
      </c>
      <c r="T1078">
        <f>MAX(T1077,R1078)</f>
        <v/>
      </c>
      <c r="U1078">
        <f>R1078/T1078-1</f>
        <v/>
      </c>
      <c r="V1078" t="n">
        <v>2.452105860229853</v>
      </c>
      <c r="W1078" s="5">
        <f>R1078-V1078</f>
        <v/>
      </c>
    </row>
    <row r="1079">
      <c r="A1079" s="3" t="n">
        <v>40029</v>
      </c>
      <c r="B1079">
        <f>Prices!B1079</f>
        <v/>
      </c>
      <c r="C1079">
        <f>Prices!C1079</f>
        <v/>
      </c>
      <c r="D1079">
        <f>Prices!D1079</f>
        <v/>
      </c>
      <c r="E1079">
        <f>Prices!E1079</f>
        <v/>
      </c>
      <c r="F1079">
        <f>Prices!F1079</f>
        <v/>
      </c>
      <c r="G1079">
        <f>IF(AND(1077&gt;=16,TEXT(A1079,"yyyy-mm")&lt;&gt;TEXT(A1080,"yyyy-mm")),1,0)</f>
        <v/>
      </c>
      <c r="H1079">
        <f>IF(OR(H1078=1,G1079=1),1,0)</f>
        <v/>
      </c>
      <c r="I1079">
        <f>IF(H1078=0,1,SUMPRODUCT(J1078:N1078,B1079:F1079)+O1078*(1+0.00023125256064071564))</f>
        <v/>
      </c>
      <c r="J1079">
        <f>IF(G1079=1,0.2*R1079/B1079,J1078)</f>
        <v/>
      </c>
      <c r="K1079">
        <f>IF(G1079=1,0.2*R1079/C1079,K1078)</f>
        <v/>
      </c>
      <c r="L1079">
        <f>IF(G1079=1,0.2*R1079/D1079,L1078)</f>
        <v/>
      </c>
      <c r="M1079">
        <f>IF(G1079=1,0.2*R1079/E1079,M1078)</f>
        <v/>
      </c>
      <c r="N1079">
        <f>IF(G1079=1,0.2*R1079/F1079,N1078)</f>
        <v/>
      </c>
      <c r="O1079">
        <f>IF(G1079=1,R1079*(1-1.0),IF(H1078=0,1,O1078*(1+0.00023125256064071564)))</f>
        <v/>
      </c>
      <c r="P1079">
        <f>IF(G1079=1,IF(H1078=0,1,ABS(0.2-J1078*B1079/I1079)+ABS(0.2-K1078*C1079/I1079)+ABS(0.2-L1078*D1079/I1079)+ABS(0.2-M1078*E1079/I1079)+ABS(0.2-N1078*F1079/I1079)),0)</f>
        <v/>
      </c>
      <c r="Q1079">
        <f>P1079*0.0015</f>
        <v/>
      </c>
      <c r="R1079">
        <f>I1079*(1-Q1079)</f>
        <v/>
      </c>
      <c r="S1079">
        <f>R1079/R1078-1</f>
        <v/>
      </c>
      <c r="T1079">
        <f>MAX(T1078,R1079)</f>
        <v/>
      </c>
      <c r="U1079">
        <f>R1079/T1079-1</f>
        <v/>
      </c>
      <c r="V1079" t="n">
        <v>2.452392246521166</v>
      </c>
      <c r="W1079" s="5">
        <f>R1079-V1079</f>
        <v/>
      </c>
    </row>
    <row r="1080">
      <c r="A1080" s="3" t="n">
        <v>40030</v>
      </c>
      <c r="B1080">
        <f>Prices!B1080</f>
        <v/>
      </c>
      <c r="C1080">
        <f>Prices!C1080</f>
        <v/>
      </c>
      <c r="D1080">
        <f>Prices!D1080</f>
        <v/>
      </c>
      <c r="E1080">
        <f>Prices!E1080</f>
        <v/>
      </c>
      <c r="F1080">
        <f>Prices!F1080</f>
        <v/>
      </c>
      <c r="G1080">
        <f>IF(AND(1078&gt;=16,TEXT(A1080,"yyyy-mm")&lt;&gt;TEXT(A1081,"yyyy-mm")),1,0)</f>
        <v/>
      </c>
      <c r="H1080">
        <f>IF(OR(H1079=1,G1080=1),1,0)</f>
        <v/>
      </c>
      <c r="I1080">
        <f>IF(H1079=0,1,SUMPRODUCT(J1079:N1079,B1080:F1080)+O1079*(1+0.00023125256064071564))</f>
        <v/>
      </c>
      <c r="J1080">
        <f>IF(G1080=1,0.2*R1080/B1080,J1079)</f>
        <v/>
      </c>
      <c r="K1080">
        <f>IF(G1080=1,0.2*R1080/C1080,K1079)</f>
        <v/>
      </c>
      <c r="L1080">
        <f>IF(G1080=1,0.2*R1080/D1080,L1079)</f>
        <v/>
      </c>
      <c r="M1080">
        <f>IF(G1080=1,0.2*R1080/E1080,M1079)</f>
        <v/>
      </c>
      <c r="N1080">
        <f>IF(G1080=1,0.2*R1080/F1080,N1079)</f>
        <v/>
      </c>
      <c r="O1080">
        <f>IF(G1080=1,R1080*(1-1.0),IF(H1079=0,1,O1079*(1+0.00023125256064071564)))</f>
        <v/>
      </c>
      <c r="P1080">
        <f>IF(G1080=1,IF(H1079=0,1,ABS(0.2-J1079*B1080/I1080)+ABS(0.2-K1079*C1080/I1080)+ABS(0.2-L1079*D1080/I1080)+ABS(0.2-M1079*E1080/I1080)+ABS(0.2-N1079*F1080/I1080)),0)</f>
        <v/>
      </c>
      <c r="Q1080">
        <f>P1080*0.0015</f>
        <v/>
      </c>
      <c r="R1080">
        <f>I1080*(1-Q1080)</f>
        <v/>
      </c>
      <c r="S1080">
        <f>R1080/R1079-1</f>
        <v/>
      </c>
      <c r="T1080">
        <f>MAX(T1079,R1080)</f>
        <v/>
      </c>
      <c r="U1080">
        <f>R1080/T1080-1</f>
        <v/>
      </c>
      <c r="V1080" t="n">
        <v>2.456784902124482</v>
      </c>
      <c r="W1080" s="5">
        <f>R1080-V1080</f>
        <v/>
      </c>
    </row>
    <row r="1081">
      <c r="A1081" s="3" t="n">
        <v>40031</v>
      </c>
      <c r="B1081">
        <f>Prices!B1081</f>
        <v/>
      </c>
      <c r="C1081">
        <f>Prices!C1081</f>
        <v/>
      </c>
      <c r="D1081">
        <f>Prices!D1081</f>
        <v/>
      </c>
      <c r="E1081">
        <f>Prices!E1081</f>
        <v/>
      </c>
      <c r="F1081">
        <f>Prices!F1081</f>
        <v/>
      </c>
      <c r="G1081">
        <f>IF(AND(1079&gt;=16,TEXT(A1081,"yyyy-mm")&lt;&gt;TEXT(A1082,"yyyy-mm")),1,0)</f>
        <v/>
      </c>
      <c r="H1081">
        <f>IF(OR(H1080=1,G1081=1),1,0)</f>
        <v/>
      </c>
      <c r="I1081">
        <f>IF(H1080=0,1,SUMPRODUCT(J1080:N1080,B1081:F1081)+O1080*(1+0.00023125256064071564))</f>
        <v/>
      </c>
      <c r="J1081">
        <f>IF(G1081=1,0.2*R1081/B1081,J1080)</f>
        <v/>
      </c>
      <c r="K1081">
        <f>IF(G1081=1,0.2*R1081/C1081,K1080)</f>
        <v/>
      </c>
      <c r="L1081">
        <f>IF(G1081=1,0.2*R1081/D1081,L1080)</f>
        <v/>
      </c>
      <c r="M1081">
        <f>IF(G1081=1,0.2*R1081/E1081,M1080)</f>
        <v/>
      </c>
      <c r="N1081">
        <f>IF(G1081=1,0.2*R1081/F1081,N1080)</f>
        <v/>
      </c>
      <c r="O1081">
        <f>IF(G1081=1,R1081*(1-1.0),IF(H1080=0,1,O1080*(1+0.00023125256064071564)))</f>
        <v/>
      </c>
      <c r="P1081">
        <f>IF(G1081=1,IF(H1080=0,1,ABS(0.2-J1080*B1081/I1081)+ABS(0.2-K1080*C1081/I1081)+ABS(0.2-L1080*D1081/I1081)+ABS(0.2-M1080*E1081/I1081)+ABS(0.2-N1080*F1081/I1081)),0)</f>
        <v/>
      </c>
      <c r="Q1081">
        <f>P1081*0.0015</f>
        <v/>
      </c>
      <c r="R1081">
        <f>I1081*(1-Q1081)</f>
        <v/>
      </c>
      <c r="S1081">
        <f>R1081/R1080-1</f>
        <v/>
      </c>
      <c r="T1081">
        <f>MAX(T1080,R1081)</f>
        <v/>
      </c>
      <c r="U1081">
        <f>R1081/T1081-1</f>
        <v/>
      </c>
      <c r="V1081" t="n">
        <v>2.403318292334955</v>
      </c>
      <c r="W1081" s="5">
        <f>R1081-V1081</f>
        <v/>
      </c>
    </row>
    <row r="1082">
      <c r="A1082" s="3" t="n">
        <v>40032</v>
      </c>
      <c r="B1082">
        <f>Prices!B1082</f>
        <v/>
      </c>
      <c r="C1082">
        <f>Prices!C1082</f>
        <v/>
      </c>
      <c r="D1082">
        <f>Prices!D1082</f>
        <v/>
      </c>
      <c r="E1082">
        <f>Prices!E1082</f>
        <v/>
      </c>
      <c r="F1082">
        <f>Prices!F1082</f>
        <v/>
      </c>
      <c r="G1082">
        <f>IF(AND(1080&gt;=16,TEXT(A1082,"yyyy-mm")&lt;&gt;TEXT(A1083,"yyyy-mm")),1,0)</f>
        <v/>
      </c>
      <c r="H1082">
        <f>IF(OR(H1081=1,G1082=1),1,0)</f>
        <v/>
      </c>
      <c r="I1082">
        <f>IF(H1081=0,1,SUMPRODUCT(J1081:N1081,B1082:F1082)+O1081*(1+0.00023125256064071564))</f>
        <v/>
      </c>
      <c r="J1082">
        <f>IF(G1082=1,0.2*R1082/B1082,J1081)</f>
        <v/>
      </c>
      <c r="K1082">
        <f>IF(G1082=1,0.2*R1082/C1082,K1081)</f>
        <v/>
      </c>
      <c r="L1082">
        <f>IF(G1082=1,0.2*R1082/D1082,L1081)</f>
        <v/>
      </c>
      <c r="M1082">
        <f>IF(G1082=1,0.2*R1082/E1082,M1081)</f>
        <v/>
      </c>
      <c r="N1082">
        <f>IF(G1082=1,0.2*R1082/F1082,N1081)</f>
        <v/>
      </c>
      <c r="O1082">
        <f>IF(G1082=1,R1082*(1-1.0),IF(H1081=0,1,O1081*(1+0.00023125256064071564)))</f>
        <v/>
      </c>
      <c r="P1082">
        <f>IF(G1082=1,IF(H1081=0,1,ABS(0.2-J1081*B1082/I1082)+ABS(0.2-K1081*C1082/I1082)+ABS(0.2-L1081*D1082/I1082)+ABS(0.2-M1081*E1082/I1082)+ABS(0.2-N1081*F1082/I1082)),0)</f>
        <v/>
      </c>
      <c r="Q1082">
        <f>P1082*0.0015</f>
        <v/>
      </c>
      <c r="R1082">
        <f>I1082*(1-Q1082)</f>
        <v/>
      </c>
      <c r="S1082">
        <f>R1082/R1081-1</f>
        <v/>
      </c>
      <c r="T1082">
        <f>MAX(T1081,R1082)</f>
        <v/>
      </c>
      <c r="U1082">
        <f>R1082/T1082-1</f>
        <v/>
      </c>
      <c r="V1082" t="n">
        <v>2.360086489713251</v>
      </c>
      <c r="W1082" s="5">
        <f>R1082-V1082</f>
        <v/>
      </c>
    </row>
    <row r="1083">
      <c r="A1083" s="3" t="n">
        <v>40035</v>
      </c>
      <c r="B1083">
        <f>Prices!B1083</f>
        <v/>
      </c>
      <c r="C1083">
        <f>Prices!C1083</f>
        <v/>
      </c>
      <c r="D1083">
        <f>Prices!D1083</f>
        <v/>
      </c>
      <c r="E1083">
        <f>Prices!E1083</f>
        <v/>
      </c>
      <c r="F1083">
        <f>Prices!F1083</f>
        <v/>
      </c>
      <c r="G1083">
        <f>IF(AND(1081&gt;=16,TEXT(A1083,"yyyy-mm")&lt;&gt;TEXT(A1084,"yyyy-mm")),1,0)</f>
        <v/>
      </c>
      <c r="H1083">
        <f>IF(OR(H1082=1,G1083=1),1,0)</f>
        <v/>
      </c>
      <c r="I1083">
        <f>IF(H1082=0,1,SUMPRODUCT(J1082:N1082,B1083:F1083)+O1082*(1+0.00023125256064071564))</f>
        <v/>
      </c>
      <c r="J1083">
        <f>IF(G1083=1,0.2*R1083/B1083,J1082)</f>
        <v/>
      </c>
      <c r="K1083">
        <f>IF(G1083=1,0.2*R1083/C1083,K1082)</f>
        <v/>
      </c>
      <c r="L1083">
        <f>IF(G1083=1,0.2*R1083/D1083,L1082)</f>
        <v/>
      </c>
      <c r="M1083">
        <f>IF(G1083=1,0.2*R1083/E1083,M1082)</f>
        <v/>
      </c>
      <c r="N1083">
        <f>IF(G1083=1,0.2*R1083/F1083,N1082)</f>
        <v/>
      </c>
      <c r="O1083">
        <f>IF(G1083=1,R1083*(1-1.0),IF(H1082=0,1,O1082*(1+0.00023125256064071564)))</f>
        <v/>
      </c>
      <c r="P1083">
        <f>IF(G1083=1,IF(H1082=0,1,ABS(0.2-J1082*B1083/I1083)+ABS(0.2-K1082*C1083/I1083)+ABS(0.2-L1082*D1083/I1083)+ABS(0.2-M1082*E1083/I1083)+ABS(0.2-N1082*F1083/I1083)),0)</f>
        <v/>
      </c>
      <c r="Q1083">
        <f>P1083*0.0015</f>
        <v/>
      </c>
      <c r="R1083">
        <f>I1083*(1-Q1083)</f>
        <v/>
      </c>
      <c r="S1083">
        <f>R1083/R1082-1</f>
        <v/>
      </c>
      <c r="T1083">
        <f>MAX(T1082,R1083)</f>
        <v/>
      </c>
      <c r="U1083">
        <f>R1083/T1083-1</f>
        <v/>
      </c>
      <c r="V1083" t="n">
        <v>2.324101406325368</v>
      </c>
      <c r="W1083" s="5">
        <f>R1083-V1083</f>
        <v/>
      </c>
    </row>
    <row r="1084">
      <c r="A1084" s="3" t="n">
        <v>40036</v>
      </c>
      <c r="B1084">
        <f>Prices!B1084</f>
        <v/>
      </c>
      <c r="C1084">
        <f>Prices!C1084</f>
        <v/>
      </c>
      <c r="D1084">
        <f>Prices!D1084</f>
        <v/>
      </c>
      <c r="E1084">
        <f>Prices!E1084</f>
        <v/>
      </c>
      <c r="F1084">
        <f>Prices!F1084</f>
        <v/>
      </c>
      <c r="G1084">
        <f>IF(AND(1082&gt;=16,TEXT(A1084,"yyyy-mm")&lt;&gt;TEXT(A1085,"yyyy-mm")),1,0)</f>
        <v/>
      </c>
      <c r="H1084">
        <f>IF(OR(H1083=1,G1084=1),1,0)</f>
        <v/>
      </c>
      <c r="I1084">
        <f>IF(H1083=0,1,SUMPRODUCT(J1083:N1083,B1084:F1084)+O1083*(1+0.00023125256064071564))</f>
        <v/>
      </c>
      <c r="J1084">
        <f>IF(G1084=1,0.2*R1084/B1084,J1083)</f>
        <v/>
      </c>
      <c r="K1084">
        <f>IF(G1084=1,0.2*R1084/C1084,K1083)</f>
        <v/>
      </c>
      <c r="L1084">
        <f>IF(G1084=1,0.2*R1084/D1084,L1083)</f>
        <v/>
      </c>
      <c r="M1084">
        <f>IF(G1084=1,0.2*R1084/E1084,M1083)</f>
        <v/>
      </c>
      <c r="N1084">
        <f>IF(G1084=1,0.2*R1084/F1084,N1083)</f>
        <v/>
      </c>
      <c r="O1084">
        <f>IF(G1084=1,R1084*(1-1.0),IF(H1083=0,1,O1083*(1+0.00023125256064071564)))</f>
        <v/>
      </c>
      <c r="P1084">
        <f>IF(G1084=1,IF(H1083=0,1,ABS(0.2-J1083*B1084/I1084)+ABS(0.2-K1083*C1084/I1084)+ABS(0.2-L1083*D1084/I1084)+ABS(0.2-M1083*E1084/I1084)+ABS(0.2-N1083*F1084/I1084)),0)</f>
        <v/>
      </c>
      <c r="Q1084">
        <f>P1084*0.0015</f>
        <v/>
      </c>
      <c r="R1084">
        <f>I1084*(1-Q1084)</f>
        <v/>
      </c>
      <c r="S1084">
        <f>R1084/R1083-1</f>
        <v/>
      </c>
      <c r="T1084">
        <f>MAX(T1083,R1084)</f>
        <v/>
      </c>
      <c r="U1084">
        <f>R1084/T1084-1</f>
        <v/>
      </c>
      <c r="V1084" t="n">
        <v>2.339577755109964</v>
      </c>
      <c r="W1084" s="5">
        <f>R1084-V1084</f>
        <v/>
      </c>
    </row>
    <row r="1085">
      <c r="A1085" s="3" t="n">
        <v>40037</v>
      </c>
      <c r="B1085">
        <f>Prices!B1085</f>
        <v/>
      </c>
      <c r="C1085">
        <f>Prices!C1085</f>
        <v/>
      </c>
      <c r="D1085">
        <f>Prices!D1085</f>
        <v/>
      </c>
      <c r="E1085">
        <f>Prices!E1085</f>
        <v/>
      </c>
      <c r="F1085">
        <f>Prices!F1085</f>
        <v/>
      </c>
      <c r="G1085">
        <f>IF(AND(1083&gt;=16,TEXT(A1085,"yyyy-mm")&lt;&gt;TEXT(A1086,"yyyy-mm")),1,0)</f>
        <v/>
      </c>
      <c r="H1085">
        <f>IF(OR(H1084=1,G1085=1),1,0)</f>
        <v/>
      </c>
      <c r="I1085">
        <f>IF(H1084=0,1,SUMPRODUCT(J1084:N1084,B1085:F1085)+O1084*(1+0.00023125256064071564))</f>
        <v/>
      </c>
      <c r="J1085">
        <f>IF(G1085=1,0.2*R1085/B1085,J1084)</f>
        <v/>
      </c>
      <c r="K1085">
        <f>IF(G1085=1,0.2*R1085/C1085,K1084)</f>
        <v/>
      </c>
      <c r="L1085">
        <f>IF(G1085=1,0.2*R1085/D1085,L1084)</f>
        <v/>
      </c>
      <c r="M1085">
        <f>IF(G1085=1,0.2*R1085/E1085,M1084)</f>
        <v/>
      </c>
      <c r="N1085">
        <f>IF(G1085=1,0.2*R1085/F1085,N1084)</f>
        <v/>
      </c>
      <c r="O1085">
        <f>IF(G1085=1,R1085*(1-1.0),IF(H1084=0,1,O1084*(1+0.00023125256064071564)))</f>
        <v/>
      </c>
      <c r="P1085">
        <f>IF(G1085=1,IF(H1084=0,1,ABS(0.2-J1084*B1085/I1085)+ABS(0.2-K1084*C1085/I1085)+ABS(0.2-L1084*D1085/I1085)+ABS(0.2-M1084*E1085/I1085)+ABS(0.2-N1084*F1085/I1085)),0)</f>
        <v/>
      </c>
      <c r="Q1085">
        <f>P1085*0.0015</f>
        <v/>
      </c>
      <c r="R1085">
        <f>I1085*(1-Q1085)</f>
        <v/>
      </c>
      <c r="S1085">
        <f>R1085/R1084-1</f>
        <v/>
      </c>
      <c r="T1085">
        <f>MAX(T1084,R1085)</f>
        <v/>
      </c>
      <c r="U1085">
        <f>R1085/T1085-1</f>
        <v/>
      </c>
      <c r="V1085" t="n">
        <v>2.337839001459759</v>
      </c>
      <c r="W1085" s="5">
        <f>R1085-V1085</f>
        <v/>
      </c>
    </row>
    <row r="1086">
      <c r="A1086" s="3" t="n">
        <v>40038</v>
      </c>
      <c r="B1086">
        <f>Prices!B1086</f>
        <v/>
      </c>
      <c r="C1086">
        <f>Prices!C1086</f>
        <v/>
      </c>
      <c r="D1086">
        <f>Prices!D1086</f>
        <v/>
      </c>
      <c r="E1086">
        <f>Prices!E1086</f>
        <v/>
      </c>
      <c r="F1086">
        <f>Prices!F1086</f>
        <v/>
      </c>
      <c r="G1086">
        <f>IF(AND(1084&gt;=16,TEXT(A1086,"yyyy-mm")&lt;&gt;TEXT(A1087,"yyyy-mm")),1,0)</f>
        <v/>
      </c>
      <c r="H1086">
        <f>IF(OR(H1085=1,G1086=1),1,0)</f>
        <v/>
      </c>
      <c r="I1086">
        <f>IF(H1085=0,1,SUMPRODUCT(J1085:N1085,B1086:F1086)+O1085*(1+0.00023125256064071564))</f>
        <v/>
      </c>
      <c r="J1086">
        <f>IF(G1086=1,0.2*R1086/B1086,J1085)</f>
        <v/>
      </c>
      <c r="K1086">
        <f>IF(G1086=1,0.2*R1086/C1086,K1085)</f>
        <v/>
      </c>
      <c r="L1086">
        <f>IF(G1086=1,0.2*R1086/D1086,L1085)</f>
        <v/>
      </c>
      <c r="M1086">
        <f>IF(G1086=1,0.2*R1086/E1086,M1085)</f>
        <v/>
      </c>
      <c r="N1086">
        <f>IF(G1086=1,0.2*R1086/F1086,N1085)</f>
        <v/>
      </c>
      <c r="O1086">
        <f>IF(G1086=1,R1086*(1-1.0),IF(H1085=0,1,O1085*(1+0.00023125256064071564)))</f>
        <v/>
      </c>
      <c r="P1086">
        <f>IF(G1086=1,IF(H1085=0,1,ABS(0.2-J1085*B1086/I1086)+ABS(0.2-K1085*C1086/I1086)+ABS(0.2-L1085*D1086/I1086)+ABS(0.2-M1085*E1086/I1086)+ABS(0.2-N1085*F1086/I1086)),0)</f>
        <v/>
      </c>
      <c r="Q1086">
        <f>P1086*0.0015</f>
        <v/>
      </c>
      <c r="R1086">
        <f>I1086*(1-Q1086)</f>
        <v/>
      </c>
      <c r="S1086">
        <f>R1086/R1085-1</f>
        <v/>
      </c>
      <c r="T1086">
        <f>MAX(T1085,R1086)</f>
        <v/>
      </c>
      <c r="U1086">
        <f>R1086/T1086-1</f>
        <v/>
      </c>
      <c r="V1086" t="n">
        <v>2.416137337025954</v>
      </c>
      <c r="W1086" s="5">
        <f>R1086-V1086</f>
        <v/>
      </c>
    </row>
    <row r="1087">
      <c r="A1087" s="3" t="n">
        <v>40039</v>
      </c>
      <c r="B1087">
        <f>Prices!B1087</f>
        <v/>
      </c>
      <c r="C1087">
        <f>Prices!C1087</f>
        <v/>
      </c>
      <c r="D1087">
        <f>Prices!D1087</f>
        <v/>
      </c>
      <c r="E1087">
        <f>Prices!E1087</f>
        <v/>
      </c>
      <c r="F1087">
        <f>Prices!F1087</f>
        <v/>
      </c>
      <c r="G1087">
        <f>IF(AND(1085&gt;=16,TEXT(A1087,"yyyy-mm")&lt;&gt;TEXT(A1088,"yyyy-mm")),1,0)</f>
        <v/>
      </c>
      <c r="H1087">
        <f>IF(OR(H1086=1,G1087=1),1,0)</f>
        <v/>
      </c>
      <c r="I1087">
        <f>IF(H1086=0,1,SUMPRODUCT(J1086:N1086,B1087:F1087)+O1086*(1+0.00023125256064071564))</f>
        <v/>
      </c>
      <c r="J1087">
        <f>IF(G1087=1,0.2*R1087/B1087,J1086)</f>
        <v/>
      </c>
      <c r="K1087">
        <f>IF(G1087=1,0.2*R1087/C1087,K1086)</f>
        <v/>
      </c>
      <c r="L1087">
        <f>IF(G1087=1,0.2*R1087/D1087,L1086)</f>
        <v/>
      </c>
      <c r="M1087">
        <f>IF(G1087=1,0.2*R1087/E1087,M1086)</f>
        <v/>
      </c>
      <c r="N1087">
        <f>IF(G1087=1,0.2*R1087/F1087,N1086)</f>
        <v/>
      </c>
      <c r="O1087">
        <f>IF(G1087=1,R1087*(1-1.0),IF(H1086=0,1,O1086*(1+0.00023125256064071564)))</f>
        <v/>
      </c>
      <c r="P1087">
        <f>IF(G1087=1,IF(H1086=0,1,ABS(0.2-J1086*B1087/I1087)+ABS(0.2-K1086*C1087/I1087)+ABS(0.2-L1086*D1087/I1087)+ABS(0.2-M1086*E1087/I1087)+ABS(0.2-N1086*F1087/I1087)),0)</f>
        <v/>
      </c>
      <c r="Q1087">
        <f>P1087*0.0015</f>
        <v/>
      </c>
      <c r="R1087">
        <f>I1087*(1-Q1087)</f>
        <v/>
      </c>
      <c r="S1087">
        <f>R1087/R1086-1</f>
        <v/>
      </c>
      <c r="T1087">
        <f>MAX(T1086,R1087)</f>
        <v/>
      </c>
      <c r="U1087">
        <f>R1087/T1087-1</f>
        <v/>
      </c>
      <c r="V1087" t="n">
        <v>2.410745898536793</v>
      </c>
      <c r="W1087" s="5">
        <f>R1087-V1087</f>
        <v/>
      </c>
    </row>
    <row r="1088">
      <c r="A1088" s="3" t="n">
        <v>40042</v>
      </c>
      <c r="B1088">
        <f>Prices!B1088</f>
        <v/>
      </c>
      <c r="C1088">
        <f>Prices!C1088</f>
        <v/>
      </c>
      <c r="D1088">
        <f>Prices!D1088</f>
        <v/>
      </c>
      <c r="E1088">
        <f>Prices!E1088</f>
        <v/>
      </c>
      <c r="F1088">
        <f>Prices!F1088</f>
        <v/>
      </c>
      <c r="G1088">
        <f>IF(AND(1086&gt;=16,TEXT(A1088,"yyyy-mm")&lt;&gt;TEXT(A1089,"yyyy-mm")),1,0)</f>
        <v/>
      </c>
      <c r="H1088">
        <f>IF(OR(H1087=1,G1088=1),1,0)</f>
        <v/>
      </c>
      <c r="I1088">
        <f>IF(H1087=0,1,SUMPRODUCT(J1087:N1087,B1088:F1088)+O1087*(1+0.00023125256064071564))</f>
        <v/>
      </c>
      <c r="J1088">
        <f>IF(G1088=1,0.2*R1088/B1088,J1087)</f>
        <v/>
      </c>
      <c r="K1088">
        <f>IF(G1088=1,0.2*R1088/C1088,K1087)</f>
        <v/>
      </c>
      <c r="L1088">
        <f>IF(G1088=1,0.2*R1088/D1088,L1087)</f>
        <v/>
      </c>
      <c r="M1088">
        <f>IF(G1088=1,0.2*R1088/E1088,M1087)</f>
        <v/>
      </c>
      <c r="N1088">
        <f>IF(G1088=1,0.2*R1088/F1088,N1087)</f>
        <v/>
      </c>
      <c r="O1088">
        <f>IF(G1088=1,R1088*(1-1.0),IF(H1087=0,1,O1087*(1+0.00023125256064071564)))</f>
        <v/>
      </c>
      <c r="P1088">
        <f>IF(G1088=1,IF(H1087=0,1,ABS(0.2-J1087*B1088/I1088)+ABS(0.2-K1087*C1088/I1088)+ABS(0.2-L1087*D1088/I1088)+ABS(0.2-M1087*E1088/I1088)+ABS(0.2-N1087*F1088/I1088)),0)</f>
        <v/>
      </c>
      <c r="Q1088">
        <f>P1088*0.0015</f>
        <v/>
      </c>
      <c r="R1088">
        <f>I1088*(1-Q1088)</f>
        <v/>
      </c>
      <c r="S1088">
        <f>R1088/R1087-1</f>
        <v/>
      </c>
      <c r="T1088">
        <f>MAX(T1087,R1088)</f>
        <v/>
      </c>
      <c r="U1088">
        <f>R1088/T1088-1</f>
        <v/>
      </c>
      <c r="V1088" t="n">
        <v>2.322288511784621</v>
      </c>
      <c r="W1088" s="5">
        <f>R1088-V1088</f>
        <v/>
      </c>
    </row>
    <row r="1089">
      <c r="A1089" s="3" t="n">
        <v>40043</v>
      </c>
      <c r="B1089">
        <f>Prices!B1089</f>
        <v/>
      </c>
      <c r="C1089">
        <f>Prices!C1089</f>
        <v/>
      </c>
      <c r="D1089">
        <f>Prices!D1089</f>
        <v/>
      </c>
      <c r="E1089">
        <f>Prices!E1089</f>
        <v/>
      </c>
      <c r="F1089">
        <f>Prices!F1089</f>
        <v/>
      </c>
      <c r="G1089">
        <f>IF(AND(1087&gt;=16,TEXT(A1089,"yyyy-mm")&lt;&gt;TEXT(A1090,"yyyy-mm")),1,0)</f>
        <v/>
      </c>
      <c r="H1089">
        <f>IF(OR(H1088=1,G1089=1),1,0)</f>
        <v/>
      </c>
      <c r="I1089">
        <f>IF(H1088=0,1,SUMPRODUCT(J1088:N1088,B1089:F1089)+O1088*(1+0.00023125256064071564))</f>
        <v/>
      </c>
      <c r="J1089">
        <f>IF(G1089=1,0.2*R1089/B1089,J1088)</f>
        <v/>
      </c>
      <c r="K1089">
        <f>IF(G1089=1,0.2*R1089/C1089,K1088)</f>
        <v/>
      </c>
      <c r="L1089">
        <f>IF(G1089=1,0.2*R1089/D1089,L1088)</f>
        <v/>
      </c>
      <c r="M1089">
        <f>IF(G1089=1,0.2*R1089/E1089,M1088)</f>
        <v/>
      </c>
      <c r="N1089">
        <f>IF(G1089=1,0.2*R1089/F1089,N1088)</f>
        <v/>
      </c>
      <c r="O1089">
        <f>IF(G1089=1,R1089*(1-1.0),IF(H1088=0,1,O1088*(1+0.00023125256064071564)))</f>
        <v/>
      </c>
      <c r="P1089">
        <f>IF(G1089=1,IF(H1088=0,1,ABS(0.2-J1088*B1089/I1089)+ABS(0.2-K1088*C1089/I1089)+ABS(0.2-L1088*D1089/I1089)+ABS(0.2-M1088*E1089/I1089)+ABS(0.2-N1088*F1089/I1089)),0)</f>
        <v/>
      </c>
      <c r="Q1089">
        <f>P1089*0.0015</f>
        <v/>
      </c>
      <c r="R1089">
        <f>I1089*(1-Q1089)</f>
        <v/>
      </c>
      <c r="S1089">
        <f>R1089/R1088-1</f>
        <v/>
      </c>
      <c r="T1089">
        <f>MAX(T1088,R1089)</f>
        <v/>
      </c>
      <c r="U1089">
        <f>R1089/T1089-1</f>
        <v/>
      </c>
      <c r="V1089" t="n">
        <v>2.361232365139196</v>
      </c>
      <c r="W1089" s="5">
        <f>R1089-V1089</f>
        <v/>
      </c>
    </row>
    <row r="1090">
      <c r="A1090" s="3" t="n">
        <v>40044</v>
      </c>
      <c r="B1090">
        <f>Prices!B1090</f>
        <v/>
      </c>
      <c r="C1090">
        <f>Prices!C1090</f>
        <v/>
      </c>
      <c r="D1090">
        <f>Prices!D1090</f>
        <v/>
      </c>
      <c r="E1090">
        <f>Prices!E1090</f>
        <v/>
      </c>
      <c r="F1090">
        <f>Prices!F1090</f>
        <v/>
      </c>
      <c r="G1090">
        <f>IF(AND(1088&gt;=16,TEXT(A1090,"yyyy-mm")&lt;&gt;TEXT(A1091,"yyyy-mm")),1,0)</f>
        <v/>
      </c>
      <c r="H1090">
        <f>IF(OR(H1089=1,G1090=1),1,0)</f>
        <v/>
      </c>
      <c r="I1090">
        <f>IF(H1089=0,1,SUMPRODUCT(J1089:N1089,B1090:F1090)+O1089*(1+0.00023125256064071564))</f>
        <v/>
      </c>
      <c r="J1090">
        <f>IF(G1090=1,0.2*R1090/B1090,J1089)</f>
        <v/>
      </c>
      <c r="K1090">
        <f>IF(G1090=1,0.2*R1090/C1090,K1089)</f>
        <v/>
      </c>
      <c r="L1090">
        <f>IF(G1090=1,0.2*R1090/D1090,L1089)</f>
        <v/>
      </c>
      <c r="M1090">
        <f>IF(G1090=1,0.2*R1090/E1090,M1089)</f>
        <v/>
      </c>
      <c r="N1090">
        <f>IF(G1090=1,0.2*R1090/F1090,N1089)</f>
        <v/>
      </c>
      <c r="O1090">
        <f>IF(G1090=1,R1090*(1-1.0),IF(H1089=0,1,O1089*(1+0.00023125256064071564)))</f>
        <v/>
      </c>
      <c r="P1090">
        <f>IF(G1090=1,IF(H1089=0,1,ABS(0.2-J1089*B1090/I1090)+ABS(0.2-K1089*C1090/I1090)+ABS(0.2-L1089*D1090/I1090)+ABS(0.2-M1089*E1090/I1090)+ABS(0.2-N1089*F1090/I1090)),0)</f>
        <v/>
      </c>
      <c r="Q1090">
        <f>P1090*0.0015</f>
        <v/>
      </c>
      <c r="R1090">
        <f>I1090*(1-Q1090)</f>
        <v/>
      </c>
      <c r="S1090">
        <f>R1090/R1089-1</f>
        <v/>
      </c>
      <c r="T1090">
        <f>MAX(T1089,R1090)</f>
        <v/>
      </c>
      <c r="U1090">
        <f>R1090/T1090-1</f>
        <v/>
      </c>
      <c r="V1090" t="n">
        <v>2.325951280867676</v>
      </c>
      <c r="W1090" s="5">
        <f>R1090-V1090</f>
        <v/>
      </c>
    </row>
    <row r="1091">
      <c r="A1091" s="3" t="n">
        <v>40045</v>
      </c>
      <c r="B1091">
        <f>Prices!B1091</f>
        <v/>
      </c>
      <c r="C1091">
        <f>Prices!C1091</f>
        <v/>
      </c>
      <c r="D1091">
        <f>Prices!D1091</f>
        <v/>
      </c>
      <c r="E1091">
        <f>Prices!E1091</f>
        <v/>
      </c>
      <c r="F1091">
        <f>Prices!F1091</f>
        <v/>
      </c>
      <c r="G1091">
        <f>IF(AND(1089&gt;=16,TEXT(A1091,"yyyy-mm")&lt;&gt;TEXT(A1092,"yyyy-mm")),1,0)</f>
        <v/>
      </c>
      <c r="H1091">
        <f>IF(OR(H1090=1,G1091=1),1,0)</f>
        <v/>
      </c>
      <c r="I1091">
        <f>IF(H1090=0,1,SUMPRODUCT(J1090:N1090,B1091:F1091)+O1090*(1+0.00023125256064071564))</f>
        <v/>
      </c>
      <c r="J1091">
        <f>IF(G1091=1,0.2*R1091/B1091,J1090)</f>
        <v/>
      </c>
      <c r="K1091">
        <f>IF(G1091=1,0.2*R1091/C1091,K1090)</f>
        <v/>
      </c>
      <c r="L1091">
        <f>IF(G1091=1,0.2*R1091/D1091,L1090)</f>
        <v/>
      </c>
      <c r="M1091">
        <f>IF(G1091=1,0.2*R1091/E1091,M1090)</f>
        <v/>
      </c>
      <c r="N1091">
        <f>IF(G1091=1,0.2*R1091/F1091,N1090)</f>
        <v/>
      </c>
      <c r="O1091">
        <f>IF(G1091=1,R1091*(1-1.0),IF(H1090=0,1,O1090*(1+0.00023125256064071564)))</f>
        <v/>
      </c>
      <c r="P1091">
        <f>IF(G1091=1,IF(H1090=0,1,ABS(0.2-J1090*B1091/I1091)+ABS(0.2-K1090*C1091/I1091)+ABS(0.2-L1090*D1091/I1091)+ABS(0.2-M1090*E1091/I1091)+ABS(0.2-N1090*F1091/I1091)),0)</f>
        <v/>
      </c>
      <c r="Q1091">
        <f>P1091*0.0015</f>
        <v/>
      </c>
      <c r="R1091">
        <f>I1091*(1-Q1091)</f>
        <v/>
      </c>
      <c r="S1091">
        <f>R1091/R1090-1</f>
        <v/>
      </c>
      <c r="T1091">
        <f>MAX(T1090,R1091)</f>
        <v/>
      </c>
      <c r="U1091">
        <f>R1091/T1091-1</f>
        <v/>
      </c>
      <c r="V1091" t="n">
        <v>2.35406550204041</v>
      </c>
      <c r="W1091" s="5">
        <f>R1091-V1091</f>
        <v/>
      </c>
    </row>
    <row r="1092">
      <c r="A1092" s="3" t="n">
        <v>40046</v>
      </c>
      <c r="B1092">
        <f>Prices!B1092</f>
        <v/>
      </c>
      <c r="C1092">
        <f>Prices!C1092</f>
        <v/>
      </c>
      <c r="D1092">
        <f>Prices!D1092</f>
        <v/>
      </c>
      <c r="E1092">
        <f>Prices!E1092</f>
        <v/>
      </c>
      <c r="F1092">
        <f>Prices!F1092</f>
        <v/>
      </c>
      <c r="G1092">
        <f>IF(AND(1090&gt;=16,TEXT(A1092,"yyyy-mm")&lt;&gt;TEXT(A1093,"yyyy-mm")),1,0)</f>
        <v/>
      </c>
      <c r="H1092">
        <f>IF(OR(H1091=1,G1092=1),1,0)</f>
        <v/>
      </c>
      <c r="I1092">
        <f>IF(H1091=0,1,SUMPRODUCT(J1091:N1091,B1092:F1092)+O1091*(1+0.00023125256064071564))</f>
        <v/>
      </c>
      <c r="J1092">
        <f>IF(G1092=1,0.2*R1092/B1092,J1091)</f>
        <v/>
      </c>
      <c r="K1092">
        <f>IF(G1092=1,0.2*R1092/C1092,K1091)</f>
        <v/>
      </c>
      <c r="L1092">
        <f>IF(G1092=1,0.2*R1092/D1092,L1091)</f>
        <v/>
      </c>
      <c r="M1092">
        <f>IF(G1092=1,0.2*R1092/E1092,M1091)</f>
        <v/>
      </c>
      <c r="N1092">
        <f>IF(G1092=1,0.2*R1092/F1092,N1091)</f>
        <v/>
      </c>
      <c r="O1092">
        <f>IF(G1092=1,R1092*(1-1.0),IF(H1091=0,1,O1091*(1+0.00023125256064071564)))</f>
        <v/>
      </c>
      <c r="P1092">
        <f>IF(G1092=1,IF(H1091=0,1,ABS(0.2-J1091*B1092/I1092)+ABS(0.2-K1091*C1092/I1092)+ABS(0.2-L1091*D1092/I1092)+ABS(0.2-M1091*E1092/I1092)+ABS(0.2-N1091*F1092/I1092)),0)</f>
        <v/>
      </c>
      <c r="Q1092">
        <f>P1092*0.0015</f>
        <v/>
      </c>
      <c r="R1092">
        <f>I1092*(1-Q1092)</f>
        <v/>
      </c>
      <c r="S1092">
        <f>R1092/R1091-1</f>
        <v/>
      </c>
      <c r="T1092">
        <f>MAX(T1091,R1092)</f>
        <v/>
      </c>
      <c r="U1092">
        <f>R1092/T1092-1</f>
        <v/>
      </c>
      <c r="V1092" t="n">
        <v>2.383840728586947</v>
      </c>
      <c r="W1092" s="5">
        <f>R1092-V1092</f>
        <v/>
      </c>
    </row>
    <row r="1093">
      <c r="A1093" s="3" t="n">
        <v>40049</v>
      </c>
      <c r="B1093">
        <f>Prices!B1093</f>
        <v/>
      </c>
      <c r="C1093">
        <f>Prices!C1093</f>
        <v/>
      </c>
      <c r="D1093">
        <f>Prices!D1093</f>
        <v/>
      </c>
      <c r="E1093">
        <f>Prices!E1093</f>
        <v/>
      </c>
      <c r="F1093">
        <f>Prices!F1093</f>
        <v/>
      </c>
      <c r="G1093">
        <f>IF(AND(1091&gt;=16,TEXT(A1093,"yyyy-mm")&lt;&gt;TEXT(A1094,"yyyy-mm")),1,0)</f>
        <v/>
      </c>
      <c r="H1093">
        <f>IF(OR(H1092=1,G1093=1),1,0)</f>
        <v/>
      </c>
      <c r="I1093">
        <f>IF(H1092=0,1,SUMPRODUCT(J1092:N1092,B1093:F1093)+O1092*(1+0.00023125256064071564))</f>
        <v/>
      </c>
      <c r="J1093">
        <f>IF(G1093=1,0.2*R1093/B1093,J1092)</f>
        <v/>
      </c>
      <c r="K1093">
        <f>IF(G1093=1,0.2*R1093/C1093,K1092)</f>
        <v/>
      </c>
      <c r="L1093">
        <f>IF(G1093=1,0.2*R1093/D1093,L1092)</f>
        <v/>
      </c>
      <c r="M1093">
        <f>IF(G1093=1,0.2*R1093/E1093,M1092)</f>
        <v/>
      </c>
      <c r="N1093">
        <f>IF(G1093=1,0.2*R1093/F1093,N1092)</f>
        <v/>
      </c>
      <c r="O1093">
        <f>IF(G1093=1,R1093*(1-1.0),IF(H1092=0,1,O1092*(1+0.00023125256064071564)))</f>
        <v/>
      </c>
      <c r="P1093">
        <f>IF(G1093=1,IF(H1092=0,1,ABS(0.2-J1092*B1093/I1093)+ABS(0.2-K1092*C1093/I1093)+ABS(0.2-L1092*D1093/I1093)+ABS(0.2-M1092*E1093/I1093)+ABS(0.2-N1092*F1093/I1093)),0)</f>
        <v/>
      </c>
      <c r="Q1093">
        <f>P1093*0.0015</f>
        <v/>
      </c>
      <c r="R1093">
        <f>I1093*(1-Q1093)</f>
        <v/>
      </c>
      <c r="S1093">
        <f>R1093/R1092-1</f>
        <v/>
      </c>
      <c r="T1093">
        <f>MAX(T1092,R1093)</f>
        <v/>
      </c>
      <c r="U1093">
        <f>R1093/T1093-1</f>
        <v/>
      </c>
      <c r="V1093" t="n">
        <v>2.434790424710649</v>
      </c>
      <c r="W1093" s="5">
        <f>R1093-V1093</f>
        <v/>
      </c>
    </row>
    <row r="1094">
      <c r="A1094" s="3" t="n">
        <v>40050</v>
      </c>
      <c r="B1094">
        <f>Prices!B1094</f>
        <v/>
      </c>
      <c r="C1094">
        <f>Prices!C1094</f>
        <v/>
      </c>
      <c r="D1094">
        <f>Prices!D1094</f>
        <v/>
      </c>
      <c r="E1094">
        <f>Prices!E1094</f>
        <v/>
      </c>
      <c r="F1094">
        <f>Prices!F1094</f>
        <v/>
      </c>
      <c r="G1094">
        <f>IF(AND(1092&gt;=16,TEXT(A1094,"yyyy-mm")&lt;&gt;TEXT(A1095,"yyyy-mm")),1,0)</f>
        <v/>
      </c>
      <c r="H1094">
        <f>IF(OR(H1093=1,G1094=1),1,0)</f>
        <v/>
      </c>
      <c r="I1094">
        <f>IF(H1093=0,1,SUMPRODUCT(J1093:N1093,B1094:F1094)+O1093*(1+0.00023125256064071564))</f>
        <v/>
      </c>
      <c r="J1094">
        <f>IF(G1094=1,0.2*R1094/B1094,J1093)</f>
        <v/>
      </c>
      <c r="K1094">
        <f>IF(G1094=1,0.2*R1094/C1094,K1093)</f>
        <v/>
      </c>
      <c r="L1094">
        <f>IF(G1094=1,0.2*R1094/D1094,L1093)</f>
        <v/>
      </c>
      <c r="M1094">
        <f>IF(G1094=1,0.2*R1094/E1094,M1093)</f>
        <v/>
      </c>
      <c r="N1094">
        <f>IF(G1094=1,0.2*R1094/F1094,N1093)</f>
        <v/>
      </c>
      <c r="O1094">
        <f>IF(G1094=1,R1094*(1-1.0),IF(H1093=0,1,O1093*(1+0.00023125256064071564)))</f>
        <v/>
      </c>
      <c r="P1094">
        <f>IF(G1094=1,IF(H1093=0,1,ABS(0.2-J1093*B1094/I1094)+ABS(0.2-K1093*C1094/I1094)+ABS(0.2-L1093*D1094/I1094)+ABS(0.2-M1093*E1094/I1094)+ABS(0.2-N1093*F1094/I1094)),0)</f>
        <v/>
      </c>
      <c r="Q1094">
        <f>P1094*0.0015</f>
        <v/>
      </c>
      <c r="R1094">
        <f>I1094*(1-Q1094)</f>
        <v/>
      </c>
      <c r="S1094">
        <f>R1094/R1093-1</f>
        <v/>
      </c>
      <c r="T1094">
        <f>MAX(T1093,R1094)</f>
        <v/>
      </c>
      <c r="U1094">
        <f>R1094/T1094-1</f>
        <v/>
      </c>
      <c r="V1094" t="n">
        <v>2.441773096747582</v>
      </c>
      <c r="W1094" s="5">
        <f>R1094-V1094</f>
        <v/>
      </c>
    </row>
    <row r="1095">
      <c r="A1095" s="3" t="n">
        <v>40051</v>
      </c>
      <c r="B1095">
        <f>Prices!B1095</f>
        <v/>
      </c>
      <c r="C1095">
        <f>Prices!C1095</f>
        <v/>
      </c>
      <c r="D1095">
        <f>Prices!D1095</f>
        <v/>
      </c>
      <c r="E1095">
        <f>Prices!E1095</f>
        <v/>
      </c>
      <c r="F1095">
        <f>Prices!F1095</f>
        <v/>
      </c>
      <c r="G1095">
        <f>IF(AND(1093&gt;=16,TEXT(A1095,"yyyy-mm")&lt;&gt;TEXT(A1096,"yyyy-mm")),1,0)</f>
        <v/>
      </c>
      <c r="H1095">
        <f>IF(OR(H1094=1,G1095=1),1,0)</f>
        <v/>
      </c>
      <c r="I1095">
        <f>IF(H1094=0,1,SUMPRODUCT(J1094:N1094,B1095:F1095)+O1094*(1+0.00023125256064071564))</f>
        <v/>
      </c>
      <c r="J1095">
        <f>IF(G1095=1,0.2*R1095/B1095,J1094)</f>
        <v/>
      </c>
      <c r="K1095">
        <f>IF(G1095=1,0.2*R1095/C1095,K1094)</f>
        <v/>
      </c>
      <c r="L1095">
        <f>IF(G1095=1,0.2*R1095/D1095,L1094)</f>
        <v/>
      </c>
      <c r="M1095">
        <f>IF(G1095=1,0.2*R1095/E1095,M1094)</f>
        <v/>
      </c>
      <c r="N1095">
        <f>IF(G1095=1,0.2*R1095/F1095,N1094)</f>
        <v/>
      </c>
      <c r="O1095">
        <f>IF(G1095=1,R1095*(1-1.0),IF(H1094=0,1,O1094*(1+0.00023125256064071564)))</f>
        <v/>
      </c>
      <c r="P1095">
        <f>IF(G1095=1,IF(H1094=0,1,ABS(0.2-J1094*B1095/I1095)+ABS(0.2-K1094*C1095/I1095)+ABS(0.2-L1094*D1095/I1095)+ABS(0.2-M1094*E1095/I1095)+ABS(0.2-N1094*F1095/I1095)),0)</f>
        <v/>
      </c>
      <c r="Q1095">
        <f>P1095*0.0015</f>
        <v/>
      </c>
      <c r="R1095">
        <f>I1095*(1-Q1095)</f>
        <v/>
      </c>
      <c r="S1095">
        <f>R1095/R1094-1</f>
        <v/>
      </c>
      <c r="T1095">
        <f>MAX(T1094,R1095)</f>
        <v/>
      </c>
      <c r="U1095">
        <f>R1095/T1095-1</f>
        <v/>
      </c>
      <c r="V1095" t="n">
        <v>2.458543092015637</v>
      </c>
      <c r="W1095" s="5">
        <f>R1095-V1095</f>
        <v/>
      </c>
    </row>
    <row r="1096">
      <c r="A1096" s="3" t="n">
        <v>40052</v>
      </c>
      <c r="B1096">
        <f>Prices!B1096</f>
        <v/>
      </c>
      <c r="C1096">
        <f>Prices!C1096</f>
        <v/>
      </c>
      <c r="D1096">
        <f>Prices!D1096</f>
        <v/>
      </c>
      <c r="E1096">
        <f>Prices!E1096</f>
        <v/>
      </c>
      <c r="F1096">
        <f>Prices!F1096</f>
        <v/>
      </c>
      <c r="G1096">
        <f>IF(AND(1094&gt;=16,TEXT(A1096,"yyyy-mm")&lt;&gt;TEXT(A1097,"yyyy-mm")),1,0)</f>
        <v/>
      </c>
      <c r="H1096">
        <f>IF(OR(H1095=1,G1096=1),1,0)</f>
        <v/>
      </c>
      <c r="I1096">
        <f>IF(H1095=0,1,SUMPRODUCT(J1095:N1095,B1096:F1096)+O1095*(1+0.00023125256064071564))</f>
        <v/>
      </c>
      <c r="J1096">
        <f>IF(G1096=1,0.2*R1096/B1096,J1095)</f>
        <v/>
      </c>
      <c r="K1096">
        <f>IF(G1096=1,0.2*R1096/C1096,K1095)</f>
        <v/>
      </c>
      <c r="L1096">
        <f>IF(G1096=1,0.2*R1096/D1096,L1095)</f>
        <v/>
      </c>
      <c r="M1096">
        <f>IF(G1096=1,0.2*R1096/E1096,M1095)</f>
        <v/>
      </c>
      <c r="N1096">
        <f>IF(G1096=1,0.2*R1096/F1096,N1095)</f>
        <v/>
      </c>
      <c r="O1096">
        <f>IF(G1096=1,R1096*(1-1.0),IF(H1095=0,1,O1095*(1+0.00023125256064071564)))</f>
        <v/>
      </c>
      <c r="P1096">
        <f>IF(G1096=1,IF(H1095=0,1,ABS(0.2-J1095*B1096/I1096)+ABS(0.2-K1095*C1096/I1096)+ABS(0.2-L1095*D1096/I1096)+ABS(0.2-M1095*E1096/I1096)+ABS(0.2-N1095*F1096/I1096)),0)</f>
        <v/>
      </c>
      <c r="Q1096">
        <f>P1096*0.0015</f>
        <v/>
      </c>
      <c r="R1096">
        <f>I1096*(1-Q1096)</f>
        <v/>
      </c>
      <c r="S1096">
        <f>R1096/R1095-1</f>
        <v/>
      </c>
      <c r="T1096">
        <f>MAX(T1095,R1096)</f>
        <v/>
      </c>
      <c r="U1096">
        <f>R1096/T1096-1</f>
        <v/>
      </c>
      <c r="V1096" t="n">
        <v>2.460093843688544</v>
      </c>
      <c r="W1096" s="5">
        <f>R1096-V1096</f>
        <v/>
      </c>
    </row>
    <row r="1097">
      <c r="A1097" s="3" t="n">
        <v>40053</v>
      </c>
      <c r="B1097">
        <f>Prices!B1097</f>
        <v/>
      </c>
      <c r="C1097">
        <f>Prices!C1097</f>
        <v/>
      </c>
      <c r="D1097">
        <f>Prices!D1097</f>
        <v/>
      </c>
      <c r="E1097">
        <f>Prices!E1097</f>
        <v/>
      </c>
      <c r="F1097">
        <f>Prices!F1097</f>
        <v/>
      </c>
      <c r="G1097">
        <f>IF(AND(1095&gt;=16,TEXT(A1097,"yyyy-mm")&lt;&gt;TEXT(A1098,"yyyy-mm")),1,0)</f>
        <v/>
      </c>
      <c r="H1097">
        <f>IF(OR(H1096=1,G1097=1),1,0)</f>
        <v/>
      </c>
      <c r="I1097">
        <f>IF(H1096=0,1,SUMPRODUCT(J1096:N1096,B1097:F1097)+O1096*(1+0.00023125256064071564))</f>
        <v/>
      </c>
      <c r="J1097">
        <f>IF(G1097=1,0.2*R1097/B1097,J1096)</f>
        <v/>
      </c>
      <c r="K1097">
        <f>IF(G1097=1,0.2*R1097/C1097,K1096)</f>
        <v/>
      </c>
      <c r="L1097">
        <f>IF(G1097=1,0.2*R1097/D1097,L1096)</f>
        <v/>
      </c>
      <c r="M1097">
        <f>IF(G1097=1,0.2*R1097/E1097,M1096)</f>
        <v/>
      </c>
      <c r="N1097">
        <f>IF(G1097=1,0.2*R1097/F1097,N1096)</f>
        <v/>
      </c>
      <c r="O1097">
        <f>IF(G1097=1,R1097*(1-1.0),IF(H1096=0,1,O1096*(1+0.00023125256064071564)))</f>
        <v/>
      </c>
      <c r="P1097">
        <f>IF(G1097=1,IF(H1096=0,1,ABS(0.2-J1096*B1097/I1097)+ABS(0.2-K1096*C1097/I1097)+ABS(0.2-L1096*D1097/I1097)+ABS(0.2-M1096*E1097/I1097)+ABS(0.2-N1096*F1097/I1097)),0)</f>
        <v/>
      </c>
      <c r="Q1097">
        <f>P1097*0.0015</f>
        <v/>
      </c>
      <c r="R1097">
        <f>I1097*(1-Q1097)</f>
        <v/>
      </c>
      <c r="S1097">
        <f>R1097/R1096-1</f>
        <v/>
      </c>
      <c r="T1097">
        <f>MAX(T1096,R1097)</f>
        <v/>
      </c>
      <c r="U1097">
        <f>R1097/T1097-1</f>
        <v/>
      </c>
      <c r="V1097" t="n">
        <v>2.476290667518579</v>
      </c>
      <c r="W1097" s="5">
        <f>R1097-V1097</f>
        <v/>
      </c>
    </row>
    <row r="1098">
      <c r="A1098" s="3" t="n">
        <v>40056</v>
      </c>
      <c r="B1098">
        <f>Prices!B1098</f>
        <v/>
      </c>
      <c r="C1098">
        <f>Prices!C1098</f>
        <v/>
      </c>
      <c r="D1098">
        <f>Prices!D1098</f>
        <v/>
      </c>
      <c r="E1098">
        <f>Prices!E1098</f>
        <v/>
      </c>
      <c r="F1098">
        <f>Prices!F1098</f>
        <v/>
      </c>
      <c r="G1098">
        <f>IF(AND(1096&gt;=16,TEXT(A1098,"yyyy-mm")&lt;&gt;TEXT(A1099,"yyyy-mm")),1,0)</f>
        <v/>
      </c>
      <c r="H1098">
        <f>IF(OR(H1097=1,G1098=1),1,0)</f>
        <v/>
      </c>
      <c r="I1098">
        <f>IF(H1097=0,1,SUMPRODUCT(J1097:N1097,B1098:F1098)+O1097*(1+0.00023125256064071564))</f>
        <v/>
      </c>
      <c r="J1098">
        <f>IF(G1098=1,0.2*R1098/B1098,J1097)</f>
        <v/>
      </c>
      <c r="K1098">
        <f>IF(G1098=1,0.2*R1098/C1098,K1097)</f>
        <v/>
      </c>
      <c r="L1098">
        <f>IF(G1098=1,0.2*R1098/D1098,L1097)</f>
        <v/>
      </c>
      <c r="M1098">
        <f>IF(G1098=1,0.2*R1098/E1098,M1097)</f>
        <v/>
      </c>
      <c r="N1098">
        <f>IF(G1098=1,0.2*R1098/F1098,N1097)</f>
        <v/>
      </c>
      <c r="O1098">
        <f>IF(G1098=1,R1098*(1-1.0),IF(H1097=0,1,O1097*(1+0.00023125256064071564)))</f>
        <v/>
      </c>
      <c r="P1098">
        <f>IF(G1098=1,IF(H1097=0,1,ABS(0.2-J1097*B1098/I1098)+ABS(0.2-K1097*C1098/I1098)+ABS(0.2-L1097*D1098/I1098)+ABS(0.2-M1097*E1098/I1098)+ABS(0.2-N1097*F1098/I1098)),0)</f>
        <v/>
      </c>
      <c r="Q1098">
        <f>P1098*0.0015</f>
        <v/>
      </c>
      <c r="R1098">
        <f>I1098*(1-Q1098)</f>
        <v/>
      </c>
      <c r="S1098">
        <f>R1098/R1097-1</f>
        <v/>
      </c>
      <c r="T1098">
        <f>MAX(T1097,R1098)</f>
        <v/>
      </c>
      <c r="U1098">
        <f>R1098/T1098-1</f>
        <v/>
      </c>
      <c r="V1098" t="n">
        <v>2.476070264398731</v>
      </c>
      <c r="W1098" s="5">
        <f>R1098-V1098</f>
        <v/>
      </c>
    </row>
    <row r="1099">
      <c r="A1099" s="3" t="n">
        <v>40057</v>
      </c>
      <c r="B1099">
        <f>Prices!B1099</f>
        <v/>
      </c>
      <c r="C1099">
        <f>Prices!C1099</f>
        <v/>
      </c>
      <c r="D1099">
        <f>Prices!D1099</f>
        <v/>
      </c>
      <c r="E1099">
        <f>Prices!E1099</f>
        <v/>
      </c>
      <c r="F1099">
        <f>Prices!F1099</f>
        <v/>
      </c>
      <c r="G1099">
        <f>IF(AND(1097&gt;=16,TEXT(A1099,"yyyy-mm")&lt;&gt;TEXT(A1100,"yyyy-mm")),1,0)</f>
        <v/>
      </c>
      <c r="H1099">
        <f>IF(OR(H1098=1,G1099=1),1,0)</f>
        <v/>
      </c>
      <c r="I1099">
        <f>IF(H1098=0,1,SUMPRODUCT(J1098:N1098,B1099:F1099)+O1098*(1+0.00023125256064071564))</f>
        <v/>
      </c>
      <c r="J1099">
        <f>IF(G1099=1,0.2*R1099/B1099,J1098)</f>
        <v/>
      </c>
      <c r="K1099">
        <f>IF(G1099=1,0.2*R1099/C1099,K1098)</f>
        <v/>
      </c>
      <c r="L1099">
        <f>IF(G1099=1,0.2*R1099/D1099,L1098)</f>
        <v/>
      </c>
      <c r="M1099">
        <f>IF(G1099=1,0.2*R1099/E1099,M1098)</f>
        <v/>
      </c>
      <c r="N1099">
        <f>IF(G1099=1,0.2*R1099/F1099,N1098)</f>
        <v/>
      </c>
      <c r="O1099">
        <f>IF(G1099=1,R1099*(1-1.0),IF(H1098=0,1,O1098*(1+0.00023125256064071564)))</f>
        <v/>
      </c>
      <c r="P1099">
        <f>IF(G1099=1,IF(H1098=0,1,ABS(0.2-J1098*B1099/I1099)+ABS(0.2-K1098*C1099/I1099)+ABS(0.2-L1098*D1099/I1099)+ABS(0.2-M1098*E1099/I1099)+ABS(0.2-N1098*F1099/I1099)),0)</f>
        <v/>
      </c>
      <c r="Q1099">
        <f>P1099*0.0015</f>
        <v/>
      </c>
      <c r="R1099">
        <f>I1099*(1-Q1099)</f>
        <v/>
      </c>
      <c r="S1099">
        <f>R1099/R1098-1</f>
        <v/>
      </c>
      <c r="T1099">
        <f>MAX(T1098,R1099)</f>
        <v/>
      </c>
      <c r="U1099">
        <f>R1099/T1099-1</f>
        <v/>
      </c>
      <c r="V1099" t="n">
        <v>2.456428204868695</v>
      </c>
      <c r="W1099" s="5">
        <f>R1099-V1099</f>
        <v/>
      </c>
    </row>
    <row r="1100">
      <c r="A1100" s="3" t="n">
        <v>40058</v>
      </c>
      <c r="B1100">
        <f>Prices!B1100</f>
        <v/>
      </c>
      <c r="C1100">
        <f>Prices!C1100</f>
        <v/>
      </c>
      <c r="D1100">
        <f>Prices!D1100</f>
        <v/>
      </c>
      <c r="E1100">
        <f>Prices!E1100</f>
        <v/>
      </c>
      <c r="F1100">
        <f>Prices!F1100</f>
        <v/>
      </c>
      <c r="G1100">
        <f>IF(AND(1098&gt;=16,TEXT(A1100,"yyyy-mm")&lt;&gt;TEXT(A1101,"yyyy-mm")),1,0)</f>
        <v/>
      </c>
      <c r="H1100">
        <f>IF(OR(H1099=1,G1100=1),1,0)</f>
        <v/>
      </c>
      <c r="I1100">
        <f>IF(H1099=0,1,SUMPRODUCT(J1099:N1099,B1100:F1100)+O1099*(1+0.00023125256064071564))</f>
        <v/>
      </c>
      <c r="J1100">
        <f>IF(G1100=1,0.2*R1100/B1100,J1099)</f>
        <v/>
      </c>
      <c r="K1100">
        <f>IF(G1100=1,0.2*R1100/C1100,K1099)</f>
        <v/>
      </c>
      <c r="L1100">
        <f>IF(G1100=1,0.2*R1100/D1100,L1099)</f>
        <v/>
      </c>
      <c r="M1100">
        <f>IF(G1100=1,0.2*R1100/E1100,M1099)</f>
        <v/>
      </c>
      <c r="N1100">
        <f>IF(G1100=1,0.2*R1100/F1100,N1099)</f>
        <v/>
      </c>
      <c r="O1100">
        <f>IF(G1100=1,R1100*(1-1.0),IF(H1099=0,1,O1099*(1+0.00023125256064071564)))</f>
        <v/>
      </c>
      <c r="P1100">
        <f>IF(G1100=1,IF(H1099=0,1,ABS(0.2-J1099*B1100/I1100)+ABS(0.2-K1099*C1100/I1100)+ABS(0.2-L1099*D1100/I1100)+ABS(0.2-M1099*E1100/I1100)+ABS(0.2-N1099*F1100/I1100)),0)</f>
        <v/>
      </c>
      <c r="Q1100">
        <f>P1100*0.0015</f>
        <v/>
      </c>
      <c r="R1100">
        <f>I1100*(1-Q1100)</f>
        <v/>
      </c>
      <c r="S1100">
        <f>R1100/R1099-1</f>
        <v/>
      </c>
      <c r="T1100">
        <f>MAX(T1099,R1100)</f>
        <v/>
      </c>
      <c r="U1100">
        <f>R1100/T1100-1</f>
        <v/>
      </c>
      <c r="V1100" t="n">
        <v>2.452749903273215</v>
      </c>
      <c r="W1100" s="5">
        <f>R1100-V1100</f>
        <v/>
      </c>
    </row>
    <row r="1101">
      <c r="A1101" s="3" t="n">
        <v>40059</v>
      </c>
      <c r="B1101">
        <f>Prices!B1101</f>
        <v/>
      </c>
      <c r="C1101">
        <f>Prices!C1101</f>
        <v/>
      </c>
      <c r="D1101">
        <f>Prices!D1101</f>
        <v/>
      </c>
      <c r="E1101">
        <f>Prices!E1101</f>
        <v/>
      </c>
      <c r="F1101">
        <f>Prices!F1101</f>
        <v/>
      </c>
      <c r="G1101">
        <f>IF(AND(1099&gt;=16,TEXT(A1101,"yyyy-mm")&lt;&gt;TEXT(A1102,"yyyy-mm")),1,0)</f>
        <v/>
      </c>
      <c r="H1101">
        <f>IF(OR(H1100=1,G1101=1),1,0)</f>
        <v/>
      </c>
      <c r="I1101">
        <f>IF(H1100=0,1,SUMPRODUCT(J1100:N1100,B1101:F1101)+O1100*(1+0.00023125256064071564))</f>
        <v/>
      </c>
      <c r="J1101">
        <f>IF(G1101=1,0.2*R1101/B1101,J1100)</f>
        <v/>
      </c>
      <c r="K1101">
        <f>IF(G1101=1,0.2*R1101/C1101,K1100)</f>
        <v/>
      </c>
      <c r="L1101">
        <f>IF(G1101=1,0.2*R1101/D1101,L1100)</f>
        <v/>
      </c>
      <c r="M1101">
        <f>IF(G1101=1,0.2*R1101/E1101,M1100)</f>
        <v/>
      </c>
      <c r="N1101">
        <f>IF(G1101=1,0.2*R1101/F1101,N1100)</f>
        <v/>
      </c>
      <c r="O1101">
        <f>IF(G1101=1,R1101*(1-1.0),IF(H1100=0,1,O1100*(1+0.00023125256064071564)))</f>
        <v/>
      </c>
      <c r="P1101">
        <f>IF(G1101=1,IF(H1100=0,1,ABS(0.2-J1100*B1101/I1101)+ABS(0.2-K1100*C1101/I1101)+ABS(0.2-L1100*D1101/I1101)+ABS(0.2-M1100*E1101/I1101)+ABS(0.2-N1100*F1101/I1101)),0)</f>
        <v/>
      </c>
      <c r="Q1101">
        <f>P1101*0.0015</f>
        <v/>
      </c>
      <c r="R1101">
        <f>I1101*(1-Q1101)</f>
        <v/>
      </c>
      <c r="S1101">
        <f>R1101/R1100-1</f>
        <v/>
      </c>
      <c r="T1101">
        <f>MAX(T1100,R1101)</f>
        <v/>
      </c>
      <c r="U1101">
        <f>R1101/T1101-1</f>
        <v/>
      </c>
      <c r="V1101" t="n">
        <v>2.457251446230496</v>
      </c>
      <c r="W1101" s="5">
        <f>R1101-V1101</f>
        <v/>
      </c>
    </row>
    <row r="1102">
      <c r="A1102" s="3" t="n">
        <v>40060</v>
      </c>
      <c r="B1102">
        <f>Prices!B1102</f>
        <v/>
      </c>
      <c r="C1102">
        <f>Prices!C1102</f>
        <v/>
      </c>
      <c r="D1102">
        <f>Prices!D1102</f>
        <v/>
      </c>
      <c r="E1102">
        <f>Prices!E1102</f>
        <v/>
      </c>
      <c r="F1102">
        <f>Prices!F1102</f>
        <v/>
      </c>
      <c r="G1102">
        <f>IF(AND(1100&gt;=16,TEXT(A1102,"yyyy-mm")&lt;&gt;TEXT(A1103,"yyyy-mm")),1,0)</f>
        <v/>
      </c>
      <c r="H1102">
        <f>IF(OR(H1101=1,G1102=1),1,0)</f>
        <v/>
      </c>
      <c r="I1102">
        <f>IF(H1101=0,1,SUMPRODUCT(J1101:N1101,B1102:F1102)+O1101*(1+0.00023125256064071564))</f>
        <v/>
      </c>
      <c r="J1102">
        <f>IF(G1102=1,0.2*R1102/B1102,J1101)</f>
        <v/>
      </c>
      <c r="K1102">
        <f>IF(G1102=1,0.2*R1102/C1102,K1101)</f>
        <v/>
      </c>
      <c r="L1102">
        <f>IF(G1102=1,0.2*R1102/D1102,L1101)</f>
        <v/>
      </c>
      <c r="M1102">
        <f>IF(G1102=1,0.2*R1102/E1102,M1101)</f>
        <v/>
      </c>
      <c r="N1102">
        <f>IF(G1102=1,0.2*R1102/F1102,N1101)</f>
        <v/>
      </c>
      <c r="O1102">
        <f>IF(G1102=1,R1102*(1-1.0),IF(H1101=0,1,O1101*(1+0.00023125256064071564)))</f>
        <v/>
      </c>
      <c r="P1102">
        <f>IF(G1102=1,IF(H1101=0,1,ABS(0.2-J1101*B1102/I1102)+ABS(0.2-K1101*C1102/I1102)+ABS(0.2-L1101*D1102/I1102)+ABS(0.2-M1101*E1102/I1102)+ABS(0.2-N1101*F1102/I1102)),0)</f>
        <v/>
      </c>
      <c r="Q1102">
        <f>P1102*0.0015</f>
        <v/>
      </c>
      <c r="R1102">
        <f>I1102*(1-Q1102)</f>
        <v/>
      </c>
      <c r="S1102">
        <f>R1102/R1101-1</f>
        <v/>
      </c>
      <c r="T1102">
        <f>MAX(T1101,R1102)</f>
        <v/>
      </c>
      <c r="U1102">
        <f>R1102/T1102-1</f>
        <v/>
      </c>
      <c r="V1102" t="n">
        <v>2.487636070726069</v>
      </c>
      <c r="W1102" s="5">
        <f>R1102-V1102</f>
        <v/>
      </c>
    </row>
    <row r="1103">
      <c r="A1103" s="3" t="n">
        <v>40063</v>
      </c>
      <c r="B1103">
        <f>Prices!B1103</f>
        <v/>
      </c>
      <c r="C1103">
        <f>Prices!C1103</f>
        <v/>
      </c>
      <c r="D1103">
        <f>Prices!D1103</f>
        <v/>
      </c>
      <c r="E1103">
        <f>Prices!E1103</f>
        <v/>
      </c>
      <c r="F1103">
        <f>Prices!F1103</f>
        <v/>
      </c>
      <c r="G1103">
        <f>IF(AND(1101&gt;=16,TEXT(A1103,"yyyy-mm")&lt;&gt;TEXT(A1104,"yyyy-mm")),1,0)</f>
        <v/>
      </c>
      <c r="H1103">
        <f>IF(OR(H1102=1,G1103=1),1,0)</f>
        <v/>
      </c>
      <c r="I1103">
        <f>IF(H1102=0,1,SUMPRODUCT(J1102:N1102,B1103:F1103)+O1102*(1+0.00023125256064071564))</f>
        <v/>
      </c>
      <c r="J1103">
        <f>IF(G1103=1,0.2*R1103/B1103,J1102)</f>
        <v/>
      </c>
      <c r="K1103">
        <f>IF(G1103=1,0.2*R1103/C1103,K1102)</f>
        <v/>
      </c>
      <c r="L1103">
        <f>IF(G1103=1,0.2*R1103/D1103,L1102)</f>
        <v/>
      </c>
      <c r="M1103">
        <f>IF(G1103=1,0.2*R1103/E1103,M1102)</f>
        <v/>
      </c>
      <c r="N1103">
        <f>IF(G1103=1,0.2*R1103/F1103,N1102)</f>
        <v/>
      </c>
      <c r="O1103">
        <f>IF(G1103=1,R1103*(1-1.0),IF(H1102=0,1,O1102*(1+0.00023125256064071564)))</f>
        <v/>
      </c>
      <c r="P1103">
        <f>IF(G1103=1,IF(H1102=0,1,ABS(0.2-J1102*B1103/I1103)+ABS(0.2-K1102*C1103/I1103)+ABS(0.2-L1102*D1103/I1103)+ABS(0.2-M1102*E1103/I1103)+ABS(0.2-N1102*F1103/I1103)),0)</f>
        <v/>
      </c>
      <c r="Q1103">
        <f>P1103*0.0015</f>
        <v/>
      </c>
      <c r="R1103">
        <f>I1103*(1-Q1103)</f>
        <v/>
      </c>
      <c r="S1103">
        <f>R1103/R1102-1</f>
        <v/>
      </c>
      <c r="T1103">
        <f>MAX(T1102,R1103)</f>
        <v/>
      </c>
      <c r="U1103">
        <f>R1103/T1103-1</f>
        <v/>
      </c>
      <c r="V1103" t="n">
        <v>2.528517700969198</v>
      </c>
      <c r="W1103" s="5">
        <f>R1103-V1103</f>
        <v/>
      </c>
    </row>
    <row r="1104">
      <c r="A1104" s="3" t="n">
        <v>40064</v>
      </c>
      <c r="B1104">
        <f>Prices!B1104</f>
        <v/>
      </c>
      <c r="C1104">
        <f>Prices!C1104</f>
        <v/>
      </c>
      <c r="D1104">
        <f>Prices!D1104</f>
        <v/>
      </c>
      <c r="E1104">
        <f>Prices!E1104</f>
        <v/>
      </c>
      <c r="F1104">
        <f>Prices!F1104</f>
        <v/>
      </c>
      <c r="G1104">
        <f>IF(AND(1102&gt;=16,TEXT(A1104,"yyyy-mm")&lt;&gt;TEXT(A1105,"yyyy-mm")),1,0)</f>
        <v/>
      </c>
      <c r="H1104">
        <f>IF(OR(H1103=1,G1104=1),1,0)</f>
        <v/>
      </c>
      <c r="I1104">
        <f>IF(H1103=0,1,SUMPRODUCT(J1103:N1103,B1104:F1104)+O1103*(1+0.00023125256064071564))</f>
        <v/>
      </c>
      <c r="J1104">
        <f>IF(G1104=1,0.2*R1104/B1104,J1103)</f>
        <v/>
      </c>
      <c r="K1104">
        <f>IF(G1104=1,0.2*R1104/C1104,K1103)</f>
        <v/>
      </c>
      <c r="L1104">
        <f>IF(G1104=1,0.2*R1104/D1104,L1103)</f>
        <v/>
      </c>
      <c r="M1104">
        <f>IF(G1104=1,0.2*R1104/E1104,M1103)</f>
        <v/>
      </c>
      <c r="N1104">
        <f>IF(G1104=1,0.2*R1104/F1104,N1103)</f>
        <v/>
      </c>
      <c r="O1104">
        <f>IF(G1104=1,R1104*(1-1.0),IF(H1103=0,1,O1103*(1+0.00023125256064071564)))</f>
        <v/>
      </c>
      <c r="P1104">
        <f>IF(G1104=1,IF(H1103=0,1,ABS(0.2-J1103*B1104/I1104)+ABS(0.2-K1103*C1104/I1104)+ABS(0.2-L1103*D1104/I1104)+ABS(0.2-M1103*E1104/I1104)+ABS(0.2-N1103*F1104/I1104)),0)</f>
        <v/>
      </c>
      <c r="Q1104">
        <f>P1104*0.0015</f>
        <v/>
      </c>
      <c r="R1104">
        <f>I1104*(1-Q1104)</f>
        <v/>
      </c>
      <c r="S1104">
        <f>R1104/R1103-1</f>
        <v/>
      </c>
      <c r="T1104">
        <f>MAX(T1103,R1104)</f>
        <v/>
      </c>
      <c r="U1104">
        <f>R1104/T1104-1</f>
        <v/>
      </c>
      <c r="V1104" t="n">
        <v>2.527518386455569</v>
      </c>
      <c r="W1104" s="5">
        <f>R1104-V1104</f>
        <v/>
      </c>
    </row>
    <row r="1105">
      <c r="A1105" s="3" t="n">
        <v>40065</v>
      </c>
      <c r="B1105">
        <f>Prices!B1105</f>
        <v/>
      </c>
      <c r="C1105">
        <f>Prices!C1105</f>
        <v/>
      </c>
      <c r="D1105">
        <f>Prices!D1105</f>
        <v/>
      </c>
      <c r="E1105">
        <f>Prices!E1105</f>
        <v/>
      </c>
      <c r="F1105">
        <f>Prices!F1105</f>
        <v/>
      </c>
      <c r="G1105">
        <f>IF(AND(1103&gt;=16,TEXT(A1105,"yyyy-mm")&lt;&gt;TEXT(A1106,"yyyy-mm")),1,0)</f>
        <v/>
      </c>
      <c r="H1105">
        <f>IF(OR(H1104=1,G1105=1),1,0)</f>
        <v/>
      </c>
      <c r="I1105">
        <f>IF(H1104=0,1,SUMPRODUCT(J1104:N1104,B1105:F1105)+O1104*(1+0.00023125256064071564))</f>
        <v/>
      </c>
      <c r="J1105">
        <f>IF(G1105=1,0.2*R1105/B1105,J1104)</f>
        <v/>
      </c>
      <c r="K1105">
        <f>IF(G1105=1,0.2*R1105/C1105,K1104)</f>
        <v/>
      </c>
      <c r="L1105">
        <f>IF(G1105=1,0.2*R1105/D1105,L1104)</f>
        <v/>
      </c>
      <c r="M1105">
        <f>IF(G1105=1,0.2*R1105/E1105,M1104)</f>
        <v/>
      </c>
      <c r="N1105">
        <f>IF(G1105=1,0.2*R1105/F1105,N1104)</f>
        <v/>
      </c>
      <c r="O1105">
        <f>IF(G1105=1,R1105*(1-1.0),IF(H1104=0,1,O1104*(1+0.00023125256064071564)))</f>
        <v/>
      </c>
      <c r="P1105">
        <f>IF(G1105=1,IF(H1104=0,1,ABS(0.2-J1104*B1105/I1105)+ABS(0.2-K1104*C1105/I1105)+ABS(0.2-L1104*D1105/I1105)+ABS(0.2-M1104*E1105/I1105)+ABS(0.2-N1104*F1105/I1105)),0)</f>
        <v/>
      </c>
      <c r="Q1105">
        <f>P1105*0.0015</f>
        <v/>
      </c>
      <c r="R1105">
        <f>I1105*(1-Q1105)</f>
        <v/>
      </c>
      <c r="S1105">
        <f>R1105/R1104-1</f>
        <v/>
      </c>
      <c r="T1105">
        <f>MAX(T1104,R1105)</f>
        <v/>
      </c>
      <c r="U1105">
        <f>R1105/T1105-1</f>
        <v/>
      </c>
      <c r="V1105" t="n">
        <v>2.522963872546477</v>
      </c>
      <c r="W1105" s="5">
        <f>R1105-V1105</f>
        <v/>
      </c>
    </row>
    <row r="1106">
      <c r="A1106" s="3" t="n">
        <v>40066</v>
      </c>
      <c r="B1106">
        <f>Prices!B1106</f>
        <v/>
      </c>
      <c r="C1106">
        <f>Prices!C1106</f>
        <v/>
      </c>
      <c r="D1106">
        <f>Prices!D1106</f>
        <v/>
      </c>
      <c r="E1106">
        <f>Prices!E1106</f>
        <v/>
      </c>
      <c r="F1106">
        <f>Prices!F1106</f>
        <v/>
      </c>
      <c r="G1106">
        <f>IF(AND(1104&gt;=16,TEXT(A1106,"yyyy-mm")&lt;&gt;TEXT(A1107,"yyyy-mm")),1,0)</f>
        <v/>
      </c>
      <c r="H1106">
        <f>IF(OR(H1105=1,G1106=1),1,0)</f>
        <v/>
      </c>
      <c r="I1106">
        <f>IF(H1105=0,1,SUMPRODUCT(J1105:N1105,B1106:F1106)+O1105*(1+0.00023125256064071564))</f>
        <v/>
      </c>
      <c r="J1106">
        <f>IF(G1106=1,0.2*R1106/B1106,J1105)</f>
        <v/>
      </c>
      <c r="K1106">
        <f>IF(G1106=1,0.2*R1106/C1106,K1105)</f>
        <v/>
      </c>
      <c r="L1106">
        <f>IF(G1106=1,0.2*R1106/D1106,L1105)</f>
        <v/>
      </c>
      <c r="M1106">
        <f>IF(G1106=1,0.2*R1106/E1106,M1105)</f>
        <v/>
      </c>
      <c r="N1106">
        <f>IF(G1106=1,0.2*R1106/F1106,N1105)</f>
        <v/>
      </c>
      <c r="O1106">
        <f>IF(G1106=1,R1106*(1-1.0),IF(H1105=0,1,O1105*(1+0.00023125256064071564)))</f>
        <v/>
      </c>
      <c r="P1106">
        <f>IF(G1106=1,IF(H1105=0,1,ABS(0.2-J1105*B1106/I1106)+ABS(0.2-K1105*C1106/I1106)+ABS(0.2-L1105*D1106/I1106)+ABS(0.2-M1105*E1106/I1106)+ABS(0.2-N1105*F1106/I1106)),0)</f>
        <v/>
      </c>
      <c r="Q1106">
        <f>P1106*0.0015</f>
        <v/>
      </c>
      <c r="R1106">
        <f>I1106*(1-Q1106)</f>
        <v/>
      </c>
      <c r="S1106">
        <f>R1106/R1105-1</f>
        <v/>
      </c>
      <c r="T1106">
        <f>MAX(T1105,R1106)</f>
        <v/>
      </c>
      <c r="U1106">
        <f>R1106/T1106-1</f>
        <v/>
      </c>
      <c r="V1106" t="n">
        <v>2.521401197475003</v>
      </c>
      <c r="W1106" s="5">
        <f>R1106-V1106</f>
        <v/>
      </c>
    </row>
    <row r="1107">
      <c r="A1107" s="3" t="n">
        <v>40067</v>
      </c>
      <c r="B1107">
        <f>Prices!B1107</f>
        <v/>
      </c>
      <c r="C1107">
        <f>Prices!C1107</f>
        <v/>
      </c>
      <c r="D1107">
        <f>Prices!D1107</f>
        <v/>
      </c>
      <c r="E1107">
        <f>Prices!E1107</f>
        <v/>
      </c>
      <c r="F1107">
        <f>Prices!F1107</f>
        <v/>
      </c>
      <c r="G1107">
        <f>IF(AND(1105&gt;=16,TEXT(A1107,"yyyy-mm")&lt;&gt;TEXT(A1108,"yyyy-mm")),1,0)</f>
        <v/>
      </c>
      <c r="H1107">
        <f>IF(OR(H1106=1,G1107=1),1,0)</f>
        <v/>
      </c>
      <c r="I1107">
        <f>IF(H1106=0,1,SUMPRODUCT(J1106:N1106,B1107:F1107)+O1106*(1+0.00023125256064071564))</f>
        <v/>
      </c>
      <c r="J1107">
        <f>IF(G1107=1,0.2*R1107/B1107,J1106)</f>
        <v/>
      </c>
      <c r="K1107">
        <f>IF(G1107=1,0.2*R1107/C1107,K1106)</f>
        <v/>
      </c>
      <c r="L1107">
        <f>IF(G1107=1,0.2*R1107/D1107,L1106)</f>
        <v/>
      </c>
      <c r="M1107">
        <f>IF(G1107=1,0.2*R1107/E1107,M1106)</f>
        <v/>
      </c>
      <c r="N1107">
        <f>IF(G1107=1,0.2*R1107/F1107,N1106)</f>
        <v/>
      </c>
      <c r="O1107">
        <f>IF(G1107=1,R1107*(1-1.0),IF(H1106=0,1,O1106*(1+0.00023125256064071564)))</f>
        <v/>
      </c>
      <c r="P1107">
        <f>IF(G1107=1,IF(H1106=0,1,ABS(0.2-J1106*B1107/I1107)+ABS(0.2-K1106*C1107/I1107)+ABS(0.2-L1106*D1107/I1107)+ABS(0.2-M1106*E1107/I1107)+ABS(0.2-N1106*F1107/I1107)),0)</f>
        <v/>
      </c>
      <c r="Q1107">
        <f>P1107*0.0015</f>
        <v/>
      </c>
      <c r="R1107">
        <f>I1107*(1-Q1107)</f>
        <v/>
      </c>
      <c r="S1107">
        <f>R1107/R1106-1</f>
        <v/>
      </c>
      <c r="T1107">
        <f>MAX(T1106,R1107)</f>
        <v/>
      </c>
      <c r="U1107">
        <f>R1107/T1107-1</f>
        <v/>
      </c>
      <c r="V1107" t="n">
        <v>2.519848532462629</v>
      </c>
      <c r="W1107" s="5">
        <f>R1107-V1107</f>
        <v/>
      </c>
    </row>
    <row r="1108">
      <c r="A1108" s="3" t="n">
        <v>40070</v>
      </c>
      <c r="B1108">
        <f>Prices!B1108</f>
        <v/>
      </c>
      <c r="C1108">
        <f>Prices!C1108</f>
        <v/>
      </c>
      <c r="D1108">
        <f>Prices!D1108</f>
        <v/>
      </c>
      <c r="E1108">
        <f>Prices!E1108</f>
        <v/>
      </c>
      <c r="F1108">
        <f>Prices!F1108</f>
        <v/>
      </c>
      <c r="G1108">
        <f>IF(AND(1106&gt;=16,TEXT(A1108,"yyyy-mm")&lt;&gt;TEXT(A1109,"yyyy-mm")),1,0)</f>
        <v/>
      </c>
      <c r="H1108">
        <f>IF(OR(H1107=1,G1108=1),1,0)</f>
        <v/>
      </c>
      <c r="I1108">
        <f>IF(H1107=0,1,SUMPRODUCT(J1107:N1107,B1108:F1108)+O1107*(1+0.00023125256064071564))</f>
        <v/>
      </c>
      <c r="J1108">
        <f>IF(G1108=1,0.2*R1108/B1108,J1107)</f>
        <v/>
      </c>
      <c r="K1108">
        <f>IF(G1108=1,0.2*R1108/C1108,K1107)</f>
        <v/>
      </c>
      <c r="L1108">
        <f>IF(G1108=1,0.2*R1108/D1108,L1107)</f>
        <v/>
      </c>
      <c r="M1108">
        <f>IF(G1108=1,0.2*R1108/E1108,M1107)</f>
        <v/>
      </c>
      <c r="N1108">
        <f>IF(G1108=1,0.2*R1108/F1108,N1107)</f>
        <v/>
      </c>
      <c r="O1108">
        <f>IF(G1108=1,R1108*(1-1.0),IF(H1107=0,1,O1107*(1+0.00023125256064071564)))</f>
        <v/>
      </c>
      <c r="P1108">
        <f>IF(G1108=1,IF(H1107=0,1,ABS(0.2-J1107*B1108/I1108)+ABS(0.2-K1107*C1108/I1108)+ABS(0.2-L1107*D1108/I1108)+ABS(0.2-M1107*E1108/I1108)+ABS(0.2-N1107*F1108/I1108)),0)</f>
        <v/>
      </c>
      <c r="Q1108">
        <f>P1108*0.0015</f>
        <v/>
      </c>
      <c r="R1108">
        <f>I1108*(1-Q1108)</f>
        <v/>
      </c>
      <c r="S1108">
        <f>R1108/R1107-1</f>
        <v/>
      </c>
      <c r="T1108">
        <f>MAX(T1107,R1108)</f>
        <v/>
      </c>
      <c r="U1108">
        <f>R1108/T1108-1</f>
        <v/>
      </c>
      <c r="V1108" t="n">
        <v>2.522797476881005</v>
      </c>
      <c r="W1108" s="5">
        <f>R1108-V1108</f>
        <v/>
      </c>
    </row>
    <row r="1109">
      <c r="A1109" s="3" t="n">
        <v>40071</v>
      </c>
      <c r="B1109">
        <f>Prices!B1109</f>
        <v/>
      </c>
      <c r="C1109">
        <f>Prices!C1109</f>
        <v/>
      </c>
      <c r="D1109">
        <f>Prices!D1109</f>
        <v/>
      </c>
      <c r="E1109">
        <f>Prices!E1109</f>
        <v/>
      </c>
      <c r="F1109">
        <f>Prices!F1109</f>
        <v/>
      </c>
      <c r="G1109">
        <f>IF(AND(1107&gt;=16,TEXT(A1109,"yyyy-mm")&lt;&gt;TEXT(A1110,"yyyy-mm")),1,0)</f>
        <v/>
      </c>
      <c r="H1109">
        <f>IF(OR(H1108=1,G1109=1),1,0)</f>
        <v/>
      </c>
      <c r="I1109">
        <f>IF(H1108=0,1,SUMPRODUCT(J1108:N1108,B1109:F1109)+O1108*(1+0.00023125256064071564))</f>
        <v/>
      </c>
      <c r="J1109">
        <f>IF(G1109=1,0.2*R1109/B1109,J1108)</f>
        <v/>
      </c>
      <c r="K1109">
        <f>IF(G1109=1,0.2*R1109/C1109,K1108)</f>
        <v/>
      </c>
      <c r="L1109">
        <f>IF(G1109=1,0.2*R1109/D1109,L1108)</f>
        <v/>
      </c>
      <c r="M1109">
        <f>IF(G1109=1,0.2*R1109/E1109,M1108)</f>
        <v/>
      </c>
      <c r="N1109">
        <f>IF(G1109=1,0.2*R1109/F1109,N1108)</f>
        <v/>
      </c>
      <c r="O1109">
        <f>IF(G1109=1,R1109*(1-1.0),IF(H1108=0,1,O1108*(1+0.00023125256064071564)))</f>
        <v/>
      </c>
      <c r="P1109">
        <f>IF(G1109=1,IF(H1108=0,1,ABS(0.2-J1108*B1109/I1109)+ABS(0.2-K1108*C1109/I1109)+ABS(0.2-L1108*D1109/I1109)+ABS(0.2-M1108*E1109/I1109)+ABS(0.2-N1108*F1109/I1109)),0)</f>
        <v/>
      </c>
      <c r="Q1109">
        <f>P1109*0.0015</f>
        <v/>
      </c>
      <c r="R1109">
        <f>I1109*(1-Q1109)</f>
        <v/>
      </c>
      <c r="S1109">
        <f>R1109/R1108-1</f>
        <v/>
      </c>
      <c r="T1109">
        <f>MAX(T1108,R1109)</f>
        <v/>
      </c>
      <c r="U1109">
        <f>R1109/T1109-1</f>
        <v/>
      </c>
      <c r="V1109" t="n">
        <v>2.571677881019307</v>
      </c>
      <c r="W1109" s="5">
        <f>R1109-V1109</f>
        <v/>
      </c>
    </row>
    <row r="1110">
      <c r="A1110" s="3" t="n">
        <v>40072</v>
      </c>
      <c r="B1110">
        <f>Prices!B1110</f>
        <v/>
      </c>
      <c r="C1110">
        <f>Prices!C1110</f>
        <v/>
      </c>
      <c r="D1110">
        <f>Prices!D1110</f>
        <v/>
      </c>
      <c r="E1110">
        <f>Prices!E1110</f>
        <v/>
      </c>
      <c r="F1110">
        <f>Prices!F1110</f>
        <v/>
      </c>
      <c r="G1110">
        <f>IF(AND(1108&gt;=16,TEXT(A1110,"yyyy-mm")&lt;&gt;TEXT(A1111,"yyyy-mm")),1,0)</f>
        <v/>
      </c>
      <c r="H1110">
        <f>IF(OR(H1109=1,G1110=1),1,0)</f>
        <v/>
      </c>
      <c r="I1110">
        <f>IF(H1109=0,1,SUMPRODUCT(J1109:N1109,B1110:F1110)+O1109*(1+0.00023125256064071564))</f>
        <v/>
      </c>
      <c r="J1110">
        <f>IF(G1110=1,0.2*R1110/B1110,J1109)</f>
        <v/>
      </c>
      <c r="K1110">
        <f>IF(G1110=1,0.2*R1110/C1110,K1109)</f>
        <v/>
      </c>
      <c r="L1110">
        <f>IF(G1110=1,0.2*R1110/D1110,L1109)</f>
        <v/>
      </c>
      <c r="M1110">
        <f>IF(G1110=1,0.2*R1110/E1110,M1109)</f>
        <v/>
      </c>
      <c r="N1110">
        <f>IF(G1110=1,0.2*R1110/F1110,N1109)</f>
        <v/>
      </c>
      <c r="O1110">
        <f>IF(G1110=1,R1110*(1-1.0),IF(H1109=0,1,O1109*(1+0.00023125256064071564)))</f>
        <v/>
      </c>
      <c r="P1110">
        <f>IF(G1110=1,IF(H1109=0,1,ABS(0.2-J1109*B1110/I1110)+ABS(0.2-K1109*C1110/I1110)+ABS(0.2-L1109*D1110/I1110)+ABS(0.2-M1109*E1110/I1110)+ABS(0.2-N1109*F1110/I1110)),0)</f>
        <v/>
      </c>
      <c r="Q1110">
        <f>P1110*0.0015</f>
        <v/>
      </c>
      <c r="R1110">
        <f>I1110*(1-Q1110)</f>
        <v/>
      </c>
      <c r="S1110">
        <f>R1110/R1109-1</f>
        <v/>
      </c>
      <c r="T1110">
        <f>MAX(T1109,R1110)</f>
        <v/>
      </c>
      <c r="U1110">
        <f>R1110/T1110-1</f>
        <v/>
      </c>
      <c r="V1110" t="n">
        <v>2.608211887921801</v>
      </c>
      <c r="W1110" s="5">
        <f>R1110-V1110</f>
        <v/>
      </c>
    </row>
    <row r="1111">
      <c r="A1111" s="3" t="n">
        <v>40073</v>
      </c>
      <c r="B1111">
        <f>Prices!B1111</f>
        <v/>
      </c>
      <c r="C1111">
        <f>Prices!C1111</f>
        <v/>
      </c>
      <c r="D1111">
        <f>Prices!D1111</f>
        <v/>
      </c>
      <c r="E1111">
        <f>Prices!E1111</f>
        <v/>
      </c>
      <c r="F1111">
        <f>Prices!F1111</f>
        <v/>
      </c>
      <c r="G1111">
        <f>IF(AND(1109&gt;=16,TEXT(A1111,"yyyy-mm")&lt;&gt;TEXT(A1112,"yyyy-mm")),1,0)</f>
        <v/>
      </c>
      <c r="H1111">
        <f>IF(OR(H1110=1,G1111=1),1,0)</f>
        <v/>
      </c>
      <c r="I1111">
        <f>IF(H1110=0,1,SUMPRODUCT(J1110:N1110,B1111:F1111)+O1110*(1+0.00023125256064071564))</f>
        <v/>
      </c>
      <c r="J1111">
        <f>IF(G1111=1,0.2*R1111/B1111,J1110)</f>
        <v/>
      </c>
      <c r="K1111">
        <f>IF(G1111=1,0.2*R1111/C1111,K1110)</f>
        <v/>
      </c>
      <c r="L1111">
        <f>IF(G1111=1,0.2*R1111/D1111,L1110)</f>
        <v/>
      </c>
      <c r="M1111">
        <f>IF(G1111=1,0.2*R1111/E1111,M1110)</f>
        <v/>
      </c>
      <c r="N1111">
        <f>IF(G1111=1,0.2*R1111/F1111,N1110)</f>
        <v/>
      </c>
      <c r="O1111">
        <f>IF(G1111=1,R1111*(1-1.0),IF(H1110=0,1,O1110*(1+0.00023125256064071564)))</f>
        <v/>
      </c>
      <c r="P1111">
        <f>IF(G1111=1,IF(H1110=0,1,ABS(0.2-J1110*B1111/I1111)+ABS(0.2-K1110*C1111/I1111)+ABS(0.2-L1110*D1111/I1111)+ABS(0.2-M1110*E1111/I1111)+ABS(0.2-N1110*F1111/I1111)),0)</f>
        <v/>
      </c>
      <c r="Q1111">
        <f>P1111*0.0015</f>
        <v/>
      </c>
      <c r="R1111">
        <f>I1111*(1-Q1111)</f>
        <v/>
      </c>
      <c r="S1111">
        <f>R1111/R1110-1</f>
        <v/>
      </c>
      <c r="T1111">
        <f>MAX(T1110,R1111)</f>
        <v/>
      </c>
      <c r="U1111">
        <f>R1111/T1111-1</f>
        <v/>
      </c>
      <c r="V1111" t="n">
        <v>2.612518641649348</v>
      </c>
      <c r="W1111" s="5">
        <f>R1111-V1111</f>
        <v/>
      </c>
    </row>
    <row r="1112">
      <c r="A1112" s="3" t="n">
        <v>40074</v>
      </c>
      <c r="B1112">
        <f>Prices!B1112</f>
        <v/>
      </c>
      <c r="C1112">
        <f>Prices!C1112</f>
        <v/>
      </c>
      <c r="D1112">
        <f>Prices!D1112</f>
        <v/>
      </c>
      <c r="E1112">
        <f>Prices!E1112</f>
        <v/>
      </c>
      <c r="F1112">
        <f>Prices!F1112</f>
        <v/>
      </c>
      <c r="G1112">
        <f>IF(AND(1110&gt;=16,TEXT(A1112,"yyyy-mm")&lt;&gt;TEXT(A1113,"yyyy-mm")),1,0)</f>
        <v/>
      </c>
      <c r="H1112">
        <f>IF(OR(H1111=1,G1112=1),1,0)</f>
        <v/>
      </c>
      <c r="I1112">
        <f>IF(H1111=0,1,SUMPRODUCT(J1111:N1111,B1112:F1112)+O1111*(1+0.00023125256064071564))</f>
        <v/>
      </c>
      <c r="J1112">
        <f>IF(G1112=1,0.2*R1112/B1112,J1111)</f>
        <v/>
      </c>
      <c r="K1112">
        <f>IF(G1112=1,0.2*R1112/C1112,K1111)</f>
        <v/>
      </c>
      <c r="L1112">
        <f>IF(G1112=1,0.2*R1112/D1112,L1111)</f>
        <v/>
      </c>
      <c r="M1112">
        <f>IF(G1112=1,0.2*R1112/E1112,M1111)</f>
        <v/>
      </c>
      <c r="N1112">
        <f>IF(G1112=1,0.2*R1112/F1112,N1111)</f>
        <v/>
      </c>
      <c r="O1112">
        <f>IF(G1112=1,R1112*(1-1.0),IF(H1111=0,1,O1111*(1+0.00023125256064071564)))</f>
        <v/>
      </c>
      <c r="P1112">
        <f>IF(G1112=1,IF(H1111=0,1,ABS(0.2-J1111*B1112/I1112)+ABS(0.2-K1111*C1112/I1112)+ABS(0.2-L1111*D1112/I1112)+ABS(0.2-M1111*E1112/I1112)+ABS(0.2-N1111*F1112/I1112)),0)</f>
        <v/>
      </c>
      <c r="Q1112">
        <f>P1112*0.0015</f>
        <v/>
      </c>
      <c r="R1112">
        <f>I1112*(1-Q1112)</f>
        <v/>
      </c>
      <c r="S1112">
        <f>R1112/R1111-1</f>
        <v/>
      </c>
      <c r="T1112">
        <f>MAX(T1111,R1112)</f>
        <v/>
      </c>
      <c r="U1112">
        <f>R1112/T1112-1</f>
        <v/>
      </c>
      <c r="V1112" t="n">
        <v>2.623726119500349</v>
      </c>
      <c r="W1112" s="5">
        <f>R1112-V1112</f>
        <v/>
      </c>
    </row>
    <row r="1113">
      <c r="A1113" s="3" t="n">
        <v>40078</v>
      </c>
      <c r="B1113">
        <f>Prices!B1113</f>
        <v/>
      </c>
      <c r="C1113">
        <f>Prices!C1113</f>
        <v/>
      </c>
      <c r="D1113">
        <f>Prices!D1113</f>
        <v/>
      </c>
      <c r="E1113">
        <f>Prices!E1113</f>
        <v/>
      </c>
      <c r="F1113">
        <f>Prices!F1113</f>
        <v/>
      </c>
      <c r="G1113">
        <f>IF(AND(1111&gt;=16,TEXT(A1113,"yyyy-mm")&lt;&gt;TEXT(A1114,"yyyy-mm")),1,0)</f>
        <v/>
      </c>
      <c r="H1113">
        <f>IF(OR(H1112=1,G1113=1),1,0)</f>
        <v/>
      </c>
      <c r="I1113">
        <f>IF(H1112=0,1,SUMPRODUCT(J1112:N1112,B1113:F1113)+O1112*(1+0.00023125256064071564))</f>
        <v/>
      </c>
      <c r="J1113">
        <f>IF(G1113=1,0.2*R1113/B1113,J1112)</f>
        <v/>
      </c>
      <c r="K1113">
        <f>IF(G1113=1,0.2*R1113/C1113,K1112)</f>
        <v/>
      </c>
      <c r="L1113">
        <f>IF(G1113=1,0.2*R1113/D1113,L1112)</f>
        <v/>
      </c>
      <c r="M1113">
        <f>IF(G1113=1,0.2*R1113/E1113,M1112)</f>
        <v/>
      </c>
      <c r="N1113">
        <f>IF(G1113=1,0.2*R1113/F1113,N1112)</f>
        <v/>
      </c>
      <c r="O1113">
        <f>IF(G1113=1,R1113*(1-1.0),IF(H1112=0,1,O1112*(1+0.00023125256064071564)))</f>
        <v/>
      </c>
      <c r="P1113">
        <f>IF(G1113=1,IF(H1112=0,1,ABS(0.2-J1112*B1113/I1113)+ABS(0.2-K1112*C1113/I1113)+ABS(0.2-L1112*D1113/I1113)+ABS(0.2-M1112*E1113/I1113)+ABS(0.2-N1112*F1113/I1113)),0)</f>
        <v/>
      </c>
      <c r="Q1113">
        <f>P1113*0.0015</f>
        <v/>
      </c>
      <c r="R1113">
        <f>I1113*(1-Q1113)</f>
        <v/>
      </c>
      <c r="S1113">
        <f>R1113/R1112-1</f>
        <v/>
      </c>
      <c r="T1113">
        <f>MAX(T1112,R1113)</f>
        <v/>
      </c>
      <c r="U1113">
        <f>R1113/T1113-1</f>
        <v/>
      </c>
      <c r="V1113" t="n">
        <v>2.646105409929719</v>
      </c>
      <c r="W1113" s="5">
        <f>R1113-V1113</f>
        <v/>
      </c>
    </row>
    <row r="1114">
      <c r="A1114" s="3" t="n">
        <v>40079</v>
      </c>
      <c r="B1114">
        <f>Prices!B1114</f>
        <v/>
      </c>
      <c r="C1114">
        <f>Prices!C1114</f>
        <v/>
      </c>
      <c r="D1114">
        <f>Prices!D1114</f>
        <v/>
      </c>
      <c r="E1114">
        <f>Prices!E1114</f>
        <v/>
      </c>
      <c r="F1114">
        <f>Prices!F1114</f>
        <v/>
      </c>
      <c r="G1114">
        <f>IF(AND(1112&gt;=16,TEXT(A1114,"yyyy-mm")&lt;&gt;TEXT(A1115,"yyyy-mm")),1,0)</f>
        <v/>
      </c>
      <c r="H1114">
        <f>IF(OR(H1113=1,G1114=1),1,0)</f>
        <v/>
      </c>
      <c r="I1114">
        <f>IF(H1113=0,1,SUMPRODUCT(J1113:N1113,B1114:F1114)+O1113*(1+0.00023125256064071564))</f>
        <v/>
      </c>
      <c r="J1114">
        <f>IF(G1114=1,0.2*R1114/B1114,J1113)</f>
        <v/>
      </c>
      <c r="K1114">
        <f>IF(G1114=1,0.2*R1114/C1114,K1113)</f>
        <v/>
      </c>
      <c r="L1114">
        <f>IF(G1114=1,0.2*R1114/D1114,L1113)</f>
        <v/>
      </c>
      <c r="M1114">
        <f>IF(G1114=1,0.2*R1114/E1114,M1113)</f>
        <v/>
      </c>
      <c r="N1114">
        <f>IF(G1114=1,0.2*R1114/F1114,N1113)</f>
        <v/>
      </c>
      <c r="O1114">
        <f>IF(G1114=1,R1114*(1-1.0),IF(H1113=0,1,O1113*(1+0.00023125256064071564)))</f>
        <v/>
      </c>
      <c r="P1114">
        <f>IF(G1114=1,IF(H1113=0,1,ABS(0.2-J1113*B1114/I1114)+ABS(0.2-K1113*C1114/I1114)+ABS(0.2-L1113*D1114/I1114)+ABS(0.2-M1113*E1114/I1114)+ABS(0.2-N1113*F1114/I1114)),0)</f>
        <v/>
      </c>
      <c r="Q1114">
        <f>P1114*0.0015</f>
        <v/>
      </c>
      <c r="R1114">
        <f>I1114*(1-Q1114)</f>
        <v/>
      </c>
      <c r="S1114">
        <f>R1114/R1113-1</f>
        <v/>
      </c>
      <c r="T1114">
        <f>MAX(T1113,R1114)</f>
        <v/>
      </c>
      <c r="U1114">
        <f>R1114/T1114-1</f>
        <v/>
      </c>
      <c r="V1114" t="n">
        <v>2.62452285061017</v>
      </c>
      <c r="W1114" s="5">
        <f>R1114-V1114</f>
        <v/>
      </c>
    </row>
    <row r="1115">
      <c r="A1115" s="3" t="n">
        <v>40080</v>
      </c>
      <c r="B1115">
        <f>Prices!B1115</f>
        <v/>
      </c>
      <c r="C1115">
        <f>Prices!C1115</f>
        <v/>
      </c>
      <c r="D1115">
        <f>Prices!D1115</f>
        <v/>
      </c>
      <c r="E1115">
        <f>Prices!E1115</f>
        <v/>
      </c>
      <c r="F1115">
        <f>Prices!F1115</f>
        <v/>
      </c>
      <c r="G1115">
        <f>IF(AND(1113&gt;=16,TEXT(A1115,"yyyy-mm")&lt;&gt;TEXT(A1116,"yyyy-mm")),1,0)</f>
        <v/>
      </c>
      <c r="H1115">
        <f>IF(OR(H1114=1,G1115=1),1,0)</f>
        <v/>
      </c>
      <c r="I1115">
        <f>IF(H1114=0,1,SUMPRODUCT(J1114:N1114,B1115:F1115)+O1114*(1+0.00023125256064071564))</f>
        <v/>
      </c>
      <c r="J1115">
        <f>IF(G1115=1,0.2*R1115/B1115,J1114)</f>
        <v/>
      </c>
      <c r="K1115">
        <f>IF(G1115=1,0.2*R1115/C1115,K1114)</f>
        <v/>
      </c>
      <c r="L1115">
        <f>IF(G1115=1,0.2*R1115/D1115,L1114)</f>
        <v/>
      </c>
      <c r="M1115">
        <f>IF(G1115=1,0.2*R1115/E1115,M1114)</f>
        <v/>
      </c>
      <c r="N1115">
        <f>IF(G1115=1,0.2*R1115/F1115,N1114)</f>
        <v/>
      </c>
      <c r="O1115">
        <f>IF(G1115=1,R1115*(1-1.0),IF(H1114=0,1,O1114*(1+0.00023125256064071564)))</f>
        <v/>
      </c>
      <c r="P1115">
        <f>IF(G1115=1,IF(H1114=0,1,ABS(0.2-J1114*B1115/I1115)+ABS(0.2-K1114*C1115/I1115)+ABS(0.2-L1114*D1115/I1115)+ABS(0.2-M1114*E1115/I1115)+ABS(0.2-N1114*F1115/I1115)),0)</f>
        <v/>
      </c>
      <c r="Q1115">
        <f>P1115*0.0015</f>
        <v/>
      </c>
      <c r="R1115">
        <f>I1115*(1-Q1115)</f>
        <v/>
      </c>
      <c r="S1115">
        <f>R1115/R1114-1</f>
        <v/>
      </c>
      <c r="T1115">
        <f>MAX(T1114,R1115)</f>
        <v/>
      </c>
      <c r="U1115">
        <f>R1115/T1115-1</f>
        <v/>
      </c>
      <c r="V1115" t="n">
        <v>2.634912674552504</v>
      </c>
      <c r="W1115" s="5">
        <f>R1115-V1115</f>
        <v/>
      </c>
    </row>
    <row r="1116">
      <c r="A1116" s="3" t="n">
        <v>40081</v>
      </c>
      <c r="B1116">
        <f>Prices!B1116</f>
        <v/>
      </c>
      <c r="C1116">
        <f>Prices!C1116</f>
        <v/>
      </c>
      <c r="D1116">
        <f>Prices!D1116</f>
        <v/>
      </c>
      <c r="E1116">
        <f>Prices!E1116</f>
        <v/>
      </c>
      <c r="F1116">
        <f>Prices!F1116</f>
        <v/>
      </c>
      <c r="G1116">
        <f>IF(AND(1114&gt;=16,TEXT(A1116,"yyyy-mm")&lt;&gt;TEXT(A1117,"yyyy-mm")),1,0)</f>
        <v/>
      </c>
      <c r="H1116">
        <f>IF(OR(H1115=1,G1116=1),1,0)</f>
        <v/>
      </c>
      <c r="I1116">
        <f>IF(H1115=0,1,SUMPRODUCT(J1115:N1115,B1116:F1116)+O1115*(1+0.00023125256064071564))</f>
        <v/>
      </c>
      <c r="J1116">
        <f>IF(G1116=1,0.2*R1116/B1116,J1115)</f>
        <v/>
      </c>
      <c r="K1116">
        <f>IF(G1116=1,0.2*R1116/C1116,K1115)</f>
        <v/>
      </c>
      <c r="L1116">
        <f>IF(G1116=1,0.2*R1116/D1116,L1115)</f>
        <v/>
      </c>
      <c r="M1116">
        <f>IF(G1116=1,0.2*R1116/E1116,M1115)</f>
        <v/>
      </c>
      <c r="N1116">
        <f>IF(G1116=1,0.2*R1116/F1116,N1115)</f>
        <v/>
      </c>
      <c r="O1116">
        <f>IF(G1116=1,R1116*(1-1.0),IF(H1115=0,1,O1115*(1+0.00023125256064071564)))</f>
        <v/>
      </c>
      <c r="P1116">
        <f>IF(G1116=1,IF(H1115=0,1,ABS(0.2-J1115*B1116/I1116)+ABS(0.2-K1115*C1116/I1116)+ABS(0.2-L1115*D1116/I1116)+ABS(0.2-M1115*E1116/I1116)+ABS(0.2-N1115*F1116/I1116)),0)</f>
        <v/>
      </c>
      <c r="Q1116">
        <f>P1116*0.0015</f>
        <v/>
      </c>
      <c r="R1116">
        <f>I1116*(1-Q1116)</f>
        <v/>
      </c>
      <c r="S1116">
        <f>R1116/R1115-1</f>
        <v/>
      </c>
      <c r="T1116">
        <f>MAX(T1115,R1116)</f>
        <v/>
      </c>
      <c r="U1116">
        <f>R1116/T1116-1</f>
        <v/>
      </c>
      <c r="V1116" t="n">
        <v>2.64636234983977</v>
      </c>
      <c r="W1116" s="5">
        <f>R1116-V1116</f>
        <v/>
      </c>
    </row>
    <row r="1117">
      <c r="A1117" s="3" t="n">
        <v>40085</v>
      </c>
      <c r="B1117">
        <f>Prices!B1117</f>
        <v/>
      </c>
      <c r="C1117">
        <f>Prices!C1117</f>
        <v/>
      </c>
      <c r="D1117">
        <f>Prices!D1117</f>
        <v/>
      </c>
      <c r="E1117">
        <f>Prices!E1117</f>
        <v/>
      </c>
      <c r="F1117">
        <f>Prices!F1117</f>
        <v/>
      </c>
      <c r="G1117">
        <f>IF(AND(1115&gt;=16,TEXT(A1117,"yyyy-mm")&lt;&gt;TEXT(A1118,"yyyy-mm")),1,0)</f>
        <v/>
      </c>
      <c r="H1117">
        <f>IF(OR(H1116=1,G1117=1),1,0)</f>
        <v/>
      </c>
      <c r="I1117">
        <f>IF(H1116=0,1,SUMPRODUCT(J1116:N1116,B1117:F1117)+O1116*(1+0.00023125256064071564))</f>
        <v/>
      </c>
      <c r="J1117">
        <f>IF(G1117=1,0.2*R1117/B1117,J1116)</f>
        <v/>
      </c>
      <c r="K1117">
        <f>IF(G1117=1,0.2*R1117/C1117,K1116)</f>
        <v/>
      </c>
      <c r="L1117">
        <f>IF(G1117=1,0.2*R1117/D1117,L1116)</f>
        <v/>
      </c>
      <c r="M1117">
        <f>IF(G1117=1,0.2*R1117/E1117,M1116)</f>
        <v/>
      </c>
      <c r="N1117">
        <f>IF(G1117=1,0.2*R1117/F1117,N1116)</f>
        <v/>
      </c>
      <c r="O1117">
        <f>IF(G1117=1,R1117*(1-1.0),IF(H1116=0,1,O1116*(1+0.00023125256064071564)))</f>
        <v/>
      </c>
      <c r="P1117">
        <f>IF(G1117=1,IF(H1116=0,1,ABS(0.2-J1116*B1117/I1117)+ABS(0.2-K1116*C1117/I1117)+ABS(0.2-L1116*D1117/I1117)+ABS(0.2-M1116*E1117/I1117)+ABS(0.2-N1116*F1117/I1117)),0)</f>
        <v/>
      </c>
      <c r="Q1117">
        <f>P1117*0.0015</f>
        <v/>
      </c>
      <c r="R1117">
        <f>I1117*(1-Q1117)</f>
        <v/>
      </c>
      <c r="S1117">
        <f>R1117/R1116-1</f>
        <v/>
      </c>
      <c r="T1117">
        <f>MAX(T1116,R1117)</f>
        <v/>
      </c>
      <c r="U1117">
        <f>R1117/T1117-1</f>
        <v/>
      </c>
      <c r="V1117" t="n">
        <v>2.665606377332658</v>
      </c>
      <c r="W1117" s="5">
        <f>R1117-V1117</f>
        <v/>
      </c>
    </row>
    <row r="1118">
      <c r="A1118" s="3" t="n">
        <v>40086</v>
      </c>
      <c r="B1118">
        <f>Prices!B1118</f>
        <v/>
      </c>
      <c r="C1118">
        <f>Prices!C1118</f>
        <v/>
      </c>
      <c r="D1118">
        <f>Prices!D1118</f>
        <v/>
      </c>
      <c r="E1118">
        <f>Prices!E1118</f>
        <v/>
      </c>
      <c r="F1118">
        <f>Prices!F1118</f>
        <v/>
      </c>
      <c r="G1118">
        <f>IF(AND(1116&gt;=16,TEXT(A1118,"yyyy-mm")&lt;&gt;TEXT(A1119,"yyyy-mm")),1,0)</f>
        <v/>
      </c>
      <c r="H1118">
        <f>IF(OR(H1117=1,G1118=1),1,0)</f>
        <v/>
      </c>
      <c r="I1118">
        <f>IF(H1117=0,1,SUMPRODUCT(J1117:N1117,B1118:F1118)+O1117*(1+0.00023125256064071564))</f>
        <v/>
      </c>
      <c r="J1118">
        <f>IF(G1118=1,0.2*R1118/B1118,J1117)</f>
        <v/>
      </c>
      <c r="K1118">
        <f>IF(G1118=1,0.2*R1118/C1118,K1117)</f>
        <v/>
      </c>
      <c r="L1118">
        <f>IF(G1118=1,0.2*R1118/D1118,L1117)</f>
        <v/>
      </c>
      <c r="M1118">
        <f>IF(G1118=1,0.2*R1118/E1118,M1117)</f>
        <v/>
      </c>
      <c r="N1118">
        <f>IF(G1118=1,0.2*R1118/F1118,N1117)</f>
        <v/>
      </c>
      <c r="O1118">
        <f>IF(G1118=1,R1118*(1-1.0),IF(H1117=0,1,O1117*(1+0.00023125256064071564)))</f>
        <v/>
      </c>
      <c r="P1118">
        <f>IF(G1118=1,IF(H1117=0,1,ABS(0.2-J1117*B1118/I1118)+ABS(0.2-K1117*C1118/I1118)+ABS(0.2-L1117*D1118/I1118)+ABS(0.2-M1117*E1118/I1118)+ABS(0.2-N1117*F1118/I1118)),0)</f>
        <v/>
      </c>
      <c r="Q1118">
        <f>P1118*0.0015</f>
        <v/>
      </c>
      <c r="R1118">
        <f>I1118*(1-Q1118)</f>
        <v/>
      </c>
      <c r="S1118">
        <f>R1118/R1117-1</f>
        <v/>
      </c>
      <c r="T1118">
        <f>MAX(T1117,R1118)</f>
        <v/>
      </c>
      <c r="U1118">
        <f>R1118/T1118-1</f>
        <v/>
      </c>
      <c r="V1118" t="n">
        <v>2.694793446178057</v>
      </c>
      <c r="W1118" s="5">
        <f>R1118-V1118</f>
        <v/>
      </c>
    </row>
    <row r="1119">
      <c r="A1119" s="3" t="n">
        <v>40087</v>
      </c>
      <c r="B1119">
        <f>Prices!B1119</f>
        <v/>
      </c>
      <c r="C1119">
        <f>Prices!C1119</f>
        <v/>
      </c>
      <c r="D1119">
        <f>Prices!D1119</f>
        <v/>
      </c>
      <c r="E1119">
        <f>Prices!E1119</f>
        <v/>
      </c>
      <c r="F1119">
        <f>Prices!F1119</f>
        <v/>
      </c>
      <c r="G1119">
        <f>IF(AND(1117&gt;=16,TEXT(A1119,"yyyy-mm")&lt;&gt;TEXT(A1120,"yyyy-mm")),1,0)</f>
        <v/>
      </c>
      <c r="H1119">
        <f>IF(OR(H1118=1,G1119=1),1,0)</f>
        <v/>
      </c>
      <c r="I1119">
        <f>IF(H1118=0,1,SUMPRODUCT(J1118:N1118,B1119:F1119)+O1118*(1+0.00023125256064071564))</f>
        <v/>
      </c>
      <c r="J1119">
        <f>IF(G1119=1,0.2*R1119/B1119,J1118)</f>
        <v/>
      </c>
      <c r="K1119">
        <f>IF(G1119=1,0.2*R1119/C1119,K1118)</f>
        <v/>
      </c>
      <c r="L1119">
        <f>IF(G1119=1,0.2*R1119/D1119,L1118)</f>
        <v/>
      </c>
      <c r="M1119">
        <f>IF(G1119=1,0.2*R1119/E1119,M1118)</f>
        <v/>
      </c>
      <c r="N1119">
        <f>IF(G1119=1,0.2*R1119/F1119,N1118)</f>
        <v/>
      </c>
      <c r="O1119">
        <f>IF(G1119=1,R1119*(1-1.0),IF(H1118=0,1,O1118*(1+0.00023125256064071564)))</f>
        <v/>
      </c>
      <c r="P1119">
        <f>IF(G1119=1,IF(H1118=0,1,ABS(0.2-J1118*B1119/I1119)+ABS(0.2-K1118*C1119/I1119)+ABS(0.2-L1118*D1119/I1119)+ABS(0.2-M1118*E1119/I1119)+ABS(0.2-N1118*F1119/I1119)),0)</f>
        <v/>
      </c>
      <c r="Q1119">
        <f>P1119*0.0015</f>
        <v/>
      </c>
      <c r="R1119">
        <f>I1119*(1-Q1119)</f>
        <v/>
      </c>
      <c r="S1119">
        <f>R1119/R1118-1</f>
        <v/>
      </c>
      <c r="T1119">
        <f>MAX(T1118,R1119)</f>
        <v/>
      </c>
      <c r="U1119">
        <f>R1119/T1119-1</f>
        <v/>
      </c>
      <c r="V1119" t="n">
        <v>2.682309207277799</v>
      </c>
      <c r="W1119" s="5">
        <f>R1119-V1119</f>
        <v/>
      </c>
    </row>
    <row r="1120">
      <c r="A1120" s="3" t="n">
        <v>40091</v>
      </c>
      <c r="B1120">
        <f>Prices!B1120</f>
        <v/>
      </c>
      <c r="C1120">
        <f>Prices!C1120</f>
        <v/>
      </c>
      <c r="D1120">
        <f>Prices!D1120</f>
        <v/>
      </c>
      <c r="E1120">
        <f>Prices!E1120</f>
        <v/>
      </c>
      <c r="F1120">
        <f>Prices!F1120</f>
        <v/>
      </c>
      <c r="G1120">
        <f>IF(AND(1118&gt;=16,TEXT(A1120,"yyyy-mm")&lt;&gt;TEXT(A1121,"yyyy-mm")),1,0)</f>
        <v/>
      </c>
      <c r="H1120">
        <f>IF(OR(H1119=1,G1120=1),1,0)</f>
        <v/>
      </c>
      <c r="I1120">
        <f>IF(H1119=0,1,SUMPRODUCT(J1119:N1119,B1120:F1120)+O1119*(1+0.00023125256064071564))</f>
        <v/>
      </c>
      <c r="J1120">
        <f>IF(G1120=1,0.2*R1120/B1120,J1119)</f>
        <v/>
      </c>
      <c r="K1120">
        <f>IF(G1120=1,0.2*R1120/C1120,K1119)</f>
        <v/>
      </c>
      <c r="L1120">
        <f>IF(G1120=1,0.2*R1120/D1120,L1119)</f>
        <v/>
      </c>
      <c r="M1120">
        <f>IF(G1120=1,0.2*R1120/E1120,M1119)</f>
        <v/>
      </c>
      <c r="N1120">
        <f>IF(G1120=1,0.2*R1120/F1120,N1119)</f>
        <v/>
      </c>
      <c r="O1120">
        <f>IF(G1120=1,R1120*(1-1.0),IF(H1119=0,1,O1119*(1+0.00023125256064071564)))</f>
        <v/>
      </c>
      <c r="P1120">
        <f>IF(G1120=1,IF(H1119=0,1,ABS(0.2-J1119*B1120/I1120)+ABS(0.2-K1119*C1120/I1120)+ABS(0.2-L1119*D1120/I1120)+ABS(0.2-M1119*E1120/I1120)+ABS(0.2-N1119*F1120/I1120)),0)</f>
        <v/>
      </c>
      <c r="Q1120">
        <f>P1120*0.0015</f>
        <v/>
      </c>
      <c r="R1120">
        <f>I1120*(1-Q1120)</f>
        <v/>
      </c>
      <c r="S1120">
        <f>R1120/R1119-1</f>
        <v/>
      </c>
      <c r="T1120">
        <f>MAX(T1119,R1120)</f>
        <v/>
      </c>
      <c r="U1120">
        <f>R1120/T1120-1</f>
        <v/>
      </c>
      <c r="V1120" t="n">
        <v>2.647092964589342</v>
      </c>
      <c r="W1120" s="5">
        <f>R1120-V1120</f>
        <v/>
      </c>
    </row>
    <row r="1121">
      <c r="A1121" s="3" t="n">
        <v>40092</v>
      </c>
      <c r="B1121">
        <f>Prices!B1121</f>
        <v/>
      </c>
      <c r="C1121">
        <f>Prices!C1121</f>
        <v/>
      </c>
      <c r="D1121">
        <f>Prices!D1121</f>
        <v/>
      </c>
      <c r="E1121">
        <f>Prices!E1121</f>
        <v/>
      </c>
      <c r="F1121">
        <f>Prices!F1121</f>
        <v/>
      </c>
      <c r="G1121">
        <f>IF(AND(1119&gt;=16,TEXT(A1121,"yyyy-mm")&lt;&gt;TEXT(A1122,"yyyy-mm")),1,0)</f>
        <v/>
      </c>
      <c r="H1121">
        <f>IF(OR(H1120=1,G1121=1),1,0)</f>
        <v/>
      </c>
      <c r="I1121">
        <f>IF(H1120=0,1,SUMPRODUCT(J1120:N1120,B1121:F1121)+O1120*(1+0.00023125256064071564))</f>
        <v/>
      </c>
      <c r="J1121">
        <f>IF(G1121=1,0.2*R1121/B1121,J1120)</f>
        <v/>
      </c>
      <c r="K1121">
        <f>IF(G1121=1,0.2*R1121/C1121,K1120)</f>
        <v/>
      </c>
      <c r="L1121">
        <f>IF(G1121=1,0.2*R1121/D1121,L1120)</f>
        <v/>
      </c>
      <c r="M1121">
        <f>IF(G1121=1,0.2*R1121/E1121,M1120)</f>
        <v/>
      </c>
      <c r="N1121">
        <f>IF(G1121=1,0.2*R1121/F1121,N1120)</f>
        <v/>
      </c>
      <c r="O1121">
        <f>IF(G1121=1,R1121*(1-1.0),IF(H1120=0,1,O1120*(1+0.00023125256064071564)))</f>
        <v/>
      </c>
      <c r="P1121">
        <f>IF(G1121=1,IF(H1120=0,1,ABS(0.2-J1120*B1121/I1121)+ABS(0.2-K1120*C1121/I1121)+ABS(0.2-L1120*D1121/I1121)+ABS(0.2-M1120*E1121/I1121)+ABS(0.2-N1120*F1121/I1121)),0)</f>
        <v/>
      </c>
      <c r="Q1121">
        <f>P1121*0.0015</f>
        <v/>
      </c>
      <c r="R1121">
        <f>I1121*(1-Q1121)</f>
        <v/>
      </c>
      <c r="S1121">
        <f>R1121/R1120-1</f>
        <v/>
      </c>
      <c r="T1121">
        <f>MAX(T1120,R1121)</f>
        <v/>
      </c>
      <c r="U1121">
        <f>R1121/T1121-1</f>
        <v/>
      </c>
      <c r="V1121" t="n">
        <v>2.652294713045215</v>
      </c>
      <c r="W1121" s="5">
        <f>R1121-V1121</f>
        <v/>
      </c>
    </row>
    <row r="1122">
      <c r="A1122" s="3" t="n">
        <v>40093</v>
      </c>
      <c r="B1122">
        <f>Prices!B1122</f>
        <v/>
      </c>
      <c r="C1122">
        <f>Prices!C1122</f>
        <v/>
      </c>
      <c r="D1122">
        <f>Prices!D1122</f>
        <v/>
      </c>
      <c r="E1122">
        <f>Prices!E1122</f>
        <v/>
      </c>
      <c r="F1122">
        <f>Prices!F1122</f>
        <v/>
      </c>
      <c r="G1122">
        <f>IF(AND(1120&gt;=16,TEXT(A1122,"yyyy-mm")&lt;&gt;TEXT(A1123,"yyyy-mm")),1,0)</f>
        <v/>
      </c>
      <c r="H1122">
        <f>IF(OR(H1121=1,G1122=1),1,0)</f>
        <v/>
      </c>
      <c r="I1122">
        <f>IF(H1121=0,1,SUMPRODUCT(J1121:N1121,B1122:F1122)+O1121*(1+0.00023125256064071564))</f>
        <v/>
      </c>
      <c r="J1122">
        <f>IF(G1122=1,0.2*R1122/B1122,J1121)</f>
        <v/>
      </c>
      <c r="K1122">
        <f>IF(G1122=1,0.2*R1122/C1122,K1121)</f>
        <v/>
      </c>
      <c r="L1122">
        <f>IF(G1122=1,0.2*R1122/D1122,L1121)</f>
        <v/>
      </c>
      <c r="M1122">
        <f>IF(G1122=1,0.2*R1122/E1122,M1121)</f>
        <v/>
      </c>
      <c r="N1122">
        <f>IF(G1122=1,0.2*R1122/F1122,N1121)</f>
        <v/>
      </c>
      <c r="O1122">
        <f>IF(G1122=1,R1122*(1-1.0),IF(H1121=0,1,O1121*(1+0.00023125256064071564)))</f>
        <v/>
      </c>
      <c r="P1122">
        <f>IF(G1122=1,IF(H1121=0,1,ABS(0.2-J1121*B1122/I1122)+ABS(0.2-K1121*C1122/I1122)+ABS(0.2-L1121*D1122/I1122)+ABS(0.2-M1121*E1122/I1122)+ABS(0.2-N1121*F1122/I1122)),0)</f>
        <v/>
      </c>
      <c r="Q1122">
        <f>P1122*0.0015</f>
        <v/>
      </c>
      <c r="R1122">
        <f>I1122*(1-Q1122)</f>
        <v/>
      </c>
      <c r="S1122">
        <f>R1122/R1121-1</f>
        <v/>
      </c>
      <c r="T1122">
        <f>MAX(T1121,R1122)</f>
        <v/>
      </c>
      <c r="U1122">
        <f>R1122/T1122-1</f>
        <v/>
      </c>
      <c r="V1122" t="n">
        <v>2.665221699326103</v>
      </c>
      <c r="W1122" s="5">
        <f>R1122-V1122</f>
        <v/>
      </c>
    </row>
    <row r="1123">
      <c r="A1123" s="3" t="n">
        <v>40094</v>
      </c>
      <c r="B1123">
        <f>Prices!B1123</f>
        <v/>
      </c>
      <c r="C1123">
        <f>Prices!C1123</f>
        <v/>
      </c>
      <c r="D1123">
        <f>Prices!D1123</f>
        <v/>
      </c>
      <c r="E1123">
        <f>Prices!E1123</f>
        <v/>
      </c>
      <c r="F1123">
        <f>Prices!F1123</f>
        <v/>
      </c>
      <c r="G1123">
        <f>IF(AND(1121&gt;=16,TEXT(A1123,"yyyy-mm")&lt;&gt;TEXT(A1124,"yyyy-mm")),1,0)</f>
        <v/>
      </c>
      <c r="H1123">
        <f>IF(OR(H1122=1,G1123=1),1,0)</f>
        <v/>
      </c>
      <c r="I1123">
        <f>IF(H1122=0,1,SUMPRODUCT(J1122:N1122,B1123:F1123)+O1122*(1+0.00023125256064071564))</f>
        <v/>
      </c>
      <c r="J1123">
        <f>IF(G1123=1,0.2*R1123/B1123,J1122)</f>
        <v/>
      </c>
      <c r="K1123">
        <f>IF(G1123=1,0.2*R1123/C1123,K1122)</f>
        <v/>
      </c>
      <c r="L1123">
        <f>IF(G1123=1,0.2*R1123/D1123,L1122)</f>
        <v/>
      </c>
      <c r="M1123">
        <f>IF(G1123=1,0.2*R1123/E1123,M1122)</f>
        <v/>
      </c>
      <c r="N1123">
        <f>IF(G1123=1,0.2*R1123/F1123,N1122)</f>
        <v/>
      </c>
      <c r="O1123">
        <f>IF(G1123=1,R1123*(1-1.0),IF(H1122=0,1,O1122*(1+0.00023125256064071564)))</f>
        <v/>
      </c>
      <c r="P1123">
        <f>IF(G1123=1,IF(H1122=0,1,ABS(0.2-J1122*B1123/I1123)+ABS(0.2-K1122*C1123/I1123)+ABS(0.2-L1122*D1123/I1123)+ABS(0.2-M1122*E1123/I1123)+ABS(0.2-N1122*F1123/I1123)),0)</f>
        <v/>
      </c>
      <c r="Q1123">
        <f>P1123*0.0015</f>
        <v/>
      </c>
      <c r="R1123">
        <f>I1123*(1-Q1123)</f>
        <v/>
      </c>
      <c r="S1123">
        <f>R1123/R1122-1</f>
        <v/>
      </c>
      <c r="T1123">
        <f>MAX(T1122,R1123)</f>
        <v/>
      </c>
      <c r="U1123">
        <f>R1123/T1123-1</f>
        <v/>
      </c>
      <c r="V1123" t="n">
        <v>2.683087672745578</v>
      </c>
      <c r="W1123" s="5">
        <f>R1123-V1123</f>
        <v/>
      </c>
    </row>
    <row r="1124">
      <c r="A1124" s="3" t="n">
        <v>40095</v>
      </c>
      <c r="B1124">
        <f>Prices!B1124</f>
        <v/>
      </c>
      <c r="C1124">
        <f>Prices!C1124</f>
        <v/>
      </c>
      <c r="D1124">
        <f>Prices!D1124</f>
        <v/>
      </c>
      <c r="E1124">
        <f>Prices!E1124</f>
        <v/>
      </c>
      <c r="F1124">
        <f>Prices!F1124</f>
        <v/>
      </c>
      <c r="G1124">
        <f>IF(AND(1122&gt;=16,TEXT(A1124,"yyyy-mm")&lt;&gt;TEXT(A1125,"yyyy-mm")),1,0)</f>
        <v/>
      </c>
      <c r="H1124">
        <f>IF(OR(H1123=1,G1124=1),1,0)</f>
        <v/>
      </c>
      <c r="I1124">
        <f>IF(H1123=0,1,SUMPRODUCT(J1123:N1123,B1124:F1124)+O1123*(1+0.00023125256064071564))</f>
        <v/>
      </c>
      <c r="J1124">
        <f>IF(G1124=1,0.2*R1124/B1124,J1123)</f>
        <v/>
      </c>
      <c r="K1124">
        <f>IF(G1124=1,0.2*R1124/C1124,K1123)</f>
        <v/>
      </c>
      <c r="L1124">
        <f>IF(G1124=1,0.2*R1124/D1124,L1123)</f>
        <v/>
      </c>
      <c r="M1124">
        <f>IF(G1124=1,0.2*R1124/E1124,M1123)</f>
        <v/>
      </c>
      <c r="N1124">
        <f>IF(G1124=1,0.2*R1124/F1124,N1123)</f>
        <v/>
      </c>
      <c r="O1124">
        <f>IF(G1124=1,R1124*(1-1.0),IF(H1123=0,1,O1123*(1+0.00023125256064071564)))</f>
        <v/>
      </c>
      <c r="P1124">
        <f>IF(G1124=1,IF(H1123=0,1,ABS(0.2-J1123*B1124/I1124)+ABS(0.2-K1123*C1124/I1124)+ABS(0.2-L1123*D1124/I1124)+ABS(0.2-M1123*E1124/I1124)+ABS(0.2-N1123*F1124/I1124)),0)</f>
        <v/>
      </c>
      <c r="Q1124">
        <f>P1124*0.0015</f>
        <v/>
      </c>
      <c r="R1124">
        <f>I1124*(1-Q1124)</f>
        <v/>
      </c>
      <c r="S1124">
        <f>R1124/R1123-1</f>
        <v/>
      </c>
      <c r="T1124">
        <f>MAX(T1123,R1124)</f>
        <v/>
      </c>
      <c r="U1124">
        <f>R1124/T1124-1</f>
        <v/>
      </c>
      <c r="V1124" t="n">
        <v>2.66171015355919</v>
      </c>
      <c r="W1124" s="5">
        <f>R1124-V1124</f>
        <v/>
      </c>
    </row>
    <row r="1125">
      <c r="A1125" s="3" t="n">
        <v>40098</v>
      </c>
      <c r="B1125">
        <f>Prices!B1125</f>
        <v/>
      </c>
      <c r="C1125">
        <f>Prices!C1125</f>
        <v/>
      </c>
      <c r="D1125">
        <f>Prices!D1125</f>
        <v/>
      </c>
      <c r="E1125">
        <f>Prices!E1125</f>
        <v/>
      </c>
      <c r="F1125">
        <f>Prices!F1125</f>
        <v/>
      </c>
      <c r="G1125">
        <f>IF(AND(1123&gt;=16,TEXT(A1125,"yyyy-mm")&lt;&gt;TEXT(A1126,"yyyy-mm")),1,0)</f>
        <v/>
      </c>
      <c r="H1125">
        <f>IF(OR(H1124=1,G1125=1),1,0)</f>
        <v/>
      </c>
      <c r="I1125">
        <f>IF(H1124=0,1,SUMPRODUCT(J1124:N1124,B1125:F1125)+O1124*(1+0.00023125256064071564))</f>
        <v/>
      </c>
      <c r="J1125">
        <f>IF(G1125=1,0.2*R1125/B1125,J1124)</f>
        <v/>
      </c>
      <c r="K1125">
        <f>IF(G1125=1,0.2*R1125/C1125,K1124)</f>
        <v/>
      </c>
      <c r="L1125">
        <f>IF(G1125=1,0.2*R1125/D1125,L1124)</f>
        <v/>
      </c>
      <c r="M1125">
        <f>IF(G1125=1,0.2*R1125/E1125,M1124)</f>
        <v/>
      </c>
      <c r="N1125">
        <f>IF(G1125=1,0.2*R1125/F1125,N1124)</f>
        <v/>
      </c>
      <c r="O1125">
        <f>IF(G1125=1,R1125*(1-1.0),IF(H1124=0,1,O1124*(1+0.00023125256064071564)))</f>
        <v/>
      </c>
      <c r="P1125">
        <f>IF(G1125=1,IF(H1124=0,1,ABS(0.2-J1124*B1125/I1125)+ABS(0.2-K1124*C1125/I1125)+ABS(0.2-L1124*D1125/I1125)+ABS(0.2-M1124*E1125/I1125)+ABS(0.2-N1124*F1125/I1125)),0)</f>
        <v/>
      </c>
      <c r="Q1125">
        <f>P1125*0.0015</f>
        <v/>
      </c>
      <c r="R1125">
        <f>I1125*(1-Q1125)</f>
        <v/>
      </c>
      <c r="S1125">
        <f>R1125/R1124-1</f>
        <v/>
      </c>
      <c r="T1125">
        <f>MAX(T1124,R1125)</f>
        <v/>
      </c>
      <c r="U1125">
        <f>R1125/T1125-1</f>
        <v/>
      </c>
      <c r="V1125" t="n">
        <v>2.701558360944443</v>
      </c>
      <c r="W1125" s="5">
        <f>R1125-V1125</f>
        <v/>
      </c>
    </row>
    <row r="1126">
      <c r="A1126" s="3" t="n">
        <v>40100</v>
      </c>
      <c r="B1126">
        <f>Prices!B1126</f>
        <v/>
      </c>
      <c r="C1126">
        <f>Prices!C1126</f>
        <v/>
      </c>
      <c r="D1126">
        <f>Prices!D1126</f>
        <v/>
      </c>
      <c r="E1126">
        <f>Prices!E1126</f>
        <v/>
      </c>
      <c r="F1126">
        <f>Prices!F1126</f>
        <v/>
      </c>
      <c r="G1126">
        <f>IF(AND(1124&gt;=16,TEXT(A1126,"yyyy-mm")&lt;&gt;TEXT(A1127,"yyyy-mm")),1,0)</f>
        <v/>
      </c>
      <c r="H1126">
        <f>IF(OR(H1125=1,G1126=1),1,0)</f>
        <v/>
      </c>
      <c r="I1126">
        <f>IF(H1125=0,1,SUMPRODUCT(J1125:N1125,B1126:F1126)+O1125*(1+0.00023125256064071564))</f>
        <v/>
      </c>
      <c r="J1126">
        <f>IF(G1126=1,0.2*R1126/B1126,J1125)</f>
        <v/>
      </c>
      <c r="K1126">
        <f>IF(G1126=1,0.2*R1126/C1126,K1125)</f>
        <v/>
      </c>
      <c r="L1126">
        <f>IF(G1126=1,0.2*R1126/D1126,L1125)</f>
        <v/>
      </c>
      <c r="M1126">
        <f>IF(G1126=1,0.2*R1126/E1126,M1125)</f>
        <v/>
      </c>
      <c r="N1126">
        <f>IF(G1126=1,0.2*R1126/F1126,N1125)</f>
        <v/>
      </c>
      <c r="O1126">
        <f>IF(G1126=1,R1126*(1-1.0),IF(H1125=0,1,O1125*(1+0.00023125256064071564)))</f>
        <v/>
      </c>
      <c r="P1126">
        <f>IF(G1126=1,IF(H1125=0,1,ABS(0.2-J1125*B1126/I1126)+ABS(0.2-K1125*C1126/I1126)+ABS(0.2-L1125*D1126/I1126)+ABS(0.2-M1125*E1126/I1126)+ABS(0.2-N1125*F1126/I1126)),0)</f>
        <v/>
      </c>
      <c r="Q1126">
        <f>P1126*0.0015</f>
        <v/>
      </c>
      <c r="R1126">
        <f>I1126*(1-Q1126)</f>
        <v/>
      </c>
      <c r="S1126">
        <f>R1126/R1125-1</f>
        <v/>
      </c>
      <c r="T1126">
        <f>MAX(T1125,R1126)</f>
        <v/>
      </c>
      <c r="U1126">
        <f>R1126/T1126-1</f>
        <v/>
      </c>
      <c r="V1126" t="n">
        <v>2.743631665695579</v>
      </c>
      <c r="W1126" s="5">
        <f>R1126-V1126</f>
        <v/>
      </c>
    </row>
    <row r="1127">
      <c r="A1127" s="3" t="n">
        <v>40101</v>
      </c>
      <c r="B1127">
        <f>Prices!B1127</f>
        <v/>
      </c>
      <c r="C1127">
        <f>Prices!C1127</f>
        <v/>
      </c>
      <c r="D1127">
        <f>Prices!D1127</f>
        <v/>
      </c>
      <c r="E1127">
        <f>Prices!E1127</f>
        <v/>
      </c>
      <c r="F1127">
        <f>Prices!F1127</f>
        <v/>
      </c>
      <c r="G1127">
        <f>IF(AND(1125&gt;=16,TEXT(A1127,"yyyy-mm")&lt;&gt;TEXT(A1128,"yyyy-mm")),1,0)</f>
        <v/>
      </c>
      <c r="H1127">
        <f>IF(OR(H1126=1,G1127=1),1,0)</f>
        <v/>
      </c>
      <c r="I1127">
        <f>IF(H1126=0,1,SUMPRODUCT(J1126:N1126,B1127:F1127)+O1126*(1+0.00023125256064071564))</f>
        <v/>
      </c>
      <c r="J1127">
        <f>IF(G1127=1,0.2*R1127/B1127,J1126)</f>
        <v/>
      </c>
      <c r="K1127">
        <f>IF(G1127=1,0.2*R1127/C1127,K1126)</f>
        <v/>
      </c>
      <c r="L1127">
        <f>IF(G1127=1,0.2*R1127/D1127,L1126)</f>
        <v/>
      </c>
      <c r="M1127">
        <f>IF(G1127=1,0.2*R1127/E1127,M1126)</f>
        <v/>
      </c>
      <c r="N1127">
        <f>IF(G1127=1,0.2*R1127/F1127,N1126)</f>
        <v/>
      </c>
      <c r="O1127">
        <f>IF(G1127=1,R1127*(1-1.0),IF(H1126=0,1,O1126*(1+0.00023125256064071564)))</f>
        <v/>
      </c>
      <c r="P1127">
        <f>IF(G1127=1,IF(H1126=0,1,ABS(0.2-J1126*B1127/I1127)+ABS(0.2-K1126*C1127/I1127)+ABS(0.2-L1126*D1127/I1127)+ABS(0.2-M1126*E1127/I1127)+ABS(0.2-N1126*F1127/I1127)),0)</f>
        <v/>
      </c>
      <c r="Q1127">
        <f>P1127*0.0015</f>
        <v/>
      </c>
      <c r="R1127">
        <f>I1127*(1-Q1127)</f>
        <v/>
      </c>
      <c r="S1127">
        <f>R1127/R1126-1</f>
        <v/>
      </c>
      <c r="T1127">
        <f>MAX(T1126,R1127)</f>
        <v/>
      </c>
      <c r="U1127">
        <f>R1127/T1127-1</f>
        <v/>
      </c>
      <c r="V1127" t="n">
        <v>2.749131273096006</v>
      </c>
      <c r="W1127" s="5">
        <f>R1127-V1127</f>
        <v/>
      </c>
    </row>
    <row r="1128">
      <c r="A1128" s="3" t="n">
        <v>40102</v>
      </c>
      <c r="B1128">
        <f>Prices!B1128</f>
        <v/>
      </c>
      <c r="C1128">
        <f>Prices!C1128</f>
        <v/>
      </c>
      <c r="D1128">
        <f>Prices!D1128</f>
        <v/>
      </c>
      <c r="E1128">
        <f>Prices!E1128</f>
        <v/>
      </c>
      <c r="F1128">
        <f>Prices!F1128</f>
        <v/>
      </c>
      <c r="G1128">
        <f>IF(AND(1126&gt;=16,TEXT(A1128,"yyyy-mm")&lt;&gt;TEXT(A1129,"yyyy-mm")),1,0)</f>
        <v/>
      </c>
      <c r="H1128">
        <f>IF(OR(H1127=1,G1128=1),1,0)</f>
        <v/>
      </c>
      <c r="I1128">
        <f>IF(H1127=0,1,SUMPRODUCT(J1127:N1127,B1128:F1128)+O1127*(1+0.00023125256064071564))</f>
        <v/>
      </c>
      <c r="J1128">
        <f>IF(G1128=1,0.2*R1128/B1128,J1127)</f>
        <v/>
      </c>
      <c r="K1128">
        <f>IF(G1128=1,0.2*R1128/C1128,K1127)</f>
        <v/>
      </c>
      <c r="L1128">
        <f>IF(G1128=1,0.2*R1128/D1128,L1127)</f>
        <v/>
      </c>
      <c r="M1128">
        <f>IF(G1128=1,0.2*R1128/E1128,M1127)</f>
        <v/>
      </c>
      <c r="N1128">
        <f>IF(G1128=1,0.2*R1128/F1128,N1127)</f>
        <v/>
      </c>
      <c r="O1128">
        <f>IF(G1128=1,R1128*(1-1.0),IF(H1127=0,1,O1127*(1+0.00023125256064071564)))</f>
        <v/>
      </c>
      <c r="P1128">
        <f>IF(G1128=1,IF(H1127=0,1,ABS(0.2-J1127*B1128/I1128)+ABS(0.2-K1127*C1128/I1128)+ABS(0.2-L1127*D1128/I1128)+ABS(0.2-M1127*E1128/I1128)+ABS(0.2-N1127*F1128/I1128)),0)</f>
        <v/>
      </c>
      <c r="Q1128">
        <f>P1128*0.0015</f>
        <v/>
      </c>
      <c r="R1128">
        <f>I1128*(1-Q1128)</f>
        <v/>
      </c>
      <c r="S1128">
        <f>R1128/R1127-1</f>
        <v/>
      </c>
      <c r="T1128">
        <f>MAX(T1127,R1128)</f>
        <v/>
      </c>
      <c r="U1128">
        <f>R1128/T1128-1</f>
        <v/>
      </c>
      <c r="V1128" t="n">
        <v>2.761464103696535</v>
      </c>
      <c r="W1128" s="5">
        <f>R1128-V1128</f>
        <v/>
      </c>
    </row>
    <row r="1129">
      <c r="A1129" s="3" t="n">
        <v>40103</v>
      </c>
      <c r="B1129">
        <f>Prices!B1129</f>
        <v/>
      </c>
      <c r="C1129">
        <f>Prices!C1129</f>
        <v/>
      </c>
      <c r="D1129">
        <f>Prices!D1129</f>
        <v/>
      </c>
      <c r="E1129">
        <f>Prices!E1129</f>
        <v/>
      </c>
      <c r="F1129">
        <f>Prices!F1129</f>
        <v/>
      </c>
      <c r="G1129">
        <f>IF(AND(1127&gt;=16,TEXT(A1129,"yyyy-mm")&lt;&gt;TEXT(A1130,"yyyy-mm")),1,0)</f>
        <v/>
      </c>
      <c r="H1129">
        <f>IF(OR(H1128=1,G1129=1),1,0)</f>
        <v/>
      </c>
      <c r="I1129">
        <f>IF(H1128=0,1,SUMPRODUCT(J1128:N1128,B1129:F1129)+O1128*(1+0.00023125256064071564))</f>
        <v/>
      </c>
      <c r="J1129">
        <f>IF(G1129=1,0.2*R1129/B1129,J1128)</f>
        <v/>
      </c>
      <c r="K1129">
        <f>IF(G1129=1,0.2*R1129/C1129,K1128)</f>
        <v/>
      </c>
      <c r="L1129">
        <f>IF(G1129=1,0.2*R1129/D1129,L1128)</f>
        <v/>
      </c>
      <c r="M1129">
        <f>IF(G1129=1,0.2*R1129/E1129,M1128)</f>
        <v/>
      </c>
      <c r="N1129">
        <f>IF(G1129=1,0.2*R1129/F1129,N1128)</f>
        <v/>
      </c>
      <c r="O1129">
        <f>IF(G1129=1,R1129*(1-1.0),IF(H1128=0,1,O1128*(1+0.00023125256064071564)))</f>
        <v/>
      </c>
      <c r="P1129">
        <f>IF(G1129=1,IF(H1128=0,1,ABS(0.2-J1128*B1129/I1129)+ABS(0.2-K1128*C1129/I1129)+ABS(0.2-L1128*D1129/I1129)+ABS(0.2-M1128*E1129/I1129)+ABS(0.2-N1128*F1129/I1129)),0)</f>
        <v/>
      </c>
      <c r="Q1129">
        <f>P1129*0.0015</f>
        <v/>
      </c>
      <c r="R1129">
        <f>I1129*(1-Q1129)</f>
        <v/>
      </c>
      <c r="S1129">
        <f>R1129/R1128-1</f>
        <v/>
      </c>
      <c r="T1129">
        <f>MAX(T1128,R1129)</f>
        <v/>
      </c>
      <c r="U1129">
        <f>R1129/T1129-1</f>
        <v/>
      </c>
      <c r="V1129" t="n">
        <v>2.77480922734327</v>
      </c>
      <c r="W1129" s="5">
        <f>R1129-V1129</f>
        <v/>
      </c>
    </row>
    <row r="1130">
      <c r="A1130" s="3" t="n">
        <v>40106</v>
      </c>
      <c r="B1130">
        <f>Prices!B1130</f>
        <v/>
      </c>
      <c r="C1130">
        <f>Prices!C1130</f>
        <v/>
      </c>
      <c r="D1130">
        <f>Prices!D1130</f>
        <v/>
      </c>
      <c r="E1130">
        <f>Prices!E1130</f>
        <v/>
      </c>
      <c r="F1130">
        <f>Prices!F1130</f>
        <v/>
      </c>
      <c r="G1130">
        <f>IF(AND(1128&gt;=16,TEXT(A1130,"yyyy-mm")&lt;&gt;TEXT(A1131,"yyyy-mm")),1,0)</f>
        <v/>
      </c>
      <c r="H1130">
        <f>IF(OR(H1129=1,G1130=1),1,0)</f>
        <v/>
      </c>
      <c r="I1130">
        <f>IF(H1129=0,1,SUMPRODUCT(J1129:N1129,B1130:F1130)+O1129*(1+0.00023125256064071564))</f>
        <v/>
      </c>
      <c r="J1130">
        <f>IF(G1130=1,0.2*R1130/B1130,J1129)</f>
        <v/>
      </c>
      <c r="K1130">
        <f>IF(G1130=1,0.2*R1130/C1130,K1129)</f>
        <v/>
      </c>
      <c r="L1130">
        <f>IF(G1130=1,0.2*R1130/D1130,L1129)</f>
        <v/>
      </c>
      <c r="M1130">
        <f>IF(G1130=1,0.2*R1130/E1130,M1129)</f>
        <v/>
      </c>
      <c r="N1130">
        <f>IF(G1130=1,0.2*R1130/F1130,N1129)</f>
        <v/>
      </c>
      <c r="O1130">
        <f>IF(G1130=1,R1130*(1-1.0),IF(H1129=0,1,O1129*(1+0.00023125256064071564)))</f>
        <v/>
      </c>
      <c r="P1130">
        <f>IF(G1130=1,IF(H1129=0,1,ABS(0.2-J1129*B1130/I1130)+ABS(0.2-K1129*C1130/I1130)+ABS(0.2-L1129*D1130/I1130)+ABS(0.2-M1129*E1130/I1130)+ABS(0.2-N1129*F1130/I1130)),0)</f>
        <v/>
      </c>
      <c r="Q1130">
        <f>P1130*0.0015</f>
        <v/>
      </c>
      <c r="R1130">
        <f>I1130*(1-Q1130)</f>
        <v/>
      </c>
      <c r="S1130">
        <f>R1130/R1129-1</f>
        <v/>
      </c>
      <c r="T1130">
        <f>MAX(T1129,R1130)</f>
        <v/>
      </c>
      <c r="U1130">
        <f>R1130/T1130-1</f>
        <v/>
      </c>
      <c r="V1130" t="n">
        <v>2.776654218716363</v>
      </c>
      <c r="W1130" s="5">
        <f>R1130-V1130</f>
        <v/>
      </c>
    </row>
    <row r="1131">
      <c r="A1131" s="3" t="n">
        <v>40107</v>
      </c>
      <c r="B1131">
        <f>Prices!B1131</f>
        <v/>
      </c>
      <c r="C1131">
        <f>Prices!C1131</f>
        <v/>
      </c>
      <c r="D1131">
        <f>Prices!D1131</f>
        <v/>
      </c>
      <c r="E1131">
        <f>Prices!E1131</f>
        <v/>
      </c>
      <c r="F1131">
        <f>Prices!F1131</f>
        <v/>
      </c>
      <c r="G1131">
        <f>IF(AND(1129&gt;=16,TEXT(A1131,"yyyy-mm")&lt;&gt;TEXT(A1132,"yyyy-mm")),1,0)</f>
        <v/>
      </c>
      <c r="H1131">
        <f>IF(OR(H1130=1,G1131=1),1,0)</f>
        <v/>
      </c>
      <c r="I1131">
        <f>IF(H1130=0,1,SUMPRODUCT(J1130:N1130,B1131:F1131)+O1130*(1+0.00023125256064071564))</f>
        <v/>
      </c>
      <c r="J1131">
        <f>IF(G1131=1,0.2*R1131/B1131,J1130)</f>
        <v/>
      </c>
      <c r="K1131">
        <f>IF(G1131=1,0.2*R1131/C1131,K1130)</f>
        <v/>
      </c>
      <c r="L1131">
        <f>IF(G1131=1,0.2*R1131/D1131,L1130)</f>
        <v/>
      </c>
      <c r="M1131">
        <f>IF(G1131=1,0.2*R1131/E1131,M1130)</f>
        <v/>
      </c>
      <c r="N1131">
        <f>IF(G1131=1,0.2*R1131/F1131,N1130)</f>
        <v/>
      </c>
      <c r="O1131">
        <f>IF(G1131=1,R1131*(1-1.0),IF(H1130=0,1,O1130*(1+0.00023125256064071564)))</f>
        <v/>
      </c>
      <c r="P1131">
        <f>IF(G1131=1,IF(H1130=0,1,ABS(0.2-J1130*B1131/I1131)+ABS(0.2-K1130*C1131/I1131)+ABS(0.2-L1130*D1131/I1131)+ABS(0.2-M1130*E1131/I1131)+ABS(0.2-N1130*F1131/I1131)),0)</f>
        <v/>
      </c>
      <c r="Q1131">
        <f>P1131*0.0015</f>
        <v/>
      </c>
      <c r="R1131">
        <f>I1131*(1-Q1131)</f>
        <v/>
      </c>
      <c r="S1131">
        <f>R1131/R1130-1</f>
        <v/>
      </c>
      <c r="T1131">
        <f>MAX(T1130,R1131)</f>
        <v/>
      </c>
      <c r="U1131">
        <f>R1131/T1131-1</f>
        <v/>
      </c>
      <c r="V1131" t="n">
        <v>2.742965312133171</v>
      </c>
      <c r="W1131" s="5">
        <f>R1131-V1131</f>
        <v/>
      </c>
    </row>
    <row r="1132">
      <c r="A1132" s="3" t="n">
        <v>40108</v>
      </c>
      <c r="B1132">
        <f>Prices!B1132</f>
        <v/>
      </c>
      <c r="C1132">
        <f>Prices!C1132</f>
        <v/>
      </c>
      <c r="D1132">
        <f>Prices!D1132</f>
        <v/>
      </c>
      <c r="E1132">
        <f>Prices!E1132</f>
        <v/>
      </c>
      <c r="F1132">
        <f>Prices!F1132</f>
        <v/>
      </c>
      <c r="G1132">
        <f>IF(AND(1130&gt;=16,TEXT(A1132,"yyyy-mm")&lt;&gt;TEXT(A1133,"yyyy-mm")),1,0)</f>
        <v/>
      </c>
      <c r="H1132">
        <f>IF(OR(H1131=1,G1132=1),1,0)</f>
        <v/>
      </c>
      <c r="I1132">
        <f>IF(H1131=0,1,SUMPRODUCT(J1131:N1131,B1132:F1132)+O1131*(1+0.00023125256064071564))</f>
        <v/>
      </c>
      <c r="J1132">
        <f>IF(G1132=1,0.2*R1132/B1132,J1131)</f>
        <v/>
      </c>
      <c r="K1132">
        <f>IF(G1132=1,0.2*R1132/C1132,K1131)</f>
        <v/>
      </c>
      <c r="L1132">
        <f>IF(G1132=1,0.2*R1132/D1132,L1131)</f>
        <v/>
      </c>
      <c r="M1132">
        <f>IF(G1132=1,0.2*R1132/E1132,M1131)</f>
        <v/>
      </c>
      <c r="N1132">
        <f>IF(G1132=1,0.2*R1132/F1132,N1131)</f>
        <v/>
      </c>
      <c r="O1132">
        <f>IF(G1132=1,R1132*(1-1.0),IF(H1131=0,1,O1131*(1+0.00023125256064071564)))</f>
        <v/>
      </c>
      <c r="P1132">
        <f>IF(G1132=1,IF(H1131=0,1,ABS(0.2-J1131*B1132/I1132)+ABS(0.2-K1131*C1132/I1132)+ABS(0.2-L1131*D1132/I1132)+ABS(0.2-M1131*E1132/I1132)+ABS(0.2-N1131*F1132/I1132)),0)</f>
        <v/>
      </c>
      <c r="Q1132">
        <f>P1132*0.0015</f>
        <v/>
      </c>
      <c r="R1132">
        <f>I1132*(1-Q1132)</f>
        <v/>
      </c>
      <c r="S1132">
        <f>R1132/R1131-1</f>
        <v/>
      </c>
      <c r="T1132">
        <f>MAX(T1131,R1132)</f>
        <v/>
      </c>
      <c r="U1132">
        <f>R1132/T1132-1</f>
        <v/>
      </c>
      <c r="V1132" t="n">
        <v>2.707313063069557</v>
      </c>
      <c r="W1132" s="5">
        <f>R1132-V1132</f>
        <v/>
      </c>
    </row>
    <row r="1133">
      <c r="A1133" s="3" t="n">
        <v>40109</v>
      </c>
      <c r="B1133">
        <f>Prices!B1133</f>
        <v/>
      </c>
      <c r="C1133">
        <f>Prices!C1133</f>
        <v/>
      </c>
      <c r="D1133">
        <f>Prices!D1133</f>
        <v/>
      </c>
      <c r="E1133">
        <f>Prices!E1133</f>
        <v/>
      </c>
      <c r="F1133">
        <f>Prices!F1133</f>
        <v/>
      </c>
      <c r="G1133">
        <f>IF(AND(1131&gt;=16,TEXT(A1133,"yyyy-mm")&lt;&gt;TEXT(A1134,"yyyy-mm")),1,0)</f>
        <v/>
      </c>
      <c r="H1133">
        <f>IF(OR(H1132=1,G1133=1),1,0)</f>
        <v/>
      </c>
      <c r="I1133">
        <f>IF(H1132=0,1,SUMPRODUCT(J1132:N1132,B1133:F1133)+O1132*(1+0.00023125256064071564))</f>
        <v/>
      </c>
      <c r="J1133">
        <f>IF(G1133=1,0.2*R1133/B1133,J1132)</f>
        <v/>
      </c>
      <c r="K1133">
        <f>IF(G1133=1,0.2*R1133/C1133,K1132)</f>
        <v/>
      </c>
      <c r="L1133">
        <f>IF(G1133=1,0.2*R1133/D1133,L1132)</f>
        <v/>
      </c>
      <c r="M1133">
        <f>IF(G1133=1,0.2*R1133/E1133,M1132)</f>
        <v/>
      </c>
      <c r="N1133">
        <f>IF(G1133=1,0.2*R1133/F1133,N1132)</f>
        <v/>
      </c>
      <c r="O1133">
        <f>IF(G1133=1,R1133*(1-1.0),IF(H1132=0,1,O1132*(1+0.00023125256064071564)))</f>
        <v/>
      </c>
      <c r="P1133">
        <f>IF(G1133=1,IF(H1132=0,1,ABS(0.2-J1132*B1133/I1133)+ABS(0.2-K1132*C1133/I1133)+ABS(0.2-L1132*D1133/I1133)+ABS(0.2-M1132*E1133/I1133)+ABS(0.2-N1132*F1133/I1133)),0)</f>
        <v/>
      </c>
      <c r="Q1133">
        <f>P1133*0.0015</f>
        <v/>
      </c>
      <c r="R1133">
        <f>I1133*(1-Q1133)</f>
        <v/>
      </c>
      <c r="S1133">
        <f>R1133/R1132-1</f>
        <v/>
      </c>
      <c r="T1133">
        <f>MAX(T1132,R1133)</f>
        <v/>
      </c>
      <c r="U1133">
        <f>R1133/T1133-1</f>
        <v/>
      </c>
      <c r="V1133" t="n">
        <v>2.736581783948944</v>
      </c>
      <c r="W1133" s="5">
        <f>R1133-V1133</f>
        <v/>
      </c>
    </row>
    <row r="1134">
      <c r="A1134" s="3" t="n">
        <v>40112</v>
      </c>
      <c r="B1134">
        <f>Prices!B1134</f>
        <v/>
      </c>
      <c r="C1134">
        <f>Prices!C1134</f>
        <v/>
      </c>
      <c r="D1134">
        <f>Prices!D1134</f>
        <v/>
      </c>
      <c r="E1134">
        <f>Prices!E1134</f>
        <v/>
      </c>
      <c r="F1134">
        <f>Prices!F1134</f>
        <v/>
      </c>
      <c r="G1134">
        <f>IF(AND(1132&gt;=16,TEXT(A1134,"yyyy-mm")&lt;&gt;TEXT(A1135,"yyyy-mm")),1,0)</f>
        <v/>
      </c>
      <c r="H1134">
        <f>IF(OR(H1133=1,G1134=1),1,0)</f>
        <v/>
      </c>
      <c r="I1134">
        <f>IF(H1133=0,1,SUMPRODUCT(J1133:N1133,B1134:F1134)+O1133*(1+0.00023125256064071564))</f>
        <v/>
      </c>
      <c r="J1134">
        <f>IF(G1134=1,0.2*R1134/B1134,J1133)</f>
        <v/>
      </c>
      <c r="K1134">
        <f>IF(G1134=1,0.2*R1134/C1134,K1133)</f>
        <v/>
      </c>
      <c r="L1134">
        <f>IF(G1134=1,0.2*R1134/D1134,L1133)</f>
        <v/>
      </c>
      <c r="M1134">
        <f>IF(G1134=1,0.2*R1134/E1134,M1133)</f>
        <v/>
      </c>
      <c r="N1134">
        <f>IF(G1134=1,0.2*R1134/F1134,N1133)</f>
        <v/>
      </c>
      <c r="O1134">
        <f>IF(G1134=1,R1134*(1-1.0),IF(H1133=0,1,O1133*(1+0.00023125256064071564)))</f>
        <v/>
      </c>
      <c r="P1134">
        <f>IF(G1134=1,IF(H1133=0,1,ABS(0.2-J1133*B1134/I1134)+ABS(0.2-K1133*C1134/I1134)+ABS(0.2-L1133*D1134/I1134)+ABS(0.2-M1133*E1134/I1134)+ABS(0.2-N1133*F1134/I1134)),0)</f>
        <v/>
      </c>
      <c r="Q1134">
        <f>P1134*0.0015</f>
        <v/>
      </c>
      <c r="R1134">
        <f>I1134*(1-Q1134)</f>
        <v/>
      </c>
      <c r="S1134">
        <f>R1134/R1133-1</f>
        <v/>
      </c>
      <c r="T1134">
        <f>MAX(T1133,R1134)</f>
        <v/>
      </c>
      <c r="U1134">
        <f>R1134/T1134-1</f>
        <v/>
      </c>
      <c r="V1134" t="n">
        <v>2.716028527019294</v>
      </c>
      <c r="W1134" s="5">
        <f>R1134-V1134</f>
        <v/>
      </c>
    </row>
    <row r="1135">
      <c r="A1135" s="3" t="n">
        <v>40113</v>
      </c>
      <c r="B1135">
        <f>Prices!B1135</f>
        <v/>
      </c>
      <c r="C1135">
        <f>Prices!C1135</f>
        <v/>
      </c>
      <c r="D1135">
        <f>Prices!D1135</f>
        <v/>
      </c>
      <c r="E1135">
        <f>Prices!E1135</f>
        <v/>
      </c>
      <c r="F1135">
        <f>Prices!F1135</f>
        <v/>
      </c>
      <c r="G1135">
        <f>IF(AND(1133&gt;=16,TEXT(A1135,"yyyy-mm")&lt;&gt;TEXT(A1136,"yyyy-mm")),1,0)</f>
        <v/>
      </c>
      <c r="H1135">
        <f>IF(OR(H1134=1,G1135=1),1,0)</f>
        <v/>
      </c>
      <c r="I1135">
        <f>IF(H1134=0,1,SUMPRODUCT(J1134:N1134,B1135:F1135)+O1134*(1+0.00023125256064071564))</f>
        <v/>
      </c>
      <c r="J1135">
        <f>IF(G1135=1,0.2*R1135/B1135,J1134)</f>
        <v/>
      </c>
      <c r="K1135">
        <f>IF(G1135=1,0.2*R1135/C1135,K1134)</f>
        <v/>
      </c>
      <c r="L1135">
        <f>IF(G1135=1,0.2*R1135/D1135,L1134)</f>
        <v/>
      </c>
      <c r="M1135">
        <f>IF(G1135=1,0.2*R1135/E1135,M1134)</f>
        <v/>
      </c>
      <c r="N1135">
        <f>IF(G1135=1,0.2*R1135/F1135,N1134)</f>
        <v/>
      </c>
      <c r="O1135">
        <f>IF(G1135=1,R1135*(1-1.0),IF(H1134=0,1,O1134*(1+0.00023125256064071564)))</f>
        <v/>
      </c>
      <c r="P1135">
        <f>IF(G1135=1,IF(H1134=0,1,ABS(0.2-J1134*B1135/I1135)+ABS(0.2-K1134*C1135/I1135)+ABS(0.2-L1134*D1135/I1135)+ABS(0.2-M1134*E1135/I1135)+ABS(0.2-N1134*F1135/I1135)),0)</f>
        <v/>
      </c>
      <c r="Q1135">
        <f>P1135*0.0015</f>
        <v/>
      </c>
      <c r="R1135">
        <f>I1135*(1-Q1135)</f>
        <v/>
      </c>
      <c r="S1135">
        <f>R1135/R1134-1</f>
        <v/>
      </c>
      <c r="T1135">
        <f>MAX(T1134,R1135)</f>
        <v/>
      </c>
      <c r="U1135">
        <f>R1135/T1135-1</f>
        <v/>
      </c>
      <c r="V1135" t="n">
        <v>2.640754183974432</v>
      </c>
      <c r="W1135" s="5">
        <f>R1135-V1135</f>
        <v/>
      </c>
    </row>
    <row r="1136">
      <c r="A1136" s="3" t="n">
        <v>40114</v>
      </c>
      <c r="B1136">
        <f>Prices!B1136</f>
        <v/>
      </c>
      <c r="C1136">
        <f>Prices!C1136</f>
        <v/>
      </c>
      <c r="D1136">
        <f>Prices!D1136</f>
        <v/>
      </c>
      <c r="E1136">
        <f>Prices!E1136</f>
        <v/>
      </c>
      <c r="F1136">
        <f>Prices!F1136</f>
        <v/>
      </c>
      <c r="G1136">
        <f>IF(AND(1134&gt;=16,TEXT(A1136,"yyyy-mm")&lt;&gt;TEXT(A1137,"yyyy-mm")),1,0)</f>
        <v/>
      </c>
      <c r="H1136">
        <f>IF(OR(H1135=1,G1136=1),1,0)</f>
        <v/>
      </c>
      <c r="I1136">
        <f>IF(H1135=0,1,SUMPRODUCT(J1135:N1135,B1136:F1136)+O1135*(1+0.00023125256064071564))</f>
        <v/>
      </c>
      <c r="J1136">
        <f>IF(G1136=1,0.2*R1136/B1136,J1135)</f>
        <v/>
      </c>
      <c r="K1136">
        <f>IF(G1136=1,0.2*R1136/C1136,K1135)</f>
        <v/>
      </c>
      <c r="L1136">
        <f>IF(G1136=1,0.2*R1136/D1136,L1135)</f>
        <v/>
      </c>
      <c r="M1136">
        <f>IF(G1136=1,0.2*R1136/E1136,M1135)</f>
        <v/>
      </c>
      <c r="N1136">
        <f>IF(G1136=1,0.2*R1136/F1136,N1135)</f>
        <v/>
      </c>
      <c r="O1136">
        <f>IF(G1136=1,R1136*(1-1.0),IF(H1135=0,1,O1135*(1+0.00023125256064071564)))</f>
        <v/>
      </c>
      <c r="P1136">
        <f>IF(G1136=1,IF(H1135=0,1,ABS(0.2-J1135*B1136/I1136)+ABS(0.2-K1135*C1136/I1136)+ABS(0.2-L1135*D1136/I1136)+ABS(0.2-M1135*E1136/I1136)+ABS(0.2-N1135*F1136/I1136)),0)</f>
        <v/>
      </c>
      <c r="Q1136">
        <f>P1136*0.0015</f>
        <v/>
      </c>
      <c r="R1136">
        <f>I1136*(1-Q1136)</f>
        <v/>
      </c>
      <c r="S1136">
        <f>R1136/R1135-1</f>
        <v/>
      </c>
      <c r="T1136">
        <f>MAX(T1135,R1136)</f>
        <v/>
      </c>
      <c r="U1136">
        <f>R1136/T1136-1</f>
        <v/>
      </c>
      <c r="V1136" t="n">
        <v>2.64136408271201</v>
      </c>
      <c r="W1136" s="5">
        <f>R1136-V1136</f>
        <v/>
      </c>
    </row>
    <row r="1137">
      <c r="A1137" s="3" t="n">
        <v>40115</v>
      </c>
      <c r="B1137">
        <f>Prices!B1137</f>
        <v/>
      </c>
      <c r="C1137">
        <f>Prices!C1137</f>
        <v/>
      </c>
      <c r="D1137">
        <f>Prices!D1137</f>
        <v/>
      </c>
      <c r="E1137">
        <f>Prices!E1137</f>
        <v/>
      </c>
      <c r="F1137">
        <f>Prices!F1137</f>
        <v/>
      </c>
      <c r="G1137">
        <f>IF(AND(1135&gt;=16,TEXT(A1137,"yyyy-mm")&lt;&gt;TEXT(A1138,"yyyy-mm")),1,0)</f>
        <v/>
      </c>
      <c r="H1137">
        <f>IF(OR(H1136=1,G1137=1),1,0)</f>
        <v/>
      </c>
      <c r="I1137">
        <f>IF(H1136=0,1,SUMPRODUCT(J1136:N1136,B1137:F1137)+O1136*(1+0.00023125256064071564))</f>
        <v/>
      </c>
      <c r="J1137">
        <f>IF(G1137=1,0.2*R1137/B1137,J1136)</f>
        <v/>
      </c>
      <c r="K1137">
        <f>IF(G1137=1,0.2*R1137/C1137,K1136)</f>
        <v/>
      </c>
      <c r="L1137">
        <f>IF(G1137=1,0.2*R1137/D1137,L1136)</f>
        <v/>
      </c>
      <c r="M1137">
        <f>IF(G1137=1,0.2*R1137/E1137,M1136)</f>
        <v/>
      </c>
      <c r="N1137">
        <f>IF(G1137=1,0.2*R1137/F1137,N1136)</f>
        <v/>
      </c>
      <c r="O1137">
        <f>IF(G1137=1,R1137*(1-1.0),IF(H1136=0,1,O1136*(1+0.00023125256064071564)))</f>
        <v/>
      </c>
      <c r="P1137">
        <f>IF(G1137=1,IF(H1136=0,1,ABS(0.2-J1136*B1137/I1137)+ABS(0.2-K1136*C1137/I1137)+ABS(0.2-L1136*D1137/I1137)+ABS(0.2-M1136*E1137/I1137)+ABS(0.2-N1136*F1137/I1137)),0)</f>
        <v/>
      </c>
      <c r="Q1137">
        <f>P1137*0.0015</f>
        <v/>
      </c>
      <c r="R1137">
        <f>I1137*(1-Q1137)</f>
        <v/>
      </c>
      <c r="S1137">
        <f>R1137/R1136-1</f>
        <v/>
      </c>
      <c r="T1137">
        <f>MAX(T1136,R1137)</f>
        <v/>
      </c>
      <c r="U1137">
        <f>R1137/T1137-1</f>
        <v/>
      </c>
      <c r="V1137" t="n">
        <v>2.605630170352637</v>
      </c>
      <c r="W1137" s="5">
        <f>R1137-V1137</f>
        <v/>
      </c>
    </row>
    <row r="1138">
      <c r="A1138" s="3" t="n">
        <v>40116</v>
      </c>
      <c r="B1138">
        <f>Prices!B1138</f>
        <v/>
      </c>
      <c r="C1138">
        <f>Prices!C1138</f>
        <v/>
      </c>
      <c r="D1138">
        <f>Prices!D1138</f>
        <v/>
      </c>
      <c r="E1138">
        <f>Prices!E1138</f>
        <v/>
      </c>
      <c r="F1138">
        <f>Prices!F1138</f>
        <v/>
      </c>
      <c r="G1138">
        <f>IF(AND(1136&gt;=16,TEXT(A1138,"yyyy-mm")&lt;&gt;TEXT(A1139,"yyyy-mm")),1,0)</f>
        <v/>
      </c>
      <c r="H1138">
        <f>IF(OR(H1137=1,G1138=1),1,0)</f>
        <v/>
      </c>
      <c r="I1138">
        <f>IF(H1137=0,1,SUMPRODUCT(J1137:N1137,B1138:F1138)+O1137*(1+0.00023125256064071564))</f>
        <v/>
      </c>
      <c r="J1138">
        <f>IF(G1138=1,0.2*R1138/B1138,J1137)</f>
        <v/>
      </c>
      <c r="K1138">
        <f>IF(G1138=1,0.2*R1138/C1138,K1137)</f>
        <v/>
      </c>
      <c r="L1138">
        <f>IF(G1138=1,0.2*R1138/D1138,L1137)</f>
        <v/>
      </c>
      <c r="M1138">
        <f>IF(G1138=1,0.2*R1138/E1138,M1137)</f>
        <v/>
      </c>
      <c r="N1138">
        <f>IF(G1138=1,0.2*R1138/F1138,N1137)</f>
        <v/>
      </c>
      <c r="O1138">
        <f>IF(G1138=1,R1138*(1-1.0),IF(H1137=0,1,O1137*(1+0.00023125256064071564)))</f>
        <v/>
      </c>
      <c r="P1138">
        <f>IF(G1138=1,IF(H1137=0,1,ABS(0.2-J1137*B1138/I1138)+ABS(0.2-K1137*C1138/I1138)+ABS(0.2-L1137*D1138/I1138)+ABS(0.2-M1137*E1138/I1138)+ABS(0.2-N1137*F1138/I1138)),0)</f>
        <v/>
      </c>
      <c r="Q1138">
        <f>P1138*0.0015</f>
        <v/>
      </c>
      <c r="R1138">
        <f>I1138*(1-Q1138)</f>
        <v/>
      </c>
      <c r="S1138">
        <f>R1138/R1137-1</f>
        <v/>
      </c>
      <c r="T1138">
        <f>MAX(T1137,R1138)</f>
        <v/>
      </c>
      <c r="U1138">
        <f>R1138/T1138-1</f>
        <v/>
      </c>
      <c r="V1138" t="n">
        <v>2.594550433818477</v>
      </c>
      <c r="W1138" s="5">
        <f>R1138-V1138</f>
        <v/>
      </c>
    </row>
    <row r="1139">
      <c r="A1139" s="3" t="n">
        <v>40120</v>
      </c>
      <c r="B1139">
        <f>Prices!B1139</f>
        <v/>
      </c>
      <c r="C1139">
        <f>Prices!C1139</f>
        <v/>
      </c>
      <c r="D1139">
        <f>Prices!D1139</f>
        <v/>
      </c>
      <c r="E1139">
        <f>Prices!E1139</f>
        <v/>
      </c>
      <c r="F1139">
        <f>Prices!F1139</f>
        <v/>
      </c>
      <c r="G1139">
        <f>IF(AND(1137&gt;=16,TEXT(A1139,"yyyy-mm")&lt;&gt;TEXT(A1140,"yyyy-mm")),1,0)</f>
        <v/>
      </c>
      <c r="H1139">
        <f>IF(OR(H1138=1,G1139=1),1,0)</f>
        <v/>
      </c>
      <c r="I1139">
        <f>IF(H1138=0,1,SUMPRODUCT(J1138:N1138,B1139:F1139)+O1138*(1+0.00023125256064071564))</f>
        <v/>
      </c>
      <c r="J1139">
        <f>IF(G1139=1,0.2*R1139/B1139,J1138)</f>
        <v/>
      </c>
      <c r="K1139">
        <f>IF(G1139=1,0.2*R1139/C1139,K1138)</f>
        <v/>
      </c>
      <c r="L1139">
        <f>IF(G1139=1,0.2*R1139/D1139,L1138)</f>
        <v/>
      </c>
      <c r="M1139">
        <f>IF(G1139=1,0.2*R1139/E1139,M1138)</f>
        <v/>
      </c>
      <c r="N1139">
        <f>IF(G1139=1,0.2*R1139/F1139,N1138)</f>
        <v/>
      </c>
      <c r="O1139">
        <f>IF(G1139=1,R1139*(1-1.0),IF(H1138=0,1,O1138*(1+0.00023125256064071564)))</f>
        <v/>
      </c>
      <c r="P1139">
        <f>IF(G1139=1,IF(H1138=0,1,ABS(0.2-J1138*B1139/I1139)+ABS(0.2-K1138*C1139/I1139)+ABS(0.2-L1138*D1139/I1139)+ABS(0.2-M1138*E1139/I1139)+ABS(0.2-N1138*F1139/I1139)),0)</f>
        <v/>
      </c>
      <c r="Q1139">
        <f>P1139*0.0015</f>
        <v/>
      </c>
      <c r="R1139">
        <f>I1139*(1-Q1139)</f>
        <v/>
      </c>
      <c r="S1139">
        <f>R1139/R1138-1</f>
        <v/>
      </c>
      <c r="T1139">
        <f>MAX(T1138,R1139)</f>
        <v/>
      </c>
      <c r="U1139">
        <f>R1139/T1139-1</f>
        <v/>
      </c>
      <c r="V1139" t="n">
        <v>2.51393260810512</v>
      </c>
      <c r="W1139" s="5">
        <f>R1139-V1139</f>
        <v/>
      </c>
    </row>
    <row r="1140">
      <c r="A1140" s="3" t="n">
        <v>40121</v>
      </c>
      <c r="B1140">
        <f>Prices!B1140</f>
        <v/>
      </c>
      <c r="C1140">
        <f>Prices!C1140</f>
        <v/>
      </c>
      <c r="D1140">
        <f>Prices!D1140</f>
        <v/>
      </c>
      <c r="E1140">
        <f>Prices!E1140</f>
        <v/>
      </c>
      <c r="F1140">
        <f>Prices!F1140</f>
        <v/>
      </c>
      <c r="G1140">
        <f>IF(AND(1138&gt;=16,TEXT(A1140,"yyyy-mm")&lt;&gt;TEXT(A1141,"yyyy-mm")),1,0)</f>
        <v/>
      </c>
      <c r="H1140">
        <f>IF(OR(H1139=1,G1140=1),1,0)</f>
        <v/>
      </c>
      <c r="I1140">
        <f>IF(H1139=0,1,SUMPRODUCT(J1139:N1139,B1140:F1140)+O1139*(1+0.00023125256064071564))</f>
        <v/>
      </c>
      <c r="J1140">
        <f>IF(G1140=1,0.2*R1140/B1140,J1139)</f>
        <v/>
      </c>
      <c r="K1140">
        <f>IF(G1140=1,0.2*R1140/C1140,K1139)</f>
        <v/>
      </c>
      <c r="L1140">
        <f>IF(G1140=1,0.2*R1140/D1140,L1139)</f>
        <v/>
      </c>
      <c r="M1140">
        <f>IF(G1140=1,0.2*R1140/E1140,M1139)</f>
        <v/>
      </c>
      <c r="N1140">
        <f>IF(G1140=1,0.2*R1140/F1140,N1139)</f>
        <v/>
      </c>
      <c r="O1140">
        <f>IF(G1140=1,R1140*(1-1.0),IF(H1139=0,1,O1139*(1+0.00023125256064071564)))</f>
        <v/>
      </c>
      <c r="P1140">
        <f>IF(G1140=1,IF(H1139=0,1,ABS(0.2-J1139*B1140/I1140)+ABS(0.2-K1139*C1140/I1140)+ABS(0.2-L1139*D1140/I1140)+ABS(0.2-M1139*E1140/I1140)+ABS(0.2-N1139*F1140/I1140)),0)</f>
        <v/>
      </c>
      <c r="Q1140">
        <f>P1140*0.0015</f>
        <v/>
      </c>
      <c r="R1140">
        <f>I1140*(1-Q1140)</f>
        <v/>
      </c>
      <c r="S1140">
        <f>R1140/R1139-1</f>
        <v/>
      </c>
      <c r="T1140">
        <f>MAX(T1139,R1140)</f>
        <v/>
      </c>
      <c r="U1140">
        <f>R1140/T1140-1</f>
        <v/>
      </c>
      <c r="V1140" t="n">
        <v>2.578093803582649</v>
      </c>
      <c r="W1140" s="5">
        <f>R1140-V1140</f>
        <v/>
      </c>
    </row>
    <row r="1141">
      <c r="A1141" s="3" t="n">
        <v>40122</v>
      </c>
      <c r="B1141">
        <f>Prices!B1141</f>
        <v/>
      </c>
      <c r="C1141">
        <f>Prices!C1141</f>
        <v/>
      </c>
      <c r="D1141">
        <f>Prices!D1141</f>
        <v/>
      </c>
      <c r="E1141">
        <f>Prices!E1141</f>
        <v/>
      </c>
      <c r="F1141">
        <f>Prices!F1141</f>
        <v/>
      </c>
      <c r="G1141">
        <f>IF(AND(1139&gt;=16,TEXT(A1141,"yyyy-mm")&lt;&gt;TEXT(A1142,"yyyy-mm")),1,0)</f>
        <v/>
      </c>
      <c r="H1141">
        <f>IF(OR(H1140=1,G1141=1),1,0)</f>
        <v/>
      </c>
      <c r="I1141">
        <f>IF(H1140=0,1,SUMPRODUCT(J1140:N1140,B1141:F1141)+O1140*(1+0.00023125256064071564))</f>
        <v/>
      </c>
      <c r="J1141">
        <f>IF(G1141=1,0.2*R1141/B1141,J1140)</f>
        <v/>
      </c>
      <c r="K1141">
        <f>IF(G1141=1,0.2*R1141/C1141,K1140)</f>
        <v/>
      </c>
      <c r="L1141">
        <f>IF(G1141=1,0.2*R1141/D1141,L1140)</f>
        <v/>
      </c>
      <c r="M1141">
        <f>IF(G1141=1,0.2*R1141/E1141,M1140)</f>
        <v/>
      </c>
      <c r="N1141">
        <f>IF(G1141=1,0.2*R1141/F1141,N1140)</f>
        <v/>
      </c>
      <c r="O1141">
        <f>IF(G1141=1,R1141*(1-1.0),IF(H1140=0,1,O1140*(1+0.00023125256064071564)))</f>
        <v/>
      </c>
      <c r="P1141">
        <f>IF(G1141=1,IF(H1140=0,1,ABS(0.2-J1140*B1141/I1141)+ABS(0.2-K1140*C1141/I1141)+ABS(0.2-L1140*D1141/I1141)+ABS(0.2-M1140*E1141/I1141)+ABS(0.2-N1140*F1141/I1141)),0)</f>
        <v/>
      </c>
      <c r="Q1141">
        <f>P1141*0.0015</f>
        <v/>
      </c>
      <c r="R1141">
        <f>I1141*(1-Q1141)</f>
        <v/>
      </c>
      <c r="S1141">
        <f>R1141/R1140-1</f>
        <v/>
      </c>
      <c r="T1141">
        <f>MAX(T1140,R1141)</f>
        <v/>
      </c>
      <c r="U1141">
        <f>R1141/T1141-1</f>
        <v/>
      </c>
      <c r="V1141" t="n">
        <v>2.627160180503536</v>
      </c>
      <c r="W1141" s="5">
        <f>R1141-V1141</f>
        <v/>
      </c>
    </row>
    <row r="1142">
      <c r="A1142" s="3" t="n">
        <v>40123</v>
      </c>
      <c r="B1142">
        <f>Prices!B1142</f>
        <v/>
      </c>
      <c r="C1142">
        <f>Prices!C1142</f>
        <v/>
      </c>
      <c r="D1142">
        <f>Prices!D1142</f>
        <v/>
      </c>
      <c r="E1142">
        <f>Prices!E1142</f>
        <v/>
      </c>
      <c r="F1142">
        <f>Prices!F1142</f>
        <v/>
      </c>
      <c r="G1142">
        <f>IF(AND(1140&gt;=16,TEXT(A1142,"yyyy-mm")&lt;&gt;TEXT(A1143,"yyyy-mm")),1,0)</f>
        <v/>
      </c>
      <c r="H1142">
        <f>IF(OR(H1141=1,G1142=1),1,0)</f>
        <v/>
      </c>
      <c r="I1142">
        <f>IF(H1141=0,1,SUMPRODUCT(J1141:N1141,B1142:F1142)+O1141*(1+0.00023125256064071564))</f>
        <v/>
      </c>
      <c r="J1142">
        <f>IF(G1142=1,0.2*R1142/B1142,J1141)</f>
        <v/>
      </c>
      <c r="K1142">
        <f>IF(G1142=1,0.2*R1142/C1142,K1141)</f>
        <v/>
      </c>
      <c r="L1142">
        <f>IF(G1142=1,0.2*R1142/D1142,L1141)</f>
        <v/>
      </c>
      <c r="M1142">
        <f>IF(G1142=1,0.2*R1142/E1142,M1141)</f>
        <v/>
      </c>
      <c r="N1142">
        <f>IF(G1142=1,0.2*R1142/F1142,N1141)</f>
        <v/>
      </c>
      <c r="O1142">
        <f>IF(G1142=1,R1142*(1-1.0),IF(H1141=0,1,O1141*(1+0.00023125256064071564)))</f>
        <v/>
      </c>
      <c r="P1142">
        <f>IF(G1142=1,IF(H1141=0,1,ABS(0.2-J1141*B1142/I1142)+ABS(0.2-K1141*C1142/I1142)+ABS(0.2-L1141*D1142/I1142)+ABS(0.2-M1141*E1142/I1142)+ABS(0.2-N1141*F1142/I1142)),0)</f>
        <v/>
      </c>
      <c r="Q1142">
        <f>P1142*0.0015</f>
        <v/>
      </c>
      <c r="R1142">
        <f>I1142*(1-Q1142)</f>
        <v/>
      </c>
      <c r="S1142">
        <f>R1142/R1141-1</f>
        <v/>
      </c>
      <c r="T1142">
        <f>MAX(T1141,R1142)</f>
        <v/>
      </c>
      <c r="U1142">
        <f>R1142/T1142-1</f>
        <v/>
      </c>
      <c r="V1142" t="n">
        <v>2.66304071241003</v>
      </c>
      <c r="W1142" s="5">
        <f>R1142-V1142</f>
        <v/>
      </c>
    </row>
    <row r="1143">
      <c r="A1143" s="3" t="n">
        <v>40126</v>
      </c>
      <c r="B1143">
        <f>Prices!B1143</f>
        <v/>
      </c>
      <c r="C1143">
        <f>Prices!C1143</f>
        <v/>
      </c>
      <c r="D1143">
        <f>Prices!D1143</f>
        <v/>
      </c>
      <c r="E1143">
        <f>Prices!E1143</f>
        <v/>
      </c>
      <c r="F1143">
        <f>Prices!F1143</f>
        <v/>
      </c>
      <c r="G1143">
        <f>IF(AND(1141&gt;=16,TEXT(A1143,"yyyy-mm")&lt;&gt;TEXT(A1144,"yyyy-mm")),1,0)</f>
        <v/>
      </c>
      <c r="H1143">
        <f>IF(OR(H1142=1,G1143=1),1,0)</f>
        <v/>
      </c>
      <c r="I1143">
        <f>IF(H1142=0,1,SUMPRODUCT(J1142:N1142,B1143:F1143)+O1142*(1+0.00023125256064071564))</f>
        <v/>
      </c>
      <c r="J1143">
        <f>IF(G1143=1,0.2*R1143/B1143,J1142)</f>
        <v/>
      </c>
      <c r="K1143">
        <f>IF(G1143=1,0.2*R1143/C1143,K1142)</f>
        <v/>
      </c>
      <c r="L1143">
        <f>IF(G1143=1,0.2*R1143/D1143,L1142)</f>
        <v/>
      </c>
      <c r="M1143">
        <f>IF(G1143=1,0.2*R1143/E1143,M1142)</f>
        <v/>
      </c>
      <c r="N1143">
        <f>IF(G1143=1,0.2*R1143/F1143,N1142)</f>
        <v/>
      </c>
      <c r="O1143">
        <f>IF(G1143=1,R1143*(1-1.0),IF(H1142=0,1,O1142*(1+0.00023125256064071564)))</f>
        <v/>
      </c>
      <c r="P1143">
        <f>IF(G1143=1,IF(H1142=0,1,ABS(0.2-J1142*B1143/I1143)+ABS(0.2-K1142*C1143/I1143)+ABS(0.2-L1142*D1143/I1143)+ABS(0.2-M1142*E1143/I1143)+ABS(0.2-N1142*F1143/I1143)),0)</f>
        <v/>
      </c>
      <c r="Q1143">
        <f>P1143*0.0015</f>
        <v/>
      </c>
      <c r="R1143">
        <f>I1143*(1-Q1143)</f>
        <v/>
      </c>
      <c r="S1143">
        <f>R1143/R1142-1</f>
        <v/>
      </c>
      <c r="T1143">
        <f>MAX(T1142,R1143)</f>
        <v/>
      </c>
      <c r="U1143">
        <f>R1143/T1143-1</f>
        <v/>
      </c>
      <c r="V1143" t="n">
        <v>2.71412205494408</v>
      </c>
      <c r="W1143" s="5">
        <f>R1143-V1143</f>
        <v/>
      </c>
    </row>
    <row r="1144">
      <c r="A1144" s="3" t="n">
        <v>40127</v>
      </c>
      <c r="B1144">
        <f>Prices!B1144</f>
        <v/>
      </c>
      <c r="C1144">
        <f>Prices!C1144</f>
        <v/>
      </c>
      <c r="D1144">
        <f>Prices!D1144</f>
        <v/>
      </c>
      <c r="E1144">
        <f>Prices!E1144</f>
        <v/>
      </c>
      <c r="F1144">
        <f>Prices!F1144</f>
        <v/>
      </c>
      <c r="G1144">
        <f>IF(AND(1142&gt;=16,TEXT(A1144,"yyyy-mm")&lt;&gt;TEXT(A1145,"yyyy-mm")),1,0)</f>
        <v/>
      </c>
      <c r="H1144">
        <f>IF(OR(H1143=1,G1144=1),1,0)</f>
        <v/>
      </c>
      <c r="I1144">
        <f>IF(H1143=0,1,SUMPRODUCT(J1143:N1143,B1144:F1144)+O1143*(1+0.00023125256064071564))</f>
        <v/>
      </c>
      <c r="J1144">
        <f>IF(G1144=1,0.2*R1144/B1144,J1143)</f>
        <v/>
      </c>
      <c r="K1144">
        <f>IF(G1144=1,0.2*R1144/C1144,K1143)</f>
        <v/>
      </c>
      <c r="L1144">
        <f>IF(G1144=1,0.2*R1144/D1144,L1143)</f>
        <v/>
      </c>
      <c r="M1144">
        <f>IF(G1144=1,0.2*R1144/E1144,M1143)</f>
        <v/>
      </c>
      <c r="N1144">
        <f>IF(G1144=1,0.2*R1144/F1144,N1143)</f>
        <v/>
      </c>
      <c r="O1144">
        <f>IF(G1144=1,R1144*(1-1.0),IF(H1143=0,1,O1143*(1+0.00023125256064071564)))</f>
        <v/>
      </c>
      <c r="P1144">
        <f>IF(G1144=1,IF(H1143=0,1,ABS(0.2-J1143*B1144/I1144)+ABS(0.2-K1143*C1144/I1144)+ABS(0.2-L1143*D1144/I1144)+ABS(0.2-M1143*E1144/I1144)+ABS(0.2-N1143*F1144/I1144)),0)</f>
        <v/>
      </c>
      <c r="Q1144">
        <f>P1144*0.0015</f>
        <v/>
      </c>
      <c r="R1144">
        <f>I1144*(1-Q1144)</f>
        <v/>
      </c>
      <c r="S1144">
        <f>R1144/R1143-1</f>
        <v/>
      </c>
      <c r="T1144">
        <f>MAX(T1143,R1144)</f>
        <v/>
      </c>
      <c r="U1144">
        <f>R1144/T1144-1</f>
        <v/>
      </c>
      <c r="V1144" t="n">
        <v>2.701951988889153</v>
      </c>
      <c r="W1144" s="5">
        <f>R1144-V1144</f>
        <v/>
      </c>
    </row>
    <row r="1145">
      <c r="A1145" s="3" t="n">
        <v>40128</v>
      </c>
      <c r="B1145">
        <f>Prices!B1145</f>
        <v/>
      </c>
      <c r="C1145">
        <f>Prices!C1145</f>
        <v/>
      </c>
      <c r="D1145">
        <f>Prices!D1145</f>
        <v/>
      </c>
      <c r="E1145">
        <f>Prices!E1145</f>
        <v/>
      </c>
      <c r="F1145">
        <f>Prices!F1145</f>
        <v/>
      </c>
      <c r="G1145">
        <f>IF(AND(1143&gt;=16,TEXT(A1145,"yyyy-mm")&lt;&gt;TEXT(A1146,"yyyy-mm")),1,0)</f>
        <v/>
      </c>
      <c r="H1145">
        <f>IF(OR(H1144=1,G1145=1),1,0)</f>
        <v/>
      </c>
      <c r="I1145">
        <f>IF(H1144=0,1,SUMPRODUCT(J1144:N1144,B1145:F1145)+O1144*(1+0.00023125256064071564))</f>
        <v/>
      </c>
      <c r="J1145">
        <f>IF(G1145=1,0.2*R1145/B1145,J1144)</f>
        <v/>
      </c>
      <c r="K1145">
        <f>IF(G1145=1,0.2*R1145/C1145,K1144)</f>
        <v/>
      </c>
      <c r="L1145">
        <f>IF(G1145=1,0.2*R1145/D1145,L1144)</f>
        <v/>
      </c>
      <c r="M1145">
        <f>IF(G1145=1,0.2*R1145/E1145,M1144)</f>
        <v/>
      </c>
      <c r="N1145">
        <f>IF(G1145=1,0.2*R1145/F1145,N1144)</f>
        <v/>
      </c>
      <c r="O1145">
        <f>IF(G1145=1,R1145*(1-1.0),IF(H1144=0,1,O1144*(1+0.00023125256064071564)))</f>
        <v/>
      </c>
      <c r="P1145">
        <f>IF(G1145=1,IF(H1144=0,1,ABS(0.2-J1144*B1145/I1145)+ABS(0.2-K1144*C1145/I1145)+ABS(0.2-L1144*D1145/I1145)+ABS(0.2-M1144*E1145/I1145)+ABS(0.2-N1144*F1145/I1145)),0)</f>
        <v/>
      </c>
      <c r="Q1145">
        <f>P1145*0.0015</f>
        <v/>
      </c>
      <c r="R1145">
        <f>I1145*(1-Q1145)</f>
        <v/>
      </c>
      <c r="S1145">
        <f>R1145/R1144-1</f>
        <v/>
      </c>
      <c r="T1145">
        <f>MAX(T1144,R1145)</f>
        <v/>
      </c>
      <c r="U1145">
        <f>R1145/T1145-1</f>
        <v/>
      </c>
      <c r="V1145" t="n">
        <v>2.765611049905095</v>
      </c>
      <c r="W1145" s="5">
        <f>R1145-V1145</f>
        <v/>
      </c>
    </row>
    <row r="1146">
      <c r="A1146" s="3" t="n">
        <v>40129</v>
      </c>
      <c r="B1146">
        <f>Prices!B1146</f>
        <v/>
      </c>
      <c r="C1146">
        <f>Prices!C1146</f>
        <v/>
      </c>
      <c r="D1146">
        <f>Prices!D1146</f>
        <v/>
      </c>
      <c r="E1146">
        <f>Prices!E1146</f>
        <v/>
      </c>
      <c r="F1146">
        <f>Prices!F1146</f>
        <v/>
      </c>
      <c r="G1146">
        <f>IF(AND(1144&gt;=16,TEXT(A1146,"yyyy-mm")&lt;&gt;TEXT(A1147,"yyyy-mm")),1,0)</f>
        <v/>
      </c>
      <c r="H1146">
        <f>IF(OR(H1145=1,G1146=1),1,0)</f>
        <v/>
      </c>
      <c r="I1146">
        <f>IF(H1145=0,1,SUMPRODUCT(J1145:N1145,B1146:F1146)+O1145*(1+0.00023125256064071564))</f>
        <v/>
      </c>
      <c r="J1146">
        <f>IF(G1146=1,0.2*R1146/B1146,J1145)</f>
        <v/>
      </c>
      <c r="K1146">
        <f>IF(G1146=1,0.2*R1146/C1146,K1145)</f>
        <v/>
      </c>
      <c r="L1146">
        <f>IF(G1146=1,0.2*R1146/D1146,L1145)</f>
        <v/>
      </c>
      <c r="M1146">
        <f>IF(G1146=1,0.2*R1146/E1146,M1145)</f>
        <v/>
      </c>
      <c r="N1146">
        <f>IF(G1146=1,0.2*R1146/F1146,N1145)</f>
        <v/>
      </c>
      <c r="O1146">
        <f>IF(G1146=1,R1146*(1-1.0),IF(H1145=0,1,O1145*(1+0.00023125256064071564)))</f>
        <v/>
      </c>
      <c r="P1146">
        <f>IF(G1146=1,IF(H1145=0,1,ABS(0.2-J1145*B1146/I1146)+ABS(0.2-K1145*C1146/I1146)+ABS(0.2-L1145*D1146/I1146)+ABS(0.2-M1145*E1146/I1146)+ABS(0.2-N1145*F1146/I1146)),0)</f>
        <v/>
      </c>
      <c r="Q1146">
        <f>P1146*0.0015</f>
        <v/>
      </c>
      <c r="R1146">
        <f>I1146*(1-Q1146)</f>
        <v/>
      </c>
      <c r="S1146">
        <f>R1146/R1145-1</f>
        <v/>
      </c>
      <c r="T1146">
        <f>MAX(T1145,R1146)</f>
        <v/>
      </c>
      <c r="U1146">
        <f>R1146/T1146-1</f>
        <v/>
      </c>
      <c r="V1146" t="n">
        <v>2.737162147283692</v>
      </c>
      <c r="W1146" s="5">
        <f>R1146-V1146</f>
        <v/>
      </c>
    </row>
    <row r="1147">
      <c r="A1147" s="3" t="n">
        <v>40130</v>
      </c>
      <c r="B1147">
        <f>Prices!B1147</f>
        <v/>
      </c>
      <c r="C1147">
        <f>Prices!C1147</f>
        <v/>
      </c>
      <c r="D1147">
        <f>Prices!D1147</f>
        <v/>
      </c>
      <c r="E1147">
        <f>Prices!E1147</f>
        <v/>
      </c>
      <c r="F1147">
        <f>Prices!F1147</f>
        <v/>
      </c>
      <c r="G1147">
        <f>IF(AND(1145&gt;=16,TEXT(A1147,"yyyy-mm")&lt;&gt;TEXT(A1148,"yyyy-mm")),1,0)</f>
        <v/>
      </c>
      <c r="H1147">
        <f>IF(OR(H1146=1,G1147=1),1,0)</f>
        <v/>
      </c>
      <c r="I1147">
        <f>IF(H1146=0,1,SUMPRODUCT(J1146:N1146,B1147:F1147)+O1146*(1+0.00023125256064071564))</f>
        <v/>
      </c>
      <c r="J1147">
        <f>IF(G1147=1,0.2*R1147/B1147,J1146)</f>
        <v/>
      </c>
      <c r="K1147">
        <f>IF(G1147=1,0.2*R1147/C1147,K1146)</f>
        <v/>
      </c>
      <c r="L1147">
        <f>IF(G1147=1,0.2*R1147/D1147,L1146)</f>
        <v/>
      </c>
      <c r="M1147">
        <f>IF(G1147=1,0.2*R1147/E1147,M1146)</f>
        <v/>
      </c>
      <c r="N1147">
        <f>IF(G1147=1,0.2*R1147/F1147,N1146)</f>
        <v/>
      </c>
      <c r="O1147">
        <f>IF(G1147=1,R1147*(1-1.0),IF(H1146=0,1,O1146*(1+0.00023125256064071564)))</f>
        <v/>
      </c>
      <c r="P1147">
        <f>IF(G1147=1,IF(H1146=0,1,ABS(0.2-J1146*B1147/I1147)+ABS(0.2-K1146*C1147/I1147)+ABS(0.2-L1146*D1147/I1147)+ABS(0.2-M1146*E1147/I1147)+ABS(0.2-N1146*F1147/I1147)),0)</f>
        <v/>
      </c>
      <c r="Q1147">
        <f>P1147*0.0015</f>
        <v/>
      </c>
      <c r="R1147">
        <f>I1147*(1-Q1147)</f>
        <v/>
      </c>
      <c r="S1147">
        <f>R1147/R1146-1</f>
        <v/>
      </c>
      <c r="T1147">
        <f>MAX(T1146,R1147)</f>
        <v/>
      </c>
      <c r="U1147">
        <f>R1147/T1147-1</f>
        <v/>
      </c>
      <c r="V1147" t="n">
        <v>2.755256094644812</v>
      </c>
      <c r="W1147" s="5">
        <f>R1147-V1147</f>
        <v/>
      </c>
    </row>
    <row r="1148">
      <c r="A1148" s="3" t="n">
        <v>40133</v>
      </c>
      <c r="B1148">
        <f>Prices!B1148</f>
        <v/>
      </c>
      <c r="C1148">
        <f>Prices!C1148</f>
        <v/>
      </c>
      <c r="D1148">
        <f>Prices!D1148</f>
        <v/>
      </c>
      <c r="E1148">
        <f>Prices!E1148</f>
        <v/>
      </c>
      <c r="F1148">
        <f>Prices!F1148</f>
        <v/>
      </c>
      <c r="G1148">
        <f>IF(AND(1146&gt;=16,TEXT(A1148,"yyyy-mm")&lt;&gt;TEXT(A1149,"yyyy-mm")),1,0)</f>
        <v/>
      </c>
      <c r="H1148">
        <f>IF(OR(H1147=1,G1148=1),1,0)</f>
        <v/>
      </c>
      <c r="I1148">
        <f>IF(H1147=0,1,SUMPRODUCT(J1147:N1147,B1148:F1148)+O1147*(1+0.00023125256064071564))</f>
        <v/>
      </c>
      <c r="J1148">
        <f>IF(G1148=1,0.2*R1148/B1148,J1147)</f>
        <v/>
      </c>
      <c r="K1148">
        <f>IF(G1148=1,0.2*R1148/C1148,K1147)</f>
        <v/>
      </c>
      <c r="L1148">
        <f>IF(G1148=1,0.2*R1148/D1148,L1147)</f>
        <v/>
      </c>
      <c r="M1148">
        <f>IF(G1148=1,0.2*R1148/E1148,M1147)</f>
        <v/>
      </c>
      <c r="N1148">
        <f>IF(G1148=1,0.2*R1148/F1148,N1147)</f>
        <v/>
      </c>
      <c r="O1148">
        <f>IF(G1148=1,R1148*(1-1.0),IF(H1147=0,1,O1147*(1+0.00023125256064071564)))</f>
        <v/>
      </c>
      <c r="P1148">
        <f>IF(G1148=1,IF(H1147=0,1,ABS(0.2-J1147*B1148/I1148)+ABS(0.2-K1147*C1148/I1148)+ABS(0.2-L1147*D1148/I1148)+ABS(0.2-M1147*E1148/I1148)+ABS(0.2-N1147*F1148/I1148)),0)</f>
        <v/>
      </c>
      <c r="Q1148">
        <f>P1148*0.0015</f>
        <v/>
      </c>
      <c r="R1148">
        <f>I1148*(1-Q1148)</f>
        <v/>
      </c>
      <c r="S1148">
        <f>R1148/R1147-1</f>
        <v/>
      </c>
      <c r="T1148">
        <f>MAX(T1147,R1148)</f>
        <v/>
      </c>
      <c r="U1148">
        <f>R1148/T1148-1</f>
        <v/>
      </c>
      <c r="V1148" t="n">
        <v>2.782737384255881</v>
      </c>
      <c r="W1148" s="5">
        <f>R1148-V1148</f>
        <v/>
      </c>
    </row>
    <row r="1149">
      <c r="A1149" s="3" t="n">
        <v>40134</v>
      </c>
      <c r="B1149">
        <f>Prices!B1149</f>
        <v/>
      </c>
      <c r="C1149">
        <f>Prices!C1149</f>
        <v/>
      </c>
      <c r="D1149">
        <f>Prices!D1149</f>
        <v/>
      </c>
      <c r="E1149">
        <f>Prices!E1149</f>
        <v/>
      </c>
      <c r="F1149">
        <f>Prices!F1149</f>
        <v/>
      </c>
      <c r="G1149">
        <f>IF(AND(1147&gt;=16,TEXT(A1149,"yyyy-mm")&lt;&gt;TEXT(A1150,"yyyy-mm")),1,0)</f>
        <v/>
      </c>
      <c r="H1149">
        <f>IF(OR(H1148=1,G1149=1),1,0)</f>
        <v/>
      </c>
      <c r="I1149">
        <f>IF(H1148=0,1,SUMPRODUCT(J1148:N1148,B1149:F1149)+O1148*(1+0.00023125256064071564))</f>
        <v/>
      </c>
      <c r="J1149">
        <f>IF(G1149=1,0.2*R1149/B1149,J1148)</f>
        <v/>
      </c>
      <c r="K1149">
        <f>IF(G1149=1,0.2*R1149/C1149,K1148)</f>
        <v/>
      </c>
      <c r="L1149">
        <f>IF(G1149=1,0.2*R1149/D1149,L1148)</f>
        <v/>
      </c>
      <c r="M1149">
        <f>IF(G1149=1,0.2*R1149/E1149,M1148)</f>
        <v/>
      </c>
      <c r="N1149">
        <f>IF(G1149=1,0.2*R1149/F1149,N1148)</f>
        <v/>
      </c>
      <c r="O1149">
        <f>IF(G1149=1,R1149*(1-1.0),IF(H1148=0,1,O1148*(1+0.00023125256064071564)))</f>
        <v/>
      </c>
      <c r="P1149">
        <f>IF(G1149=1,IF(H1148=0,1,ABS(0.2-J1148*B1149/I1149)+ABS(0.2-K1148*C1149/I1149)+ABS(0.2-L1148*D1149/I1149)+ABS(0.2-M1148*E1149/I1149)+ABS(0.2-N1148*F1149/I1149)),0)</f>
        <v/>
      </c>
      <c r="Q1149">
        <f>P1149*0.0015</f>
        <v/>
      </c>
      <c r="R1149">
        <f>I1149*(1-Q1149)</f>
        <v/>
      </c>
      <c r="S1149">
        <f>R1149/R1148-1</f>
        <v/>
      </c>
      <c r="T1149">
        <f>MAX(T1148,R1149)</f>
        <v/>
      </c>
      <c r="U1149">
        <f>R1149/T1149-1</f>
        <v/>
      </c>
      <c r="V1149" t="n">
        <v>2.788014073600292</v>
      </c>
      <c r="W1149" s="5">
        <f>R1149-V1149</f>
        <v/>
      </c>
    </row>
    <row r="1150">
      <c r="A1150" s="3" t="n">
        <v>40135</v>
      </c>
      <c r="B1150">
        <f>Prices!B1150</f>
        <v/>
      </c>
      <c r="C1150">
        <f>Prices!C1150</f>
        <v/>
      </c>
      <c r="D1150">
        <f>Prices!D1150</f>
        <v/>
      </c>
      <c r="E1150">
        <f>Prices!E1150</f>
        <v/>
      </c>
      <c r="F1150">
        <f>Prices!F1150</f>
        <v/>
      </c>
      <c r="G1150">
        <f>IF(AND(1148&gt;=16,TEXT(A1150,"yyyy-mm")&lt;&gt;TEXT(A1151,"yyyy-mm")),1,0)</f>
        <v/>
      </c>
      <c r="H1150">
        <f>IF(OR(H1149=1,G1150=1),1,0)</f>
        <v/>
      </c>
      <c r="I1150">
        <f>IF(H1149=0,1,SUMPRODUCT(J1149:N1149,B1150:F1150)+O1149*(1+0.00023125256064071564))</f>
        <v/>
      </c>
      <c r="J1150">
        <f>IF(G1150=1,0.2*R1150/B1150,J1149)</f>
        <v/>
      </c>
      <c r="K1150">
        <f>IF(G1150=1,0.2*R1150/C1150,K1149)</f>
        <v/>
      </c>
      <c r="L1150">
        <f>IF(G1150=1,0.2*R1150/D1150,L1149)</f>
        <v/>
      </c>
      <c r="M1150">
        <f>IF(G1150=1,0.2*R1150/E1150,M1149)</f>
        <v/>
      </c>
      <c r="N1150">
        <f>IF(G1150=1,0.2*R1150/F1150,N1149)</f>
        <v/>
      </c>
      <c r="O1150">
        <f>IF(G1150=1,R1150*(1-1.0),IF(H1149=0,1,O1149*(1+0.00023125256064071564)))</f>
        <v/>
      </c>
      <c r="P1150">
        <f>IF(G1150=1,IF(H1149=0,1,ABS(0.2-J1149*B1150/I1150)+ABS(0.2-K1149*C1150/I1150)+ABS(0.2-L1149*D1150/I1150)+ABS(0.2-M1149*E1150/I1150)+ABS(0.2-N1149*F1150/I1150)),0)</f>
        <v/>
      </c>
      <c r="Q1150">
        <f>P1150*0.0015</f>
        <v/>
      </c>
      <c r="R1150">
        <f>I1150*(1-Q1150)</f>
        <v/>
      </c>
      <c r="S1150">
        <f>R1150/R1149-1</f>
        <v/>
      </c>
      <c r="T1150">
        <f>MAX(T1149,R1150)</f>
        <v/>
      </c>
      <c r="U1150">
        <f>R1150/T1150-1</f>
        <v/>
      </c>
      <c r="V1150" t="n">
        <v>2.798880431853874</v>
      </c>
      <c r="W1150" s="5">
        <f>R1150-V1150</f>
        <v/>
      </c>
    </row>
    <row r="1151">
      <c r="A1151" s="3" t="n">
        <v>40136</v>
      </c>
      <c r="B1151">
        <f>Prices!B1151</f>
        <v/>
      </c>
      <c r="C1151">
        <f>Prices!C1151</f>
        <v/>
      </c>
      <c r="D1151">
        <f>Prices!D1151</f>
        <v/>
      </c>
      <c r="E1151">
        <f>Prices!E1151</f>
        <v/>
      </c>
      <c r="F1151">
        <f>Prices!F1151</f>
        <v/>
      </c>
      <c r="G1151">
        <f>IF(AND(1149&gt;=16,TEXT(A1151,"yyyy-mm")&lt;&gt;TEXT(A1152,"yyyy-mm")),1,0)</f>
        <v/>
      </c>
      <c r="H1151">
        <f>IF(OR(H1150=1,G1151=1),1,0)</f>
        <v/>
      </c>
      <c r="I1151">
        <f>IF(H1150=0,1,SUMPRODUCT(J1150:N1150,B1151:F1151)+O1150*(1+0.00023125256064071564))</f>
        <v/>
      </c>
      <c r="J1151">
        <f>IF(G1151=1,0.2*R1151/B1151,J1150)</f>
        <v/>
      </c>
      <c r="K1151">
        <f>IF(G1151=1,0.2*R1151/C1151,K1150)</f>
        <v/>
      </c>
      <c r="L1151">
        <f>IF(G1151=1,0.2*R1151/D1151,L1150)</f>
        <v/>
      </c>
      <c r="M1151">
        <f>IF(G1151=1,0.2*R1151/E1151,M1150)</f>
        <v/>
      </c>
      <c r="N1151">
        <f>IF(G1151=1,0.2*R1151/F1151,N1150)</f>
        <v/>
      </c>
      <c r="O1151">
        <f>IF(G1151=1,R1151*(1-1.0),IF(H1150=0,1,O1150*(1+0.00023125256064071564)))</f>
        <v/>
      </c>
      <c r="P1151">
        <f>IF(G1151=1,IF(H1150=0,1,ABS(0.2-J1150*B1151/I1151)+ABS(0.2-K1150*C1151/I1151)+ABS(0.2-L1150*D1151/I1151)+ABS(0.2-M1150*E1151/I1151)+ABS(0.2-N1150*F1151/I1151)),0)</f>
        <v/>
      </c>
      <c r="Q1151">
        <f>P1151*0.0015</f>
        <v/>
      </c>
      <c r="R1151">
        <f>I1151*(1-Q1151)</f>
        <v/>
      </c>
      <c r="S1151">
        <f>R1151/R1150-1</f>
        <v/>
      </c>
      <c r="T1151">
        <f>MAX(T1150,R1151)</f>
        <v/>
      </c>
      <c r="U1151">
        <f>R1151/T1151-1</f>
        <v/>
      </c>
      <c r="V1151" t="n">
        <v>2.755096834466607</v>
      </c>
      <c r="W1151" s="5">
        <f>R1151-V1151</f>
        <v/>
      </c>
    </row>
    <row r="1152">
      <c r="A1152" s="3" t="n">
        <v>40137</v>
      </c>
      <c r="B1152">
        <f>Prices!B1152</f>
        <v/>
      </c>
      <c r="C1152">
        <f>Prices!C1152</f>
        <v/>
      </c>
      <c r="D1152">
        <f>Prices!D1152</f>
        <v/>
      </c>
      <c r="E1152">
        <f>Prices!E1152</f>
        <v/>
      </c>
      <c r="F1152">
        <f>Prices!F1152</f>
        <v/>
      </c>
      <c r="G1152">
        <f>IF(AND(1150&gt;=16,TEXT(A1152,"yyyy-mm")&lt;&gt;TEXT(A1153,"yyyy-mm")),1,0)</f>
        <v/>
      </c>
      <c r="H1152">
        <f>IF(OR(H1151=1,G1152=1),1,0)</f>
        <v/>
      </c>
      <c r="I1152">
        <f>IF(H1151=0,1,SUMPRODUCT(J1151:N1151,B1152:F1152)+O1151*(1+0.00023125256064071564))</f>
        <v/>
      </c>
      <c r="J1152">
        <f>IF(G1152=1,0.2*R1152/B1152,J1151)</f>
        <v/>
      </c>
      <c r="K1152">
        <f>IF(G1152=1,0.2*R1152/C1152,K1151)</f>
        <v/>
      </c>
      <c r="L1152">
        <f>IF(G1152=1,0.2*R1152/D1152,L1151)</f>
        <v/>
      </c>
      <c r="M1152">
        <f>IF(G1152=1,0.2*R1152/E1152,M1151)</f>
        <v/>
      </c>
      <c r="N1152">
        <f>IF(G1152=1,0.2*R1152/F1152,N1151)</f>
        <v/>
      </c>
      <c r="O1152">
        <f>IF(G1152=1,R1152*(1-1.0),IF(H1151=0,1,O1151*(1+0.00023125256064071564)))</f>
        <v/>
      </c>
      <c r="P1152">
        <f>IF(G1152=1,IF(H1151=0,1,ABS(0.2-J1151*B1152/I1152)+ABS(0.2-K1151*C1152/I1152)+ABS(0.2-L1151*D1152/I1152)+ABS(0.2-M1151*E1152/I1152)+ABS(0.2-N1151*F1152/I1152)),0)</f>
        <v/>
      </c>
      <c r="Q1152">
        <f>P1152*0.0015</f>
        <v/>
      </c>
      <c r="R1152">
        <f>I1152*(1-Q1152)</f>
        <v/>
      </c>
      <c r="S1152">
        <f>R1152/R1151-1</f>
        <v/>
      </c>
      <c r="T1152">
        <f>MAX(T1151,R1152)</f>
        <v/>
      </c>
      <c r="U1152">
        <f>R1152/T1152-1</f>
        <v/>
      </c>
      <c r="V1152" t="n">
        <v>2.784505555522848</v>
      </c>
      <c r="W1152" s="5">
        <f>R1152-V1152</f>
        <v/>
      </c>
    </row>
    <row r="1153">
      <c r="A1153" s="3" t="n">
        <v>40140</v>
      </c>
      <c r="B1153">
        <f>Prices!B1153</f>
        <v/>
      </c>
      <c r="C1153">
        <f>Prices!C1153</f>
        <v/>
      </c>
      <c r="D1153">
        <f>Prices!D1153</f>
        <v/>
      </c>
      <c r="E1153">
        <f>Prices!E1153</f>
        <v/>
      </c>
      <c r="F1153">
        <f>Prices!F1153</f>
        <v/>
      </c>
      <c r="G1153">
        <f>IF(AND(1151&gt;=16,TEXT(A1153,"yyyy-mm")&lt;&gt;TEXT(A1154,"yyyy-mm")),1,0)</f>
        <v/>
      </c>
      <c r="H1153">
        <f>IF(OR(H1152=1,G1153=1),1,0)</f>
        <v/>
      </c>
      <c r="I1153">
        <f>IF(H1152=0,1,SUMPRODUCT(J1152:N1152,B1153:F1153)+O1152*(1+0.00023125256064071564))</f>
        <v/>
      </c>
      <c r="J1153">
        <f>IF(G1153=1,0.2*R1153/B1153,J1152)</f>
        <v/>
      </c>
      <c r="K1153">
        <f>IF(G1153=1,0.2*R1153/C1153,K1152)</f>
        <v/>
      </c>
      <c r="L1153">
        <f>IF(G1153=1,0.2*R1153/D1153,L1152)</f>
        <v/>
      </c>
      <c r="M1153">
        <f>IF(G1153=1,0.2*R1153/E1153,M1152)</f>
        <v/>
      </c>
      <c r="N1153">
        <f>IF(G1153=1,0.2*R1153/F1153,N1152)</f>
        <v/>
      </c>
      <c r="O1153">
        <f>IF(G1153=1,R1153*(1-1.0),IF(H1152=0,1,O1152*(1+0.00023125256064071564)))</f>
        <v/>
      </c>
      <c r="P1153">
        <f>IF(G1153=1,IF(H1152=0,1,ABS(0.2-J1152*B1153/I1153)+ABS(0.2-K1152*C1153/I1153)+ABS(0.2-L1152*D1153/I1153)+ABS(0.2-M1152*E1153/I1153)+ABS(0.2-N1152*F1153/I1153)),0)</f>
        <v/>
      </c>
      <c r="Q1153">
        <f>P1153*0.0015</f>
        <v/>
      </c>
      <c r="R1153">
        <f>I1153*(1-Q1153)</f>
        <v/>
      </c>
      <c r="S1153">
        <f>R1153/R1152-1</f>
        <v/>
      </c>
      <c r="T1153">
        <f>MAX(T1152,R1153)</f>
        <v/>
      </c>
      <c r="U1153">
        <f>R1153/T1153-1</f>
        <v/>
      </c>
      <c r="V1153" t="n">
        <v>2.8011379715923</v>
      </c>
      <c r="W1153" s="5">
        <f>R1153-V1153</f>
        <v/>
      </c>
    </row>
    <row r="1154">
      <c r="A1154" s="3" t="n">
        <v>40141</v>
      </c>
      <c r="B1154">
        <f>Prices!B1154</f>
        <v/>
      </c>
      <c r="C1154">
        <f>Prices!C1154</f>
        <v/>
      </c>
      <c r="D1154">
        <f>Prices!D1154</f>
        <v/>
      </c>
      <c r="E1154">
        <f>Prices!E1154</f>
        <v/>
      </c>
      <c r="F1154">
        <f>Prices!F1154</f>
        <v/>
      </c>
      <c r="G1154">
        <f>IF(AND(1152&gt;=16,TEXT(A1154,"yyyy-mm")&lt;&gt;TEXT(A1155,"yyyy-mm")),1,0)</f>
        <v/>
      </c>
      <c r="H1154">
        <f>IF(OR(H1153=1,G1154=1),1,0)</f>
        <v/>
      </c>
      <c r="I1154">
        <f>IF(H1153=0,1,SUMPRODUCT(J1153:N1153,B1154:F1154)+O1153*(1+0.00023125256064071564))</f>
        <v/>
      </c>
      <c r="J1154">
        <f>IF(G1154=1,0.2*R1154/B1154,J1153)</f>
        <v/>
      </c>
      <c r="K1154">
        <f>IF(G1154=1,0.2*R1154/C1154,K1153)</f>
        <v/>
      </c>
      <c r="L1154">
        <f>IF(G1154=1,0.2*R1154/D1154,L1153)</f>
        <v/>
      </c>
      <c r="M1154">
        <f>IF(G1154=1,0.2*R1154/E1154,M1153)</f>
        <v/>
      </c>
      <c r="N1154">
        <f>IF(G1154=1,0.2*R1154/F1154,N1153)</f>
        <v/>
      </c>
      <c r="O1154">
        <f>IF(G1154=1,R1154*(1-1.0),IF(H1153=0,1,O1153*(1+0.00023125256064071564)))</f>
        <v/>
      </c>
      <c r="P1154">
        <f>IF(G1154=1,IF(H1153=0,1,ABS(0.2-J1153*B1154/I1154)+ABS(0.2-K1153*C1154/I1154)+ABS(0.2-L1153*D1154/I1154)+ABS(0.2-M1153*E1154/I1154)+ABS(0.2-N1153*F1154/I1154)),0)</f>
        <v/>
      </c>
      <c r="Q1154">
        <f>P1154*0.0015</f>
        <v/>
      </c>
      <c r="R1154">
        <f>I1154*(1-Q1154)</f>
        <v/>
      </c>
      <c r="S1154">
        <f>R1154/R1153-1</f>
        <v/>
      </c>
      <c r="T1154">
        <f>MAX(T1153,R1154)</f>
        <v/>
      </c>
      <c r="U1154">
        <f>R1154/T1154-1</f>
        <v/>
      </c>
      <c r="V1154" t="n">
        <v>2.811741980371504</v>
      </c>
      <c r="W1154" s="5">
        <f>R1154-V1154</f>
        <v/>
      </c>
    </row>
    <row r="1155">
      <c r="A1155" s="3" t="n">
        <v>40142</v>
      </c>
      <c r="B1155">
        <f>Prices!B1155</f>
        <v/>
      </c>
      <c r="C1155">
        <f>Prices!C1155</f>
        <v/>
      </c>
      <c r="D1155">
        <f>Prices!D1155</f>
        <v/>
      </c>
      <c r="E1155">
        <f>Prices!E1155</f>
        <v/>
      </c>
      <c r="F1155">
        <f>Prices!F1155</f>
        <v/>
      </c>
      <c r="G1155">
        <f>IF(AND(1153&gt;=16,TEXT(A1155,"yyyy-mm")&lt;&gt;TEXT(A1156,"yyyy-mm")),1,0)</f>
        <v/>
      </c>
      <c r="H1155">
        <f>IF(OR(H1154=1,G1155=1),1,0)</f>
        <v/>
      </c>
      <c r="I1155">
        <f>IF(H1154=0,1,SUMPRODUCT(J1154:N1154,B1155:F1155)+O1154*(1+0.00023125256064071564))</f>
        <v/>
      </c>
      <c r="J1155">
        <f>IF(G1155=1,0.2*R1155/B1155,J1154)</f>
        <v/>
      </c>
      <c r="K1155">
        <f>IF(G1155=1,0.2*R1155/C1155,K1154)</f>
        <v/>
      </c>
      <c r="L1155">
        <f>IF(G1155=1,0.2*R1155/D1155,L1154)</f>
        <v/>
      </c>
      <c r="M1155">
        <f>IF(G1155=1,0.2*R1155/E1155,M1154)</f>
        <v/>
      </c>
      <c r="N1155">
        <f>IF(G1155=1,0.2*R1155/F1155,N1154)</f>
        <v/>
      </c>
      <c r="O1155">
        <f>IF(G1155=1,R1155*(1-1.0),IF(H1154=0,1,O1154*(1+0.00023125256064071564)))</f>
        <v/>
      </c>
      <c r="P1155">
        <f>IF(G1155=1,IF(H1154=0,1,ABS(0.2-J1154*B1155/I1155)+ABS(0.2-K1154*C1155/I1155)+ABS(0.2-L1154*D1155/I1155)+ABS(0.2-M1154*E1155/I1155)+ABS(0.2-N1154*F1155/I1155)),0)</f>
        <v/>
      </c>
      <c r="Q1155">
        <f>P1155*0.0015</f>
        <v/>
      </c>
      <c r="R1155">
        <f>I1155*(1-Q1155)</f>
        <v/>
      </c>
      <c r="S1155">
        <f>R1155/R1154-1</f>
        <v/>
      </c>
      <c r="T1155">
        <f>MAX(T1154,R1155)</f>
        <v/>
      </c>
      <c r="U1155">
        <f>R1155/T1155-1</f>
        <v/>
      </c>
      <c r="V1155" t="n">
        <v>2.822684940095216</v>
      </c>
      <c r="W1155" s="5">
        <f>R1155-V1155</f>
        <v/>
      </c>
    </row>
    <row r="1156">
      <c r="A1156" s="3" t="n">
        <v>40143</v>
      </c>
      <c r="B1156">
        <f>Prices!B1156</f>
        <v/>
      </c>
      <c r="C1156">
        <f>Prices!C1156</f>
        <v/>
      </c>
      <c r="D1156">
        <f>Prices!D1156</f>
        <v/>
      </c>
      <c r="E1156">
        <f>Prices!E1156</f>
        <v/>
      </c>
      <c r="F1156">
        <f>Prices!F1156</f>
        <v/>
      </c>
      <c r="G1156">
        <f>IF(AND(1154&gt;=16,TEXT(A1156,"yyyy-mm")&lt;&gt;TEXT(A1157,"yyyy-mm")),1,0)</f>
        <v/>
      </c>
      <c r="H1156">
        <f>IF(OR(H1155=1,G1156=1),1,0)</f>
        <v/>
      </c>
      <c r="I1156">
        <f>IF(H1155=0,1,SUMPRODUCT(J1155:N1155,B1156:F1156)+O1155*(1+0.00023125256064071564))</f>
        <v/>
      </c>
      <c r="J1156">
        <f>IF(G1156=1,0.2*R1156/B1156,J1155)</f>
        <v/>
      </c>
      <c r="K1156">
        <f>IF(G1156=1,0.2*R1156/C1156,K1155)</f>
        <v/>
      </c>
      <c r="L1156">
        <f>IF(G1156=1,0.2*R1156/D1156,L1155)</f>
        <v/>
      </c>
      <c r="M1156">
        <f>IF(G1156=1,0.2*R1156/E1156,M1155)</f>
        <v/>
      </c>
      <c r="N1156">
        <f>IF(G1156=1,0.2*R1156/F1156,N1155)</f>
        <v/>
      </c>
      <c r="O1156">
        <f>IF(G1156=1,R1156*(1-1.0),IF(H1155=0,1,O1155*(1+0.00023125256064071564)))</f>
        <v/>
      </c>
      <c r="P1156">
        <f>IF(G1156=1,IF(H1155=0,1,ABS(0.2-J1155*B1156/I1156)+ABS(0.2-K1155*C1156/I1156)+ABS(0.2-L1155*D1156/I1156)+ABS(0.2-M1155*E1156/I1156)+ABS(0.2-N1155*F1156/I1156)),0)</f>
        <v/>
      </c>
      <c r="Q1156">
        <f>P1156*0.0015</f>
        <v/>
      </c>
      <c r="R1156">
        <f>I1156*(1-Q1156)</f>
        <v/>
      </c>
      <c r="S1156">
        <f>R1156/R1155-1</f>
        <v/>
      </c>
      <c r="T1156">
        <f>MAX(T1155,R1156)</f>
        <v/>
      </c>
      <c r="U1156">
        <f>R1156/T1156-1</f>
        <v/>
      </c>
      <c r="V1156" t="n">
        <v>2.785370447438911</v>
      </c>
      <c r="W1156" s="5">
        <f>R1156-V1156</f>
        <v/>
      </c>
    </row>
    <row r="1157">
      <c r="A1157" s="3" t="n">
        <v>40144</v>
      </c>
      <c r="B1157">
        <f>Prices!B1157</f>
        <v/>
      </c>
      <c r="C1157">
        <f>Prices!C1157</f>
        <v/>
      </c>
      <c r="D1157">
        <f>Prices!D1157</f>
        <v/>
      </c>
      <c r="E1157">
        <f>Prices!E1157</f>
        <v/>
      </c>
      <c r="F1157">
        <f>Prices!F1157</f>
        <v/>
      </c>
      <c r="G1157">
        <f>IF(AND(1155&gt;=16,TEXT(A1157,"yyyy-mm")&lt;&gt;TEXT(A1158,"yyyy-mm")),1,0)</f>
        <v/>
      </c>
      <c r="H1157">
        <f>IF(OR(H1156=1,G1157=1),1,0)</f>
        <v/>
      </c>
      <c r="I1157">
        <f>IF(H1156=0,1,SUMPRODUCT(J1156:N1156,B1157:F1157)+O1156*(1+0.00023125256064071564))</f>
        <v/>
      </c>
      <c r="J1157">
        <f>IF(G1157=1,0.2*R1157/B1157,J1156)</f>
        <v/>
      </c>
      <c r="K1157">
        <f>IF(G1157=1,0.2*R1157/C1157,K1156)</f>
        <v/>
      </c>
      <c r="L1157">
        <f>IF(G1157=1,0.2*R1157/D1157,L1156)</f>
        <v/>
      </c>
      <c r="M1157">
        <f>IF(G1157=1,0.2*R1157/E1157,M1156)</f>
        <v/>
      </c>
      <c r="N1157">
        <f>IF(G1157=1,0.2*R1157/F1157,N1156)</f>
        <v/>
      </c>
      <c r="O1157">
        <f>IF(G1157=1,R1157*(1-1.0),IF(H1156=0,1,O1156*(1+0.00023125256064071564)))</f>
        <v/>
      </c>
      <c r="P1157">
        <f>IF(G1157=1,IF(H1156=0,1,ABS(0.2-J1156*B1157/I1157)+ABS(0.2-K1156*C1157/I1157)+ABS(0.2-L1156*D1157/I1157)+ABS(0.2-M1156*E1157/I1157)+ABS(0.2-N1156*F1157/I1157)),0)</f>
        <v/>
      </c>
      <c r="Q1157">
        <f>P1157*0.0015</f>
        <v/>
      </c>
      <c r="R1157">
        <f>I1157*(1-Q1157)</f>
        <v/>
      </c>
      <c r="S1157">
        <f>R1157/R1156-1</f>
        <v/>
      </c>
      <c r="T1157">
        <f>MAX(T1156,R1157)</f>
        <v/>
      </c>
      <c r="U1157">
        <f>R1157/T1157-1</f>
        <v/>
      </c>
      <c r="V1157" t="n">
        <v>2.756815112936599</v>
      </c>
      <c r="W1157" s="5">
        <f>R1157-V1157</f>
        <v/>
      </c>
    </row>
    <row r="1158">
      <c r="A1158" s="3" t="n">
        <v>40147</v>
      </c>
      <c r="B1158">
        <f>Prices!B1158</f>
        <v/>
      </c>
      <c r="C1158">
        <f>Prices!C1158</f>
        <v/>
      </c>
      <c r="D1158">
        <f>Prices!D1158</f>
        <v/>
      </c>
      <c r="E1158">
        <f>Prices!E1158</f>
        <v/>
      </c>
      <c r="F1158">
        <f>Prices!F1158</f>
        <v/>
      </c>
      <c r="G1158">
        <f>IF(AND(1156&gt;=16,TEXT(A1158,"yyyy-mm")&lt;&gt;TEXT(A1159,"yyyy-mm")),1,0)</f>
        <v/>
      </c>
      <c r="H1158">
        <f>IF(OR(H1157=1,G1158=1),1,0)</f>
        <v/>
      </c>
      <c r="I1158">
        <f>IF(H1157=0,1,SUMPRODUCT(J1157:N1157,B1158:F1158)+O1157*(1+0.00023125256064071564))</f>
        <v/>
      </c>
      <c r="J1158">
        <f>IF(G1158=1,0.2*R1158/B1158,J1157)</f>
        <v/>
      </c>
      <c r="K1158">
        <f>IF(G1158=1,0.2*R1158/C1158,K1157)</f>
        <v/>
      </c>
      <c r="L1158">
        <f>IF(G1158=1,0.2*R1158/D1158,L1157)</f>
        <v/>
      </c>
      <c r="M1158">
        <f>IF(G1158=1,0.2*R1158/E1158,M1157)</f>
        <v/>
      </c>
      <c r="N1158">
        <f>IF(G1158=1,0.2*R1158/F1158,N1157)</f>
        <v/>
      </c>
      <c r="O1158">
        <f>IF(G1158=1,R1158*(1-1.0),IF(H1157=0,1,O1157*(1+0.00023125256064071564)))</f>
        <v/>
      </c>
      <c r="P1158">
        <f>IF(G1158=1,IF(H1157=0,1,ABS(0.2-J1157*B1158/I1158)+ABS(0.2-K1157*C1158/I1158)+ABS(0.2-L1157*D1158/I1158)+ABS(0.2-M1157*E1158/I1158)+ABS(0.2-N1157*F1158/I1158)),0)</f>
        <v/>
      </c>
      <c r="Q1158">
        <f>P1158*0.0015</f>
        <v/>
      </c>
      <c r="R1158">
        <f>I1158*(1-Q1158)</f>
        <v/>
      </c>
      <c r="S1158">
        <f>R1158/R1157-1</f>
        <v/>
      </c>
      <c r="T1158">
        <f>MAX(T1157,R1158)</f>
        <v/>
      </c>
      <c r="U1158">
        <f>R1158/T1158-1</f>
        <v/>
      </c>
      <c r="V1158" t="n">
        <v>2.797729421183918</v>
      </c>
      <c r="W1158" s="5">
        <f>R1158-V1158</f>
        <v/>
      </c>
    </row>
    <row r="1159">
      <c r="A1159" s="3" t="n">
        <v>40148</v>
      </c>
      <c r="B1159">
        <f>Prices!B1159</f>
        <v/>
      </c>
      <c r="C1159">
        <f>Prices!C1159</f>
        <v/>
      </c>
      <c r="D1159">
        <f>Prices!D1159</f>
        <v/>
      </c>
      <c r="E1159">
        <f>Prices!E1159</f>
        <v/>
      </c>
      <c r="F1159">
        <f>Prices!F1159</f>
        <v/>
      </c>
      <c r="G1159">
        <f>IF(AND(1157&gt;=16,TEXT(A1159,"yyyy-mm")&lt;&gt;TEXT(A1160,"yyyy-mm")),1,0)</f>
        <v/>
      </c>
      <c r="H1159">
        <f>IF(OR(H1158=1,G1159=1),1,0)</f>
        <v/>
      </c>
      <c r="I1159">
        <f>IF(H1158=0,1,SUMPRODUCT(J1158:N1158,B1159:F1159)+O1158*(1+0.00023125256064071564))</f>
        <v/>
      </c>
      <c r="J1159">
        <f>IF(G1159=1,0.2*R1159/B1159,J1158)</f>
        <v/>
      </c>
      <c r="K1159">
        <f>IF(G1159=1,0.2*R1159/C1159,K1158)</f>
        <v/>
      </c>
      <c r="L1159">
        <f>IF(G1159=1,0.2*R1159/D1159,L1158)</f>
        <v/>
      </c>
      <c r="M1159">
        <f>IF(G1159=1,0.2*R1159/E1159,M1158)</f>
        <v/>
      </c>
      <c r="N1159">
        <f>IF(G1159=1,0.2*R1159/F1159,N1158)</f>
        <v/>
      </c>
      <c r="O1159">
        <f>IF(G1159=1,R1159*(1-1.0),IF(H1158=0,1,O1158*(1+0.00023125256064071564)))</f>
        <v/>
      </c>
      <c r="P1159">
        <f>IF(G1159=1,IF(H1158=0,1,ABS(0.2-J1158*B1159/I1159)+ABS(0.2-K1158*C1159/I1159)+ABS(0.2-L1158*D1159/I1159)+ABS(0.2-M1158*E1159/I1159)+ABS(0.2-N1158*F1159/I1159)),0)</f>
        <v/>
      </c>
      <c r="Q1159">
        <f>P1159*0.0015</f>
        <v/>
      </c>
      <c r="R1159">
        <f>I1159*(1-Q1159)</f>
        <v/>
      </c>
      <c r="S1159">
        <f>R1159/R1158-1</f>
        <v/>
      </c>
      <c r="T1159">
        <f>MAX(T1158,R1159)</f>
        <v/>
      </c>
      <c r="U1159">
        <f>R1159/T1159-1</f>
        <v/>
      </c>
      <c r="V1159" t="n">
        <v>2.84127435920854</v>
      </c>
      <c r="W1159" s="5">
        <f>R1159-V1159</f>
        <v/>
      </c>
    </row>
    <row r="1160">
      <c r="A1160" s="3" t="n">
        <v>40149</v>
      </c>
      <c r="B1160">
        <f>Prices!B1160</f>
        <v/>
      </c>
      <c r="C1160">
        <f>Prices!C1160</f>
        <v/>
      </c>
      <c r="D1160">
        <f>Prices!D1160</f>
        <v/>
      </c>
      <c r="E1160">
        <f>Prices!E1160</f>
        <v/>
      </c>
      <c r="F1160">
        <f>Prices!F1160</f>
        <v/>
      </c>
      <c r="G1160">
        <f>IF(AND(1158&gt;=16,TEXT(A1160,"yyyy-mm")&lt;&gt;TEXT(A1161,"yyyy-mm")),1,0)</f>
        <v/>
      </c>
      <c r="H1160">
        <f>IF(OR(H1159=1,G1160=1),1,0)</f>
        <v/>
      </c>
      <c r="I1160">
        <f>IF(H1159=0,1,SUMPRODUCT(J1159:N1159,B1160:F1160)+O1159*(1+0.00023125256064071564))</f>
        <v/>
      </c>
      <c r="J1160">
        <f>IF(G1160=1,0.2*R1160/B1160,J1159)</f>
        <v/>
      </c>
      <c r="K1160">
        <f>IF(G1160=1,0.2*R1160/C1160,K1159)</f>
        <v/>
      </c>
      <c r="L1160">
        <f>IF(G1160=1,0.2*R1160/D1160,L1159)</f>
        <v/>
      </c>
      <c r="M1160">
        <f>IF(G1160=1,0.2*R1160/E1160,M1159)</f>
        <v/>
      </c>
      <c r="N1160">
        <f>IF(G1160=1,0.2*R1160/F1160,N1159)</f>
        <v/>
      </c>
      <c r="O1160">
        <f>IF(G1160=1,R1160*(1-1.0),IF(H1159=0,1,O1159*(1+0.00023125256064071564)))</f>
        <v/>
      </c>
      <c r="P1160">
        <f>IF(G1160=1,IF(H1159=0,1,ABS(0.2-J1159*B1160/I1160)+ABS(0.2-K1159*C1160/I1160)+ABS(0.2-L1159*D1160/I1160)+ABS(0.2-M1159*E1160/I1160)+ABS(0.2-N1159*F1160/I1160)),0)</f>
        <v/>
      </c>
      <c r="Q1160">
        <f>P1160*0.0015</f>
        <v/>
      </c>
      <c r="R1160">
        <f>I1160*(1-Q1160)</f>
        <v/>
      </c>
      <c r="S1160">
        <f>R1160/R1159-1</f>
        <v/>
      </c>
      <c r="T1160">
        <f>MAX(T1159,R1160)</f>
        <v/>
      </c>
      <c r="U1160">
        <f>R1160/T1160-1</f>
        <v/>
      </c>
      <c r="V1160" t="n">
        <v>2.847222490885312</v>
      </c>
      <c r="W1160" s="5">
        <f>R1160-V1160</f>
        <v/>
      </c>
    </row>
    <row r="1161">
      <c r="A1161" s="3" t="n">
        <v>40150</v>
      </c>
      <c r="B1161">
        <f>Prices!B1161</f>
        <v/>
      </c>
      <c r="C1161">
        <f>Prices!C1161</f>
        <v/>
      </c>
      <c r="D1161">
        <f>Prices!D1161</f>
        <v/>
      </c>
      <c r="E1161">
        <f>Prices!E1161</f>
        <v/>
      </c>
      <c r="F1161">
        <f>Prices!F1161</f>
        <v/>
      </c>
      <c r="G1161">
        <f>IF(AND(1159&gt;=16,TEXT(A1161,"yyyy-mm")&lt;&gt;TEXT(A1162,"yyyy-mm")),1,0)</f>
        <v/>
      </c>
      <c r="H1161">
        <f>IF(OR(H1160=1,G1161=1),1,0)</f>
        <v/>
      </c>
      <c r="I1161">
        <f>IF(H1160=0,1,SUMPRODUCT(J1160:N1160,B1161:F1161)+O1160*(1+0.00023125256064071564))</f>
        <v/>
      </c>
      <c r="J1161">
        <f>IF(G1161=1,0.2*R1161/B1161,J1160)</f>
        <v/>
      </c>
      <c r="K1161">
        <f>IF(G1161=1,0.2*R1161/C1161,K1160)</f>
        <v/>
      </c>
      <c r="L1161">
        <f>IF(G1161=1,0.2*R1161/D1161,L1160)</f>
        <v/>
      </c>
      <c r="M1161">
        <f>IF(G1161=1,0.2*R1161/E1161,M1160)</f>
        <v/>
      </c>
      <c r="N1161">
        <f>IF(G1161=1,0.2*R1161/F1161,N1160)</f>
        <v/>
      </c>
      <c r="O1161">
        <f>IF(G1161=1,R1161*(1-1.0),IF(H1160=0,1,O1160*(1+0.00023125256064071564)))</f>
        <v/>
      </c>
      <c r="P1161">
        <f>IF(G1161=1,IF(H1160=0,1,ABS(0.2-J1160*B1161/I1161)+ABS(0.2-K1160*C1161/I1161)+ABS(0.2-L1160*D1161/I1161)+ABS(0.2-M1160*E1161/I1161)+ABS(0.2-N1160*F1161/I1161)),0)</f>
        <v/>
      </c>
      <c r="Q1161">
        <f>P1161*0.0015</f>
        <v/>
      </c>
      <c r="R1161">
        <f>I1161*(1-Q1161)</f>
        <v/>
      </c>
      <c r="S1161">
        <f>R1161/R1160-1</f>
        <v/>
      </c>
      <c r="T1161">
        <f>MAX(T1160,R1161)</f>
        <v/>
      </c>
      <c r="U1161">
        <f>R1161/T1161-1</f>
        <v/>
      </c>
      <c r="V1161" t="n">
        <v>2.863282071273925</v>
      </c>
      <c r="W1161" s="5">
        <f>R1161-V1161</f>
        <v/>
      </c>
    </row>
    <row r="1162">
      <c r="A1162" s="3" t="n">
        <v>40151</v>
      </c>
      <c r="B1162">
        <f>Prices!B1162</f>
        <v/>
      </c>
      <c r="C1162">
        <f>Prices!C1162</f>
        <v/>
      </c>
      <c r="D1162">
        <f>Prices!D1162</f>
        <v/>
      </c>
      <c r="E1162">
        <f>Prices!E1162</f>
        <v/>
      </c>
      <c r="F1162">
        <f>Prices!F1162</f>
        <v/>
      </c>
      <c r="G1162">
        <f>IF(AND(1160&gt;=16,TEXT(A1162,"yyyy-mm")&lt;&gt;TEXT(A1163,"yyyy-mm")),1,0)</f>
        <v/>
      </c>
      <c r="H1162">
        <f>IF(OR(H1161=1,G1162=1),1,0)</f>
        <v/>
      </c>
      <c r="I1162">
        <f>IF(H1161=0,1,SUMPRODUCT(J1161:N1161,B1162:F1162)+O1161*(1+0.00023125256064071564))</f>
        <v/>
      </c>
      <c r="J1162">
        <f>IF(G1162=1,0.2*R1162/B1162,J1161)</f>
        <v/>
      </c>
      <c r="K1162">
        <f>IF(G1162=1,0.2*R1162/C1162,K1161)</f>
        <v/>
      </c>
      <c r="L1162">
        <f>IF(G1162=1,0.2*R1162/D1162,L1161)</f>
        <v/>
      </c>
      <c r="M1162">
        <f>IF(G1162=1,0.2*R1162/E1162,M1161)</f>
        <v/>
      </c>
      <c r="N1162">
        <f>IF(G1162=1,0.2*R1162/F1162,N1161)</f>
        <v/>
      </c>
      <c r="O1162">
        <f>IF(G1162=1,R1162*(1-1.0),IF(H1161=0,1,O1161*(1+0.00023125256064071564)))</f>
        <v/>
      </c>
      <c r="P1162">
        <f>IF(G1162=1,IF(H1161=0,1,ABS(0.2-J1161*B1162/I1162)+ABS(0.2-K1161*C1162/I1162)+ABS(0.2-L1161*D1162/I1162)+ABS(0.2-M1161*E1162/I1162)+ABS(0.2-N1161*F1162/I1162)),0)</f>
        <v/>
      </c>
      <c r="Q1162">
        <f>P1162*0.0015</f>
        <v/>
      </c>
      <c r="R1162">
        <f>I1162*(1-Q1162)</f>
        <v/>
      </c>
      <c r="S1162">
        <f>R1162/R1161-1</f>
        <v/>
      </c>
      <c r="T1162">
        <f>MAX(T1161,R1162)</f>
        <v/>
      </c>
      <c r="U1162">
        <f>R1162/T1162-1</f>
        <v/>
      </c>
      <c r="V1162" t="n">
        <v>2.863308234791219</v>
      </c>
      <c r="W1162" s="5">
        <f>R1162-V1162</f>
        <v/>
      </c>
    </row>
    <row r="1163">
      <c r="A1163" s="3" t="n">
        <v>40154</v>
      </c>
      <c r="B1163">
        <f>Prices!B1163</f>
        <v/>
      </c>
      <c r="C1163">
        <f>Prices!C1163</f>
        <v/>
      </c>
      <c r="D1163">
        <f>Prices!D1163</f>
        <v/>
      </c>
      <c r="E1163">
        <f>Prices!E1163</f>
        <v/>
      </c>
      <c r="F1163">
        <f>Prices!F1163</f>
        <v/>
      </c>
      <c r="G1163">
        <f>IF(AND(1161&gt;=16,TEXT(A1163,"yyyy-mm")&lt;&gt;TEXT(A1164,"yyyy-mm")),1,0)</f>
        <v/>
      </c>
      <c r="H1163">
        <f>IF(OR(H1162=1,G1163=1),1,0)</f>
        <v/>
      </c>
      <c r="I1163">
        <f>IF(H1162=0,1,SUMPRODUCT(J1162:N1162,B1163:F1163)+O1162*(1+0.00023125256064071564))</f>
        <v/>
      </c>
      <c r="J1163">
        <f>IF(G1163=1,0.2*R1163/B1163,J1162)</f>
        <v/>
      </c>
      <c r="K1163">
        <f>IF(G1163=1,0.2*R1163/C1163,K1162)</f>
        <v/>
      </c>
      <c r="L1163">
        <f>IF(G1163=1,0.2*R1163/D1163,L1162)</f>
        <v/>
      </c>
      <c r="M1163">
        <f>IF(G1163=1,0.2*R1163/E1163,M1162)</f>
        <v/>
      </c>
      <c r="N1163">
        <f>IF(G1163=1,0.2*R1163/F1163,N1162)</f>
        <v/>
      </c>
      <c r="O1163">
        <f>IF(G1163=1,R1163*(1-1.0),IF(H1162=0,1,O1162*(1+0.00023125256064071564)))</f>
        <v/>
      </c>
      <c r="P1163">
        <f>IF(G1163=1,IF(H1162=0,1,ABS(0.2-J1162*B1163/I1163)+ABS(0.2-K1162*C1163/I1163)+ABS(0.2-L1162*D1163/I1163)+ABS(0.2-M1162*E1163/I1163)+ABS(0.2-N1162*F1163/I1163)),0)</f>
        <v/>
      </c>
      <c r="Q1163">
        <f>P1163*0.0015</f>
        <v/>
      </c>
      <c r="R1163">
        <f>I1163*(1-Q1163)</f>
        <v/>
      </c>
      <c r="S1163">
        <f>R1163/R1162-1</f>
        <v/>
      </c>
      <c r="T1163">
        <f>MAX(T1162,R1163)</f>
        <v/>
      </c>
      <c r="U1163">
        <f>R1163/T1163-1</f>
        <v/>
      </c>
      <c r="V1163" t="n">
        <v>2.841816265763082</v>
      </c>
      <c r="W1163" s="5">
        <f>R1163-V1163</f>
        <v/>
      </c>
    </row>
    <row r="1164">
      <c r="A1164" s="3" t="n">
        <v>40155</v>
      </c>
      <c r="B1164">
        <f>Prices!B1164</f>
        <v/>
      </c>
      <c r="C1164">
        <f>Prices!C1164</f>
        <v/>
      </c>
      <c r="D1164">
        <f>Prices!D1164</f>
        <v/>
      </c>
      <c r="E1164">
        <f>Prices!E1164</f>
        <v/>
      </c>
      <c r="F1164">
        <f>Prices!F1164</f>
        <v/>
      </c>
      <c r="G1164">
        <f>IF(AND(1162&gt;=16,TEXT(A1164,"yyyy-mm")&lt;&gt;TEXT(A1165,"yyyy-mm")),1,0)</f>
        <v/>
      </c>
      <c r="H1164">
        <f>IF(OR(H1163=1,G1164=1),1,0)</f>
        <v/>
      </c>
      <c r="I1164">
        <f>IF(H1163=0,1,SUMPRODUCT(J1163:N1163,B1164:F1164)+O1163*(1+0.00023125256064071564))</f>
        <v/>
      </c>
      <c r="J1164">
        <f>IF(G1164=1,0.2*R1164/B1164,J1163)</f>
        <v/>
      </c>
      <c r="K1164">
        <f>IF(G1164=1,0.2*R1164/C1164,K1163)</f>
        <v/>
      </c>
      <c r="L1164">
        <f>IF(G1164=1,0.2*R1164/D1164,L1163)</f>
        <v/>
      </c>
      <c r="M1164">
        <f>IF(G1164=1,0.2*R1164/E1164,M1163)</f>
        <v/>
      </c>
      <c r="N1164">
        <f>IF(G1164=1,0.2*R1164/F1164,N1163)</f>
        <v/>
      </c>
      <c r="O1164">
        <f>IF(G1164=1,R1164*(1-1.0),IF(H1163=0,1,O1163*(1+0.00023125256064071564)))</f>
        <v/>
      </c>
      <c r="P1164">
        <f>IF(G1164=1,IF(H1163=0,1,ABS(0.2-J1163*B1164/I1164)+ABS(0.2-K1163*C1164/I1164)+ABS(0.2-L1163*D1164/I1164)+ABS(0.2-M1163*E1164/I1164)+ABS(0.2-N1163*F1164/I1164)),0)</f>
        <v/>
      </c>
      <c r="Q1164">
        <f>P1164*0.0015</f>
        <v/>
      </c>
      <c r="R1164">
        <f>I1164*(1-Q1164)</f>
        <v/>
      </c>
      <c r="S1164">
        <f>R1164/R1163-1</f>
        <v/>
      </c>
      <c r="T1164">
        <f>MAX(T1163,R1164)</f>
        <v/>
      </c>
      <c r="U1164">
        <f>R1164/T1164-1</f>
        <v/>
      </c>
      <c r="V1164" t="n">
        <v>2.874664504872087</v>
      </c>
      <c r="W1164" s="5">
        <f>R1164-V1164</f>
        <v/>
      </c>
    </row>
    <row r="1165">
      <c r="A1165" s="3" t="n">
        <v>40156</v>
      </c>
      <c r="B1165">
        <f>Prices!B1165</f>
        <v/>
      </c>
      <c r="C1165">
        <f>Prices!C1165</f>
        <v/>
      </c>
      <c r="D1165">
        <f>Prices!D1165</f>
        <v/>
      </c>
      <c r="E1165">
        <f>Prices!E1165</f>
        <v/>
      </c>
      <c r="F1165">
        <f>Prices!F1165</f>
        <v/>
      </c>
      <c r="G1165">
        <f>IF(AND(1163&gt;=16,TEXT(A1165,"yyyy-mm")&lt;&gt;TEXT(A1166,"yyyy-mm")),1,0)</f>
        <v/>
      </c>
      <c r="H1165">
        <f>IF(OR(H1164=1,G1165=1),1,0)</f>
        <v/>
      </c>
      <c r="I1165">
        <f>IF(H1164=0,1,SUMPRODUCT(J1164:N1164,B1165:F1165)+O1164*(1+0.00023125256064071564))</f>
        <v/>
      </c>
      <c r="J1165">
        <f>IF(G1165=1,0.2*R1165/B1165,J1164)</f>
        <v/>
      </c>
      <c r="K1165">
        <f>IF(G1165=1,0.2*R1165/C1165,K1164)</f>
        <v/>
      </c>
      <c r="L1165">
        <f>IF(G1165=1,0.2*R1165/D1165,L1164)</f>
        <v/>
      </c>
      <c r="M1165">
        <f>IF(G1165=1,0.2*R1165/E1165,M1164)</f>
        <v/>
      </c>
      <c r="N1165">
        <f>IF(G1165=1,0.2*R1165/F1165,N1164)</f>
        <v/>
      </c>
      <c r="O1165">
        <f>IF(G1165=1,R1165*(1-1.0),IF(H1164=0,1,O1164*(1+0.00023125256064071564)))</f>
        <v/>
      </c>
      <c r="P1165">
        <f>IF(G1165=1,IF(H1164=0,1,ABS(0.2-J1164*B1165/I1165)+ABS(0.2-K1164*C1165/I1165)+ABS(0.2-L1164*D1165/I1165)+ABS(0.2-M1164*E1165/I1165)+ABS(0.2-N1164*F1165/I1165)),0)</f>
        <v/>
      </c>
      <c r="Q1165">
        <f>P1165*0.0015</f>
        <v/>
      </c>
      <c r="R1165">
        <f>I1165*(1-Q1165)</f>
        <v/>
      </c>
      <c r="S1165">
        <f>R1165/R1164-1</f>
        <v/>
      </c>
      <c r="T1165">
        <f>MAX(T1164,R1165)</f>
        <v/>
      </c>
      <c r="U1165">
        <f>R1165/T1165-1</f>
        <v/>
      </c>
      <c r="V1165" t="n">
        <v>2.865844607686159</v>
      </c>
      <c r="W1165" s="5">
        <f>R1165-V1165</f>
        <v/>
      </c>
    </row>
    <row r="1166">
      <c r="A1166" s="3" t="n">
        <v>40157</v>
      </c>
      <c r="B1166">
        <f>Prices!B1166</f>
        <v/>
      </c>
      <c r="C1166">
        <f>Prices!C1166</f>
        <v/>
      </c>
      <c r="D1166">
        <f>Prices!D1166</f>
        <v/>
      </c>
      <c r="E1166">
        <f>Prices!E1166</f>
        <v/>
      </c>
      <c r="F1166">
        <f>Prices!F1166</f>
        <v/>
      </c>
      <c r="G1166">
        <f>IF(AND(1164&gt;=16,TEXT(A1166,"yyyy-mm")&lt;&gt;TEXT(A1167,"yyyy-mm")),1,0)</f>
        <v/>
      </c>
      <c r="H1166">
        <f>IF(OR(H1165=1,G1166=1),1,0)</f>
        <v/>
      </c>
      <c r="I1166">
        <f>IF(H1165=0,1,SUMPRODUCT(J1165:N1165,B1166:F1166)+O1165*(1+0.00023125256064071564))</f>
        <v/>
      </c>
      <c r="J1166">
        <f>IF(G1166=1,0.2*R1166/B1166,J1165)</f>
        <v/>
      </c>
      <c r="K1166">
        <f>IF(G1166=1,0.2*R1166/C1166,K1165)</f>
        <v/>
      </c>
      <c r="L1166">
        <f>IF(G1166=1,0.2*R1166/D1166,L1165)</f>
        <v/>
      </c>
      <c r="M1166">
        <f>IF(G1166=1,0.2*R1166/E1166,M1165)</f>
        <v/>
      </c>
      <c r="N1166">
        <f>IF(G1166=1,0.2*R1166/F1166,N1165)</f>
        <v/>
      </c>
      <c r="O1166">
        <f>IF(G1166=1,R1166*(1-1.0),IF(H1165=0,1,O1165*(1+0.00023125256064071564)))</f>
        <v/>
      </c>
      <c r="P1166">
        <f>IF(G1166=1,IF(H1165=0,1,ABS(0.2-J1165*B1166/I1166)+ABS(0.2-K1165*C1166/I1166)+ABS(0.2-L1165*D1166/I1166)+ABS(0.2-M1165*E1166/I1166)+ABS(0.2-N1165*F1166/I1166)),0)</f>
        <v/>
      </c>
      <c r="Q1166">
        <f>P1166*0.0015</f>
        <v/>
      </c>
      <c r="R1166">
        <f>I1166*(1-Q1166)</f>
        <v/>
      </c>
      <c r="S1166">
        <f>R1166/R1165-1</f>
        <v/>
      </c>
      <c r="T1166">
        <f>MAX(T1165,R1166)</f>
        <v/>
      </c>
      <c r="U1166">
        <f>R1166/T1166-1</f>
        <v/>
      </c>
      <c r="V1166" t="n">
        <v>2.87033303880702</v>
      </c>
      <c r="W1166" s="5">
        <f>R1166-V1166</f>
        <v/>
      </c>
    </row>
    <row r="1167">
      <c r="A1167" s="3" t="n">
        <v>40158</v>
      </c>
      <c r="B1167">
        <f>Prices!B1167</f>
        <v/>
      </c>
      <c r="C1167">
        <f>Prices!C1167</f>
        <v/>
      </c>
      <c r="D1167">
        <f>Prices!D1167</f>
        <v/>
      </c>
      <c r="E1167">
        <f>Prices!E1167</f>
        <v/>
      </c>
      <c r="F1167">
        <f>Prices!F1167</f>
        <v/>
      </c>
      <c r="G1167">
        <f>IF(AND(1165&gt;=16,TEXT(A1167,"yyyy-mm")&lt;&gt;TEXT(A1168,"yyyy-mm")),1,0)</f>
        <v/>
      </c>
      <c r="H1167">
        <f>IF(OR(H1166=1,G1167=1),1,0)</f>
        <v/>
      </c>
      <c r="I1167">
        <f>IF(H1166=0,1,SUMPRODUCT(J1166:N1166,B1167:F1167)+O1166*(1+0.00023125256064071564))</f>
        <v/>
      </c>
      <c r="J1167">
        <f>IF(G1167=1,0.2*R1167/B1167,J1166)</f>
        <v/>
      </c>
      <c r="K1167">
        <f>IF(G1167=1,0.2*R1167/C1167,K1166)</f>
        <v/>
      </c>
      <c r="L1167">
        <f>IF(G1167=1,0.2*R1167/D1167,L1166)</f>
        <v/>
      </c>
      <c r="M1167">
        <f>IF(G1167=1,0.2*R1167/E1167,M1166)</f>
        <v/>
      </c>
      <c r="N1167">
        <f>IF(G1167=1,0.2*R1167/F1167,N1166)</f>
        <v/>
      </c>
      <c r="O1167">
        <f>IF(G1167=1,R1167*(1-1.0),IF(H1166=0,1,O1166*(1+0.00023125256064071564)))</f>
        <v/>
      </c>
      <c r="P1167">
        <f>IF(G1167=1,IF(H1166=0,1,ABS(0.2-J1166*B1167/I1167)+ABS(0.2-K1166*C1167/I1167)+ABS(0.2-L1166*D1167/I1167)+ABS(0.2-M1166*E1167/I1167)+ABS(0.2-N1166*F1167/I1167)),0)</f>
        <v/>
      </c>
      <c r="Q1167">
        <f>P1167*0.0015</f>
        <v/>
      </c>
      <c r="R1167">
        <f>I1167*(1-Q1167)</f>
        <v/>
      </c>
      <c r="S1167">
        <f>R1167/R1166-1</f>
        <v/>
      </c>
      <c r="T1167">
        <f>MAX(T1166,R1167)</f>
        <v/>
      </c>
      <c r="U1167">
        <f>R1167/T1167-1</f>
        <v/>
      </c>
      <c r="V1167" t="n">
        <v>2.859020183279341</v>
      </c>
      <c r="W1167" s="5">
        <f>R1167-V1167</f>
        <v/>
      </c>
    </row>
    <row r="1168">
      <c r="A1168" s="3" t="n">
        <v>40161</v>
      </c>
      <c r="B1168">
        <f>Prices!B1168</f>
        <v/>
      </c>
      <c r="C1168">
        <f>Prices!C1168</f>
        <v/>
      </c>
      <c r="D1168">
        <f>Prices!D1168</f>
        <v/>
      </c>
      <c r="E1168">
        <f>Prices!E1168</f>
        <v/>
      </c>
      <c r="F1168">
        <f>Prices!F1168</f>
        <v/>
      </c>
      <c r="G1168">
        <f>IF(AND(1166&gt;=16,TEXT(A1168,"yyyy-mm")&lt;&gt;TEXT(A1169,"yyyy-mm")),1,0)</f>
        <v/>
      </c>
      <c r="H1168">
        <f>IF(OR(H1167=1,G1168=1),1,0)</f>
        <v/>
      </c>
      <c r="I1168">
        <f>IF(H1167=0,1,SUMPRODUCT(J1167:N1167,B1168:F1168)+O1167*(1+0.00023125256064071564))</f>
        <v/>
      </c>
      <c r="J1168">
        <f>IF(G1168=1,0.2*R1168/B1168,J1167)</f>
        <v/>
      </c>
      <c r="K1168">
        <f>IF(G1168=1,0.2*R1168/C1168,K1167)</f>
        <v/>
      </c>
      <c r="L1168">
        <f>IF(G1168=1,0.2*R1168/D1168,L1167)</f>
        <v/>
      </c>
      <c r="M1168">
        <f>IF(G1168=1,0.2*R1168/E1168,M1167)</f>
        <v/>
      </c>
      <c r="N1168">
        <f>IF(G1168=1,0.2*R1168/F1168,N1167)</f>
        <v/>
      </c>
      <c r="O1168">
        <f>IF(G1168=1,R1168*(1-1.0),IF(H1167=0,1,O1167*(1+0.00023125256064071564)))</f>
        <v/>
      </c>
      <c r="P1168">
        <f>IF(G1168=1,IF(H1167=0,1,ABS(0.2-J1167*B1168/I1168)+ABS(0.2-K1167*C1168/I1168)+ABS(0.2-L1167*D1168/I1168)+ABS(0.2-M1167*E1168/I1168)+ABS(0.2-N1167*F1168/I1168)),0)</f>
        <v/>
      </c>
      <c r="Q1168">
        <f>P1168*0.0015</f>
        <v/>
      </c>
      <c r="R1168">
        <f>I1168*(1-Q1168)</f>
        <v/>
      </c>
      <c r="S1168">
        <f>R1168/R1167-1</f>
        <v/>
      </c>
      <c r="T1168">
        <f>MAX(T1167,R1168)</f>
        <v/>
      </c>
      <c r="U1168">
        <f>R1168/T1168-1</f>
        <v/>
      </c>
      <c r="V1168" t="n">
        <v>2.849229049392111</v>
      </c>
      <c r="W1168" s="5">
        <f>R1168-V1168</f>
        <v/>
      </c>
    </row>
    <row r="1169">
      <c r="A1169" s="3" t="n">
        <v>40162</v>
      </c>
      <c r="B1169">
        <f>Prices!B1169</f>
        <v/>
      </c>
      <c r="C1169">
        <f>Prices!C1169</f>
        <v/>
      </c>
      <c r="D1169">
        <f>Prices!D1169</f>
        <v/>
      </c>
      <c r="E1169">
        <f>Prices!E1169</f>
        <v/>
      </c>
      <c r="F1169">
        <f>Prices!F1169</f>
        <v/>
      </c>
      <c r="G1169">
        <f>IF(AND(1167&gt;=16,TEXT(A1169,"yyyy-mm")&lt;&gt;TEXT(A1170,"yyyy-mm")),1,0)</f>
        <v/>
      </c>
      <c r="H1169">
        <f>IF(OR(H1168=1,G1169=1),1,0)</f>
        <v/>
      </c>
      <c r="I1169">
        <f>IF(H1168=0,1,SUMPRODUCT(J1168:N1168,B1169:F1169)+O1168*(1+0.00023125256064071564))</f>
        <v/>
      </c>
      <c r="J1169">
        <f>IF(G1169=1,0.2*R1169/B1169,J1168)</f>
        <v/>
      </c>
      <c r="K1169">
        <f>IF(G1169=1,0.2*R1169/C1169,K1168)</f>
        <v/>
      </c>
      <c r="L1169">
        <f>IF(G1169=1,0.2*R1169/D1169,L1168)</f>
        <v/>
      </c>
      <c r="M1169">
        <f>IF(G1169=1,0.2*R1169/E1169,M1168)</f>
        <v/>
      </c>
      <c r="N1169">
        <f>IF(G1169=1,0.2*R1169/F1169,N1168)</f>
        <v/>
      </c>
      <c r="O1169">
        <f>IF(G1169=1,R1169*(1-1.0),IF(H1168=0,1,O1168*(1+0.00023125256064071564)))</f>
        <v/>
      </c>
      <c r="P1169">
        <f>IF(G1169=1,IF(H1168=0,1,ABS(0.2-J1168*B1169/I1169)+ABS(0.2-K1168*C1169/I1169)+ABS(0.2-L1168*D1169/I1169)+ABS(0.2-M1168*E1169/I1169)+ABS(0.2-N1168*F1169/I1169)),0)</f>
        <v/>
      </c>
      <c r="Q1169">
        <f>P1169*0.0015</f>
        <v/>
      </c>
      <c r="R1169">
        <f>I1169*(1-Q1169)</f>
        <v/>
      </c>
      <c r="S1169">
        <f>R1169/R1168-1</f>
        <v/>
      </c>
      <c r="T1169">
        <f>MAX(T1168,R1169)</f>
        <v/>
      </c>
      <c r="U1169">
        <f>R1169/T1169-1</f>
        <v/>
      </c>
      <c r="V1169" t="n">
        <v>2.817991662639843</v>
      </c>
      <c r="W1169" s="5">
        <f>R1169-V1169</f>
        <v/>
      </c>
    </row>
    <row r="1170">
      <c r="A1170" s="3" t="n">
        <v>40163</v>
      </c>
      <c r="B1170">
        <f>Prices!B1170</f>
        <v/>
      </c>
      <c r="C1170">
        <f>Prices!C1170</f>
        <v/>
      </c>
      <c r="D1170">
        <f>Prices!D1170</f>
        <v/>
      </c>
      <c r="E1170">
        <f>Prices!E1170</f>
        <v/>
      </c>
      <c r="F1170">
        <f>Prices!F1170</f>
        <v/>
      </c>
      <c r="G1170">
        <f>IF(AND(1168&gt;=16,TEXT(A1170,"yyyy-mm")&lt;&gt;TEXT(A1171,"yyyy-mm")),1,0)</f>
        <v/>
      </c>
      <c r="H1170">
        <f>IF(OR(H1169=1,G1170=1),1,0)</f>
        <v/>
      </c>
      <c r="I1170">
        <f>IF(H1169=0,1,SUMPRODUCT(J1169:N1169,B1170:F1170)+O1169*(1+0.00023125256064071564))</f>
        <v/>
      </c>
      <c r="J1170">
        <f>IF(G1170=1,0.2*R1170/B1170,J1169)</f>
        <v/>
      </c>
      <c r="K1170">
        <f>IF(G1170=1,0.2*R1170/C1170,K1169)</f>
        <v/>
      </c>
      <c r="L1170">
        <f>IF(G1170=1,0.2*R1170/D1170,L1169)</f>
        <v/>
      </c>
      <c r="M1170">
        <f>IF(G1170=1,0.2*R1170/E1170,M1169)</f>
        <v/>
      </c>
      <c r="N1170">
        <f>IF(G1170=1,0.2*R1170/F1170,N1169)</f>
        <v/>
      </c>
      <c r="O1170">
        <f>IF(G1170=1,R1170*(1-1.0),IF(H1169=0,1,O1169*(1+0.00023125256064071564)))</f>
        <v/>
      </c>
      <c r="P1170">
        <f>IF(G1170=1,IF(H1169=0,1,ABS(0.2-J1169*B1170/I1170)+ABS(0.2-K1169*C1170/I1170)+ABS(0.2-L1169*D1170/I1170)+ABS(0.2-M1169*E1170/I1170)+ABS(0.2-N1169*F1170/I1170)),0)</f>
        <v/>
      </c>
      <c r="Q1170">
        <f>P1170*0.0015</f>
        <v/>
      </c>
      <c r="R1170">
        <f>I1170*(1-Q1170)</f>
        <v/>
      </c>
      <c r="S1170">
        <f>R1170/R1169-1</f>
        <v/>
      </c>
      <c r="T1170">
        <f>MAX(T1169,R1170)</f>
        <v/>
      </c>
      <c r="U1170">
        <f>R1170/T1170-1</f>
        <v/>
      </c>
      <c r="V1170" t="n">
        <v>2.827005614423214</v>
      </c>
      <c r="W1170" s="5">
        <f>R1170-V1170</f>
        <v/>
      </c>
    </row>
    <row r="1171">
      <c r="A1171" s="3" t="n">
        <v>40164</v>
      </c>
      <c r="B1171">
        <f>Prices!B1171</f>
        <v/>
      </c>
      <c r="C1171">
        <f>Prices!C1171</f>
        <v/>
      </c>
      <c r="D1171">
        <f>Prices!D1171</f>
        <v/>
      </c>
      <c r="E1171">
        <f>Prices!E1171</f>
        <v/>
      </c>
      <c r="F1171">
        <f>Prices!F1171</f>
        <v/>
      </c>
      <c r="G1171">
        <f>IF(AND(1169&gt;=16,TEXT(A1171,"yyyy-mm")&lt;&gt;TEXT(A1172,"yyyy-mm")),1,0)</f>
        <v/>
      </c>
      <c r="H1171">
        <f>IF(OR(H1170=1,G1171=1),1,0)</f>
        <v/>
      </c>
      <c r="I1171">
        <f>IF(H1170=0,1,SUMPRODUCT(J1170:N1170,B1171:F1171)+O1170*(1+0.00023125256064071564))</f>
        <v/>
      </c>
      <c r="J1171">
        <f>IF(G1171=1,0.2*R1171/B1171,J1170)</f>
        <v/>
      </c>
      <c r="K1171">
        <f>IF(G1171=1,0.2*R1171/C1171,K1170)</f>
        <v/>
      </c>
      <c r="L1171">
        <f>IF(G1171=1,0.2*R1171/D1171,L1170)</f>
        <v/>
      </c>
      <c r="M1171">
        <f>IF(G1171=1,0.2*R1171/E1171,M1170)</f>
        <v/>
      </c>
      <c r="N1171">
        <f>IF(G1171=1,0.2*R1171/F1171,N1170)</f>
        <v/>
      </c>
      <c r="O1171">
        <f>IF(G1171=1,R1171*(1-1.0),IF(H1170=0,1,O1170*(1+0.00023125256064071564)))</f>
        <v/>
      </c>
      <c r="P1171">
        <f>IF(G1171=1,IF(H1170=0,1,ABS(0.2-J1170*B1171/I1171)+ABS(0.2-K1170*C1171/I1171)+ABS(0.2-L1170*D1171/I1171)+ABS(0.2-M1170*E1171/I1171)+ABS(0.2-N1170*F1171/I1171)),0)</f>
        <v/>
      </c>
      <c r="Q1171">
        <f>P1171*0.0015</f>
        <v/>
      </c>
      <c r="R1171">
        <f>I1171*(1-Q1171)</f>
        <v/>
      </c>
      <c r="S1171">
        <f>R1171/R1170-1</f>
        <v/>
      </c>
      <c r="T1171">
        <f>MAX(T1170,R1171)</f>
        <v/>
      </c>
      <c r="U1171">
        <f>R1171/T1171-1</f>
        <v/>
      </c>
      <c r="V1171" t="n">
        <v>2.848232324210812</v>
      </c>
      <c r="W1171" s="5">
        <f>R1171-V1171</f>
        <v/>
      </c>
    </row>
    <row r="1172">
      <c r="A1172" s="3" t="n">
        <v>40165</v>
      </c>
      <c r="B1172">
        <f>Prices!B1172</f>
        <v/>
      </c>
      <c r="C1172">
        <f>Prices!C1172</f>
        <v/>
      </c>
      <c r="D1172">
        <f>Prices!D1172</f>
        <v/>
      </c>
      <c r="E1172">
        <f>Prices!E1172</f>
        <v/>
      </c>
      <c r="F1172">
        <f>Prices!F1172</f>
        <v/>
      </c>
      <c r="G1172">
        <f>IF(AND(1170&gt;=16,TEXT(A1172,"yyyy-mm")&lt;&gt;TEXT(A1173,"yyyy-mm")),1,0)</f>
        <v/>
      </c>
      <c r="H1172">
        <f>IF(OR(H1171=1,G1172=1),1,0)</f>
        <v/>
      </c>
      <c r="I1172">
        <f>IF(H1171=0,1,SUMPRODUCT(J1171:N1171,B1172:F1172)+O1171*(1+0.00023125256064071564))</f>
        <v/>
      </c>
      <c r="J1172">
        <f>IF(G1172=1,0.2*R1172/B1172,J1171)</f>
        <v/>
      </c>
      <c r="K1172">
        <f>IF(G1172=1,0.2*R1172/C1172,K1171)</f>
        <v/>
      </c>
      <c r="L1172">
        <f>IF(G1172=1,0.2*R1172/D1172,L1171)</f>
        <v/>
      </c>
      <c r="M1172">
        <f>IF(G1172=1,0.2*R1172/E1172,M1171)</f>
        <v/>
      </c>
      <c r="N1172">
        <f>IF(G1172=1,0.2*R1172/F1172,N1171)</f>
        <v/>
      </c>
      <c r="O1172">
        <f>IF(G1172=1,R1172*(1-1.0),IF(H1171=0,1,O1171*(1+0.00023125256064071564)))</f>
        <v/>
      </c>
      <c r="P1172">
        <f>IF(G1172=1,IF(H1171=0,1,ABS(0.2-J1171*B1172/I1172)+ABS(0.2-K1171*C1172/I1172)+ABS(0.2-L1171*D1172/I1172)+ABS(0.2-M1171*E1172/I1172)+ABS(0.2-N1171*F1172/I1172)),0)</f>
        <v/>
      </c>
      <c r="Q1172">
        <f>P1172*0.0015</f>
        <v/>
      </c>
      <c r="R1172">
        <f>I1172*(1-Q1172)</f>
        <v/>
      </c>
      <c r="S1172">
        <f>R1172/R1171-1</f>
        <v/>
      </c>
      <c r="T1172">
        <f>MAX(T1171,R1172)</f>
        <v/>
      </c>
      <c r="U1172">
        <f>R1172/T1172-1</f>
        <v/>
      </c>
      <c r="V1172" t="n">
        <v>2.834833833117853</v>
      </c>
      <c r="W1172" s="5">
        <f>R1172-V1172</f>
        <v/>
      </c>
    </row>
    <row r="1173">
      <c r="A1173" s="3" t="n">
        <v>40168</v>
      </c>
      <c r="B1173">
        <f>Prices!B1173</f>
        <v/>
      </c>
      <c r="C1173">
        <f>Prices!C1173</f>
        <v/>
      </c>
      <c r="D1173">
        <f>Prices!D1173</f>
        <v/>
      </c>
      <c r="E1173">
        <f>Prices!E1173</f>
        <v/>
      </c>
      <c r="F1173">
        <f>Prices!F1173</f>
        <v/>
      </c>
      <c r="G1173">
        <f>IF(AND(1171&gt;=16,TEXT(A1173,"yyyy-mm")&lt;&gt;TEXT(A1174,"yyyy-mm")),1,0)</f>
        <v/>
      </c>
      <c r="H1173">
        <f>IF(OR(H1172=1,G1173=1),1,0)</f>
        <v/>
      </c>
      <c r="I1173">
        <f>IF(H1172=0,1,SUMPRODUCT(J1172:N1172,B1173:F1173)+O1172*(1+0.00023125256064071564))</f>
        <v/>
      </c>
      <c r="J1173">
        <f>IF(G1173=1,0.2*R1173/B1173,J1172)</f>
        <v/>
      </c>
      <c r="K1173">
        <f>IF(G1173=1,0.2*R1173/C1173,K1172)</f>
        <v/>
      </c>
      <c r="L1173">
        <f>IF(G1173=1,0.2*R1173/D1173,L1172)</f>
        <v/>
      </c>
      <c r="M1173">
        <f>IF(G1173=1,0.2*R1173/E1173,M1172)</f>
        <v/>
      </c>
      <c r="N1173">
        <f>IF(G1173=1,0.2*R1173/F1173,N1172)</f>
        <v/>
      </c>
      <c r="O1173">
        <f>IF(G1173=1,R1173*(1-1.0),IF(H1172=0,1,O1172*(1+0.00023125256064071564)))</f>
        <v/>
      </c>
      <c r="P1173">
        <f>IF(G1173=1,IF(H1172=0,1,ABS(0.2-J1172*B1173/I1173)+ABS(0.2-K1172*C1173/I1173)+ABS(0.2-L1172*D1173/I1173)+ABS(0.2-M1172*E1173/I1173)+ABS(0.2-N1172*F1173/I1173)),0)</f>
        <v/>
      </c>
      <c r="Q1173">
        <f>P1173*0.0015</f>
        <v/>
      </c>
      <c r="R1173">
        <f>I1173*(1-Q1173)</f>
        <v/>
      </c>
      <c r="S1173">
        <f>R1173/R1172-1</f>
        <v/>
      </c>
      <c r="T1173">
        <f>MAX(T1172,R1173)</f>
        <v/>
      </c>
      <c r="U1173">
        <f>R1173/T1173-1</f>
        <v/>
      </c>
      <c r="V1173" t="n">
        <v>2.817017840897093</v>
      </c>
      <c r="W1173" s="5">
        <f>R1173-V1173</f>
        <v/>
      </c>
    </row>
    <row r="1174">
      <c r="A1174" s="3" t="n">
        <v>40169</v>
      </c>
      <c r="B1174">
        <f>Prices!B1174</f>
        <v/>
      </c>
      <c r="C1174">
        <f>Prices!C1174</f>
        <v/>
      </c>
      <c r="D1174">
        <f>Prices!D1174</f>
        <v/>
      </c>
      <c r="E1174">
        <f>Prices!E1174</f>
        <v/>
      </c>
      <c r="F1174">
        <f>Prices!F1174</f>
        <v/>
      </c>
      <c r="G1174">
        <f>IF(AND(1172&gt;=16,TEXT(A1174,"yyyy-mm")&lt;&gt;TEXT(A1175,"yyyy-mm")),1,0)</f>
        <v/>
      </c>
      <c r="H1174">
        <f>IF(OR(H1173=1,G1174=1),1,0)</f>
        <v/>
      </c>
      <c r="I1174">
        <f>IF(H1173=0,1,SUMPRODUCT(J1173:N1173,B1174:F1174)+O1173*(1+0.00023125256064071564))</f>
        <v/>
      </c>
      <c r="J1174">
        <f>IF(G1174=1,0.2*R1174/B1174,J1173)</f>
        <v/>
      </c>
      <c r="K1174">
        <f>IF(G1174=1,0.2*R1174/C1174,K1173)</f>
        <v/>
      </c>
      <c r="L1174">
        <f>IF(G1174=1,0.2*R1174/D1174,L1173)</f>
        <v/>
      </c>
      <c r="M1174">
        <f>IF(G1174=1,0.2*R1174/E1174,M1173)</f>
        <v/>
      </c>
      <c r="N1174">
        <f>IF(G1174=1,0.2*R1174/F1174,N1173)</f>
        <v/>
      </c>
      <c r="O1174">
        <f>IF(G1174=1,R1174*(1-1.0),IF(H1173=0,1,O1173*(1+0.00023125256064071564)))</f>
        <v/>
      </c>
      <c r="P1174">
        <f>IF(G1174=1,IF(H1173=0,1,ABS(0.2-J1173*B1174/I1174)+ABS(0.2-K1173*C1174/I1174)+ABS(0.2-L1173*D1174/I1174)+ABS(0.2-M1173*E1174/I1174)+ABS(0.2-N1173*F1174/I1174)),0)</f>
        <v/>
      </c>
      <c r="Q1174">
        <f>P1174*0.0015</f>
        <v/>
      </c>
      <c r="R1174">
        <f>I1174*(1-Q1174)</f>
        <v/>
      </c>
      <c r="S1174">
        <f>R1174/R1173-1</f>
        <v/>
      </c>
      <c r="T1174">
        <f>MAX(T1173,R1174)</f>
        <v/>
      </c>
      <c r="U1174">
        <f>R1174/T1174-1</f>
        <v/>
      </c>
      <c r="V1174" t="n">
        <v>2.841092412889973</v>
      </c>
      <c r="W1174" s="5">
        <f>R1174-V1174</f>
        <v/>
      </c>
    </row>
    <row r="1175">
      <c r="A1175" s="3" t="n">
        <v>40170</v>
      </c>
      <c r="B1175">
        <f>Prices!B1175</f>
        <v/>
      </c>
      <c r="C1175">
        <f>Prices!C1175</f>
        <v/>
      </c>
      <c r="D1175">
        <f>Prices!D1175</f>
        <v/>
      </c>
      <c r="E1175">
        <f>Prices!E1175</f>
        <v/>
      </c>
      <c r="F1175">
        <f>Prices!F1175</f>
        <v/>
      </c>
      <c r="G1175">
        <f>IF(AND(1173&gt;=16,TEXT(A1175,"yyyy-mm")&lt;&gt;TEXT(A1176,"yyyy-mm")),1,0)</f>
        <v/>
      </c>
      <c r="H1175">
        <f>IF(OR(H1174=1,G1175=1),1,0)</f>
        <v/>
      </c>
      <c r="I1175">
        <f>IF(H1174=0,1,SUMPRODUCT(J1174:N1174,B1175:F1175)+O1174*(1+0.00023125256064071564))</f>
        <v/>
      </c>
      <c r="J1175">
        <f>IF(G1175=1,0.2*R1175/B1175,J1174)</f>
        <v/>
      </c>
      <c r="K1175">
        <f>IF(G1175=1,0.2*R1175/C1175,K1174)</f>
        <v/>
      </c>
      <c r="L1175">
        <f>IF(G1175=1,0.2*R1175/D1175,L1174)</f>
        <v/>
      </c>
      <c r="M1175">
        <f>IF(G1175=1,0.2*R1175/E1175,M1174)</f>
        <v/>
      </c>
      <c r="N1175">
        <f>IF(G1175=1,0.2*R1175/F1175,N1174)</f>
        <v/>
      </c>
      <c r="O1175">
        <f>IF(G1175=1,R1175*(1-1.0),IF(H1174=0,1,O1174*(1+0.00023125256064071564)))</f>
        <v/>
      </c>
      <c r="P1175">
        <f>IF(G1175=1,IF(H1174=0,1,ABS(0.2-J1174*B1175/I1175)+ABS(0.2-K1174*C1175/I1175)+ABS(0.2-L1174*D1175/I1175)+ABS(0.2-M1174*E1175/I1175)+ABS(0.2-N1174*F1175/I1175)),0)</f>
        <v/>
      </c>
      <c r="Q1175">
        <f>P1175*0.0015</f>
        <v/>
      </c>
      <c r="R1175">
        <f>I1175*(1-Q1175)</f>
        <v/>
      </c>
      <c r="S1175">
        <f>R1175/R1174-1</f>
        <v/>
      </c>
      <c r="T1175">
        <f>MAX(T1174,R1175)</f>
        <v/>
      </c>
      <c r="U1175">
        <f>R1175/T1175-1</f>
        <v/>
      </c>
      <c r="V1175" t="n">
        <v>2.894724139182335</v>
      </c>
      <c r="W1175" s="5">
        <f>R1175-V1175</f>
        <v/>
      </c>
    </row>
    <row r="1176">
      <c r="A1176" s="3" t="n">
        <v>40171</v>
      </c>
      <c r="B1176">
        <f>Prices!B1176</f>
        <v/>
      </c>
      <c r="C1176">
        <f>Prices!C1176</f>
        <v/>
      </c>
      <c r="D1176">
        <f>Prices!D1176</f>
        <v/>
      </c>
      <c r="E1176">
        <f>Prices!E1176</f>
        <v/>
      </c>
      <c r="F1176">
        <f>Prices!F1176</f>
        <v/>
      </c>
      <c r="G1176">
        <f>IF(AND(1174&gt;=16,TEXT(A1176,"yyyy-mm")&lt;&gt;TEXT(A1177,"yyyy-mm")),1,0)</f>
        <v/>
      </c>
      <c r="H1176">
        <f>IF(OR(H1175=1,G1176=1),1,0)</f>
        <v/>
      </c>
      <c r="I1176">
        <f>IF(H1175=0,1,SUMPRODUCT(J1175:N1175,B1176:F1176)+O1175*(1+0.00023125256064071564))</f>
        <v/>
      </c>
      <c r="J1176">
        <f>IF(G1176=1,0.2*R1176/B1176,J1175)</f>
        <v/>
      </c>
      <c r="K1176">
        <f>IF(G1176=1,0.2*R1176/C1176,K1175)</f>
        <v/>
      </c>
      <c r="L1176">
        <f>IF(G1176=1,0.2*R1176/D1176,L1175)</f>
        <v/>
      </c>
      <c r="M1176">
        <f>IF(G1176=1,0.2*R1176/E1176,M1175)</f>
        <v/>
      </c>
      <c r="N1176">
        <f>IF(G1176=1,0.2*R1176/F1176,N1175)</f>
        <v/>
      </c>
      <c r="O1176">
        <f>IF(G1176=1,R1176*(1-1.0),IF(H1175=0,1,O1175*(1+0.00023125256064071564)))</f>
        <v/>
      </c>
      <c r="P1176">
        <f>IF(G1176=1,IF(H1175=0,1,ABS(0.2-J1175*B1176/I1176)+ABS(0.2-K1175*C1176/I1176)+ABS(0.2-L1175*D1176/I1176)+ABS(0.2-M1175*E1176/I1176)+ABS(0.2-N1175*F1176/I1176)),0)</f>
        <v/>
      </c>
      <c r="Q1176">
        <f>P1176*0.0015</f>
        <v/>
      </c>
      <c r="R1176">
        <f>I1176*(1-Q1176)</f>
        <v/>
      </c>
      <c r="S1176">
        <f>R1176/R1175-1</f>
        <v/>
      </c>
      <c r="T1176">
        <f>MAX(T1175,R1176)</f>
        <v/>
      </c>
      <c r="U1176">
        <f>R1176/T1176-1</f>
        <v/>
      </c>
      <c r="V1176" t="n">
        <v>2.910802154286322</v>
      </c>
      <c r="W1176" s="5">
        <f>R1176-V1176</f>
        <v/>
      </c>
    </row>
    <row r="1177">
      <c r="A1177" s="3" t="n">
        <v>40176</v>
      </c>
      <c r="B1177">
        <f>Prices!B1177</f>
        <v/>
      </c>
      <c r="C1177">
        <f>Prices!C1177</f>
        <v/>
      </c>
      <c r="D1177">
        <f>Prices!D1177</f>
        <v/>
      </c>
      <c r="E1177">
        <f>Prices!E1177</f>
        <v/>
      </c>
      <c r="F1177">
        <f>Prices!F1177</f>
        <v/>
      </c>
      <c r="G1177">
        <f>IF(AND(1175&gt;=16,TEXT(A1177,"yyyy-mm")&lt;&gt;TEXT(A1178,"yyyy-mm")),1,0)</f>
        <v/>
      </c>
      <c r="H1177">
        <f>IF(OR(H1176=1,G1177=1),1,0)</f>
        <v/>
      </c>
      <c r="I1177">
        <f>IF(H1176=0,1,SUMPRODUCT(J1176:N1176,B1177:F1177)+O1176*(1+0.00023125256064071564))</f>
        <v/>
      </c>
      <c r="J1177">
        <f>IF(G1177=1,0.2*R1177/B1177,J1176)</f>
        <v/>
      </c>
      <c r="K1177">
        <f>IF(G1177=1,0.2*R1177/C1177,K1176)</f>
        <v/>
      </c>
      <c r="L1177">
        <f>IF(G1177=1,0.2*R1177/D1177,L1176)</f>
        <v/>
      </c>
      <c r="M1177">
        <f>IF(G1177=1,0.2*R1177/E1177,M1176)</f>
        <v/>
      </c>
      <c r="N1177">
        <f>IF(G1177=1,0.2*R1177/F1177,N1176)</f>
        <v/>
      </c>
      <c r="O1177">
        <f>IF(G1177=1,R1177*(1-1.0),IF(H1176=0,1,O1176*(1+0.00023125256064071564)))</f>
        <v/>
      </c>
      <c r="P1177">
        <f>IF(G1177=1,IF(H1176=0,1,ABS(0.2-J1176*B1177/I1177)+ABS(0.2-K1176*C1177/I1177)+ABS(0.2-L1176*D1177/I1177)+ABS(0.2-M1176*E1177/I1177)+ABS(0.2-N1176*F1177/I1177)),0)</f>
        <v/>
      </c>
      <c r="Q1177">
        <f>P1177*0.0015</f>
        <v/>
      </c>
      <c r="R1177">
        <f>I1177*(1-Q1177)</f>
        <v/>
      </c>
      <c r="S1177">
        <f>R1177/R1176-1</f>
        <v/>
      </c>
      <c r="T1177">
        <f>MAX(T1176,R1177)</f>
        <v/>
      </c>
      <c r="U1177">
        <f>R1177/T1177-1</f>
        <v/>
      </c>
      <c r="V1177" t="n">
        <v>2.915996123219896</v>
      </c>
      <c r="W1177" s="5">
        <f>R1177-V1177</f>
        <v/>
      </c>
    </row>
    <row r="1178">
      <c r="A1178" s="3" t="n">
        <v>40177</v>
      </c>
      <c r="B1178">
        <f>Prices!B1178</f>
        <v/>
      </c>
      <c r="C1178">
        <f>Prices!C1178</f>
        <v/>
      </c>
      <c r="D1178">
        <f>Prices!D1178</f>
        <v/>
      </c>
      <c r="E1178">
        <f>Prices!E1178</f>
        <v/>
      </c>
      <c r="F1178">
        <f>Prices!F1178</f>
        <v/>
      </c>
      <c r="G1178">
        <f>IF(AND(1176&gt;=16,TEXT(A1178,"yyyy-mm")&lt;&gt;TEXT(A1179,"yyyy-mm")),1,0)</f>
        <v/>
      </c>
      <c r="H1178">
        <f>IF(OR(H1177=1,G1178=1),1,0)</f>
        <v/>
      </c>
      <c r="I1178">
        <f>IF(H1177=0,1,SUMPRODUCT(J1177:N1177,B1178:F1178)+O1177*(1+0.00023125256064071564))</f>
        <v/>
      </c>
      <c r="J1178">
        <f>IF(G1178=1,0.2*R1178/B1178,J1177)</f>
        <v/>
      </c>
      <c r="K1178">
        <f>IF(G1178=1,0.2*R1178/C1178,K1177)</f>
        <v/>
      </c>
      <c r="L1178">
        <f>IF(G1178=1,0.2*R1178/D1178,L1177)</f>
        <v/>
      </c>
      <c r="M1178">
        <f>IF(G1178=1,0.2*R1178/E1178,M1177)</f>
        <v/>
      </c>
      <c r="N1178">
        <f>IF(G1178=1,0.2*R1178/F1178,N1177)</f>
        <v/>
      </c>
      <c r="O1178">
        <f>IF(G1178=1,R1178*(1-1.0),IF(H1177=0,1,O1177*(1+0.00023125256064071564)))</f>
        <v/>
      </c>
      <c r="P1178">
        <f>IF(G1178=1,IF(H1177=0,1,ABS(0.2-J1177*B1178/I1178)+ABS(0.2-K1177*C1178/I1178)+ABS(0.2-L1177*D1178/I1178)+ABS(0.2-M1177*E1178/I1178)+ABS(0.2-N1177*F1178/I1178)),0)</f>
        <v/>
      </c>
      <c r="Q1178">
        <f>P1178*0.0015</f>
        <v/>
      </c>
      <c r="R1178">
        <f>I1178*(1-Q1178)</f>
        <v/>
      </c>
      <c r="S1178">
        <f>R1178/R1177-1</f>
        <v/>
      </c>
      <c r="T1178">
        <f>MAX(T1177,R1178)</f>
        <v/>
      </c>
      <c r="U1178">
        <f>R1178/T1178-1</f>
        <v/>
      </c>
      <c r="V1178" t="n">
        <v>2.923948263446603</v>
      </c>
      <c r="W1178" s="5">
        <f>R1178-V1178</f>
        <v/>
      </c>
    </row>
    <row r="1179">
      <c r="A1179" s="3" t="n">
        <v>40178</v>
      </c>
      <c r="B1179">
        <f>Prices!B1179</f>
        <v/>
      </c>
      <c r="C1179">
        <f>Prices!C1179</f>
        <v/>
      </c>
      <c r="D1179">
        <f>Prices!D1179</f>
        <v/>
      </c>
      <c r="E1179">
        <f>Prices!E1179</f>
        <v/>
      </c>
      <c r="F1179">
        <f>Prices!F1179</f>
        <v/>
      </c>
      <c r="G1179">
        <f>IF(AND(1177&gt;=16,TEXT(A1179,"yyyy-mm")&lt;&gt;TEXT(A1180,"yyyy-mm")),1,0)</f>
        <v/>
      </c>
      <c r="H1179">
        <f>IF(OR(H1178=1,G1179=1),1,0)</f>
        <v/>
      </c>
      <c r="I1179">
        <f>IF(H1178=0,1,SUMPRODUCT(J1178:N1178,B1179:F1179)+O1178*(1+0.00023125256064071564))</f>
        <v/>
      </c>
      <c r="J1179">
        <f>IF(G1179=1,0.2*R1179/B1179,J1178)</f>
        <v/>
      </c>
      <c r="K1179">
        <f>IF(G1179=1,0.2*R1179/C1179,K1178)</f>
        <v/>
      </c>
      <c r="L1179">
        <f>IF(G1179=1,0.2*R1179/D1179,L1178)</f>
        <v/>
      </c>
      <c r="M1179">
        <f>IF(G1179=1,0.2*R1179/E1179,M1178)</f>
        <v/>
      </c>
      <c r="N1179">
        <f>IF(G1179=1,0.2*R1179/F1179,N1178)</f>
        <v/>
      </c>
      <c r="O1179">
        <f>IF(G1179=1,R1179*(1-1.0),IF(H1178=0,1,O1178*(1+0.00023125256064071564)))</f>
        <v/>
      </c>
      <c r="P1179">
        <f>IF(G1179=1,IF(H1178=0,1,ABS(0.2-J1178*B1179/I1179)+ABS(0.2-K1178*C1179/I1179)+ABS(0.2-L1178*D1179/I1179)+ABS(0.2-M1178*E1179/I1179)+ABS(0.2-N1178*F1179/I1179)),0)</f>
        <v/>
      </c>
      <c r="Q1179">
        <f>P1179*0.0015</f>
        <v/>
      </c>
      <c r="R1179">
        <f>I1179*(1-Q1179)</f>
        <v/>
      </c>
      <c r="S1179">
        <f>R1179/R1178-1</f>
        <v/>
      </c>
      <c r="T1179">
        <f>MAX(T1178,R1179)</f>
        <v/>
      </c>
      <c r="U1179">
        <f>R1179/T1179-1</f>
        <v/>
      </c>
      <c r="V1179" t="n">
        <v>2.938635944513746</v>
      </c>
      <c r="W1179" s="5">
        <f>R1179-V1179</f>
        <v/>
      </c>
    </row>
    <row r="1180">
      <c r="A1180" s="3" t="n">
        <v>40182</v>
      </c>
      <c r="B1180">
        <f>Prices!B1180</f>
        <v/>
      </c>
      <c r="C1180">
        <f>Prices!C1180</f>
        <v/>
      </c>
      <c r="D1180">
        <f>Prices!D1180</f>
        <v/>
      </c>
      <c r="E1180">
        <f>Prices!E1180</f>
        <v/>
      </c>
      <c r="F1180">
        <f>Prices!F1180</f>
        <v/>
      </c>
      <c r="G1180">
        <f>IF(AND(1178&gt;=16,TEXT(A1180,"yyyy-mm")&lt;&gt;TEXT(A1181,"yyyy-mm")),1,0)</f>
        <v/>
      </c>
      <c r="H1180">
        <f>IF(OR(H1179=1,G1180=1),1,0)</f>
        <v/>
      </c>
      <c r="I1180">
        <f>IF(H1179=0,1,SUMPRODUCT(J1179:N1179,B1180:F1180)+O1179*(1+0.00023125256064071564))</f>
        <v/>
      </c>
      <c r="J1180">
        <f>IF(G1180=1,0.2*R1180/B1180,J1179)</f>
        <v/>
      </c>
      <c r="K1180">
        <f>IF(G1180=1,0.2*R1180/C1180,K1179)</f>
        <v/>
      </c>
      <c r="L1180">
        <f>IF(G1180=1,0.2*R1180/D1180,L1179)</f>
        <v/>
      </c>
      <c r="M1180">
        <f>IF(G1180=1,0.2*R1180/E1180,M1179)</f>
        <v/>
      </c>
      <c r="N1180">
        <f>IF(G1180=1,0.2*R1180/F1180,N1179)</f>
        <v/>
      </c>
      <c r="O1180">
        <f>IF(G1180=1,R1180*(1-1.0),IF(H1179=0,1,O1179*(1+0.00023125256064071564)))</f>
        <v/>
      </c>
      <c r="P1180">
        <f>IF(G1180=1,IF(H1179=0,1,ABS(0.2-J1179*B1180/I1180)+ABS(0.2-K1179*C1180/I1180)+ABS(0.2-L1179*D1180/I1180)+ABS(0.2-M1179*E1180/I1180)+ABS(0.2-N1179*F1180/I1180)),0)</f>
        <v/>
      </c>
      <c r="Q1180">
        <f>P1180*0.0015</f>
        <v/>
      </c>
      <c r="R1180">
        <f>I1180*(1-Q1180)</f>
        <v/>
      </c>
      <c r="S1180">
        <f>R1180/R1179-1</f>
        <v/>
      </c>
      <c r="T1180">
        <f>MAX(T1179,R1180)</f>
        <v/>
      </c>
      <c r="U1180">
        <f>R1180/T1180-1</f>
        <v/>
      </c>
      <c r="V1180" t="n">
        <v>2.976930116377331</v>
      </c>
      <c r="W1180" s="5">
        <f>R1180-V1180</f>
        <v/>
      </c>
    </row>
    <row r="1181">
      <c r="A1181" s="3" t="n">
        <v>40183</v>
      </c>
      <c r="B1181">
        <f>Prices!B1181</f>
        <v/>
      </c>
      <c r="C1181">
        <f>Prices!C1181</f>
        <v/>
      </c>
      <c r="D1181">
        <f>Prices!D1181</f>
        <v/>
      </c>
      <c r="E1181">
        <f>Prices!E1181</f>
        <v/>
      </c>
      <c r="F1181">
        <f>Prices!F1181</f>
        <v/>
      </c>
      <c r="G1181">
        <f>IF(AND(1179&gt;=16,TEXT(A1181,"yyyy-mm")&lt;&gt;TEXT(A1182,"yyyy-mm")),1,0)</f>
        <v/>
      </c>
      <c r="H1181">
        <f>IF(OR(H1180=1,G1181=1),1,0)</f>
        <v/>
      </c>
      <c r="I1181">
        <f>IF(H1180=0,1,SUMPRODUCT(J1180:N1180,B1181:F1181)+O1180*(1+0.00023125256064071564))</f>
        <v/>
      </c>
      <c r="J1181">
        <f>IF(G1181=1,0.2*R1181/B1181,J1180)</f>
        <v/>
      </c>
      <c r="K1181">
        <f>IF(G1181=1,0.2*R1181/C1181,K1180)</f>
        <v/>
      </c>
      <c r="L1181">
        <f>IF(G1181=1,0.2*R1181/D1181,L1180)</f>
        <v/>
      </c>
      <c r="M1181">
        <f>IF(G1181=1,0.2*R1181/E1181,M1180)</f>
        <v/>
      </c>
      <c r="N1181">
        <f>IF(G1181=1,0.2*R1181/F1181,N1180)</f>
        <v/>
      </c>
      <c r="O1181">
        <f>IF(G1181=1,R1181*(1-1.0),IF(H1180=0,1,O1180*(1+0.00023125256064071564)))</f>
        <v/>
      </c>
      <c r="P1181">
        <f>IF(G1181=1,IF(H1180=0,1,ABS(0.2-J1180*B1181/I1181)+ABS(0.2-K1180*C1181/I1181)+ABS(0.2-L1180*D1181/I1181)+ABS(0.2-M1180*E1181/I1181)+ABS(0.2-N1180*F1181/I1181)),0)</f>
        <v/>
      </c>
      <c r="Q1181">
        <f>P1181*0.0015</f>
        <v/>
      </c>
      <c r="R1181">
        <f>I1181*(1-Q1181)</f>
        <v/>
      </c>
      <c r="S1181">
        <f>R1181/R1180-1</f>
        <v/>
      </c>
      <c r="T1181">
        <f>MAX(T1180,R1181)</f>
        <v/>
      </c>
      <c r="U1181">
        <f>R1181/T1181-1</f>
        <v/>
      </c>
      <c r="V1181" t="n">
        <v>3.008872706600667</v>
      </c>
      <c r="W1181" s="5">
        <f>R1181-V1181</f>
        <v/>
      </c>
    </row>
    <row r="1182">
      <c r="A1182" s="3" t="n">
        <v>40184</v>
      </c>
      <c r="B1182">
        <f>Prices!B1182</f>
        <v/>
      </c>
      <c r="C1182">
        <f>Prices!C1182</f>
        <v/>
      </c>
      <c r="D1182">
        <f>Prices!D1182</f>
        <v/>
      </c>
      <c r="E1182">
        <f>Prices!E1182</f>
        <v/>
      </c>
      <c r="F1182">
        <f>Prices!F1182</f>
        <v/>
      </c>
      <c r="G1182">
        <f>IF(AND(1180&gt;=16,TEXT(A1182,"yyyy-mm")&lt;&gt;TEXT(A1183,"yyyy-mm")),1,0)</f>
        <v/>
      </c>
      <c r="H1182">
        <f>IF(OR(H1181=1,G1182=1),1,0)</f>
        <v/>
      </c>
      <c r="I1182">
        <f>IF(H1181=0,1,SUMPRODUCT(J1181:N1181,B1182:F1182)+O1181*(1+0.00023125256064071564))</f>
        <v/>
      </c>
      <c r="J1182">
        <f>IF(G1182=1,0.2*R1182/B1182,J1181)</f>
        <v/>
      </c>
      <c r="K1182">
        <f>IF(G1182=1,0.2*R1182/C1182,K1181)</f>
        <v/>
      </c>
      <c r="L1182">
        <f>IF(G1182=1,0.2*R1182/D1182,L1181)</f>
        <v/>
      </c>
      <c r="M1182">
        <f>IF(G1182=1,0.2*R1182/E1182,M1181)</f>
        <v/>
      </c>
      <c r="N1182">
        <f>IF(G1182=1,0.2*R1182/F1182,N1181)</f>
        <v/>
      </c>
      <c r="O1182">
        <f>IF(G1182=1,R1182*(1-1.0),IF(H1181=0,1,O1181*(1+0.00023125256064071564)))</f>
        <v/>
      </c>
      <c r="P1182">
        <f>IF(G1182=1,IF(H1181=0,1,ABS(0.2-J1181*B1182/I1182)+ABS(0.2-K1181*C1182/I1182)+ABS(0.2-L1181*D1182/I1182)+ABS(0.2-M1181*E1182/I1182)+ABS(0.2-N1181*F1182/I1182)),0)</f>
        <v/>
      </c>
      <c r="Q1182">
        <f>P1182*0.0015</f>
        <v/>
      </c>
      <c r="R1182">
        <f>I1182*(1-Q1182)</f>
        <v/>
      </c>
      <c r="S1182">
        <f>R1182/R1181-1</f>
        <v/>
      </c>
      <c r="T1182">
        <f>MAX(T1181,R1182)</f>
        <v/>
      </c>
      <c r="U1182">
        <f>R1182/T1182-1</f>
        <v/>
      </c>
      <c r="V1182" t="n">
        <v>3.014699552362223</v>
      </c>
      <c r="W1182" s="5">
        <f>R1182-V1182</f>
        <v/>
      </c>
    </row>
    <row r="1183">
      <c r="A1183" s="3" t="n">
        <v>40185</v>
      </c>
      <c r="B1183">
        <f>Prices!B1183</f>
        <v/>
      </c>
      <c r="C1183">
        <f>Prices!C1183</f>
        <v/>
      </c>
      <c r="D1183">
        <f>Prices!D1183</f>
        <v/>
      </c>
      <c r="E1183">
        <f>Prices!E1183</f>
        <v/>
      </c>
      <c r="F1183">
        <f>Prices!F1183</f>
        <v/>
      </c>
      <c r="G1183">
        <f>IF(AND(1181&gt;=16,TEXT(A1183,"yyyy-mm")&lt;&gt;TEXT(A1184,"yyyy-mm")),1,0)</f>
        <v/>
      </c>
      <c r="H1183">
        <f>IF(OR(H1182=1,G1183=1),1,0)</f>
        <v/>
      </c>
      <c r="I1183">
        <f>IF(H1182=0,1,SUMPRODUCT(J1182:N1182,B1183:F1183)+O1182*(1+0.00023125256064071564))</f>
        <v/>
      </c>
      <c r="J1183">
        <f>IF(G1183=1,0.2*R1183/B1183,J1182)</f>
        <v/>
      </c>
      <c r="K1183">
        <f>IF(G1183=1,0.2*R1183/C1183,K1182)</f>
        <v/>
      </c>
      <c r="L1183">
        <f>IF(G1183=1,0.2*R1183/D1183,L1182)</f>
        <v/>
      </c>
      <c r="M1183">
        <f>IF(G1183=1,0.2*R1183/E1183,M1182)</f>
        <v/>
      </c>
      <c r="N1183">
        <f>IF(G1183=1,0.2*R1183/F1183,N1182)</f>
        <v/>
      </c>
      <c r="O1183">
        <f>IF(G1183=1,R1183*(1-1.0),IF(H1182=0,1,O1182*(1+0.00023125256064071564)))</f>
        <v/>
      </c>
      <c r="P1183">
        <f>IF(G1183=1,IF(H1182=0,1,ABS(0.2-J1182*B1183/I1183)+ABS(0.2-K1182*C1183/I1183)+ABS(0.2-L1182*D1183/I1183)+ABS(0.2-M1182*E1183/I1183)+ABS(0.2-N1182*F1183/I1183)),0)</f>
        <v/>
      </c>
      <c r="Q1183">
        <f>P1183*0.0015</f>
        <v/>
      </c>
      <c r="R1183">
        <f>I1183*(1-Q1183)</f>
        <v/>
      </c>
      <c r="S1183">
        <f>R1183/R1182-1</f>
        <v/>
      </c>
      <c r="T1183">
        <f>MAX(T1182,R1183)</f>
        <v/>
      </c>
      <c r="U1183">
        <f>R1183/T1183-1</f>
        <v/>
      </c>
      <c r="V1183" t="n">
        <v>3.006347925210675</v>
      </c>
      <c r="W1183" s="5">
        <f>R1183-V1183</f>
        <v/>
      </c>
    </row>
    <row r="1184">
      <c r="A1184" s="3" t="n">
        <v>40186</v>
      </c>
      <c r="B1184">
        <f>Prices!B1184</f>
        <v/>
      </c>
      <c r="C1184">
        <f>Prices!C1184</f>
        <v/>
      </c>
      <c r="D1184">
        <f>Prices!D1184</f>
        <v/>
      </c>
      <c r="E1184">
        <f>Prices!E1184</f>
        <v/>
      </c>
      <c r="F1184">
        <f>Prices!F1184</f>
        <v/>
      </c>
      <c r="G1184">
        <f>IF(AND(1182&gt;=16,TEXT(A1184,"yyyy-mm")&lt;&gt;TEXT(A1185,"yyyy-mm")),1,0)</f>
        <v/>
      </c>
      <c r="H1184">
        <f>IF(OR(H1183=1,G1184=1),1,0)</f>
        <v/>
      </c>
      <c r="I1184">
        <f>IF(H1183=0,1,SUMPRODUCT(J1183:N1183,B1184:F1184)+O1183*(1+0.00023125256064071564))</f>
        <v/>
      </c>
      <c r="J1184">
        <f>IF(G1184=1,0.2*R1184/B1184,J1183)</f>
        <v/>
      </c>
      <c r="K1184">
        <f>IF(G1184=1,0.2*R1184/C1184,K1183)</f>
        <v/>
      </c>
      <c r="L1184">
        <f>IF(G1184=1,0.2*R1184/D1184,L1183)</f>
        <v/>
      </c>
      <c r="M1184">
        <f>IF(G1184=1,0.2*R1184/E1184,M1183)</f>
        <v/>
      </c>
      <c r="N1184">
        <f>IF(G1184=1,0.2*R1184/F1184,N1183)</f>
        <v/>
      </c>
      <c r="O1184">
        <f>IF(G1184=1,R1184*(1-1.0),IF(H1183=0,1,O1183*(1+0.00023125256064071564)))</f>
        <v/>
      </c>
      <c r="P1184">
        <f>IF(G1184=1,IF(H1183=0,1,ABS(0.2-J1183*B1184/I1184)+ABS(0.2-K1183*C1184/I1184)+ABS(0.2-L1183*D1184/I1184)+ABS(0.2-M1183*E1184/I1184)+ABS(0.2-N1183*F1184/I1184)),0)</f>
        <v/>
      </c>
      <c r="Q1184">
        <f>P1184*0.0015</f>
        <v/>
      </c>
      <c r="R1184">
        <f>I1184*(1-Q1184)</f>
        <v/>
      </c>
      <c r="S1184">
        <f>R1184/R1183-1</f>
        <v/>
      </c>
      <c r="T1184">
        <f>MAX(T1183,R1184)</f>
        <v/>
      </c>
      <c r="U1184">
        <f>R1184/T1184-1</f>
        <v/>
      </c>
      <c r="V1184" t="n">
        <v>2.995990255478386</v>
      </c>
      <c r="W1184" s="5">
        <f>R1184-V1184</f>
        <v/>
      </c>
    </row>
    <row r="1185">
      <c r="A1185" s="3" t="n">
        <v>40189</v>
      </c>
      <c r="B1185">
        <f>Prices!B1185</f>
        <v/>
      </c>
      <c r="C1185">
        <f>Prices!C1185</f>
        <v/>
      </c>
      <c r="D1185">
        <f>Prices!D1185</f>
        <v/>
      </c>
      <c r="E1185">
        <f>Prices!E1185</f>
        <v/>
      </c>
      <c r="F1185">
        <f>Prices!F1185</f>
        <v/>
      </c>
      <c r="G1185">
        <f>IF(AND(1183&gt;=16,TEXT(A1185,"yyyy-mm")&lt;&gt;TEXT(A1186,"yyyy-mm")),1,0)</f>
        <v/>
      </c>
      <c r="H1185">
        <f>IF(OR(H1184=1,G1185=1),1,0)</f>
        <v/>
      </c>
      <c r="I1185">
        <f>IF(H1184=0,1,SUMPRODUCT(J1184:N1184,B1185:F1185)+O1184*(1+0.00023125256064071564))</f>
        <v/>
      </c>
      <c r="J1185">
        <f>IF(G1185=1,0.2*R1185/B1185,J1184)</f>
        <v/>
      </c>
      <c r="K1185">
        <f>IF(G1185=1,0.2*R1185/C1185,K1184)</f>
        <v/>
      </c>
      <c r="L1185">
        <f>IF(G1185=1,0.2*R1185/D1185,L1184)</f>
        <v/>
      </c>
      <c r="M1185">
        <f>IF(G1185=1,0.2*R1185/E1185,M1184)</f>
        <v/>
      </c>
      <c r="N1185">
        <f>IF(G1185=1,0.2*R1185/F1185,N1184)</f>
        <v/>
      </c>
      <c r="O1185">
        <f>IF(G1185=1,R1185*(1-1.0),IF(H1184=0,1,O1184*(1+0.00023125256064071564)))</f>
        <v/>
      </c>
      <c r="P1185">
        <f>IF(G1185=1,IF(H1184=0,1,ABS(0.2-J1184*B1185/I1185)+ABS(0.2-K1184*C1185/I1185)+ABS(0.2-L1184*D1185/I1185)+ABS(0.2-M1184*E1185/I1185)+ABS(0.2-N1184*F1185/I1185)),0)</f>
        <v/>
      </c>
      <c r="Q1185">
        <f>P1185*0.0015</f>
        <v/>
      </c>
      <c r="R1185">
        <f>I1185*(1-Q1185)</f>
        <v/>
      </c>
      <c r="S1185">
        <f>R1185/R1184-1</f>
        <v/>
      </c>
      <c r="T1185">
        <f>MAX(T1184,R1185)</f>
        <v/>
      </c>
      <c r="U1185">
        <f>R1185/T1185-1</f>
        <v/>
      </c>
      <c r="V1185" t="n">
        <v>3.022769487611028</v>
      </c>
      <c r="W1185" s="5">
        <f>R1185-V1185</f>
        <v/>
      </c>
    </row>
    <row r="1186">
      <c r="A1186" s="3" t="n">
        <v>40190</v>
      </c>
      <c r="B1186">
        <f>Prices!B1186</f>
        <v/>
      </c>
      <c r="C1186">
        <f>Prices!C1186</f>
        <v/>
      </c>
      <c r="D1186">
        <f>Prices!D1186</f>
        <v/>
      </c>
      <c r="E1186">
        <f>Prices!E1186</f>
        <v/>
      </c>
      <c r="F1186">
        <f>Prices!F1186</f>
        <v/>
      </c>
      <c r="G1186">
        <f>IF(AND(1184&gt;=16,TEXT(A1186,"yyyy-mm")&lt;&gt;TEXT(A1187,"yyyy-mm")),1,0)</f>
        <v/>
      </c>
      <c r="H1186">
        <f>IF(OR(H1185=1,G1186=1),1,0)</f>
        <v/>
      </c>
      <c r="I1186">
        <f>IF(H1185=0,1,SUMPRODUCT(J1185:N1185,B1186:F1186)+O1185*(1+0.00023125256064071564))</f>
        <v/>
      </c>
      <c r="J1186">
        <f>IF(G1186=1,0.2*R1186/B1186,J1185)</f>
        <v/>
      </c>
      <c r="K1186">
        <f>IF(G1186=1,0.2*R1186/C1186,K1185)</f>
        <v/>
      </c>
      <c r="L1186">
        <f>IF(G1186=1,0.2*R1186/D1186,L1185)</f>
        <v/>
      </c>
      <c r="M1186">
        <f>IF(G1186=1,0.2*R1186/E1186,M1185)</f>
        <v/>
      </c>
      <c r="N1186">
        <f>IF(G1186=1,0.2*R1186/F1186,N1185)</f>
        <v/>
      </c>
      <c r="O1186">
        <f>IF(G1186=1,R1186*(1-1.0),IF(H1185=0,1,O1185*(1+0.00023125256064071564)))</f>
        <v/>
      </c>
      <c r="P1186">
        <f>IF(G1186=1,IF(H1185=0,1,ABS(0.2-J1185*B1186/I1186)+ABS(0.2-K1185*C1186/I1186)+ABS(0.2-L1185*D1186/I1186)+ABS(0.2-M1185*E1186/I1186)+ABS(0.2-N1185*F1186/I1186)),0)</f>
        <v/>
      </c>
      <c r="Q1186">
        <f>P1186*0.0015</f>
        <v/>
      </c>
      <c r="R1186">
        <f>I1186*(1-Q1186)</f>
        <v/>
      </c>
      <c r="S1186">
        <f>R1186/R1185-1</f>
        <v/>
      </c>
      <c r="T1186">
        <f>MAX(T1185,R1186)</f>
        <v/>
      </c>
      <c r="U1186">
        <f>R1186/T1186-1</f>
        <v/>
      </c>
      <c r="V1186" t="n">
        <v>3.007213995662159</v>
      </c>
      <c r="W1186" s="5">
        <f>R1186-V1186</f>
        <v/>
      </c>
    </row>
    <row r="1187">
      <c r="A1187" s="3" t="n">
        <v>40191</v>
      </c>
      <c r="B1187">
        <f>Prices!B1187</f>
        <v/>
      </c>
      <c r="C1187">
        <f>Prices!C1187</f>
        <v/>
      </c>
      <c r="D1187">
        <f>Prices!D1187</f>
        <v/>
      </c>
      <c r="E1187">
        <f>Prices!E1187</f>
        <v/>
      </c>
      <c r="F1187">
        <f>Prices!F1187</f>
        <v/>
      </c>
      <c r="G1187">
        <f>IF(AND(1185&gt;=16,TEXT(A1187,"yyyy-mm")&lt;&gt;TEXT(A1188,"yyyy-mm")),1,0)</f>
        <v/>
      </c>
      <c r="H1187">
        <f>IF(OR(H1186=1,G1187=1),1,0)</f>
        <v/>
      </c>
      <c r="I1187">
        <f>IF(H1186=0,1,SUMPRODUCT(J1186:N1186,B1187:F1187)+O1186*(1+0.00023125256064071564))</f>
        <v/>
      </c>
      <c r="J1187">
        <f>IF(G1187=1,0.2*R1187/B1187,J1186)</f>
        <v/>
      </c>
      <c r="K1187">
        <f>IF(G1187=1,0.2*R1187/C1187,K1186)</f>
        <v/>
      </c>
      <c r="L1187">
        <f>IF(G1187=1,0.2*R1187/D1187,L1186)</f>
        <v/>
      </c>
      <c r="M1187">
        <f>IF(G1187=1,0.2*R1187/E1187,M1186)</f>
        <v/>
      </c>
      <c r="N1187">
        <f>IF(G1187=1,0.2*R1187/F1187,N1186)</f>
        <v/>
      </c>
      <c r="O1187">
        <f>IF(G1187=1,R1187*(1-1.0),IF(H1186=0,1,O1186*(1+0.00023125256064071564)))</f>
        <v/>
      </c>
      <c r="P1187">
        <f>IF(G1187=1,IF(H1186=0,1,ABS(0.2-J1186*B1187/I1187)+ABS(0.2-K1186*C1187/I1187)+ABS(0.2-L1186*D1187/I1187)+ABS(0.2-M1186*E1187/I1187)+ABS(0.2-N1186*F1187/I1187)),0)</f>
        <v/>
      </c>
      <c r="Q1187">
        <f>P1187*0.0015</f>
        <v/>
      </c>
      <c r="R1187">
        <f>I1187*(1-Q1187)</f>
        <v/>
      </c>
      <c r="S1187">
        <f>R1187/R1186-1</f>
        <v/>
      </c>
      <c r="T1187">
        <f>MAX(T1186,R1187)</f>
        <v/>
      </c>
      <c r="U1187">
        <f>R1187/T1187-1</f>
        <v/>
      </c>
      <c r="V1187" t="n">
        <v>3.030079989793176</v>
      </c>
      <c r="W1187" s="5">
        <f>R1187-V1187</f>
        <v/>
      </c>
    </row>
    <row r="1188">
      <c r="A1188" s="3" t="n">
        <v>40192</v>
      </c>
      <c r="B1188">
        <f>Prices!B1188</f>
        <v/>
      </c>
      <c r="C1188">
        <f>Prices!C1188</f>
        <v/>
      </c>
      <c r="D1188">
        <f>Prices!D1188</f>
        <v/>
      </c>
      <c r="E1188">
        <f>Prices!E1188</f>
        <v/>
      </c>
      <c r="F1188">
        <f>Prices!F1188</f>
        <v/>
      </c>
      <c r="G1188">
        <f>IF(AND(1186&gt;=16,TEXT(A1188,"yyyy-mm")&lt;&gt;TEXT(A1189,"yyyy-mm")),1,0)</f>
        <v/>
      </c>
      <c r="H1188">
        <f>IF(OR(H1187=1,G1188=1),1,0)</f>
        <v/>
      </c>
      <c r="I1188">
        <f>IF(H1187=0,1,SUMPRODUCT(J1187:N1187,B1188:F1188)+O1187*(1+0.00023125256064071564))</f>
        <v/>
      </c>
      <c r="J1188">
        <f>IF(G1188=1,0.2*R1188/B1188,J1187)</f>
        <v/>
      </c>
      <c r="K1188">
        <f>IF(G1188=1,0.2*R1188/C1188,K1187)</f>
        <v/>
      </c>
      <c r="L1188">
        <f>IF(G1188=1,0.2*R1188/D1188,L1187)</f>
        <v/>
      </c>
      <c r="M1188">
        <f>IF(G1188=1,0.2*R1188/E1188,M1187)</f>
        <v/>
      </c>
      <c r="N1188">
        <f>IF(G1188=1,0.2*R1188/F1188,N1187)</f>
        <v/>
      </c>
      <c r="O1188">
        <f>IF(G1188=1,R1188*(1-1.0),IF(H1187=0,1,O1187*(1+0.00023125256064071564)))</f>
        <v/>
      </c>
      <c r="P1188">
        <f>IF(G1188=1,IF(H1187=0,1,ABS(0.2-J1187*B1188/I1188)+ABS(0.2-K1187*C1188/I1188)+ABS(0.2-L1187*D1188/I1188)+ABS(0.2-M1187*E1188/I1188)+ABS(0.2-N1187*F1188/I1188)),0)</f>
        <v/>
      </c>
      <c r="Q1188">
        <f>P1188*0.0015</f>
        <v/>
      </c>
      <c r="R1188">
        <f>I1188*(1-Q1188)</f>
        <v/>
      </c>
      <c r="S1188">
        <f>R1188/R1187-1</f>
        <v/>
      </c>
      <c r="T1188">
        <f>MAX(T1187,R1188)</f>
        <v/>
      </c>
      <c r="U1188">
        <f>R1188/T1188-1</f>
        <v/>
      </c>
      <c r="V1188" t="n">
        <v>3.052265843061673</v>
      </c>
      <c r="W1188" s="5">
        <f>R1188-V1188</f>
        <v/>
      </c>
    </row>
    <row r="1189">
      <c r="A1189" s="3" t="n">
        <v>40193</v>
      </c>
      <c r="B1189">
        <f>Prices!B1189</f>
        <v/>
      </c>
      <c r="C1189">
        <f>Prices!C1189</f>
        <v/>
      </c>
      <c r="D1189">
        <f>Prices!D1189</f>
        <v/>
      </c>
      <c r="E1189">
        <f>Prices!E1189</f>
        <v/>
      </c>
      <c r="F1189">
        <f>Prices!F1189</f>
        <v/>
      </c>
      <c r="G1189">
        <f>IF(AND(1187&gt;=16,TEXT(A1189,"yyyy-mm")&lt;&gt;TEXT(A1190,"yyyy-mm")),1,0)</f>
        <v/>
      </c>
      <c r="H1189">
        <f>IF(OR(H1188=1,G1189=1),1,0)</f>
        <v/>
      </c>
      <c r="I1189">
        <f>IF(H1188=0,1,SUMPRODUCT(J1188:N1188,B1189:F1189)+O1188*(1+0.00023125256064071564))</f>
        <v/>
      </c>
      <c r="J1189">
        <f>IF(G1189=1,0.2*R1189/B1189,J1188)</f>
        <v/>
      </c>
      <c r="K1189">
        <f>IF(G1189=1,0.2*R1189/C1189,K1188)</f>
        <v/>
      </c>
      <c r="L1189">
        <f>IF(G1189=1,0.2*R1189/D1189,L1188)</f>
        <v/>
      </c>
      <c r="M1189">
        <f>IF(G1189=1,0.2*R1189/E1189,M1188)</f>
        <v/>
      </c>
      <c r="N1189">
        <f>IF(G1189=1,0.2*R1189/F1189,N1188)</f>
        <v/>
      </c>
      <c r="O1189">
        <f>IF(G1189=1,R1189*(1-1.0),IF(H1188=0,1,O1188*(1+0.00023125256064071564)))</f>
        <v/>
      </c>
      <c r="P1189">
        <f>IF(G1189=1,IF(H1188=0,1,ABS(0.2-J1188*B1189/I1189)+ABS(0.2-K1188*C1189/I1189)+ABS(0.2-L1188*D1189/I1189)+ABS(0.2-M1188*E1189/I1189)+ABS(0.2-N1188*F1189/I1189)),0)</f>
        <v/>
      </c>
      <c r="Q1189">
        <f>P1189*0.0015</f>
        <v/>
      </c>
      <c r="R1189">
        <f>I1189*(1-Q1189)</f>
        <v/>
      </c>
      <c r="S1189">
        <f>R1189/R1188-1</f>
        <v/>
      </c>
      <c r="T1189">
        <f>MAX(T1188,R1189)</f>
        <v/>
      </c>
      <c r="U1189">
        <f>R1189/T1189-1</f>
        <v/>
      </c>
      <c r="V1189" t="n">
        <v>3.055574851360352</v>
      </c>
      <c r="W1189" s="5">
        <f>R1189-V1189</f>
        <v/>
      </c>
    </row>
    <row r="1190">
      <c r="A1190" s="3" t="n">
        <v>40196</v>
      </c>
      <c r="B1190">
        <f>Prices!B1190</f>
        <v/>
      </c>
      <c r="C1190">
        <f>Prices!C1190</f>
        <v/>
      </c>
      <c r="D1190">
        <f>Prices!D1190</f>
        <v/>
      </c>
      <c r="E1190">
        <f>Prices!E1190</f>
        <v/>
      </c>
      <c r="F1190">
        <f>Prices!F1190</f>
        <v/>
      </c>
      <c r="G1190">
        <f>IF(AND(1188&gt;=16,TEXT(A1190,"yyyy-mm")&lt;&gt;TEXT(A1191,"yyyy-mm")),1,0)</f>
        <v/>
      </c>
      <c r="H1190">
        <f>IF(OR(H1189=1,G1190=1),1,0)</f>
        <v/>
      </c>
      <c r="I1190">
        <f>IF(H1189=0,1,SUMPRODUCT(J1189:N1189,B1190:F1190)+O1189*(1+0.00023125256064071564))</f>
        <v/>
      </c>
      <c r="J1190">
        <f>IF(G1190=1,0.2*R1190/B1190,J1189)</f>
        <v/>
      </c>
      <c r="K1190">
        <f>IF(G1190=1,0.2*R1190/C1190,K1189)</f>
        <v/>
      </c>
      <c r="L1190">
        <f>IF(G1190=1,0.2*R1190/D1190,L1189)</f>
        <v/>
      </c>
      <c r="M1190">
        <f>IF(G1190=1,0.2*R1190/E1190,M1189)</f>
        <v/>
      </c>
      <c r="N1190">
        <f>IF(G1190=1,0.2*R1190/F1190,N1189)</f>
        <v/>
      </c>
      <c r="O1190">
        <f>IF(G1190=1,R1190*(1-1.0),IF(H1189=0,1,O1189*(1+0.00023125256064071564)))</f>
        <v/>
      </c>
      <c r="P1190">
        <f>IF(G1190=1,IF(H1189=0,1,ABS(0.2-J1189*B1190/I1190)+ABS(0.2-K1189*C1190/I1190)+ABS(0.2-L1189*D1190/I1190)+ABS(0.2-M1189*E1190/I1190)+ABS(0.2-N1189*F1190/I1190)),0)</f>
        <v/>
      </c>
      <c r="Q1190">
        <f>P1190*0.0015</f>
        <v/>
      </c>
      <c r="R1190">
        <f>I1190*(1-Q1190)</f>
        <v/>
      </c>
      <c r="S1190">
        <f>R1190/R1189-1</f>
        <v/>
      </c>
      <c r="T1190">
        <f>MAX(T1189,R1190)</f>
        <v/>
      </c>
      <c r="U1190">
        <f>R1190/T1190-1</f>
        <v/>
      </c>
      <c r="V1190" t="n">
        <v>3.066783737644838</v>
      </c>
      <c r="W1190" s="5">
        <f>R1190-V1190</f>
        <v/>
      </c>
    </row>
    <row r="1191">
      <c r="A1191" s="3" t="n">
        <v>40197</v>
      </c>
      <c r="B1191">
        <f>Prices!B1191</f>
        <v/>
      </c>
      <c r="C1191">
        <f>Prices!C1191</f>
        <v/>
      </c>
      <c r="D1191">
        <f>Prices!D1191</f>
        <v/>
      </c>
      <c r="E1191">
        <f>Prices!E1191</f>
        <v/>
      </c>
      <c r="F1191">
        <f>Prices!F1191</f>
        <v/>
      </c>
      <c r="G1191">
        <f>IF(AND(1189&gt;=16,TEXT(A1191,"yyyy-mm")&lt;&gt;TEXT(A1192,"yyyy-mm")),1,0)</f>
        <v/>
      </c>
      <c r="H1191">
        <f>IF(OR(H1190=1,G1191=1),1,0)</f>
        <v/>
      </c>
      <c r="I1191">
        <f>IF(H1190=0,1,SUMPRODUCT(J1190:N1190,B1191:F1191)+O1190*(1+0.00023125256064071564))</f>
        <v/>
      </c>
      <c r="J1191">
        <f>IF(G1191=1,0.2*R1191/B1191,J1190)</f>
        <v/>
      </c>
      <c r="K1191">
        <f>IF(G1191=1,0.2*R1191/C1191,K1190)</f>
        <v/>
      </c>
      <c r="L1191">
        <f>IF(G1191=1,0.2*R1191/D1191,L1190)</f>
        <v/>
      </c>
      <c r="M1191">
        <f>IF(G1191=1,0.2*R1191/E1191,M1190)</f>
        <v/>
      </c>
      <c r="N1191">
        <f>IF(G1191=1,0.2*R1191/F1191,N1190)</f>
        <v/>
      </c>
      <c r="O1191">
        <f>IF(G1191=1,R1191*(1-1.0),IF(H1190=0,1,O1190*(1+0.00023125256064071564)))</f>
        <v/>
      </c>
      <c r="P1191">
        <f>IF(G1191=1,IF(H1190=0,1,ABS(0.2-J1190*B1191/I1191)+ABS(0.2-K1190*C1191/I1191)+ABS(0.2-L1190*D1191/I1191)+ABS(0.2-M1190*E1191/I1191)+ABS(0.2-N1190*F1191/I1191)),0)</f>
        <v/>
      </c>
      <c r="Q1191">
        <f>P1191*0.0015</f>
        <v/>
      </c>
      <c r="R1191">
        <f>I1191*(1-Q1191)</f>
        <v/>
      </c>
      <c r="S1191">
        <f>R1191/R1190-1</f>
        <v/>
      </c>
      <c r="T1191">
        <f>MAX(T1190,R1191)</f>
        <v/>
      </c>
      <c r="U1191">
        <f>R1191/T1191-1</f>
        <v/>
      </c>
      <c r="V1191" t="n">
        <v>3.044854010457742</v>
      </c>
      <c r="W1191" s="5">
        <f>R1191-V1191</f>
        <v/>
      </c>
    </row>
    <row r="1192">
      <c r="A1192" s="3" t="n">
        <v>40198</v>
      </c>
      <c r="B1192">
        <f>Prices!B1192</f>
        <v/>
      </c>
      <c r="C1192">
        <f>Prices!C1192</f>
        <v/>
      </c>
      <c r="D1192">
        <f>Prices!D1192</f>
        <v/>
      </c>
      <c r="E1192">
        <f>Prices!E1192</f>
        <v/>
      </c>
      <c r="F1192">
        <f>Prices!F1192</f>
        <v/>
      </c>
      <c r="G1192">
        <f>IF(AND(1190&gt;=16,TEXT(A1192,"yyyy-mm")&lt;&gt;TEXT(A1193,"yyyy-mm")),1,0)</f>
        <v/>
      </c>
      <c r="H1192">
        <f>IF(OR(H1191=1,G1192=1),1,0)</f>
        <v/>
      </c>
      <c r="I1192">
        <f>IF(H1191=0,1,SUMPRODUCT(J1191:N1191,B1192:F1192)+O1191*(1+0.00023125256064071564))</f>
        <v/>
      </c>
      <c r="J1192">
        <f>IF(G1192=1,0.2*R1192/B1192,J1191)</f>
        <v/>
      </c>
      <c r="K1192">
        <f>IF(G1192=1,0.2*R1192/C1192,K1191)</f>
        <v/>
      </c>
      <c r="L1192">
        <f>IF(G1192=1,0.2*R1192/D1192,L1191)</f>
        <v/>
      </c>
      <c r="M1192">
        <f>IF(G1192=1,0.2*R1192/E1192,M1191)</f>
        <v/>
      </c>
      <c r="N1192">
        <f>IF(G1192=1,0.2*R1192/F1192,N1191)</f>
        <v/>
      </c>
      <c r="O1192">
        <f>IF(G1192=1,R1192*(1-1.0),IF(H1191=0,1,O1191*(1+0.00023125256064071564)))</f>
        <v/>
      </c>
      <c r="P1192">
        <f>IF(G1192=1,IF(H1191=0,1,ABS(0.2-J1191*B1192/I1192)+ABS(0.2-K1191*C1192/I1192)+ABS(0.2-L1191*D1192/I1192)+ABS(0.2-M1191*E1192/I1192)+ABS(0.2-N1191*F1192/I1192)),0)</f>
        <v/>
      </c>
      <c r="Q1192">
        <f>P1192*0.0015</f>
        <v/>
      </c>
      <c r="R1192">
        <f>I1192*(1-Q1192)</f>
        <v/>
      </c>
      <c r="S1192">
        <f>R1192/R1191-1</f>
        <v/>
      </c>
      <c r="T1192">
        <f>MAX(T1191,R1192)</f>
        <v/>
      </c>
      <c r="U1192">
        <f>R1192/T1192-1</f>
        <v/>
      </c>
      <c r="V1192" t="n">
        <v>3.048577792896581</v>
      </c>
      <c r="W1192" s="5">
        <f>R1192-V1192</f>
        <v/>
      </c>
    </row>
    <row r="1193">
      <c r="A1193" s="3" t="n">
        <v>40199</v>
      </c>
      <c r="B1193">
        <f>Prices!B1193</f>
        <v/>
      </c>
      <c r="C1193">
        <f>Prices!C1193</f>
        <v/>
      </c>
      <c r="D1193">
        <f>Prices!D1193</f>
        <v/>
      </c>
      <c r="E1193">
        <f>Prices!E1193</f>
        <v/>
      </c>
      <c r="F1193">
        <f>Prices!F1193</f>
        <v/>
      </c>
      <c r="G1193">
        <f>IF(AND(1191&gt;=16,TEXT(A1193,"yyyy-mm")&lt;&gt;TEXT(A1194,"yyyy-mm")),1,0)</f>
        <v/>
      </c>
      <c r="H1193">
        <f>IF(OR(H1192=1,G1193=1),1,0)</f>
        <v/>
      </c>
      <c r="I1193">
        <f>IF(H1192=0,1,SUMPRODUCT(J1192:N1192,B1193:F1193)+O1192*(1+0.00023125256064071564))</f>
        <v/>
      </c>
      <c r="J1193">
        <f>IF(G1193=1,0.2*R1193/B1193,J1192)</f>
        <v/>
      </c>
      <c r="K1193">
        <f>IF(G1193=1,0.2*R1193/C1193,K1192)</f>
        <v/>
      </c>
      <c r="L1193">
        <f>IF(G1193=1,0.2*R1193/D1193,L1192)</f>
        <v/>
      </c>
      <c r="M1193">
        <f>IF(G1193=1,0.2*R1193/E1193,M1192)</f>
        <v/>
      </c>
      <c r="N1193">
        <f>IF(G1193=1,0.2*R1193/F1193,N1192)</f>
        <v/>
      </c>
      <c r="O1193">
        <f>IF(G1193=1,R1193*(1-1.0),IF(H1192=0,1,O1192*(1+0.00023125256064071564)))</f>
        <v/>
      </c>
      <c r="P1193">
        <f>IF(G1193=1,IF(H1192=0,1,ABS(0.2-J1192*B1193/I1193)+ABS(0.2-K1192*C1193/I1193)+ABS(0.2-L1192*D1193/I1193)+ABS(0.2-M1192*E1193/I1193)+ABS(0.2-N1192*F1193/I1193)),0)</f>
        <v/>
      </c>
      <c r="Q1193">
        <f>P1193*0.0015</f>
        <v/>
      </c>
      <c r="R1193">
        <f>I1193*(1-Q1193)</f>
        <v/>
      </c>
      <c r="S1193">
        <f>R1193/R1192-1</f>
        <v/>
      </c>
      <c r="T1193">
        <f>MAX(T1192,R1193)</f>
        <v/>
      </c>
      <c r="U1193">
        <f>R1193/T1193-1</f>
        <v/>
      </c>
      <c r="V1193" t="n">
        <v>2.984392553474049</v>
      </c>
      <c r="W1193" s="5">
        <f>R1193-V1193</f>
        <v/>
      </c>
    </row>
    <row r="1194">
      <c r="A1194" s="3" t="n">
        <v>40200</v>
      </c>
      <c r="B1194">
        <f>Prices!B1194</f>
        <v/>
      </c>
      <c r="C1194">
        <f>Prices!C1194</f>
        <v/>
      </c>
      <c r="D1194">
        <f>Prices!D1194</f>
        <v/>
      </c>
      <c r="E1194">
        <f>Prices!E1194</f>
        <v/>
      </c>
      <c r="F1194">
        <f>Prices!F1194</f>
        <v/>
      </c>
      <c r="G1194">
        <f>IF(AND(1192&gt;=16,TEXT(A1194,"yyyy-mm")&lt;&gt;TEXT(A1195,"yyyy-mm")),1,0)</f>
        <v/>
      </c>
      <c r="H1194">
        <f>IF(OR(H1193=1,G1194=1),1,0)</f>
        <v/>
      </c>
      <c r="I1194">
        <f>IF(H1193=0,1,SUMPRODUCT(J1193:N1193,B1194:F1194)+O1193*(1+0.00023125256064071564))</f>
        <v/>
      </c>
      <c r="J1194">
        <f>IF(G1194=1,0.2*R1194/B1194,J1193)</f>
        <v/>
      </c>
      <c r="K1194">
        <f>IF(G1194=1,0.2*R1194/C1194,K1193)</f>
        <v/>
      </c>
      <c r="L1194">
        <f>IF(G1194=1,0.2*R1194/D1194,L1193)</f>
        <v/>
      </c>
      <c r="M1194">
        <f>IF(G1194=1,0.2*R1194/E1194,M1193)</f>
        <v/>
      </c>
      <c r="N1194">
        <f>IF(G1194=1,0.2*R1194/F1194,N1193)</f>
        <v/>
      </c>
      <c r="O1194">
        <f>IF(G1194=1,R1194*(1-1.0),IF(H1193=0,1,O1193*(1+0.00023125256064071564)))</f>
        <v/>
      </c>
      <c r="P1194">
        <f>IF(G1194=1,IF(H1193=0,1,ABS(0.2-J1193*B1194/I1194)+ABS(0.2-K1193*C1194/I1194)+ABS(0.2-L1193*D1194/I1194)+ABS(0.2-M1193*E1194/I1194)+ABS(0.2-N1193*F1194/I1194)),0)</f>
        <v/>
      </c>
      <c r="Q1194">
        <f>P1194*0.0015</f>
        <v/>
      </c>
      <c r="R1194">
        <f>I1194*(1-Q1194)</f>
        <v/>
      </c>
      <c r="S1194">
        <f>R1194/R1193-1</f>
        <v/>
      </c>
      <c r="T1194">
        <f>MAX(T1193,R1194)</f>
        <v/>
      </c>
      <c r="U1194">
        <f>R1194/T1194-1</f>
        <v/>
      </c>
      <c r="V1194" t="n">
        <v>2.961907906737864</v>
      </c>
      <c r="W1194" s="5">
        <f>R1194-V1194</f>
        <v/>
      </c>
    </row>
    <row r="1195">
      <c r="A1195" s="3" t="n">
        <v>40203</v>
      </c>
      <c r="B1195">
        <f>Prices!B1195</f>
        <v/>
      </c>
      <c r="C1195">
        <f>Prices!C1195</f>
        <v/>
      </c>
      <c r="D1195">
        <f>Prices!D1195</f>
        <v/>
      </c>
      <c r="E1195">
        <f>Prices!E1195</f>
        <v/>
      </c>
      <c r="F1195">
        <f>Prices!F1195</f>
        <v/>
      </c>
      <c r="G1195">
        <f>IF(AND(1193&gt;=16,TEXT(A1195,"yyyy-mm")&lt;&gt;TEXT(A1196,"yyyy-mm")),1,0)</f>
        <v/>
      </c>
      <c r="H1195">
        <f>IF(OR(H1194=1,G1195=1),1,0)</f>
        <v/>
      </c>
      <c r="I1195">
        <f>IF(H1194=0,1,SUMPRODUCT(J1194:N1194,B1195:F1195)+O1194*(1+0.00023125256064071564))</f>
        <v/>
      </c>
      <c r="J1195">
        <f>IF(G1195=1,0.2*R1195/B1195,J1194)</f>
        <v/>
      </c>
      <c r="K1195">
        <f>IF(G1195=1,0.2*R1195/C1195,K1194)</f>
        <v/>
      </c>
      <c r="L1195">
        <f>IF(G1195=1,0.2*R1195/D1195,L1194)</f>
        <v/>
      </c>
      <c r="M1195">
        <f>IF(G1195=1,0.2*R1195/E1195,M1194)</f>
        <v/>
      </c>
      <c r="N1195">
        <f>IF(G1195=1,0.2*R1195/F1195,N1194)</f>
        <v/>
      </c>
      <c r="O1195">
        <f>IF(G1195=1,R1195*(1-1.0),IF(H1194=0,1,O1194*(1+0.00023125256064071564)))</f>
        <v/>
      </c>
      <c r="P1195">
        <f>IF(G1195=1,IF(H1194=0,1,ABS(0.2-J1194*B1195/I1195)+ABS(0.2-K1194*C1195/I1195)+ABS(0.2-L1194*D1195/I1195)+ABS(0.2-M1194*E1195/I1195)+ABS(0.2-N1194*F1195/I1195)),0)</f>
        <v/>
      </c>
      <c r="Q1195">
        <f>P1195*0.0015</f>
        <v/>
      </c>
      <c r="R1195">
        <f>I1195*(1-Q1195)</f>
        <v/>
      </c>
      <c r="S1195">
        <f>R1195/R1194-1</f>
        <v/>
      </c>
      <c r="T1195">
        <f>MAX(T1194,R1195)</f>
        <v/>
      </c>
      <c r="U1195">
        <f>R1195/T1195-1</f>
        <v/>
      </c>
      <c r="V1195" t="n">
        <v>2.927049177725721</v>
      </c>
      <c r="W1195" s="5">
        <f>R1195-V1195</f>
        <v/>
      </c>
    </row>
    <row r="1196">
      <c r="A1196" s="3" t="n">
        <v>40205</v>
      </c>
      <c r="B1196">
        <f>Prices!B1196</f>
        <v/>
      </c>
      <c r="C1196">
        <f>Prices!C1196</f>
        <v/>
      </c>
      <c r="D1196">
        <f>Prices!D1196</f>
        <v/>
      </c>
      <c r="E1196">
        <f>Prices!E1196</f>
        <v/>
      </c>
      <c r="F1196">
        <f>Prices!F1196</f>
        <v/>
      </c>
      <c r="G1196">
        <f>IF(AND(1194&gt;=16,TEXT(A1196,"yyyy-mm")&lt;&gt;TEXT(A1197,"yyyy-mm")),1,0)</f>
        <v/>
      </c>
      <c r="H1196">
        <f>IF(OR(H1195=1,G1196=1),1,0)</f>
        <v/>
      </c>
      <c r="I1196">
        <f>IF(H1195=0,1,SUMPRODUCT(J1195:N1195,B1196:F1196)+O1195*(1+0.00023125256064071564))</f>
        <v/>
      </c>
      <c r="J1196">
        <f>IF(G1196=1,0.2*R1196/B1196,J1195)</f>
        <v/>
      </c>
      <c r="K1196">
        <f>IF(G1196=1,0.2*R1196/C1196,K1195)</f>
        <v/>
      </c>
      <c r="L1196">
        <f>IF(G1196=1,0.2*R1196/D1196,L1195)</f>
        <v/>
      </c>
      <c r="M1196">
        <f>IF(G1196=1,0.2*R1196/E1196,M1195)</f>
        <v/>
      </c>
      <c r="N1196">
        <f>IF(G1196=1,0.2*R1196/F1196,N1195)</f>
        <v/>
      </c>
      <c r="O1196">
        <f>IF(G1196=1,R1196*(1-1.0),IF(H1195=0,1,O1195*(1+0.00023125256064071564)))</f>
        <v/>
      </c>
      <c r="P1196">
        <f>IF(G1196=1,IF(H1195=0,1,ABS(0.2-J1195*B1196/I1196)+ABS(0.2-K1195*C1196/I1196)+ABS(0.2-L1195*D1196/I1196)+ABS(0.2-M1195*E1196/I1196)+ABS(0.2-N1195*F1196/I1196)),0)</f>
        <v/>
      </c>
      <c r="Q1196">
        <f>P1196*0.0015</f>
        <v/>
      </c>
      <c r="R1196">
        <f>I1196*(1-Q1196)</f>
        <v/>
      </c>
      <c r="S1196">
        <f>R1196/R1195-1</f>
        <v/>
      </c>
      <c r="T1196">
        <f>MAX(T1195,R1196)</f>
        <v/>
      </c>
      <c r="U1196">
        <f>R1196/T1196-1</f>
        <v/>
      </c>
      <c r="V1196" t="n">
        <v>2.812151391161928</v>
      </c>
      <c r="W1196" s="5">
        <f>R1196-V1196</f>
        <v/>
      </c>
    </row>
    <row r="1197">
      <c r="A1197" s="3" t="n">
        <v>40206</v>
      </c>
      <c r="B1197">
        <f>Prices!B1197</f>
        <v/>
      </c>
      <c r="C1197">
        <f>Prices!C1197</f>
        <v/>
      </c>
      <c r="D1197">
        <f>Prices!D1197</f>
        <v/>
      </c>
      <c r="E1197">
        <f>Prices!E1197</f>
        <v/>
      </c>
      <c r="F1197">
        <f>Prices!F1197</f>
        <v/>
      </c>
      <c r="G1197">
        <f>IF(AND(1195&gt;=16,TEXT(A1197,"yyyy-mm")&lt;&gt;TEXT(A1198,"yyyy-mm")),1,0)</f>
        <v/>
      </c>
      <c r="H1197">
        <f>IF(OR(H1196=1,G1197=1),1,0)</f>
        <v/>
      </c>
      <c r="I1197">
        <f>IF(H1196=0,1,SUMPRODUCT(J1196:N1196,B1197:F1197)+O1196*(1+0.00023125256064071564))</f>
        <v/>
      </c>
      <c r="J1197">
        <f>IF(G1197=1,0.2*R1197/B1197,J1196)</f>
        <v/>
      </c>
      <c r="K1197">
        <f>IF(G1197=1,0.2*R1197/C1197,K1196)</f>
        <v/>
      </c>
      <c r="L1197">
        <f>IF(G1197=1,0.2*R1197/D1197,L1196)</f>
        <v/>
      </c>
      <c r="M1197">
        <f>IF(G1197=1,0.2*R1197/E1197,M1196)</f>
        <v/>
      </c>
      <c r="N1197">
        <f>IF(G1197=1,0.2*R1197/F1197,N1196)</f>
        <v/>
      </c>
      <c r="O1197">
        <f>IF(G1197=1,R1197*(1-1.0),IF(H1196=0,1,O1196*(1+0.00023125256064071564)))</f>
        <v/>
      </c>
      <c r="P1197">
        <f>IF(G1197=1,IF(H1196=0,1,ABS(0.2-J1196*B1197/I1197)+ABS(0.2-K1196*C1197/I1197)+ABS(0.2-L1196*D1197/I1197)+ABS(0.2-M1196*E1197/I1197)+ABS(0.2-N1196*F1197/I1197)),0)</f>
        <v/>
      </c>
      <c r="Q1197">
        <f>P1197*0.0015</f>
        <v/>
      </c>
      <c r="R1197">
        <f>I1197*(1-Q1197)</f>
        <v/>
      </c>
      <c r="S1197">
        <f>R1197/R1196-1</f>
        <v/>
      </c>
      <c r="T1197">
        <f>MAX(T1196,R1197)</f>
        <v/>
      </c>
      <c r="U1197">
        <f>R1197/T1197-1</f>
        <v/>
      </c>
      <c r="V1197" t="n">
        <v>2.8235596131376</v>
      </c>
      <c r="W1197" s="5">
        <f>R1197-V1197</f>
        <v/>
      </c>
    </row>
    <row r="1198">
      <c r="A1198" s="3" t="n">
        <v>40207</v>
      </c>
      <c r="B1198">
        <f>Prices!B1198</f>
        <v/>
      </c>
      <c r="C1198">
        <f>Prices!C1198</f>
        <v/>
      </c>
      <c r="D1198">
        <f>Prices!D1198</f>
        <v/>
      </c>
      <c r="E1198">
        <f>Prices!E1198</f>
        <v/>
      </c>
      <c r="F1198">
        <f>Prices!F1198</f>
        <v/>
      </c>
      <c r="G1198">
        <f>IF(AND(1196&gt;=16,TEXT(A1198,"yyyy-mm")&lt;&gt;TEXT(A1199,"yyyy-mm")),1,0)</f>
        <v/>
      </c>
      <c r="H1198">
        <f>IF(OR(H1197=1,G1198=1),1,0)</f>
        <v/>
      </c>
      <c r="I1198">
        <f>IF(H1197=0,1,SUMPRODUCT(J1197:N1197,B1198:F1198)+O1197*(1+0.00023125256064071564))</f>
        <v/>
      </c>
      <c r="J1198">
        <f>IF(G1198=1,0.2*R1198/B1198,J1197)</f>
        <v/>
      </c>
      <c r="K1198">
        <f>IF(G1198=1,0.2*R1198/C1198,K1197)</f>
        <v/>
      </c>
      <c r="L1198">
        <f>IF(G1198=1,0.2*R1198/D1198,L1197)</f>
        <v/>
      </c>
      <c r="M1198">
        <f>IF(G1198=1,0.2*R1198/E1198,M1197)</f>
        <v/>
      </c>
      <c r="N1198">
        <f>IF(G1198=1,0.2*R1198/F1198,N1197)</f>
        <v/>
      </c>
      <c r="O1198">
        <f>IF(G1198=1,R1198*(1-1.0),IF(H1197=0,1,O1197*(1+0.00023125256064071564)))</f>
        <v/>
      </c>
      <c r="P1198">
        <f>IF(G1198=1,IF(H1197=0,1,ABS(0.2-J1197*B1198/I1198)+ABS(0.2-K1197*C1198/I1198)+ABS(0.2-L1197*D1198/I1198)+ABS(0.2-M1197*E1198/I1198)+ABS(0.2-N1197*F1198/I1198)),0)</f>
        <v/>
      </c>
      <c r="Q1198">
        <f>P1198*0.0015</f>
        <v/>
      </c>
      <c r="R1198">
        <f>I1198*(1-Q1198)</f>
        <v/>
      </c>
      <c r="S1198">
        <f>R1198/R1197-1</f>
        <v/>
      </c>
      <c r="T1198">
        <f>MAX(T1197,R1198)</f>
        <v/>
      </c>
      <c r="U1198">
        <f>R1198/T1198-1</f>
        <v/>
      </c>
      <c r="V1198" t="n">
        <v>2.828418552476571</v>
      </c>
      <c r="W1198" s="5">
        <f>R1198-V1198</f>
        <v/>
      </c>
    </row>
    <row r="1199">
      <c r="A1199" s="3" t="n">
        <v>40210</v>
      </c>
      <c r="B1199">
        <f>Prices!B1199</f>
        <v/>
      </c>
      <c r="C1199">
        <f>Prices!C1199</f>
        <v/>
      </c>
      <c r="D1199">
        <f>Prices!D1199</f>
        <v/>
      </c>
      <c r="E1199">
        <f>Prices!E1199</f>
        <v/>
      </c>
      <c r="F1199">
        <f>Prices!F1199</f>
        <v/>
      </c>
      <c r="G1199">
        <f>IF(AND(1197&gt;=16,TEXT(A1199,"yyyy-mm")&lt;&gt;TEXT(A1200,"yyyy-mm")),1,0)</f>
        <v/>
      </c>
      <c r="H1199">
        <f>IF(OR(H1198=1,G1199=1),1,0)</f>
        <v/>
      </c>
      <c r="I1199">
        <f>IF(H1198=0,1,SUMPRODUCT(J1198:N1198,B1199:F1199)+O1198*(1+0.00023125256064071564))</f>
        <v/>
      </c>
      <c r="J1199">
        <f>IF(G1199=1,0.2*R1199/B1199,J1198)</f>
        <v/>
      </c>
      <c r="K1199">
        <f>IF(G1199=1,0.2*R1199/C1199,K1198)</f>
        <v/>
      </c>
      <c r="L1199">
        <f>IF(G1199=1,0.2*R1199/D1199,L1198)</f>
        <v/>
      </c>
      <c r="M1199">
        <f>IF(G1199=1,0.2*R1199/E1199,M1198)</f>
        <v/>
      </c>
      <c r="N1199">
        <f>IF(G1199=1,0.2*R1199/F1199,N1198)</f>
        <v/>
      </c>
      <c r="O1199">
        <f>IF(G1199=1,R1199*(1-1.0),IF(H1198=0,1,O1198*(1+0.00023125256064071564)))</f>
        <v/>
      </c>
      <c r="P1199">
        <f>IF(G1199=1,IF(H1198=0,1,ABS(0.2-J1198*B1199/I1199)+ABS(0.2-K1198*C1199/I1199)+ABS(0.2-L1198*D1199/I1199)+ABS(0.2-M1198*E1199/I1199)+ABS(0.2-N1198*F1199/I1199)),0)</f>
        <v/>
      </c>
      <c r="Q1199">
        <f>P1199*0.0015</f>
        <v/>
      </c>
      <c r="R1199">
        <f>I1199*(1-Q1199)</f>
        <v/>
      </c>
      <c r="S1199">
        <f>R1199/R1198-1</f>
        <v/>
      </c>
      <c r="T1199">
        <f>MAX(T1198,R1199)</f>
        <v/>
      </c>
      <c r="U1199">
        <f>R1199/T1199-1</f>
        <v/>
      </c>
      <c r="V1199" t="n">
        <v>2.877381760273163</v>
      </c>
      <c r="W1199" s="5">
        <f>R1199-V1199</f>
        <v/>
      </c>
    </row>
    <row r="1200">
      <c r="A1200" s="3" t="n">
        <v>40211</v>
      </c>
      <c r="B1200">
        <f>Prices!B1200</f>
        <v/>
      </c>
      <c r="C1200">
        <f>Prices!C1200</f>
        <v/>
      </c>
      <c r="D1200">
        <f>Prices!D1200</f>
        <v/>
      </c>
      <c r="E1200">
        <f>Prices!E1200</f>
        <v/>
      </c>
      <c r="F1200">
        <f>Prices!F1200</f>
        <v/>
      </c>
      <c r="G1200">
        <f>IF(AND(1198&gt;=16,TEXT(A1200,"yyyy-mm")&lt;&gt;TEXT(A1201,"yyyy-mm")),1,0)</f>
        <v/>
      </c>
      <c r="H1200">
        <f>IF(OR(H1199=1,G1200=1),1,0)</f>
        <v/>
      </c>
      <c r="I1200">
        <f>IF(H1199=0,1,SUMPRODUCT(J1199:N1199,B1200:F1200)+O1199*(1+0.00023125256064071564))</f>
        <v/>
      </c>
      <c r="J1200">
        <f>IF(G1200=1,0.2*R1200/B1200,J1199)</f>
        <v/>
      </c>
      <c r="K1200">
        <f>IF(G1200=1,0.2*R1200/C1200,K1199)</f>
        <v/>
      </c>
      <c r="L1200">
        <f>IF(G1200=1,0.2*R1200/D1200,L1199)</f>
        <v/>
      </c>
      <c r="M1200">
        <f>IF(G1200=1,0.2*R1200/E1200,M1199)</f>
        <v/>
      </c>
      <c r="N1200">
        <f>IF(G1200=1,0.2*R1200/F1200,N1199)</f>
        <v/>
      </c>
      <c r="O1200">
        <f>IF(G1200=1,R1200*(1-1.0),IF(H1199=0,1,O1199*(1+0.00023125256064071564)))</f>
        <v/>
      </c>
      <c r="P1200">
        <f>IF(G1200=1,IF(H1199=0,1,ABS(0.2-J1199*B1200/I1200)+ABS(0.2-K1199*C1200/I1200)+ABS(0.2-L1199*D1200/I1200)+ABS(0.2-M1199*E1200/I1200)+ABS(0.2-N1199*F1200/I1200)),0)</f>
        <v/>
      </c>
      <c r="Q1200">
        <f>P1200*0.0015</f>
        <v/>
      </c>
      <c r="R1200">
        <f>I1200*(1-Q1200)</f>
        <v/>
      </c>
      <c r="S1200">
        <f>R1200/R1199-1</f>
        <v/>
      </c>
      <c r="T1200">
        <f>MAX(T1199,R1200)</f>
        <v/>
      </c>
      <c r="U1200">
        <f>R1200/T1200-1</f>
        <v/>
      </c>
      <c r="V1200" t="n">
        <v>2.850482451215626</v>
      </c>
      <c r="W1200" s="5">
        <f>R1200-V1200</f>
        <v/>
      </c>
    </row>
    <row r="1201">
      <c r="A1201" s="3" t="n">
        <v>40212</v>
      </c>
      <c r="B1201">
        <f>Prices!B1201</f>
        <v/>
      </c>
      <c r="C1201">
        <f>Prices!C1201</f>
        <v/>
      </c>
      <c r="D1201">
        <f>Prices!D1201</f>
        <v/>
      </c>
      <c r="E1201">
        <f>Prices!E1201</f>
        <v/>
      </c>
      <c r="F1201">
        <f>Prices!F1201</f>
        <v/>
      </c>
      <c r="G1201">
        <f>IF(AND(1199&gt;=16,TEXT(A1201,"yyyy-mm")&lt;&gt;TEXT(A1202,"yyyy-mm")),1,0)</f>
        <v/>
      </c>
      <c r="H1201">
        <f>IF(OR(H1200=1,G1201=1),1,0)</f>
        <v/>
      </c>
      <c r="I1201">
        <f>IF(H1200=0,1,SUMPRODUCT(J1200:N1200,B1201:F1201)+O1200*(1+0.00023125256064071564))</f>
        <v/>
      </c>
      <c r="J1201">
        <f>IF(G1201=1,0.2*R1201/B1201,J1200)</f>
        <v/>
      </c>
      <c r="K1201">
        <f>IF(G1201=1,0.2*R1201/C1201,K1200)</f>
        <v/>
      </c>
      <c r="L1201">
        <f>IF(G1201=1,0.2*R1201/D1201,L1200)</f>
        <v/>
      </c>
      <c r="M1201">
        <f>IF(G1201=1,0.2*R1201/E1201,M1200)</f>
        <v/>
      </c>
      <c r="N1201">
        <f>IF(G1201=1,0.2*R1201/F1201,N1200)</f>
        <v/>
      </c>
      <c r="O1201">
        <f>IF(G1201=1,R1201*(1-1.0),IF(H1200=0,1,O1200*(1+0.00023125256064071564)))</f>
        <v/>
      </c>
      <c r="P1201">
        <f>IF(G1201=1,IF(H1200=0,1,ABS(0.2-J1200*B1201/I1201)+ABS(0.2-K1200*C1201/I1201)+ABS(0.2-L1200*D1201/I1201)+ABS(0.2-M1200*E1201/I1201)+ABS(0.2-N1200*F1201/I1201)),0)</f>
        <v/>
      </c>
      <c r="Q1201">
        <f>P1201*0.0015</f>
        <v/>
      </c>
      <c r="R1201">
        <f>I1201*(1-Q1201)</f>
        <v/>
      </c>
      <c r="S1201">
        <f>R1201/R1200-1</f>
        <v/>
      </c>
      <c r="T1201">
        <f>MAX(T1200,R1201)</f>
        <v/>
      </c>
      <c r="U1201">
        <f>R1201/T1201-1</f>
        <v/>
      </c>
      <c r="V1201" t="n">
        <v>2.898195085794064</v>
      </c>
      <c r="W1201" s="5">
        <f>R1201-V1201</f>
        <v/>
      </c>
    </row>
    <row r="1202">
      <c r="A1202" s="3" t="n">
        <v>40213</v>
      </c>
      <c r="B1202">
        <f>Prices!B1202</f>
        <v/>
      </c>
      <c r="C1202">
        <f>Prices!C1202</f>
        <v/>
      </c>
      <c r="D1202">
        <f>Prices!D1202</f>
        <v/>
      </c>
      <c r="E1202">
        <f>Prices!E1202</f>
        <v/>
      </c>
      <c r="F1202">
        <f>Prices!F1202</f>
        <v/>
      </c>
      <c r="G1202">
        <f>IF(AND(1200&gt;=16,TEXT(A1202,"yyyy-mm")&lt;&gt;TEXT(A1203,"yyyy-mm")),1,0)</f>
        <v/>
      </c>
      <c r="H1202">
        <f>IF(OR(H1201=1,G1202=1),1,0)</f>
        <v/>
      </c>
      <c r="I1202">
        <f>IF(H1201=0,1,SUMPRODUCT(J1201:N1201,B1202:F1202)+O1201*(1+0.00023125256064071564))</f>
        <v/>
      </c>
      <c r="J1202">
        <f>IF(G1202=1,0.2*R1202/B1202,J1201)</f>
        <v/>
      </c>
      <c r="K1202">
        <f>IF(G1202=1,0.2*R1202/C1202,K1201)</f>
        <v/>
      </c>
      <c r="L1202">
        <f>IF(G1202=1,0.2*R1202/D1202,L1201)</f>
        <v/>
      </c>
      <c r="M1202">
        <f>IF(G1202=1,0.2*R1202/E1202,M1201)</f>
        <v/>
      </c>
      <c r="N1202">
        <f>IF(G1202=1,0.2*R1202/F1202,N1201)</f>
        <v/>
      </c>
      <c r="O1202">
        <f>IF(G1202=1,R1202*(1-1.0),IF(H1201=0,1,O1201*(1+0.00023125256064071564)))</f>
        <v/>
      </c>
      <c r="P1202">
        <f>IF(G1202=1,IF(H1201=0,1,ABS(0.2-J1201*B1202/I1202)+ABS(0.2-K1201*C1202/I1202)+ABS(0.2-L1201*D1202/I1202)+ABS(0.2-M1201*E1202/I1202)+ABS(0.2-N1201*F1202/I1202)),0)</f>
        <v/>
      </c>
      <c r="Q1202">
        <f>P1202*0.0015</f>
        <v/>
      </c>
      <c r="R1202">
        <f>I1202*(1-Q1202)</f>
        <v/>
      </c>
      <c r="S1202">
        <f>R1202/R1201-1</f>
        <v/>
      </c>
      <c r="T1202">
        <f>MAX(T1201,R1202)</f>
        <v/>
      </c>
      <c r="U1202">
        <f>R1202/T1202-1</f>
        <v/>
      </c>
      <c r="V1202" t="n">
        <v>2.844837160622843</v>
      </c>
      <c r="W1202" s="5">
        <f>R1202-V1202</f>
        <v/>
      </c>
    </row>
    <row r="1203">
      <c r="A1203" s="3" t="n">
        <v>40214</v>
      </c>
      <c r="B1203">
        <f>Prices!B1203</f>
        <v/>
      </c>
      <c r="C1203">
        <f>Prices!C1203</f>
        <v/>
      </c>
      <c r="D1203">
        <f>Prices!D1203</f>
        <v/>
      </c>
      <c r="E1203">
        <f>Prices!E1203</f>
        <v/>
      </c>
      <c r="F1203">
        <f>Prices!F1203</f>
        <v/>
      </c>
      <c r="G1203">
        <f>IF(AND(1201&gt;=16,TEXT(A1203,"yyyy-mm")&lt;&gt;TEXT(A1204,"yyyy-mm")),1,0)</f>
        <v/>
      </c>
      <c r="H1203">
        <f>IF(OR(H1202=1,G1203=1),1,0)</f>
        <v/>
      </c>
      <c r="I1203">
        <f>IF(H1202=0,1,SUMPRODUCT(J1202:N1202,B1203:F1203)+O1202*(1+0.00023125256064071564))</f>
        <v/>
      </c>
      <c r="J1203">
        <f>IF(G1203=1,0.2*R1203/B1203,J1202)</f>
        <v/>
      </c>
      <c r="K1203">
        <f>IF(G1203=1,0.2*R1203/C1203,K1202)</f>
        <v/>
      </c>
      <c r="L1203">
        <f>IF(G1203=1,0.2*R1203/D1203,L1202)</f>
        <v/>
      </c>
      <c r="M1203">
        <f>IF(G1203=1,0.2*R1203/E1203,M1202)</f>
        <v/>
      </c>
      <c r="N1203">
        <f>IF(G1203=1,0.2*R1203/F1203,N1202)</f>
        <v/>
      </c>
      <c r="O1203">
        <f>IF(G1203=1,R1203*(1-1.0),IF(H1202=0,1,O1202*(1+0.00023125256064071564)))</f>
        <v/>
      </c>
      <c r="P1203">
        <f>IF(G1203=1,IF(H1202=0,1,ABS(0.2-J1202*B1203/I1203)+ABS(0.2-K1202*C1203/I1203)+ABS(0.2-L1202*D1203/I1203)+ABS(0.2-M1202*E1203/I1203)+ABS(0.2-N1202*F1203/I1203)),0)</f>
        <v/>
      </c>
      <c r="Q1203">
        <f>P1203*0.0015</f>
        <v/>
      </c>
      <c r="R1203">
        <f>I1203*(1-Q1203)</f>
        <v/>
      </c>
      <c r="S1203">
        <f>R1203/R1202-1</f>
        <v/>
      </c>
      <c r="T1203">
        <f>MAX(T1202,R1203)</f>
        <v/>
      </c>
      <c r="U1203">
        <f>R1203/T1203-1</f>
        <v/>
      </c>
      <c r="V1203" t="n">
        <v>2.77991008035533</v>
      </c>
      <c r="W1203" s="5">
        <f>R1203-V1203</f>
        <v/>
      </c>
    </row>
    <row r="1204">
      <c r="A1204" s="3" t="n">
        <v>40215</v>
      </c>
      <c r="B1204">
        <f>Prices!B1204</f>
        <v/>
      </c>
      <c r="C1204">
        <f>Prices!C1204</f>
        <v/>
      </c>
      <c r="D1204">
        <f>Prices!D1204</f>
        <v/>
      </c>
      <c r="E1204">
        <f>Prices!E1204</f>
        <v/>
      </c>
      <c r="F1204">
        <f>Prices!F1204</f>
        <v/>
      </c>
      <c r="G1204">
        <f>IF(AND(1202&gt;=16,TEXT(A1204,"yyyy-mm")&lt;&gt;TEXT(A1205,"yyyy-mm")),1,0)</f>
        <v/>
      </c>
      <c r="H1204">
        <f>IF(OR(H1203=1,G1204=1),1,0)</f>
        <v/>
      </c>
      <c r="I1204">
        <f>IF(H1203=0,1,SUMPRODUCT(J1203:N1203,B1204:F1204)+O1203*(1+0.00023125256064071564))</f>
        <v/>
      </c>
      <c r="J1204">
        <f>IF(G1204=1,0.2*R1204/B1204,J1203)</f>
        <v/>
      </c>
      <c r="K1204">
        <f>IF(G1204=1,0.2*R1204/C1204,K1203)</f>
        <v/>
      </c>
      <c r="L1204">
        <f>IF(G1204=1,0.2*R1204/D1204,L1203)</f>
        <v/>
      </c>
      <c r="M1204">
        <f>IF(G1204=1,0.2*R1204/E1204,M1203)</f>
        <v/>
      </c>
      <c r="N1204">
        <f>IF(G1204=1,0.2*R1204/F1204,N1203)</f>
        <v/>
      </c>
      <c r="O1204">
        <f>IF(G1204=1,R1204*(1-1.0),IF(H1203=0,1,O1203*(1+0.00023125256064071564)))</f>
        <v/>
      </c>
      <c r="P1204">
        <f>IF(G1204=1,IF(H1203=0,1,ABS(0.2-J1203*B1204/I1204)+ABS(0.2-K1203*C1204/I1204)+ABS(0.2-L1203*D1204/I1204)+ABS(0.2-M1203*E1204/I1204)+ABS(0.2-N1203*F1204/I1204)),0)</f>
        <v/>
      </c>
      <c r="Q1204">
        <f>P1204*0.0015</f>
        <v/>
      </c>
      <c r="R1204">
        <f>I1204*(1-Q1204)</f>
        <v/>
      </c>
      <c r="S1204">
        <f>R1204/R1203-1</f>
        <v/>
      </c>
      <c r="T1204">
        <f>MAX(T1203,R1204)</f>
        <v/>
      </c>
      <c r="U1204">
        <f>R1204/T1204-1</f>
        <v/>
      </c>
      <c r="V1204" t="n">
        <v>2.813543917452819</v>
      </c>
      <c r="W1204" s="5">
        <f>R1204-V1204</f>
        <v/>
      </c>
    </row>
    <row r="1205">
      <c r="A1205" s="3" t="n">
        <v>40217</v>
      </c>
      <c r="B1205">
        <f>Prices!B1205</f>
        <v/>
      </c>
      <c r="C1205">
        <f>Prices!C1205</f>
        <v/>
      </c>
      <c r="D1205">
        <f>Prices!D1205</f>
        <v/>
      </c>
      <c r="E1205">
        <f>Prices!E1205</f>
        <v/>
      </c>
      <c r="F1205">
        <f>Prices!F1205</f>
        <v/>
      </c>
      <c r="G1205">
        <f>IF(AND(1203&gt;=16,TEXT(A1205,"yyyy-mm")&lt;&gt;TEXT(A1206,"yyyy-mm")),1,0)</f>
        <v/>
      </c>
      <c r="H1205">
        <f>IF(OR(H1204=1,G1205=1),1,0)</f>
        <v/>
      </c>
      <c r="I1205">
        <f>IF(H1204=0,1,SUMPRODUCT(J1204:N1204,B1205:F1205)+O1204*(1+0.00023125256064071564))</f>
        <v/>
      </c>
      <c r="J1205">
        <f>IF(G1205=1,0.2*R1205/B1205,J1204)</f>
        <v/>
      </c>
      <c r="K1205">
        <f>IF(G1205=1,0.2*R1205/C1205,K1204)</f>
        <v/>
      </c>
      <c r="L1205">
        <f>IF(G1205=1,0.2*R1205/D1205,L1204)</f>
        <v/>
      </c>
      <c r="M1205">
        <f>IF(G1205=1,0.2*R1205/E1205,M1204)</f>
        <v/>
      </c>
      <c r="N1205">
        <f>IF(G1205=1,0.2*R1205/F1205,N1204)</f>
        <v/>
      </c>
      <c r="O1205">
        <f>IF(G1205=1,R1205*(1-1.0),IF(H1204=0,1,O1204*(1+0.00023125256064071564)))</f>
        <v/>
      </c>
      <c r="P1205">
        <f>IF(G1205=1,IF(H1204=0,1,ABS(0.2-J1204*B1205/I1205)+ABS(0.2-K1204*C1205/I1205)+ABS(0.2-L1204*D1205/I1205)+ABS(0.2-M1204*E1205/I1205)+ABS(0.2-N1204*F1205/I1205)),0)</f>
        <v/>
      </c>
      <c r="Q1205">
        <f>P1205*0.0015</f>
        <v/>
      </c>
      <c r="R1205">
        <f>I1205*(1-Q1205)</f>
        <v/>
      </c>
      <c r="S1205">
        <f>R1205/R1204-1</f>
        <v/>
      </c>
      <c r="T1205">
        <f>MAX(T1204,R1205)</f>
        <v/>
      </c>
      <c r="U1205">
        <f>R1205/T1205-1</f>
        <v/>
      </c>
      <c r="V1205" t="n">
        <v>2.806619538536252</v>
      </c>
      <c r="W1205" s="5">
        <f>R1205-V1205</f>
        <v/>
      </c>
    </row>
    <row r="1206">
      <c r="A1206" s="3" t="n">
        <v>40218</v>
      </c>
      <c r="B1206">
        <f>Prices!B1206</f>
        <v/>
      </c>
      <c r="C1206">
        <f>Prices!C1206</f>
        <v/>
      </c>
      <c r="D1206">
        <f>Prices!D1206</f>
        <v/>
      </c>
      <c r="E1206">
        <f>Prices!E1206</f>
        <v/>
      </c>
      <c r="F1206">
        <f>Prices!F1206</f>
        <v/>
      </c>
      <c r="G1206">
        <f>IF(AND(1204&gt;=16,TEXT(A1206,"yyyy-mm")&lt;&gt;TEXT(A1207,"yyyy-mm")),1,0)</f>
        <v/>
      </c>
      <c r="H1206">
        <f>IF(OR(H1205=1,G1206=1),1,0)</f>
        <v/>
      </c>
      <c r="I1206">
        <f>IF(H1205=0,1,SUMPRODUCT(J1205:N1205,B1206:F1206)+O1205*(1+0.00023125256064071564))</f>
        <v/>
      </c>
      <c r="J1206">
        <f>IF(G1206=1,0.2*R1206/B1206,J1205)</f>
        <v/>
      </c>
      <c r="K1206">
        <f>IF(G1206=1,0.2*R1206/C1206,K1205)</f>
        <v/>
      </c>
      <c r="L1206">
        <f>IF(G1206=1,0.2*R1206/D1206,L1205)</f>
        <v/>
      </c>
      <c r="M1206">
        <f>IF(G1206=1,0.2*R1206/E1206,M1205)</f>
        <v/>
      </c>
      <c r="N1206">
        <f>IF(G1206=1,0.2*R1206/F1206,N1205)</f>
        <v/>
      </c>
      <c r="O1206">
        <f>IF(G1206=1,R1206*(1-1.0),IF(H1205=0,1,O1205*(1+0.00023125256064071564)))</f>
        <v/>
      </c>
      <c r="P1206">
        <f>IF(G1206=1,IF(H1205=0,1,ABS(0.2-J1205*B1206/I1206)+ABS(0.2-K1205*C1206/I1206)+ABS(0.2-L1205*D1206/I1206)+ABS(0.2-M1205*E1206/I1206)+ABS(0.2-N1205*F1206/I1206)),0)</f>
        <v/>
      </c>
      <c r="Q1206">
        <f>P1206*0.0015</f>
        <v/>
      </c>
      <c r="R1206">
        <f>I1206*(1-Q1206)</f>
        <v/>
      </c>
      <c r="S1206">
        <f>R1206/R1205-1</f>
        <v/>
      </c>
      <c r="T1206">
        <f>MAX(T1205,R1206)</f>
        <v/>
      </c>
      <c r="U1206">
        <f>R1206/T1206-1</f>
        <v/>
      </c>
      <c r="V1206" t="n">
        <v>2.829582086586075</v>
      </c>
      <c r="W1206" s="5">
        <f>R1206-V1206</f>
        <v/>
      </c>
    </row>
    <row r="1207">
      <c r="A1207" s="3" t="n">
        <v>40219</v>
      </c>
      <c r="B1207">
        <f>Prices!B1207</f>
        <v/>
      </c>
      <c r="C1207">
        <f>Prices!C1207</f>
        <v/>
      </c>
      <c r="D1207">
        <f>Prices!D1207</f>
        <v/>
      </c>
      <c r="E1207">
        <f>Prices!E1207</f>
        <v/>
      </c>
      <c r="F1207">
        <f>Prices!F1207</f>
        <v/>
      </c>
      <c r="G1207">
        <f>IF(AND(1205&gt;=16,TEXT(A1207,"yyyy-mm")&lt;&gt;TEXT(A1208,"yyyy-mm")),1,0)</f>
        <v/>
      </c>
      <c r="H1207">
        <f>IF(OR(H1206=1,G1207=1),1,0)</f>
        <v/>
      </c>
      <c r="I1207">
        <f>IF(H1206=0,1,SUMPRODUCT(J1206:N1206,B1207:F1207)+O1206*(1+0.00023125256064071564))</f>
        <v/>
      </c>
      <c r="J1207">
        <f>IF(G1207=1,0.2*R1207/B1207,J1206)</f>
        <v/>
      </c>
      <c r="K1207">
        <f>IF(G1207=1,0.2*R1207/C1207,K1206)</f>
        <v/>
      </c>
      <c r="L1207">
        <f>IF(G1207=1,0.2*R1207/D1207,L1206)</f>
        <v/>
      </c>
      <c r="M1207">
        <f>IF(G1207=1,0.2*R1207/E1207,M1206)</f>
        <v/>
      </c>
      <c r="N1207">
        <f>IF(G1207=1,0.2*R1207/F1207,N1206)</f>
        <v/>
      </c>
      <c r="O1207">
        <f>IF(G1207=1,R1207*(1-1.0),IF(H1206=0,1,O1206*(1+0.00023125256064071564)))</f>
        <v/>
      </c>
      <c r="P1207">
        <f>IF(G1207=1,IF(H1206=0,1,ABS(0.2-J1206*B1207/I1207)+ABS(0.2-K1206*C1207/I1207)+ABS(0.2-L1206*D1207/I1207)+ABS(0.2-M1206*E1207/I1207)+ABS(0.2-N1206*F1207/I1207)),0)</f>
        <v/>
      </c>
      <c r="Q1207">
        <f>P1207*0.0015</f>
        <v/>
      </c>
      <c r="R1207">
        <f>I1207*(1-Q1207)</f>
        <v/>
      </c>
      <c r="S1207">
        <f>R1207/R1206-1</f>
        <v/>
      </c>
      <c r="T1207">
        <f>MAX(T1206,R1207)</f>
        <v/>
      </c>
      <c r="U1207">
        <f>R1207/T1207-1</f>
        <v/>
      </c>
      <c r="V1207" t="n">
        <v>2.824353705108045</v>
      </c>
      <c r="W1207" s="5">
        <f>R1207-V1207</f>
        <v/>
      </c>
    </row>
    <row r="1208">
      <c r="A1208" s="3" t="n">
        <v>40220</v>
      </c>
      <c r="B1208">
        <f>Prices!B1208</f>
        <v/>
      </c>
      <c r="C1208">
        <f>Prices!C1208</f>
        <v/>
      </c>
      <c r="D1208">
        <f>Prices!D1208</f>
        <v/>
      </c>
      <c r="E1208">
        <f>Prices!E1208</f>
        <v/>
      </c>
      <c r="F1208">
        <f>Prices!F1208</f>
        <v/>
      </c>
      <c r="G1208">
        <f>IF(AND(1206&gt;=16,TEXT(A1208,"yyyy-mm")&lt;&gt;TEXT(A1209,"yyyy-mm")),1,0)</f>
        <v/>
      </c>
      <c r="H1208">
        <f>IF(OR(H1207=1,G1208=1),1,0)</f>
        <v/>
      </c>
      <c r="I1208">
        <f>IF(H1207=0,1,SUMPRODUCT(J1207:N1207,B1208:F1208)+O1207*(1+0.00023125256064071564))</f>
        <v/>
      </c>
      <c r="J1208">
        <f>IF(G1208=1,0.2*R1208/B1208,J1207)</f>
        <v/>
      </c>
      <c r="K1208">
        <f>IF(G1208=1,0.2*R1208/C1208,K1207)</f>
        <v/>
      </c>
      <c r="L1208">
        <f>IF(G1208=1,0.2*R1208/D1208,L1207)</f>
        <v/>
      </c>
      <c r="M1208">
        <f>IF(G1208=1,0.2*R1208/E1208,M1207)</f>
        <v/>
      </c>
      <c r="N1208">
        <f>IF(G1208=1,0.2*R1208/F1208,N1207)</f>
        <v/>
      </c>
      <c r="O1208">
        <f>IF(G1208=1,R1208*(1-1.0),IF(H1207=0,1,O1207*(1+0.00023125256064071564)))</f>
        <v/>
      </c>
      <c r="P1208">
        <f>IF(G1208=1,IF(H1207=0,1,ABS(0.2-J1207*B1208/I1208)+ABS(0.2-K1207*C1208/I1208)+ABS(0.2-L1207*D1208/I1208)+ABS(0.2-M1207*E1208/I1208)+ABS(0.2-N1207*F1208/I1208)),0)</f>
        <v/>
      </c>
      <c r="Q1208">
        <f>P1208*0.0015</f>
        <v/>
      </c>
      <c r="R1208">
        <f>I1208*(1-Q1208)</f>
        <v/>
      </c>
      <c r="S1208">
        <f>R1208/R1207-1</f>
        <v/>
      </c>
      <c r="T1208">
        <f>MAX(T1207,R1208)</f>
        <v/>
      </c>
      <c r="U1208">
        <f>R1208/T1208-1</f>
        <v/>
      </c>
      <c r="V1208" t="n">
        <v>2.858572287362748</v>
      </c>
      <c r="W1208" s="5">
        <f>R1208-V1208</f>
        <v/>
      </c>
    </row>
    <row r="1209">
      <c r="A1209" s="3" t="n">
        <v>40224</v>
      </c>
      <c r="B1209">
        <f>Prices!B1209</f>
        <v/>
      </c>
      <c r="C1209">
        <f>Prices!C1209</f>
        <v/>
      </c>
      <c r="D1209">
        <f>Prices!D1209</f>
        <v/>
      </c>
      <c r="E1209">
        <f>Prices!E1209</f>
        <v/>
      </c>
      <c r="F1209">
        <f>Prices!F1209</f>
        <v/>
      </c>
      <c r="G1209">
        <f>IF(AND(1207&gt;=16,TEXT(A1209,"yyyy-mm")&lt;&gt;TEXT(A1210,"yyyy-mm")),1,0)</f>
        <v/>
      </c>
      <c r="H1209">
        <f>IF(OR(H1208=1,G1209=1),1,0)</f>
        <v/>
      </c>
      <c r="I1209">
        <f>IF(H1208=0,1,SUMPRODUCT(J1208:N1208,B1209:F1209)+O1208*(1+0.00023125256064071564))</f>
        <v/>
      </c>
      <c r="J1209">
        <f>IF(G1209=1,0.2*R1209/B1209,J1208)</f>
        <v/>
      </c>
      <c r="K1209">
        <f>IF(G1209=1,0.2*R1209/C1209,K1208)</f>
        <v/>
      </c>
      <c r="L1209">
        <f>IF(G1209=1,0.2*R1209/D1209,L1208)</f>
        <v/>
      </c>
      <c r="M1209">
        <f>IF(G1209=1,0.2*R1209/E1209,M1208)</f>
        <v/>
      </c>
      <c r="N1209">
        <f>IF(G1209=1,0.2*R1209/F1209,N1208)</f>
        <v/>
      </c>
      <c r="O1209">
        <f>IF(G1209=1,R1209*(1-1.0),IF(H1208=0,1,O1208*(1+0.00023125256064071564)))</f>
        <v/>
      </c>
      <c r="P1209">
        <f>IF(G1209=1,IF(H1208=0,1,ABS(0.2-J1208*B1209/I1209)+ABS(0.2-K1208*C1209/I1209)+ABS(0.2-L1208*D1209/I1209)+ABS(0.2-M1208*E1209/I1209)+ABS(0.2-N1208*F1209/I1209)),0)</f>
        <v/>
      </c>
      <c r="Q1209">
        <f>P1209*0.0015</f>
        <v/>
      </c>
      <c r="R1209">
        <f>I1209*(1-Q1209)</f>
        <v/>
      </c>
      <c r="S1209">
        <f>R1209/R1208-1</f>
        <v/>
      </c>
      <c r="T1209">
        <f>MAX(T1208,R1209)</f>
        <v/>
      </c>
      <c r="U1209">
        <f>R1209/T1209-1</f>
        <v/>
      </c>
      <c r="V1209" t="n">
        <v>2.853151794337102</v>
      </c>
      <c r="W1209" s="5">
        <f>R1209-V1209</f>
        <v/>
      </c>
    </row>
    <row r="1210">
      <c r="A1210" s="3" t="n">
        <v>40225</v>
      </c>
      <c r="B1210">
        <f>Prices!B1210</f>
        <v/>
      </c>
      <c r="C1210">
        <f>Prices!C1210</f>
        <v/>
      </c>
      <c r="D1210">
        <f>Prices!D1210</f>
        <v/>
      </c>
      <c r="E1210">
        <f>Prices!E1210</f>
        <v/>
      </c>
      <c r="F1210">
        <f>Prices!F1210</f>
        <v/>
      </c>
      <c r="G1210">
        <f>IF(AND(1208&gt;=16,TEXT(A1210,"yyyy-mm")&lt;&gt;TEXT(A1211,"yyyy-mm")),1,0)</f>
        <v/>
      </c>
      <c r="H1210">
        <f>IF(OR(H1209=1,G1210=1),1,0)</f>
        <v/>
      </c>
      <c r="I1210">
        <f>IF(H1209=0,1,SUMPRODUCT(J1209:N1209,B1210:F1210)+O1209*(1+0.00023125256064071564))</f>
        <v/>
      </c>
      <c r="J1210">
        <f>IF(G1210=1,0.2*R1210/B1210,J1209)</f>
        <v/>
      </c>
      <c r="K1210">
        <f>IF(G1210=1,0.2*R1210/C1210,K1209)</f>
        <v/>
      </c>
      <c r="L1210">
        <f>IF(G1210=1,0.2*R1210/D1210,L1209)</f>
        <v/>
      </c>
      <c r="M1210">
        <f>IF(G1210=1,0.2*R1210/E1210,M1209)</f>
        <v/>
      </c>
      <c r="N1210">
        <f>IF(G1210=1,0.2*R1210/F1210,N1209)</f>
        <v/>
      </c>
      <c r="O1210">
        <f>IF(G1210=1,R1210*(1-1.0),IF(H1209=0,1,O1209*(1+0.00023125256064071564)))</f>
        <v/>
      </c>
      <c r="P1210">
        <f>IF(G1210=1,IF(H1209=0,1,ABS(0.2-J1209*B1210/I1210)+ABS(0.2-K1209*C1210/I1210)+ABS(0.2-L1209*D1210/I1210)+ABS(0.2-M1209*E1210/I1210)+ABS(0.2-N1209*F1210/I1210)),0)</f>
        <v/>
      </c>
      <c r="Q1210">
        <f>P1210*0.0015</f>
        <v/>
      </c>
      <c r="R1210">
        <f>I1210*(1-Q1210)</f>
        <v/>
      </c>
      <c r="S1210">
        <f>R1210/R1209-1</f>
        <v/>
      </c>
      <c r="T1210">
        <f>MAX(T1209,R1210)</f>
        <v/>
      </c>
      <c r="U1210">
        <f>R1210/T1210-1</f>
        <v/>
      </c>
      <c r="V1210" t="n">
        <v>2.876386215925429</v>
      </c>
      <c r="W1210" s="5">
        <f>R1210-V1210</f>
        <v/>
      </c>
    </row>
    <row r="1211">
      <c r="A1211" s="3" t="n">
        <v>40226</v>
      </c>
      <c r="B1211">
        <f>Prices!B1211</f>
        <v/>
      </c>
      <c r="C1211">
        <f>Prices!C1211</f>
        <v/>
      </c>
      <c r="D1211">
        <f>Prices!D1211</f>
        <v/>
      </c>
      <c r="E1211">
        <f>Prices!E1211</f>
        <v/>
      </c>
      <c r="F1211">
        <f>Prices!F1211</f>
        <v/>
      </c>
      <c r="G1211">
        <f>IF(AND(1209&gt;=16,TEXT(A1211,"yyyy-mm")&lt;&gt;TEXT(A1212,"yyyy-mm")),1,0)</f>
        <v/>
      </c>
      <c r="H1211">
        <f>IF(OR(H1210=1,G1211=1),1,0)</f>
        <v/>
      </c>
      <c r="I1211">
        <f>IF(H1210=0,1,SUMPRODUCT(J1210:N1210,B1211:F1211)+O1210*(1+0.00023125256064071564))</f>
        <v/>
      </c>
      <c r="J1211">
        <f>IF(G1211=1,0.2*R1211/B1211,J1210)</f>
        <v/>
      </c>
      <c r="K1211">
        <f>IF(G1211=1,0.2*R1211/C1211,K1210)</f>
        <v/>
      </c>
      <c r="L1211">
        <f>IF(G1211=1,0.2*R1211/D1211,L1210)</f>
        <v/>
      </c>
      <c r="M1211">
        <f>IF(G1211=1,0.2*R1211/E1211,M1210)</f>
        <v/>
      </c>
      <c r="N1211">
        <f>IF(G1211=1,0.2*R1211/F1211,N1210)</f>
        <v/>
      </c>
      <c r="O1211">
        <f>IF(G1211=1,R1211*(1-1.0),IF(H1210=0,1,O1210*(1+0.00023125256064071564)))</f>
        <v/>
      </c>
      <c r="P1211">
        <f>IF(G1211=1,IF(H1210=0,1,ABS(0.2-J1210*B1211/I1211)+ABS(0.2-K1210*C1211/I1211)+ABS(0.2-L1210*D1211/I1211)+ABS(0.2-M1210*E1211/I1211)+ABS(0.2-N1210*F1211/I1211)),0)</f>
        <v/>
      </c>
      <c r="Q1211">
        <f>P1211*0.0015</f>
        <v/>
      </c>
      <c r="R1211">
        <f>I1211*(1-Q1211)</f>
        <v/>
      </c>
      <c r="S1211">
        <f>R1211/R1210-1</f>
        <v/>
      </c>
      <c r="T1211">
        <f>MAX(T1210,R1211)</f>
        <v/>
      </c>
      <c r="U1211">
        <f>R1211/T1211-1</f>
        <v/>
      </c>
      <c r="V1211" t="n">
        <v>2.903116798718999</v>
      </c>
      <c r="W1211" s="5">
        <f>R1211-V1211</f>
        <v/>
      </c>
    </row>
    <row r="1212">
      <c r="A1212" s="3" t="n">
        <v>40227</v>
      </c>
      <c r="B1212">
        <f>Prices!B1212</f>
        <v/>
      </c>
      <c r="C1212">
        <f>Prices!C1212</f>
        <v/>
      </c>
      <c r="D1212">
        <f>Prices!D1212</f>
        <v/>
      </c>
      <c r="E1212">
        <f>Prices!E1212</f>
        <v/>
      </c>
      <c r="F1212">
        <f>Prices!F1212</f>
        <v/>
      </c>
      <c r="G1212">
        <f>IF(AND(1210&gt;=16,TEXT(A1212,"yyyy-mm")&lt;&gt;TEXT(A1213,"yyyy-mm")),1,0)</f>
        <v/>
      </c>
      <c r="H1212">
        <f>IF(OR(H1211=1,G1212=1),1,0)</f>
        <v/>
      </c>
      <c r="I1212">
        <f>IF(H1211=0,1,SUMPRODUCT(J1211:N1211,B1212:F1212)+O1211*(1+0.00023125256064071564))</f>
        <v/>
      </c>
      <c r="J1212">
        <f>IF(G1212=1,0.2*R1212/B1212,J1211)</f>
        <v/>
      </c>
      <c r="K1212">
        <f>IF(G1212=1,0.2*R1212/C1212,K1211)</f>
        <v/>
      </c>
      <c r="L1212">
        <f>IF(G1212=1,0.2*R1212/D1212,L1211)</f>
        <v/>
      </c>
      <c r="M1212">
        <f>IF(G1212=1,0.2*R1212/E1212,M1211)</f>
        <v/>
      </c>
      <c r="N1212">
        <f>IF(G1212=1,0.2*R1212/F1212,N1211)</f>
        <v/>
      </c>
      <c r="O1212">
        <f>IF(G1212=1,R1212*(1-1.0),IF(H1211=0,1,O1211*(1+0.00023125256064071564)))</f>
        <v/>
      </c>
      <c r="P1212">
        <f>IF(G1212=1,IF(H1211=0,1,ABS(0.2-J1211*B1212/I1212)+ABS(0.2-K1211*C1212/I1212)+ABS(0.2-L1211*D1212/I1212)+ABS(0.2-M1211*E1212/I1212)+ABS(0.2-N1211*F1212/I1212)),0)</f>
        <v/>
      </c>
      <c r="Q1212">
        <f>P1212*0.0015</f>
        <v/>
      </c>
      <c r="R1212">
        <f>I1212*(1-Q1212)</f>
        <v/>
      </c>
      <c r="S1212">
        <f>R1212/R1211-1</f>
        <v/>
      </c>
      <c r="T1212">
        <f>MAX(T1211,R1212)</f>
        <v/>
      </c>
      <c r="U1212">
        <f>R1212/T1212-1</f>
        <v/>
      </c>
      <c r="V1212" t="n">
        <v>2.890584839306111</v>
      </c>
      <c r="W1212" s="5">
        <f>R1212-V1212</f>
        <v/>
      </c>
    </row>
    <row r="1213">
      <c r="A1213" s="3" t="n">
        <v>40228</v>
      </c>
      <c r="B1213">
        <f>Prices!B1213</f>
        <v/>
      </c>
      <c r="C1213">
        <f>Prices!C1213</f>
        <v/>
      </c>
      <c r="D1213">
        <f>Prices!D1213</f>
        <v/>
      </c>
      <c r="E1213">
        <f>Prices!E1213</f>
        <v/>
      </c>
      <c r="F1213">
        <f>Prices!F1213</f>
        <v/>
      </c>
      <c r="G1213">
        <f>IF(AND(1211&gt;=16,TEXT(A1213,"yyyy-mm")&lt;&gt;TEXT(A1214,"yyyy-mm")),1,0)</f>
        <v/>
      </c>
      <c r="H1213">
        <f>IF(OR(H1212=1,G1213=1),1,0)</f>
        <v/>
      </c>
      <c r="I1213">
        <f>IF(H1212=0,1,SUMPRODUCT(J1212:N1212,B1213:F1213)+O1212*(1+0.00023125256064071564))</f>
        <v/>
      </c>
      <c r="J1213">
        <f>IF(G1213=1,0.2*R1213/B1213,J1212)</f>
        <v/>
      </c>
      <c r="K1213">
        <f>IF(G1213=1,0.2*R1213/C1213,K1212)</f>
        <v/>
      </c>
      <c r="L1213">
        <f>IF(G1213=1,0.2*R1213/D1213,L1212)</f>
        <v/>
      </c>
      <c r="M1213">
        <f>IF(G1213=1,0.2*R1213/E1213,M1212)</f>
        <v/>
      </c>
      <c r="N1213">
        <f>IF(G1213=1,0.2*R1213/F1213,N1212)</f>
        <v/>
      </c>
      <c r="O1213">
        <f>IF(G1213=1,R1213*(1-1.0),IF(H1212=0,1,O1212*(1+0.00023125256064071564)))</f>
        <v/>
      </c>
      <c r="P1213">
        <f>IF(G1213=1,IF(H1212=0,1,ABS(0.2-J1212*B1213/I1213)+ABS(0.2-K1212*C1213/I1213)+ABS(0.2-L1212*D1213/I1213)+ABS(0.2-M1212*E1213/I1213)+ABS(0.2-N1212*F1213/I1213)),0)</f>
        <v/>
      </c>
      <c r="Q1213">
        <f>P1213*0.0015</f>
        <v/>
      </c>
      <c r="R1213">
        <f>I1213*(1-Q1213)</f>
        <v/>
      </c>
      <c r="S1213">
        <f>R1213/R1212-1</f>
        <v/>
      </c>
      <c r="T1213">
        <f>MAX(T1212,R1213)</f>
        <v/>
      </c>
      <c r="U1213">
        <f>R1213/T1213-1</f>
        <v/>
      </c>
      <c r="V1213" t="n">
        <v>2.860337319881489</v>
      </c>
      <c r="W1213" s="5">
        <f>R1213-V1213</f>
        <v/>
      </c>
    </row>
    <row r="1214">
      <c r="A1214" s="3" t="n">
        <v>40231</v>
      </c>
      <c r="B1214">
        <f>Prices!B1214</f>
        <v/>
      </c>
      <c r="C1214">
        <f>Prices!C1214</f>
        <v/>
      </c>
      <c r="D1214">
        <f>Prices!D1214</f>
        <v/>
      </c>
      <c r="E1214">
        <f>Prices!E1214</f>
        <v/>
      </c>
      <c r="F1214">
        <f>Prices!F1214</f>
        <v/>
      </c>
      <c r="G1214">
        <f>IF(AND(1212&gt;=16,TEXT(A1214,"yyyy-mm")&lt;&gt;TEXT(A1215,"yyyy-mm")),1,0)</f>
        <v/>
      </c>
      <c r="H1214">
        <f>IF(OR(H1213=1,G1214=1),1,0)</f>
        <v/>
      </c>
      <c r="I1214">
        <f>IF(H1213=0,1,SUMPRODUCT(J1213:N1213,B1214:F1214)+O1213*(1+0.00023125256064071564))</f>
        <v/>
      </c>
      <c r="J1214">
        <f>IF(G1214=1,0.2*R1214/B1214,J1213)</f>
        <v/>
      </c>
      <c r="K1214">
        <f>IF(G1214=1,0.2*R1214/C1214,K1213)</f>
        <v/>
      </c>
      <c r="L1214">
        <f>IF(G1214=1,0.2*R1214/D1214,L1213)</f>
        <v/>
      </c>
      <c r="M1214">
        <f>IF(G1214=1,0.2*R1214/E1214,M1213)</f>
        <v/>
      </c>
      <c r="N1214">
        <f>IF(G1214=1,0.2*R1214/F1214,N1213)</f>
        <v/>
      </c>
      <c r="O1214">
        <f>IF(G1214=1,R1214*(1-1.0),IF(H1213=0,1,O1213*(1+0.00023125256064071564)))</f>
        <v/>
      </c>
      <c r="P1214">
        <f>IF(G1214=1,IF(H1213=0,1,ABS(0.2-J1213*B1214/I1214)+ABS(0.2-K1213*C1214/I1214)+ABS(0.2-L1213*D1214/I1214)+ABS(0.2-M1213*E1214/I1214)+ABS(0.2-N1213*F1214/I1214)),0)</f>
        <v/>
      </c>
      <c r="Q1214">
        <f>P1214*0.0015</f>
        <v/>
      </c>
      <c r="R1214">
        <f>I1214*(1-Q1214)</f>
        <v/>
      </c>
      <c r="S1214">
        <f>R1214/R1213-1</f>
        <v/>
      </c>
      <c r="T1214">
        <f>MAX(T1213,R1214)</f>
        <v/>
      </c>
      <c r="U1214">
        <f>R1214/T1214-1</f>
        <v/>
      </c>
      <c r="V1214" t="n">
        <v>2.856493416471543</v>
      </c>
      <c r="W1214" s="5">
        <f>R1214-V1214</f>
        <v/>
      </c>
    </row>
    <row r="1215">
      <c r="A1215" s="3" t="n">
        <v>40232</v>
      </c>
      <c r="B1215">
        <f>Prices!B1215</f>
        <v/>
      </c>
      <c r="C1215">
        <f>Prices!C1215</f>
        <v/>
      </c>
      <c r="D1215">
        <f>Prices!D1215</f>
        <v/>
      </c>
      <c r="E1215">
        <f>Prices!E1215</f>
        <v/>
      </c>
      <c r="F1215">
        <f>Prices!F1215</f>
        <v/>
      </c>
      <c r="G1215">
        <f>IF(AND(1213&gt;=16,TEXT(A1215,"yyyy-mm")&lt;&gt;TEXT(A1216,"yyyy-mm")),1,0)</f>
        <v/>
      </c>
      <c r="H1215">
        <f>IF(OR(H1214=1,G1215=1),1,0)</f>
        <v/>
      </c>
      <c r="I1215">
        <f>IF(H1214=0,1,SUMPRODUCT(J1214:N1214,B1215:F1215)+O1214*(1+0.00023125256064071564))</f>
        <v/>
      </c>
      <c r="J1215">
        <f>IF(G1215=1,0.2*R1215/B1215,J1214)</f>
        <v/>
      </c>
      <c r="K1215">
        <f>IF(G1215=1,0.2*R1215/C1215,K1214)</f>
        <v/>
      </c>
      <c r="L1215">
        <f>IF(G1215=1,0.2*R1215/D1215,L1214)</f>
        <v/>
      </c>
      <c r="M1215">
        <f>IF(G1215=1,0.2*R1215/E1215,M1214)</f>
        <v/>
      </c>
      <c r="N1215">
        <f>IF(G1215=1,0.2*R1215/F1215,N1214)</f>
        <v/>
      </c>
      <c r="O1215">
        <f>IF(G1215=1,R1215*(1-1.0),IF(H1214=0,1,O1214*(1+0.00023125256064071564)))</f>
        <v/>
      </c>
      <c r="P1215">
        <f>IF(G1215=1,IF(H1214=0,1,ABS(0.2-J1214*B1215/I1215)+ABS(0.2-K1214*C1215/I1215)+ABS(0.2-L1214*D1215/I1215)+ABS(0.2-M1214*E1215/I1215)+ABS(0.2-N1214*F1215/I1215)),0)</f>
        <v/>
      </c>
      <c r="Q1215">
        <f>P1215*0.0015</f>
        <v/>
      </c>
      <c r="R1215">
        <f>I1215*(1-Q1215)</f>
        <v/>
      </c>
      <c r="S1215">
        <f>R1215/R1214-1</f>
        <v/>
      </c>
      <c r="T1215">
        <f>MAX(T1214,R1215)</f>
        <v/>
      </c>
      <c r="U1215">
        <f>R1215/T1215-1</f>
        <v/>
      </c>
      <c r="V1215" t="n">
        <v>2.841386584419368</v>
      </c>
      <c r="W1215" s="5">
        <f>R1215-V1215</f>
        <v/>
      </c>
    </row>
    <row r="1216">
      <c r="A1216" s="3" t="n">
        <v>40233</v>
      </c>
      <c r="B1216">
        <f>Prices!B1216</f>
        <v/>
      </c>
      <c r="C1216">
        <f>Prices!C1216</f>
        <v/>
      </c>
      <c r="D1216">
        <f>Prices!D1216</f>
        <v/>
      </c>
      <c r="E1216">
        <f>Prices!E1216</f>
        <v/>
      </c>
      <c r="F1216">
        <f>Prices!F1216</f>
        <v/>
      </c>
      <c r="G1216">
        <f>IF(AND(1214&gt;=16,TEXT(A1216,"yyyy-mm")&lt;&gt;TEXT(A1217,"yyyy-mm")),1,0)</f>
        <v/>
      </c>
      <c r="H1216">
        <f>IF(OR(H1215=1,G1216=1),1,0)</f>
        <v/>
      </c>
      <c r="I1216">
        <f>IF(H1215=0,1,SUMPRODUCT(J1215:N1215,B1216:F1216)+O1215*(1+0.00023125256064071564))</f>
        <v/>
      </c>
      <c r="J1216">
        <f>IF(G1216=1,0.2*R1216/B1216,J1215)</f>
        <v/>
      </c>
      <c r="K1216">
        <f>IF(G1216=1,0.2*R1216/C1216,K1215)</f>
        <v/>
      </c>
      <c r="L1216">
        <f>IF(G1216=1,0.2*R1216/D1216,L1215)</f>
        <v/>
      </c>
      <c r="M1216">
        <f>IF(G1216=1,0.2*R1216/E1216,M1215)</f>
        <v/>
      </c>
      <c r="N1216">
        <f>IF(G1216=1,0.2*R1216/F1216,N1215)</f>
        <v/>
      </c>
      <c r="O1216">
        <f>IF(G1216=1,R1216*(1-1.0),IF(H1215=0,1,O1215*(1+0.00023125256064071564)))</f>
        <v/>
      </c>
      <c r="P1216">
        <f>IF(G1216=1,IF(H1215=0,1,ABS(0.2-J1215*B1216/I1216)+ABS(0.2-K1215*C1216/I1216)+ABS(0.2-L1215*D1216/I1216)+ABS(0.2-M1215*E1216/I1216)+ABS(0.2-N1215*F1216/I1216)),0)</f>
        <v/>
      </c>
      <c r="Q1216">
        <f>P1216*0.0015</f>
        <v/>
      </c>
      <c r="R1216">
        <f>I1216*(1-Q1216)</f>
        <v/>
      </c>
      <c r="S1216">
        <f>R1216/R1215-1</f>
        <v/>
      </c>
      <c r="T1216">
        <f>MAX(T1215,R1216)</f>
        <v/>
      </c>
      <c r="U1216">
        <f>R1216/T1216-1</f>
        <v/>
      </c>
      <c r="V1216" t="n">
        <v>2.826781359059533</v>
      </c>
      <c r="W1216" s="5">
        <f>R1216-V1216</f>
        <v/>
      </c>
    </row>
    <row r="1217">
      <c r="A1217" s="3" t="n">
        <v>40234</v>
      </c>
      <c r="B1217">
        <f>Prices!B1217</f>
        <v/>
      </c>
      <c r="C1217">
        <f>Prices!C1217</f>
        <v/>
      </c>
      <c r="D1217">
        <f>Prices!D1217</f>
        <v/>
      </c>
      <c r="E1217">
        <f>Prices!E1217</f>
        <v/>
      </c>
      <c r="F1217">
        <f>Prices!F1217</f>
        <v/>
      </c>
      <c r="G1217">
        <f>IF(AND(1215&gt;=16,TEXT(A1217,"yyyy-mm")&lt;&gt;TEXT(A1218,"yyyy-mm")),1,0)</f>
        <v/>
      </c>
      <c r="H1217">
        <f>IF(OR(H1216=1,G1217=1),1,0)</f>
        <v/>
      </c>
      <c r="I1217">
        <f>IF(H1216=0,1,SUMPRODUCT(J1216:N1216,B1217:F1217)+O1216*(1+0.00023125256064071564))</f>
        <v/>
      </c>
      <c r="J1217">
        <f>IF(G1217=1,0.2*R1217/B1217,J1216)</f>
        <v/>
      </c>
      <c r="K1217">
        <f>IF(G1217=1,0.2*R1217/C1217,K1216)</f>
        <v/>
      </c>
      <c r="L1217">
        <f>IF(G1217=1,0.2*R1217/D1217,L1216)</f>
        <v/>
      </c>
      <c r="M1217">
        <f>IF(G1217=1,0.2*R1217/E1217,M1216)</f>
        <v/>
      </c>
      <c r="N1217">
        <f>IF(G1217=1,0.2*R1217/F1217,N1216)</f>
        <v/>
      </c>
      <c r="O1217">
        <f>IF(G1217=1,R1217*(1-1.0),IF(H1216=0,1,O1216*(1+0.00023125256064071564)))</f>
        <v/>
      </c>
      <c r="P1217">
        <f>IF(G1217=1,IF(H1216=0,1,ABS(0.2-J1216*B1217/I1217)+ABS(0.2-K1216*C1217/I1217)+ABS(0.2-L1216*D1217/I1217)+ABS(0.2-M1216*E1217/I1217)+ABS(0.2-N1216*F1217/I1217)),0)</f>
        <v/>
      </c>
      <c r="Q1217">
        <f>P1217*0.0015</f>
        <v/>
      </c>
      <c r="R1217">
        <f>I1217*(1-Q1217)</f>
        <v/>
      </c>
      <c r="S1217">
        <f>R1217/R1216-1</f>
        <v/>
      </c>
      <c r="T1217">
        <f>MAX(T1216,R1217)</f>
        <v/>
      </c>
      <c r="U1217">
        <f>R1217/T1217-1</f>
        <v/>
      </c>
      <c r="V1217" t="n">
        <v>2.808436561399709</v>
      </c>
      <c r="W1217" s="5">
        <f>R1217-V1217</f>
        <v/>
      </c>
    </row>
    <row r="1218">
      <c r="A1218" s="3" t="n">
        <v>40235</v>
      </c>
      <c r="B1218">
        <f>Prices!B1218</f>
        <v/>
      </c>
      <c r="C1218">
        <f>Prices!C1218</f>
        <v/>
      </c>
      <c r="D1218">
        <f>Prices!D1218</f>
        <v/>
      </c>
      <c r="E1218">
        <f>Prices!E1218</f>
        <v/>
      </c>
      <c r="F1218">
        <f>Prices!F1218</f>
        <v/>
      </c>
      <c r="G1218">
        <f>IF(AND(1216&gt;=16,TEXT(A1218,"yyyy-mm")&lt;&gt;TEXT(A1219,"yyyy-mm")),1,0)</f>
        <v/>
      </c>
      <c r="H1218">
        <f>IF(OR(H1217=1,G1218=1),1,0)</f>
        <v/>
      </c>
      <c r="I1218">
        <f>IF(H1217=0,1,SUMPRODUCT(J1217:N1217,B1218:F1218)+O1217*(1+0.00023125256064071564))</f>
        <v/>
      </c>
      <c r="J1218">
        <f>IF(G1218=1,0.2*R1218/B1218,J1217)</f>
        <v/>
      </c>
      <c r="K1218">
        <f>IF(G1218=1,0.2*R1218/C1218,K1217)</f>
        <v/>
      </c>
      <c r="L1218">
        <f>IF(G1218=1,0.2*R1218/D1218,L1217)</f>
        <v/>
      </c>
      <c r="M1218">
        <f>IF(G1218=1,0.2*R1218/E1218,M1217)</f>
        <v/>
      </c>
      <c r="N1218">
        <f>IF(G1218=1,0.2*R1218/F1218,N1217)</f>
        <v/>
      </c>
      <c r="O1218">
        <f>IF(G1218=1,R1218*(1-1.0),IF(H1217=0,1,O1217*(1+0.00023125256064071564)))</f>
        <v/>
      </c>
      <c r="P1218">
        <f>IF(G1218=1,IF(H1217=0,1,ABS(0.2-J1217*B1218/I1218)+ABS(0.2-K1217*C1218/I1218)+ABS(0.2-L1217*D1218/I1218)+ABS(0.2-M1217*E1218/I1218)+ABS(0.2-N1217*F1218/I1218)),0)</f>
        <v/>
      </c>
      <c r="Q1218">
        <f>P1218*0.0015</f>
        <v/>
      </c>
      <c r="R1218">
        <f>I1218*(1-Q1218)</f>
        <v/>
      </c>
      <c r="S1218">
        <f>R1218/R1217-1</f>
        <v/>
      </c>
      <c r="T1218">
        <f>MAX(T1217,R1218)</f>
        <v/>
      </c>
      <c r="U1218">
        <f>R1218/T1218-1</f>
        <v/>
      </c>
      <c r="V1218" t="n">
        <v>2.848631343714726</v>
      </c>
      <c r="W1218" s="5">
        <f>R1218-V1218</f>
        <v/>
      </c>
    </row>
    <row r="1219">
      <c r="A1219" s="3" t="n">
        <v>40239</v>
      </c>
      <c r="B1219">
        <f>Prices!B1219</f>
        <v/>
      </c>
      <c r="C1219">
        <f>Prices!C1219</f>
        <v/>
      </c>
      <c r="D1219">
        <f>Prices!D1219</f>
        <v/>
      </c>
      <c r="E1219">
        <f>Prices!E1219</f>
        <v/>
      </c>
      <c r="F1219">
        <f>Prices!F1219</f>
        <v/>
      </c>
      <c r="G1219">
        <f>IF(AND(1217&gt;=16,TEXT(A1219,"yyyy-mm")&lt;&gt;TEXT(A1220,"yyyy-mm")),1,0)</f>
        <v/>
      </c>
      <c r="H1219">
        <f>IF(OR(H1218=1,G1219=1),1,0)</f>
        <v/>
      </c>
      <c r="I1219">
        <f>IF(H1218=0,1,SUMPRODUCT(J1218:N1218,B1219:F1219)+O1218*(1+0.00023125256064071564))</f>
        <v/>
      </c>
      <c r="J1219">
        <f>IF(G1219=1,0.2*R1219/B1219,J1218)</f>
        <v/>
      </c>
      <c r="K1219">
        <f>IF(G1219=1,0.2*R1219/C1219,K1218)</f>
        <v/>
      </c>
      <c r="L1219">
        <f>IF(G1219=1,0.2*R1219/D1219,L1218)</f>
        <v/>
      </c>
      <c r="M1219">
        <f>IF(G1219=1,0.2*R1219/E1219,M1218)</f>
        <v/>
      </c>
      <c r="N1219">
        <f>IF(G1219=1,0.2*R1219/F1219,N1218)</f>
        <v/>
      </c>
      <c r="O1219">
        <f>IF(G1219=1,R1219*(1-1.0),IF(H1218=0,1,O1218*(1+0.00023125256064071564)))</f>
        <v/>
      </c>
      <c r="P1219">
        <f>IF(G1219=1,IF(H1218=0,1,ABS(0.2-J1218*B1219/I1219)+ABS(0.2-K1218*C1219/I1219)+ABS(0.2-L1218*D1219/I1219)+ABS(0.2-M1218*E1219/I1219)+ABS(0.2-N1218*F1219/I1219)),0)</f>
        <v/>
      </c>
      <c r="Q1219">
        <f>P1219*0.0015</f>
        <v/>
      </c>
      <c r="R1219">
        <f>I1219*(1-Q1219)</f>
        <v/>
      </c>
      <c r="S1219">
        <f>R1219/R1218-1</f>
        <v/>
      </c>
      <c r="T1219">
        <f>MAX(T1218,R1219)</f>
        <v/>
      </c>
      <c r="U1219">
        <f>R1219/T1219-1</f>
        <v/>
      </c>
      <c r="V1219" t="n">
        <v>2.907893199974836</v>
      </c>
      <c r="W1219" s="5">
        <f>R1219-V1219</f>
        <v/>
      </c>
    </row>
    <row r="1220">
      <c r="A1220" s="3" t="n">
        <v>40240</v>
      </c>
      <c r="B1220">
        <f>Prices!B1220</f>
        <v/>
      </c>
      <c r="C1220">
        <f>Prices!C1220</f>
        <v/>
      </c>
      <c r="D1220">
        <f>Prices!D1220</f>
        <v/>
      </c>
      <c r="E1220">
        <f>Prices!E1220</f>
        <v/>
      </c>
      <c r="F1220">
        <f>Prices!F1220</f>
        <v/>
      </c>
      <c r="G1220">
        <f>IF(AND(1218&gt;=16,TEXT(A1220,"yyyy-mm")&lt;&gt;TEXT(A1221,"yyyy-mm")),1,0)</f>
        <v/>
      </c>
      <c r="H1220">
        <f>IF(OR(H1219=1,G1220=1),1,0)</f>
        <v/>
      </c>
      <c r="I1220">
        <f>IF(H1219=0,1,SUMPRODUCT(J1219:N1219,B1220:F1220)+O1219*(1+0.00023125256064071564))</f>
        <v/>
      </c>
      <c r="J1220">
        <f>IF(G1220=1,0.2*R1220/B1220,J1219)</f>
        <v/>
      </c>
      <c r="K1220">
        <f>IF(G1220=1,0.2*R1220/C1220,K1219)</f>
        <v/>
      </c>
      <c r="L1220">
        <f>IF(G1220=1,0.2*R1220/D1220,L1219)</f>
        <v/>
      </c>
      <c r="M1220">
        <f>IF(G1220=1,0.2*R1220/E1220,M1219)</f>
        <v/>
      </c>
      <c r="N1220">
        <f>IF(G1220=1,0.2*R1220/F1220,N1219)</f>
        <v/>
      </c>
      <c r="O1220">
        <f>IF(G1220=1,R1220*(1-1.0),IF(H1219=0,1,O1219*(1+0.00023125256064071564)))</f>
        <v/>
      </c>
      <c r="P1220">
        <f>IF(G1220=1,IF(H1219=0,1,ABS(0.2-J1219*B1220/I1220)+ABS(0.2-K1219*C1220/I1220)+ABS(0.2-L1219*D1220/I1220)+ABS(0.2-M1219*E1220/I1220)+ABS(0.2-N1219*F1220/I1220)),0)</f>
        <v/>
      </c>
      <c r="Q1220">
        <f>P1220*0.0015</f>
        <v/>
      </c>
      <c r="R1220">
        <f>I1220*(1-Q1220)</f>
        <v/>
      </c>
      <c r="S1220">
        <f>R1220/R1219-1</f>
        <v/>
      </c>
      <c r="T1220">
        <f>MAX(T1219,R1220)</f>
        <v/>
      </c>
      <c r="U1220">
        <f>R1220/T1220-1</f>
        <v/>
      </c>
      <c r="V1220" t="n">
        <v>2.947080204752916</v>
      </c>
      <c r="W1220" s="5">
        <f>R1220-V1220</f>
        <v/>
      </c>
    </row>
    <row r="1221">
      <c r="A1221" s="3" t="n">
        <v>40241</v>
      </c>
      <c r="B1221">
        <f>Prices!B1221</f>
        <v/>
      </c>
      <c r="C1221">
        <f>Prices!C1221</f>
        <v/>
      </c>
      <c r="D1221">
        <f>Prices!D1221</f>
        <v/>
      </c>
      <c r="E1221">
        <f>Prices!E1221</f>
        <v/>
      </c>
      <c r="F1221">
        <f>Prices!F1221</f>
        <v/>
      </c>
      <c r="G1221">
        <f>IF(AND(1219&gt;=16,TEXT(A1221,"yyyy-mm")&lt;&gt;TEXT(A1222,"yyyy-mm")),1,0)</f>
        <v/>
      </c>
      <c r="H1221">
        <f>IF(OR(H1220=1,G1221=1),1,0)</f>
        <v/>
      </c>
      <c r="I1221">
        <f>IF(H1220=0,1,SUMPRODUCT(J1220:N1220,B1221:F1221)+O1220*(1+0.00023125256064071564))</f>
        <v/>
      </c>
      <c r="J1221">
        <f>IF(G1221=1,0.2*R1221/B1221,J1220)</f>
        <v/>
      </c>
      <c r="K1221">
        <f>IF(G1221=1,0.2*R1221/C1221,K1220)</f>
        <v/>
      </c>
      <c r="L1221">
        <f>IF(G1221=1,0.2*R1221/D1221,L1220)</f>
        <v/>
      </c>
      <c r="M1221">
        <f>IF(G1221=1,0.2*R1221/E1221,M1220)</f>
        <v/>
      </c>
      <c r="N1221">
        <f>IF(G1221=1,0.2*R1221/F1221,N1220)</f>
        <v/>
      </c>
      <c r="O1221">
        <f>IF(G1221=1,R1221*(1-1.0),IF(H1220=0,1,O1220*(1+0.00023125256064071564)))</f>
        <v/>
      </c>
      <c r="P1221">
        <f>IF(G1221=1,IF(H1220=0,1,ABS(0.2-J1220*B1221/I1221)+ABS(0.2-K1220*C1221/I1221)+ABS(0.2-L1220*D1221/I1221)+ABS(0.2-M1220*E1221/I1221)+ABS(0.2-N1220*F1221/I1221)),0)</f>
        <v/>
      </c>
      <c r="Q1221">
        <f>P1221*0.0015</f>
        <v/>
      </c>
      <c r="R1221">
        <f>I1221*(1-Q1221)</f>
        <v/>
      </c>
      <c r="S1221">
        <f>R1221/R1220-1</f>
        <v/>
      </c>
      <c r="T1221">
        <f>MAX(T1220,R1221)</f>
        <v/>
      </c>
      <c r="U1221">
        <f>R1221/T1221-1</f>
        <v/>
      </c>
      <c r="V1221" t="n">
        <v>2.968031590604115</v>
      </c>
      <c r="W1221" s="5">
        <f>R1221-V1221</f>
        <v/>
      </c>
    </row>
    <row r="1222">
      <c r="A1222" s="3" t="n">
        <v>40242</v>
      </c>
      <c r="B1222">
        <f>Prices!B1222</f>
        <v/>
      </c>
      <c r="C1222">
        <f>Prices!C1222</f>
        <v/>
      </c>
      <c r="D1222">
        <f>Prices!D1222</f>
        <v/>
      </c>
      <c r="E1222">
        <f>Prices!E1222</f>
        <v/>
      </c>
      <c r="F1222">
        <f>Prices!F1222</f>
        <v/>
      </c>
      <c r="G1222">
        <f>IF(AND(1220&gt;=16,TEXT(A1222,"yyyy-mm")&lt;&gt;TEXT(A1223,"yyyy-mm")),1,0)</f>
        <v/>
      </c>
      <c r="H1222">
        <f>IF(OR(H1221=1,G1222=1),1,0)</f>
        <v/>
      </c>
      <c r="I1222">
        <f>IF(H1221=0,1,SUMPRODUCT(J1221:N1221,B1222:F1222)+O1221*(1+0.00023125256064071564))</f>
        <v/>
      </c>
      <c r="J1222">
        <f>IF(G1222=1,0.2*R1222/B1222,J1221)</f>
        <v/>
      </c>
      <c r="K1222">
        <f>IF(G1222=1,0.2*R1222/C1222,K1221)</f>
        <v/>
      </c>
      <c r="L1222">
        <f>IF(G1222=1,0.2*R1222/D1222,L1221)</f>
        <v/>
      </c>
      <c r="M1222">
        <f>IF(G1222=1,0.2*R1222/E1222,M1221)</f>
        <v/>
      </c>
      <c r="N1222">
        <f>IF(G1222=1,0.2*R1222/F1222,N1221)</f>
        <v/>
      </c>
      <c r="O1222">
        <f>IF(G1222=1,R1222*(1-1.0),IF(H1221=0,1,O1221*(1+0.00023125256064071564)))</f>
        <v/>
      </c>
      <c r="P1222">
        <f>IF(G1222=1,IF(H1221=0,1,ABS(0.2-J1221*B1222/I1222)+ABS(0.2-K1221*C1222/I1222)+ABS(0.2-L1221*D1222/I1222)+ABS(0.2-M1221*E1222/I1222)+ABS(0.2-N1221*F1222/I1222)),0)</f>
        <v/>
      </c>
      <c r="Q1222">
        <f>P1222*0.0015</f>
        <v/>
      </c>
      <c r="R1222">
        <f>I1222*(1-Q1222)</f>
        <v/>
      </c>
      <c r="S1222">
        <f>R1222/R1221-1</f>
        <v/>
      </c>
      <c r="T1222">
        <f>MAX(T1221,R1222)</f>
        <v/>
      </c>
      <c r="U1222">
        <f>R1222/T1222-1</f>
        <v/>
      </c>
      <c r="V1222" t="n">
        <v>2.982692327868241</v>
      </c>
      <c r="W1222" s="5">
        <f>R1222-V1222</f>
        <v/>
      </c>
    </row>
    <row r="1223">
      <c r="A1223" s="3" t="n">
        <v>40245</v>
      </c>
      <c r="B1223">
        <f>Prices!B1223</f>
        <v/>
      </c>
      <c r="C1223">
        <f>Prices!C1223</f>
        <v/>
      </c>
      <c r="D1223">
        <f>Prices!D1223</f>
        <v/>
      </c>
      <c r="E1223">
        <f>Prices!E1223</f>
        <v/>
      </c>
      <c r="F1223">
        <f>Prices!F1223</f>
        <v/>
      </c>
      <c r="G1223">
        <f>IF(AND(1221&gt;=16,TEXT(A1223,"yyyy-mm")&lt;&gt;TEXT(A1224,"yyyy-mm")),1,0)</f>
        <v/>
      </c>
      <c r="H1223">
        <f>IF(OR(H1222=1,G1223=1),1,0)</f>
        <v/>
      </c>
      <c r="I1223">
        <f>IF(H1222=0,1,SUMPRODUCT(J1222:N1222,B1223:F1223)+O1222*(1+0.00023125256064071564))</f>
        <v/>
      </c>
      <c r="J1223">
        <f>IF(G1223=1,0.2*R1223/B1223,J1222)</f>
        <v/>
      </c>
      <c r="K1223">
        <f>IF(G1223=1,0.2*R1223/C1223,K1222)</f>
        <v/>
      </c>
      <c r="L1223">
        <f>IF(G1223=1,0.2*R1223/D1223,L1222)</f>
        <v/>
      </c>
      <c r="M1223">
        <f>IF(G1223=1,0.2*R1223/E1223,M1222)</f>
        <v/>
      </c>
      <c r="N1223">
        <f>IF(G1223=1,0.2*R1223/F1223,N1222)</f>
        <v/>
      </c>
      <c r="O1223">
        <f>IF(G1223=1,R1223*(1-1.0),IF(H1222=0,1,O1222*(1+0.00023125256064071564)))</f>
        <v/>
      </c>
      <c r="P1223">
        <f>IF(G1223=1,IF(H1222=0,1,ABS(0.2-J1222*B1223/I1223)+ABS(0.2-K1222*C1223/I1223)+ABS(0.2-L1222*D1223/I1223)+ABS(0.2-M1222*E1223/I1223)+ABS(0.2-N1222*F1223/I1223)),0)</f>
        <v/>
      </c>
      <c r="Q1223">
        <f>P1223*0.0015</f>
        <v/>
      </c>
      <c r="R1223">
        <f>I1223*(1-Q1223)</f>
        <v/>
      </c>
      <c r="S1223">
        <f>R1223/R1222-1</f>
        <v/>
      </c>
      <c r="T1223">
        <f>MAX(T1222,R1223)</f>
        <v/>
      </c>
      <c r="U1223">
        <f>R1223/T1223-1</f>
        <v/>
      </c>
      <c r="V1223" t="n">
        <v>3.0094124141678</v>
      </c>
      <c r="W1223" s="5">
        <f>R1223-V1223</f>
        <v/>
      </c>
    </row>
    <row r="1224">
      <c r="A1224" s="3" t="n">
        <v>40246</v>
      </c>
      <c r="B1224">
        <f>Prices!B1224</f>
        <v/>
      </c>
      <c r="C1224">
        <f>Prices!C1224</f>
        <v/>
      </c>
      <c r="D1224">
        <f>Prices!D1224</f>
        <v/>
      </c>
      <c r="E1224">
        <f>Prices!E1224</f>
        <v/>
      </c>
      <c r="F1224">
        <f>Prices!F1224</f>
        <v/>
      </c>
      <c r="G1224">
        <f>IF(AND(1222&gt;=16,TEXT(A1224,"yyyy-mm")&lt;&gt;TEXT(A1225,"yyyy-mm")),1,0)</f>
        <v/>
      </c>
      <c r="H1224">
        <f>IF(OR(H1223=1,G1224=1),1,0)</f>
        <v/>
      </c>
      <c r="I1224">
        <f>IF(H1223=0,1,SUMPRODUCT(J1223:N1223,B1224:F1224)+O1223*(1+0.00023125256064071564))</f>
        <v/>
      </c>
      <c r="J1224">
        <f>IF(G1224=1,0.2*R1224/B1224,J1223)</f>
        <v/>
      </c>
      <c r="K1224">
        <f>IF(G1224=1,0.2*R1224/C1224,K1223)</f>
        <v/>
      </c>
      <c r="L1224">
        <f>IF(G1224=1,0.2*R1224/D1224,L1223)</f>
        <v/>
      </c>
      <c r="M1224">
        <f>IF(G1224=1,0.2*R1224/E1224,M1223)</f>
        <v/>
      </c>
      <c r="N1224">
        <f>IF(G1224=1,0.2*R1224/F1224,N1223)</f>
        <v/>
      </c>
      <c r="O1224">
        <f>IF(G1224=1,R1224*(1-1.0),IF(H1223=0,1,O1223*(1+0.00023125256064071564)))</f>
        <v/>
      </c>
      <c r="P1224">
        <f>IF(G1224=1,IF(H1223=0,1,ABS(0.2-J1223*B1224/I1224)+ABS(0.2-K1223*C1224/I1224)+ABS(0.2-L1223*D1224/I1224)+ABS(0.2-M1223*E1224/I1224)+ABS(0.2-N1223*F1224/I1224)),0)</f>
        <v/>
      </c>
      <c r="Q1224">
        <f>P1224*0.0015</f>
        <v/>
      </c>
      <c r="R1224">
        <f>I1224*(1-Q1224)</f>
        <v/>
      </c>
      <c r="S1224">
        <f>R1224/R1223-1</f>
        <v/>
      </c>
      <c r="T1224">
        <f>MAX(T1223,R1224)</f>
        <v/>
      </c>
      <c r="U1224">
        <f>R1224/T1224-1</f>
        <v/>
      </c>
      <c r="V1224" t="n">
        <v>2.992573086213399</v>
      </c>
      <c r="W1224" s="5">
        <f>R1224-V1224</f>
        <v/>
      </c>
    </row>
    <row r="1225">
      <c r="A1225" s="3" t="n">
        <v>40247</v>
      </c>
      <c r="B1225">
        <f>Prices!B1225</f>
        <v/>
      </c>
      <c r="C1225">
        <f>Prices!C1225</f>
        <v/>
      </c>
      <c r="D1225">
        <f>Prices!D1225</f>
        <v/>
      </c>
      <c r="E1225">
        <f>Prices!E1225</f>
        <v/>
      </c>
      <c r="F1225">
        <f>Prices!F1225</f>
        <v/>
      </c>
      <c r="G1225">
        <f>IF(AND(1223&gt;=16,TEXT(A1225,"yyyy-mm")&lt;&gt;TEXT(A1226,"yyyy-mm")),1,0)</f>
        <v/>
      </c>
      <c r="H1225">
        <f>IF(OR(H1224=1,G1225=1),1,0)</f>
        <v/>
      </c>
      <c r="I1225">
        <f>IF(H1224=0,1,SUMPRODUCT(J1224:N1224,B1225:F1225)+O1224*(1+0.00023125256064071564))</f>
        <v/>
      </c>
      <c r="J1225">
        <f>IF(G1225=1,0.2*R1225/B1225,J1224)</f>
        <v/>
      </c>
      <c r="K1225">
        <f>IF(G1225=1,0.2*R1225/C1225,K1224)</f>
        <v/>
      </c>
      <c r="L1225">
        <f>IF(G1225=1,0.2*R1225/D1225,L1224)</f>
        <v/>
      </c>
      <c r="M1225">
        <f>IF(G1225=1,0.2*R1225/E1225,M1224)</f>
        <v/>
      </c>
      <c r="N1225">
        <f>IF(G1225=1,0.2*R1225/F1225,N1224)</f>
        <v/>
      </c>
      <c r="O1225">
        <f>IF(G1225=1,R1225*(1-1.0),IF(H1224=0,1,O1224*(1+0.00023125256064071564)))</f>
        <v/>
      </c>
      <c r="P1225">
        <f>IF(G1225=1,IF(H1224=0,1,ABS(0.2-J1224*B1225/I1225)+ABS(0.2-K1224*C1225/I1225)+ABS(0.2-L1224*D1225/I1225)+ABS(0.2-M1224*E1225/I1225)+ABS(0.2-N1224*F1225/I1225)),0)</f>
        <v/>
      </c>
      <c r="Q1225">
        <f>P1225*0.0015</f>
        <v/>
      </c>
      <c r="R1225">
        <f>I1225*(1-Q1225)</f>
        <v/>
      </c>
      <c r="S1225">
        <f>R1225/R1224-1</f>
        <v/>
      </c>
      <c r="T1225">
        <f>MAX(T1224,R1225)</f>
        <v/>
      </c>
      <c r="U1225">
        <f>R1225/T1225-1</f>
        <v/>
      </c>
      <c r="V1225" t="n">
        <v>2.990175434448267</v>
      </c>
      <c r="W1225" s="5">
        <f>R1225-V1225</f>
        <v/>
      </c>
    </row>
    <row r="1226">
      <c r="A1226" s="3" t="n">
        <v>40248</v>
      </c>
      <c r="B1226">
        <f>Prices!B1226</f>
        <v/>
      </c>
      <c r="C1226">
        <f>Prices!C1226</f>
        <v/>
      </c>
      <c r="D1226">
        <f>Prices!D1226</f>
        <v/>
      </c>
      <c r="E1226">
        <f>Prices!E1226</f>
        <v/>
      </c>
      <c r="F1226">
        <f>Prices!F1226</f>
        <v/>
      </c>
      <c r="G1226">
        <f>IF(AND(1224&gt;=16,TEXT(A1226,"yyyy-mm")&lt;&gt;TEXT(A1227,"yyyy-mm")),1,0)</f>
        <v/>
      </c>
      <c r="H1226">
        <f>IF(OR(H1225=1,G1226=1),1,0)</f>
        <v/>
      </c>
      <c r="I1226">
        <f>IF(H1225=0,1,SUMPRODUCT(J1225:N1225,B1226:F1226)+O1225*(1+0.00023125256064071564))</f>
        <v/>
      </c>
      <c r="J1226">
        <f>IF(G1226=1,0.2*R1226/B1226,J1225)</f>
        <v/>
      </c>
      <c r="K1226">
        <f>IF(G1226=1,0.2*R1226/C1226,K1225)</f>
        <v/>
      </c>
      <c r="L1226">
        <f>IF(G1226=1,0.2*R1226/D1226,L1225)</f>
        <v/>
      </c>
      <c r="M1226">
        <f>IF(G1226=1,0.2*R1226/E1226,M1225)</f>
        <v/>
      </c>
      <c r="N1226">
        <f>IF(G1226=1,0.2*R1226/F1226,N1225)</f>
        <v/>
      </c>
      <c r="O1226">
        <f>IF(G1226=1,R1226*(1-1.0),IF(H1225=0,1,O1225*(1+0.00023125256064071564)))</f>
        <v/>
      </c>
      <c r="P1226">
        <f>IF(G1226=1,IF(H1225=0,1,ABS(0.2-J1225*B1226/I1226)+ABS(0.2-K1225*C1226/I1226)+ABS(0.2-L1225*D1226/I1226)+ABS(0.2-M1225*E1226/I1226)+ABS(0.2-N1225*F1226/I1226)),0)</f>
        <v/>
      </c>
      <c r="Q1226">
        <f>P1226*0.0015</f>
        <v/>
      </c>
      <c r="R1226">
        <f>I1226*(1-Q1226)</f>
        <v/>
      </c>
      <c r="S1226">
        <f>R1226/R1225-1</f>
        <v/>
      </c>
      <c r="T1226">
        <f>MAX(T1225,R1226)</f>
        <v/>
      </c>
      <c r="U1226">
        <f>R1226/T1226-1</f>
        <v/>
      </c>
      <c r="V1226" t="n">
        <v>2.983790420489493</v>
      </c>
      <c r="W1226" s="5">
        <f>R1226-V1226</f>
        <v/>
      </c>
    </row>
    <row r="1227">
      <c r="A1227" s="3" t="n">
        <v>40249</v>
      </c>
      <c r="B1227">
        <f>Prices!B1227</f>
        <v/>
      </c>
      <c r="C1227">
        <f>Prices!C1227</f>
        <v/>
      </c>
      <c r="D1227">
        <f>Prices!D1227</f>
        <v/>
      </c>
      <c r="E1227">
        <f>Prices!E1227</f>
        <v/>
      </c>
      <c r="F1227">
        <f>Prices!F1227</f>
        <v/>
      </c>
      <c r="G1227">
        <f>IF(AND(1225&gt;=16,TEXT(A1227,"yyyy-mm")&lt;&gt;TEXT(A1228,"yyyy-mm")),1,0)</f>
        <v/>
      </c>
      <c r="H1227">
        <f>IF(OR(H1226=1,G1227=1),1,0)</f>
        <v/>
      </c>
      <c r="I1227">
        <f>IF(H1226=0,1,SUMPRODUCT(J1226:N1226,B1227:F1227)+O1226*(1+0.00023125256064071564))</f>
        <v/>
      </c>
      <c r="J1227">
        <f>IF(G1227=1,0.2*R1227/B1227,J1226)</f>
        <v/>
      </c>
      <c r="K1227">
        <f>IF(G1227=1,0.2*R1227/C1227,K1226)</f>
        <v/>
      </c>
      <c r="L1227">
        <f>IF(G1227=1,0.2*R1227/D1227,L1226)</f>
        <v/>
      </c>
      <c r="M1227">
        <f>IF(G1227=1,0.2*R1227/E1227,M1226)</f>
        <v/>
      </c>
      <c r="N1227">
        <f>IF(G1227=1,0.2*R1227/F1227,N1226)</f>
        <v/>
      </c>
      <c r="O1227">
        <f>IF(G1227=1,R1227*(1-1.0),IF(H1226=0,1,O1226*(1+0.00023125256064071564)))</f>
        <v/>
      </c>
      <c r="P1227">
        <f>IF(G1227=1,IF(H1226=0,1,ABS(0.2-J1226*B1227/I1227)+ABS(0.2-K1226*C1227/I1227)+ABS(0.2-L1226*D1227/I1227)+ABS(0.2-M1226*E1227/I1227)+ABS(0.2-N1226*F1227/I1227)),0)</f>
        <v/>
      </c>
      <c r="Q1227">
        <f>P1227*0.0015</f>
        <v/>
      </c>
      <c r="R1227">
        <f>I1227*(1-Q1227)</f>
        <v/>
      </c>
      <c r="S1227">
        <f>R1227/R1226-1</f>
        <v/>
      </c>
      <c r="T1227">
        <f>MAX(T1226,R1227)</f>
        <v/>
      </c>
      <c r="U1227">
        <f>R1227/T1227-1</f>
        <v/>
      </c>
      <c r="V1227" t="n">
        <v>2.986217581829719</v>
      </c>
      <c r="W1227" s="5">
        <f>R1227-V1227</f>
        <v/>
      </c>
    </row>
    <row r="1228">
      <c r="A1228" s="3" t="n">
        <v>40252</v>
      </c>
      <c r="B1228">
        <f>Prices!B1228</f>
        <v/>
      </c>
      <c r="C1228">
        <f>Prices!C1228</f>
        <v/>
      </c>
      <c r="D1228">
        <f>Prices!D1228</f>
        <v/>
      </c>
      <c r="E1228">
        <f>Prices!E1228</f>
        <v/>
      </c>
      <c r="F1228">
        <f>Prices!F1228</f>
        <v/>
      </c>
      <c r="G1228">
        <f>IF(AND(1226&gt;=16,TEXT(A1228,"yyyy-mm")&lt;&gt;TEXT(A1229,"yyyy-mm")),1,0)</f>
        <v/>
      </c>
      <c r="H1228">
        <f>IF(OR(H1227=1,G1228=1),1,0)</f>
        <v/>
      </c>
      <c r="I1228">
        <f>IF(H1227=0,1,SUMPRODUCT(J1227:N1227,B1228:F1228)+O1227*(1+0.00023125256064071564))</f>
        <v/>
      </c>
      <c r="J1228">
        <f>IF(G1228=1,0.2*R1228/B1228,J1227)</f>
        <v/>
      </c>
      <c r="K1228">
        <f>IF(G1228=1,0.2*R1228/C1228,K1227)</f>
        <v/>
      </c>
      <c r="L1228">
        <f>IF(G1228=1,0.2*R1228/D1228,L1227)</f>
        <v/>
      </c>
      <c r="M1228">
        <f>IF(G1228=1,0.2*R1228/E1228,M1227)</f>
        <v/>
      </c>
      <c r="N1228">
        <f>IF(G1228=1,0.2*R1228/F1228,N1227)</f>
        <v/>
      </c>
      <c r="O1228">
        <f>IF(G1228=1,R1228*(1-1.0),IF(H1227=0,1,O1227*(1+0.00023125256064071564)))</f>
        <v/>
      </c>
      <c r="P1228">
        <f>IF(G1228=1,IF(H1227=0,1,ABS(0.2-J1227*B1228/I1228)+ABS(0.2-K1227*C1228/I1228)+ABS(0.2-L1227*D1228/I1228)+ABS(0.2-M1227*E1228/I1228)+ABS(0.2-N1227*F1228/I1228)),0)</f>
        <v/>
      </c>
      <c r="Q1228">
        <f>P1228*0.0015</f>
        <v/>
      </c>
      <c r="R1228">
        <f>I1228*(1-Q1228)</f>
        <v/>
      </c>
      <c r="S1228">
        <f>R1228/R1227-1</f>
        <v/>
      </c>
      <c r="T1228">
        <f>MAX(T1227,R1228)</f>
        <v/>
      </c>
      <c r="U1228">
        <f>R1228/T1228-1</f>
        <v/>
      </c>
      <c r="V1228" t="n">
        <v>2.976264656675129</v>
      </c>
      <c r="W1228" s="5">
        <f>R1228-V1228</f>
        <v/>
      </c>
    </row>
    <row r="1229">
      <c r="A1229" s="3" t="n">
        <v>40253</v>
      </c>
      <c r="B1229">
        <f>Prices!B1229</f>
        <v/>
      </c>
      <c r="C1229">
        <f>Prices!C1229</f>
        <v/>
      </c>
      <c r="D1229">
        <f>Prices!D1229</f>
        <v/>
      </c>
      <c r="E1229">
        <f>Prices!E1229</f>
        <v/>
      </c>
      <c r="F1229">
        <f>Prices!F1229</f>
        <v/>
      </c>
      <c r="G1229">
        <f>IF(AND(1227&gt;=16,TEXT(A1229,"yyyy-mm")&lt;&gt;TEXT(A1230,"yyyy-mm")),1,0)</f>
        <v/>
      </c>
      <c r="H1229">
        <f>IF(OR(H1228=1,G1229=1),1,0)</f>
        <v/>
      </c>
      <c r="I1229">
        <f>IF(H1228=0,1,SUMPRODUCT(J1228:N1228,B1229:F1229)+O1228*(1+0.00023125256064071564))</f>
        <v/>
      </c>
      <c r="J1229">
        <f>IF(G1229=1,0.2*R1229/B1229,J1228)</f>
        <v/>
      </c>
      <c r="K1229">
        <f>IF(G1229=1,0.2*R1229/C1229,K1228)</f>
        <v/>
      </c>
      <c r="L1229">
        <f>IF(G1229=1,0.2*R1229/D1229,L1228)</f>
        <v/>
      </c>
      <c r="M1229">
        <f>IF(G1229=1,0.2*R1229/E1229,M1228)</f>
        <v/>
      </c>
      <c r="N1229">
        <f>IF(G1229=1,0.2*R1229/F1229,N1228)</f>
        <v/>
      </c>
      <c r="O1229">
        <f>IF(G1229=1,R1229*(1-1.0),IF(H1228=0,1,O1228*(1+0.00023125256064071564)))</f>
        <v/>
      </c>
      <c r="P1229">
        <f>IF(G1229=1,IF(H1228=0,1,ABS(0.2-J1228*B1229/I1229)+ABS(0.2-K1228*C1229/I1229)+ABS(0.2-L1228*D1229/I1229)+ABS(0.2-M1228*E1229/I1229)+ABS(0.2-N1228*F1229/I1229)),0)</f>
        <v/>
      </c>
      <c r="Q1229">
        <f>P1229*0.0015</f>
        <v/>
      </c>
      <c r="R1229">
        <f>I1229*(1-Q1229)</f>
        <v/>
      </c>
      <c r="S1229">
        <f>R1229/R1228-1</f>
        <v/>
      </c>
      <c r="T1229">
        <f>MAX(T1228,R1229)</f>
        <v/>
      </c>
      <c r="U1229">
        <f>R1229/T1229-1</f>
        <v/>
      </c>
      <c r="V1229" t="n">
        <v>3.005616104188674</v>
      </c>
      <c r="W1229" s="5">
        <f>R1229-V1229</f>
        <v/>
      </c>
    </row>
    <row r="1230">
      <c r="A1230" s="3" t="n">
        <v>40254</v>
      </c>
      <c r="B1230">
        <f>Prices!B1230</f>
        <v/>
      </c>
      <c r="C1230">
        <f>Prices!C1230</f>
        <v/>
      </c>
      <c r="D1230">
        <f>Prices!D1230</f>
        <v/>
      </c>
      <c r="E1230">
        <f>Prices!E1230</f>
        <v/>
      </c>
      <c r="F1230">
        <f>Prices!F1230</f>
        <v/>
      </c>
      <c r="G1230">
        <f>IF(AND(1228&gt;=16,TEXT(A1230,"yyyy-mm")&lt;&gt;TEXT(A1231,"yyyy-mm")),1,0)</f>
        <v/>
      </c>
      <c r="H1230">
        <f>IF(OR(H1229=1,G1230=1),1,0)</f>
        <v/>
      </c>
      <c r="I1230">
        <f>IF(H1229=0,1,SUMPRODUCT(J1229:N1229,B1230:F1230)+O1229*(1+0.00023125256064071564))</f>
        <v/>
      </c>
      <c r="J1230">
        <f>IF(G1230=1,0.2*R1230/B1230,J1229)</f>
        <v/>
      </c>
      <c r="K1230">
        <f>IF(G1230=1,0.2*R1230/C1230,K1229)</f>
        <v/>
      </c>
      <c r="L1230">
        <f>IF(G1230=1,0.2*R1230/D1230,L1229)</f>
        <v/>
      </c>
      <c r="M1230">
        <f>IF(G1230=1,0.2*R1230/E1230,M1229)</f>
        <v/>
      </c>
      <c r="N1230">
        <f>IF(G1230=1,0.2*R1230/F1230,N1229)</f>
        <v/>
      </c>
      <c r="O1230">
        <f>IF(G1230=1,R1230*(1-1.0),IF(H1229=0,1,O1229*(1+0.00023125256064071564)))</f>
        <v/>
      </c>
      <c r="P1230">
        <f>IF(G1230=1,IF(H1229=0,1,ABS(0.2-J1229*B1230/I1230)+ABS(0.2-K1229*C1230/I1230)+ABS(0.2-L1229*D1230/I1230)+ABS(0.2-M1229*E1230/I1230)+ABS(0.2-N1229*F1230/I1230)),0)</f>
        <v/>
      </c>
      <c r="Q1230">
        <f>P1230*0.0015</f>
        <v/>
      </c>
      <c r="R1230">
        <f>I1230*(1-Q1230)</f>
        <v/>
      </c>
      <c r="S1230">
        <f>R1230/R1229-1</f>
        <v/>
      </c>
      <c r="T1230">
        <f>MAX(T1229,R1230)</f>
        <v/>
      </c>
      <c r="U1230">
        <f>R1230/T1230-1</f>
        <v/>
      </c>
      <c r="V1230" t="n">
        <v>3.01829599114944</v>
      </c>
      <c r="W1230" s="5">
        <f>R1230-V1230</f>
        <v/>
      </c>
    </row>
    <row r="1231">
      <c r="A1231" s="3" t="n">
        <v>40255</v>
      </c>
      <c r="B1231">
        <f>Prices!B1231</f>
        <v/>
      </c>
      <c r="C1231">
        <f>Prices!C1231</f>
        <v/>
      </c>
      <c r="D1231">
        <f>Prices!D1231</f>
        <v/>
      </c>
      <c r="E1231">
        <f>Prices!E1231</f>
        <v/>
      </c>
      <c r="F1231">
        <f>Prices!F1231</f>
        <v/>
      </c>
      <c r="G1231">
        <f>IF(AND(1229&gt;=16,TEXT(A1231,"yyyy-mm")&lt;&gt;TEXT(A1232,"yyyy-mm")),1,0)</f>
        <v/>
      </c>
      <c r="H1231">
        <f>IF(OR(H1230=1,G1231=1),1,0)</f>
        <v/>
      </c>
      <c r="I1231">
        <f>IF(H1230=0,1,SUMPRODUCT(J1230:N1230,B1231:F1231)+O1230*(1+0.00023125256064071564))</f>
        <v/>
      </c>
      <c r="J1231">
        <f>IF(G1231=1,0.2*R1231/B1231,J1230)</f>
        <v/>
      </c>
      <c r="K1231">
        <f>IF(G1231=1,0.2*R1231/C1231,K1230)</f>
        <v/>
      </c>
      <c r="L1231">
        <f>IF(G1231=1,0.2*R1231/D1231,L1230)</f>
        <v/>
      </c>
      <c r="M1231">
        <f>IF(G1231=1,0.2*R1231/E1231,M1230)</f>
        <v/>
      </c>
      <c r="N1231">
        <f>IF(G1231=1,0.2*R1231/F1231,N1230)</f>
        <v/>
      </c>
      <c r="O1231">
        <f>IF(G1231=1,R1231*(1-1.0),IF(H1230=0,1,O1230*(1+0.00023125256064071564)))</f>
        <v/>
      </c>
      <c r="P1231">
        <f>IF(G1231=1,IF(H1230=0,1,ABS(0.2-J1230*B1231/I1231)+ABS(0.2-K1230*C1231/I1231)+ABS(0.2-L1230*D1231/I1231)+ABS(0.2-M1230*E1231/I1231)+ABS(0.2-N1230*F1231/I1231)),0)</f>
        <v/>
      </c>
      <c r="Q1231">
        <f>P1231*0.0015</f>
        <v/>
      </c>
      <c r="R1231">
        <f>I1231*(1-Q1231)</f>
        <v/>
      </c>
      <c r="S1231">
        <f>R1231/R1230-1</f>
        <v/>
      </c>
      <c r="T1231">
        <f>MAX(T1230,R1231)</f>
        <v/>
      </c>
      <c r="U1231">
        <f>R1231/T1231-1</f>
        <v/>
      </c>
      <c r="V1231" t="n">
        <v>3.020976649207665</v>
      </c>
      <c r="W1231" s="5">
        <f>R1231-V1231</f>
        <v/>
      </c>
    </row>
    <row r="1232">
      <c r="A1232" s="3" t="n">
        <v>40256</v>
      </c>
      <c r="B1232">
        <f>Prices!B1232</f>
        <v/>
      </c>
      <c r="C1232">
        <f>Prices!C1232</f>
        <v/>
      </c>
      <c r="D1232">
        <f>Prices!D1232</f>
        <v/>
      </c>
      <c r="E1232">
        <f>Prices!E1232</f>
        <v/>
      </c>
      <c r="F1232">
        <f>Prices!F1232</f>
        <v/>
      </c>
      <c r="G1232">
        <f>IF(AND(1230&gt;=16,TEXT(A1232,"yyyy-mm")&lt;&gt;TEXT(A1233,"yyyy-mm")),1,0)</f>
        <v/>
      </c>
      <c r="H1232">
        <f>IF(OR(H1231=1,G1232=1),1,0)</f>
        <v/>
      </c>
      <c r="I1232">
        <f>IF(H1231=0,1,SUMPRODUCT(J1231:N1231,B1232:F1232)+O1231*(1+0.00023125256064071564))</f>
        <v/>
      </c>
      <c r="J1232">
        <f>IF(G1232=1,0.2*R1232/B1232,J1231)</f>
        <v/>
      </c>
      <c r="K1232">
        <f>IF(G1232=1,0.2*R1232/C1232,K1231)</f>
        <v/>
      </c>
      <c r="L1232">
        <f>IF(G1232=1,0.2*R1232/D1232,L1231)</f>
        <v/>
      </c>
      <c r="M1232">
        <f>IF(G1232=1,0.2*R1232/E1232,M1231)</f>
        <v/>
      </c>
      <c r="N1232">
        <f>IF(G1232=1,0.2*R1232/F1232,N1231)</f>
        <v/>
      </c>
      <c r="O1232">
        <f>IF(G1232=1,R1232*(1-1.0),IF(H1231=0,1,O1231*(1+0.00023125256064071564)))</f>
        <v/>
      </c>
      <c r="P1232">
        <f>IF(G1232=1,IF(H1231=0,1,ABS(0.2-J1231*B1232/I1232)+ABS(0.2-K1231*C1232/I1232)+ABS(0.2-L1231*D1232/I1232)+ABS(0.2-M1231*E1232/I1232)+ABS(0.2-N1231*F1232/I1232)),0)</f>
        <v/>
      </c>
      <c r="Q1232">
        <f>P1232*0.0015</f>
        <v/>
      </c>
      <c r="R1232">
        <f>I1232*(1-Q1232)</f>
        <v/>
      </c>
      <c r="S1232">
        <f>R1232/R1231-1</f>
        <v/>
      </c>
      <c r="T1232">
        <f>MAX(T1231,R1232)</f>
        <v/>
      </c>
      <c r="U1232">
        <f>R1232/T1232-1</f>
        <v/>
      </c>
      <c r="V1232" t="n">
        <v>3.028620536188493</v>
      </c>
      <c r="W1232" s="5">
        <f>R1232-V1232</f>
        <v/>
      </c>
    </row>
    <row r="1233">
      <c r="A1233" s="3" t="n">
        <v>40259</v>
      </c>
      <c r="B1233">
        <f>Prices!B1233</f>
        <v/>
      </c>
      <c r="C1233">
        <f>Prices!C1233</f>
        <v/>
      </c>
      <c r="D1233">
        <f>Prices!D1233</f>
        <v/>
      </c>
      <c r="E1233">
        <f>Prices!E1233</f>
        <v/>
      </c>
      <c r="F1233">
        <f>Prices!F1233</f>
        <v/>
      </c>
      <c r="G1233">
        <f>IF(AND(1231&gt;=16,TEXT(A1233,"yyyy-mm")&lt;&gt;TEXT(A1234,"yyyy-mm")),1,0)</f>
        <v/>
      </c>
      <c r="H1233">
        <f>IF(OR(H1232=1,G1233=1),1,0)</f>
        <v/>
      </c>
      <c r="I1233">
        <f>IF(H1232=0,1,SUMPRODUCT(J1232:N1232,B1233:F1233)+O1232*(1+0.00023125256064071564))</f>
        <v/>
      </c>
      <c r="J1233">
        <f>IF(G1233=1,0.2*R1233/B1233,J1232)</f>
        <v/>
      </c>
      <c r="K1233">
        <f>IF(G1233=1,0.2*R1233/C1233,K1232)</f>
        <v/>
      </c>
      <c r="L1233">
        <f>IF(G1233=1,0.2*R1233/D1233,L1232)</f>
        <v/>
      </c>
      <c r="M1233">
        <f>IF(G1233=1,0.2*R1233/E1233,M1232)</f>
        <v/>
      </c>
      <c r="N1233">
        <f>IF(G1233=1,0.2*R1233/F1233,N1232)</f>
        <v/>
      </c>
      <c r="O1233">
        <f>IF(G1233=1,R1233*(1-1.0),IF(H1232=0,1,O1232*(1+0.00023125256064071564)))</f>
        <v/>
      </c>
      <c r="P1233">
        <f>IF(G1233=1,IF(H1232=0,1,ABS(0.2-J1232*B1233/I1233)+ABS(0.2-K1232*C1233/I1233)+ABS(0.2-L1232*D1233/I1233)+ABS(0.2-M1232*E1233/I1233)+ABS(0.2-N1232*F1233/I1233)),0)</f>
        <v/>
      </c>
      <c r="Q1233">
        <f>P1233*0.0015</f>
        <v/>
      </c>
      <c r="R1233">
        <f>I1233*(1-Q1233)</f>
        <v/>
      </c>
      <c r="S1233">
        <f>R1233/R1232-1</f>
        <v/>
      </c>
      <c r="T1233">
        <f>MAX(T1232,R1233)</f>
        <v/>
      </c>
      <c r="U1233">
        <f>R1233/T1233-1</f>
        <v/>
      </c>
      <c r="V1233" t="n">
        <v>3.002987702258329</v>
      </c>
      <c r="W1233" s="5">
        <f>R1233-V1233</f>
        <v/>
      </c>
    </row>
    <row r="1234">
      <c r="A1234" s="3" t="n">
        <v>40260</v>
      </c>
      <c r="B1234">
        <f>Prices!B1234</f>
        <v/>
      </c>
      <c r="C1234">
        <f>Prices!C1234</f>
        <v/>
      </c>
      <c r="D1234">
        <f>Prices!D1234</f>
        <v/>
      </c>
      <c r="E1234">
        <f>Prices!E1234</f>
        <v/>
      </c>
      <c r="F1234">
        <f>Prices!F1234</f>
        <v/>
      </c>
      <c r="G1234">
        <f>IF(AND(1232&gt;=16,TEXT(A1234,"yyyy-mm")&lt;&gt;TEXT(A1235,"yyyy-mm")),1,0)</f>
        <v/>
      </c>
      <c r="H1234">
        <f>IF(OR(H1233=1,G1234=1),1,0)</f>
        <v/>
      </c>
      <c r="I1234">
        <f>IF(H1233=0,1,SUMPRODUCT(J1233:N1233,B1234:F1234)+O1233*(1+0.00023125256064071564))</f>
        <v/>
      </c>
      <c r="J1234">
        <f>IF(G1234=1,0.2*R1234/B1234,J1233)</f>
        <v/>
      </c>
      <c r="K1234">
        <f>IF(G1234=1,0.2*R1234/C1234,K1233)</f>
        <v/>
      </c>
      <c r="L1234">
        <f>IF(G1234=1,0.2*R1234/D1234,L1233)</f>
        <v/>
      </c>
      <c r="M1234">
        <f>IF(G1234=1,0.2*R1234/E1234,M1233)</f>
        <v/>
      </c>
      <c r="N1234">
        <f>IF(G1234=1,0.2*R1234/F1234,N1233)</f>
        <v/>
      </c>
      <c r="O1234">
        <f>IF(G1234=1,R1234*(1-1.0),IF(H1233=0,1,O1233*(1+0.00023125256064071564)))</f>
        <v/>
      </c>
      <c r="P1234">
        <f>IF(G1234=1,IF(H1233=0,1,ABS(0.2-J1233*B1234/I1234)+ABS(0.2-K1233*C1234/I1234)+ABS(0.2-L1233*D1234/I1234)+ABS(0.2-M1233*E1234/I1234)+ABS(0.2-N1233*F1234/I1234)),0)</f>
        <v/>
      </c>
      <c r="Q1234">
        <f>P1234*0.0015</f>
        <v/>
      </c>
      <c r="R1234">
        <f>I1234*(1-Q1234)</f>
        <v/>
      </c>
      <c r="S1234">
        <f>R1234/R1233-1</f>
        <v/>
      </c>
      <c r="T1234">
        <f>MAX(T1233,R1234)</f>
        <v/>
      </c>
      <c r="U1234">
        <f>R1234/T1234-1</f>
        <v/>
      </c>
      <c r="V1234" t="n">
        <v>3.008249589405846</v>
      </c>
      <c r="W1234" s="5">
        <f>R1234-V1234</f>
        <v/>
      </c>
    </row>
    <row r="1235">
      <c r="A1235" s="3" t="n">
        <v>40262</v>
      </c>
      <c r="B1235">
        <f>Prices!B1235</f>
        <v/>
      </c>
      <c r="C1235">
        <f>Prices!C1235</f>
        <v/>
      </c>
      <c r="D1235">
        <f>Prices!D1235</f>
        <v/>
      </c>
      <c r="E1235">
        <f>Prices!E1235</f>
        <v/>
      </c>
      <c r="F1235">
        <f>Prices!F1235</f>
        <v/>
      </c>
      <c r="G1235">
        <f>IF(AND(1233&gt;=16,TEXT(A1235,"yyyy-mm")&lt;&gt;TEXT(A1236,"yyyy-mm")),1,0)</f>
        <v/>
      </c>
      <c r="H1235">
        <f>IF(OR(H1234=1,G1235=1),1,0)</f>
        <v/>
      </c>
      <c r="I1235">
        <f>IF(H1234=0,1,SUMPRODUCT(J1234:N1234,B1235:F1235)+O1234*(1+0.00023125256064071564))</f>
        <v/>
      </c>
      <c r="J1235">
        <f>IF(G1235=1,0.2*R1235/B1235,J1234)</f>
        <v/>
      </c>
      <c r="K1235">
        <f>IF(G1235=1,0.2*R1235/C1235,K1234)</f>
        <v/>
      </c>
      <c r="L1235">
        <f>IF(G1235=1,0.2*R1235/D1235,L1234)</f>
        <v/>
      </c>
      <c r="M1235">
        <f>IF(G1235=1,0.2*R1235/E1235,M1234)</f>
        <v/>
      </c>
      <c r="N1235">
        <f>IF(G1235=1,0.2*R1235/F1235,N1234)</f>
        <v/>
      </c>
      <c r="O1235">
        <f>IF(G1235=1,R1235*(1-1.0),IF(H1234=0,1,O1234*(1+0.00023125256064071564)))</f>
        <v/>
      </c>
      <c r="P1235">
        <f>IF(G1235=1,IF(H1234=0,1,ABS(0.2-J1234*B1235/I1235)+ABS(0.2-K1234*C1235/I1235)+ABS(0.2-L1234*D1235/I1235)+ABS(0.2-M1234*E1235/I1235)+ABS(0.2-N1234*F1235/I1235)),0)</f>
        <v/>
      </c>
      <c r="Q1235">
        <f>P1235*0.0015</f>
        <v/>
      </c>
      <c r="R1235">
        <f>I1235*(1-Q1235)</f>
        <v/>
      </c>
      <c r="S1235">
        <f>R1235/R1234-1</f>
        <v/>
      </c>
      <c r="T1235">
        <f>MAX(T1234,R1235)</f>
        <v/>
      </c>
      <c r="U1235">
        <f>R1235/T1235-1</f>
        <v/>
      </c>
      <c r="V1235" t="n">
        <v>3.021234034088746</v>
      </c>
      <c r="W1235" s="5">
        <f>R1235-V1235</f>
        <v/>
      </c>
    </row>
    <row r="1236">
      <c r="A1236" s="3" t="n">
        <v>40263</v>
      </c>
      <c r="B1236">
        <f>Prices!B1236</f>
        <v/>
      </c>
      <c r="C1236">
        <f>Prices!C1236</f>
        <v/>
      </c>
      <c r="D1236">
        <f>Prices!D1236</f>
        <v/>
      </c>
      <c r="E1236">
        <f>Prices!E1236</f>
        <v/>
      </c>
      <c r="F1236">
        <f>Prices!F1236</f>
        <v/>
      </c>
      <c r="G1236">
        <f>IF(AND(1234&gt;=16,TEXT(A1236,"yyyy-mm")&lt;&gt;TEXT(A1237,"yyyy-mm")),1,0)</f>
        <v/>
      </c>
      <c r="H1236">
        <f>IF(OR(H1235=1,G1236=1),1,0)</f>
        <v/>
      </c>
      <c r="I1236">
        <f>IF(H1235=0,1,SUMPRODUCT(J1235:N1235,B1236:F1236)+O1235*(1+0.00023125256064071564))</f>
        <v/>
      </c>
      <c r="J1236">
        <f>IF(G1236=1,0.2*R1236/B1236,J1235)</f>
        <v/>
      </c>
      <c r="K1236">
        <f>IF(G1236=1,0.2*R1236/C1236,K1235)</f>
        <v/>
      </c>
      <c r="L1236">
        <f>IF(G1236=1,0.2*R1236/D1236,L1235)</f>
        <v/>
      </c>
      <c r="M1236">
        <f>IF(G1236=1,0.2*R1236/E1236,M1235)</f>
        <v/>
      </c>
      <c r="N1236">
        <f>IF(G1236=1,0.2*R1236/F1236,N1235)</f>
        <v/>
      </c>
      <c r="O1236">
        <f>IF(G1236=1,R1236*(1-1.0),IF(H1235=0,1,O1235*(1+0.00023125256064071564)))</f>
        <v/>
      </c>
      <c r="P1236">
        <f>IF(G1236=1,IF(H1235=0,1,ABS(0.2-J1235*B1236/I1236)+ABS(0.2-K1235*C1236/I1236)+ABS(0.2-L1235*D1236/I1236)+ABS(0.2-M1235*E1236/I1236)+ABS(0.2-N1235*F1236/I1236)),0)</f>
        <v/>
      </c>
      <c r="Q1236">
        <f>P1236*0.0015</f>
        <v/>
      </c>
      <c r="R1236">
        <f>I1236*(1-Q1236)</f>
        <v/>
      </c>
      <c r="S1236">
        <f>R1236/R1235-1</f>
        <v/>
      </c>
      <c r="T1236">
        <f>MAX(T1235,R1236)</f>
        <v/>
      </c>
      <c r="U1236">
        <f>R1236/T1236-1</f>
        <v/>
      </c>
      <c r="V1236" t="n">
        <v>3.039190468384213</v>
      </c>
      <c r="W1236" s="5">
        <f>R1236-V1236</f>
        <v/>
      </c>
    </row>
    <row r="1237">
      <c r="A1237" s="3" t="n">
        <v>40266</v>
      </c>
      <c r="B1237">
        <f>Prices!B1237</f>
        <v/>
      </c>
      <c r="C1237">
        <f>Prices!C1237</f>
        <v/>
      </c>
      <c r="D1237">
        <f>Prices!D1237</f>
        <v/>
      </c>
      <c r="E1237">
        <f>Prices!E1237</f>
        <v/>
      </c>
      <c r="F1237">
        <f>Prices!F1237</f>
        <v/>
      </c>
      <c r="G1237">
        <f>IF(AND(1235&gt;=16,TEXT(A1237,"yyyy-mm")&lt;&gt;TEXT(A1238,"yyyy-mm")),1,0)</f>
        <v/>
      </c>
      <c r="H1237">
        <f>IF(OR(H1236=1,G1237=1),1,0)</f>
        <v/>
      </c>
      <c r="I1237">
        <f>IF(H1236=0,1,SUMPRODUCT(J1236:N1236,B1237:F1237)+O1236*(1+0.00023125256064071564))</f>
        <v/>
      </c>
      <c r="J1237">
        <f>IF(G1237=1,0.2*R1237/B1237,J1236)</f>
        <v/>
      </c>
      <c r="K1237">
        <f>IF(G1237=1,0.2*R1237/C1237,K1236)</f>
        <v/>
      </c>
      <c r="L1237">
        <f>IF(G1237=1,0.2*R1237/D1237,L1236)</f>
        <v/>
      </c>
      <c r="M1237">
        <f>IF(G1237=1,0.2*R1237/E1237,M1236)</f>
        <v/>
      </c>
      <c r="N1237">
        <f>IF(G1237=1,0.2*R1237/F1237,N1236)</f>
        <v/>
      </c>
      <c r="O1237">
        <f>IF(G1237=1,R1237*(1-1.0),IF(H1236=0,1,O1236*(1+0.00023125256064071564)))</f>
        <v/>
      </c>
      <c r="P1237">
        <f>IF(G1237=1,IF(H1236=0,1,ABS(0.2-J1236*B1237/I1237)+ABS(0.2-K1236*C1237/I1237)+ABS(0.2-L1236*D1237/I1237)+ABS(0.2-M1236*E1237/I1237)+ABS(0.2-N1236*F1237/I1237)),0)</f>
        <v/>
      </c>
      <c r="Q1237">
        <f>P1237*0.0015</f>
        <v/>
      </c>
      <c r="R1237">
        <f>I1237*(1-Q1237)</f>
        <v/>
      </c>
      <c r="S1237">
        <f>R1237/R1236-1</f>
        <v/>
      </c>
      <c r="T1237">
        <f>MAX(T1236,R1237)</f>
        <v/>
      </c>
      <c r="U1237">
        <f>R1237/T1237-1</f>
        <v/>
      </c>
      <c r="V1237" t="n">
        <v>3.047710177060924</v>
      </c>
      <c r="W1237" s="5">
        <f>R1237-V1237</f>
        <v/>
      </c>
    </row>
    <row r="1238">
      <c r="A1238" s="3" t="n">
        <v>40267</v>
      </c>
      <c r="B1238">
        <f>Prices!B1238</f>
        <v/>
      </c>
      <c r="C1238">
        <f>Prices!C1238</f>
        <v/>
      </c>
      <c r="D1238">
        <f>Prices!D1238</f>
        <v/>
      </c>
      <c r="E1238">
        <f>Prices!E1238</f>
        <v/>
      </c>
      <c r="F1238">
        <f>Prices!F1238</f>
        <v/>
      </c>
      <c r="G1238">
        <f>IF(AND(1236&gt;=16,TEXT(A1238,"yyyy-mm")&lt;&gt;TEXT(A1239,"yyyy-mm")),1,0)</f>
        <v/>
      </c>
      <c r="H1238">
        <f>IF(OR(H1237=1,G1238=1),1,0)</f>
        <v/>
      </c>
      <c r="I1238">
        <f>IF(H1237=0,1,SUMPRODUCT(J1237:N1237,B1238:F1238)+O1237*(1+0.00023125256064071564))</f>
        <v/>
      </c>
      <c r="J1238">
        <f>IF(G1238=1,0.2*R1238/B1238,J1237)</f>
        <v/>
      </c>
      <c r="K1238">
        <f>IF(G1238=1,0.2*R1238/C1238,K1237)</f>
        <v/>
      </c>
      <c r="L1238">
        <f>IF(G1238=1,0.2*R1238/D1238,L1237)</f>
        <v/>
      </c>
      <c r="M1238">
        <f>IF(G1238=1,0.2*R1238/E1238,M1237)</f>
        <v/>
      </c>
      <c r="N1238">
        <f>IF(G1238=1,0.2*R1238/F1238,N1237)</f>
        <v/>
      </c>
      <c r="O1238">
        <f>IF(G1238=1,R1238*(1-1.0),IF(H1237=0,1,O1237*(1+0.00023125256064071564)))</f>
        <v/>
      </c>
      <c r="P1238">
        <f>IF(G1238=1,IF(H1237=0,1,ABS(0.2-J1237*B1238/I1238)+ABS(0.2-K1237*C1238/I1238)+ABS(0.2-L1237*D1238/I1238)+ABS(0.2-M1237*E1238/I1238)+ABS(0.2-N1237*F1238/I1238)),0)</f>
        <v/>
      </c>
      <c r="Q1238">
        <f>P1238*0.0015</f>
        <v/>
      </c>
      <c r="R1238">
        <f>I1238*(1-Q1238)</f>
        <v/>
      </c>
      <c r="S1238">
        <f>R1238/R1237-1</f>
        <v/>
      </c>
      <c r="T1238">
        <f>MAX(T1237,R1238)</f>
        <v/>
      </c>
      <c r="U1238">
        <f>R1238/T1238-1</f>
        <v/>
      </c>
      <c r="V1238" t="n">
        <v>3.039262296974987</v>
      </c>
      <c r="W1238" s="5">
        <f>R1238-V1238</f>
        <v/>
      </c>
    </row>
    <row r="1239">
      <c r="A1239" s="3" t="n">
        <v>40268</v>
      </c>
      <c r="B1239">
        <f>Prices!B1239</f>
        <v/>
      </c>
      <c r="C1239">
        <f>Prices!C1239</f>
        <v/>
      </c>
      <c r="D1239">
        <f>Prices!D1239</f>
        <v/>
      </c>
      <c r="E1239">
        <f>Prices!E1239</f>
        <v/>
      </c>
      <c r="F1239">
        <f>Prices!F1239</f>
        <v/>
      </c>
      <c r="G1239">
        <f>IF(AND(1237&gt;=16,TEXT(A1239,"yyyy-mm")&lt;&gt;TEXT(A1240,"yyyy-mm")),1,0)</f>
        <v/>
      </c>
      <c r="H1239">
        <f>IF(OR(H1238=1,G1239=1),1,0)</f>
        <v/>
      </c>
      <c r="I1239">
        <f>IF(H1238=0,1,SUMPRODUCT(J1238:N1238,B1239:F1239)+O1238*(1+0.00023125256064071564))</f>
        <v/>
      </c>
      <c r="J1239">
        <f>IF(G1239=1,0.2*R1239/B1239,J1238)</f>
        <v/>
      </c>
      <c r="K1239">
        <f>IF(G1239=1,0.2*R1239/C1239,K1238)</f>
        <v/>
      </c>
      <c r="L1239">
        <f>IF(G1239=1,0.2*R1239/D1239,L1238)</f>
        <v/>
      </c>
      <c r="M1239">
        <f>IF(G1239=1,0.2*R1239/E1239,M1238)</f>
        <v/>
      </c>
      <c r="N1239">
        <f>IF(G1239=1,0.2*R1239/F1239,N1238)</f>
        <v/>
      </c>
      <c r="O1239">
        <f>IF(G1239=1,R1239*(1-1.0),IF(H1238=0,1,O1238*(1+0.00023125256064071564)))</f>
        <v/>
      </c>
      <c r="P1239">
        <f>IF(G1239=1,IF(H1238=0,1,ABS(0.2-J1238*B1239/I1239)+ABS(0.2-K1238*C1239/I1239)+ABS(0.2-L1238*D1239/I1239)+ABS(0.2-M1238*E1239/I1239)+ABS(0.2-N1238*F1239/I1239)),0)</f>
        <v/>
      </c>
      <c r="Q1239">
        <f>P1239*0.0015</f>
        <v/>
      </c>
      <c r="R1239">
        <f>I1239*(1-Q1239)</f>
        <v/>
      </c>
      <c r="S1239">
        <f>R1239/R1238-1</f>
        <v/>
      </c>
      <c r="T1239">
        <f>MAX(T1238,R1239)</f>
        <v/>
      </c>
      <c r="U1239">
        <f>R1239/T1239-1</f>
        <v/>
      </c>
      <c r="V1239" t="n">
        <v>3.044289821499525</v>
      </c>
      <c r="W1239" s="5">
        <f>R1239-V1239</f>
        <v/>
      </c>
    </row>
    <row r="1240">
      <c r="A1240" s="3" t="n">
        <v>40269</v>
      </c>
      <c r="B1240">
        <f>Prices!B1240</f>
        <v/>
      </c>
      <c r="C1240">
        <f>Prices!C1240</f>
        <v/>
      </c>
      <c r="D1240">
        <f>Prices!D1240</f>
        <v/>
      </c>
      <c r="E1240">
        <f>Prices!E1240</f>
        <v/>
      </c>
      <c r="F1240">
        <f>Prices!F1240</f>
        <v/>
      </c>
      <c r="G1240">
        <f>IF(AND(1238&gt;=16,TEXT(A1240,"yyyy-mm")&lt;&gt;TEXT(A1241,"yyyy-mm")),1,0)</f>
        <v/>
      </c>
      <c r="H1240">
        <f>IF(OR(H1239=1,G1240=1),1,0)</f>
        <v/>
      </c>
      <c r="I1240">
        <f>IF(H1239=0,1,SUMPRODUCT(J1239:N1239,B1240:F1240)+O1239*(1+0.00023125256064071564))</f>
        <v/>
      </c>
      <c r="J1240">
        <f>IF(G1240=1,0.2*R1240/B1240,J1239)</f>
        <v/>
      </c>
      <c r="K1240">
        <f>IF(G1240=1,0.2*R1240/C1240,K1239)</f>
        <v/>
      </c>
      <c r="L1240">
        <f>IF(G1240=1,0.2*R1240/D1240,L1239)</f>
        <v/>
      </c>
      <c r="M1240">
        <f>IF(G1240=1,0.2*R1240/E1240,M1239)</f>
        <v/>
      </c>
      <c r="N1240">
        <f>IF(G1240=1,0.2*R1240/F1240,N1239)</f>
        <v/>
      </c>
      <c r="O1240">
        <f>IF(G1240=1,R1240*(1-1.0),IF(H1239=0,1,O1239*(1+0.00023125256064071564)))</f>
        <v/>
      </c>
      <c r="P1240">
        <f>IF(G1240=1,IF(H1239=0,1,ABS(0.2-J1239*B1240/I1240)+ABS(0.2-K1239*C1240/I1240)+ABS(0.2-L1239*D1240/I1240)+ABS(0.2-M1239*E1240/I1240)+ABS(0.2-N1239*F1240/I1240)),0)</f>
        <v/>
      </c>
      <c r="Q1240">
        <f>P1240*0.0015</f>
        <v/>
      </c>
      <c r="R1240">
        <f>I1240*(1-Q1240)</f>
        <v/>
      </c>
      <c r="S1240">
        <f>R1240/R1239-1</f>
        <v/>
      </c>
      <c r="T1240">
        <f>MAX(T1239,R1240)</f>
        <v/>
      </c>
      <c r="U1240">
        <f>R1240/T1240-1</f>
        <v/>
      </c>
      <c r="V1240" t="n">
        <v>3.0673309632383</v>
      </c>
      <c r="W1240" s="5">
        <f>R1240-V1240</f>
        <v/>
      </c>
    </row>
    <row r="1241">
      <c r="A1241" s="3" t="n">
        <v>40273</v>
      </c>
      <c r="B1241">
        <f>Prices!B1241</f>
        <v/>
      </c>
      <c r="C1241">
        <f>Prices!C1241</f>
        <v/>
      </c>
      <c r="D1241">
        <f>Prices!D1241</f>
        <v/>
      </c>
      <c r="E1241">
        <f>Prices!E1241</f>
        <v/>
      </c>
      <c r="F1241">
        <f>Prices!F1241</f>
        <v/>
      </c>
      <c r="G1241">
        <f>IF(AND(1239&gt;=16,TEXT(A1241,"yyyy-mm")&lt;&gt;TEXT(A1242,"yyyy-mm")),1,0)</f>
        <v/>
      </c>
      <c r="H1241">
        <f>IF(OR(H1240=1,G1241=1),1,0)</f>
        <v/>
      </c>
      <c r="I1241">
        <f>IF(H1240=0,1,SUMPRODUCT(J1240:N1240,B1241:F1241)+O1240*(1+0.00023125256064071564))</f>
        <v/>
      </c>
      <c r="J1241">
        <f>IF(G1241=1,0.2*R1241/B1241,J1240)</f>
        <v/>
      </c>
      <c r="K1241">
        <f>IF(G1241=1,0.2*R1241/C1241,K1240)</f>
        <v/>
      </c>
      <c r="L1241">
        <f>IF(G1241=1,0.2*R1241/D1241,L1240)</f>
        <v/>
      </c>
      <c r="M1241">
        <f>IF(G1241=1,0.2*R1241/E1241,M1240)</f>
        <v/>
      </c>
      <c r="N1241">
        <f>IF(G1241=1,0.2*R1241/F1241,N1240)</f>
        <v/>
      </c>
      <c r="O1241">
        <f>IF(G1241=1,R1241*(1-1.0),IF(H1240=0,1,O1240*(1+0.00023125256064071564)))</f>
        <v/>
      </c>
      <c r="P1241">
        <f>IF(G1241=1,IF(H1240=0,1,ABS(0.2-J1240*B1241/I1241)+ABS(0.2-K1240*C1241/I1241)+ABS(0.2-L1240*D1241/I1241)+ABS(0.2-M1240*E1241/I1241)+ABS(0.2-N1240*F1241/I1241)),0)</f>
        <v/>
      </c>
      <c r="Q1241">
        <f>P1241*0.0015</f>
        <v/>
      </c>
      <c r="R1241">
        <f>I1241*(1-Q1241)</f>
        <v/>
      </c>
      <c r="S1241">
        <f>R1241/R1240-1</f>
        <v/>
      </c>
      <c r="T1241">
        <f>MAX(T1240,R1241)</f>
        <v/>
      </c>
      <c r="U1241">
        <f>R1241/T1241-1</f>
        <v/>
      </c>
      <c r="V1241" t="n">
        <v>3.107075581542956</v>
      </c>
      <c r="W1241" s="5">
        <f>R1241-V1241</f>
        <v/>
      </c>
    </row>
    <row r="1242">
      <c r="A1242" s="3" t="n">
        <v>40274</v>
      </c>
      <c r="B1242">
        <f>Prices!B1242</f>
        <v/>
      </c>
      <c r="C1242">
        <f>Prices!C1242</f>
        <v/>
      </c>
      <c r="D1242">
        <f>Prices!D1242</f>
        <v/>
      </c>
      <c r="E1242">
        <f>Prices!E1242</f>
        <v/>
      </c>
      <c r="F1242">
        <f>Prices!F1242</f>
        <v/>
      </c>
      <c r="G1242">
        <f>IF(AND(1240&gt;=16,TEXT(A1242,"yyyy-mm")&lt;&gt;TEXT(A1243,"yyyy-mm")),1,0)</f>
        <v/>
      </c>
      <c r="H1242">
        <f>IF(OR(H1241=1,G1242=1),1,0)</f>
        <v/>
      </c>
      <c r="I1242">
        <f>IF(H1241=0,1,SUMPRODUCT(J1241:N1241,B1242:F1242)+O1241*(1+0.00023125256064071564))</f>
        <v/>
      </c>
      <c r="J1242">
        <f>IF(G1242=1,0.2*R1242/B1242,J1241)</f>
        <v/>
      </c>
      <c r="K1242">
        <f>IF(G1242=1,0.2*R1242/C1242,K1241)</f>
        <v/>
      </c>
      <c r="L1242">
        <f>IF(G1242=1,0.2*R1242/D1242,L1241)</f>
        <v/>
      </c>
      <c r="M1242">
        <f>IF(G1242=1,0.2*R1242/E1242,M1241)</f>
        <v/>
      </c>
      <c r="N1242">
        <f>IF(G1242=1,0.2*R1242/F1242,N1241)</f>
        <v/>
      </c>
      <c r="O1242">
        <f>IF(G1242=1,R1242*(1-1.0),IF(H1241=0,1,O1241*(1+0.00023125256064071564)))</f>
        <v/>
      </c>
      <c r="P1242">
        <f>IF(G1242=1,IF(H1241=0,1,ABS(0.2-J1241*B1242/I1242)+ABS(0.2-K1241*C1242/I1242)+ABS(0.2-L1241*D1242/I1242)+ABS(0.2-M1241*E1242/I1242)+ABS(0.2-N1241*F1242/I1242)),0)</f>
        <v/>
      </c>
      <c r="Q1242">
        <f>P1242*0.0015</f>
        <v/>
      </c>
      <c r="R1242">
        <f>I1242*(1-Q1242)</f>
        <v/>
      </c>
      <c r="S1242">
        <f>R1242/R1241-1</f>
        <v/>
      </c>
      <c r="T1242">
        <f>MAX(T1241,R1242)</f>
        <v/>
      </c>
      <c r="U1242">
        <f>R1242/T1242-1</f>
        <v/>
      </c>
      <c r="V1242" t="n">
        <v>3.108353401087408</v>
      </c>
      <c r="W1242" s="5">
        <f>R1242-V1242</f>
        <v/>
      </c>
    </row>
    <row r="1243">
      <c r="A1243" s="3" t="n">
        <v>40275</v>
      </c>
      <c r="B1243">
        <f>Prices!B1243</f>
        <v/>
      </c>
      <c r="C1243">
        <f>Prices!C1243</f>
        <v/>
      </c>
      <c r="D1243">
        <f>Prices!D1243</f>
        <v/>
      </c>
      <c r="E1243">
        <f>Prices!E1243</f>
        <v/>
      </c>
      <c r="F1243">
        <f>Prices!F1243</f>
        <v/>
      </c>
      <c r="G1243">
        <f>IF(AND(1241&gt;=16,TEXT(A1243,"yyyy-mm")&lt;&gt;TEXT(A1244,"yyyy-mm")),1,0)</f>
        <v/>
      </c>
      <c r="H1243">
        <f>IF(OR(H1242=1,G1243=1),1,0)</f>
        <v/>
      </c>
      <c r="I1243">
        <f>IF(H1242=0,1,SUMPRODUCT(J1242:N1242,B1243:F1243)+O1242*(1+0.00023125256064071564))</f>
        <v/>
      </c>
      <c r="J1243">
        <f>IF(G1243=1,0.2*R1243/B1243,J1242)</f>
        <v/>
      </c>
      <c r="K1243">
        <f>IF(G1243=1,0.2*R1243/C1243,K1242)</f>
        <v/>
      </c>
      <c r="L1243">
        <f>IF(G1243=1,0.2*R1243/D1243,L1242)</f>
        <v/>
      </c>
      <c r="M1243">
        <f>IF(G1243=1,0.2*R1243/E1243,M1242)</f>
        <v/>
      </c>
      <c r="N1243">
        <f>IF(G1243=1,0.2*R1243/F1243,N1242)</f>
        <v/>
      </c>
      <c r="O1243">
        <f>IF(G1243=1,R1243*(1-1.0),IF(H1242=0,1,O1242*(1+0.00023125256064071564)))</f>
        <v/>
      </c>
      <c r="P1243">
        <f>IF(G1243=1,IF(H1242=0,1,ABS(0.2-J1242*B1243/I1243)+ABS(0.2-K1242*C1243/I1243)+ABS(0.2-L1242*D1243/I1243)+ABS(0.2-M1242*E1243/I1243)+ABS(0.2-N1242*F1243/I1243)),0)</f>
        <v/>
      </c>
      <c r="Q1243">
        <f>P1243*0.0015</f>
        <v/>
      </c>
      <c r="R1243">
        <f>I1243*(1-Q1243)</f>
        <v/>
      </c>
      <c r="S1243">
        <f>R1243/R1242-1</f>
        <v/>
      </c>
      <c r="T1243">
        <f>MAX(T1242,R1243)</f>
        <v/>
      </c>
      <c r="U1243">
        <f>R1243/T1243-1</f>
        <v/>
      </c>
      <c r="V1243" t="n">
        <v>3.119561322044656</v>
      </c>
      <c r="W1243" s="5">
        <f>R1243-V1243</f>
        <v/>
      </c>
    </row>
    <row r="1244">
      <c r="A1244" s="3" t="n">
        <v>40276</v>
      </c>
      <c r="B1244">
        <f>Prices!B1244</f>
        <v/>
      </c>
      <c r="C1244">
        <f>Prices!C1244</f>
        <v/>
      </c>
      <c r="D1244">
        <f>Prices!D1244</f>
        <v/>
      </c>
      <c r="E1244">
        <f>Prices!E1244</f>
        <v/>
      </c>
      <c r="F1244">
        <f>Prices!F1244</f>
        <v/>
      </c>
      <c r="G1244">
        <f>IF(AND(1242&gt;=16,TEXT(A1244,"yyyy-mm")&lt;&gt;TEXT(A1245,"yyyy-mm")),1,0)</f>
        <v/>
      </c>
      <c r="H1244">
        <f>IF(OR(H1243=1,G1244=1),1,0)</f>
        <v/>
      </c>
      <c r="I1244">
        <f>IF(H1243=0,1,SUMPRODUCT(J1243:N1243,B1244:F1244)+O1243*(1+0.00023125256064071564))</f>
        <v/>
      </c>
      <c r="J1244">
        <f>IF(G1244=1,0.2*R1244/B1244,J1243)</f>
        <v/>
      </c>
      <c r="K1244">
        <f>IF(G1244=1,0.2*R1244/C1244,K1243)</f>
        <v/>
      </c>
      <c r="L1244">
        <f>IF(G1244=1,0.2*R1244/D1244,L1243)</f>
        <v/>
      </c>
      <c r="M1244">
        <f>IF(G1244=1,0.2*R1244/E1244,M1243)</f>
        <v/>
      </c>
      <c r="N1244">
        <f>IF(G1244=1,0.2*R1244/F1244,N1243)</f>
        <v/>
      </c>
      <c r="O1244">
        <f>IF(G1244=1,R1244*(1-1.0),IF(H1243=0,1,O1243*(1+0.00023125256064071564)))</f>
        <v/>
      </c>
      <c r="P1244">
        <f>IF(G1244=1,IF(H1243=0,1,ABS(0.2-J1243*B1244/I1244)+ABS(0.2-K1243*C1244/I1244)+ABS(0.2-L1243*D1244/I1244)+ABS(0.2-M1243*E1244/I1244)+ABS(0.2-N1243*F1244/I1244)),0)</f>
        <v/>
      </c>
      <c r="Q1244">
        <f>P1244*0.0015</f>
        <v/>
      </c>
      <c r="R1244">
        <f>I1244*(1-Q1244)</f>
        <v/>
      </c>
      <c r="S1244">
        <f>R1244/R1243-1</f>
        <v/>
      </c>
      <c r="T1244">
        <f>MAX(T1243,R1244)</f>
        <v/>
      </c>
      <c r="U1244">
        <f>R1244/T1244-1</f>
        <v/>
      </c>
      <c r="V1244" t="n">
        <v>3.102629195457761</v>
      </c>
      <c r="W1244" s="5">
        <f>R1244-V1244</f>
        <v/>
      </c>
    </row>
    <row r="1245">
      <c r="A1245" s="3" t="n">
        <v>40277</v>
      </c>
      <c r="B1245">
        <f>Prices!B1245</f>
        <v/>
      </c>
      <c r="C1245">
        <f>Prices!C1245</f>
        <v/>
      </c>
      <c r="D1245">
        <f>Prices!D1245</f>
        <v/>
      </c>
      <c r="E1245">
        <f>Prices!E1245</f>
        <v/>
      </c>
      <c r="F1245">
        <f>Prices!F1245</f>
        <v/>
      </c>
      <c r="G1245">
        <f>IF(AND(1243&gt;=16,TEXT(A1245,"yyyy-mm")&lt;&gt;TEXT(A1246,"yyyy-mm")),1,0)</f>
        <v/>
      </c>
      <c r="H1245">
        <f>IF(OR(H1244=1,G1245=1),1,0)</f>
        <v/>
      </c>
      <c r="I1245">
        <f>IF(H1244=0,1,SUMPRODUCT(J1244:N1244,B1245:F1245)+O1244*(1+0.00023125256064071564))</f>
        <v/>
      </c>
      <c r="J1245">
        <f>IF(G1245=1,0.2*R1245/B1245,J1244)</f>
        <v/>
      </c>
      <c r="K1245">
        <f>IF(G1245=1,0.2*R1245/C1245,K1244)</f>
        <v/>
      </c>
      <c r="L1245">
        <f>IF(G1245=1,0.2*R1245/D1245,L1244)</f>
        <v/>
      </c>
      <c r="M1245">
        <f>IF(G1245=1,0.2*R1245/E1245,M1244)</f>
        <v/>
      </c>
      <c r="N1245">
        <f>IF(G1245=1,0.2*R1245/F1245,N1244)</f>
        <v/>
      </c>
      <c r="O1245">
        <f>IF(G1245=1,R1245*(1-1.0),IF(H1244=0,1,O1244*(1+0.00023125256064071564)))</f>
        <v/>
      </c>
      <c r="P1245">
        <f>IF(G1245=1,IF(H1244=0,1,ABS(0.2-J1244*B1245/I1245)+ABS(0.2-K1244*C1245/I1245)+ABS(0.2-L1244*D1245/I1245)+ABS(0.2-M1244*E1245/I1245)+ABS(0.2-N1244*F1245/I1245)),0)</f>
        <v/>
      </c>
      <c r="Q1245">
        <f>P1245*0.0015</f>
        <v/>
      </c>
      <c r="R1245">
        <f>I1245*(1-Q1245)</f>
        <v/>
      </c>
      <c r="S1245">
        <f>R1245/R1244-1</f>
        <v/>
      </c>
      <c r="T1245">
        <f>MAX(T1244,R1245)</f>
        <v/>
      </c>
      <c r="U1245">
        <f>R1245/T1245-1</f>
        <v/>
      </c>
      <c r="V1245" t="n">
        <v>3.116408774511743</v>
      </c>
      <c r="W1245" s="5">
        <f>R1245-V1245</f>
        <v/>
      </c>
    </row>
    <row r="1246">
      <c r="A1246" s="3" t="n">
        <v>40280</v>
      </c>
      <c r="B1246">
        <f>Prices!B1246</f>
        <v/>
      </c>
      <c r="C1246">
        <f>Prices!C1246</f>
        <v/>
      </c>
      <c r="D1246">
        <f>Prices!D1246</f>
        <v/>
      </c>
      <c r="E1246">
        <f>Prices!E1246</f>
        <v/>
      </c>
      <c r="F1246">
        <f>Prices!F1246</f>
        <v/>
      </c>
      <c r="G1246">
        <f>IF(AND(1244&gt;=16,TEXT(A1246,"yyyy-mm")&lt;&gt;TEXT(A1247,"yyyy-mm")),1,0)</f>
        <v/>
      </c>
      <c r="H1246">
        <f>IF(OR(H1245=1,G1246=1),1,0)</f>
        <v/>
      </c>
      <c r="I1246">
        <f>IF(H1245=0,1,SUMPRODUCT(J1245:N1245,B1246:F1246)+O1245*(1+0.00023125256064071564))</f>
        <v/>
      </c>
      <c r="J1246">
        <f>IF(G1246=1,0.2*R1246/B1246,J1245)</f>
        <v/>
      </c>
      <c r="K1246">
        <f>IF(G1246=1,0.2*R1246/C1246,K1245)</f>
        <v/>
      </c>
      <c r="L1246">
        <f>IF(G1246=1,0.2*R1246/D1246,L1245)</f>
        <v/>
      </c>
      <c r="M1246">
        <f>IF(G1246=1,0.2*R1246/E1246,M1245)</f>
        <v/>
      </c>
      <c r="N1246">
        <f>IF(G1246=1,0.2*R1246/F1246,N1245)</f>
        <v/>
      </c>
      <c r="O1246">
        <f>IF(G1246=1,R1246*(1-1.0),IF(H1245=0,1,O1245*(1+0.00023125256064071564)))</f>
        <v/>
      </c>
      <c r="P1246">
        <f>IF(G1246=1,IF(H1245=0,1,ABS(0.2-J1245*B1246/I1246)+ABS(0.2-K1245*C1246/I1246)+ABS(0.2-L1245*D1246/I1246)+ABS(0.2-M1245*E1246/I1246)+ABS(0.2-N1245*F1246/I1246)),0)</f>
        <v/>
      </c>
      <c r="Q1246">
        <f>P1246*0.0015</f>
        <v/>
      </c>
      <c r="R1246">
        <f>I1246*(1-Q1246)</f>
        <v/>
      </c>
      <c r="S1246">
        <f>R1246/R1245-1</f>
        <v/>
      </c>
      <c r="T1246">
        <f>MAX(T1245,R1246)</f>
        <v/>
      </c>
      <c r="U1246">
        <f>R1246/T1246-1</f>
        <v/>
      </c>
      <c r="V1246" t="n">
        <v>3.110713597017199</v>
      </c>
      <c r="W1246" s="5">
        <f>R1246-V1246</f>
        <v/>
      </c>
    </row>
    <row r="1247">
      <c r="A1247" s="3" t="n">
        <v>40281</v>
      </c>
      <c r="B1247">
        <f>Prices!B1247</f>
        <v/>
      </c>
      <c r="C1247">
        <f>Prices!C1247</f>
        <v/>
      </c>
      <c r="D1247">
        <f>Prices!D1247</f>
        <v/>
      </c>
      <c r="E1247">
        <f>Prices!E1247</f>
        <v/>
      </c>
      <c r="F1247">
        <f>Prices!F1247</f>
        <v/>
      </c>
      <c r="G1247">
        <f>IF(AND(1245&gt;=16,TEXT(A1247,"yyyy-mm")&lt;&gt;TEXT(A1248,"yyyy-mm")),1,0)</f>
        <v/>
      </c>
      <c r="H1247">
        <f>IF(OR(H1246=1,G1247=1),1,0)</f>
        <v/>
      </c>
      <c r="I1247">
        <f>IF(H1246=0,1,SUMPRODUCT(J1246:N1246,B1247:F1247)+O1246*(1+0.00023125256064071564))</f>
        <v/>
      </c>
      <c r="J1247">
        <f>IF(G1247=1,0.2*R1247/B1247,J1246)</f>
        <v/>
      </c>
      <c r="K1247">
        <f>IF(G1247=1,0.2*R1247/C1247,K1246)</f>
        <v/>
      </c>
      <c r="L1247">
        <f>IF(G1247=1,0.2*R1247/D1247,L1246)</f>
        <v/>
      </c>
      <c r="M1247">
        <f>IF(G1247=1,0.2*R1247/E1247,M1246)</f>
        <v/>
      </c>
      <c r="N1247">
        <f>IF(G1247=1,0.2*R1247/F1247,N1246)</f>
        <v/>
      </c>
      <c r="O1247">
        <f>IF(G1247=1,R1247*(1-1.0),IF(H1246=0,1,O1246*(1+0.00023125256064071564)))</f>
        <v/>
      </c>
      <c r="P1247">
        <f>IF(G1247=1,IF(H1246=0,1,ABS(0.2-J1246*B1247/I1247)+ABS(0.2-K1246*C1247/I1247)+ABS(0.2-L1246*D1247/I1247)+ABS(0.2-M1246*E1247/I1247)+ABS(0.2-N1246*F1247/I1247)),0)</f>
        <v/>
      </c>
      <c r="Q1247">
        <f>P1247*0.0015</f>
        <v/>
      </c>
      <c r="R1247">
        <f>I1247*(1-Q1247)</f>
        <v/>
      </c>
      <c r="S1247">
        <f>R1247/R1246-1</f>
        <v/>
      </c>
      <c r="T1247">
        <f>MAX(T1246,R1247)</f>
        <v/>
      </c>
      <c r="U1247">
        <f>R1247/T1247-1</f>
        <v/>
      </c>
      <c r="V1247" t="n">
        <v>3.109452484380198</v>
      </c>
      <c r="W1247" s="5">
        <f>R1247-V1247</f>
        <v/>
      </c>
    </row>
    <row r="1248">
      <c r="A1248" s="3" t="n">
        <v>40283</v>
      </c>
      <c r="B1248">
        <f>Prices!B1248</f>
        <v/>
      </c>
      <c r="C1248">
        <f>Prices!C1248</f>
        <v/>
      </c>
      <c r="D1248">
        <f>Prices!D1248</f>
        <v/>
      </c>
      <c r="E1248">
        <f>Prices!E1248</f>
        <v/>
      </c>
      <c r="F1248">
        <f>Prices!F1248</f>
        <v/>
      </c>
      <c r="G1248">
        <f>IF(AND(1246&gt;=16,TEXT(A1248,"yyyy-mm")&lt;&gt;TEXT(A1249,"yyyy-mm")),1,0)</f>
        <v/>
      </c>
      <c r="H1248">
        <f>IF(OR(H1247=1,G1248=1),1,0)</f>
        <v/>
      </c>
      <c r="I1248">
        <f>IF(H1247=0,1,SUMPRODUCT(J1247:N1247,B1248:F1248)+O1247*(1+0.00023125256064071564))</f>
        <v/>
      </c>
      <c r="J1248">
        <f>IF(G1248=1,0.2*R1248/B1248,J1247)</f>
        <v/>
      </c>
      <c r="K1248">
        <f>IF(G1248=1,0.2*R1248/C1248,K1247)</f>
        <v/>
      </c>
      <c r="L1248">
        <f>IF(G1248=1,0.2*R1248/D1248,L1247)</f>
        <v/>
      </c>
      <c r="M1248">
        <f>IF(G1248=1,0.2*R1248/E1248,M1247)</f>
        <v/>
      </c>
      <c r="N1248">
        <f>IF(G1248=1,0.2*R1248/F1248,N1247)</f>
        <v/>
      </c>
      <c r="O1248">
        <f>IF(G1248=1,R1248*(1-1.0),IF(H1247=0,1,O1247*(1+0.00023125256064071564)))</f>
        <v/>
      </c>
      <c r="P1248">
        <f>IF(G1248=1,IF(H1247=0,1,ABS(0.2-J1247*B1248/I1248)+ABS(0.2-K1247*C1248/I1248)+ABS(0.2-L1247*D1248/I1248)+ABS(0.2-M1247*E1248/I1248)+ABS(0.2-N1247*F1248/I1248)),0)</f>
        <v/>
      </c>
      <c r="Q1248">
        <f>P1248*0.0015</f>
        <v/>
      </c>
      <c r="R1248">
        <f>I1248*(1-Q1248)</f>
        <v/>
      </c>
      <c r="S1248">
        <f>R1248/R1247-1</f>
        <v/>
      </c>
      <c r="T1248">
        <f>MAX(T1247,R1248)</f>
        <v/>
      </c>
      <c r="U1248">
        <f>R1248/T1248-1</f>
        <v/>
      </c>
      <c r="V1248" t="n">
        <v>3.106822469519064</v>
      </c>
      <c r="W1248" s="5">
        <f>R1248-V1248</f>
        <v/>
      </c>
    </row>
    <row r="1249">
      <c r="A1249" s="3" t="n">
        <v>40284</v>
      </c>
      <c r="B1249">
        <f>Prices!B1249</f>
        <v/>
      </c>
      <c r="C1249">
        <f>Prices!C1249</f>
        <v/>
      </c>
      <c r="D1249">
        <f>Prices!D1249</f>
        <v/>
      </c>
      <c r="E1249">
        <f>Prices!E1249</f>
        <v/>
      </c>
      <c r="F1249">
        <f>Prices!F1249</f>
        <v/>
      </c>
      <c r="G1249">
        <f>IF(AND(1247&gt;=16,TEXT(A1249,"yyyy-mm")&lt;&gt;TEXT(A1250,"yyyy-mm")),1,0)</f>
        <v/>
      </c>
      <c r="H1249">
        <f>IF(OR(H1248=1,G1249=1),1,0)</f>
        <v/>
      </c>
      <c r="I1249">
        <f>IF(H1248=0,1,SUMPRODUCT(J1248:N1248,B1249:F1249)+O1248*(1+0.00023125256064071564))</f>
        <v/>
      </c>
      <c r="J1249">
        <f>IF(G1249=1,0.2*R1249/B1249,J1248)</f>
        <v/>
      </c>
      <c r="K1249">
        <f>IF(G1249=1,0.2*R1249/C1249,K1248)</f>
        <v/>
      </c>
      <c r="L1249">
        <f>IF(G1249=1,0.2*R1249/D1249,L1248)</f>
        <v/>
      </c>
      <c r="M1249">
        <f>IF(G1249=1,0.2*R1249/E1249,M1248)</f>
        <v/>
      </c>
      <c r="N1249">
        <f>IF(G1249=1,0.2*R1249/F1249,N1248)</f>
        <v/>
      </c>
      <c r="O1249">
        <f>IF(G1249=1,R1249*(1-1.0),IF(H1248=0,1,O1248*(1+0.00023125256064071564)))</f>
        <v/>
      </c>
      <c r="P1249">
        <f>IF(G1249=1,IF(H1248=0,1,ABS(0.2-J1248*B1249/I1249)+ABS(0.2-K1248*C1249/I1249)+ABS(0.2-L1248*D1249/I1249)+ABS(0.2-M1248*E1249/I1249)+ABS(0.2-N1248*F1249/I1249)),0)</f>
        <v/>
      </c>
      <c r="Q1249">
        <f>P1249*0.0015</f>
        <v/>
      </c>
      <c r="R1249">
        <f>I1249*(1-Q1249)</f>
        <v/>
      </c>
      <c r="S1249">
        <f>R1249/R1248-1</f>
        <v/>
      </c>
      <c r="T1249">
        <f>MAX(T1248,R1249)</f>
        <v/>
      </c>
      <c r="U1249">
        <f>R1249/T1249-1</f>
        <v/>
      </c>
      <c r="V1249" t="n">
        <v>3.100741884378043</v>
      </c>
      <c r="W1249" s="5">
        <f>R1249-V1249</f>
        <v/>
      </c>
    </row>
    <row r="1250">
      <c r="A1250" s="3" t="n">
        <v>40287</v>
      </c>
      <c r="B1250">
        <f>Prices!B1250</f>
        <v/>
      </c>
      <c r="C1250">
        <f>Prices!C1250</f>
        <v/>
      </c>
      <c r="D1250">
        <f>Prices!D1250</f>
        <v/>
      </c>
      <c r="E1250">
        <f>Prices!E1250</f>
        <v/>
      </c>
      <c r="F1250">
        <f>Prices!F1250</f>
        <v/>
      </c>
      <c r="G1250">
        <f>IF(AND(1248&gt;=16,TEXT(A1250,"yyyy-mm")&lt;&gt;TEXT(A1251,"yyyy-mm")),1,0)</f>
        <v/>
      </c>
      <c r="H1250">
        <f>IF(OR(H1249=1,G1250=1),1,0)</f>
        <v/>
      </c>
      <c r="I1250">
        <f>IF(H1249=0,1,SUMPRODUCT(J1249:N1249,B1250:F1250)+O1249*(1+0.00023125256064071564))</f>
        <v/>
      </c>
      <c r="J1250">
        <f>IF(G1250=1,0.2*R1250/B1250,J1249)</f>
        <v/>
      </c>
      <c r="K1250">
        <f>IF(G1250=1,0.2*R1250/C1250,K1249)</f>
        <v/>
      </c>
      <c r="L1250">
        <f>IF(G1250=1,0.2*R1250/D1250,L1249)</f>
        <v/>
      </c>
      <c r="M1250">
        <f>IF(G1250=1,0.2*R1250/E1250,M1249)</f>
        <v/>
      </c>
      <c r="N1250">
        <f>IF(G1250=1,0.2*R1250/F1250,N1249)</f>
        <v/>
      </c>
      <c r="O1250">
        <f>IF(G1250=1,R1250*(1-1.0),IF(H1249=0,1,O1249*(1+0.00023125256064071564)))</f>
        <v/>
      </c>
      <c r="P1250">
        <f>IF(G1250=1,IF(H1249=0,1,ABS(0.2-J1249*B1250/I1250)+ABS(0.2-K1249*C1250/I1250)+ABS(0.2-L1249*D1250/I1250)+ABS(0.2-M1249*E1250/I1250)+ABS(0.2-N1249*F1250/I1250)),0)</f>
        <v/>
      </c>
      <c r="Q1250">
        <f>P1250*0.0015</f>
        <v/>
      </c>
      <c r="R1250">
        <f>I1250*(1-Q1250)</f>
        <v/>
      </c>
      <c r="S1250">
        <f>R1250/R1249-1</f>
        <v/>
      </c>
      <c r="T1250">
        <f>MAX(T1249,R1250)</f>
        <v/>
      </c>
      <c r="U1250">
        <f>R1250/T1250-1</f>
        <v/>
      </c>
      <c r="V1250" t="n">
        <v>3.066980181916025</v>
      </c>
      <c r="W1250" s="5">
        <f>R1250-V1250</f>
        <v/>
      </c>
    </row>
    <row r="1251">
      <c r="A1251" s="3" t="n">
        <v>40288</v>
      </c>
      <c r="B1251">
        <f>Prices!B1251</f>
        <v/>
      </c>
      <c r="C1251">
        <f>Prices!C1251</f>
        <v/>
      </c>
      <c r="D1251">
        <f>Prices!D1251</f>
        <v/>
      </c>
      <c r="E1251">
        <f>Prices!E1251</f>
        <v/>
      </c>
      <c r="F1251">
        <f>Prices!F1251</f>
        <v/>
      </c>
      <c r="G1251">
        <f>IF(AND(1249&gt;=16,TEXT(A1251,"yyyy-mm")&lt;&gt;TEXT(A1252,"yyyy-mm")),1,0)</f>
        <v/>
      </c>
      <c r="H1251">
        <f>IF(OR(H1250=1,G1251=1),1,0)</f>
        <v/>
      </c>
      <c r="I1251">
        <f>IF(H1250=0,1,SUMPRODUCT(J1250:N1250,B1251:F1251)+O1250*(1+0.00023125256064071564))</f>
        <v/>
      </c>
      <c r="J1251">
        <f>IF(G1251=1,0.2*R1251/B1251,J1250)</f>
        <v/>
      </c>
      <c r="K1251">
        <f>IF(G1251=1,0.2*R1251/C1251,K1250)</f>
        <v/>
      </c>
      <c r="L1251">
        <f>IF(G1251=1,0.2*R1251/D1251,L1250)</f>
        <v/>
      </c>
      <c r="M1251">
        <f>IF(G1251=1,0.2*R1251/E1251,M1250)</f>
        <v/>
      </c>
      <c r="N1251">
        <f>IF(G1251=1,0.2*R1251/F1251,N1250)</f>
        <v/>
      </c>
      <c r="O1251">
        <f>IF(G1251=1,R1251*(1-1.0),IF(H1250=0,1,O1250*(1+0.00023125256064071564)))</f>
        <v/>
      </c>
      <c r="P1251">
        <f>IF(G1251=1,IF(H1250=0,1,ABS(0.2-J1250*B1251/I1251)+ABS(0.2-K1250*C1251/I1251)+ABS(0.2-L1250*D1251/I1251)+ABS(0.2-M1250*E1251/I1251)+ABS(0.2-N1250*F1251/I1251)),0)</f>
        <v/>
      </c>
      <c r="Q1251">
        <f>P1251*0.0015</f>
        <v/>
      </c>
      <c r="R1251">
        <f>I1251*(1-Q1251)</f>
        <v/>
      </c>
      <c r="S1251">
        <f>R1251/R1250-1</f>
        <v/>
      </c>
      <c r="T1251">
        <f>MAX(T1250,R1251)</f>
        <v/>
      </c>
      <c r="U1251">
        <f>R1251/T1251-1</f>
        <v/>
      </c>
      <c r="V1251" t="n">
        <v>3.08890497920367</v>
      </c>
      <c r="W1251" s="5">
        <f>R1251-V1251</f>
        <v/>
      </c>
    </row>
    <row r="1252">
      <c r="A1252" s="3" t="n">
        <v>40289</v>
      </c>
      <c r="B1252">
        <f>Prices!B1252</f>
        <v/>
      </c>
      <c r="C1252">
        <f>Prices!C1252</f>
        <v/>
      </c>
      <c r="D1252">
        <f>Prices!D1252</f>
        <v/>
      </c>
      <c r="E1252">
        <f>Prices!E1252</f>
        <v/>
      </c>
      <c r="F1252">
        <f>Prices!F1252</f>
        <v/>
      </c>
      <c r="G1252">
        <f>IF(AND(1250&gt;=16,TEXT(A1252,"yyyy-mm")&lt;&gt;TEXT(A1253,"yyyy-mm")),1,0)</f>
        <v/>
      </c>
      <c r="H1252">
        <f>IF(OR(H1251=1,G1252=1),1,0)</f>
        <v/>
      </c>
      <c r="I1252">
        <f>IF(H1251=0,1,SUMPRODUCT(J1251:N1251,B1252:F1252)+O1251*(1+0.00023125256064071564))</f>
        <v/>
      </c>
      <c r="J1252">
        <f>IF(G1252=1,0.2*R1252/B1252,J1251)</f>
        <v/>
      </c>
      <c r="K1252">
        <f>IF(G1252=1,0.2*R1252/C1252,K1251)</f>
        <v/>
      </c>
      <c r="L1252">
        <f>IF(G1252=1,0.2*R1252/D1252,L1251)</f>
        <v/>
      </c>
      <c r="M1252">
        <f>IF(G1252=1,0.2*R1252/E1252,M1251)</f>
        <v/>
      </c>
      <c r="N1252">
        <f>IF(G1252=1,0.2*R1252/F1252,N1251)</f>
        <v/>
      </c>
      <c r="O1252">
        <f>IF(G1252=1,R1252*(1-1.0),IF(H1251=0,1,O1251*(1+0.00023125256064071564)))</f>
        <v/>
      </c>
      <c r="P1252">
        <f>IF(G1252=1,IF(H1251=0,1,ABS(0.2-J1251*B1252/I1252)+ABS(0.2-K1251*C1252/I1252)+ABS(0.2-L1251*D1252/I1252)+ABS(0.2-M1251*E1252/I1252)+ABS(0.2-N1251*F1252/I1252)),0)</f>
        <v/>
      </c>
      <c r="Q1252">
        <f>P1252*0.0015</f>
        <v/>
      </c>
      <c r="R1252">
        <f>I1252*(1-Q1252)</f>
        <v/>
      </c>
      <c r="S1252">
        <f>R1252/R1251-1</f>
        <v/>
      </c>
      <c r="T1252">
        <f>MAX(T1251,R1252)</f>
        <v/>
      </c>
      <c r="U1252">
        <f>R1252/T1252-1</f>
        <v/>
      </c>
      <c r="V1252" t="n">
        <v>3.112072523977318</v>
      </c>
      <c r="W1252" s="5">
        <f>R1252-V1252</f>
        <v/>
      </c>
    </row>
    <row r="1253">
      <c r="A1253" s="3" t="n">
        <v>40290</v>
      </c>
      <c r="B1253">
        <f>Prices!B1253</f>
        <v/>
      </c>
      <c r="C1253">
        <f>Prices!C1253</f>
        <v/>
      </c>
      <c r="D1253">
        <f>Prices!D1253</f>
        <v/>
      </c>
      <c r="E1253">
        <f>Prices!E1253</f>
        <v/>
      </c>
      <c r="F1253">
        <f>Prices!F1253</f>
        <v/>
      </c>
      <c r="G1253">
        <f>IF(AND(1251&gt;=16,TEXT(A1253,"yyyy-mm")&lt;&gt;TEXT(A1254,"yyyy-mm")),1,0)</f>
        <v/>
      </c>
      <c r="H1253">
        <f>IF(OR(H1252=1,G1253=1),1,0)</f>
        <v/>
      </c>
      <c r="I1253">
        <f>IF(H1252=0,1,SUMPRODUCT(J1252:N1252,B1253:F1253)+O1252*(1+0.00023125256064071564))</f>
        <v/>
      </c>
      <c r="J1253">
        <f>IF(G1253=1,0.2*R1253/B1253,J1252)</f>
        <v/>
      </c>
      <c r="K1253">
        <f>IF(G1253=1,0.2*R1253/C1253,K1252)</f>
        <v/>
      </c>
      <c r="L1253">
        <f>IF(G1253=1,0.2*R1253/D1253,L1252)</f>
        <v/>
      </c>
      <c r="M1253">
        <f>IF(G1253=1,0.2*R1253/E1253,M1252)</f>
        <v/>
      </c>
      <c r="N1253">
        <f>IF(G1253=1,0.2*R1253/F1253,N1252)</f>
        <v/>
      </c>
      <c r="O1253">
        <f>IF(G1253=1,R1253*(1-1.0),IF(H1252=0,1,O1252*(1+0.00023125256064071564)))</f>
        <v/>
      </c>
      <c r="P1253">
        <f>IF(G1253=1,IF(H1252=0,1,ABS(0.2-J1252*B1253/I1253)+ABS(0.2-K1252*C1253/I1253)+ABS(0.2-L1252*D1253/I1253)+ABS(0.2-M1252*E1253/I1253)+ABS(0.2-N1252*F1253/I1253)),0)</f>
        <v/>
      </c>
      <c r="Q1253">
        <f>P1253*0.0015</f>
        <v/>
      </c>
      <c r="R1253">
        <f>I1253*(1-Q1253)</f>
        <v/>
      </c>
      <c r="S1253">
        <f>R1253/R1252-1</f>
        <v/>
      </c>
      <c r="T1253">
        <f>MAX(T1252,R1253)</f>
        <v/>
      </c>
      <c r="U1253">
        <f>R1253/T1253-1</f>
        <v/>
      </c>
      <c r="V1253" t="n">
        <v>3.118529561284895</v>
      </c>
      <c r="W1253" s="5">
        <f>R1253-V1253</f>
        <v/>
      </c>
    </row>
    <row r="1254">
      <c r="A1254" s="3" t="n">
        <v>40291</v>
      </c>
      <c r="B1254">
        <f>Prices!B1254</f>
        <v/>
      </c>
      <c r="C1254">
        <f>Prices!C1254</f>
        <v/>
      </c>
      <c r="D1254">
        <f>Prices!D1254</f>
        <v/>
      </c>
      <c r="E1254">
        <f>Prices!E1254</f>
        <v/>
      </c>
      <c r="F1254">
        <f>Prices!F1254</f>
        <v/>
      </c>
      <c r="G1254">
        <f>IF(AND(1252&gt;=16,TEXT(A1254,"yyyy-mm")&lt;&gt;TEXT(A1255,"yyyy-mm")),1,0)</f>
        <v/>
      </c>
      <c r="H1254">
        <f>IF(OR(H1253=1,G1254=1),1,0)</f>
        <v/>
      </c>
      <c r="I1254">
        <f>IF(H1253=0,1,SUMPRODUCT(J1253:N1253,B1254:F1254)+O1253*(1+0.00023125256064071564))</f>
        <v/>
      </c>
      <c r="J1254">
        <f>IF(G1254=1,0.2*R1254/B1254,J1253)</f>
        <v/>
      </c>
      <c r="K1254">
        <f>IF(G1254=1,0.2*R1254/C1254,K1253)</f>
        <v/>
      </c>
      <c r="L1254">
        <f>IF(G1254=1,0.2*R1254/D1254,L1253)</f>
        <v/>
      </c>
      <c r="M1254">
        <f>IF(G1254=1,0.2*R1254/E1254,M1253)</f>
        <v/>
      </c>
      <c r="N1254">
        <f>IF(G1254=1,0.2*R1254/F1254,N1253)</f>
        <v/>
      </c>
      <c r="O1254">
        <f>IF(G1254=1,R1254*(1-1.0),IF(H1253=0,1,O1253*(1+0.00023125256064071564)))</f>
        <v/>
      </c>
      <c r="P1254">
        <f>IF(G1254=1,IF(H1253=0,1,ABS(0.2-J1253*B1254/I1254)+ABS(0.2-K1253*C1254/I1254)+ABS(0.2-L1253*D1254/I1254)+ABS(0.2-M1253*E1254/I1254)+ABS(0.2-N1253*F1254/I1254)),0)</f>
        <v/>
      </c>
      <c r="Q1254">
        <f>P1254*0.0015</f>
        <v/>
      </c>
      <c r="R1254">
        <f>I1254*(1-Q1254)</f>
        <v/>
      </c>
      <c r="S1254">
        <f>R1254/R1253-1</f>
        <v/>
      </c>
      <c r="T1254">
        <f>MAX(T1253,R1254)</f>
        <v/>
      </c>
      <c r="U1254">
        <f>R1254/T1254-1</f>
        <v/>
      </c>
      <c r="V1254" t="n">
        <v>3.125945514641034</v>
      </c>
      <c r="W1254" s="5">
        <f>R1254-V1254</f>
        <v/>
      </c>
    </row>
    <row r="1255">
      <c r="A1255" s="3" t="n">
        <v>40294</v>
      </c>
      <c r="B1255">
        <f>Prices!B1255</f>
        <v/>
      </c>
      <c r="C1255">
        <f>Prices!C1255</f>
        <v/>
      </c>
      <c r="D1255">
        <f>Prices!D1255</f>
        <v/>
      </c>
      <c r="E1255">
        <f>Prices!E1255</f>
        <v/>
      </c>
      <c r="F1255">
        <f>Prices!F1255</f>
        <v/>
      </c>
      <c r="G1255">
        <f>IF(AND(1253&gt;=16,TEXT(A1255,"yyyy-mm")&lt;&gt;TEXT(A1256,"yyyy-mm")),1,0)</f>
        <v/>
      </c>
      <c r="H1255">
        <f>IF(OR(H1254=1,G1255=1),1,0)</f>
        <v/>
      </c>
      <c r="I1255">
        <f>IF(H1254=0,1,SUMPRODUCT(J1254:N1254,B1255:F1255)+O1254*(1+0.00023125256064071564))</f>
        <v/>
      </c>
      <c r="J1255">
        <f>IF(G1255=1,0.2*R1255/B1255,J1254)</f>
        <v/>
      </c>
      <c r="K1255">
        <f>IF(G1255=1,0.2*R1255/C1255,K1254)</f>
        <v/>
      </c>
      <c r="L1255">
        <f>IF(G1255=1,0.2*R1255/D1255,L1254)</f>
        <v/>
      </c>
      <c r="M1255">
        <f>IF(G1255=1,0.2*R1255/E1255,M1254)</f>
        <v/>
      </c>
      <c r="N1255">
        <f>IF(G1255=1,0.2*R1255/F1255,N1254)</f>
        <v/>
      </c>
      <c r="O1255">
        <f>IF(G1255=1,R1255*(1-1.0),IF(H1254=0,1,O1254*(1+0.00023125256064071564)))</f>
        <v/>
      </c>
      <c r="P1255">
        <f>IF(G1255=1,IF(H1254=0,1,ABS(0.2-J1254*B1255/I1255)+ABS(0.2-K1254*C1255/I1255)+ABS(0.2-L1254*D1255/I1255)+ABS(0.2-M1254*E1255/I1255)+ABS(0.2-N1254*F1255/I1255)),0)</f>
        <v/>
      </c>
      <c r="Q1255">
        <f>P1255*0.0015</f>
        <v/>
      </c>
      <c r="R1255">
        <f>I1255*(1-Q1255)</f>
        <v/>
      </c>
      <c r="S1255">
        <f>R1255/R1254-1</f>
        <v/>
      </c>
      <c r="T1255">
        <f>MAX(T1254,R1255)</f>
        <v/>
      </c>
      <c r="U1255">
        <f>R1255/T1255-1</f>
        <v/>
      </c>
      <c r="V1255" t="n">
        <v>3.146412480043415</v>
      </c>
      <c r="W1255" s="5">
        <f>R1255-V1255</f>
        <v/>
      </c>
    </row>
    <row r="1256">
      <c r="A1256" s="3" t="n">
        <v>40295</v>
      </c>
      <c r="B1256">
        <f>Prices!B1256</f>
        <v/>
      </c>
      <c r="C1256">
        <f>Prices!C1256</f>
        <v/>
      </c>
      <c r="D1256">
        <f>Prices!D1256</f>
        <v/>
      </c>
      <c r="E1256">
        <f>Prices!E1256</f>
        <v/>
      </c>
      <c r="F1256">
        <f>Prices!F1256</f>
        <v/>
      </c>
      <c r="G1256">
        <f>IF(AND(1254&gt;=16,TEXT(A1256,"yyyy-mm")&lt;&gt;TEXT(A1257,"yyyy-mm")),1,0)</f>
        <v/>
      </c>
      <c r="H1256">
        <f>IF(OR(H1255=1,G1256=1),1,0)</f>
        <v/>
      </c>
      <c r="I1256">
        <f>IF(H1255=0,1,SUMPRODUCT(J1255:N1255,B1256:F1256)+O1255*(1+0.00023125256064071564))</f>
        <v/>
      </c>
      <c r="J1256">
        <f>IF(G1256=1,0.2*R1256/B1256,J1255)</f>
        <v/>
      </c>
      <c r="K1256">
        <f>IF(G1256=1,0.2*R1256/C1256,K1255)</f>
        <v/>
      </c>
      <c r="L1256">
        <f>IF(G1256=1,0.2*R1256/D1256,L1255)</f>
        <v/>
      </c>
      <c r="M1256">
        <f>IF(G1256=1,0.2*R1256/E1256,M1255)</f>
        <v/>
      </c>
      <c r="N1256">
        <f>IF(G1256=1,0.2*R1256/F1256,N1255)</f>
        <v/>
      </c>
      <c r="O1256">
        <f>IF(G1256=1,R1256*(1-1.0),IF(H1255=0,1,O1255*(1+0.00023125256064071564)))</f>
        <v/>
      </c>
      <c r="P1256">
        <f>IF(G1256=1,IF(H1255=0,1,ABS(0.2-J1255*B1256/I1256)+ABS(0.2-K1255*C1256/I1256)+ABS(0.2-L1255*D1256/I1256)+ABS(0.2-M1255*E1256/I1256)+ABS(0.2-N1255*F1256/I1256)),0)</f>
        <v/>
      </c>
      <c r="Q1256">
        <f>P1256*0.0015</f>
        <v/>
      </c>
      <c r="R1256">
        <f>I1256*(1-Q1256)</f>
        <v/>
      </c>
      <c r="S1256">
        <f>R1256/R1255-1</f>
        <v/>
      </c>
      <c r="T1256">
        <f>MAX(T1255,R1256)</f>
        <v/>
      </c>
      <c r="U1256">
        <f>R1256/T1256-1</f>
        <v/>
      </c>
      <c r="V1256" t="n">
        <v>3.135207457772875</v>
      </c>
      <c r="W1256" s="5">
        <f>R1256-V1256</f>
        <v/>
      </c>
    </row>
    <row r="1257">
      <c r="A1257" s="3" t="n">
        <v>40296</v>
      </c>
      <c r="B1257">
        <f>Prices!B1257</f>
        <v/>
      </c>
      <c r="C1257">
        <f>Prices!C1257</f>
        <v/>
      </c>
      <c r="D1257">
        <f>Prices!D1257</f>
        <v/>
      </c>
      <c r="E1257">
        <f>Prices!E1257</f>
        <v/>
      </c>
      <c r="F1257">
        <f>Prices!F1257</f>
        <v/>
      </c>
      <c r="G1257">
        <f>IF(AND(1255&gt;=16,TEXT(A1257,"yyyy-mm")&lt;&gt;TEXT(A1258,"yyyy-mm")),1,0)</f>
        <v/>
      </c>
      <c r="H1257">
        <f>IF(OR(H1256=1,G1257=1),1,0)</f>
        <v/>
      </c>
      <c r="I1257">
        <f>IF(H1256=0,1,SUMPRODUCT(J1256:N1256,B1257:F1257)+O1256*(1+0.00023125256064071564))</f>
        <v/>
      </c>
      <c r="J1257">
        <f>IF(G1257=1,0.2*R1257/B1257,J1256)</f>
        <v/>
      </c>
      <c r="K1257">
        <f>IF(G1257=1,0.2*R1257/C1257,K1256)</f>
        <v/>
      </c>
      <c r="L1257">
        <f>IF(G1257=1,0.2*R1257/D1257,L1256)</f>
        <v/>
      </c>
      <c r="M1257">
        <f>IF(G1257=1,0.2*R1257/E1257,M1256)</f>
        <v/>
      </c>
      <c r="N1257">
        <f>IF(G1257=1,0.2*R1257/F1257,N1256)</f>
        <v/>
      </c>
      <c r="O1257">
        <f>IF(G1257=1,R1257*(1-1.0),IF(H1256=0,1,O1256*(1+0.00023125256064071564)))</f>
        <v/>
      </c>
      <c r="P1257">
        <f>IF(G1257=1,IF(H1256=0,1,ABS(0.2-J1256*B1257/I1257)+ABS(0.2-K1256*C1257/I1257)+ABS(0.2-L1256*D1257/I1257)+ABS(0.2-M1256*E1257/I1257)+ABS(0.2-N1256*F1257/I1257)),0)</f>
        <v/>
      </c>
      <c r="Q1257">
        <f>P1257*0.0015</f>
        <v/>
      </c>
      <c r="R1257">
        <f>I1257*(1-Q1257)</f>
        <v/>
      </c>
      <c r="S1257">
        <f>R1257/R1256-1</f>
        <v/>
      </c>
      <c r="T1257">
        <f>MAX(T1256,R1257)</f>
        <v/>
      </c>
      <c r="U1257">
        <f>R1257/T1257-1</f>
        <v/>
      </c>
      <c r="V1257" t="n">
        <v>3.097170721826883</v>
      </c>
      <c r="W1257" s="5">
        <f>R1257-V1257</f>
        <v/>
      </c>
    </row>
    <row r="1258">
      <c r="A1258" s="3" t="n">
        <v>40297</v>
      </c>
      <c r="B1258">
        <f>Prices!B1258</f>
        <v/>
      </c>
      <c r="C1258">
        <f>Prices!C1258</f>
        <v/>
      </c>
      <c r="D1258">
        <f>Prices!D1258</f>
        <v/>
      </c>
      <c r="E1258">
        <f>Prices!E1258</f>
        <v/>
      </c>
      <c r="F1258">
        <f>Prices!F1258</f>
        <v/>
      </c>
      <c r="G1258">
        <f>IF(AND(1256&gt;=16,TEXT(A1258,"yyyy-mm")&lt;&gt;TEXT(A1259,"yyyy-mm")),1,0)</f>
        <v/>
      </c>
      <c r="H1258">
        <f>IF(OR(H1257=1,G1258=1),1,0)</f>
        <v/>
      </c>
      <c r="I1258">
        <f>IF(H1257=0,1,SUMPRODUCT(J1257:N1257,B1258:F1258)+O1257*(1+0.00023125256064071564))</f>
        <v/>
      </c>
      <c r="J1258">
        <f>IF(G1258=1,0.2*R1258/B1258,J1257)</f>
        <v/>
      </c>
      <c r="K1258">
        <f>IF(G1258=1,0.2*R1258/C1258,K1257)</f>
        <v/>
      </c>
      <c r="L1258">
        <f>IF(G1258=1,0.2*R1258/D1258,L1257)</f>
        <v/>
      </c>
      <c r="M1258">
        <f>IF(G1258=1,0.2*R1258/E1258,M1257)</f>
        <v/>
      </c>
      <c r="N1258">
        <f>IF(G1258=1,0.2*R1258/F1258,N1257)</f>
        <v/>
      </c>
      <c r="O1258">
        <f>IF(G1258=1,R1258*(1-1.0),IF(H1257=0,1,O1257*(1+0.00023125256064071564)))</f>
        <v/>
      </c>
      <c r="P1258">
        <f>IF(G1258=1,IF(H1257=0,1,ABS(0.2-J1257*B1258/I1258)+ABS(0.2-K1257*C1258/I1258)+ABS(0.2-L1257*D1258/I1258)+ABS(0.2-M1257*E1258/I1258)+ABS(0.2-N1257*F1258/I1258)),0)</f>
        <v/>
      </c>
      <c r="Q1258">
        <f>P1258*0.0015</f>
        <v/>
      </c>
      <c r="R1258">
        <f>I1258*(1-Q1258)</f>
        <v/>
      </c>
      <c r="S1258">
        <f>R1258/R1257-1</f>
        <v/>
      </c>
      <c r="T1258">
        <f>MAX(T1257,R1258)</f>
        <v/>
      </c>
      <c r="U1258">
        <f>R1258/T1258-1</f>
        <v/>
      </c>
      <c r="V1258" t="n">
        <v>3.110969199346215</v>
      </c>
      <c r="W1258" s="5">
        <f>R1258-V1258</f>
        <v/>
      </c>
    </row>
    <row r="1259">
      <c r="A1259" s="3" t="n">
        <v>40298</v>
      </c>
      <c r="B1259">
        <f>Prices!B1259</f>
        <v/>
      </c>
      <c r="C1259">
        <f>Prices!C1259</f>
        <v/>
      </c>
      <c r="D1259">
        <f>Prices!D1259</f>
        <v/>
      </c>
      <c r="E1259">
        <f>Prices!E1259</f>
        <v/>
      </c>
      <c r="F1259">
        <f>Prices!F1259</f>
        <v/>
      </c>
      <c r="G1259">
        <f>IF(AND(1257&gt;=16,TEXT(A1259,"yyyy-mm")&lt;&gt;TEXT(A1260,"yyyy-mm")),1,0)</f>
        <v/>
      </c>
      <c r="H1259">
        <f>IF(OR(H1258=1,G1259=1),1,0)</f>
        <v/>
      </c>
      <c r="I1259">
        <f>IF(H1258=0,1,SUMPRODUCT(J1258:N1258,B1259:F1259)+O1258*(1+0.00023125256064071564))</f>
        <v/>
      </c>
      <c r="J1259">
        <f>IF(G1259=1,0.2*R1259/B1259,J1258)</f>
        <v/>
      </c>
      <c r="K1259">
        <f>IF(G1259=1,0.2*R1259/C1259,K1258)</f>
        <v/>
      </c>
      <c r="L1259">
        <f>IF(G1259=1,0.2*R1259/D1259,L1258)</f>
        <v/>
      </c>
      <c r="M1259">
        <f>IF(G1259=1,0.2*R1259/E1259,M1258)</f>
        <v/>
      </c>
      <c r="N1259">
        <f>IF(G1259=1,0.2*R1259/F1259,N1258)</f>
        <v/>
      </c>
      <c r="O1259">
        <f>IF(G1259=1,R1259*(1-1.0),IF(H1258=0,1,O1258*(1+0.00023125256064071564)))</f>
        <v/>
      </c>
      <c r="P1259">
        <f>IF(G1259=1,IF(H1258=0,1,ABS(0.2-J1258*B1259/I1259)+ABS(0.2-K1258*C1259/I1259)+ABS(0.2-L1258*D1259/I1259)+ABS(0.2-M1258*E1259/I1259)+ABS(0.2-N1258*F1259/I1259)),0)</f>
        <v/>
      </c>
      <c r="Q1259">
        <f>P1259*0.0015</f>
        <v/>
      </c>
      <c r="R1259">
        <f>I1259*(1-Q1259)</f>
        <v/>
      </c>
      <c r="S1259">
        <f>R1259/R1258-1</f>
        <v/>
      </c>
      <c r="T1259">
        <f>MAX(T1258,R1259)</f>
        <v/>
      </c>
      <c r="U1259">
        <f>R1259/T1259-1</f>
        <v/>
      </c>
      <c r="V1259" t="n">
        <v>3.136527060672423</v>
      </c>
      <c r="W1259" s="5">
        <f>R1259-V1259</f>
        <v/>
      </c>
    </row>
    <row r="1260">
      <c r="A1260" s="3" t="n">
        <v>40301</v>
      </c>
      <c r="B1260">
        <f>Prices!B1260</f>
        <v/>
      </c>
      <c r="C1260">
        <f>Prices!C1260</f>
        <v/>
      </c>
      <c r="D1260">
        <f>Prices!D1260</f>
        <v/>
      </c>
      <c r="E1260">
        <f>Prices!E1260</f>
        <v/>
      </c>
      <c r="F1260">
        <f>Prices!F1260</f>
        <v/>
      </c>
      <c r="G1260">
        <f>IF(AND(1258&gt;=16,TEXT(A1260,"yyyy-mm")&lt;&gt;TEXT(A1261,"yyyy-mm")),1,0)</f>
        <v/>
      </c>
      <c r="H1260">
        <f>IF(OR(H1259=1,G1260=1),1,0)</f>
        <v/>
      </c>
      <c r="I1260">
        <f>IF(H1259=0,1,SUMPRODUCT(J1259:N1259,B1260:F1260)+O1259*(1+0.00023125256064071564))</f>
        <v/>
      </c>
      <c r="J1260">
        <f>IF(G1260=1,0.2*R1260/B1260,J1259)</f>
        <v/>
      </c>
      <c r="K1260">
        <f>IF(G1260=1,0.2*R1260/C1260,K1259)</f>
        <v/>
      </c>
      <c r="L1260">
        <f>IF(G1260=1,0.2*R1260/D1260,L1259)</f>
        <v/>
      </c>
      <c r="M1260">
        <f>IF(G1260=1,0.2*R1260/E1260,M1259)</f>
        <v/>
      </c>
      <c r="N1260">
        <f>IF(G1260=1,0.2*R1260/F1260,N1259)</f>
        <v/>
      </c>
      <c r="O1260">
        <f>IF(G1260=1,R1260*(1-1.0),IF(H1259=0,1,O1259*(1+0.00023125256064071564)))</f>
        <v/>
      </c>
      <c r="P1260">
        <f>IF(G1260=1,IF(H1259=0,1,ABS(0.2-J1259*B1260/I1260)+ABS(0.2-K1259*C1260/I1260)+ABS(0.2-L1259*D1260/I1260)+ABS(0.2-M1259*E1260/I1260)+ABS(0.2-N1259*F1260/I1260)),0)</f>
        <v/>
      </c>
      <c r="Q1260">
        <f>P1260*0.0015</f>
        <v/>
      </c>
      <c r="R1260">
        <f>I1260*(1-Q1260)</f>
        <v/>
      </c>
      <c r="S1260">
        <f>R1260/R1259-1</f>
        <v/>
      </c>
      <c r="T1260">
        <f>MAX(T1259,R1260)</f>
        <v/>
      </c>
      <c r="U1260">
        <f>R1260/T1260-1</f>
        <v/>
      </c>
      <c r="V1260" t="n">
        <v>3.108548180176739</v>
      </c>
      <c r="W1260" s="5">
        <f>R1260-V1260</f>
        <v/>
      </c>
    </row>
    <row r="1261">
      <c r="A1261" s="3" t="n">
        <v>40302</v>
      </c>
      <c r="B1261">
        <f>Prices!B1261</f>
        <v/>
      </c>
      <c r="C1261">
        <f>Prices!C1261</f>
        <v/>
      </c>
      <c r="D1261">
        <f>Prices!D1261</f>
        <v/>
      </c>
      <c r="E1261">
        <f>Prices!E1261</f>
        <v/>
      </c>
      <c r="F1261">
        <f>Prices!F1261</f>
        <v/>
      </c>
      <c r="G1261">
        <f>IF(AND(1259&gt;=16,TEXT(A1261,"yyyy-mm")&lt;&gt;TEXT(A1262,"yyyy-mm")),1,0)</f>
        <v/>
      </c>
      <c r="H1261">
        <f>IF(OR(H1260=1,G1261=1),1,0)</f>
        <v/>
      </c>
      <c r="I1261">
        <f>IF(H1260=0,1,SUMPRODUCT(J1260:N1260,B1261:F1261)+O1260*(1+0.00023125256064071564))</f>
        <v/>
      </c>
      <c r="J1261">
        <f>IF(G1261=1,0.2*R1261/B1261,J1260)</f>
        <v/>
      </c>
      <c r="K1261">
        <f>IF(G1261=1,0.2*R1261/C1261,K1260)</f>
        <v/>
      </c>
      <c r="L1261">
        <f>IF(G1261=1,0.2*R1261/D1261,L1260)</f>
        <v/>
      </c>
      <c r="M1261">
        <f>IF(G1261=1,0.2*R1261/E1261,M1260)</f>
        <v/>
      </c>
      <c r="N1261">
        <f>IF(G1261=1,0.2*R1261/F1261,N1260)</f>
        <v/>
      </c>
      <c r="O1261">
        <f>IF(G1261=1,R1261*(1-1.0),IF(H1260=0,1,O1260*(1+0.00023125256064071564)))</f>
        <v/>
      </c>
      <c r="P1261">
        <f>IF(G1261=1,IF(H1260=0,1,ABS(0.2-J1260*B1261/I1261)+ABS(0.2-K1260*C1261/I1261)+ABS(0.2-L1260*D1261/I1261)+ABS(0.2-M1260*E1261/I1261)+ABS(0.2-N1260*F1261/I1261)),0)</f>
        <v/>
      </c>
      <c r="Q1261">
        <f>P1261*0.0015</f>
        <v/>
      </c>
      <c r="R1261">
        <f>I1261*(1-Q1261)</f>
        <v/>
      </c>
      <c r="S1261">
        <f>R1261/R1260-1</f>
        <v/>
      </c>
      <c r="T1261">
        <f>MAX(T1260,R1261)</f>
        <v/>
      </c>
      <c r="U1261">
        <f>R1261/T1261-1</f>
        <v/>
      </c>
      <c r="V1261" t="n">
        <v>3.061740175616606</v>
      </c>
      <c r="W1261" s="5">
        <f>R1261-V1261</f>
        <v/>
      </c>
    </row>
    <row r="1262">
      <c r="A1262" s="3" t="n">
        <v>40303</v>
      </c>
      <c r="B1262">
        <f>Prices!B1262</f>
        <v/>
      </c>
      <c r="C1262">
        <f>Prices!C1262</f>
        <v/>
      </c>
      <c r="D1262">
        <f>Prices!D1262</f>
        <v/>
      </c>
      <c r="E1262">
        <f>Prices!E1262</f>
        <v/>
      </c>
      <c r="F1262">
        <f>Prices!F1262</f>
        <v/>
      </c>
      <c r="G1262">
        <f>IF(AND(1260&gt;=16,TEXT(A1262,"yyyy-mm")&lt;&gt;TEXT(A1263,"yyyy-mm")),1,0)</f>
        <v/>
      </c>
      <c r="H1262">
        <f>IF(OR(H1261=1,G1262=1),1,0)</f>
        <v/>
      </c>
      <c r="I1262">
        <f>IF(H1261=0,1,SUMPRODUCT(J1261:N1261,B1262:F1262)+O1261*(1+0.00023125256064071564))</f>
        <v/>
      </c>
      <c r="J1262">
        <f>IF(G1262=1,0.2*R1262/B1262,J1261)</f>
        <v/>
      </c>
      <c r="K1262">
        <f>IF(G1262=1,0.2*R1262/C1262,K1261)</f>
        <v/>
      </c>
      <c r="L1262">
        <f>IF(G1262=1,0.2*R1262/D1262,L1261)</f>
        <v/>
      </c>
      <c r="M1262">
        <f>IF(G1262=1,0.2*R1262/E1262,M1261)</f>
        <v/>
      </c>
      <c r="N1262">
        <f>IF(G1262=1,0.2*R1262/F1262,N1261)</f>
        <v/>
      </c>
      <c r="O1262">
        <f>IF(G1262=1,R1262*(1-1.0),IF(H1261=0,1,O1261*(1+0.00023125256064071564)))</f>
        <v/>
      </c>
      <c r="P1262">
        <f>IF(G1262=1,IF(H1261=0,1,ABS(0.2-J1261*B1262/I1262)+ABS(0.2-K1261*C1262/I1262)+ABS(0.2-L1261*D1262/I1262)+ABS(0.2-M1261*E1262/I1262)+ABS(0.2-N1261*F1262/I1262)),0)</f>
        <v/>
      </c>
      <c r="Q1262">
        <f>P1262*0.0015</f>
        <v/>
      </c>
      <c r="R1262">
        <f>I1262*(1-Q1262)</f>
        <v/>
      </c>
      <c r="S1262">
        <f>R1262/R1261-1</f>
        <v/>
      </c>
      <c r="T1262">
        <f>MAX(T1261,R1262)</f>
        <v/>
      </c>
      <c r="U1262">
        <f>R1262/T1262-1</f>
        <v/>
      </c>
      <c r="V1262" t="n">
        <v>3.067657166795458</v>
      </c>
      <c r="W1262" s="5">
        <f>R1262-V1262</f>
        <v/>
      </c>
    </row>
    <row r="1263">
      <c r="A1263" s="3" t="n">
        <v>40304</v>
      </c>
      <c r="B1263">
        <f>Prices!B1263</f>
        <v/>
      </c>
      <c r="C1263">
        <f>Prices!C1263</f>
        <v/>
      </c>
      <c r="D1263">
        <f>Prices!D1263</f>
        <v/>
      </c>
      <c r="E1263">
        <f>Prices!E1263</f>
        <v/>
      </c>
      <c r="F1263">
        <f>Prices!F1263</f>
        <v/>
      </c>
      <c r="G1263">
        <f>IF(AND(1261&gt;=16,TEXT(A1263,"yyyy-mm")&lt;&gt;TEXT(A1264,"yyyy-mm")),1,0)</f>
        <v/>
      </c>
      <c r="H1263">
        <f>IF(OR(H1262=1,G1263=1),1,0)</f>
        <v/>
      </c>
      <c r="I1263">
        <f>IF(H1262=0,1,SUMPRODUCT(J1262:N1262,B1263:F1263)+O1262*(1+0.00023125256064071564))</f>
        <v/>
      </c>
      <c r="J1263">
        <f>IF(G1263=1,0.2*R1263/B1263,J1262)</f>
        <v/>
      </c>
      <c r="K1263">
        <f>IF(G1263=1,0.2*R1263/C1263,K1262)</f>
        <v/>
      </c>
      <c r="L1263">
        <f>IF(G1263=1,0.2*R1263/D1263,L1262)</f>
        <v/>
      </c>
      <c r="M1263">
        <f>IF(G1263=1,0.2*R1263/E1263,M1262)</f>
        <v/>
      </c>
      <c r="N1263">
        <f>IF(G1263=1,0.2*R1263/F1263,N1262)</f>
        <v/>
      </c>
      <c r="O1263">
        <f>IF(G1263=1,R1263*(1-1.0),IF(H1262=0,1,O1262*(1+0.00023125256064071564)))</f>
        <v/>
      </c>
      <c r="P1263">
        <f>IF(G1263=1,IF(H1262=0,1,ABS(0.2-J1262*B1263/I1263)+ABS(0.2-K1262*C1263/I1263)+ABS(0.2-L1262*D1263/I1263)+ABS(0.2-M1262*E1263/I1263)+ABS(0.2-N1262*F1263/I1263)),0)</f>
        <v/>
      </c>
      <c r="Q1263">
        <f>P1263*0.0015</f>
        <v/>
      </c>
      <c r="R1263">
        <f>I1263*(1-Q1263)</f>
        <v/>
      </c>
      <c r="S1263">
        <f>R1263/R1262-1</f>
        <v/>
      </c>
      <c r="T1263">
        <f>MAX(T1262,R1263)</f>
        <v/>
      </c>
      <c r="U1263">
        <f>R1263/T1263-1</f>
        <v/>
      </c>
      <c r="V1263" t="n">
        <v>3.059865068176792</v>
      </c>
      <c r="W1263" s="5">
        <f>R1263-V1263</f>
        <v/>
      </c>
    </row>
    <row r="1264">
      <c r="A1264" s="3" t="n">
        <v>40305</v>
      </c>
      <c r="B1264">
        <f>Prices!B1264</f>
        <v/>
      </c>
      <c r="C1264">
        <f>Prices!C1264</f>
        <v/>
      </c>
      <c r="D1264">
        <f>Prices!D1264</f>
        <v/>
      </c>
      <c r="E1264">
        <f>Prices!E1264</f>
        <v/>
      </c>
      <c r="F1264">
        <f>Prices!F1264</f>
        <v/>
      </c>
      <c r="G1264">
        <f>IF(AND(1262&gt;=16,TEXT(A1264,"yyyy-mm")&lt;&gt;TEXT(A1265,"yyyy-mm")),1,0)</f>
        <v/>
      </c>
      <c r="H1264">
        <f>IF(OR(H1263=1,G1264=1),1,0)</f>
        <v/>
      </c>
      <c r="I1264">
        <f>IF(H1263=0,1,SUMPRODUCT(J1263:N1263,B1264:F1264)+O1263*(1+0.00023125256064071564))</f>
        <v/>
      </c>
      <c r="J1264">
        <f>IF(G1264=1,0.2*R1264/B1264,J1263)</f>
        <v/>
      </c>
      <c r="K1264">
        <f>IF(G1264=1,0.2*R1264/C1264,K1263)</f>
        <v/>
      </c>
      <c r="L1264">
        <f>IF(G1264=1,0.2*R1264/D1264,L1263)</f>
        <v/>
      </c>
      <c r="M1264">
        <f>IF(G1264=1,0.2*R1264/E1264,M1263)</f>
        <v/>
      </c>
      <c r="N1264">
        <f>IF(G1264=1,0.2*R1264/F1264,N1263)</f>
        <v/>
      </c>
      <c r="O1264">
        <f>IF(G1264=1,R1264*(1-1.0),IF(H1263=0,1,O1263*(1+0.00023125256064071564)))</f>
        <v/>
      </c>
      <c r="P1264">
        <f>IF(G1264=1,IF(H1263=0,1,ABS(0.2-J1263*B1264/I1264)+ABS(0.2-K1263*C1264/I1264)+ABS(0.2-L1263*D1264/I1264)+ABS(0.2-M1263*E1264/I1264)+ABS(0.2-N1263*F1264/I1264)),0)</f>
        <v/>
      </c>
      <c r="Q1264">
        <f>P1264*0.0015</f>
        <v/>
      </c>
      <c r="R1264">
        <f>I1264*(1-Q1264)</f>
        <v/>
      </c>
      <c r="S1264">
        <f>R1264/R1263-1</f>
        <v/>
      </c>
      <c r="T1264">
        <f>MAX(T1263,R1264)</f>
        <v/>
      </c>
      <c r="U1264">
        <f>R1264/T1264-1</f>
        <v/>
      </c>
      <c r="V1264" t="n">
        <v>2.992944006290961</v>
      </c>
      <c r="W1264" s="5">
        <f>R1264-V1264</f>
        <v/>
      </c>
    </row>
    <row r="1265">
      <c r="A1265" s="3" t="n">
        <v>40308</v>
      </c>
      <c r="B1265">
        <f>Prices!B1265</f>
        <v/>
      </c>
      <c r="C1265">
        <f>Prices!C1265</f>
        <v/>
      </c>
      <c r="D1265">
        <f>Prices!D1265</f>
        <v/>
      </c>
      <c r="E1265">
        <f>Prices!E1265</f>
        <v/>
      </c>
      <c r="F1265">
        <f>Prices!F1265</f>
        <v/>
      </c>
      <c r="G1265">
        <f>IF(AND(1263&gt;=16,TEXT(A1265,"yyyy-mm")&lt;&gt;TEXT(A1266,"yyyy-mm")),1,0)</f>
        <v/>
      </c>
      <c r="H1265">
        <f>IF(OR(H1264=1,G1265=1),1,0)</f>
        <v/>
      </c>
      <c r="I1265">
        <f>IF(H1264=0,1,SUMPRODUCT(J1264:N1264,B1265:F1265)+O1264*(1+0.00023125256064071564))</f>
        <v/>
      </c>
      <c r="J1265">
        <f>IF(G1265=1,0.2*R1265/B1265,J1264)</f>
        <v/>
      </c>
      <c r="K1265">
        <f>IF(G1265=1,0.2*R1265/C1265,K1264)</f>
        <v/>
      </c>
      <c r="L1265">
        <f>IF(G1265=1,0.2*R1265/D1265,L1264)</f>
        <v/>
      </c>
      <c r="M1265">
        <f>IF(G1265=1,0.2*R1265/E1265,M1264)</f>
        <v/>
      </c>
      <c r="N1265">
        <f>IF(G1265=1,0.2*R1265/F1265,N1264)</f>
        <v/>
      </c>
      <c r="O1265">
        <f>IF(G1265=1,R1265*(1-1.0),IF(H1264=0,1,O1264*(1+0.00023125256064071564)))</f>
        <v/>
      </c>
      <c r="P1265">
        <f>IF(G1265=1,IF(H1264=0,1,ABS(0.2-J1264*B1265/I1265)+ABS(0.2-K1264*C1265/I1265)+ABS(0.2-L1264*D1265/I1265)+ABS(0.2-M1264*E1265/I1265)+ABS(0.2-N1264*F1265/I1265)),0)</f>
        <v/>
      </c>
      <c r="Q1265">
        <f>P1265*0.0015</f>
        <v/>
      </c>
      <c r="R1265">
        <f>I1265*(1-Q1265)</f>
        <v/>
      </c>
      <c r="S1265">
        <f>R1265/R1264-1</f>
        <v/>
      </c>
      <c r="T1265">
        <f>MAX(T1264,R1265)</f>
        <v/>
      </c>
      <c r="U1265">
        <f>R1265/T1265-1</f>
        <v/>
      </c>
      <c r="V1265" t="n">
        <v>3.065088500351018</v>
      </c>
      <c r="W1265" s="5">
        <f>R1265-V1265</f>
        <v/>
      </c>
    </row>
    <row r="1266">
      <c r="A1266" s="3" t="n">
        <v>40309</v>
      </c>
      <c r="B1266">
        <f>Prices!B1266</f>
        <v/>
      </c>
      <c r="C1266">
        <f>Prices!C1266</f>
        <v/>
      </c>
      <c r="D1266">
        <f>Prices!D1266</f>
        <v/>
      </c>
      <c r="E1266">
        <f>Prices!E1266</f>
        <v/>
      </c>
      <c r="F1266">
        <f>Prices!F1266</f>
        <v/>
      </c>
      <c r="G1266">
        <f>IF(AND(1264&gt;=16,TEXT(A1266,"yyyy-mm")&lt;&gt;TEXT(A1267,"yyyy-mm")),1,0)</f>
        <v/>
      </c>
      <c r="H1266">
        <f>IF(OR(H1265=1,G1266=1),1,0)</f>
        <v/>
      </c>
      <c r="I1266">
        <f>IF(H1265=0,1,SUMPRODUCT(J1265:N1265,B1266:F1266)+O1265*(1+0.00023125256064071564))</f>
        <v/>
      </c>
      <c r="J1266">
        <f>IF(G1266=1,0.2*R1266/B1266,J1265)</f>
        <v/>
      </c>
      <c r="K1266">
        <f>IF(G1266=1,0.2*R1266/C1266,K1265)</f>
        <v/>
      </c>
      <c r="L1266">
        <f>IF(G1266=1,0.2*R1266/D1266,L1265)</f>
        <v/>
      </c>
      <c r="M1266">
        <f>IF(G1266=1,0.2*R1266/E1266,M1265)</f>
        <v/>
      </c>
      <c r="N1266">
        <f>IF(G1266=1,0.2*R1266/F1266,N1265)</f>
        <v/>
      </c>
      <c r="O1266">
        <f>IF(G1266=1,R1266*(1-1.0),IF(H1265=0,1,O1265*(1+0.00023125256064071564)))</f>
        <v/>
      </c>
      <c r="P1266">
        <f>IF(G1266=1,IF(H1265=0,1,ABS(0.2-J1265*B1266/I1266)+ABS(0.2-K1265*C1266/I1266)+ABS(0.2-L1265*D1266/I1266)+ABS(0.2-M1265*E1266/I1266)+ABS(0.2-N1265*F1266/I1266)),0)</f>
        <v/>
      </c>
      <c r="Q1266">
        <f>P1266*0.0015</f>
        <v/>
      </c>
      <c r="R1266">
        <f>I1266*(1-Q1266)</f>
        <v/>
      </c>
      <c r="S1266">
        <f>R1266/R1265-1</f>
        <v/>
      </c>
      <c r="T1266">
        <f>MAX(T1265,R1266)</f>
        <v/>
      </c>
      <c r="U1266">
        <f>R1266/T1266-1</f>
        <v/>
      </c>
      <c r="V1266" t="n">
        <v>3.033612501606593</v>
      </c>
      <c r="W1266" s="5">
        <f>R1266-V1266</f>
        <v/>
      </c>
    </row>
    <row r="1267">
      <c r="A1267" s="3" t="n">
        <v>40310</v>
      </c>
      <c r="B1267">
        <f>Prices!B1267</f>
        <v/>
      </c>
      <c r="C1267">
        <f>Prices!C1267</f>
        <v/>
      </c>
      <c r="D1267">
        <f>Prices!D1267</f>
        <v/>
      </c>
      <c r="E1267">
        <f>Prices!E1267</f>
        <v/>
      </c>
      <c r="F1267">
        <f>Prices!F1267</f>
        <v/>
      </c>
      <c r="G1267">
        <f>IF(AND(1265&gt;=16,TEXT(A1267,"yyyy-mm")&lt;&gt;TEXT(A1268,"yyyy-mm")),1,0)</f>
        <v/>
      </c>
      <c r="H1267">
        <f>IF(OR(H1266=1,G1267=1),1,0)</f>
        <v/>
      </c>
      <c r="I1267">
        <f>IF(H1266=0,1,SUMPRODUCT(J1266:N1266,B1267:F1267)+O1266*(1+0.00023125256064071564))</f>
        <v/>
      </c>
      <c r="J1267">
        <f>IF(G1267=1,0.2*R1267/B1267,J1266)</f>
        <v/>
      </c>
      <c r="K1267">
        <f>IF(G1267=1,0.2*R1267/C1267,K1266)</f>
        <v/>
      </c>
      <c r="L1267">
        <f>IF(G1267=1,0.2*R1267/D1267,L1266)</f>
        <v/>
      </c>
      <c r="M1267">
        <f>IF(G1267=1,0.2*R1267/E1267,M1266)</f>
        <v/>
      </c>
      <c r="N1267">
        <f>IF(G1267=1,0.2*R1267/F1267,N1266)</f>
        <v/>
      </c>
      <c r="O1267">
        <f>IF(G1267=1,R1267*(1-1.0),IF(H1266=0,1,O1266*(1+0.00023125256064071564)))</f>
        <v/>
      </c>
      <c r="P1267">
        <f>IF(G1267=1,IF(H1266=0,1,ABS(0.2-J1266*B1267/I1267)+ABS(0.2-K1266*C1267/I1267)+ABS(0.2-L1266*D1267/I1267)+ABS(0.2-M1266*E1267/I1267)+ABS(0.2-N1266*F1267/I1267)),0)</f>
        <v/>
      </c>
      <c r="Q1267">
        <f>P1267*0.0015</f>
        <v/>
      </c>
      <c r="R1267">
        <f>I1267*(1-Q1267)</f>
        <v/>
      </c>
      <c r="S1267">
        <f>R1267/R1266-1</f>
        <v/>
      </c>
      <c r="T1267">
        <f>MAX(T1266,R1267)</f>
        <v/>
      </c>
      <c r="U1267">
        <f>R1267/T1267-1</f>
        <v/>
      </c>
      <c r="V1267" t="n">
        <v>3.048239312286262</v>
      </c>
      <c r="W1267" s="5">
        <f>R1267-V1267</f>
        <v/>
      </c>
    </row>
    <row r="1268">
      <c r="A1268" s="3" t="n">
        <v>40311</v>
      </c>
      <c r="B1268">
        <f>Prices!B1268</f>
        <v/>
      </c>
      <c r="C1268">
        <f>Prices!C1268</f>
        <v/>
      </c>
      <c r="D1268">
        <f>Prices!D1268</f>
        <v/>
      </c>
      <c r="E1268">
        <f>Prices!E1268</f>
        <v/>
      </c>
      <c r="F1268">
        <f>Prices!F1268</f>
        <v/>
      </c>
      <c r="G1268">
        <f>IF(AND(1266&gt;=16,TEXT(A1268,"yyyy-mm")&lt;&gt;TEXT(A1269,"yyyy-mm")),1,0)</f>
        <v/>
      </c>
      <c r="H1268">
        <f>IF(OR(H1267=1,G1268=1),1,0)</f>
        <v/>
      </c>
      <c r="I1268">
        <f>IF(H1267=0,1,SUMPRODUCT(J1267:N1267,B1268:F1268)+O1267*(1+0.00023125256064071564))</f>
        <v/>
      </c>
      <c r="J1268">
        <f>IF(G1268=1,0.2*R1268/B1268,J1267)</f>
        <v/>
      </c>
      <c r="K1268">
        <f>IF(G1268=1,0.2*R1268/C1268,K1267)</f>
        <v/>
      </c>
      <c r="L1268">
        <f>IF(G1268=1,0.2*R1268/D1268,L1267)</f>
        <v/>
      </c>
      <c r="M1268">
        <f>IF(G1268=1,0.2*R1268/E1268,M1267)</f>
        <v/>
      </c>
      <c r="N1268">
        <f>IF(G1268=1,0.2*R1268/F1268,N1267)</f>
        <v/>
      </c>
      <c r="O1268">
        <f>IF(G1268=1,R1268*(1-1.0),IF(H1267=0,1,O1267*(1+0.00023125256064071564)))</f>
        <v/>
      </c>
      <c r="P1268">
        <f>IF(G1268=1,IF(H1267=0,1,ABS(0.2-J1267*B1268/I1268)+ABS(0.2-K1267*C1268/I1268)+ABS(0.2-L1267*D1268/I1268)+ABS(0.2-M1267*E1268/I1268)+ABS(0.2-N1267*F1268/I1268)),0)</f>
        <v/>
      </c>
      <c r="Q1268">
        <f>P1268*0.0015</f>
        <v/>
      </c>
      <c r="R1268">
        <f>I1268*(1-Q1268)</f>
        <v/>
      </c>
      <c r="S1268">
        <f>R1268/R1267-1</f>
        <v/>
      </c>
      <c r="T1268">
        <f>MAX(T1267,R1268)</f>
        <v/>
      </c>
      <c r="U1268">
        <f>R1268/T1268-1</f>
        <v/>
      </c>
      <c r="V1268" t="n">
        <v>3.066566510277028</v>
      </c>
      <c r="W1268" s="5">
        <f>R1268-V1268</f>
        <v/>
      </c>
    </row>
    <row r="1269">
      <c r="A1269" s="3" t="n">
        <v>40312</v>
      </c>
      <c r="B1269">
        <f>Prices!B1269</f>
        <v/>
      </c>
      <c r="C1269">
        <f>Prices!C1269</f>
        <v/>
      </c>
      <c r="D1269">
        <f>Prices!D1269</f>
        <v/>
      </c>
      <c r="E1269">
        <f>Prices!E1269</f>
        <v/>
      </c>
      <c r="F1269">
        <f>Prices!F1269</f>
        <v/>
      </c>
      <c r="G1269">
        <f>IF(AND(1267&gt;=16,TEXT(A1269,"yyyy-mm")&lt;&gt;TEXT(A1270,"yyyy-mm")),1,0)</f>
        <v/>
      </c>
      <c r="H1269">
        <f>IF(OR(H1268=1,G1269=1),1,0)</f>
        <v/>
      </c>
      <c r="I1269">
        <f>IF(H1268=0,1,SUMPRODUCT(J1268:N1268,B1269:F1269)+O1268*(1+0.00023125256064071564))</f>
        <v/>
      </c>
      <c r="J1269">
        <f>IF(G1269=1,0.2*R1269/B1269,J1268)</f>
        <v/>
      </c>
      <c r="K1269">
        <f>IF(G1269=1,0.2*R1269/C1269,K1268)</f>
        <v/>
      </c>
      <c r="L1269">
        <f>IF(G1269=1,0.2*R1269/D1269,L1268)</f>
        <v/>
      </c>
      <c r="M1269">
        <f>IF(G1269=1,0.2*R1269/E1269,M1268)</f>
        <v/>
      </c>
      <c r="N1269">
        <f>IF(G1269=1,0.2*R1269/F1269,N1268)</f>
        <v/>
      </c>
      <c r="O1269">
        <f>IF(G1269=1,R1269*(1-1.0),IF(H1268=0,1,O1268*(1+0.00023125256064071564)))</f>
        <v/>
      </c>
      <c r="P1269">
        <f>IF(G1269=1,IF(H1268=0,1,ABS(0.2-J1268*B1269/I1269)+ABS(0.2-K1268*C1269/I1269)+ABS(0.2-L1268*D1269/I1269)+ABS(0.2-M1268*E1269/I1269)+ABS(0.2-N1268*F1269/I1269)),0)</f>
        <v/>
      </c>
      <c r="Q1269">
        <f>P1269*0.0015</f>
        <v/>
      </c>
      <c r="R1269">
        <f>I1269*(1-Q1269)</f>
        <v/>
      </c>
      <c r="S1269">
        <f>R1269/R1268-1</f>
        <v/>
      </c>
      <c r="T1269">
        <f>MAX(T1268,R1269)</f>
        <v/>
      </c>
      <c r="U1269">
        <f>R1269/T1269-1</f>
        <v/>
      </c>
      <c r="V1269" t="n">
        <v>3.040342726122569</v>
      </c>
      <c r="W1269" s="5">
        <f>R1269-V1269</f>
        <v/>
      </c>
    </row>
    <row r="1270">
      <c r="A1270" s="3" t="n">
        <v>40315</v>
      </c>
      <c r="B1270">
        <f>Prices!B1270</f>
        <v/>
      </c>
      <c r="C1270">
        <f>Prices!C1270</f>
        <v/>
      </c>
      <c r="D1270">
        <f>Prices!D1270</f>
        <v/>
      </c>
      <c r="E1270">
        <f>Prices!E1270</f>
        <v/>
      </c>
      <c r="F1270">
        <f>Prices!F1270</f>
        <v/>
      </c>
      <c r="G1270">
        <f>IF(AND(1268&gt;=16,TEXT(A1270,"yyyy-mm")&lt;&gt;TEXT(A1271,"yyyy-mm")),1,0)</f>
        <v/>
      </c>
      <c r="H1270">
        <f>IF(OR(H1269=1,G1270=1),1,0)</f>
        <v/>
      </c>
      <c r="I1270">
        <f>IF(H1269=0,1,SUMPRODUCT(J1269:N1269,B1270:F1270)+O1269*(1+0.00023125256064071564))</f>
        <v/>
      </c>
      <c r="J1270">
        <f>IF(G1270=1,0.2*R1270/B1270,J1269)</f>
        <v/>
      </c>
      <c r="K1270">
        <f>IF(G1270=1,0.2*R1270/C1270,K1269)</f>
        <v/>
      </c>
      <c r="L1270">
        <f>IF(G1270=1,0.2*R1270/D1270,L1269)</f>
        <v/>
      </c>
      <c r="M1270">
        <f>IF(G1270=1,0.2*R1270/E1270,M1269)</f>
        <v/>
      </c>
      <c r="N1270">
        <f>IF(G1270=1,0.2*R1270/F1270,N1269)</f>
        <v/>
      </c>
      <c r="O1270">
        <f>IF(G1270=1,R1270*(1-1.0),IF(H1269=0,1,O1269*(1+0.00023125256064071564)))</f>
        <v/>
      </c>
      <c r="P1270">
        <f>IF(G1270=1,IF(H1269=0,1,ABS(0.2-J1269*B1270/I1270)+ABS(0.2-K1269*C1270/I1270)+ABS(0.2-L1269*D1270/I1270)+ABS(0.2-M1269*E1270/I1270)+ABS(0.2-N1269*F1270/I1270)),0)</f>
        <v/>
      </c>
      <c r="Q1270">
        <f>P1270*0.0015</f>
        <v/>
      </c>
      <c r="R1270">
        <f>I1270*(1-Q1270)</f>
        <v/>
      </c>
      <c r="S1270">
        <f>R1270/R1269-1</f>
        <v/>
      </c>
      <c r="T1270">
        <f>MAX(T1269,R1270)</f>
        <v/>
      </c>
      <c r="U1270">
        <f>R1270/T1270-1</f>
        <v/>
      </c>
      <c r="V1270" t="n">
        <v>3.028251350346929</v>
      </c>
      <c r="W1270" s="5">
        <f>R1270-V1270</f>
        <v/>
      </c>
    </row>
    <row r="1271">
      <c r="A1271" s="3" t="n">
        <v>40316</v>
      </c>
      <c r="B1271">
        <f>Prices!B1271</f>
        <v/>
      </c>
      <c r="C1271">
        <f>Prices!C1271</f>
        <v/>
      </c>
      <c r="D1271">
        <f>Prices!D1271</f>
        <v/>
      </c>
      <c r="E1271">
        <f>Prices!E1271</f>
        <v/>
      </c>
      <c r="F1271">
        <f>Prices!F1271</f>
        <v/>
      </c>
      <c r="G1271">
        <f>IF(AND(1269&gt;=16,TEXT(A1271,"yyyy-mm")&lt;&gt;TEXT(A1272,"yyyy-mm")),1,0)</f>
        <v/>
      </c>
      <c r="H1271">
        <f>IF(OR(H1270=1,G1271=1),1,0)</f>
        <v/>
      </c>
      <c r="I1271">
        <f>IF(H1270=0,1,SUMPRODUCT(J1270:N1270,B1271:F1271)+O1270*(1+0.00023125256064071564))</f>
        <v/>
      </c>
      <c r="J1271">
        <f>IF(G1271=1,0.2*R1271/B1271,J1270)</f>
        <v/>
      </c>
      <c r="K1271">
        <f>IF(G1271=1,0.2*R1271/C1271,K1270)</f>
        <v/>
      </c>
      <c r="L1271">
        <f>IF(G1271=1,0.2*R1271/D1271,L1270)</f>
        <v/>
      </c>
      <c r="M1271">
        <f>IF(G1271=1,0.2*R1271/E1271,M1270)</f>
        <v/>
      </c>
      <c r="N1271">
        <f>IF(G1271=1,0.2*R1271/F1271,N1270)</f>
        <v/>
      </c>
      <c r="O1271">
        <f>IF(G1271=1,R1271*(1-1.0),IF(H1270=0,1,O1270*(1+0.00023125256064071564)))</f>
        <v/>
      </c>
      <c r="P1271">
        <f>IF(G1271=1,IF(H1270=0,1,ABS(0.2-J1270*B1271/I1271)+ABS(0.2-K1270*C1271/I1271)+ABS(0.2-L1270*D1271/I1271)+ABS(0.2-M1270*E1271/I1271)+ABS(0.2-N1270*F1271/I1271)),0)</f>
        <v/>
      </c>
      <c r="Q1271">
        <f>P1271*0.0015</f>
        <v/>
      </c>
      <c r="R1271">
        <f>I1271*(1-Q1271)</f>
        <v/>
      </c>
      <c r="S1271">
        <f>R1271/R1270-1</f>
        <v/>
      </c>
      <c r="T1271">
        <f>MAX(T1270,R1271)</f>
        <v/>
      </c>
      <c r="U1271">
        <f>R1271/T1271-1</f>
        <v/>
      </c>
      <c r="V1271" t="n">
        <v>3.033340108523282</v>
      </c>
      <c r="W1271" s="5">
        <f>R1271-V1271</f>
        <v/>
      </c>
    </row>
    <row r="1272">
      <c r="A1272" s="3" t="n">
        <v>40317</v>
      </c>
      <c r="B1272">
        <f>Prices!B1272</f>
        <v/>
      </c>
      <c r="C1272">
        <f>Prices!C1272</f>
        <v/>
      </c>
      <c r="D1272">
        <f>Prices!D1272</f>
        <v/>
      </c>
      <c r="E1272">
        <f>Prices!E1272</f>
        <v/>
      </c>
      <c r="F1272">
        <f>Prices!F1272</f>
        <v/>
      </c>
      <c r="G1272">
        <f>IF(AND(1270&gt;=16,TEXT(A1272,"yyyy-mm")&lt;&gt;TEXT(A1273,"yyyy-mm")),1,0)</f>
        <v/>
      </c>
      <c r="H1272">
        <f>IF(OR(H1271=1,G1272=1),1,0)</f>
        <v/>
      </c>
      <c r="I1272">
        <f>IF(H1271=0,1,SUMPRODUCT(J1271:N1271,B1272:F1272)+O1271*(1+0.00023125256064071564))</f>
        <v/>
      </c>
      <c r="J1272">
        <f>IF(G1272=1,0.2*R1272/B1272,J1271)</f>
        <v/>
      </c>
      <c r="K1272">
        <f>IF(G1272=1,0.2*R1272/C1272,K1271)</f>
        <v/>
      </c>
      <c r="L1272">
        <f>IF(G1272=1,0.2*R1272/D1272,L1271)</f>
        <v/>
      </c>
      <c r="M1272">
        <f>IF(G1272=1,0.2*R1272/E1272,M1271)</f>
        <v/>
      </c>
      <c r="N1272">
        <f>IF(G1272=1,0.2*R1272/F1272,N1271)</f>
        <v/>
      </c>
      <c r="O1272">
        <f>IF(G1272=1,R1272*(1-1.0),IF(H1271=0,1,O1271*(1+0.00023125256064071564)))</f>
        <v/>
      </c>
      <c r="P1272">
        <f>IF(G1272=1,IF(H1271=0,1,ABS(0.2-J1271*B1272/I1272)+ABS(0.2-K1271*C1272/I1272)+ABS(0.2-L1271*D1272/I1272)+ABS(0.2-M1271*E1272/I1272)+ABS(0.2-N1271*F1272/I1272)),0)</f>
        <v/>
      </c>
      <c r="Q1272">
        <f>P1272*0.0015</f>
        <v/>
      </c>
      <c r="R1272">
        <f>I1272*(1-Q1272)</f>
        <v/>
      </c>
      <c r="S1272">
        <f>R1272/R1271-1</f>
        <v/>
      </c>
      <c r="T1272">
        <f>MAX(T1271,R1272)</f>
        <v/>
      </c>
      <c r="U1272">
        <f>R1272/T1272-1</f>
        <v/>
      </c>
      <c r="V1272" t="n">
        <v>2.959284346120807</v>
      </c>
      <c r="W1272" s="5">
        <f>R1272-V1272</f>
        <v/>
      </c>
    </row>
    <row r="1273">
      <c r="A1273" s="3" t="n">
        <v>40318</v>
      </c>
      <c r="B1273">
        <f>Prices!B1273</f>
        <v/>
      </c>
      <c r="C1273">
        <f>Prices!C1273</f>
        <v/>
      </c>
      <c r="D1273">
        <f>Prices!D1273</f>
        <v/>
      </c>
      <c r="E1273">
        <f>Prices!E1273</f>
        <v/>
      </c>
      <c r="F1273">
        <f>Prices!F1273</f>
        <v/>
      </c>
      <c r="G1273">
        <f>IF(AND(1271&gt;=16,TEXT(A1273,"yyyy-mm")&lt;&gt;TEXT(A1274,"yyyy-mm")),1,0)</f>
        <v/>
      </c>
      <c r="H1273">
        <f>IF(OR(H1272=1,G1273=1),1,0)</f>
        <v/>
      </c>
      <c r="I1273">
        <f>IF(H1272=0,1,SUMPRODUCT(J1272:N1272,B1273:F1273)+O1272*(1+0.00023125256064071564))</f>
        <v/>
      </c>
      <c r="J1273">
        <f>IF(G1273=1,0.2*R1273/B1273,J1272)</f>
        <v/>
      </c>
      <c r="K1273">
        <f>IF(G1273=1,0.2*R1273/C1273,K1272)</f>
        <v/>
      </c>
      <c r="L1273">
        <f>IF(G1273=1,0.2*R1273/D1273,L1272)</f>
        <v/>
      </c>
      <c r="M1273">
        <f>IF(G1273=1,0.2*R1273/E1273,M1272)</f>
        <v/>
      </c>
      <c r="N1273">
        <f>IF(G1273=1,0.2*R1273/F1273,N1272)</f>
        <v/>
      </c>
      <c r="O1273">
        <f>IF(G1273=1,R1273*(1-1.0),IF(H1272=0,1,O1272*(1+0.00023125256064071564)))</f>
        <v/>
      </c>
      <c r="P1273">
        <f>IF(G1273=1,IF(H1272=0,1,ABS(0.2-J1272*B1273/I1273)+ABS(0.2-K1272*C1273/I1273)+ABS(0.2-L1272*D1273/I1273)+ABS(0.2-M1272*E1273/I1273)+ABS(0.2-N1272*F1273/I1273)),0)</f>
        <v/>
      </c>
      <c r="Q1273">
        <f>P1273*0.0015</f>
        <v/>
      </c>
      <c r="R1273">
        <f>I1273*(1-Q1273)</f>
        <v/>
      </c>
      <c r="S1273">
        <f>R1273/R1272-1</f>
        <v/>
      </c>
      <c r="T1273">
        <f>MAX(T1272,R1273)</f>
        <v/>
      </c>
      <c r="U1273">
        <f>R1273/T1273-1</f>
        <v/>
      </c>
      <c r="V1273" t="n">
        <v>2.964779435223321</v>
      </c>
      <c r="W1273" s="5">
        <f>R1273-V1273</f>
        <v/>
      </c>
    </row>
    <row r="1274">
      <c r="A1274" s="3" t="n">
        <v>40319</v>
      </c>
      <c r="B1274">
        <f>Prices!B1274</f>
        <v/>
      </c>
      <c r="C1274">
        <f>Prices!C1274</f>
        <v/>
      </c>
      <c r="D1274">
        <f>Prices!D1274</f>
        <v/>
      </c>
      <c r="E1274">
        <f>Prices!E1274</f>
        <v/>
      </c>
      <c r="F1274">
        <f>Prices!F1274</f>
        <v/>
      </c>
      <c r="G1274">
        <f>IF(AND(1272&gt;=16,TEXT(A1274,"yyyy-mm")&lt;&gt;TEXT(A1275,"yyyy-mm")),1,0)</f>
        <v/>
      </c>
      <c r="H1274">
        <f>IF(OR(H1273=1,G1274=1),1,0)</f>
        <v/>
      </c>
      <c r="I1274">
        <f>IF(H1273=0,1,SUMPRODUCT(J1273:N1273,B1274:F1274)+O1273*(1+0.00023125256064071564))</f>
        <v/>
      </c>
      <c r="J1274">
        <f>IF(G1274=1,0.2*R1274/B1274,J1273)</f>
        <v/>
      </c>
      <c r="K1274">
        <f>IF(G1274=1,0.2*R1274/C1274,K1273)</f>
        <v/>
      </c>
      <c r="L1274">
        <f>IF(G1274=1,0.2*R1274/D1274,L1273)</f>
        <v/>
      </c>
      <c r="M1274">
        <f>IF(G1274=1,0.2*R1274/E1274,M1273)</f>
        <v/>
      </c>
      <c r="N1274">
        <f>IF(G1274=1,0.2*R1274/F1274,N1273)</f>
        <v/>
      </c>
      <c r="O1274">
        <f>IF(G1274=1,R1274*(1-1.0),IF(H1273=0,1,O1273*(1+0.00023125256064071564)))</f>
        <v/>
      </c>
      <c r="P1274">
        <f>IF(G1274=1,IF(H1273=0,1,ABS(0.2-J1273*B1274/I1274)+ABS(0.2-K1273*C1274/I1274)+ABS(0.2-L1273*D1274/I1274)+ABS(0.2-M1273*E1274/I1274)+ABS(0.2-N1273*F1274/I1274)),0)</f>
        <v/>
      </c>
      <c r="Q1274">
        <f>P1274*0.0015</f>
        <v/>
      </c>
      <c r="R1274">
        <f>I1274*(1-Q1274)</f>
        <v/>
      </c>
      <c r="S1274">
        <f>R1274/R1273-1</f>
        <v/>
      </c>
      <c r="T1274">
        <f>MAX(T1273,R1274)</f>
        <v/>
      </c>
      <c r="U1274">
        <f>R1274/T1274-1</f>
        <v/>
      </c>
      <c r="V1274" t="n">
        <v>2.936294227083859</v>
      </c>
      <c r="W1274" s="5">
        <f>R1274-V1274</f>
        <v/>
      </c>
    </row>
    <row r="1275">
      <c r="A1275" s="3" t="n">
        <v>40322</v>
      </c>
      <c r="B1275">
        <f>Prices!B1275</f>
        <v/>
      </c>
      <c r="C1275">
        <f>Prices!C1275</f>
        <v/>
      </c>
      <c r="D1275">
        <f>Prices!D1275</f>
        <v/>
      </c>
      <c r="E1275">
        <f>Prices!E1275</f>
        <v/>
      </c>
      <c r="F1275">
        <f>Prices!F1275</f>
        <v/>
      </c>
      <c r="G1275">
        <f>IF(AND(1273&gt;=16,TEXT(A1275,"yyyy-mm")&lt;&gt;TEXT(A1276,"yyyy-mm")),1,0)</f>
        <v/>
      </c>
      <c r="H1275">
        <f>IF(OR(H1274=1,G1275=1),1,0)</f>
        <v/>
      </c>
      <c r="I1275">
        <f>IF(H1274=0,1,SUMPRODUCT(J1274:N1274,B1275:F1275)+O1274*(1+0.00023125256064071564))</f>
        <v/>
      </c>
      <c r="J1275">
        <f>IF(G1275=1,0.2*R1275/B1275,J1274)</f>
        <v/>
      </c>
      <c r="K1275">
        <f>IF(G1275=1,0.2*R1275/C1275,K1274)</f>
        <v/>
      </c>
      <c r="L1275">
        <f>IF(G1275=1,0.2*R1275/D1275,L1274)</f>
        <v/>
      </c>
      <c r="M1275">
        <f>IF(G1275=1,0.2*R1275/E1275,M1274)</f>
        <v/>
      </c>
      <c r="N1275">
        <f>IF(G1275=1,0.2*R1275/F1275,N1274)</f>
        <v/>
      </c>
      <c r="O1275">
        <f>IF(G1275=1,R1275*(1-1.0),IF(H1274=0,1,O1274*(1+0.00023125256064071564)))</f>
        <v/>
      </c>
      <c r="P1275">
        <f>IF(G1275=1,IF(H1274=0,1,ABS(0.2-J1274*B1275/I1275)+ABS(0.2-K1274*C1275/I1275)+ABS(0.2-L1274*D1275/I1275)+ABS(0.2-M1274*E1275/I1275)+ABS(0.2-N1274*F1275/I1275)),0)</f>
        <v/>
      </c>
      <c r="Q1275">
        <f>P1275*0.0015</f>
        <v/>
      </c>
      <c r="R1275">
        <f>I1275*(1-Q1275)</f>
        <v/>
      </c>
      <c r="S1275">
        <f>R1275/R1274-1</f>
        <v/>
      </c>
      <c r="T1275">
        <f>MAX(T1274,R1275)</f>
        <v/>
      </c>
      <c r="U1275">
        <f>R1275/T1275-1</f>
        <v/>
      </c>
      <c r="V1275" t="n">
        <v>2.940918054865886</v>
      </c>
      <c r="W1275" s="5">
        <f>R1275-V1275</f>
        <v/>
      </c>
    </row>
    <row r="1276">
      <c r="A1276" s="3" t="n">
        <v>40323</v>
      </c>
      <c r="B1276">
        <f>Prices!B1276</f>
        <v/>
      </c>
      <c r="C1276">
        <f>Prices!C1276</f>
        <v/>
      </c>
      <c r="D1276">
        <f>Prices!D1276</f>
        <v/>
      </c>
      <c r="E1276">
        <f>Prices!E1276</f>
        <v/>
      </c>
      <c r="F1276">
        <f>Prices!F1276</f>
        <v/>
      </c>
      <c r="G1276">
        <f>IF(AND(1274&gt;=16,TEXT(A1276,"yyyy-mm")&lt;&gt;TEXT(A1277,"yyyy-mm")),1,0)</f>
        <v/>
      </c>
      <c r="H1276">
        <f>IF(OR(H1275=1,G1276=1),1,0)</f>
        <v/>
      </c>
      <c r="I1276">
        <f>IF(H1275=0,1,SUMPRODUCT(J1275:N1275,B1276:F1276)+O1275*(1+0.00023125256064071564))</f>
        <v/>
      </c>
      <c r="J1276">
        <f>IF(G1276=1,0.2*R1276/B1276,J1275)</f>
        <v/>
      </c>
      <c r="K1276">
        <f>IF(G1276=1,0.2*R1276/C1276,K1275)</f>
        <v/>
      </c>
      <c r="L1276">
        <f>IF(G1276=1,0.2*R1276/D1276,L1275)</f>
        <v/>
      </c>
      <c r="M1276">
        <f>IF(G1276=1,0.2*R1276/E1276,M1275)</f>
        <v/>
      </c>
      <c r="N1276">
        <f>IF(G1276=1,0.2*R1276/F1276,N1275)</f>
        <v/>
      </c>
      <c r="O1276">
        <f>IF(G1276=1,R1276*(1-1.0),IF(H1275=0,1,O1275*(1+0.00023125256064071564)))</f>
        <v/>
      </c>
      <c r="P1276">
        <f>IF(G1276=1,IF(H1275=0,1,ABS(0.2-J1275*B1276/I1276)+ABS(0.2-K1275*C1276/I1276)+ABS(0.2-L1275*D1276/I1276)+ABS(0.2-M1275*E1276/I1276)+ABS(0.2-N1275*F1276/I1276)),0)</f>
        <v/>
      </c>
      <c r="Q1276">
        <f>P1276*0.0015</f>
        <v/>
      </c>
      <c r="R1276">
        <f>I1276*(1-Q1276)</f>
        <v/>
      </c>
      <c r="S1276">
        <f>R1276/R1275-1</f>
        <v/>
      </c>
      <c r="T1276">
        <f>MAX(T1275,R1276)</f>
        <v/>
      </c>
      <c r="U1276">
        <f>R1276/T1276-1</f>
        <v/>
      </c>
      <c r="V1276" t="n">
        <v>2.857775887290631</v>
      </c>
      <c r="W1276" s="5">
        <f>R1276-V1276</f>
        <v/>
      </c>
    </row>
    <row r="1277">
      <c r="A1277" s="3" t="n">
        <v>40324</v>
      </c>
      <c r="B1277">
        <f>Prices!B1277</f>
        <v/>
      </c>
      <c r="C1277">
        <f>Prices!C1277</f>
        <v/>
      </c>
      <c r="D1277">
        <f>Prices!D1277</f>
        <v/>
      </c>
      <c r="E1277">
        <f>Prices!E1277</f>
        <v/>
      </c>
      <c r="F1277">
        <f>Prices!F1277</f>
        <v/>
      </c>
      <c r="G1277">
        <f>IF(AND(1275&gt;=16,TEXT(A1277,"yyyy-mm")&lt;&gt;TEXT(A1278,"yyyy-mm")),1,0)</f>
        <v/>
      </c>
      <c r="H1277">
        <f>IF(OR(H1276=1,G1277=1),1,0)</f>
        <v/>
      </c>
      <c r="I1277">
        <f>IF(H1276=0,1,SUMPRODUCT(J1276:N1276,B1277:F1277)+O1276*(1+0.00023125256064071564))</f>
        <v/>
      </c>
      <c r="J1277">
        <f>IF(G1277=1,0.2*R1277/B1277,J1276)</f>
        <v/>
      </c>
      <c r="K1277">
        <f>IF(G1277=1,0.2*R1277/C1277,K1276)</f>
        <v/>
      </c>
      <c r="L1277">
        <f>IF(G1277=1,0.2*R1277/D1277,L1276)</f>
        <v/>
      </c>
      <c r="M1277">
        <f>IF(G1277=1,0.2*R1277/E1277,M1276)</f>
        <v/>
      </c>
      <c r="N1277">
        <f>IF(G1277=1,0.2*R1277/F1277,N1276)</f>
        <v/>
      </c>
      <c r="O1277">
        <f>IF(G1277=1,R1277*(1-1.0),IF(H1276=0,1,O1276*(1+0.00023125256064071564)))</f>
        <v/>
      </c>
      <c r="P1277">
        <f>IF(G1277=1,IF(H1276=0,1,ABS(0.2-J1276*B1277/I1277)+ABS(0.2-K1276*C1277/I1277)+ABS(0.2-L1276*D1277/I1277)+ABS(0.2-M1276*E1277/I1277)+ABS(0.2-N1276*F1277/I1277)),0)</f>
        <v/>
      </c>
      <c r="Q1277">
        <f>P1277*0.0015</f>
        <v/>
      </c>
      <c r="R1277">
        <f>I1277*(1-Q1277)</f>
        <v/>
      </c>
      <c r="S1277">
        <f>R1277/R1276-1</f>
        <v/>
      </c>
      <c r="T1277">
        <f>MAX(T1276,R1277)</f>
        <v/>
      </c>
      <c r="U1277">
        <f>R1277/T1277-1</f>
        <v/>
      </c>
      <c r="V1277" t="n">
        <v>2.899990302101292</v>
      </c>
      <c r="W1277" s="5">
        <f>R1277-V1277</f>
        <v/>
      </c>
    </row>
    <row r="1278">
      <c r="A1278" s="3" t="n">
        <v>40325</v>
      </c>
      <c r="B1278">
        <f>Prices!B1278</f>
        <v/>
      </c>
      <c r="C1278">
        <f>Prices!C1278</f>
        <v/>
      </c>
      <c r="D1278">
        <f>Prices!D1278</f>
        <v/>
      </c>
      <c r="E1278">
        <f>Prices!E1278</f>
        <v/>
      </c>
      <c r="F1278">
        <f>Prices!F1278</f>
        <v/>
      </c>
      <c r="G1278">
        <f>IF(AND(1276&gt;=16,TEXT(A1278,"yyyy-mm")&lt;&gt;TEXT(A1279,"yyyy-mm")),1,0)</f>
        <v/>
      </c>
      <c r="H1278">
        <f>IF(OR(H1277=1,G1278=1),1,0)</f>
        <v/>
      </c>
      <c r="I1278">
        <f>IF(H1277=0,1,SUMPRODUCT(J1277:N1277,B1278:F1278)+O1277*(1+0.00023125256064071564))</f>
        <v/>
      </c>
      <c r="J1278">
        <f>IF(G1278=1,0.2*R1278/B1278,J1277)</f>
        <v/>
      </c>
      <c r="K1278">
        <f>IF(G1278=1,0.2*R1278/C1278,K1277)</f>
        <v/>
      </c>
      <c r="L1278">
        <f>IF(G1278=1,0.2*R1278/D1278,L1277)</f>
        <v/>
      </c>
      <c r="M1278">
        <f>IF(G1278=1,0.2*R1278/E1278,M1277)</f>
        <v/>
      </c>
      <c r="N1278">
        <f>IF(G1278=1,0.2*R1278/F1278,N1277)</f>
        <v/>
      </c>
      <c r="O1278">
        <f>IF(G1278=1,R1278*(1-1.0),IF(H1277=0,1,O1277*(1+0.00023125256064071564)))</f>
        <v/>
      </c>
      <c r="P1278">
        <f>IF(G1278=1,IF(H1277=0,1,ABS(0.2-J1277*B1278/I1278)+ABS(0.2-K1277*C1278/I1278)+ABS(0.2-L1277*D1278/I1278)+ABS(0.2-M1277*E1278/I1278)+ABS(0.2-N1277*F1278/I1278)),0)</f>
        <v/>
      </c>
      <c r="Q1278">
        <f>P1278*0.0015</f>
        <v/>
      </c>
      <c r="R1278">
        <f>I1278*(1-Q1278)</f>
        <v/>
      </c>
      <c r="S1278">
        <f>R1278/R1277-1</f>
        <v/>
      </c>
      <c r="T1278">
        <f>MAX(T1277,R1278)</f>
        <v/>
      </c>
      <c r="U1278">
        <f>R1278/T1278-1</f>
        <v/>
      </c>
      <c r="V1278" t="n">
        <v>2.931816057085161</v>
      </c>
      <c r="W1278" s="5">
        <f>R1278-V1278</f>
        <v/>
      </c>
    </row>
    <row r="1279">
      <c r="A1279" s="3" t="n">
        <v>40326</v>
      </c>
      <c r="B1279">
        <f>Prices!B1279</f>
        <v/>
      </c>
      <c r="C1279">
        <f>Prices!C1279</f>
        <v/>
      </c>
      <c r="D1279">
        <f>Prices!D1279</f>
        <v/>
      </c>
      <c r="E1279">
        <f>Prices!E1279</f>
        <v/>
      </c>
      <c r="F1279">
        <f>Prices!F1279</f>
        <v/>
      </c>
      <c r="G1279">
        <f>IF(AND(1277&gt;=16,TEXT(A1279,"yyyy-mm")&lt;&gt;TEXT(A1280,"yyyy-mm")),1,0)</f>
        <v/>
      </c>
      <c r="H1279">
        <f>IF(OR(H1278=1,G1279=1),1,0)</f>
        <v/>
      </c>
      <c r="I1279">
        <f>IF(H1278=0,1,SUMPRODUCT(J1278:N1278,B1279:F1279)+O1278*(1+0.00023125256064071564))</f>
        <v/>
      </c>
      <c r="J1279">
        <f>IF(G1279=1,0.2*R1279/B1279,J1278)</f>
        <v/>
      </c>
      <c r="K1279">
        <f>IF(G1279=1,0.2*R1279/C1279,K1278)</f>
        <v/>
      </c>
      <c r="L1279">
        <f>IF(G1279=1,0.2*R1279/D1279,L1278)</f>
        <v/>
      </c>
      <c r="M1279">
        <f>IF(G1279=1,0.2*R1279/E1279,M1278)</f>
        <v/>
      </c>
      <c r="N1279">
        <f>IF(G1279=1,0.2*R1279/F1279,N1278)</f>
        <v/>
      </c>
      <c r="O1279">
        <f>IF(G1279=1,R1279*(1-1.0),IF(H1278=0,1,O1278*(1+0.00023125256064071564)))</f>
        <v/>
      </c>
      <c r="P1279">
        <f>IF(G1279=1,IF(H1278=0,1,ABS(0.2-J1278*B1279/I1279)+ABS(0.2-K1278*C1279/I1279)+ABS(0.2-L1278*D1279/I1279)+ABS(0.2-M1278*E1279/I1279)+ABS(0.2-N1278*F1279/I1279)),0)</f>
        <v/>
      </c>
      <c r="Q1279">
        <f>P1279*0.0015</f>
        <v/>
      </c>
      <c r="R1279">
        <f>I1279*(1-Q1279)</f>
        <v/>
      </c>
      <c r="S1279">
        <f>R1279/R1278-1</f>
        <v/>
      </c>
      <c r="T1279">
        <f>MAX(T1278,R1279)</f>
        <v/>
      </c>
      <c r="U1279">
        <f>R1279/T1279-1</f>
        <v/>
      </c>
      <c r="V1279" t="n">
        <v>2.98024651035113</v>
      </c>
      <c r="W1279" s="5">
        <f>R1279-V1279</f>
        <v/>
      </c>
    </row>
    <row r="1280">
      <c r="A1280" s="3" t="n">
        <v>40329</v>
      </c>
      <c r="B1280">
        <f>Prices!B1280</f>
        <v/>
      </c>
      <c r="C1280">
        <f>Prices!C1280</f>
        <v/>
      </c>
      <c r="D1280">
        <f>Prices!D1280</f>
        <v/>
      </c>
      <c r="E1280">
        <f>Prices!E1280</f>
        <v/>
      </c>
      <c r="F1280">
        <f>Prices!F1280</f>
        <v/>
      </c>
      <c r="G1280">
        <f>IF(AND(1278&gt;=16,TEXT(A1280,"yyyy-mm")&lt;&gt;TEXT(A1281,"yyyy-mm")),1,0)</f>
        <v/>
      </c>
      <c r="H1280">
        <f>IF(OR(H1279=1,G1280=1),1,0)</f>
        <v/>
      </c>
      <c r="I1280">
        <f>IF(H1279=0,1,SUMPRODUCT(J1279:N1279,B1280:F1280)+O1279*(1+0.00023125256064071564))</f>
        <v/>
      </c>
      <c r="J1280">
        <f>IF(G1280=1,0.2*R1280/B1280,J1279)</f>
        <v/>
      </c>
      <c r="K1280">
        <f>IF(G1280=1,0.2*R1280/C1280,K1279)</f>
        <v/>
      </c>
      <c r="L1280">
        <f>IF(G1280=1,0.2*R1280/D1280,L1279)</f>
        <v/>
      </c>
      <c r="M1280">
        <f>IF(G1280=1,0.2*R1280/E1280,M1279)</f>
        <v/>
      </c>
      <c r="N1280">
        <f>IF(G1280=1,0.2*R1280/F1280,N1279)</f>
        <v/>
      </c>
      <c r="O1280">
        <f>IF(G1280=1,R1280*(1-1.0),IF(H1279=0,1,O1279*(1+0.00023125256064071564)))</f>
        <v/>
      </c>
      <c r="P1280">
        <f>IF(G1280=1,IF(H1279=0,1,ABS(0.2-J1279*B1280/I1280)+ABS(0.2-K1279*C1280/I1280)+ABS(0.2-L1279*D1280/I1280)+ABS(0.2-M1279*E1280/I1280)+ABS(0.2-N1279*F1280/I1280)),0)</f>
        <v/>
      </c>
      <c r="Q1280">
        <f>P1280*0.0015</f>
        <v/>
      </c>
      <c r="R1280">
        <f>I1280*(1-Q1280)</f>
        <v/>
      </c>
      <c r="S1280">
        <f>R1280/R1279-1</f>
        <v/>
      </c>
      <c r="T1280">
        <f>MAX(T1279,R1280)</f>
        <v/>
      </c>
      <c r="U1280">
        <f>R1280/T1280-1</f>
        <v/>
      </c>
      <c r="V1280" t="n">
        <v>3.012505026761349</v>
      </c>
      <c r="W1280" s="5">
        <f>R1280-V1280</f>
        <v/>
      </c>
    </row>
    <row r="1281">
      <c r="A1281" s="3" t="n">
        <v>40330</v>
      </c>
      <c r="B1281">
        <f>Prices!B1281</f>
        <v/>
      </c>
      <c r="C1281">
        <f>Prices!C1281</f>
        <v/>
      </c>
      <c r="D1281">
        <f>Prices!D1281</f>
        <v/>
      </c>
      <c r="E1281">
        <f>Prices!E1281</f>
        <v/>
      </c>
      <c r="F1281">
        <f>Prices!F1281</f>
        <v/>
      </c>
      <c r="G1281">
        <f>IF(AND(1279&gt;=16,TEXT(A1281,"yyyy-mm")&lt;&gt;TEXT(A1282,"yyyy-mm")),1,0)</f>
        <v/>
      </c>
      <c r="H1281">
        <f>IF(OR(H1280=1,G1281=1),1,0)</f>
        <v/>
      </c>
      <c r="I1281">
        <f>IF(H1280=0,1,SUMPRODUCT(J1280:N1280,B1281:F1281)+O1280*(1+0.00023125256064071564))</f>
        <v/>
      </c>
      <c r="J1281">
        <f>IF(G1281=1,0.2*R1281/B1281,J1280)</f>
        <v/>
      </c>
      <c r="K1281">
        <f>IF(G1281=1,0.2*R1281/C1281,K1280)</f>
        <v/>
      </c>
      <c r="L1281">
        <f>IF(G1281=1,0.2*R1281/D1281,L1280)</f>
        <v/>
      </c>
      <c r="M1281">
        <f>IF(G1281=1,0.2*R1281/E1281,M1280)</f>
        <v/>
      </c>
      <c r="N1281">
        <f>IF(G1281=1,0.2*R1281/F1281,N1280)</f>
        <v/>
      </c>
      <c r="O1281">
        <f>IF(G1281=1,R1281*(1-1.0),IF(H1280=0,1,O1280*(1+0.00023125256064071564)))</f>
        <v/>
      </c>
      <c r="P1281">
        <f>IF(G1281=1,IF(H1280=0,1,ABS(0.2-J1280*B1281/I1281)+ABS(0.2-K1280*C1281/I1281)+ABS(0.2-L1280*D1281/I1281)+ABS(0.2-M1280*E1281/I1281)+ABS(0.2-N1280*F1281/I1281)),0)</f>
        <v/>
      </c>
      <c r="Q1281">
        <f>P1281*0.0015</f>
        <v/>
      </c>
      <c r="R1281">
        <f>I1281*(1-Q1281)</f>
        <v/>
      </c>
      <c r="S1281">
        <f>R1281/R1280-1</f>
        <v/>
      </c>
      <c r="T1281">
        <f>MAX(T1280,R1281)</f>
        <v/>
      </c>
      <c r="U1281">
        <f>R1281/T1281-1</f>
        <v/>
      </c>
      <c r="V1281" t="n">
        <v>2.970554528690656</v>
      </c>
      <c r="W1281" s="5">
        <f>R1281-V1281</f>
        <v/>
      </c>
    </row>
    <row r="1282">
      <c r="A1282" s="3" t="n">
        <v>40331</v>
      </c>
      <c r="B1282">
        <f>Prices!B1282</f>
        <v/>
      </c>
      <c r="C1282">
        <f>Prices!C1282</f>
        <v/>
      </c>
      <c r="D1282">
        <f>Prices!D1282</f>
        <v/>
      </c>
      <c r="E1282">
        <f>Prices!E1282</f>
        <v/>
      </c>
      <c r="F1282">
        <f>Prices!F1282</f>
        <v/>
      </c>
      <c r="G1282">
        <f>IF(AND(1280&gt;=16,TEXT(A1282,"yyyy-mm")&lt;&gt;TEXT(A1283,"yyyy-mm")),1,0)</f>
        <v/>
      </c>
      <c r="H1282">
        <f>IF(OR(H1281=1,G1282=1),1,0)</f>
        <v/>
      </c>
      <c r="I1282">
        <f>IF(H1281=0,1,SUMPRODUCT(J1281:N1281,B1282:F1282)+O1281*(1+0.00023125256064071564))</f>
        <v/>
      </c>
      <c r="J1282">
        <f>IF(G1282=1,0.2*R1282/B1282,J1281)</f>
        <v/>
      </c>
      <c r="K1282">
        <f>IF(G1282=1,0.2*R1282/C1282,K1281)</f>
        <v/>
      </c>
      <c r="L1282">
        <f>IF(G1282=1,0.2*R1282/D1282,L1281)</f>
        <v/>
      </c>
      <c r="M1282">
        <f>IF(G1282=1,0.2*R1282/E1282,M1281)</f>
        <v/>
      </c>
      <c r="N1282">
        <f>IF(G1282=1,0.2*R1282/F1282,N1281)</f>
        <v/>
      </c>
      <c r="O1282">
        <f>IF(G1282=1,R1282*(1-1.0),IF(H1281=0,1,O1281*(1+0.00023125256064071564)))</f>
        <v/>
      </c>
      <c r="P1282">
        <f>IF(G1282=1,IF(H1281=0,1,ABS(0.2-J1281*B1282/I1282)+ABS(0.2-K1281*C1282/I1282)+ABS(0.2-L1281*D1282/I1282)+ABS(0.2-M1281*E1282/I1282)+ABS(0.2-N1281*F1282/I1282)),0)</f>
        <v/>
      </c>
      <c r="Q1282">
        <f>P1282*0.0015</f>
        <v/>
      </c>
      <c r="R1282">
        <f>I1282*(1-Q1282)</f>
        <v/>
      </c>
      <c r="S1282">
        <f>R1282/R1281-1</f>
        <v/>
      </c>
      <c r="T1282">
        <f>MAX(T1281,R1282)</f>
        <v/>
      </c>
      <c r="U1282">
        <f>R1282/T1282-1</f>
        <v/>
      </c>
      <c r="V1282" t="n">
        <v>2.99656330020223</v>
      </c>
      <c r="W1282" s="5">
        <f>R1282-V1282</f>
        <v/>
      </c>
    </row>
    <row r="1283">
      <c r="A1283" s="3" t="n">
        <v>40332</v>
      </c>
      <c r="B1283">
        <f>Prices!B1283</f>
        <v/>
      </c>
      <c r="C1283">
        <f>Prices!C1283</f>
        <v/>
      </c>
      <c r="D1283">
        <f>Prices!D1283</f>
        <v/>
      </c>
      <c r="E1283">
        <f>Prices!E1283</f>
        <v/>
      </c>
      <c r="F1283">
        <f>Prices!F1283</f>
        <v/>
      </c>
      <c r="G1283">
        <f>IF(AND(1281&gt;=16,TEXT(A1283,"yyyy-mm")&lt;&gt;TEXT(A1284,"yyyy-mm")),1,0)</f>
        <v/>
      </c>
      <c r="H1283">
        <f>IF(OR(H1282=1,G1283=1),1,0)</f>
        <v/>
      </c>
      <c r="I1283">
        <f>IF(H1282=0,1,SUMPRODUCT(J1282:N1282,B1283:F1283)+O1282*(1+0.00023125256064071564))</f>
        <v/>
      </c>
      <c r="J1283">
        <f>IF(G1283=1,0.2*R1283/B1283,J1282)</f>
        <v/>
      </c>
      <c r="K1283">
        <f>IF(G1283=1,0.2*R1283/C1283,K1282)</f>
        <v/>
      </c>
      <c r="L1283">
        <f>IF(G1283=1,0.2*R1283/D1283,L1282)</f>
        <v/>
      </c>
      <c r="M1283">
        <f>IF(G1283=1,0.2*R1283/E1283,M1282)</f>
        <v/>
      </c>
      <c r="N1283">
        <f>IF(G1283=1,0.2*R1283/F1283,N1282)</f>
        <v/>
      </c>
      <c r="O1283">
        <f>IF(G1283=1,R1283*(1-1.0),IF(H1282=0,1,O1282*(1+0.00023125256064071564)))</f>
        <v/>
      </c>
      <c r="P1283">
        <f>IF(G1283=1,IF(H1282=0,1,ABS(0.2-J1282*B1283/I1283)+ABS(0.2-K1282*C1283/I1283)+ABS(0.2-L1282*D1283/I1283)+ABS(0.2-M1282*E1283/I1283)+ABS(0.2-N1282*F1283/I1283)),0)</f>
        <v/>
      </c>
      <c r="Q1283">
        <f>P1283*0.0015</f>
        <v/>
      </c>
      <c r="R1283">
        <f>I1283*(1-Q1283)</f>
        <v/>
      </c>
      <c r="S1283">
        <f>R1283/R1282-1</f>
        <v/>
      </c>
      <c r="T1283">
        <f>MAX(T1282,R1283)</f>
        <v/>
      </c>
      <c r="U1283">
        <f>R1283/T1283-1</f>
        <v/>
      </c>
      <c r="V1283" t="n">
        <v>3.035912280151968</v>
      </c>
      <c r="W1283" s="5">
        <f>R1283-V1283</f>
        <v/>
      </c>
    </row>
    <row r="1284">
      <c r="A1284" s="3" t="n">
        <v>40333</v>
      </c>
      <c r="B1284">
        <f>Prices!B1284</f>
        <v/>
      </c>
      <c r="C1284">
        <f>Prices!C1284</f>
        <v/>
      </c>
      <c r="D1284">
        <f>Prices!D1284</f>
        <v/>
      </c>
      <c r="E1284">
        <f>Prices!E1284</f>
        <v/>
      </c>
      <c r="F1284">
        <f>Prices!F1284</f>
        <v/>
      </c>
      <c r="G1284">
        <f>IF(AND(1282&gt;=16,TEXT(A1284,"yyyy-mm")&lt;&gt;TEXT(A1285,"yyyy-mm")),1,0)</f>
        <v/>
      </c>
      <c r="H1284">
        <f>IF(OR(H1283=1,G1284=1),1,0)</f>
        <v/>
      </c>
      <c r="I1284">
        <f>IF(H1283=0,1,SUMPRODUCT(J1283:N1283,B1284:F1284)+O1283*(1+0.00023125256064071564))</f>
        <v/>
      </c>
      <c r="J1284">
        <f>IF(G1284=1,0.2*R1284/B1284,J1283)</f>
        <v/>
      </c>
      <c r="K1284">
        <f>IF(G1284=1,0.2*R1284/C1284,K1283)</f>
        <v/>
      </c>
      <c r="L1284">
        <f>IF(G1284=1,0.2*R1284/D1284,L1283)</f>
        <v/>
      </c>
      <c r="M1284">
        <f>IF(G1284=1,0.2*R1284/E1284,M1283)</f>
        <v/>
      </c>
      <c r="N1284">
        <f>IF(G1284=1,0.2*R1284/F1284,N1283)</f>
        <v/>
      </c>
      <c r="O1284">
        <f>IF(G1284=1,R1284*(1-1.0),IF(H1283=0,1,O1283*(1+0.00023125256064071564)))</f>
        <v/>
      </c>
      <c r="P1284">
        <f>IF(G1284=1,IF(H1283=0,1,ABS(0.2-J1283*B1284/I1284)+ABS(0.2-K1283*C1284/I1284)+ABS(0.2-L1283*D1284/I1284)+ABS(0.2-M1283*E1284/I1284)+ABS(0.2-N1283*F1284/I1284)),0)</f>
        <v/>
      </c>
      <c r="Q1284">
        <f>P1284*0.0015</f>
        <v/>
      </c>
      <c r="R1284">
        <f>I1284*(1-Q1284)</f>
        <v/>
      </c>
      <c r="S1284">
        <f>R1284/R1283-1</f>
        <v/>
      </c>
      <c r="T1284">
        <f>MAX(T1283,R1284)</f>
        <v/>
      </c>
      <c r="U1284">
        <f>R1284/T1284-1</f>
        <v/>
      </c>
      <c r="V1284" t="n">
        <v>3.041074998378138</v>
      </c>
      <c r="W1284" s="5">
        <f>R1284-V1284</f>
        <v/>
      </c>
    </row>
    <row r="1285">
      <c r="A1285" s="3" t="n">
        <v>40336</v>
      </c>
      <c r="B1285">
        <f>Prices!B1285</f>
        <v/>
      </c>
      <c r="C1285">
        <f>Prices!C1285</f>
        <v/>
      </c>
      <c r="D1285">
        <f>Prices!D1285</f>
        <v/>
      </c>
      <c r="E1285">
        <f>Prices!E1285</f>
        <v/>
      </c>
      <c r="F1285">
        <f>Prices!F1285</f>
        <v/>
      </c>
      <c r="G1285">
        <f>IF(AND(1283&gt;=16,TEXT(A1285,"yyyy-mm")&lt;&gt;TEXT(A1286,"yyyy-mm")),1,0)</f>
        <v/>
      </c>
      <c r="H1285">
        <f>IF(OR(H1284=1,G1285=1),1,0)</f>
        <v/>
      </c>
      <c r="I1285">
        <f>IF(H1284=0,1,SUMPRODUCT(J1284:N1284,B1285:F1285)+O1284*(1+0.00023125256064071564))</f>
        <v/>
      </c>
      <c r="J1285">
        <f>IF(G1285=1,0.2*R1285/B1285,J1284)</f>
        <v/>
      </c>
      <c r="K1285">
        <f>IF(G1285=1,0.2*R1285/C1285,K1284)</f>
        <v/>
      </c>
      <c r="L1285">
        <f>IF(G1285=1,0.2*R1285/D1285,L1284)</f>
        <v/>
      </c>
      <c r="M1285">
        <f>IF(G1285=1,0.2*R1285/E1285,M1284)</f>
        <v/>
      </c>
      <c r="N1285">
        <f>IF(G1285=1,0.2*R1285/F1285,N1284)</f>
        <v/>
      </c>
      <c r="O1285">
        <f>IF(G1285=1,R1285*(1-1.0),IF(H1284=0,1,O1284*(1+0.00023125256064071564)))</f>
        <v/>
      </c>
      <c r="P1285">
        <f>IF(G1285=1,IF(H1284=0,1,ABS(0.2-J1284*B1285/I1285)+ABS(0.2-K1284*C1285/I1285)+ABS(0.2-L1284*D1285/I1285)+ABS(0.2-M1284*E1285/I1285)+ABS(0.2-N1284*F1285/I1285)),0)</f>
        <v/>
      </c>
      <c r="Q1285">
        <f>P1285*0.0015</f>
        <v/>
      </c>
      <c r="R1285">
        <f>I1285*(1-Q1285)</f>
        <v/>
      </c>
      <c r="S1285">
        <f>R1285/R1284-1</f>
        <v/>
      </c>
      <c r="T1285">
        <f>MAX(T1284,R1285)</f>
        <v/>
      </c>
      <c r="U1285">
        <f>R1285/T1285-1</f>
        <v/>
      </c>
      <c r="V1285" t="n">
        <v>2.994749389434427</v>
      </c>
      <c r="W1285" s="5">
        <f>R1285-V1285</f>
        <v/>
      </c>
    </row>
    <row r="1286">
      <c r="A1286" s="3" t="n">
        <v>40337</v>
      </c>
      <c r="B1286">
        <f>Prices!B1286</f>
        <v/>
      </c>
      <c r="C1286">
        <f>Prices!C1286</f>
        <v/>
      </c>
      <c r="D1286">
        <f>Prices!D1286</f>
        <v/>
      </c>
      <c r="E1286">
        <f>Prices!E1286</f>
        <v/>
      </c>
      <c r="F1286">
        <f>Prices!F1286</f>
        <v/>
      </c>
      <c r="G1286">
        <f>IF(AND(1284&gt;=16,TEXT(A1286,"yyyy-mm")&lt;&gt;TEXT(A1287,"yyyy-mm")),1,0)</f>
        <v/>
      </c>
      <c r="H1286">
        <f>IF(OR(H1285=1,G1286=1),1,0)</f>
        <v/>
      </c>
      <c r="I1286">
        <f>IF(H1285=0,1,SUMPRODUCT(J1285:N1285,B1286:F1286)+O1285*(1+0.00023125256064071564))</f>
        <v/>
      </c>
      <c r="J1286">
        <f>IF(G1286=1,0.2*R1286/B1286,J1285)</f>
        <v/>
      </c>
      <c r="K1286">
        <f>IF(G1286=1,0.2*R1286/C1286,K1285)</f>
        <v/>
      </c>
      <c r="L1286">
        <f>IF(G1286=1,0.2*R1286/D1286,L1285)</f>
        <v/>
      </c>
      <c r="M1286">
        <f>IF(G1286=1,0.2*R1286/E1286,M1285)</f>
        <v/>
      </c>
      <c r="N1286">
        <f>IF(G1286=1,0.2*R1286/F1286,N1285)</f>
        <v/>
      </c>
      <c r="O1286">
        <f>IF(G1286=1,R1286*(1-1.0),IF(H1285=0,1,O1285*(1+0.00023125256064071564)))</f>
        <v/>
      </c>
      <c r="P1286">
        <f>IF(G1286=1,IF(H1285=0,1,ABS(0.2-J1285*B1286/I1286)+ABS(0.2-K1285*C1286/I1286)+ABS(0.2-L1285*D1286/I1286)+ABS(0.2-M1285*E1286/I1286)+ABS(0.2-N1285*F1286/I1286)),0)</f>
        <v/>
      </c>
      <c r="Q1286">
        <f>P1286*0.0015</f>
        <v/>
      </c>
      <c r="R1286">
        <f>I1286*(1-Q1286)</f>
        <v/>
      </c>
      <c r="S1286">
        <f>R1286/R1285-1</f>
        <v/>
      </c>
      <c r="T1286">
        <f>MAX(T1285,R1286)</f>
        <v/>
      </c>
      <c r="U1286">
        <f>R1286/T1286-1</f>
        <v/>
      </c>
      <c r="V1286" t="n">
        <v>2.975204833699541</v>
      </c>
      <c r="W1286" s="5">
        <f>R1286-V1286</f>
        <v/>
      </c>
    </row>
    <row r="1287">
      <c r="A1287" s="3" t="n">
        <v>40338</v>
      </c>
      <c r="B1287">
        <f>Prices!B1287</f>
        <v/>
      </c>
      <c r="C1287">
        <f>Prices!C1287</f>
        <v/>
      </c>
      <c r="D1287">
        <f>Prices!D1287</f>
        <v/>
      </c>
      <c r="E1287">
        <f>Prices!E1287</f>
        <v/>
      </c>
      <c r="F1287">
        <f>Prices!F1287</f>
        <v/>
      </c>
      <c r="G1287">
        <f>IF(AND(1285&gt;=16,TEXT(A1287,"yyyy-mm")&lt;&gt;TEXT(A1288,"yyyy-mm")),1,0)</f>
        <v/>
      </c>
      <c r="H1287">
        <f>IF(OR(H1286=1,G1287=1),1,0)</f>
        <v/>
      </c>
      <c r="I1287">
        <f>IF(H1286=0,1,SUMPRODUCT(J1286:N1286,B1287:F1287)+O1286*(1+0.00023125256064071564))</f>
        <v/>
      </c>
      <c r="J1287">
        <f>IF(G1287=1,0.2*R1287/B1287,J1286)</f>
        <v/>
      </c>
      <c r="K1287">
        <f>IF(G1287=1,0.2*R1287/C1287,K1286)</f>
        <v/>
      </c>
      <c r="L1287">
        <f>IF(G1287=1,0.2*R1287/D1287,L1286)</f>
        <v/>
      </c>
      <c r="M1287">
        <f>IF(G1287=1,0.2*R1287/E1287,M1286)</f>
        <v/>
      </c>
      <c r="N1287">
        <f>IF(G1287=1,0.2*R1287/F1287,N1286)</f>
        <v/>
      </c>
      <c r="O1287">
        <f>IF(G1287=1,R1287*(1-1.0),IF(H1286=0,1,O1286*(1+0.00023125256064071564)))</f>
        <v/>
      </c>
      <c r="P1287">
        <f>IF(G1287=1,IF(H1286=0,1,ABS(0.2-J1286*B1287/I1287)+ABS(0.2-K1286*C1287/I1287)+ABS(0.2-L1286*D1287/I1287)+ABS(0.2-M1286*E1287/I1287)+ABS(0.2-N1286*F1287/I1287)),0)</f>
        <v/>
      </c>
      <c r="Q1287">
        <f>P1287*0.0015</f>
        <v/>
      </c>
      <c r="R1287">
        <f>I1287*(1-Q1287)</f>
        <v/>
      </c>
      <c r="S1287">
        <f>R1287/R1286-1</f>
        <v/>
      </c>
      <c r="T1287">
        <f>MAX(T1286,R1287)</f>
        <v/>
      </c>
      <c r="U1287">
        <f>R1287/T1287-1</f>
        <v/>
      </c>
      <c r="V1287" t="n">
        <v>2.978279962052742</v>
      </c>
      <c r="W1287" s="5">
        <f>R1287-V1287</f>
        <v/>
      </c>
    </row>
    <row r="1288">
      <c r="A1288" s="3" t="n">
        <v>40339</v>
      </c>
      <c r="B1288">
        <f>Prices!B1288</f>
        <v/>
      </c>
      <c r="C1288">
        <f>Prices!C1288</f>
        <v/>
      </c>
      <c r="D1288">
        <f>Prices!D1288</f>
        <v/>
      </c>
      <c r="E1288">
        <f>Prices!E1288</f>
        <v/>
      </c>
      <c r="F1288">
        <f>Prices!F1288</f>
        <v/>
      </c>
      <c r="G1288">
        <f>IF(AND(1286&gt;=16,TEXT(A1288,"yyyy-mm")&lt;&gt;TEXT(A1289,"yyyy-mm")),1,0)</f>
        <v/>
      </c>
      <c r="H1288">
        <f>IF(OR(H1287=1,G1288=1),1,0)</f>
        <v/>
      </c>
      <c r="I1288">
        <f>IF(H1287=0,1,SUMPRODUCT(J1287:N1287,B1288:F1288)+O1287*(1+0.00023125256064071564))</f>
        <v/>
      </c>
      <c r="J1288">
        <f>IF(G1288=1,0.2*R1288/B1288,J1287)</f>
        <v/>
      </c>
      <c r="K1288">
        <f>IF(G1288=1,0.2*R1288/C1288,K1287)</f>
        <v/>
      </c>
      <c r="L1288">
        <f>IF(G1288=1,0.2*R1288/D1288,L1287)</f>
        <v/>
      </c>
      <c r="M1288">
        <f>IF(G1288=1,0.2*R1288/E1288,M1287)</f>
        <v/>
      </c>
      <c r="N1288">
        <f>IF(G1288=1,0.2*R1288/F1288,N1287)</f>
        <v/>
      </c>
      <c r="O1288">
        <f>IF(G1288=1,R1288*(1-1.0),IF(H1287=0,1,O1287*(1+0.00023125256064071564)))</f>
        <v/>
      </c>
      <c r="P1288">
        <f>IF(G1288=1,IF(H1287=0,1,ABS(0.2-J1287*B1288/I1288)+ABS(0.2-K1287*C1288/I1288)+ABS(0.2-L1287*D1288/I1288)+ABS(0.2-M1287*E1288/I1288)+ABS(0.2-N1287*F1288/I1288)),0)</f>
        <v/>
      </c>
      <c r="Q1288">
        <f>P1288*0.0015</f>
        <v/>
      </c>
      <c r="R1288">
        <f>I1288*(1-Q1288)</f>
        <v/>
      </c>
      <c r="S1288">
        <f>R1288/R1287-1</f>
        <v/>
      </c>
      <c r="T1288">
        <f>MAX(T1287,R1288)</f>
        <v/>
      </c>
      <c r="U1288">
        <f>R1288/T1288-1</f>
        <v/>
      </c>
      <c r="V1288" t="n">
        <v>3.016435666531547</v>
      </c>
      <c r="W1288" s="5">
        <f>R1288-V1288</f>
        <v/>
      </c>
    </row>
    <row r="1289">
      <c r="A1289" s="3" t="n">
        <v>40340</v>
      </c>
      <c r="B1289">
        <f>Prices!B1289</f>
        <v/>
      </c>
      <c r="C1289">
        <f>Prices!C1289</f>
        <v/>
      </c>
      <c r="D1289">
        <f>Prices!D1289</f>
        <v/>
      </c>
      <c r="E1289">
        <f>Prices!E1289</f>
        <v/>
      </c>
      <c r="F1289">
        <f>Prices!F1289</f>
        <v/>
      </c>
      <c r="G1289">
        <f>IF(AND(1287&gt;=16,TEXT(A1289,"yyyy-mm")&lt;&gt;TEXT(A1290,"yyyy-mm")),1,0)</f>
        <v/>
      </c>
      <c r="H1289">
        <f>IF(OR(H1288=1,G1289=1),1,0)</f>
        <v/>
      </c>
      <c r="I1289">
        <f>IF(H1288=0,1,SUMPRODUCT(J1288:N1288,B1289:F1289)+O1288*(1+0.00023125256064071564))</f>
        <v/>
      </c>
      <c r="J1289">
        <f>IF(G1289=1,0.2*R1289/B1289,J1288)</f>
        <v/>
      </c>
      <c r="K1289">
        <f>IF(G1289=1,0.2*R1289/C1289,K1288)</f>
        <v/>
      </c>
      <c r="L1289">
        <f>IF(G1289=1,0.2*R1289/D1289,L1288)</f>
        <v/>
      </c>
      <c r="M1289">
        <f>IF(G1289=1,0.2*R1289/E1289,M1288)</f>
        <v/>
      </c>
      <c r="N1289">
        <f>IF(G1289=1,0.2*R1289/F1289,N1288)</f>
        <v/>
      </c>
      <c r="O1289">
        <f>IF(G1289=1,R1289*(1-1.0),IF(H1288=0,1,O1288*(1+0.00023125256064071564)))</f>
        <v/>
      </c>
      <c r="P1289">
        <f>IF(G1289=1,IF(H1288=0,1,ABS(0.2-J1288*B1289/I1289)+ABS(0.2-K1288*C1289/I1289)+ABS(0.2-L1288*D1289/I1289)+ABS(0.2-M1288*E1289/I1289)+ABS(0.2-N1288*F1289/I1289)),0)</f>
        <v/>
      </c>
      <c r="Q1289">
        <f>P1289*0.0015</f>
        <v/>
      </c>
      <c r="R1289">
        <f>I1289*(1-Q1289)</f>
        <v/>
      </c>
      <c r="S1289">
        <f>R1289/R1288-1</f>
        <v/>
      </c>
      <c r="T1289">
        <f>MAX(T1288,R1289)</f>
        <v/>
      </c>
      <c r="U1289">
        <f>R1289/T1289-1</f>
        <v/>
      </c>
      <c r="V1289" t="n">
        <v>3.029602761561245</v>
      </c>
      <c r="W1289" s="5">
        <f>R1289-V1289</f>
        <v/>
      </c>
    </row>
    <row r="1290">
      <c r="A1290" s="3" t="n">
        <v>40343</v>
      </c>
      <c r="B1290">
        <f>Prices!B1290</f>
        <v/>
      </c>
      <c r="C1290">
        <f>Prices!C1290</f>
        <v/>
      </c>
      <c r="D1290">
        <f>Prices!D1290</f>
        <v/>
      </c>
      <c r="E1290">
        <f>Prices!E1290</f>
        <v/>
      </c>
      <c r="F1290">
        <f>Prices!F1290</f>
        <v/>
      </c>
      <c r="G1290">
        <f>IF(AND(1288&gt;=16,TEXT(A1290,"yyyy-mm")&lt;&gt;TEXT(A1291,"yyyy-mm")),1,0)</f>
        <v/>
      </c>
      <c r="H1290">
        <f>IF(OR(H1289=1,G1290=1),1,0)</f>
        <v/>
      </c>
      <c r="I1290">
        <f>IF(H1289=0,1,SUMPRODUCT(J1289:N1289,B1290:F1290)+O1289*(1+0.00023125256064071564))</f>
        <v/>
      </c>
      <c r="J1290">
        <f>IF(G1290=1,0.2*R1290/B1290,J1289)</f>
        <v/>
      </c>
      <c r="K1290">
        <f>IF(G1290=1,0.2*R1290/C1290,K1289)</f>
        <v/>
      </c>
      <c r="L1290">
        <f>IF(G1290=1,0.2*R1290/D1290,L1289)</f>
        <v/>
      </c>
      <c r="M1290">
        <f>IF(G1290=1,0.2*R1290/E1290,M1289)</f>
        <v/>
      </c>
      <c r="N1290">
        <f>IF(G1290=1,0.2*R1290/F1290,N1289)</f>
        <v/>
      </c>
      <c r="O1290">
        <f>IF(G1290=1,R1290*(1-1.0),IF(H1289=0,1,O1289*(1+0.00023125256064071564)))</f>
        <v/>
      </c>
      <c r="P1290">
        <f>IF(G1290=1,IF(H1289=0,1,ABS(0.2-J1289*B1290/I1290)+ABS(0.2-K1289*C1290/I1290)+ABS(0.2-L1289*D1290/I1290)+ABS(0.2-M1289*E1290/I1290)+ABS(0.2-N1289*F1290/I1290)),0)</f>
        <v/>
      </c>
      <c r="Q1290">
        <f>P1290*0.0015</f>
        <v/>
      </c>
      <c r="R1290">
        <f>I1290*(1-Q1290)</f>
        <v/>
      </c>
      <c r="S1290">
        <f>R1290/R1289-1</f>
        <v/>
      </c>
      <c r="T1290">
        <f>MAX(T1289,R1290)</f>
        <v/>
      </c>
      <c r="U1290">
        <f>R1290/T1290-1</f>
        <v/>
      </c>
      <c r="V1290" t="n">
        <v>3.058056096204631</v>
      </c>
      <c r="W1290" s="5">
        <f>R1290-V1290</f>
        <v/>
      </c>
    </row>
    <row r="1291">
      <c r="A1291" s="3" t="n">
        <v>40344</v>
      </c>
      <c r="B1291">
        <f>Prices!B1291</f>
        <v/>
      </c>
      <c r="C1291">
        <f>Prices!C1291</f>
        <v/>
      </c>
      <c r="D1291">
        <f>Prices!D1291</f>
        <v/>
      </c>
      <c r="E1291">
        <f>Prices!E1291</f>
        <v/>
      </c>
      <c r="F1291">
        <f>Prices!F1291</f>
        <v/>
      </c>
      <c r="G1291">
        <f>IF(AND(1289&gt;=16,TEXT(A1291,"yyyy-mm")&lt;&gt;TEXT(A1292,"yyyy-mm")),1,0)</f>
        <v/>
      </c>
      <c r="H1291">
        <f>IF(OR(H1290=1,G1291=1),1,0)</f>
        <v/>
      </c>
      <c r="I1291">
        <f>IF(H1290=0,1,SUMPRODUCT(J1290:N1290,B1291:F1291)+O1290*(1+0.00023125256064071564))</f>
        <v/>
      </c>
      <c r="J1291">
        <f>IF(G1291=1,0.2*R1291/B1291,J1290)</f>
        <v/>
      </c>
      <c r="K1291">
        <f>IF(G1291=1,0.2*R1291/C1291,K1290)</f>
        <v/>
      </c>
      <c r="L1291">
        <f>IF(G1291=1,0.2*R1291/D1291,L1290)</f>
        <v/>
      </c>
      <c r="M1291">
        <f>IF(G1291=1,0.2*R1291/E1291,M1290)</f>
        <v/>
      </c>
      <c r="N1291">
        <f>IF(G1291=1,0.2*R1291/F1291,N1290)</f>
        <v/>
      </c>
      <c r="O1291">
        <f>IF(G1291=1,R1291*(1-1.0),IF(H1290=0,1,O1290*(1+0.00023125256064071564)))</f>
        <v/>
      </c>
      <c r="P1291">
        <f>IF(G1291=1,IF(H1290=0,1,ABS(0.2-J1290*B1291/I1291)+ABS(0.2-K1290*C1291/I1291)+ABS(0.2-L1290*D1291/I1291)+ABS(0.2-M1290*E1291/I1291)+ABS(0.2-N1290*F1291/I1291)),0)</f>
        <v/>
      </c>
      <c r="Q1291">
        <f>P1291*0.0015</f>
        <v/>
      </c>
      <c r="R1291">
        <f>I1291*(1-Q1291)</f>
        <v/>
      </c>
      <c r="S1291">
        <f>R1291/R1290-1</f>
        <v/>
      </c>
      <c r="T1291">
        <f>MAX(T1290,R1291)</f>
        <v/>
      </c>
      <c r="U1291">
        <f>R1291/T1291-1</f>
        <v/>
      </c>
      <c r="V1291" t="n">
        <v>3.068195214593779</v>
      </c>
      <c r="W1291" s="5">
        <f>R1291-V1291</f>
        <v/>
      </c>
    </row>
    <row r="1292">
      <c r="A1292" s="3" t="n">
        <v>40345</v>
      </c>
      <c r="B1292">
        <f>Prices!B1292</f>
        <v/>
      </c>
      <c r="C1292">
        <f>Prices!C1292</f>
        <v/>
      </c>
      <c r="D1292">
        <f>Prices!D1292</f>
        <v/>
      </c>
      <c r="E1292">
        <f>Prices!E1292</f>
        <v/>
      </c>
      <c r="F1292">
        <f>Prices!F1292</f>
        <v/>
      </c>
      <c r="G1292">
        <f>IF(AND(1290&gt;=16,TEXT(A1292,"yyyy-mm")&lt;&gt;TEXT(A1293,"yyyy-mm")),1,0)</f>
        <v/>
      </c>
      <c r="H1292">
        <f>IF(OR(H1291=1,G1292=1),1,0)</f>
        <v/>
      </c>
      <c r="I1292">
        <f>IF(H1291=0,1,SUMPRODUCT(J1291:N1291,B1292:F1292)+O1291*(1+0.00023125256064071564))</f>
        <v/>
      </c>
      <c r="J1292">
        <f>IF(G1292=1,0.2*R1292/B1292,J1291)</f>
        <v/>
      </c>
      <c r="K1292">
        <f>IF(G1292=1,0.2*R1292/C1292,K1291)</f>
        <v/>
      </c>
      <c r="L1292">
        <f>IF(G1292=1,0.2*R1292/D1292,L1291)</f>
        <v/>
      </c>
      <c r="M1292">
        <f>IF(G1292=1,0.2*R1292/E1292,M1291)</f>
        <v/>
      </c>
      <c r="N1292">
        <f>IF(G1292=1,0.2*R1292/F1292,N1291)</f>
        <v/>
      </c>
      <c r="O1292">
        <f>IF(G1292=1,R1292*(1-1.0),IF(H1291=0,1,O1291*(1+0.00023125256064071564)))</f>
        <v/>
      </c>
      <c r="P1292">
        <f>IF(G1292=1,IF(H1291=0,1,ABS(0.2-J1291*B1292/I1292)+ABS(0.2-K1291*C1292/I1292)+ABS(0.2-L1291*D1292/I1292)+ABS(0.2-M1291*E1292/I1292)+ABS(0.2-N1291*F1292/I1292)),0)</f>
        <v/>
      </c>
      <c r="Q1292">
        <f>P1292*0.0015</f>
        <v/>
      </c>
      <c r="R1292">
        <f>I1292*(1-Q1292)</f>
        <v/>
      </c>
      <c r="S1292">
        <f>R1292/R1291-1</f>
        <v/>
      </c>
      <c r="T1292">
        <f>MAX(T1291,R1292)</f>
        <v/>
      </c>
      <c r="U1292">
        <f>R1292/T1292-1</f>
        <v/>
      </c>
      <c r="V1292" t="n">
        <v>3.071791993934407</v>
      </c>
      <c r="W1292" s="5">
        <f>R1292-V1292</f>
        <v/>
      </c>
    </row>
    <row r="1293">
      <c r="A1293" s="3" t="n">
        <v>40346</v>
      </c>
      <c r="B1293">
        <f>Prices!B1293</f>
        <v/>
      </c>
      <c r="C1293">
        <f>Prices!C1293</f>
        <v/>
      </c>
      <c r="D1293">
        <f>Prices!D1293</f>
        <v/>
      </c>
      <c r="E1293">
        <f>Prices!E1293</f>
        <v/>
      </c>
      <c r="F1293">
        <f>Prices!F1293</f>
        <v/>
      </c>
      <c r="G1293">
        <f>IF(AND(1291&gt;=16,TEXT(A1293,"yyyy-mm")&lt;&gt;TEXT(A1294,"yyyy-mm")),1,0)</f>
        <v/>
      </c>
      <c r="H1293">
        <f>IF(OR(H1292=1,G1293=1),1,0)</f>
        <v/>
      </c>
      <c r="I1293">
        <f>IF(H1292=0,1,SUMPRODUCT(J1292:N1292,B1293:F1293)+O1292*(1+0.00023125256064071564))</f>
        <v/>
      </c>
      <c r="J1293">
        <f>IF(G1293=1,0.2*R1293/B1293,J1292)</f>
        <v/>
      </c>
      <c r="K1293">
        <f>IF(G1293=1,0.2*R1293/C1293,K1292)</f>
        <v/>
      </c>
      <c r="L1293">
        <f>IF(G1293=1,0.2*R1293/D1293,L1292)</f>
        <v/>
      </c>
      <c r="M1293">
        <f>IF(G1293=1,0.2*R1293/E1293,M1292)</f>
        <v/>
      </c>
      <c r="N1293">
        <f>IF(G1293=1,0.2*R1293/F1293,N1292)</f>
        <v/>
      </c>
      <c r="O1293">
        <f>IF(G1293=1,R1293*(1-1.0),IF(H1292=0,1,O1292*(1+0.00023125256064071564)))</f>
        <v/>
      </c>
      <c r="P1293">
        <f>IF(G1293=1,IF(H1292=0,1,ABS(0.2-J1292*B1293/I1293)+ABS(0.2-K1292*C1293/I1293)+ABS(0.2-L1292*D1293/I1293)+ABS(0.2-M1292*E1293/I1293)+ABS(0.2-N1292*F1293/I1293)),0)</f>
        <v/>
      </c>
      <c r="Q1293">
        <f>P1293*0.0015</f>
        <v/>
      </c>
      <c r="R1293">
        <f>I1293*(1-Q1293)</f>
        <v/>
      </c>
      <c r="S1293">
        <f>R1293/R1292-1</f>
        <v/>
      </c>
      <c r="T1293">
        <f>MAX(T1292,R1293)</f>
        <v/>
      </c>
      <c r="U1293">
        <f>R1293/T1293-1</f>
        <v/>
      </c>
      <c r="V1293" t="n">
        <v>3.084808026158384</v>
      </c>
      <c r="W1293" s="5">
        <f>R1293-V1293</f>
        <v/>
      </c>
    </row>
    <row r="1294">
      <c r="A1294" s="3" t="n">
        <v>40347</v>
      </c>
      <c r="B1294">
        <f>Prices!B1294</f>
        <v/>
      </c>
      <c r="C1294">
        <f>Prices!C1294</f>
        <v/>
      </c>
      <c r="D1294">
        <f>Prices!D1294</f>
        <v/>
      </c>
      <c r="E1294">
        <f>Prices!E1294</f>
        <v/>
      </c>
      <c r="F1294">
        <f>Prices!F1294</f>
        <v/>
      </c>
      <c r="G1294">
        <f>IF(AND(1292&gt;=16,TEXT(A1294,"yyyy-mm")&lt;&gt;TEXT(A1295,"yyyy-mm")),1,0)</f>
        <v/>
      </c>
      <c r="H1294">
        <f>IF(OR(H1293=1,G1294=1),1,0)</f>
        <v/>
      </c>
      <c r="I1294">
        <f>IF(H1293=0,1,SUMPRODUCT(J1293:N1293,B1294:F1294)+O1293*(1+0.00023125256064071564))</f>
        <v/>
      </c>
      <c r="J1294">
        <f>IF(G1294=1,0.2*R1294/B1294,J1293)</f>
        <v/>
      </c>
      <c r="K1294">
        <f>IF(G1294=1,0.2*R1294/C1294,K1293)</f>
        <v/>
      </c>
      <c r="L1294">
        <f>IF(G1294=1,0.2*R1294/D1294,L1293)</f>
        <v/>
      </c>
      <c r="M1294">
        <f>IF(G1294=1,0.2*R1294/E1294,M1293)</f>
        <v/>
      </c>
      <c r="N1294">
        <f>IF(G1294=1,0.2*R1294/F1294,N1293)</f>
        <v/>
      </c>
      <c r="O1294">
        <f>IF(G1294=1,R1294*(1-1.0),IF(H1293=0,1,O1293*(1+0.00023125256064071564)))</f>
        <v/>
      </c>
      <c r="P1294">
        <f>IF(G1294=1,IF(H1293=0,1,ABS(0.2-J1293*B1294/I1294)+ABS(0.2-K1293*C1294/I1294)+ABS(0.2-L1293*D1294/I1294)+ABS(0.2-M1293*E1294/I1294)+ABS(0.2-N1293*F1294/I1294)),0)</f>
        <v/>
      </c>
      <c r="Q1294">
        <f>P1294*0.0015</f>
        <v/>
      </c>
      <c r="R1294">
        <f>I1294*(1-Q1294)</f>
        <v/>
      </c>
      <c r="S1294">
        <f>R1294/R1293-1</f>
        <v/>
      </c>
      <c r="T1294">
        <f>MAX(T1293,R1294)</f>
        <v/>
      </c>
      <c r="U1294">
        <f>R1294/T1294-1</f>
        <v/>
      </c>
      <c r="V1294" t="n">
        <v>3.076739477008378</v>
      </c>
      <c r="W1294" s="5">
        <f>R1294-V1294</f>
        <v/>
      </c>
    </row>
    <row r="1295">
      <c r="A1295" s="3" t="n">
        <v>40350</v>
      </c>
      <c r="B1295">
        <f>Prices!B1295</f>
        <v/>
      </c>
      <c r="C1295">
        <f>Prices!C1295</f>
        <v/>
      </c>
      <c r="D1295">
        <f>Prices!D1295</f>
        <v/>
      </c>
      <c r="E1295">
        <f>Prices!E1295</f>
        <v/>
      </c>
      <c r="F1295">
        <f>Prices!F1295</f>
        <v/>
      </c>
      <c r="G1295">
        <f>IF(AND(1293&gt;=16,TEXT(A1295,"yyyy-mm")&lt;&gt;TEXT(A1296,"yyyy-mm")),1,0)</f>
        <v/>
      </c>
      <c r="H1295">
        <f>IF(OR(H1294=1,G1295=1),1,0)</f>
        <v/>
      </c>
      <c r="I1295">
        <f>IF(H1294=0,1,SUMPRODUCT(J1294:N1294,B1295:F1295)+O1294*(1+0.00023125256064071564))</f>
        <v/>
      </c>
      <c r="J1295">
        <f>IF(G1295=1,0.2*R1295/B1295,J1294)</f>
        <v/>
      </c>
      <c r="K1295">
        <f>IF(G1295=1,0.2*R1295/C1295,K1294)</f>
        <v/>
      </c>
      <c r="L1295">
        <f>IF(G1295=1,0.2*R1295/D1295,L1294)</f>
        <v/>
      </c>
      <c r="M1295">
        <f>IF(G1295=1,0.2*R1295/E1295,M1294)</f>
        <v/>
      </c>
      <c r="N1295">
        <f>IF(G1295=1,0.2*R1295/F1295,N1294)</f>
        <v/>
      </c>
      <c r="O1295">
        <f>IF(G1295=1,R1295*(1-1.0),IF(H1294=0,1,O1294*(1+0.00023125256064071564)))</f>
        <v/>
      </c>
      <c r="P1295">
        <f>IF(G1295=1,IF(H1294=0,1,ABS(0.2-J1294*B1295/I1295)+ABS(0.2-K1294*C1295/I1295)+ABS(0.2-L1294*D1295/I1295)+ABS(0.2-M1294*E1295/I1295)+ABS(0.2-N1294*F1295/I1295)),0)</f>
        <v/>
      </c>
      <c r="Q1295">
        <f>P1295*0.0015</f>
        <v/>
      </c>
      <c r="R1295">
        <f>I1295*(1-Q1295)</f>
        <v/>
      </c>
      <c r="S1295">
        <f>R1295/R1294-1</f>
        <v/>
      </c>
      <c r="T1295">
        <f>MAX(T1294,R1295)</f>
        <v/>
      </c>
      <c r="U1295">
        <f>R1295/T1295-1</f>
        <v/>
      </c>
      <c r="V1295" t="n">
        <v>3.118616132042465</v>
      </c>
      <c r="W1295" s="5">
        <f>R1295-V1295</f>
        <v/>
      </c>
    </row>
    <row r="1296">
      <c r="A1296" s="3" t="n">
        <v>40351</v>
      </c>
      <c r="B1296">
        <f>Prices!B1296</f>
        <v/>
      </c>
      <c r="C1296">
        <f>Prices!C1296</f>
        <v/>
      </c>
      <c r="D1296">
        <f>Prices!D1296</f>
        <v/>
      </c>
      <c r="E1296">
        <f>Prices!E1296</f>
        <v/>
      </c>
      <c r="F1296">
        <f>Prices!F1296</f>
        <v/>
      </c>
      <c r="G1296">
        <f>IF(AND(1294&gt;=16,TEXT(A1296,"yyyy-mm")&lt;&gt;TEXT(A1297,"yyyy-mm")),1,0)</f>
        <v/>
      </c>
      <c r="H1296">
        <f>IF(OR(H1295=1,G1296=1),1,0)</f>
        <v/>
      </c>
      <c r="I1296">
        <f>IF(H1295=0,1,SUMPRODUCT(J1295:N1295,B1296:F1296)+O1295*(1+0.00023125256064071564))</f>
        <v/>
      </c>
      <c r="J1296">
        <f>IF(G1296=1,0.2*R1296/B1296,J1295)</f>
        <v/>
      </c>
      <c r="K1296">
        <f>IF(G1296=1,0.2*R1296/C1296,K1295)</f>
        <v/>
      </c>
      <c r="L1296">
        <f>IF(G1296=1,0.2*R1296/D1296,L1295)</f>
        <v/>
      </c>
      <c r="M1296">
        <f>IF(G1296=1,0.2*R1296/E1296,M1295)</f>
        <v/>
      </c>
      <c r="N1296">
        <f>IF(G1296=1,0.2*R1296/F1296,N1295)</f>
        <v/>
      </c>
      <c r="O1296">
        <f>IF(G1296=1,R1296*(1-1.0),IF(H1295=0,1,O1295*(1+0.00023125256064071564)))</f>
        <v/>
      </c>
      <c r="P1296">
        <f>IF(G1296=1,IF(H1295=0,1,ABS(0.2-J1295*B1296/I1296)+ABS(0.2-K1295*C1296/I1296)+ABS(0.2-L1295*D1296/I1296)+ABS(0.2-M1295*E1296/I1296)+ABS(0.2-N1295*F1296/I1296)),0)</f>
        <v/>
      </c>
      <c r="Q1296">
        <f>P1296*0.0015</f>
        <v/>
      </c>
      <c r="R1296">
        <f>I1296*(1-Q1296)</f>
        <v/>
      </c>
      <c r="S1296">
        <f>R1296/R1295-1</f>
        <v/>
      </c>
      <c r="T1296">
        <f>MAX(T1295,R1296)</f>
        <v/>
      </c>
      <c r="U1296">
        <f>R1296/T1296-1</f>
        <v/>
      </c>
      <c r="V1296" t="n">
        <v>3.112152125057761</v>
      </c>
      <c r="W1296" s="5">
        <f>R1296-V1296</f>
        <v/>
      </c>
    </row>
    <row r="1297">
      <c r="A1297" s="3" t="n">
        <v>40352</v>
      </c>
      <c r="B1297">
        <f>Prices!B1297</f>
        <v/>
      </c>
      <c r="C1297">
        <f>Prices!C1297</f>
        <v/>
      </c>
      <c r="D1297">
        <f>Prices!D1297</f>
        <v/>
      </c>
      <c r="E1297">
        <f>Prices!E1297</f>
        <v/>
      </c>
      <c r="F1297">
        <f>Prices!F1297</f>
        <v/>
      </c>
      <c r="G1297">
        <f>IF(AND(1295&gt;=16,TEXT(A1297,"yyyy-mm")&lt;&gt;TEXT(A1298,"yyyy-mm")),1,0)</f>
        <v/>
      </c>
      <c r="H1297">
        <f>IF(OR(H1296=1,G1297=1),1,0)</f>
        <v/>
      </c>
      <c r="I1297">
        <f>IF(H1296=0,1,SUMPRODUCT(J1296:N1296,B1297:F1297)+O1296*(1+0.00023125256064071564))</f>
        <v/>
      </c>
      <c r="J1297">
        <f>IF(G1297=1,0.2*R1297/B1297,J1296)</f>
        <v/>
      </c>
      <c r="K1297">
        <f>IF(G1297=1,0.2*R1297/C1297,K1296)</f>
        <v/>
      </c>
      <c r="L1297">
        <f>IF(G1297=1,0.2*R1297/D1297,L1296)</f>
        <v/>
      </c>
      <c r="M1297">
        <f>IF(G1297=1,0.2*R1297/E1297,M1296)</f>
        <v/>
      </c>
      <c r="N1297">
        <f>IF(G1297=1,0.2*R1297/F1297,N1296)</f>
        <v/>
      </c>
      <c r="O1297">
        <f>IF(G1297=1,R1297*(1-1.0),IF(H1296=0,1,O1296*(1+0.00023125256064071564)))</f>
        <v/>
      </c>
      <c r="P1297">
        <f>IF(G1297=1,IF(H1296=0,1,ABS(0.2-J1296*B1297/I1297)+ABS(0.2-K1296*C1297/I1297)+ABS(0.2-L1296*D1297/I1297)+ABS(0.2-M1296*E1297/I1297)+ABS(0.2-N1296*F1297/I1297)),0)</f>
        <v/>
      </c>
      <c r="Q1297">
        <f>P1297*0.0015</f>
        <v/>
      </c>
      <c r="R1297">
        <f>I1297*(1-Q1297)</f>
        <v/>
      </c>
      <c r="S1297">
        <f>R1297/R1296-1</f>
        <v/>
      </c>
      <c r="T1297">
        <f>MAX(T1296,R1297)</f>
        <v/>
      </c>
      <c r="U1297">
        <f>R1297/T1297-1</f>
        <v/>
      </c>
      <c r="V1297" t="n">
        <v>3.133205609446139</v>
      </c>
      <c r="W1297" s="5">
        <f>R1297-V1297</f>
        <v/>
      </c>
    </row>
    <row r="1298">
      <c r="A1298" s="3" t="n">
        <v>40353</v>
      </c>
      <c r="B1298">
        <f>Prices!B1298</f>
        <v/>
      </c>
      <c r="C1298">
        <f>Prices!C1298</f>
        <v/>
      </c>
      <c r="D1298">
        <f>Prices!D1298</f>
        <v/>
      </c>
      <c r="E1298">
        <f>Prices!E1298</f>
        <v/>
      </c>
      <c r="F1298">
        <f>Prices!F1298</f>
        <v/>
      </c>
      <c r="G1298">
        <f>IF(AND(1296&gt;=16,TEXT(A1298,"yyyy-mm")&lt;&gt;TEXT(A1299,"yyyy-mm")),1,0)</f>
        <v/>
      </c>
      <c r="H1298">
        <f>IF(OR(H1297=1,G1298=1),1,0)</f>
        <v/>
      </c>
      <c r="I1298">
        <f>IF(H1297=0,1,SUMPRODUCT(J1297:N1297,B1298:F1298)+O1297*(1+0.00023125256064071564))</f>
        <v/>
      </c>
      <c r="J1298">
        <f>IF(G1298=1,0.2*R1298/B1298,J1297)</f>
        <v/>
      </c>
      <c r="K1298">
        <f>IF(G1298=1,0.2*R1298/C1298,K1297)</f>
        <v/>
      </c>
      <c r="L1298">
        <f>IF(G1298=1,0.2*R1298/D1298,L1297)</f>
        <v/>
      </c>
      <c r="M1298">
        <f>IF(G1298=1,0.2*R1298/E1298,M1297)</f>
        <v/>
      </c>
      <c r="N1298">
        <f>IF(G1298=1,0.2*R1298/F1298,N1297)</f>
        <v/>
      </c>
      <c r="O1298">
        <f>IF(G1298=1,R1298*(1-1.0),IF(H1297=0,1,O1297*(1+0.00023125256064071564)))</f>
        <v/>
      </c>
      <c r="P1298">
        <f>IF(G1298=1,IF(H1297=0,1,ABS(0.2-J1297*B1298/I1298)+ABS(0.2-K1297*C1298/I1298)+ABS(0.2-L1297*D1298/I1298)+ABS(0.2-M1297*E1298/I1298)+ABS(0.2-N1297*F1298/I1298)),0)</f>
        <v/>
      </c>
      <c r="Q1298">
        <f>P1298*0.0015</f>
        <v/>
      </c>
      <c r="R1298">
        <f>I1298*(1-Q1298)</f>
        <v/>
      </c>
      <c r="S1298">
        <f>R1298/R1297-1</f>
        <v/>
      </c>
      <c r="T1298">
        <f>MAX(T1297,R1298)</f>
        <v/>
      </c>
      <c r="U1298">
        <f>R1298/T1298-1</f>
        <v/>
      </c>
      <c r="V1298" t="n">
        <v>3.127011365383153</v>
      </c>
      <c r="W1298" s="5">
        <f>R1298-V1298</f>
        <v/>
      </c>
    </row>
    <row r="1299">
      <c r="A1299" s="3" t="n">
        <v>40354</v>
      </c>
      <c r="B1299">
        <f>Prices!B1299</f>
        <v/>
      </c>
      <c r="C1299">
        <f>Prices!C1299</f>
        <v/>
      </c>
      <c r="D1299">
        <f>Prices!D1299</f>
        <v/>
      </c>
      <c r="E1299">
        <f>Prices!E1299</f>
        <v/>
      </c>
      <c r="F1299">
        <f>Prices!F1299</f>
        <v/>
      </c>
      <c r="G1299">
        <f>IF(AND(1297&gt;=16,TEXT(A1299,"yyyy-mm")&lt;&gt;TEXT(A1300,"yyyy-mm")),1,0)</f>
        <v/>
      </c>
      <c r="H1299">
        <f>IF(OR(H1298=1,G1299=1),1,0)</f>
        <v/>
      </c>
      <c r="I1299">
        <f>IF(H1298=0,1,SUMPRODUCT(J1298:N1298,B1299:F1299)+O1298*(1+0.00023125256064071564))</f>
        <v/>
      </c>
      <c r="J1299">
        <f>IF(G1299=1,0.2*R1299/B1299,J1298)</f>
        <v/>
      </c>
      <c r="K1299">
        <f>IF(G1299=1,0.2*R1299/C1299,K1298)</f>
        <v/>
      </c>
      <c r="L1299">
        <f>IF(G1299=1,0.2*R1299/D1299,L1298)</f>
        <v/>
      </c>
      <c r="M1299">
        <f>IF(G1299=1,0.2*R1299/E1299,M1298)</f>
        <v/>
      </c>
      <c r="N1299">
        <f>IF(G1299=1,0.2*R1299/F1299,N1298)</f>
        <v/>
      </c>
      <c r="O1299">
        <f>IF(G1299=1,R1299*(1-1.0),IF(H1298=0,1,O1298*(1+0.00023125256064071564)))</f>
        <v/>
      </c>
      <c r="P1299">
        <f>IF(G1299=1,IF(H1298=0,1,ABS(0.2-J1298*B1299/I1299)+ABS(0.2-K1298*C1299/I1299)+ABS(0.2-L1298*D1299/I1299)+ABS(0.2-M1298*E1299/I1299)+ABS(0.2-N1298*F1299/I1299)),0)</f>
        <v/>
      </c>
      <c r="Q1299">
        <f>P1299*0.0015</f>
        <v/>
      </c>
      <c r="R1299">
        <f>I1299*(1-Q1299)</f>
        <v/>
      </c>
      <c r="S1299">
        <f>R1299/R1298-1</f>
        <v/>
      </c>
      <c r="T1299">
        <f>MAX(T1298,R1299)</f>
        <v/>
      </c>
      <c r="U1299">
        <f>R1299/T1299-1</f>
        <v/>
      </c>
      <c r="V1299" t="n">
        <v>3.113986237206853</v>
      </c>
      <c r="W1299" s="5">
        <f>R1299-V1299</f>
        <v/>
      </c>
    </row>
    <row r="1300">
      <c r="A1300" s="3" t="n">
        <v>40357</v>
      </c>
      <c r="B1300">
        <f>Prices!B1300</f>
        <v/>
      </c>
      <c r="C1300">
        <f>Prices!C1300</f>
        <v/>
      </c>
      <c r="D1300">
        <f>Prices!D1300</f>
        <v/>
      </c>
      <c r="E1300">
        <f>Prices!E1300</f>
        <v/>
      </c>
      <c r="F1300">
        <f>Prices!F1300</f>
        <v/>
      </c>
      <c r="G1300">
        <f>IF(AND(1298&gt;=16,TEXT(A1300,"yyyy-mm")&lt;&gt;TEXT(A1301,"yyyy-mm")),1,0)</f>
        <v/>
      </c>
      <c r="H1300">
        <f>IF(OR(H1299=1,G1300=1),1,0)</f>
        <v/>
      </c>
      <c r="I1300">
        <f>IF(H1299=0,1,SUMPRODUCT(J1299:N1299,B1300:F1300)+O1299*(1+0.00023125256064071564))</f>
        <v/>
      </c>
      <c r="J1300">
        <f>IF(G1300=1,0.2*R1300/B1300,J1299)</f>
        <v/>
      </c>
      <c r="K1300">
        <f>IF(G1300=1,0.2*R1300/C1300,K1299)</f>
        <v/>
      </c>
      <c r="L1300">
        <f>IF(G1300=1,0.2*R1300/D1300,L1299)</f>
        <v/>
      </c>
      <c r="M1300">
        <f>IF(G1300=1,0.2*R1300/E1300,M1299)</f>
        <v/>
      </c>
      <c r="N1300">
        <f>IF(G1300=1,0.2*R1300/F1300,N1299)</f>
        <v/>
      </c>
      <c r="O1300">
        <f>IF(G1300=1,R1300*(1-1.0),IF(H1299=0,1,O1299*(1+0.00023125256064071564)))</f>
        <v/>
      </c>
      <c r="P1300">
        <f>IF(G1300=1,IF(H1299=0,1,ABS(0.2-J1299*B1300/I1300)+ABS(0.2-K1299*C1300/I1300)+ABS(0.2-L1299*D1300/I1300)+ABS(0.2-M1299*E1300/I1300)+ABS(0.2-N1299*F1300/I1300)),0)</f>
        <v/>
      </c>
      <c r="Q1300">
        <f>P1300*0.0015</f>
        <v/>
      </c>
      <c r="R1300">
        <f>I1300*(1-Q1300)</f>
        <v/>
      </c>
      <c r="S1300">
        <f>R1300/R1299-1</f>
        <v/>
      </c>
      <c r="T1300">
        <f>MAX(T1299,R1300)</f>
        <v/>
      </c>
      <c r="U1300">
        <f>R1300/T1300-1</f>
        <v/>
      </c>
      <c r="V1300" t="n">
        <v>3.148434484765427</v>
      </c>
      <c r="W1300" s="5">
        <f>R1300-V1300</f>
        <v/>
      </c>
    </row>
    <row r="1301">
      <c r="A1301" s="3" t="n">
        <v>40358</v>
      </c>
      <c r="B1301">
        <f>Prices!B1301</f>
        <v/>
      </c>
      <c r="C1301">
        <f>Prices!C1301</f>
        <v/>
      </c>
      <c r="D1301">
        <f>Prices!D1301</f>
        <v/>
      </c>
      <c r="E1301">
        <f>Prices!E1301</f>
        <v/>
      </c>
      <c r="F1301">
        <f>Prices!F1301</f>
        <v/>
      </c>
      <c r="G1301">
        <f>IF(AND(1299&gt;=16,TEXT(A1301,"yyyy-mm")&lt;&gt;TEXT(A1302,"yyyy-mm")),1,0)</f>
        <v/>
      </c>
      <c r="H1301">
        <f>IF(OR(H1300=1,G1301=1),1,0)</f>
        <v/>
      </c>
      <c r="I1301">
        <f>IF(H1300=0,1,SUMPRODUCT(J1300:N1300,B1301:F1301)+O1300*(1+0.00023125256064071564))</f>
        <v/>
      </c>
      <c r="J1301">
        <f>IF(G1301=1,0.2*R1301/B1301,J1300)</f>
        <v/>
      </c>
      <c r="K1301">
        <f>IF(G1301=1,0.2*R1301/C1301,K1300)</f>
        <v/>
      </c>
      <c r="L1301">
        <f>IF(G1301=1,0.2*R1301/D1301,L1300)</f>
        <v/>
      </c>
      <c r="M1301">
        <f>IF(G1301=1,0.2*R1301/E1301,M1300)</f>
        <v/>
      </c>
      <c r="N1301">
        <f>IF(G1301=1,0.2*R1301/F1301,N1300)</f>
        <v/>
      </c>
      <c r="O1301">
        <f>IF(G1301=1,R1301*(1-1.0),IF(H1300=0,1,O1300*(1+0.00023125256064071564)))</f>
        <v/>
      </c>
      <c r="P1301">
        <f>IF(G1301=1,IF(H1300=0,1,ABS(0.2-J1300*B1301/I1301)+ABS(0.2-K1300*C1301/I1301)+ABS(0.2-L1300*D1301/I1301)+ABS(0.2-M1300*E1301/I1301)+ABS(0.2-N1300*F1301/I1301)),0)</f>
        <v/>
      </c>
      <c r="Q1301">
        <f>P1301*0.0015</f>
        <v/>
      </c>
      <c r="R1301">
        <f>I1301*(1-Q1301)</f>
        <v/>
      </c>
      <c r="S1301">
        <f>R1301/R1300-1</f>
        <v/>
      </c>
      <c r="T1301">
        <f>MAX(T1300,R1301)</f>
        <v/>
      </c>
      <c r="U1301">
        <f>R1301/T1301-1</f>
        <v/>
      </c>
      <c r="V1301" t="n">
        <v>3.116724098589509</v>
      </c>
      <c r="W1301" s="5">
        <f>R1301-V1301</f>
        <v/>
      </c>
    </row>
    <row r="1302">
      <c r="A1302" s="3" t="n">
        <v>40359</v>
      </c>
      <c r="B1302">
        <f>Prices!B1302</f>
        <v/>
      </c>
      <c r="C1302">
        <f>Prices!C1302</f>
        <v/>
      </c>
      <c r="D1302">
        <f>Prices!D1302</f>
        <v/>
      </c>
      <c r="E1302">
        <f>Prices!E1302</f>
        <v/>
      </c>
      <c r="F1302">
        <f>Prices!F1302</f>
        <v/>
      </c>
      <c r="G1302">
        <f>IF(AND(1300&gt;=16,TEXT(A1302,"yyyy-mm")&lt;&gt;TEXT(A1303,"yyyy-mm")),1,0)</f>
        <v/>
      </c>
      <c r="H1302">
        <f>IF(OR(H1301=1,G1302=1),1,0)</f>
        <v/>
      </c>
      <c r="I1302">
        <f>IF(H1301=0,1,SUMPRODUCT(J1301:N1301,B1302:F1302)+O1301*(1+0.00023125256064071564))</f>
        <v/>
      </c>
      <c r="J1302">
        <f>IF(G1302=1,0.2*R1302/B1302,J1301)</f>
        <v/>
      </c>
      <c r="K1302">
        <f>IF(G1302=1,0.2*R1302/C1302,K1301)</f>
        <v/>
      </c>
      <c r="L1302">
        <f>IF(G1302=1,0.2*R1302/D1302,L1301)</f>
        <v/>
      </c>
      <c r="M1302">
        <f>IF(G1302=1,0.2*R1302/E1302,M1301)</f>
        <v/>
      </c>
      <c r="N1302">
        <f>IF(G1302=1,0.2*R1302/F1302,N1301)</f>
        <v/>
      </c>
      <c r="O1302">
        <f>IF(G1302=1,R1302*(1-1.0),IF(H1301=0,1,O1301*(1+0.00023125256064071564)))</f>
        <v/>
      </c>
      <c r="P1302">
        <f>IF(G1302=1,IF(H1301=0,1,ABS(0.2-J1301*B1302/I1302)+ABS(0.2-K1301*C1302/I1302)+ABS(0.2-L1301*D1302/I1302)+ABS(0.2-M1301*E1302/I1302)+ABS(0.2-N1301*F1302/I1302)),0)</f>
        <v/>
      </c>
      <c r="Q1302">
        <f>P1302*0.0015</f>
        <v/>
      </c>
      <c r="R1302">
        <f>I1302*(1-Q1302)</f>
        <v/>
      </c>
      <c r="S1302">
        <f>R1302/R1301-1</f>
        <v/>
      </c>
      <c r="T1302">
        <f>MAX(T1301,R1302)</f>
        <v/>
      </c>
      <c r="U1302">
        <f>R1302/T1302-1</f>
        <v/>
      </c>
      <c r="V1302" t="n">
        <v>3.133920834481354</v>
      </c>
      <c r="W1302" s="5">
        <f>R1302-V1302</f>
        <v/>
      </c>
    </row>
    <row r="1303">
      <c r="A1303" s="3" t="n">
        <v>40360</v>
      </c>
      <c r="B1303">
        <f>Prices!B1303</f>
        <v/>
      </c>
      <c r="C1303">
        <f>Prices!C1303</f>
        <v/>
      </c>
      <c r="D1303">
        <f>Prices!D1303</f>
        <v/>
      </c>
      <c r="E1303">
        <f>Prices!E1303</f>
        <v/>
      </c>
      <c r="F1303">
        <f>Prices!F1303</f>
        <v/>
      </c>
      <c r="G1303">
        <f>IF(AND(1301&gt;=16,TEXT(A1303,"yyyy-mm")&lt;&gt;TEXT(A1304,"yyyy-mm")),1,0)</f>
        <v/>
      </c>
      <c r="H1303">
        <f>IF(OR(H1302=1,G1303=1),1,0)</f>
        <v/>
      </c>
      <c r="I1303">
        <f>IF(H1302=0,1,SUMPRODUCT(J1302:N1302,B1303:F1303)+O1302*(1+0.00023125256064071564))</f>
        <v/>
      </c>
      <c r="J1303">
        <f>IF(G1303=1,0.2*R1303/B1303,J1302)</f>
        <v/>
      </c>
      <c r="K1303">
        <f>IF(G1303=1,0.2*R1303/C1303,K1302)</f>
        <v/>
      </c>
      <c r="L1303">
        <f>IF(G1303=1,0.2*R1303/D1303,L1302)</f>
        <v/>
      </c>
      <c r="M1303">
        <f>IF(G1303=1,0.2*R1303/E1303,M1302)</f>
        <v/>
      </c>
      <c r="N1303">
        <f>IF(G1303=1,0.2*R1303/F1303,N1302)</f>
        <v/>
      </c>
      <c r="O1303">
        <f>IF(G1303=1,R1303*(1-1.0),IF(H1302=0,1,O1302*(1+0.00023125256064071564)))</f>
        <v/>
      </c>
      <c r="P1303">
        <f>IF(G1303=1,IF(H1302=0,1,ABS(0.2-J1302*B1303/I1303)+ABS(0.2-K1302*C1303/I1303)+ABS(0.2-L1302*D1303/I1303)+ABS(0.2-M1302*E1303/I1303)+ABS(0.2-N1302*F1303/I1303)),0)</f>
        <v/>
      </c>
      <c r="Q1303">
        <f>P1303*0.0015</f>
        <v/>
      </c>
      <c r="R1303">
        <f>I1303*(1-Q1303)</f>
        <v/>
      </c>
      <c r="S1303">
        <f>R1303/R1302-1</f>
        <v/>
      </c>
      <c r="T1303">
        <f>MAX(T1302,R1303)</f>
        <v/>
      </c>
      <c r="U1303">
        <f>R1303/T1303-1</f>
        <v/>
      </c>
      <c r="V1303" t="n">
        <v>3.120854684755135</v>
      </c>
      <c r="W1303" s="5">
        <f>R1303-V1303</f>
        <v/>
      </c>
    </row>
    <row r="1304">
      <c r="A1304" s="3" t="n">
        <v>40361</v>
      </c>
      <c r="B1304">
        <f>Prices!B1304</f>
        <v/>
      </c>
      <c r="C1304">
        <f>Prices!C1304</f>
        <v/>
      </c>
      <c r="D1304">
        <f>Prices!D1304</f>
        <v/>
      </c>
      <c r="E1304">
        <f>Prices!E1304</f>
        <v/>
      </c>
      <c r="F1304">
        <f>Prices!F1304</f>
        <v/>
      </c>
      <c r="G1304">
        <f>IF(AND(1302&gt;=16,TEXT(A1304,"yyyy-mm")&lt;&gt;TEXT(A1305,"yyyy-mm")),1,0)</f>
        <v/>
      </c>
      <c r="H1304">
        <f>IF(OR(H1303=1,G1304=1),1,0)</f>
        <v/>
      </c>
      <c r="I1304">
        <f>IF(H1303=0,1,SUMPRODUCT(J1303:N1303,B1304:F1304)+O1303*(1+0.00023125256064071564))</f>
        <v/>
      </c>
      <c r="J1304">
        <f>IF(G1304=1,0.2*R1304/B1304,J1303)</f>
        <v/>
      </c>
      <c r="K1304">
        <f>IF(G1304=1,0.2*R1304/C1304,K1303)</f>
        <v/>
      </c>
      <c r="L1304">
        <f>IF(G1304=1,0.2*R1304/D1304,L1303)</f>
        <v/>
      </c>
      <c r="M1304">
        <f>IF(G1304=1,0.2*R1304/E1304,M1303)</f>
        <v/>
      </c>
      <c r="N1304">
        <f>IF(G1304=1,0.2*R1304/F1304,N1303)</f>
        <v/>
      </c>
      <c r="O1304">
        <f>IF(G1304=1,R1304*(1-1.0),IF(H1303=0,1,O1303*(1+0.00023125256064071564)))</f>
        <v/>
      </c>
      <c r="P1304">
        <f>IF(G1304=1,IF(H1303=0,1,ABS(0.2-J1303*B1304/I1304)+ABS(0.2-K1303*C1304/I1304)+ABS(0.2-L1303*D1304/I1304)+ABS(0.2-M1303*E1304/I1304)+ABS(0.2-N1303*F1304/I1304)),0)</f>
        <v/>
      </c>
      <c r="Q1304">
        <f>P1304*0.0015</f>
        <v/>
      </c>
      <c r="R1304">
        <f>I1304*(1-Q1304)</f>
        <v/>
      </c>
      <c r="S1304">
        <f>R1304/R1303-1</f>
        <v/>
      </c>
      <c r="T1304">
        <f>MAX(T1303,R1304)</f>
        <v/>
      </c>
      <c r="U1304">
        <f>R1304/T1304-1</f>
        <v/>
      </c>
      <c r="V1304" t="n">
        <v>3.119607508389818</v>
      </c>
      <c r="W1304" s="5">
        <f>R1304-V1304</f>
        <v/>
      </c>
    </row>
    <row r="1305">
      <c r="A1305" s="3" t="n">
        <v>40364</v>
      </c>
      <c r="B1305">
        <f>Prices!B1305</f>
        <v/>
      </c>
      <c r="C1305">
        <f>Prices!C1305</f>
        <v/>
      </c>
      <c r="D1305">
        <f>Prices!D1305</f>
        <v/>
      </c>
      <c r="E1305">
        <f>Prices!E1305</f>
        <v/>
      </c>
      <c r="F1305">
        <f>Prices!F1305</f>
        <v/>
      </c>
      <c r="G1305">
        <f>IF(AND(1303&gt;=16,TEXT(A1305,"yyyy-mm")&lt;&gt;TEXT(A1306,"yyyy-mm")),1,0)</f>
        <v/>
      </c>
      <c r="H1305">
        <f>IF(OR(H1304=1,G1305=1),1,0)</f>
        <v/>
      </c>
      <c r="I1305">
        <f>IF(H1304=0,1,SUMPRODUCT(J1304:N1304,B1305:F1305)+O1304*(1+0.00023125256064071564))</f>
        <v/>
      </c>
      <c r="J1305">
        <f>IF(G1305=1,0.2*R1305/B1305,J1304)</f>
        <v/>
      </c>
      <c r="K1305">
        <f>IF(G1305=1,0.2*R1305/C1305,K1304)</f>
        <v/>
      </c>
      <c r="L1305">
        <f>IF(G1305=1,0.2*R1305/D1305,L1304)</f>
        <v/>
      </c>
      <c r="M1305">
        <f>IF(G1305=1,0.2*R1305/E1305,M1304)</f>
        <v/>
      </c>
      <c r="N1305">
        <f>IF(G1305=1,0.2*R1305/F1305,N1304)</f>
        <v/>
      </c>
      <c r="O1305">
        <f>IF(G1305=1,R1305*(1-1.0),IF(H1304=0,1,O1304*(1+0.00023125256064071564)))</f>
        <v/>
      </c>
      <c r="P1305">
        <f>IF(G1305=1,IF(H1304=0,1,ABS(0.2-J1304*B1305/I1305)+ABS(0.2-K1304*C1305/I1305)+ABS(0.2-L1304*D1305/I1305)+ABS(0.2-M1304*E1305/I1305)+ABS(0.2-N1304*F1305/I1305)),0)</f>
        <v/>
      </c>
      <c r="Q1305">
        <f>P1305*0.0015</f>
        <v/>
      </c>
      <c r="R1305">
        <f>I1305*(1-Q1305)</f>
        <v/>
      </c>
      <c r="S1305">
        <f>R1305/R1304-1</f>
        <v/>
      </c>
      <c r="T1305">
        <f>MAX(T1304,R1305)</f>
        <v/>
      </c>
      <c r="U1305">
        <f>R1305/T1305-1</f>
        <v/>
      </c>
      <c r="V1305" t="n">
        <v>3.12578330734799</v>
      </c>
      <c r="W1305" s="5">
        <f>R1305-V1305</f>
        <v/>
      </c>
    </row>
    <row r="1306">
      <c r="A1306" s="3" t="n">
        <v>40365</v>
      </c>
      <c r="B1306">
        <f>Prices!B1306</f>
        <v/>
      </c>
      <c r="C1306">
        <f>Prices!C1306</f>
        <v/>
      </c>
      <c r="D1306">
        <f>Prices!D1306</f>
        <v/>
      </c>
      <c r="E1306">
        <f>Prices!E1306</f>
        <v/>
      </c>
      <c r="F1306">
        <f>Prices!F1306</f>
        <v/>
      </c>
      <c r="G1306">
        <f>IF(AND(1304&gt;=16,TEXT(A1306,"yyyy-mm")&lt;&gt;TEXT(A1307,"yyyy-mm")),1,0)</f>
        <v/>
      </c>
      <c r="H1306">
        <f>IF(OR(H1305=1,G1306=1),1,0)</f>
        <v/>
      </c>
      <c r="I1306">
        <f>IF(H1305=0,1,SUMPRODUCT(J1305:N1305,B1306:F1306)+O1305*(1+0.00023125256064071564))</f>
        <v/>
      </c>
      <c r="J1306">
        <f>IF(G1306=1,0.2*R1306/B1306,J1305)</f>
        <v/>
      </c>
      <c r="K1306">
        <f>IF(G1306=1,0.2*R1306/C1306,K1305)</f>
        <v/>
      </c>
      <c r="L1306">
        <f>IF(G1306=1,0.2*R1306/D1306,L1305)</f>
        <v/>
      </c>
      <c r="M1306">
        <f>IF(G1306=1,0.2*R1306/E1306,M1305)</f>
        <v/>
      </c>
      <c r="N1306">
        <f>IF(G1306=1,0.2*R1306/F1306,N1305)</f>
        <v/>
      </c>
      <c r="O1306">
        <f>IF(G1306=1,R1306*(1-1.0),IF(H1305=0,1,O1305*(1+0.00023125256064071564)))</f>
        <v/>
      </c>
      <c r="P1306">
        <f>IF(G1306=1,IF(H1305=0,1,ABS(0.2-J1305*B1306/I1306)+ABS(0.2-K1305*C1306/I1306)+ABS(0.2-L1305*D1306/I1306)+ABS(0.2-M1305*E1306/I1306)+ABS(0.2-N1305*F1306/I1306)),0)</f>
        <v/>
      </c>
      <c r="Q1306">
        <f>P1306*0.0015</f>
        <v/>
      </c>
      <c r="R1306">
        <f>I1306*(1-Q1306)</f>
        <v/>
      </c>
      <c r="S1306">
        <f>R1306/R1305-1</f>
        <v/>
      </c>
      <c r="T1306">
        <f>MAX(T1305,R1306)</f>
        <v/>
      </c>
      <c r="U1306">
        <f>R1306/T1306-1</f>
        <v/>
      </c>
      <c r="V1306" t="n">
        <v>3.153272098752949</v>
      </c>
      <c r="W1306" s="5">
        <f>R1306-V1306</f>
        <v/>
      </c>
    </row>
    <row r="1307">
      <c r="A1307" s="3" t="n">
        <v>40366</v>
      </c>
      <c r="B1307">
        <f>Prices!B1307</f>
        <v/>
      </c>
      <c r="C1307">
        <f>Prices!C1307</f>
        <v/>
      </c>
      <c r="D1307">
        <f>Prices!D1307</f>
        <v/>
      </c>
      <c r="E1307">
        <f>Prices!E1307</f>
        <v/>
      </c>
      <c r="F1307">
        <f>Prices!F1307</f>
        <v/>
      </c>
      <c r="G1307">
        <f>IF(AND(1305&gt;=16,TEXT(A1307,"yyyy-mm")&lt;&gt;TEXT(A1308,"yyyy-mm")),1,0)</f>
        <v/>
      </c>
      <c r="H1307">
        <f>IF(OR(H1306=1,G1307=1),1,0)</f>
        <v/>
      </c>
      <c r="I1307">
        <f>IF(H1306=0,1,SUMPRODUCT(J1306:N1306,B1307:F1307)+O1306*(1+0.00023125256064071564))</f>
        <v/>
      </c>
      <c r="J1307">
        <f>IF(G1307=1,0.2*R1307/B1307,J1306)</f>
        <v/>
      </c>
      <c r="K1307">
        <f>IF(G1307=1,0.2*R1307/C1307,K1306)</f>
        <v/>
      </c>
      <c r="L1307">
        <f>IF(G1307=1,0.2*R1307/D1307,L1306)</f>
        <v/>
      </c>
      <c r="M1307">
        <f>IF(G1307=1,0.2*R1307/E1307,M1306)</f>
        <v/>
      </c>
      <c r="N1307">
        <f>IF(G1307=1,0.2*R1307/F1307,N1306)</f>
        <v/>
      </c>
      <c r="O1307">
        <f>IF(G1307=1,R1307*(1-1.0),IF(H1306=0,1,O1306*(1+0.00023125256064071564)))</f>
        <v/>
      </c>
      <c r="P1307">
        <f>IF(G1307=1,IF(H1306=0,1,ABS(0.2-J1306*B1307/I1307)+ABS(0.2-K1306*C1307/I1307)+ABS(0.2-L1306*D1307/I1307)+ABS(0.2-M1306*E1307/I1307)+ABS(0.2-N1306*F1307/I1307)),0)</f>
        <v/>
      </c>
      <c r="Q1307">
        <f>P1307*0.0015</f>
        <v/>
      </c>
      <c r="R1307">
        <f>I1307*(1-Q1307)</f>
        <v/>
      </c>
      <c r="S1307">
        <f>R1307/R1306-1</f>
        <v/>
      </c>
      <c r="T1307">
        <f>MAX(T1306,R1307)</f>
        <v/>
      </c>
      <c r="U1307">
        <f>R1307/T1307-1</f>
        <v/>
      </c>
      <c r="V1307" t="n">
        <v>3.142586345271389</v>
      </c>
      <c r="W1307" s="5">
        <f>R1307-V1307</f>
        <v/>
      </c>
    </row>
    <row r="1308">
      <c r="A1308" s="3" t="n">
        <v>40367</v>
      </c>
      <c r="B1308">
        <f>Prices!B1308</f>
        <v/>
      </c>
      <c r="C1308">
        <f>Prices!C1308</f>
        <v/>
      </c>
      <c r="D1308">
        <f>Prices!D1308</f>
        <v/>
      </c>
      <c r="E1308">
        <f>Prices!E1308</f>
        <v/>
      </c>
      <c r="F1308">
        <f>Prices!F1308</f>
        <v/>
      </c>
      <c r="G1308">
        <f>IF(AND(1306&gt;=16,TEXT(A1308,"yyyy-mm")&lt;&gt;TEXT(A1309,"yyyy-mm")),1,0)</f>
        <v/>
      </c>
      <c r="H1308">
        <f>IF(OR(H1307=1,G1308=1),1,0)</f>
        <v/>
      </c>
      <c r="I1308">
        <f>IF(H1307=0,1,SUMPRODUCT(J1307:N1307,B1308:F1308)+O1307*(1+0.00023125256064071564))</f>
        <v/>
      </c>
      <c r="J1308">
        <f>IF(G1308=1,0.2*R1308/B1308,J1307)</f>
        <v/>
      </c>
      <c r="K1308">
        <f>IF(G1308=1,0.2*R1308/C1308,K1307)</f>
        <v/>
      </c>
      <c r="L1308">
        <f>IF(G1308=1,0.2*R1308/D1308,L1307)</f>
        <v/>
      </c>
      <c r="M1308">
        <f>IF(G1308=1,0.2*R1308/E1308,M1307)</f>
        <v/>
      </c>
      <c r="N1308">
        <f>IF(G1308=1,0.2*R1308/F1308,N1307)</f>
        <v/>
      </c>
      <c r="O1308">
        <f>IF(G1308=1,R1308*(1-1.0),IF(H1307=0,1,O1307*(1+0.00023125256064071564)))</f>
        <v/>
      </c>
      <c r="P1308">
        <f>IF(G1308=1,IF(H1307=0,1,ABS(0.2-J1307*B1308/I1308)+ABS(0.2-K1307*C1308/I1308)+ABS(0.2-L1307*D1308/I1308)+ABS(0.2-M1307*E1308/I1308)+ABS(0.2-N1307*F1308/I1308)),0)</f>
        <v/>
      </c>
      <c r="Q1308">
        <f>P1308*0.0015</f>
        <v/>
      </c>
      <c r="R1308">
        <f>I1308*(1-Q1308)</f>
        <v/>
      </c>
      <c r="S1308">
        <f>R1308/R1307-1</f>
        <v/>
      </c>
      <c r="T1308">
        <f>MAX(T1307,R1308)</f>
        <v/>
      </c>
      <c r="U1308">
        <f>R1308/T1308-1</f>
        <v/>
      </c>
      <c r="V1308" t="n">
        <v>3.172548581458413</v>
      </c>
      <c r="W1308" s="5">
        <f>R1308-V1308</f>
        <v/>
      </c>
    </row>
    <row r="1309">
      <c r="A1309" s="3" t="n">
        <v>40368</v>
      </c>
      <c r="B1309">
        <f>Prices!B1309</f>
        <v/>
      </c>
      <c r="C1309">
        <f>Prices!C1309</f>
        <v/>
      </c>
      <c r="D1309">
        <f>Prices!D1309</f>
        <v/>
      </c>
      <c r="E1309">
        <f>Prices!E1309</f>
        <v/>
      </c>
      <c r="F1309">
        <f>Prices!F1309</f>
        <v/>
      </c>
      <c r="G1309">
        <f>IF(AND(1307&gt;=16,TEXT(A1309,"yyyy-mm")&lt;&gt;TEXT(A1310,"yyyy-mm")),1,0)</f>
        <v/>
      </c>
      <c r="H1309">
        <f>IF(OR(H1308=1,G1309=1),1,0)</f>
        <v/>
      </c>
      <c r="I1309">
        <f>IF(H1308=0,1,SUMPRODUCT(J1308:N1308,B1309:F1309)+O1308*(1+0.00023125256064071564))</f>
        <v/>
      </c>
      <c r="J1309">
        <f>IF(G1309=1,0.2*R1309/B1309,J1308)</f>
        <v/>
      </c>
      <c r="K1309">
        <f>IF(G1309=1,0.2*R1309/C1309,K1308)</f>
        <v/>
      </c>
      <c r="L1309">
        <f>IF(G1309=1,0.2*R1309/D1309,L1308)</f>
        <v/>
      </c>
      <c r="M1309">
        <f>IF(G1309=1,0.2*R1309/E1309,M1308)</f>
        <v/>
      </c>
      <c r="N1309">
        <f>IF(G1309=1,0.2*R1309/F1309,N1308)</f>
        <v/>
      </c>
      <c r="O1309">
        <f>IF(G1309=1,R1309*(1-1.0),IF(H1308=0,1,O1308*(1+0.00023125256064071564)))</f>
        <v/>
      </c>
      <c r="P1309">
        <f>IF(G1309=1,IF(H1308=0,1,ABS(0.2-J1308*B1309/I1309)+ABS(0.2-K1308*C1309/I1309)+ABS(0.2-L1308*D1309/I1309)+ABS(0.2-M1308*E1309/I1309)+ABS(0.2-N1308*F1309/I1309)),0)</f>
        <v/>
      </c>
      <c r="Q1309">
        <f>P1309*0.0015</f>
        <v/>
      </c>
      <c r="R1309">
        <f>I1309*(1-Q1309)</f>
        <v/>
      </c>
      <c r="S1309">
        <f>R1309/R1308-1</f>
        <v/>
      </c>
      <c r="T1309">
        <f>MAX(T1308,R1309)</f>
        <v/>
      </c>
      <c r="U1309">
        <f>R1309/T1309-1</f>
        <v/>
      </c>
      <c r="V1309" t="n">
        <v>3.191030092170561</v>
      </c>
      <c r="W1309" s="5">
        <f>R1309-V1309</f>
        <v/>
      </c>
    </row>
    <row r="1310">
      <c r="A1310" s="3" t="n">
        <v>40371</v>
      </c>
      <c r="B1310">
        <f>Prices!B1310</f>
        <v/>
      </c>
      <c r="C1310">
        <f>Prices!C1310</f>
        <v/>
      </c>
      <c r="D1310">
        <f>Prices!D1310</f>
        <v/>
      </c>
      <c r="E1310">
        <f>Prices!E1310</f>
        <v/>
      </c>
      <c r="F1310">
        <f>Prices!F1310</f>
        <v/>
      </c>
      <c r="G1310">
        <f>IF(AND(1308&gt;=16,TEXT(A1310,"yyyy-mm")&lt;&gt;TEXT(A1311,"yyyy-mm")),1,0)</f>
        <v/>
      </c>
      <c r="H1310">
        <f>IF(OR(H1309=1,G1310=1),1,0)</f>
        <v/>
      </c>
      <c r="I1310">
        <f>IF(H1309=0,1,SUMPRODUCT(J1309:N1309,B1310:F1310)+O1309*(1+0.00023125256064071564))</f>
        <v/>
      </c>
      <c r="J1310">
        <f>IF(G1310=1,0.2*R1310/B1310,J1309)</f>
        <v/>
      </c>
      <c r="K1310">
        <f>IF(G1310=1,0.2*R1310/C1310,K1309)</f>
        <v/>
      </c>
      <c r="L1310">
        <f>IF(G1310=1,0.2*R1310/D1310,L1309)</f>
        <v/>
      </c>
      <c r="M1310">
        <f>IF(G1310=1,0.2*R1310/E1310,M1309)</f>
        <v/>
      </c>
      <c r="N1310">
        <f>IF(G1310=1,0.2*R1310/F1310,N1309)</f>
        <v/>
      </c>
      <c r="O1310">
        <f>IF(G1310=1,R1310*(1-1.0),IF(H1309=0,1,O1309*(1+0.00023125256064071564)))</f>
        <v/>
      </c>
      <c r="P1310">
        <f>IF(G1310=1,IF(H1309=0,1,ABS(0.2-J1309*B1310/I1310)+ABS(0.2-K1309*C1310/I1310)+ABS(0.2-L1309*D1310/I1310)+ABS(0.2-M1309*E1310/I1310)+ABS(0.2-N1309*F1310/I1310)),0)</f>
        <v/>
      </c>
      <c r="Q1310">
        <f>P1310*0.0015</f>
        <v/>
      </c>
      <c r="R1310">
        <f>I1310*(1-Q1310)</f>
        <v/>
      </c>
      <c r="S1310">
        <f>R1310/R1309-1</f>
        <v/>
      </c>
      <c r="T1310">
        <f>MAX(T1309,R1310)</f>
        <v/>
      </c>
      <c r="U1310">
        <f>R1310/T1310-1</f>
        <v/>
      </c>
      <c r="V1310" t="n">
        <v>3.199041822771393</v>
      </c>
      <c r="W1310" s="5">
        <f>R1310-V1310</f>
        <v/>
      </c>
    </row>
    <row r="1311">
      <c r="A1311" s="3" t="n">
        <v>40372</v>
      </c>
      <c r="B1311">
        <f>Prices!B1311</f>
        <v/>
      </c>
      <c r="C1311">
        <f>Prices!C1311</f>
        <v/>
      </c>
      <c r="D1311">
        <f>Prices!D1311</f>
        <v/>
      </c>
      <c r="E1311">
        <f>Prices!E1311</f>
        <v/>
      </c>
      <c r="F1311">
        <f>Prices!F1311</f>
        <v/>
      </c>
      <c r="G1311">
        <f>IF(AND(1309&gt;=16,TEXT(A1311,"yyyy-mm")&lt;&gt;TEXT(A1312,"yyyy-mm")),1,0)</f>
        <v/>
      </c>
      <c r="H1311">
        <f>IF(OR(H1310=1,G1311=1),1,0)</f>
        <v/>
      </c>
      <c r="I1311">
        <f>IF(H1310=0,1,SUMPRODUCT(J1310:N1310,B1311:F1311)+O1310*(1+0.00023125256064071564))</f>
        <v/>
      </c>
      <c r="J1311">
        <f>IF(G1311=1,0.2*R1311/B1311,J1310)</f>
        <v/>
      </c>
      <c r="K1311">
        <f>IF(G1311=1,0.2*R1311/C1311,K1310)</f>
        <v/>
      </c>
      <c r="L1311">
        <f>IF(G1311=1,0.2*R1311/D1311,L1310)</f>
        <v/>
      </c>
      <c r="M1311">
        <f>IF(G1311=1,0.2*R1311/E1311,M1310)</f>
        <v/>
      </c>
      <c r="N1311">
        <f>IF(G1311=1,0.2*R1311/F1311,N1310)</f>
        <v/>
      </c>
      <c r="O1311">
        <f>IF(G1311=1,R1311*(1-1.0),IF(H1310=0,1,O1310*(1+0.00023125256064071564)))</f>
        <v/>
      </c>
      <c r="P1311">
        <f>IF(G1311=1,IF(H1310=0,1,ABS(0.2-J1310*B1311/I1311)+ABS(0.2-K1310*C1311/I1311)+ABS(0.2-L1310*D1311/I1311)+ABS(0.2-M1310*E1311/I1311)+ABS(0.2-N1310*F1311/I1311)),0)</f>
        <v/>
      </c>
      <c r="Q1311">
        <f>P1311*0.0015</f>
        <v/>
      </c>
      <c r="R1311">
        <f>I1311*(1-Q1311)</f>
        <v/>
      </c>
      <c r="S1311">
        <f>R1311/R1310-1</f>
        <v/>
      </c>
      <c r="T1311">
        <f>MAX(T1310,R1311)</f>
        <v/>
      </c>
      <c r="U1311">
        <f>R1311/T1311-1</f>
        <v/>
      </c>
      <c r="V1311" t="n">
        <v>3.203780972994141</v>
      </c>
      <c r="W1311" s="5">
        <f>R1311-V1311</f>
        <v/>
      </c>
    </row>
    <row r="1312">
      <c r="A1312" s="3" t="n">
        <v>40373</v>
      </c>
      <c r="B1312">
        <f>Prices!B1312</f>
        <v/>
      </c>
      <c r="C1312">
        <f>Prices!C1312</f>
        <v/>
      </c>
      <c r="D1312">
        <f>Prices!D1312</f>
        <v/>
      </c>
      <c r="E1312">
        <f>Prices!E1312</f>
        <v/>
      </c>
      <c r="F1312">
        <f>Prices!F1312</f>
        <v/>
      </c>
      <c r="G1312">
        <f>IF(AND(1310&gt;=16,TEXT(A1312,"yyyy-mm")&lt;&gt;TEXT(A1313,"yyyy-mm")),1,0)</f>
        <v/>
      </c>
      <c r="H1312">
        <f>IF(OR(H1311=1,G1312=1),1,0)</f>
        <v/>
      </c>
      <c r="I1312">
        <f>IF(H1311=0,1,SUMPRODUCT(J1311:N1311,B1312:F1312)+O1311*(1+0.00023125256064071564))</f>
        <v/>
      </c>
      <c r="J1312">
        <f>IF(G1312=1,0.2*R1312/B1312,J1311)</f>
        <v/>
      </c>
      <c r="K1312">
        <f>IF(G1312=1,0.2*R1312/C1312,K1311)</f>
        <v/>
      </c>
      <c r="L1312">
        <f>IF(G1312=1,0.2*R1312/D1312,L1311)</f>
        <v/>
      </c>
      <c r="M1312">
        <f>IF(G1312=1,0.2*R1312/E1312,M1311)</f>
        <v/>
      </c>
      <c r="N1312">
        <f>IF(G1312=1,0.2*R1312/F1312,N1311)</f>
        <v/>
      </c>
      <c r="O1312">
        <f>IF(G1312=1,R1312*(1-1.0),IF(H1311=0,1,O1311*(1+0.00023125256064071564)))</f>
        <v/>
      </c>
      <c r="P1312">
        <f>IF(G1312=1,IF(H1311=0,1,ABS(0.2-J1311*B1312/I1312)+ABS(0.2-K1311*C1312/I1312)+ABS(0.2-L1311*D1312/I1312)+ABS(0.2-M1311*E1312/I1312)+ABS(0.2-N1311*F1312/I1312)),0)</f>
        <v/>
      </c>
      <c r="Q1312">
        <f>P1312*0.0015</f>
        <v/>
      </c>
      <c r="R1312">
        <f>I1312*(1-Q1312)</f>
        <v/>
      </c>
      <c r="S1312">
        <f>R1312/R1311-1</f>
        <v/>
      </c>
      <c r="T1312">
        <f>MAX(T1311,R1312)</f>
        <v/>
      </c>
      <c r="U1312">
        <f>R1312/T1312-1</f>
        <v/>
      </c>
      <c r="V1312" t="n">
        <v>3.194151764191286</v>
      </c>
      <c r="W1312" s="5">
        <f>R1312-V1312</f>
        <v/>
      </c>
    </row>
    <row r="1313">
      <c r="A1313" s="3" t="n">
        <v>40374</v>
      </c>
      <c r="B1313">
        <f>Prices!B1313</f>
        <v/>
      </c>
      <c r="C1313">
        <f>Prices!C1313</f>
        <v/>
      </c>
      <c r="D1313">
        <f>Prices!D1313</f>
        <v/>
      </c>
      <c r="E1313">
        <f>Prices!E1313</f>
        <v/>
      </c>
      <c r="F1313">
        <f>Prices!F1313</f>
        <v/>
      </c>
      <c r="G1313">
        <f>IF(AND(1311&gt;=16,TEXT(A1313,"yyyy-mm")&lt;&gt;TEXT(A1314,"yyyy-mm")),1,0)</f>
        <v/>
      </c>
      <c r="H1313">
        <f>IF(OR(H1312=1,G1313=1),1,0)</f>
        <v/>
      </c>
      <c r="I1313">
        <f>IF(H1312=0,1,SUMPRODUCT(J1312:N1312,B1313:F1313)+O1312*(1+0.00023125256064071564))</f>
        <v/>
      </c>
      <c r="J1313">
        <f>IF(G1313=1,0.2*R1313/B1313,J1312)</f>
        <v/>
      </c>
      <c r="K1313">
        <f>IF(G1313=1,0.2*R1313/C1313,K1312)</f>
        <v/>
      </c>
      <c r="L1313">
        <f>IF(G1313=1,0.2*R1313/D1313,L1312)</f>
        <v/>
      </c>
      <c r="M1313">
        <f>IF(G1313=1,0.2*R1313/E1313,M1312)</f>
        <v/>
      </c>
      <c r="N1313">
        <f>IF(G1313=1,0.2*R1313/F1313,N1312)</f>
        <v/>
      </c>
      <c r="O1313">
        <f>IF(G1313=1,R1313*(1-1.0),IF(H1312=0,1,O1312*(1+0.00023125256064071564)))</f>
        <v/>
      </c>
      <c r="P1313">
        <f>IF(G1313=1,IF(H1312=0,1,ABS(0.2-J1312*B1313/I1313)+ABS(0.2-K1312*C1313/I1313)+ABS(0.2-L1312*D1313/I1313)+ABS(0.2-M1312*E1313/I1313)+ABS(0.2-N1312*F1313/I1313)),0)</f>
        <v/>
      </c>
      <c r="Q1313">
        <f>P1313*0.0015</f>
        <v/>
      </c>
      <c r="R1313">
        <f>I1313*(1-Q1313)</f>
        <v/>
      </c>
      <c r="S1313">
        <f>R1313/R1312-1</f>
        <v/>
      </c>
      <c r="T1313">
        <f>MAX(T1312,R1313)</f>
        <v/>
      </c>
      <c r="U1313">
        <f>R1313/T1313-1</f>
        <v/>
      </c>
      <c r="V1313" t="n">
        <v>3.192299548731233</v>
      </c>
      <c r="W1313" s="5">
        <f>R1313-V1313</f>
        <v/>
      </c>
    </row>
    <row r="1314">
      <c r="A1314" s="3" t="n">
        <v>40375</v>
      </c>
      <c r="B1314">
        <f>Prices!B1314</f>
        <v/>
      </c>
      <c r="C1314">
        <f>Prices!C1314</f>
        <v/>
      </c>
      <c r="D1314">
        <f>Prices!D1314</f>
        <v/>
      </c>
      <c r="E1314">
        <f>Prices!E1314</f>
        <v/>
      </c>
      <c r="F1314">
        <f>Prices!F1314</f>
        <v/>
      </c>
      <c r="G1314">
        <f>IF(AND(1312&gt;=16,TEXT(A1314,"yyyy-mm")&lt;&gt;TEXT(A1315,"yyyy-mm")),1,0)</f>
        <v/>
      </c>
      <c r="H1314">
        <f>IF(OR(H1313=1,G1314=1),1,0)</f>
        <v/>
      </c>
      <c r="I1314">
        <f>IF(H1313=0,1,SUMPRODUCT(J1313:N1313,B1314:F1314)+O1313*(1+0.00023125256064071564))</f>
        <v/>
      </c>
      <c r="J1314">
        <f>IF(G1314=1,0.2*R1314/B1314,J1313)</f>
        <v/>
      </c>
      <c r="K1314">
        <f>IF(G1314=1,0.2*R1314/C1314,K1313)</f>
        <v/>
      </c>
      <c r="L1314">
        <f>IF(G1314=1,0.2*R1314/D1314,L1313)</f>
        <v/>
      </c>
      <c r="M1314">
        <f>IF(G1314=1,0.2*R1314/E1314,M1313)</f>
        <v/>
      </c>
      <c r="N1314">
        <f>IF(G1314=1,0.2*R1314/F1314,N1313)</f>
        <v/>
      </c>
      <c r="O1314">
        <f>IF(G1314=1,R1314*(1-1.0),IF(H1313=0,1,O1313*(1+0.00023125256064071564)))</f>
        <v/>
      </c>
      <c r="P1314">
        <f>IF(G1314=1,IF(H1313=0,1,ABS(0.2-J1313*B1314/I1314)+ABS(0.2-K1313*C1314/I1314)+ABS(0.2-L1313*D1314/I1314)+ABS(0.2-M1313*E1314/I1314)+ABS(0.2-N1313*F1314/I1314)),0)</f>
        <v/>
      </c>
      <c r="Q1314">
        <f>P1314*0.0015</f>
        <v/>
      </c>
      <c r="R1314">
        <f>I1314*(1-Q1314)</f>
        <v/>
      </c>
      <c r="S1314">
        <f>R1314/R1313-1</f>
        <v/>
      </c>
      <c r="T1314">
        <f>MAX(T1313,R1314)</f>
        <v/>
      </c>
      <c r="U1314">
        <f>R1314/T1314-1</f>
        <v/>
      </c>
      <c r="V1314" t="n">
        <v>3.212024345767856</v>
      </c>
      <c r="W1314" s="5">
        <f>R1314-V1314</f>
        <v/>
      </c>
    </row>
    <row r="1315">
      <c r="A1315" s="3" t="n">
        <v>40378</v>
      </c>
      <c r="B1315">
        <f>Prices!B1315</f>
        <v/>
      </c>
      <c r="C1315">
        <f>Prices!C1315</f>
        <v/>
      </c>
      <c r="D1315">
        <f>Prices!D1315</f>
        <v/>
      </c>
      <c r="E1315">
        <f>Prices!E1315</f>
        <v/>
      </c>
      <c r="F1315">
        <f>Prices!F1315</f>
        <v/>
      </c>
      <c r="G1315">
        <f>IF(AND(1313&gt;=16,TEXT(A1315,"yyyy-mm")&lt;&gt;TEXT(A1316,"yyyy-mm")),1,0)</f>
        <v/>
      </c>
      <c r="H1315">
        <f>IF(OR(H1314=1,G1315=1),1,0)</f>
        <v/>
      </c>
      <c r="I1315">
        <f>IF(H1314=0,1,SUMPRODUCT(J1314:N1314,B1315:F1315)+O1314*(1+0.00023125256064071564))</f>
        <v/>
      </c>
      <c r="J1315">
        <f>IF(G1315=1,0.2*R1315/B1315,J1314)</f>
        <v/>
      </c>
      <c r="K1315">
        <f>IF(G1315=1,0.2*R1315/C1315,K1314)</f>
        <v/>
      </c>
      <c r="L1315">
        <f>IF(G1315=1,0.2*R1315/D1315,L1314)</f>
        <v/>
      </c>
      <c r="M1315">
        <f>IF(G1315=1,0.2*R1315/E1315,M1314)</f>
        <v/>
      </c>
      <c r="N1315">
        <f>IF(G1315=1,0.2*R1315/F1315,N1314)</f>
        <v/>
      </c>
      <c r="O1315">
        <f>IF(G1315=1,R1315*(1-1.0),IF(H1314=0,1,O1314*(1+0.00023125256064071564)))</f>
        <v/>
      </c>
      <c r="P1315">
        <f>IF(G1315=1,IF(H1314=0,1,ABS(0.2-J1314*B1315/I1315)+ABS(0.2-K1314*C1315/I1315)+ABS(0.2-L1314*D1315/I1315)+ABS(0.2-M1314*E1315/I1315)+ABS(0.2-N1314*F1315/I1315)),0)</f>
        <v/>
      </c>
      <c r="Q1315">
        <f>P1315*0.0015</f>
        <v/>
      </c>
      <c r="R1315">
        <f>I1315*(1-Q1315)</f>
        <v/>
      </c>
      <c r="S1315">
        <f>R1315/R1314-1</f>
        <v/>
      </c>
      <c r="T1315">
        <f>MAX(T1314,R1315)</f>
        <v/>
      </c>
      <c r="U1315">
        <f>R1315/T1315-1</f>
        <v/>
      </c>
      <c r="V1315" t="n">
        <v>3.211521167544185</v>
      </c>
      <c r="W1315" s="5">
        <f>R1315-V1315</f>
        <v/>
      </c>
    </row>
    <row r="1316">
      <c r="A1316" s="3" t="n">
        <v>40379</v>
      </c>
      <c r="B1316">
        <f>Prices!B1316</f>
        <v/>
      </c>
      <c r="C1316">
        <f>Prices!C1316</f>
        <v/>
      </c>
      <c r="D1316">
        <f>Prices!D1316</f>
        <v/>
      </c>
      <c r="E1316">
        <f>Prices!E1316</f>
        <v/>
      </c>
      <c r="F1316">
        <f>Prices!F1316</f>
        <v/>
      </c>
      <c r="G1316">
        <f>IF(AND(1314&gt;=16,TEXT(A1316,"yyyy-mm")&lt;&gt;TEXT(A1317,"yyyy-mm")),1,0)</f>
        <v/>
      </c>
      <c r="H1316">
        <f>IF(OR(H1315=1,G1316=1),1,0)</f>
        <v/>
      </c>
      <c r="I1316">
        <f>IF(H1315=0,1,SUMPRODUCT(J1315:N1315,B1316:F1316)+O1315*(1+0.00023125256064071564))</f>
        <v/>
      </c>
      <c r="J1316">
        <f>IF(G1316=1,0.2*R1316/B1316,J1315)</f>
        <v/>
      </c>
      <c r="K1316">
        <f>IF(G1316=1,0.2*R1316/C1316,K1315)</f>
        <v/>
      </c>
      <c r="L1316">
        <f>IF(G1316=1,0.2*R1316/D1316,L1315)</f>
        <v/>
      </c>
      <c r="M1316">
        <f>IF(G1316=1,0.2*R1316/E1316,M1315)</f>
        <v/>
      </c>
      <c r="N1316">
        <f>IF(G1316=1,0.2*R1316/F1316,N1315)</f>
        <v/>
      </c>
      <c r="O1316">
        <f>IF(G1316=1,R1316*(1-1.0),IF(H1315=0,1,O1315*(1+0.00023125256064071564)))</f>
        <v/>
      </c>
      <c r="P1316">
        <f>IF(G1316=1,IF(H1315=0,1,ABS(0.2-J1315*B1316/I1316)+ABS(0.2-K1315*C1316/I1316)+ABS(0.2-L1315*D1316/I1316)+ABS(0.2-M1315*E1316/I1316)+ABS(0.2-N1315*F1316/I1316)),0)</f>
        <v/>
      </c>
      <c r="Q1316">
        <f>P1316*0.0015</f>
        <v/>
      </c>
      <c r="R1316">
        <f>I1316*(1-Q1316)</f>
        <v/>
      </c>
      <c r="S1316">
        <f>R1316/R1315-1</f>
        <v/>
      </c>
      <c r="T1316">
        <f>MAX(T1315,R1316)</f>
        <v/>
      </c>
      <c r="U1316">
        <f>R1316/T1316-1</f>
        <v/>
      </c>
      <c r="V1316" t="n">
        <v>3.198799241182327</v>
      </c>
      <c r="W1316" s="5">
        <f>R1316-V1316</f>
        <v/>
      </c>
    </row>
    <row r="1317">
      <c r="A1317" s="3" t="n">
        <v>40380</v>
      </c>
      <c r="B1317">
        <f>Prices!B1317</f>
        <v/>
      </c>
      <c r="C1317">
        <f>Prices!C1317</f>
        <v/>
      </c>
      <c r="D1317">
        <f>Prices!D1317</f>
        <v/>
      </c>
      <c r="E1317">
        <f>Prices!E1317</f>
        <v/>
      </c>
      <c r="F1317">
        <f>Prices!F1317</f>
        <v/>
      </c>
      <c r="G1317">
        <f>IF(AND(1315&gt;=16,TEXT(A1317,"yyyy-mm")&lt;&gt;TEXT(A1318,"yyyy-mm")),1,0)</f>
        <v/>
      </c>
      <c r="H1317">
        <f>IF(OR(H1316=1,G1317=1),1,0)</f>
        <v/>
      </c>
      <c r="I1317">
        <f>IF(H1316=0,1,SUMPRODUCT(J1316:N1316,B1317:F1317)+O1316*(1+0.00023125256064071564))</f>
        <v/>
      </c>
      <c r="J1317">
        <f>IF(G1317=1,0.2*R1317/B1317,J1316)</f>
        <v/>
      </c>
      <c r="K1317">
        <f>IF(G1317=1,0.2*R1317/C1317,K1316)</f>
        <v/>
      </c>
      <c r="L1317">
        <f>IF(G1317=1,0.2*R1317/D1317,L1316)</f>
        <v/>
      </c>
      <c r="M1317">
        <f>IF(G1317=1,0.2*R1317/E1317,M1316)</f>
        <v/>
      </c>
      <c r="N1317">
        <f>IF(G1317=1,0.2*R1317/F1317,N1316)</f>
        <v/>
      </c>
      <c r="O1317">
        <f>IF(G1317=1,R1317*(1-1.0),IF(H1316=0,1,O1316*(1+0.00023125256064071564)))</f>
        <v/>
      </c>
      <c r="P1317">
        <f>IF(G1317=1,IF(H1316=0,1,ABS(0.2-J1316*B1317/I1317)+ABS(0.2-K1316*C1317/I1317)+ABS(0.2-L1316*D1317/I1317)+ABS(0.2-M1316*E1317/I1317)+ABS(0.2-N1316*F1317/I1317)),0)</f>
        <v/>
      </c>
      <c r="Q1317">
        <f>P1317*0.0015</f>
        <v/>
      </c>
      <c r="R1317">
        <f>I1317*(1-Q1317)</f>
        <v/>
      </c>
      <c r="S1317">
        <f>R1317/R1316-1</f>
        <v/>
      </c>
      <c r="T1317">
        <f>MAX(T1316,R1317)</f>
        <v/>
      </c>
      <c r="U1317">
        <f>R1317/T1317-1</f>
        <v/>
      </c>
      <c r="V1317" t="n">
        <v>3.216083248350645</v>
      </c>
      <c r="W1317" s="5">
        <f>R1317-V1317</f>
        <v/>
      </c>
    </row>
    <row r="1318">
      <c r="A1318" s="3" t="n">
        <v>40381</v>
      </c>
      <c r="B1318">
        <f>Prices!B1318</f>
        <v/>
      </c>
      <c r="C1318">
        <f>Prices!C1318</f>
        <v/>
      </c>
      <c r="D1318">
        <f>Prices!D1318</f>
        <v/>
      </c>
      <c r="E1318">
        <f>Prices!E1318</f>
        <v/>
      </c>
      <c r="F1318">
        <f>Prices!F1318</f>
        <v/>
      </c>
      <c r="G1318">
        <f>IF(AND(1316&gt;=16,TEXT(A1318,"yyyy-mm")&lt;&gt;TEXT(A1319,"yyyy-mm")),1,0)</f>
        <v/>
      </c>
      <c r="H1318">
        <f>IF(OR(H1317=1,G1318=1),1,0)</f>
        <v/>
      </c>
      <c r="I1318">
        <f>IF(H1317=0,1,SUMPRODUCT(J1317:N1317,B1318:F1318)+O1317*(1+0.00023125256064071564))</f>
        <v/>
      </c>
      <c r="J1318">
        <f>IF(G1318=1,0.2*R1318/B1318,J1317)</f>
        <v/>
      </c>
      <c r="K1318">
        <f>IF(G1318=1,0.2*R1318/C1318,K1317)</f>
        <v/>
      </c>
      <c r="L1318">
        <f>IF(G1318=1,0.2*R1318/D1318,L1317)</f>
        <v/>
      </c>
      <c r="M1318">
        <f>IF(G1318=1,0.2*R1318/E1318,M1317)</f>
        <v/>
      </c>
      <c r="N1318">
        <f>IF(G1318=1,0.2*R1318/F1318,N1317)</f>
        <v/>
      </c>
      <c r="O1318">
        <f>IF(G1318=1,R1318*(1-1.0),IF(H1317=0,1,O1317*(1+0.00023125256064071564)))</f>
        <v/>
      </c>
      <c r="P1318">
        <f>IF(G1318=1,IF(H1317=0,1,ABS(0.2-J1317*B1318/I1318)+ABS(0.2-K1317*C1318/I1318)+ABS(0.2-L1317*D1318/I1318)+ABS(0.2-M1317*E1318/I1318)+ABS(0.2-N1317*F1318/I1318)),0)</f>
        <v/>
      </c>
      <c r="Q1318">
        <f>P1318*0.0015</f>
        <v/>
      </c>
      <c r="R1318">
        <f>I1318*(1-Q1318)</f>
        <v/>
      </c>
      <c r="S1318">
        <f>R1318/R1317-1</f>
        <v/>
      </c>
      <c r="T1318">
        <f>MAX(T1317,R1318)</f>
        <v/>
      </c>
      <c r="U1318">
        <f>R1318/T1318-1</f>
        <v/>
      </c>
      <c r="V1318" t="n">
        <v>3.226837191081212</v>
      </c>
      <c r="W1318" s="5">
        <f>R1318-V1318</f>
        <v/>
      </c>
    </row>
    <row r="1319">
      <c r="A1319" s="3" t="n">
        <v>40382</v>
      </c>
      <c r="B1319">
        <f>Prices!B1319</f>
        <v/>
      </c>
      <c r="C1319">
        <f>Prices!C1319</f>
        <v/>
      </c>
      <c r="D1319">
        <f>Prices!D1319</f>
        <v/>
      </c>
      <c r="E1319">
        <f>Prices!E1319</f>
        <v/>
      </c>
      <c r="F1319">
        <f>Prices!F1319</f>
        <v/>
      </c>
      <c r="G1319">
        <f>IF(AND(1317&gt;=16,TEXT(A1319,"yyyy-mm")&lt;&gt;TEXT(A1320,"yyyy-mm")),1,0)</f>
        <v/>
      </c>
      <c r="H1319">
        <f>IF(OR(H1318=1,G1319=1),1,0)</f>
        <v/>
      </c>
      <c r="I1319">
        <f>IF(H1318=0,1,SUMPRODUCT(J1318:N1318,B1319:F1319)+O1318*(1+0.00023125256064071564))</f>
        <v/>
      </c>
      <c r="J1319">
        <f>IF(G1319=1,0.2*R1319/B1319,J1318)</f>
        <v/>
      </c>
      <c r="K1319">
        <f>IF(G1319=1,0.2*R1319/C1319,K1318)</f>
        <v/>
      </c>
      <c r="L1319">
        <f>IF(G1319=1,0.2*R1319/D1319,L1318)</f>
        <v/>
      </c>
      <c r="M1319">
        <f>IF(G1319=1,0.2*R1319/E1319,M1318)</f>
        <v/>
      </c>
      <c r="N1319">
        <f>IF(G1319=1,0.2*R1319/F1319,N1318)</f>
        <v/>
      </c>
      <c r="O1319">
        <f>IF(G1319=1,R1319*(1-1.0),IF(H1318=0,1,O1318*(1+0.00023125256064071564)))</f>
        <v/>
      </c>
      <c r="P1319">
        <f>IF(G1319=1,IF(H1318=0,1,ABS(0.2-J1318*B1319/I1319)+ABS(0.2-K1318*C1319/I1319)+ABS(0.2-L1318*D1319/I1319)+ABS(0.2-M1318*E1319/I1319)+ABS(0.2-N1318*F1319/I1319)),0)</f>
        <v/>
      </c>
      <c r="Q1319">
        <f>P1319*0.0015</f>
        <v/>
      </c>
      <c r="R1319">
        <f>I1319*(1-Q1319)</f>
        <v/>
      </c>
      <c r="S1319">
        <f>R1319/R1318-1</f>
        <v/>
      </c>
      <c r="T1319">
        <f>MAX(T1318,R1319)</f>
        <v/>
      </c>
      <c r="U1319">
        <f>R1319/T1319-1</f>
        <v/>
      </c>
      <c r="V1319" t="n">
        <v>3.223905915336765</v>
      </c>
      <c r="W1319" s="5">
        <f>R1319-V1319</f>
        <v/>
      </c>
    </row>
    <row r="1320">
      <c r="A1320" s="3" t="n">
        <v>40385</v>
      </c>
      <c r="B1320">
        <f>Prices!B1320</f>
        <v/>
      </c>
      <c r="C1320">
        <f>Prices!C1320</f>
        <v/>
      </c>
      <c r="D1320">
        <f>Prices!D1320</f>
        <v/>
      </c>
      <c r="E1320">
        <f>Prices!E1320</f>
        <v/>
      </c>
      <c r="F1320">
        <f>Prices!F1320</f>
        <v/>
      </c>
      <c r="G1320">
        <f>IF(AND(1318&gt;=16,TEXT(A1320,"yyyy-mm")&lt;&gt;TEXT(A1321,"yyyy-mm")),1,0)</f>
        <v/>
      </c>
      <c r="H1320">
        <f>IF(OR(H1319=1,G1320=1),1,0)</f>
        <v/>
      </c>
      <c r="I1320">
        <f>IF(H1319=0,1,SUMPRODUCT(J1319:N1319,B1320:F1320)+O1319*(1+0.00023125256064071564))</f>
        <v/>
      </c>
      <c r="J1320">
        <f>IF(G1320=1,0.2*R1320/B1320,J1319)</f>
        <v/>
      </c>
      <c r="K1320">
        <f>IF(G1320=1,0.2*R1320/C1320,K1319)</f>
        <v/>
      </c>
      <c r="L1320">
        <f>IF(G1320=1,0.2*R1320/D1320,L1319)</f>
        <v/>
      </c>
      <c r="M1320">
        <f>IF(G1320=1,0.2*R1320/E1320,M1319)</f>
        <v/>
      </c>
      <c r="N1320">
        <f>IF(G1320=1,0.2*R1320/F1320,N1319)</f>
        <v/>
      </c>
      <c r="O1320">
        <f>IF(G1320=1,R1320*(1-1.0),IF(H1319=0,1,O1319*(1+0.00023125256064071564)))</f>
        <v/>
      </c>
      <c r="P1320">
        <f>IF(G1320=1,IF(H1319=0,1,ABS(0.2-J1319*B1320/I1320)+ABS(0.2-K1319*C1320/I1320)+ABS(0.2-L1319*D1320/I1320)+ABS(0.2-M1319*E1320/I1320)+ABS(0.2-N1319*F1320/I1320)),0)</f>
        <v/>
      </c>
      <c r="Q1320">
        <f>P1320*0.0015</f>
        <v/>
      </c>
      <c r="R1320">
        <f>I1320*(1-Q1320)</f>
        <v/>
      </c>
      <c r="S1320">
        <f>R1320/R1319-1</f>
        <v/>
      </c>
      <c r="T1320">
        <f>MAX(T1319,R1320)</f>
        <v/>
      </c>
      <c r="U1320">
        <f>R1320/T1320-1</f>
        <v/>
      </c>
      <c r="V1320" t="n">
        <v>3.201296470756703</v>
      </c>
      <c r="W1320" s="5">
        <f>R1320-V1320</f>
        <v/>
      </c>
    </row>
    <row r="1321">
      <c r="A1321" s="3" t="n">
        <v>40386</v>
      </c>
      <c r="B1321">
        <f>Prices!B1321</f>
        <v/>
      </c>
      <c r="C1321">
        <f>Prices!C1321</f>
        <v/>
      </c>
      <c r="D1321">
        <f>Prices!D1321</f>
        <v/>
      </c>
      <c r="E1321">
        <f>Prices!E1321</f>
        <v/>
      </c>
      <c r="F1321">
        <f>Prices!F1321</f>
        <v/>
      </c>
      <c r="G1321">
        <f>IF(AND(1319&gt;=16,TEXT(A1321,"yyyy-mm")&lt;&gt;TEXT(A1322,"yyyy-mm")),1,0)</f>
        <v/>
      </c>
      <c r="H1321">
        <f>IF(OR(H1320=1,G1321=1),1,0)</f>
        <v/>
      </c>
      <c r="I1321">
        <f>IF(H1320=0,1,SUMPRODUCT(J1320:N1320,B1321:F1321)+O1320*(1+0.00023125256064071564))</f>
        <v/>
      </c>
      <c r="J1321">
        <f>IF(G1321=1,0.2*R1321/B1321,J1320)</f>
        <v/>
      </c>
      <c r="K1321">
        <f>IF(G1321=1,0.2*R1321/C1321,K1320)</f>
        <v/>
      </c>
      <c r="L1321">
        <f>IF(G1321=1,0.2*R1321/D1321,L1320)</f>
        <v/>
      </c>
      <c r="M1321">
        <f>IF(G1321=1,0.2*R1321/E1321,M1320)</f>
        <v/>
      </c>
      <c r="N1321">
        <f>IF(G1321=1,0.2*R1321/F1321,N1320)</f>
        <v/>
      </c>
      <c r="O1321">
        <f>IF(G1321=1,R1321*(1-1.0),IF(H1320=0,1,O1320*(1+0.00023125256064071564)))</f>
        <v/>
      </c>
      <c r="P1321">
        <f>IF(G1321=1,IF(H1320=0,1,ABS(0.2-J1320*B1321/I1321)+ABS(0.2-K1320*C1321/I1321)+ABS(0.2-L1320*D1321/I1321)+ABS(0.2-M1320*E1321/I1321)+ABS(0.2-N1320*F1321/I1321)),0)</f>
        <v/>
      </c>
      <c r="Q1321">
        <f>P1321*0.0015</f>
        <v/>
      </c>
      <c r="R1321">
        <f>I1321*(1-Q1321)</f>
        <v/>
      </c>
      <c r="S1321">
        <f>R1321/R1320-1</f>
        <v/>
      </c>
      <c r="T1321">
        <f>MAX(T1320,R1321)</f>
        <v/>
      </c>
      <c r="U1321">
        <f>R1321/T1321-1</f>
        <v/>
      </c>
      <c r="V1321" t="n">
        <v>3.212126073686957</v>
      </c>
      <c r="W1321" s="5">
        <f>R1321-V1321</f>
        <v/>
      </c>
    </row>
    <row r="1322">
      <c r="A1322" s="3" t="n">
        <v>40387</v>
      </c>
      <c r="B1322">
        <f>Prices!B1322</f>
        <v/>
      </c>
      <c r="C1322">
        <f>Prices!C1322</f>
        <v/>
      </c>
      <c r="D1322">
        <f>Prices!D1322</f>
        <v/>
      </c>
      <c r="E1322">
        <f>Prices!E1322</f>
        <v/>
      </c>
      <c r="F1322">
        <f>Prices!F1322</f>
        <v/>
      </c>
      <c r="G1322">
        <f>IF(AND(1320&gt;=16,TEXT(A1322,"yyyy-mm")&lt;&gt;TEXT(A1323,"yyyy-mm")),1,0)</f>
        <v/>
      </c>
      <c r="H1322">
        <f>IF(OR(H1321=1,G1322=1),1,0)</f>
        <v/>
      </c>
      <c r="I1322">
        <f>IF(H1321=0,1,SUMPRODUCT(J1321:N1321,B1322:F1322)+O1321*(1+0.00023125256064071564))</f>
        <v/>
      </c>
      <c r="J1322">
        <f>IF(G1322=1,0.2*R1322/B1322,J1321)</f>
        <v/>
      </c>
      <c r="K1322">
        <f>IF(G1322=1,0.2*R1322/C1322,K1321)</f>
        <v/>
      </c>
      <c r="L1322">
        <f>IF(G1322=1,0.2*R1322/D1322,L1321)</f>
        <v/>
      </c>
      <c r="M1322">
        <f>IF(G1322=1,0.2*R1322/E1322,M1321)</f>
        <v/>
      </c>
      <c r="N1322">
        <f>IF(G1322=1,0.2*R1322/F1322,N1321)</f>
        <v/>
      </c>
      <c r="O1322">
        <f>IF(G1322=1,R1322*(1-1.0),IF(H1321=0,1,O1321*(1+0.00023125256064071564)))</f>
        <v/>
      </c>
      <c r="P1322">
        <f>IF(G1322=1,IF(H1321=0,1,ABS(0.2-J1321*B1322/I1322)+ABS(0.2-K1321*C1322/I1322)+ABS(0.2-L1321*D1322/I1322)+ABS(0.2-M1321*E1322/I1322)+ABS(0.2-N1321*F1322/I1322)),0)</f>
        <v/>
      </c>
      <c r="Q1322">
        <f>P1322*0.0015</f>
        <v/>
      </c>
      <c r="R1322">
        <f>I1322*(1-Q1322)</f>
        <v/>
      </c>
      <c r="S1322">
        <f>R1322/R1321-1</f>
        <v/>
      </c>
      <c r="T1322">
        <f>MAX(T1321,R1322)</f>
        <v/>
      </c>
      <c r="U1322">
        <f>R1322/T1322-1</f>
        <v/>
      </c>
      <c r="V1322" t="n">
        <v>3.209266484337498</v>
      </c>
      <c r="W1322" s="5">
        <f>R1322-V1322</f>
        <v/>
      </c>
    </row>
    <row r="1323">
      <c r="A1323" s="3" t="n">
        <v>40388</v>
      </c>
      <c r="B1323">
        <f>Prices!B1323</f>
        <v/>
      </c>
      <c r="C1323">
        <f>Prices!C1323</f>
        <v/>
      </c>
      <c r="D1323">
        <f>Prices!D1323</f>
        <v/>
      </c>
      <c r="E1323">
        <f>Prices!E1323</f>
        <v/>
      </c>
      <c r="F1323">
        <f>Prices!F1323</f>
        <v/>
      </c>
      <c r="G1323">
        <f>IF(AND(1321&gt;=16,TEXT(A1323,"yyyy-mm")&lt;&gt;TEXT(A1324,"yyyy-mm")),1,0)</f>
        <v/>
      </c>
      <c r="H1323">
        <f>IF(OR(H1322=1,G1323=1),1,0)</f>
        <v/>
      </c>
      <c r="I1323">
        <f>IF(H1322=0,1,SUMPRODUCT(J1322:N1322,B1323:F1323)+O1322*(1+0.00023125256064071564))</f>
        <v/>
      </c>
      <c r="J1323">
        <f>IF(G1323=1,0.2*R1323/B1323,J1322)</f>
        <v/>
      </c>
      <c r="K1323">
        <f>IF(G1323=1,0.2*R1323/C1323,K1322)</f>
        <v/>
      </c>
      <c r="L1323">
        <f>IF(G1323=1,0.2*R1323/D1323,L1322)</f>
        <v/>
      </c>
      <c r="M1323">
        <f>IF(G1323=1,0.2*R1323/E1323,M1322)</f>
        <v/>
      </c>
      <c r="N1323">
        <f>IF(G1323=1,0.2*R1323/F1323,N1322)</f>
        <v/>
      </c>
      <c r="O1323">
        <f>IF(G1323=1,R1323*(1-1.0),IF(H1322=0,1,O1322*(1+0.00023125256064071564)))</f>
        <v/>
      </c>
      <c r="P1323">
        <f>IF(G1323=1,IF(H1322=0,1,ABS(0.2-J1322*B1323/I1323)+ABS(0.2-K1322*C1323/I1323)+ABS(0.2-L1322*D1323/I1323)+ABS(0.2-M1322*E1323/I1323)+ABS(0.2-N1322*F1323/I1323)),0)</f>
        <v/>
      </c>
      <c r="Q1323">
        <f>P1323*0.0015</f>
        <v/>
      </c>
      <c r="R1323">
        <f>I1323*(1-Q1323)</f>
        <v/>
      </c>
      <c r="S1323">
        <f>R1323/R1322-1</f>
        <v/>
      </c>
      <c r="T1323">
        <f>MAX(T1322,R1323)</f>
        <v/>
      </c>
      <c r="U1323">
        <f>R1323/T1323-1</f>
        <v/>
      </c>
      <c r="V1323" t="n">
        <v>3.212086363509325</v>
      </c>
      <c r="W1323" s="5">
        <f>R1323-V1323</f>
        <v/>
      </c>
    </row>
    <row r="1324">
      <c r="A1324" s="3" t="n">
        <v>40389</v>
      </c>
      <c r="B1324">
        <f>Prices!B1324</f>
        <v/>
      </c>
      <c r="C1324">
        <f>Prices!C1324</f>
        <v/>
      </c>
      <c r="D1324">
        <f>Prices!D1324</f>
        <v/>
      </c>
      <c r="E1324">
        <f>Prices!E1324</f>
        <v/>
      </c>
      <c r="F1324">
        <f>Prices!F1324</f>
        <v/>
      </c>
      <c r="G1324">
        <f>IF(AND(1322&gt;=16,TEXT(A1324,"yyyy-mm")&lt;&gt;TEXT(A1325,"yyyy-mm")),1,0)</f>
        <v/>
      </c>
      <c r="H1324">
        <f>IF(OR(H1323=1,G1324=1),1,0)</f>
        <v/>
      </c>
      <c r="I1324">
        <f>IF(H1323=0,1,SUMPRODUCT(J1323:N1323,B1324:F1324)+O1323*(1+0.00023125256064071564))</f>
        <v/>
      </c>
      <c r="J1324">
        <f>IF(G1324=1,0.2*R1324/B1324,J1323)</f>
        <v/>
      </c>
      <c r="K1324">
        <f>IF(G1324=1,0.2*R1324/C1324,K1323)</f>
        <v/>
      </c>
      <c r="L1324">
        <f>IF(G1324=1,0.2*R1324/D1324,L1323)</f>
        <v/>
      </c>
      <c r="M1324">
        <f>IF(G1324=1,0.2*R1324/E1324,M1323)</f>
        <v/>
      </c>
      <c r="N1324">
        <f>IF(G1324=1,0.2*R1324/F1324,N1323)</f>
        <v/>
      </c>
      <c r="O1324">
        <f>IF(G1324=1,R1324*(1-1.0),IF(H1323=0,1,O1323*(1+0.00023125256064071564)))</f>
        <v/>
      </c>
      <c r="P1324">
        <f>IF(G1324=1,IF(H1323=0,1,ABS(0.2-J1323*B1324/I1324)+ABS(0.2-K1323*C1324/I1324)+ABS(0.2-L1323*D1324/I1324)+ABS(0.2-M1323*E1324/I1324)+ABS(0.2-N1323*F1324/I1324)),0)</f>
        <v/>
      </c>
      <c r="Q1324">
        <f>P1324*0.0015</f>
        <v/>
      </c>
      <c r="R1324">
        <f>I1324*(1-Q1324)</f>
        <v/>
      </c>
      <c r="S1324">
        <f>R1324/R1323-1</f>
        <v/>
      </c>
      <c r="T1324">
        <f>MAX(T1323,R1324)</f>
        <v/>
      </c>
      <c r="U1324">
        <f>R1324/T1324-1</f>
        <v/>
      </c>
      <c r="V1324" t="n">
        <v>3.212569527121552</v>
      </c>
      <c r="W1324" s="5">
        <f>R1324-V1324</f>
        <v/>
      </c>
    </row>
    <row r="1325">
      <c r="A1325" s="3" t="n">
        <v>40392</v>
      </c>
      <c r="B1325">
        <f>Prices!B1325</f>
        <v/>
      </c>
      <c r="C1325">
        <f>Prices!C1325</f>
        <v/>
      </c>
      <c r="D1325">
        <f>Prices!D1325</f>
        <v/>
      </c>
      <c r="E1325">
        <f>Prices!E1325</f>
        <v/>
      </c>
      <c r="F1325">
        <f>Prices!F1325</f>
        <v/>
      </c>
      <c r="G1325">
        <f>IF(AND(1323&gt;=16,TEXT(A1325,"yyyy-mm")&lt;&gt;TEXT(A1326,"yyyy-mm")),1,0)</f>
        <v/>
      </c>
      <c r="H1325">
        <f>IF(OR(H1324=1,G1325=1),1,0)</f>
        <v/>
      </c>
      <c r="I1325">
        <f>IF(H1324=0,1,SUMPRODUCT(J1324:N1324,B1325:F1325)+O1324*(1+0.00023125256064071564))</f>
        <v/>
      </c>
      <c r="J1325">
        <f>IF(G1325=1,0.2*R1325/B1325,J1324)</f>
        <v/>
      </c>
      <c r="K1325">
        <f>IF(G1325=1,0.2*R1325/C1325,K1324)</f>
        <v/>
      </c>
      <c r="L1325">
        <f>IF(G1325=1,0.2*R1325/D1325,L1324)</f>
        <v/>
      </c>
      <c r="M1325">
        <f>IF(G1325=1,0.2*R1325/E1325,M1324)</f>
        <v/>
      </c>
      <c r="N1325">
        <f>IF(G1325=1,0.2*R1325/F1325,N1324)</f>
        <v/>
      </c>
      <c r="O1325">
        <f>IF(G1325=1,R1325*(1-1.0),IF(H1324=0,1,O1324*(1+0.00023125256064071564)))</f>
        <v/>
      </c>
      <c r="P1325">
        <f>IF(G1325=1,IF(H1324=0,1,ABS(0.2-J1324*B1325/I1325)+ABS(0.2-K1324*C1325/I1325)+ABS(0.2-L1324*D1325/I1325)+ABS(0.2-M1324*E1325/I1325)+ABS(0.2-N1324*F1325/I1325)),0)</f>
        <v/>
      </c>
      <c r="Q1325">
        <f>P1325*0.0015</f>
        <v/>
      </c>
      <c r="R1325">
        <f>I1325*(1-Q1325)</f>
        <v/>
      </c>
      <c r="S1325">
        <f>R1325/R1324-1</f>
        <v/>
      </c>
      <c r="T1325">
        <f>MAX(T1324,R1325)</f>
        <v/>
      </c>
      <c r="U1325">
        <f>R1325/T1325-1</f>
        <v/>
      </c>
      <c r="V1325" t="n">
        <v>3.242767590137373</v>
      </c>
      <c r="W1325" s="5">
        <f>R1325-V1325</f>
        <v/>
      </c>
    </row>
    <row r="1326">
      <c r="A1326" s="3" t="n">
        <v>40393</v>
      </c>
      <c r="B1326">
        <f>Prices!B1326</f>
        <v/>
      </c>
      <c r="C1326">
        <f>Prices!C1326</f>
        <v/>
      </c>
      <c r="D1326">
        <f>Prices!D1326</f>
        <v/>
      </c>
      <c r="E1326">
        <f>Prices!E1326</f>
        <v/>
      </c>
      <c r="F1326">
        <f>Prices!F1326</f>
        <v/>
      </c>
      <c r="G1326">
        <f>IF(AND(1324&gt;=16,TEXT(A1326,"yyyy-mm")&lt;&gt;TEXT(A1327,"yyyy-mm")),1,0)</f>
        <v/>
      </c>
      <c r="H1326">
        <f>IF(OR(H1325=1,G1326=1),1,0)</f>
        <v/>
      </c>
      <c r="I1326">
        <f>IF(H1325=0,1,SUMPRODUCT(J1325:N1325,B1326:F1326)+O1325*(1+0.00023125256064071564))</f>
        <v/>
      </c>
      <c r="J1326">
        <f>IF(G1326=1,0.2*R1326/B1326,J1325)</f>
        <v/>
      </c>
      <c r="K1326">
        <f>IF(G1326=1,0.2*R1326/C1326,K1325)</f>
        <v/>
      </c>
      <c r="L1326">
        <f>IF(G1326=1,0.2*R1326/D1326,L1325)</f>
        <v/>
      </c>
      <c r="M1326">
        <f>IF(G1326=1,0.2*R1326/E1326,M1325)</f>
        <v/>
      </c>
      <c r="N1326">
        <f>IF(G1326=1,0.2*R1326/F1326,N1325)</f>
        <v/>
      </c>
      <c r="O1326">
        <f>IF(G1326=1,R1326*(1-1.0),IF(H1325=0,1,O1325*(1+0.00023125256064071564)))</f>
        <v/>
      </c>
      <c r="P1326">
        <f>IF(G1326=1,IF(H1325=0,1,ABS(0.2-J1325*B1326/I1326)+ABS(0.2-K1325*C1326/I1326)+ABS(0.2-L1325*D1326/I1326)+ABS(0.2-M1325*E1326/I1326)+ABS(0.2-N1325*F1326/I1326)),0)</f>
        <v/>
      </c>
      <c r="Q1326">
        <f>P1326*0.0015</f>
        <v/>
      </c>
      <c r="R1326">
        <f>I1326*(1-Q1326)</f>
        <v/>
      </c>
      <c r="S1326">
        <f>R1326/R1325-1</f>
        <v/>
      </c>
      <c r="T1326">
        <f>MAX(T1325,R1326)</f>
        <v/>
      </c>
      <c r="U1326">
        <f>R1326/T1326-1</f>
        <v/>
      </c>
      <c r="V1326" t="n">
        <v>3.254190201593282</v>
      </c>
      <c r="W1326" s="5">
        <f>R1326-V1326</f>
        <v/>
      </c>
    </row>
    <row r="1327">
      <c r="A1327" s="3" t="n">
        <v>40394</v>
      </c>
      <c r="B1327">
        <f>Prices!B1327</f>
        <v/>
      </c>
      <c r="C1327">
        <f>Prices!C1327</f>
        <v/>
      </c>
      <c r="D1327">
        <f>Prices!D1327</f>
        <v/>
      </c>
      <c r="E1327">
        <f>Prices!E1327</f>
        <v/>
      </c>
      <c r="F1327">
        <f>Prices!F1327</f>
        <v/>
      </c>
      <c r="G1327">
        <f>IF(AND(1325&gt;=16,TEXT(A1327,"yyyy-mm")&lt;&gt;TEXT(A1328,"yyyy-mm")),1,0)</f>
        <v/>
      </c>
      <c r="H1327">
        <f>IF(OR(H1326=1,G1327=1),1,0)</f>
        <v/>
      </c>
      <c r="I1327">
        <f>IF(H1326=0,1,SUMPRODUCT(J1326:N1326,B1327:F1327)+O1326*(1+0.00023125256064071564))</f>
        <v/>
      </c>
      <c r="J1327">
        <f>IF(G1327=1,0.2*R1327/B1327,J1326)</f>
        <v/>
      </c>
      <c r="K1327">
        <f>IF(G1327=1,0.2*R1327/C1327,K1326)</f>
        <v/>
      </c>
      <c r="L1327">
        <f>IF(G1327=1,0.2*R1327/D1327,L1326)</f>
        <v/>
      </c>
      <c r="M1327">
        <f>IF(G1327=1,0.2*R1327/E1327,M1326)</f>
        <v/>
      </c>
      <c r="N1327">
        <f>IF(G1327=1,0.2*R1327/F1327,N1326)</f>
        <v/>
      </c>
      <c r="O1327">
        <f>IF(G1327=1,R1327*(1-1.0),IF(H1326=0,1,O1326*(1+0.00023125256064071564)))</f>
        <v/>
      </c>
      <c r="P1327">
        <f>IF(G1327=1,IF(H1326=0,1,ABS(0.2-J1326*B1327/I1327)+ABS(0.2-K1326*C1327/I1327)+ABS(0.2-L1326*D1327/I1327)+ABS(0.2-M1326*E1327/I1327)+ABS(0.2-N1326*F1327/I1327)),0)</f>
        <v/>
      </c>
      <c r="Q1327">
        <f>P1327*0.0015</f>
        <v/>
      </c>
      <c r="R1327">
        <f>I1327*(1-Q1327)</f>
        <v/>
      </c>
      <c r="S1327">
        <f>R1327/R1326-1</f>
        <v/>
      </c>
      <c r="T1327">
        <f>MAX(T1326,R1327)</f>
        <v/>
      </c>
      <c r="U1327">
        <f>R1327/T1327-1</f>
        <v/>
      </c>
      <c r="V1327" t="n">
        <v>3.269764214481025</v>
      </c>
      <c r="W1327" s="5">
        <f>R1327-V1327</f>
        <v/>
      </c>
    </row>
    <row r="1328">
      <c r="A1328" s="3" t="n">
        <v>40395</v>
      </c>
      <c r="B1328">
        <f>Prices!B1328</f>
        <v/>
      </c>
      <c r="C1328">
        <f>Prices!C1328</f>
        <v/>
      </c>
      <c r="D1328">
        <f>Prices!D1328</f>
        <v/>
      </c>
      <c r="E1328">
        <f>Prices!E1328</f>
        <v/>
      </c>
      <c r="F1328">
        <f>Prices!F1328</f>
        <v/>
      </c>
      <c r="G1328">
        <f>IF(AND(1326&gt;=16,TEXT(A1328,"yyyy-mm")&lt;&gt;TEXT(A1329,"yyyy-mm")),1,0)</f>
        <v/>
      </c>
      <c r="H1328">
        <f>IF(OR(H1327=1,G1328=1),1,0)</f>
        <v/>
      </c>
      <c r="I1328">
        <f>IF(H1327=0,1,SUMPRODUCT(J1327:N1327,B1328:F1328)+O1327*(1+0.00023125256064071564))</f>
        <v/>
      </c>
      <c r="J1328">
        <f>IF(G1328=1,0.2*R1328/B1328,J1327)</f>
        <v/>
      </c>
      <c r="K1328">
        <f>IF(G1328=1,0.2*R1328/C1328,K1327)</f>
        <v/>
      </c>
      <c r="L1328">
        <f>IF(G1328=1,0.2*R1328/D1328,L1327)</f>
        <v/>
      </c>
      <c r="M1328">
        <f>IF(G1328=1,0.2*R1328/E1328,M1327)</f>
        <v/>
      </c>
      <c r="N1328">
        <f>IF(G1328=1,0.2*R1328/F1328,N1327)</f>
        <v/>
      </c>
      <c r="O1328">
        <f>IF(G1328=1,R1328*(1-1.0),IF(H1327=0,1,O1327*(1+0.00023125256064071564)))</f>
        <v/>
      </c>
      <c r="P1328">
        <f>IF(G1328=1,IF(H1327=0,1,ABS(0.2-J1327*B1328/I1328)+ABS(0.2-K1327*C1328/I1328)+ABS(0.2-L1327*D1328/I1328)+ABS(0.2-M1327*E1328/I1328)+ABS(0.2-N1327*F1328/I1328)),0)</f>
        <v/>
      </c>
      <c r="Q1328">
        <f>P1328*0.0015</f>
        <v/>
      </c>
      <c r="R1328">
        <f>I1328*(1-Q1328)</f>
        <v/>
      </c>
      <c r="S1328">
        <f>R1328/R1327-1</f>
        <v/>
      </c>
      <c r="T1328">
        <f>MAX(T1327,R1328)</f>
        <v/>
      </c>
      <c r="U1328">
        <f>R1328/T1328-1</f>
        <v/>
      </c>
      <c r="V1328" t="n">
        <v>3.269287083427348</v>
      </c>
      <c r="W1328" s="5">
        <f>R1328-V1328</f>
        <v/>
      </c>
    </row>
    <row r="1329">
      <c r="A1329" s="3" t="n">
        <v>40396</v>
      </c>
      <c r="B1329">
        <f>Prices!B1329</f>
        <v/>
      </c>
      <c r="C1329">
        <f>Prices!C1329</f>
        <v/>
      </c>
      <c r="D1329">
        <f>Prices!D1329</f>
        <v/>
      </c>
      <c r="E1329">
        <f>Prices!E1329</f>
        <v/>
      </c>
      <c r="F1329">
        <f>Prices!F1329</f>
        <v/>
      </c>
      <c r="G1329">
        <f>IF(AND(1327&gt;=16,TEXT(A1329,"yyyy-mm")&lt;&gt;TEXT(A1330,"yyyy-mm")),1,0)</f>
        <v/>
      </c>
      <c r="H1329">
        <f>IF(OR(H1328=1,G1329=1),1,0)</f>
        <v/>
      </c>
      <c r="I1329">
        <f>IF(H1328=0,1,SUMPRODUCT(J1328:N1328,B1329:F1329)+O1328*(1+0.00023125256064071564))</f>
        <v/>
      </c>
      <c r="J1329">
        <f>IF(G1329=1,0.2*R1329/B1329,J1328)</f>
        <v/>
      </c>
      <c r="K1329">
        <f>IF(G1329=1,0.2*R1329/C1329,K1328)</f>
        <v/>
      </c>
      <c r="L1329">
        <f>IF(G1329=1,0.2*R1329/D1329,L1328)</f>
        <v/>
      </c>
      <c r="M1329">
        <f>IF(G1329=1,0.2*R1329/E1329,M1328)</f>
        <v/>
      </c>
      <c r="N1329">
        <f>IF(G1329=1,0.2*R1329/F1329,N1328)</f>
        <v/>
      </c>
      <c r="O1329">
        <f>IF(G1329=1,R1329*(1-1.0),IF(H1328=0,1,O1328*(1+0.00023125256064071564)))</f>
        <v/>
      </c>
      <c r="P1329">
        <f>IF(G1329=1,IF(H1328=0,1,ABS(0.2-J1328*B1329/I1329)+ABS(0.2-K1328*C1329/I1329)+ABS(0.2-L1328*D1329/I1329)+ABS(0.2-M1328*E1329/I1329)+ABS(0.2-N1328*F1329/I1329)),0)</f>
        <v/>
      </c>
      <c r="Q1329">
        <f>P1329*0.0015</f>
        <v/>
      </c>
      <c r="R1329">
        <f>I1329*(1-Q1329)</f>
        <v/>
      </c>
      <c r="S1329">
        <f>R1329/R1328-1</f>
        <v/>
      </c>
      <c r="T1329">
        <f>MAX(T1328,R1329)</f>
        <v/>
      </c>
      <c r="U1329">
        <f>R1329/T1329-1</f>
        <v/>
      </c>
      <c r="V1329" t="n">
        <v>3.269409258365961</v>
      </c>
      <c r="W1329" s="5">
        <f>R1329-V1329</f>
        <v/>
      </c>
    </row>
    <row r="1330">
      <c r="A1330" s="3" t="n">
        <v>40399</v>
      </c>
      <c r="B1330">
        <f>Prices!B1330</f>
        <v/>
      </c>
      <c r="C1330">
        <f>Prices!C1330</f>
        <v/>
      </c>
      <c r="D1330">
        <f>Prices!D1330</f>
        <v/>
      </c>
      <c r="E1330">
        <f>Prices!E1330</f>
        <v/>
      </c>
      <c r="F1330">
        <f>Prices!F1330</f>
        <v/>
      </c>
      <c r="G1330">
        <f>IF(AND(1328&gt;=16,TEXT(A1330,"yyyy-mm")&lt;&gt;TEXT(A1331,"yyyy-mm")),1,0)</f>
        <v/>
      </c>
      <c r="H1330">
        <f>IF(OR(H1329=1,G1330=1),1,0)</f>
        <v/>
      </c>
      <c r="I1330">
        <f>IF(H1329=0,1,SUMPRODUCT(J1329:N1329,B1330:F1330)+O1329*(1+0.00023125256064071564))</f>
        <v/>
      </c>
      <c r="J1330">
        <f>IF(G1330=1,0.2*R1330/B1330,J1329)</f>
        <v/>
      </c>
      <c r="K1330">
        <f>IF(G1330=1,0.2*R1330/C1330,K1329)</f>
        <v/>
      </c>
      <c r="L1330">
        <f>IF(G1330=1,0.2*R1330/D1330,L1329)</f>
        <v/>
      </c>
      <c r="M1330">
        <f>IF(G1330=1,0.2*R1330/E1330,M1329)</f>
        <v/>
      </c>
      <c r="N1330">
        <f>IF(G1330=1,0.2*R1330/F1330,N1329)</f>
        <v/>
      </c>
      <c r="O1330">
        <f>IF(G1330=1,R1330*(1-1.0),IF(H1329=0,1,O1329*(1+0.00023125256064071564)))</f>
        <v/>
      </c>
      <c r="P1330">
        <f>IF(G1330=1,IF(H1329=0,1,ABS(0.2-J1329*B1330/I1330)+ABS(0.2-K1329*C1330/I1330)+ABS(0.2-L1329*D1330/I1330)+ABS(0.2-M1329*E1330/I1330)+ABS(0.2-N1329*F1330/I1330)),0)</f>
        <v/>
      </c>
      <c r="Q1330">
        <f>P1330*0.0015</f>
        <v/>
      </c>
      <c r="R1330">
        <f>I1330*(1-Q1330)</f>
        <v/>
      </c>
      <c r="S1330">
        <f>R1330/R1329-1</f>
        <v/>
      </c>
      <c r="T1330">
        <f>MAX(T1329,R1330)</f>
        <v/>
      </c>
      <c r="U1330">
        <f>R1330/T1330-1</f>
        <v/>
      </c>
      <c r="V1330" t="n">
        <v>3.303751934530005</v>
      </c>
      <c r="W1330" s="5">
        <f>R1330-V1330</f>
        <v/>
      </c>
    </row>
    <row r="1331">
      <c r="A1331" s="3" t="n">
        <v>40400</v>
      </c>
      <c r="B1331">
        <f>Prices!B1331</f>
        <v/>
      </c>
      <c r="C1331">
        <f>Prices!C1331</f>
        <v/>
      </c>
      <c r="D1331">
        <f>Prices!D1331</f>
        <v/>
      </c>
      <c r="E1331">
        <f>Prices!E1331</f>
        <v/>
      </c>
      <c r="F1331">
        <f>Prices!F1331</f>
        <v/>
      </c>
      <c r="G1331">
        <f>IF(AND(1329&gt;=16,TEXT(A1331,"yyyy-mm")&lt;&gt;TEXT(A1332,"yyyy-mm")),1,0)</f>
        <v/>
      </c>
      <c r="H1331">
        <f>IF(OR(H1330=1,G1331=1),1,0)</f>
        <v/>
      </c>
      <c r="I1331">
        <f>IF(H1330=0,1,SUMPRODUCT(J1330:N1330,B1331:F1331)+O1330*(1+0.00023125256064071564))</f>
        <v/>
      </c>
      <c r="J1331">
        <f>IF(G1331=1,0.2*R1331/B1331,J1330)</f>
        <v/>
      </c>
      <c r="K1331">
        <f>IF(G1331=1,0.2*R1331/C1331,K1330)</f>
        <v/>
      </c>
      <c r="L1331">
        <f>IF(G1331=1,0.2*R1331/D1331,L1330)</f>
        <v/>
      </c>
      <c r="M1331">
        <f>IF(G1331=1,0.2*R1331/E1331,M1330)</f>
        <v/>
      </c>
      <c r="N1331">
        <f>IF(G1331=1,0.2*R1331/F1331,N1330)</f>
        <v/>
      </c>
      <c r="O1331">
        <f>IF(G1331=1,R1331*(1-1.0),IF(H1330=0,1,O1330*(1+0.00023125256064071564)))</f>
        <v/>
      </c>
      <c r="P1331">
        <f>IF(G1331=1,IF(H1330=0,1,ABS(0.2-J1330*B1331/I1331)+ABS(0.2-K1330*C1331/I1331)+ABS(0.2-L1330*D1331/I1331)+ABS(0.2-M1330*E1331/I1331)+ABS(0.2-N1330*F1331/I1331)),0)</f>
        <v/>
      </c>
      <c r="Q1331">
        <f>P1331*0.0015</f>
        <v/>
      </c>
      <c r="R1331">
        <f>I1331*(1-Q1331)</f>
        <v/>
      </c>
      <c r="S1331">
        <f>R1331/R1330-1</f>
        <v/>
      </c>
      <c r="T1331">
        <f>MAX(T1330,R1331)</f>
        <v/>
      </c>
      <c r="U1331">
        <f>R1331/T1331-1</f>
        <v/>
      </c>
      <c r="V1331" t="n">
        <v>3.29034057001484</v>
      </c>
      <c r="W1331" s="5">
        <f>R1331-V1331</f>
        <v/>
      </c>
    </row>
    <row r="1332">
      <c r="A1332" s="3" t="n">
        <v>40401</v>
      </c>
      <c r="B1332">
        <f>Prices!B1332</f>
        <v/>
      </c>
      <c r="C1332">
        <f>Prices!C1332</f>
        <v/>
      </c>
      <c r="D1332">
        <f>Prices!D1332</f>
        <v/>
      </c>
      <c r="E1332">
        <f>Prices!E1332</f>
        <v/>
      </c>
      <c r="F1332">
        <f>Prices!F1332</f>
        <v/>
      </c>
      <c r="G1332">
        <f>IF(AND(1330&gt;=16,TEXT(A1332,"yyyy-mm")&lt;&gt;TEXT(A1333,"yyyy-mm")),1,0)</f>
        <v/>
      </c>
      <c r="H1332">
        <f>IF(OR(H1331=1,G1332=1),1,0)</f>
        <v/>
      </c>
      <c r="I1332">
        <f>IF(H1331=0,1,SUMPRODUCT(J1331:N1331,B1332:F1332)+O1331*(1+0.00023125256064071564))</f>
        <v/>
      </c>
      <c r="J1332">
        <f>IF(G1332=1,0.2*R1332/B1332,J1331)</f>
        <v/>
      </c>
      <c r="K1332">
        <f>IF(G1332=1,0.2*R1332/C1332,K1331)</f>
        <v/>
      </c>
      <c r="L1332">
        <f>IF(G1332=1,0.2*R1332/D1332,L1331)</f>
        <v/>
      </c>
      <c r="M1332">
        <f>IF(G1332=1,0.2*R1332/E1332,M1331)</f>
        <v/>
      </c>
      <c r="N1332">
        <f>IF(G1332=1,0.2*R1332/F1332,N1331)</f>
        <v/>
      </c>
      <c r="O1332">
        <f>IF(G1332=1,R1332*(1-1.0),IF(H1331=0,1,O1331*(1+0.00023125256064071564)))</f>
        <v/>
      </c>
      <c r="P1332">
        <f>IF(G1332=1,IF(H1331=0,1,ABS(0.2-J1331*B1332/I1332)+ABS(0.2-K1331*C1332/I1332)+ABS(0.2-L1331*D1332/I1332)+ABS(0.2-M1331*E1332/I1332)+ABS(0.2-N1331*F1332/I1332)),0)</f>
        <v/>
      </c>
      <c r="Q1332">
        <f>P1332*0.0015</f>
        <v/>
      </c>
      <c r="R1332">
        <f>I1332*(1-Q1332)</f>
        <v/>
      </c>
      <c r="S1332">
        <f>R1332/R1331-1</f>
        <v/>
      </c>
      <c r="T1332">
        <f>MAX(T1331,R1332)</f>
        <v/>
      </c>
      <c r="U1332">
        <f>R1332/T1332-1</f>
        <v/>
      </c>
      <c r="V1332" t="n">
        <v>3.277384057015174</v>
      </c>
      <c r="W1332" s="5">
        <f>R1332-V1332</f>
        <v/>
      </c>
    </row>
    <row r="1333">
      <c r="A1333" s="3" t="n">
        <v>40402</v>
      </c>
      <c r="B1333">
        <f>Prices!B1333</f>
        <v/>
      </c>
      <c r="C1333">
        <f>Prices!C1333</f>
        <v/>
      </c>
      <c r="D1333">
        <f>Prices!D1333</f>
        <v/>
      </c>
      <c r="E1333">
        <f>Prices!E1333</f>
        <v/>
      </c>
      <c r="F1333">
        <f>Prices!F1333</f>
        <v/>
      </c>
      <c r="G1333">
        <f>IF(AND(1331&gt;=16,TEXT(A1333,"yyyy-mm")&lt;&gt;TEXT(A1334,"yyyy-mm")),1,0)</f>
        <v/>
      </c>
      <c r="H1333">
        <f>IF(OR(H1332=1,G1333=1),1,0)</f>
        <v/>
      </c>
      <c r="I1333">
        <f>IF(H1332=0,1,SUMPRODUCT(J1332:N1332,B1333:F1333)+O1332*(1+0.00023125256064071564))</f>
        <v/>
      </c>
      <c r="J1333">
        <f>IF(G1333=1,0.2*R1333/B1333,J1332)</f>
        <v/>
      </c>
      <c r="K1333">
        <f>IF(G1333=1,0.2*R1333/C1333,K1332)</f>
        <v/>
      </c>
      <c r="L1333">
        <f>IF(G1333=1,0.2*R1333/D1333,L1332)</f>
        <v/>
      </c>
      <c r="M1333">
        <f>IF(G1333=1,0.2*R1333/E1333,M1332)</f>
        <v/>
      </c>
      <c r="N1333">
        <f>IF(G1333=1,0.2*R1333/F1333,N1332)</f>
        <v/>
      </c>
      <c r="O1333">
        <f>IF(G1333=1,R1333*(1-1.0),IF(H1332=0,1,O1332*(1+0.00023125256064071564)))</f>
        <v/>
      </c>
      <c r="P1333">
        <f>IF(G1333=1,IF(H1332=0,1,ABS(0.2-J1332*B1333/I1333)+ABS(0.2-K1332*C1333/I1333)+ABS(0.2-L1332*D1333/I1333)+ABS(0.2-M1332*E1333/I1333)+ABS(0.2-N1332*F1333/I1333)),0)</f>
        <v/>
      </c>
      <c r="Q1333">
        <f>P1333*0.0015</f>
        <v/>
      </c>
      <c r="R1333">
        <f>I1333*(1-Q1333)</f>
        <v/>
      </c>
      <c r="S1333">
        <f>R1333/R1332-1</f>
        <v/>
      </c>
      <c r="T1333">
        <f>MAX(T1332,R1333)</f>
        <v/>
      </c>
      <c r="U1333">
        <f>R1333/T1333-1</f>
        <v/>
      </c>
      <c r="V1333" t="n">
        <v>3.285719140311385</v>
      </c>
      <c r="W1333" s="5">
        <f>R1333-V1333</f>
        <v/>
      </c>
    </row>
    <row r="1334">
      <c r="A1334" s="3" t="n">
        <v>40403</v>
      </c>
      <c r="B1334">
        <f>Prices!B1334</f>
        <v/>
      </c>
      <c r="C1334">
        <f>Prices!C1334</f>
        <v/>
      </c>
      <c r="D1334">
        <f>Prices!D1334</f>
        <v/>
      </c>
      <c r="E1334">
        <f>Prices!E1334</f>
        <v/>
      </c>
      <c r="F1334">
        <f>Prices!F1334</f>
        <v/>
      </c>
      <c r="G1334">
        <f>IF(AND(1332&gt;=16,TEXT(A1334,"yyyy-mm")&lt;&gt;TEXT(A1335,"yyyy-mm")),1,0)</f>
        <v/>
      </c>
      <c r="H1334">
        <f>IF(OR(H1333=1,G1334=1),1,0)</f>
        <v/>
      </c>
      <c r="I1334">
        <f>IF(H1333=0,1,SUMPRODUCT(J1333:N1333,B1334:F1334)+O1333*(1+0.00023125256064071564))</f>
        <v/>
      </c>
      <c r="J1334">
        <f>IF(G1334=1,0.2*R1334/B1334,J1333)</f>
        <v/>
      </c>
      <c r="K1334">
        <f>IF(G1334=1,0.2*R1334/C1334,K1333)</f>
        <v/>
      </c>
      <c r="L1334">
        <f>IF(G1334=1,0.2*R1334/D1334,L1333)</f>
        <v/>
      </c>
      <c r="M1334">
        <f>IF(G1334=1,0.2*R1334/E1334,M1333)</f>
        <v/>
      </c>
      <c r="N1334">
        <f>IF(G1334=1,0.2*R1334/F1334,N1333)</f>
        <v/>
      </c>
      <c r="O1334">
        <f>IF(G1334=1,R1334*(1-1.0),IF(H1333=0,1,O1333*(1+0.00023125256064071564)))</f>
        <v/>
      </c>
      <c r="P1334">
        <f>IF(G1334=1,IF(H1333=0,1,ABS(0.2-J1333*B1334/I1334)+ABS(0.2-K1333*C1334/I1334)+ABS(0.2-L1333*D1334/I1334)+ABS(0.2-M1333*E1334/I1334)+ABS(0.2-N1333*F1334/I1334)),0)</f>
        <v/>
      </c>
      <c r="Q1334">
        <f>P1334*0.0015</f>
        <v/>
      </c>
      <c r="R1334">
        <f>I1334*(1-Q1334)</f>
        <v/>
      </c>
      <c r="S1334">
        <f>R1334/R1333-1</f>
        <v/>
      </c>
      <c r="T1334">
        <f>MAX(T1333,R1334)</f>
        <v/>
      </c>
      <c r="U1334">
        <f>R1334/T1334-1</f>
        <v/>
      </c>
      <c r="V1334" t="n">
        <v>3.311920926771039</v>
      </c>
      <c r="W1334" s="5">
        <f>R1334-V1334</f>
        <v/>
      </c>
    </row>
    <row r="1335">
      <c r="A1335" s="3" t="n">
        <v>40406</v>
      </c>
      <c r="B1335">
        <f>Prices!B1335</f>
        <v/>
      </c>
      <c r="C1335">
        <f>Prices!C1335</f>
        <v/>
      </c>
      <c r="D1335">
        <f>Prices!D1335</f>
        <v/>
      </c>
      <c r="E1335">
        <f>Prices!E1335</f>
        <v/>
      </c>
      <c r="F1335">
        <f>Prices!F1335</f>
        <v/>
      </c>
      <c r="G1335">
        <f>IF(AND(1333&gt;=16,TEXT(A1335,"yyyy-mm")&lt;&gt;TEXT(A1336,"yyyy-mm")),1,0)</f>
        <v/>
      </c>
      <c r="H1335">
        <f>IF(OR(H1334=1,G1335=1),1,0)</f>
        <v/>
      </c>
      <c r="I1335">
        <f>IF(H1334=0,1,SUMPRODUCT(J1334:N1334,B1335:F1335)+O1334*(1+0.00023125256064071564))</f>
        <v/>
      </c>
      <c r="J1335">
        <f>IF(G1335=1,0.2*R1335/B1335,J1334)</f>
        <v/>
      </c>
      <c r="K1335">
        <f>IF(G1335=1,0.2*R1335/C1335,K1334)</f>
        <v/>
      </c>
      <c r="L1335">
        <f>IF(G1335=1,0.2*R1335/D1335,L1334)</f>
        <v/>
      </c>
      <c r="M1335">
        <f>IF(G1335=1,0.2*R1335/E1335,M1334)</f>
        <v/>
      </c>
      <c r="N1335">
        <f>IF(G1335=1,0.2*R1335/F1335,N1334)</f>
        <v/>
      </c>
      <c r="O1335">
        <f>IF(G1335=1,R1335*(1-1.0),IF(H1334=0,1,O1334*(1+0.00023125256064071564)))</f>
        <v/>
      </c>
      <c r="P1335">
        <f>IF(G1335=1,IF(H1334=0,1,ABS(0.2-J1334*B1335/I1335)+ABS(0.2-K1334*C1335/I1335)+ABS(0.2-L1334*D1335/I1335)+ABS(0.2-M1334*E1335/I1335)+ABS(0.2-N1334*F1335/I1335)),0)</f>
        <v/>
      </c>
      <c r="Q1335">
        <f>P1335*0.0015</f>
        <v/>
      </c>
      <c r="R1335">
        <f>I1335*(1-Q1335)</f>
        <v/>
      </c>
      <c r="S1335">
        <f>R1335/R1334-1</f>
        <v/>
      </c>
      <c r="T1335">
        <f>MAX(T1334,R1335)</f>
        <v/>
      </c>
      <c r="U1335">
        <f>R1335/T1335-1</f>
        <v/>
      </c>
      <c r="V1335" t="n">
        <v>3.307342162395406</v>
      </c>
      <c r="W1335" s="5">
        <f>R1335-V1335</f>
        <v/>
      </c>
    </row>
    <row r="1336">
      <c r="A1336" s="3" t="n">
        <v>40407</v>
      </c>
      <c r="B1336">
        <f>Prices!B1336</f>
        <v/>
      </c>
      <c r="C1336">
        <f>Prices!C1336</f>
        <v/>
      </c>
      <c r="D1336">
        <f>Prices!D1336</f>
        <v/>
      </c>
      <c r="E1336">
        <f>Prices!E1336</f>
        <v/>
      </c>
      <c r="F1336">
        <f>Prices!F1336</f>
        <v/>
      </c>
      <c r="G1336">
        <f>IF(AND(1334&gt;=16,TEXT(A1336,"yyyy-mm")&lt;&gt;TEXT(A1337,"yyyy-mm")),1,0)</f>
        <v/>
      </c>
      <c r="H1336">
        <f>IF(OR(H1335=1,G1336=1),1,0)</f>
        <v/>
      </c>
      <c r="I1336">
        <f>IF(H1335=0,1,SUMPRODUCT(J1335:N1335,B1336:F1336)+O1335*(1+0.00023125256064071564))</f>
        <v/>
      </c>
      <c r="J1336">
        <f>IF(G1336=1,0.2*R1336/B1336,J1335)</f>
        <v/>
      </c>
      <c r="K1336">
        <f>IF(G1336=1,0.2*R1336/C1336,K1335)</f>
        <v/>
      </c>
      <c r="L1336">
        <f>IF(G1336=1,0.2*R1336/D1336,L1335)</f>
        <v/>
      </c>
      <c r="M1336">
        <f>IF(G1336=1,0.2*R1336/E1336,M1335)</f>
        <v/>
      </c>
      <c r="N1336">
        <f>IF(G1336=1,0.2*R1336/F1336,N1335)</f>
        <v/>
      </c>
      <c r="O1336">
        <f>IF(G1336=1,R1336*(1-1.0),IF(H1335=0,1,O1335*(1+0.00023125256064071564)))</f>
        <v/>
      </c>
      <c r="P1336">
        <f>IF(G1336=1,IF(H1335=0,1,ABS(0.2-J1335*B1336/I1336)+ABS(0.2-K1335*C1336/I1336)+ABS(0.2-L1335*D1336/I1336)+ABS(0.2-M1335*E1336/I1336)+ABS(0.2-N1335*F1336/I1336)),0)</f>
        <v/>
      </c>
      <c r="Q1336">
        <f>P1336*0.0015</f>
        <v/>
      </c>
      <c r="R1336">
        <f>I1336*(1-Q1336)</f>
        <v/>
      </c>
      <c r="S1336">
        <f>R1336/R1335-1</f>
        <v/>
      </c>
      <c r="T1336">
        <f>MAX(T1335,R1336)</f>
        <v/>
      </c>
      <c r="U1336">
        <f>R1336/T1336-1</f>
        <v/>
      </c>
      <c r="V1336" t="n">
        <v>3.320271883795394</v>
      </c>
      <c r="W1336" s="5">
        <f>R1336-V1336</f>
        <v/>
      </c>
    </row>
    <row r="1337">
      <c r="A1337" s="3" t="n">
        <v>40408</v>
      </c>
      <c r="B1337">
        <f>Prices!B1337</f>
        <v/>
      </c>
      <c r="C1337">
        <f>Prices!C1337</f>
        <v/>
      </c>
      <c r="D1337">
        <f>Prices!D1337</f>
        <v/>
      </c>
      <c r="E1337">
        <f>Prices!E1337</f>
        <v/>
      </c>
      <c r="F1337">
        <f>Prices!F1337</f>
        <v/>
      </c>
      <c r="G1337">
        <f>IF(AND(1335&gt;=16,TEXT(A1337,"yyyy-mm")&lt;&gt;TEXT(A1338,"yyyy-mm")),1,0)</f>
        <v/>
      </c>
      <c r="H1337">
        <f>IF(OR(H1336=1,G1337=1),1,0)</f>
        <v/>
      </c>
      <c r="I1337">
        <f>IF(H1336=0,1,SUMPRODUCT(J1336:N1336,B1337:F1337)+O1336*(1+0.00023125256064071564))</f>
        <v/>
      </c>
      <c r="J1337">
        <f>IF(G1337=1,0.2*R1337/B1337,J1336)</f>
        <v/>
      </c>
      <c r="K1337">
        <f>IF(G1337=1,0.2*R1337/C1337,K1336)</f>
        <v/>
      </c>
      <c r="L1337">
        <f>IF(G1337=1,0.2*R1337/D1337,L1336)</f>
        <v/>
      </c>
      <c r="M1337">
        <f>IF(G1337=1,0.2*R1337/E1337,M1336)</f>
        <v/>
      </c>
      <c r="N1337">
        <f>IF(G1337=1,0.2*R1337/F1337,N1336)</f>
        <v/>
      </c>
      <c r="O1337">
        <f>IF(G1337=1,R1337*(1-1.0),IF(H1336=0,1,O1336*(1+0.00023125256064071564)))</f>
        <v/>
      </c>
      <c r="P1337">
        <f>IF(G1337=1,IF(H1336=0,1,ABS(0.2-J1336*B1337/I1337)+ABS(0.2-K1336*C1337/I1337)+ABS(0.2-L1336*D1337/I1337)+ABS(0.2-M1336*E1337/I1337)+ABS(0.2-N1336*F1337/I1337)),0)</f>
        <v/>
      </c>
      <c r="Q1337">
        <f>P1337*0.0015</f>
        <v/>
      </c>
      <c r="R1337">
        <f>I1337*(1-Q1337)</f>
        <v/>
      </c>
      <c r="S1337">
        <f>R1337/R1336-1</f>
        <v/>
      </c>
      <c r="T1337">
        <f>MAX(T1336,R1337)</f>
        <v/>
      </c>
      <c r="U1337">
        <f>R1337/T1337-1</f>
        <v/>
      </c>
      <c r="V1337" t="n">
        <v>3.365324194621299</v>
      </c>
      <c r="W1337" s="5">
        <f>R1337-V1337</f>
        <v/>
      </c>
    </row>
    <row r="1338">
      <c r="A1338" s="3" t="n">
        <v>40409</v>
      </c>
      <c r="B1338">
        <f>Prices!B1338</f>
        <v/>
      </c>
      <c r="C1338">
        <f>Prices!C1338</f>
        <v/>
      </c>
      <c r="D1338">
        <f>Prices!D1338</f>
        <v/>
      </c>
      <c r="E1338">
        <f>Prices!E1338</f>
        <v/>
      </c>
      <c r="F1338">
        <f>Prices!F1338</f>
        <v/>
      </c>
      <c r="G1338">
        <f>IF(AND(1336&gt;=16,TEXT(A1338,"yyyy-mm")&lt;&gt;TEXT(A1339,"yyyy-mm")),1,0)</f>
        <v/>
      </c>
      <c r="H1338">
        <f>IF(OR(H1337=1,G1338=1),1,0)</f>
        <v/>
      </c>
      <c r="I1338">
        <f>IF(H1337=0,1,SUMPRODUCT(J1337:N1337,B1338:F1338)+O1337*(1+0.00023125256064071564))</f>
        <v/>
      </c>
      <c r="J1338">
        <f>IF(G1338=1,0.2*R1338/B1338,J1337)</f>
        <v/>
      </c>
      <c r="K1338">
        <f>IF(G1338=1,0.2*R1338/C1338,K1337)</f>
        <v/>
      </c>
      <c r="L1338">
        <f>IF(G1338=1,0.2*R1338/D1338,L1337)</f>
        <v/>
      </c>
      <c r="M1338">
        <f>IF(G1338=1,0.2*R1338/E1338,M1337)</f>
        <v/>
      </c>
      <c r="N1338">
        <f>IF(G1338=1,0.2*R1338/F1338,N1337)</f>
        <v/>
      </c>
      <c r="O1338">
        <f>IF(G1338=1,R1338*(1-1.0),IF(H1337=0,1,O1337*(1+0.00023125256064071564)))</f>
        <v/>
      </c>
      <c r="P1338">
        <f>IF(G1338=1,IF(H1337=0,1,ABS(0.2-J1337*B1338/I1338)+ABS(0.2-K1337*C1338/I1338)+ABS(0.2-L1337*D1338/I1338)+ABS(0.2-M1337*E1338/I1338)+ABS(0.2-N1337*F1338/I1338)),0)</f>
        <v/>
      </c>
      <c r="Q1338">
        <f>P1338*0.0015</f>
        <v/>
      </c>
      <c r="R1338">
        <f>I1338*(1-Q1338)</f>
        <v/>
      </c>
      <c r="S1338">
        <f>R1338/R1337-1</f>
        <v/>
      </c>
      <c r="T1338">
        <f>MAX(T1337,R1338)</f>
        <v/>
      </c>
      <c r="U1338">
        <f>R1338/T1338-1</f>
        <v/>
      </c>
      <c r="V1338" t="n">
        <v>3.396352829237114</v>
      </c>
      <c r="W1338" s="5">
        <f>R1338-V1338</f>
        <v/>
      </c>
    </row>
    <row r="1339">
      <c r="A1339" s="3" t="n">
        <v>40410</v>
      </c>
      <c r="B1339">
        <f>Prices!B1339</f>
        <v/>
      </c>
      <c r="C1339">
        <f>Prices!C1339</f>
        <v/>
      </c>
      <c r="D1339">
        <f>Prices!D1339</f>
        <v/>
      </c>
      <c r="E1339">
        <f>Prices!E1339</f>
        <v/>
      </c>
      <c r="F1339">
        <f>Prices!F1339</f>
        <v/>
      </c>
      <c r="G1339">
        <f>IF(AND(1337&gt;=16,TEXT(A1339,"yyyy-mm")&lt;&gt;TEXT(A1340,"yyyy-mm")),1,0)</f>
        <v/>
      </c>
      <c r="H1339">
        <f>IF(OR(H1338=1,G1339=1),1,0)</f>
        <v/>
      </c>
      <c r="I1339">
        <f>IF(H1338=0,1,SUMPRODUCT(J1338:N1338,B1339:F1339)+O1338*(1+0.00023125256064071564))</f>
        <v/>
      </c>
      <c r="J1339">
        <f>IF(G1339=1,0.2*R1339/B1339,J1338)</f>
        <v/>
      </c>
      <c r="K1339">
        <f>IF(G1339=1,0.2*R1339/C1339,K1338)</f>
        <v/>
      </c>
      <c r="L1339">
        <f>IF(G1339=1,0.2*R1339/D1339,L1338)</f>
        <v/>
      </c>
      <c r="M1339">
        <f>IF(G1339=1,0.2*R1339/E1339,M1338)</f>
        <v/>
      </c>
      <c r="N1339">
        <f>IF(G1339=1,0.2*R1339/F1339,N1338)</f>
        <v/>
      </c>
      <c r="O1339">
        <f>IF(G1339=1,R1339*(1-1.0),IF(H1338=0,1,O1338*(1+0.00023125256064071564)))</f>
        <v/>
      </c>
      <c r="P1339">
        <f>IF(G1339=1,IF(H1338=0,1,ABS(0.2-J1338*B1339/I1339)+ABS(0.2-K1338*C1339/I1339)+ABS(0.2-L1338*D1339/I1339)+ABS(0.2-M1338*E1339/I1339)+ABS(0.2-N1338*F1339/I1339)),0)</f>
        <v/>
      </c>
      <c r="Q1339">
        <f>P1339*0.0015</f>
        <v/>
      </c>
      <c r="R1339">
        <f>I1339*(1-Q1339)</f>
        <v/>
      </c>
      <c r="S1339">
        <f>R1339/R1338-1</f>
        <v/>
      </c>
      <c r="T1339">
        <f>MAX(T1338,R1339)</f>
        <v/>
      </c>
      <c r="U1339">
        <f>R1339/T1339-1</f>
        <v/>
      </c>
      <c r="V1339" t="n">
        <v>3.391869693753782</v>
      </c>
      <c r="W1339" s="5">
        <f>R1339-V1339</f>
        <v/>
      </c>
    </row>
    <row r="1340">
      <c r="A1340" s="3" t="n">
        <v>40413</v>
      </c>
      <c r="B1340">
        <f>Prices!B1340</f>
        <v/>
      </c>
      <c r="C1340">
        <f>Prices!C1340</f>
        <v/>
      </c>
      <c r="D1340">
        <f>Prices!D1340</f>
        <v/>
      </c>
      <c r="E1340">
        <f>Prices!E1340</f>
        <v/>
      </c>
      <c r="F1340">
        <f>Prices!F1340</f>
        <v/>
      </c>
      <c r="G1340">
        <f>IF(AND(1338&gt;=16,TEXT(A1340,"yyyy-mm")&lt;&gt;TEXT(A1341,"yyyy-mm")),1,0)</f>
        <v/>
      </c>
      <c r="H1340">
        <f>IF(OR(H1339=1,G1340=1),1,0)</f>
        <v/>
      </c>
      <c r="I1340">
        <f>IF(H1339=0,1,SUMPRODUCT(J1339:N1339,B1340:F1340)+O1339*(1+0.00023125256064071564))</f>
        <v/>
      </c>
      <c r="J1340">
        <f>IF(G1340=1,0.2*R1340/B1340,J1339)</f>
        <v/>
      </c>
      <c r="K1340">
        <f>IF(G1340=1,0.2*R1340/C1340,K1339)</f>
        <v/>
      </c>
      <c r="L1340">
        <f>IF(G1340=1,0.2*R1340/D1340,L1339)</f>
        <v/>
      </c>
      <c r="M1340">
        <f>IF(G1340=1,0.2*R1340/E1340,M1339)</f>
        <v/>
      </c>
      <c r="N1340">
        <f>IF(G1340=1,0.2*R1340/F1340,N1339)</f>
        <v/>
      </c>
      <c r="O1340">
        <f>IF(G1340=1,R1340*(1-1.0),IF(H1339=0,1,O1339*(1+0.00023125256064071564)))</f>
        <v/>
      </c>
      <c r="P1340">
        <f>IF(G1340=1,IF(H1339=0,1,ABS(0.2-J1339*B1340/I1340)+ABS(0.2-K1339*C1340/I1340)+ABS(0.2-L1339*D1340/I1340)+ABS(0.2-M1339*E1340/I1340)+ABS(0.2-N1339*F1340/I1340)),0)</f>
        <v/>
      </c>
      <c r="Q1340">
        <f>P1340*0.0015</f>
        <v/>
      </c>
      <c r="R1340">
        <f>I1340*(1-Q1340)</f>
        <v/>
      </c>
      <c r="S1340">
        <f>R1340/R1339-1</f>
        <v/>
      </c>
      <c r="T1340">
        <f>MAX(T1339,R1340)</f>
        <v/>
      </c>
      <c r="U1340">
        <f>R1340/T1340-1</f>
        <v/>
      </c>
      <c r="V1340" t="n">
        <v>3.419090459100096</v>
      </c>
      <c r="W1340" s="5">
        <f>R1340-V1340</f>
        <v/>
      </c>
    </row>
    <row r="1341">
      <c r="A1341" s="3" t="n">
        <v>40414</v>
      </c>
      <c r="B1341">
        <f>Prices!B1341</f>
        <v/>
      </c>
      <c r="C1341">
        <f>Prices!C1341</f>
        <v/>
      </c>
      <c r="D1341">
        <f>Prices!D1341</f>
        <v/>
      </c>
      <c r="E1341">
        <f>Prices!E1341</f>
        <v/>
      </c>
      <c r="F1341">
        <f>Prices!F1341</f>
        <v/>
      </c>
      <c r="G1341">
        <f>IF(AND(1339&gt;=16,TEXT(A1341,"yyyy-mm")&lt;&gt;TEXT(A1342,"yyyy-mm")),1,0)</f>
        <v/>
      </c>
      <c r="H1341">
        <f>IF(OR(H1340=1,G1341=1),1,0)</f>
        <v/>
      </c>
      <c r="I1341">
        <f>IF(H1340=0,1,SUMPRODUCT(J1340:N1340,B1341:F1341)+O1340*(1+0.00023125256064071564))</f>
        <v/>
      </c>
      <c r="J1341">
        <f>IF(G1341=1,0.2*R1341/B1341,J1340)</f>
        <v/>
      </c>
      <c r="K1341">
        <f>IF(G1341=1,0.2*R1341/C1341,K1340)</f>
        <v/>
      </c>
      <c r="L1341">
        <f>IF(G1341=1,0.2*R1341/D1341,L1340)</f>
        <v/>
      </c>
      <c r="M1341">
        <f>IF(G1341=1,0.2*R1341/E1341,M1340)</f>
        <v/>
      </c>
      <c r="N1341">
        <f>IF(G1341=1,0.2*R1341/F1341,N1340)</f>
        <v/>
      </c>
      <c r="O1341">
        <f>IF(G1341=1,R1341*(1-1.0),IF(H1340=0,1,O1340*(1+0.00023125256064071564)))</f>
        <v/>
      </c>
      <c r="P1341">
        <f>IF(G1341=1,IF(H1340=0,1,ABS(0.2-J1340*B1341/I1341)+ABS(0.2-K1340*C1341/I1341)+ABS(0.2-L1340*D1341/I1341)+ABS(0.2-M1340*E1341/I1341)+ABS(0.2-N1340*F1341/I1341)),0)</f>
        <v/>
      </c>
      <c r="Q1341">
        <f>P1341*0.0015</f>
        <v/>
      </c>
      <c r="R1341">
        <f>I1341*(1-Q1341)</f>
        <v/>
      </c>
      <c r="S1341">
        <f>R1341/R1340-1</f>
        <v/>
      </c>
      <c r="T1341">
        <f>MAX(T1340,R1341)</f>
        <v/>
      </c>
      <c r="U1341">
        <f>R1341/T1341-1</f>
        <v/>
      </c>
      <c r="V1341" t="n">
        <v>3.4019519663373</v>
      </c>
      <c r="W1341" s="5">
        <f>R1341-V1341</f>
        <v/>
      </c>
    </row>
    <row r="1342">
      <c r="A1342" s="3" t="n">
        <v>40415</v>
      </c>
      <c r="B1342">
        <f>Prices!B1342</f>
        <v/>
      </c>
      <c r="C1342">
        <f>Prices!C1342</f>
        <v/>
      </c>
      <c r="D1342">
        <f>Prices!D1342</f>
        <v/>
      </c>
      <c r="E1342">
        <f>Prices!E1342</f>
        <v/>
      </c>
      <c r="F1342">
        <f>Prices!F1342</f>
        <v/>
      </c>
      <c r="G1342">
        <f>IF(AND(1340&gt;=16,TEXT(A1342,"yyyy-mm")&lt;&gt;TEXT(A1343,"yyyy-mm")),1,0)</f>
        <v/>
      </c>
      <c r="H1342">
        <f>IF(OR(H1341=1,G1342=1),1,0)</f>
        <v/>
      </c>
      <c r="I1342">
        <f>IF(H1341=0,1,SUMPRODUCT(J1341:N1341,B1342:F1342)+O1341*(1+0.00023125256064071564))</f>
        <v/>
      </c>
      <c r="J1342">
        <f>IF(G1342=1,0.2*R1342/B1342,J1341)</f>
        <v/>
      </c>
      <c r="K1342">
        <f>IF(G1342=1,0.2*R1342/C1342,K1341)</f>
        <v/>
      </c>
      <c r="L1342">
        <f>IF(G1342=1,0.2*R1342/D1342,L1341)</f>
        <v/>
      </c>
      <c r="M1342">
        <f>IF(G1342=1,0.2*R1342/E1342,M1341)</f>
        <v/>
      </c>
      <c r="N1342">
        <f>IF(G1342=1,0.2*R1342/F1342,N1341)</f>
        <v/>
      </c>
      <c r="O1342">
        <f>IF(G1342=1,R1342*(1-1.0),IF(H1341=0,1,O1341*(1+0.00023125256064071564)))</f>
        <v/>
      </c>
      <c r="P1342">
        <f>IF(G1342=1,IF(H1341=0,1,ABS(0.2-J1341*B1342/I1342)+ABS(0.2-K1341*C1342/I1342)+ABS(0.2-L1341*D1342/I1342)+ABS(0.2-M1341*E1342/I1342)+ABS(0.2-N1341*F1342/I1342)),0)</f>
        <v/>
      </c>
      <c r="Q1342">
        <f>P1342*0.0015</f>
        <v/>
      </c>
      <c r="R1342">
        <f>I1342*(1-Q1342)</f>
        <v/>
      </c>
      <c r="S1342">
        <f>R1342/R1341-1</f>
        <v/>
      </c>
      <c r="T1342">
        <f>MAX(T1341,R1342)</f>
        <v/>
      </c>
      <c r="U1342">
        <f>R1342/T1342-1</f>
        <v/>
      </c>
      <c r="V1342" t="n">
        <v>3.364671891643838</v>
      </c>
      <c r="W1342" s="5">
        <f>R1342-V1342</f>
        <v/>
      </c>
    </row>
    <row r="1343">
      <c r="A1343" s="3" t="n">
        <v>40416</v>
      </c>
      <c r="B1343">
        <f>Prices!B1343</f>
        <v/>
      </c>
      <c r="C1343">
        <f>Prices!C1343</f>
        <v/>
      </c>
      <c r="D1343">
        <f>Prices!D1343</f>
        <v/>
      </c>
      <c r="E1343">
        <f>Prices!E1343</f>
        <v/>
      </c>
      <c r="F1343">
        <f>Prices!F1343</f>
        <v/>
      </c>
      <c r="G1343">
        <f>IF(AND(1341&gt;=16,TEXT(A1343,"yyyy-mm")&lt;&gt;TEXT(A1344,"yyyy-mm")),1,0)</f>
        <v/>
      </c>
      <c r="H1343">
        <f>IF(OR(H1342=1,G1343=1),1,0)</f>
        <v/>
      </c>
      <c r="I1343">
        <f>IF(H1342=0,1,SUMPRODUCT(J1342:N1342,B1343:F1343)+O1342*(1+0.00023125256064071564))</f>
        <v/>
      </c>
      <c r="J1343">
        <f>IF(G1343=1,0.2*R1343/B1343,J1342)</f>
        <v/>
      </c>
      <c r="K1343">
        <f>IF(G1343=1,0.2*R1343/C1343,K1342)</f>
        <v/>
      </c>
      <c r="L1343">
        <f>IF(G1343=1,0.2*R1343/D1343,L1342)</f>
        <v/>
      </c>
      <c r="M1343">
        <f>IF(G1343=1,0.2*R1343/E1343,M1342)</f>
        <v/>
      </c>
      <c r="N1343">
        <f>IF(G1343=1,0.2*R1343/F1343,N1342)</f>
        <v/>
      </c>
      <c r="O1343">
        <f>IF(G1343=1,R1343*(1-1.0),IF(H1342=0,1,O1342*(1+0.00023125256064071564)))</f>
        <v/>
      </c>
      <c r="P1343">
        <f>IF(G1343=1,IF(H1342=0,1,ABS(0.2-J1342*B1343/I1343)+ABS(0.2-K1342*C1343/I1343)+ABS(0.2-L1342*D1343/I1343)+ABS(0.2-M1342*E1343/I1343)+ABS(0.2-N1342*F1343/I1343)),0)</f>
        <v/>
      </c>
      <c r="Q1343">
        <f>P1343*0.0015</f>
        <v/>
      </c>
      <c r="R1343">
        <f>I1343*(1-Q1343)</f>
        <v/>
      </c>
      <c r="S1343">
        <f>R1343/R1342-1</f>
        <v/>
      </c>
      <c r="T1343">
        <f>MAX(T1342,R1343)</f>
        <v/>
      </c>
      <c r="U1343">
        <f>R1343/T1343-1</f>
        <v/>
      </c>
      <c r="V1343" t="n">
        <v>3.375700075598437</v>
      </c>
      <c r="W1343" s="5">
        <f>R1343-V1343</f>
        <v/>
      </c>
    </row>
    <row r="1344">
      <c r="A1344" s="3" t="n">
        <v>40417</v>
      </c>
      <c r="B1344">
        <f>Prices!B1344</f>
        <v/>
      </c>
      <c r="C1344">
        <f>Prices!C1344</f>
        <v/>
      </c>
      <c r="D1344">
        <f>Prices!D1344</f>
        <v/>
      </c>
      <c r="E1344">
        <f>Prices!E1344</f>
        <v/>
      </c>
      <c r="F1344">
        <f>Prices!F1344</f>
        <v/>
      </c>
      <c r="G1344">
        <f>IF(AND(1342&gt;=16,TEXT(A1344,"yyyy-mm")&lt;&gt;TEXT(A1345,"yyyy-mm")),1,0)</f>
        <v/>
      </c>
      <c r="H1344">
        <f>IF(OR(H1343=1,G1344=1),1,0)</f>
        <v/>
      </c>
      <c r="I1344">
        <f>IF(H1343=0,1,SUMPRODUCT(J1343:N1343,B1344:F1344)+O1343*(1+0.00023125256064071564))</f>
        <v/>
      </c>
      <c r="J1344">
        <f>IF(G1344=1,0.2*R1344/B1344,J1343)</f>
        <v/>
      </c>
      <c r="K1344">
        <f>IF(G1344=1,0.2*R1344/C1344,K1343)</f>
        <v/>
      </c>
      <c r="L1344">
        <f>IF(G1344=1,0.2*R1344/D1344,L1343)</f>
        <v/>
      </c>
      <c r="M1344">
        <f>IF(G1344=1,0.2*R1344/E1344,M1343)</f>
        <v/>
      </c>
      <c r="N1344">
        <f>IF(G1344=1,0.2*R1344/F1344,N1343)</f>
        <v/>
      </c>
      <c r="O1344">
        <f>IF(G1344=1,R1344*(1-1.0),IF(H1343=0,1,O1343*(1+0.00023125256064071564)))</f>
        <v/>
      </c>
      <c r="P1344">
        <f>IF(G1344=1,IF(H1343=0,1,ABS(0.2-J1343*B1344/I1344)+ABS(0.2-K1343*C1344/I1344)+ABS(0.2-L1343*D1344/I1344)+ABS(0.2-M1343*E1344/I1344)+ABS(0.2-N1343*F1344/I1344)),0)</f>
        <v/>
      </c>
      <c r="Q1344">
        <f>P1344*0.0015</f>
        <v/>
      </c>
      <c r="R1344">
        <f>I1344*(1-Q1344)</f>
        <v/>
      </c>
      <c r="S1344">
        <f>R1344/R1343-1</f>
        <v/>
      </c>
      <c r="T1344">
        <f>MAX(T1343,R1344)</f>
        <v/>
      </c>
      <c r="U1344">
        <f>R1344/T1344-1</f>
        <v/>
      </c>
      <c r="V1344" t="n">
        <v>3.347658008051893</v>
      </c>
      <c r="W1344" s="5">
        <f>R1344-V1344</f>
        <v/>
      </c>
    </row>
    <row r="1345">
      <c r="A1345" s="3" t="n">
        <v>40420</v>
      </c>
      <c r="B1345">
        <f>Prices!B1345</f>
        <v/>
      </c>
      <c r="C1345">
        <f>Prices!C1345</f>
        <v/>
      </c>
      <c r="D1345">
        <f>Prices!D1345</f>
        <v/>
      </c>
      <c r="E1345">
        <f>Prices!E1345</f>
        <v/>
      </c>
      <c r="F1345">
        <f>Prices!F1345</f>
        <v/>
      </c>
      <c r="G1345">
        <f>IF(AND(1343&gt;=16,TEXT(A1345,"yyyy-mm")&lt;&gt;TEXT(A1346,"yyyy-mm")),1,0)</f>
        <v/>
      </c>
      <c r="H1345">
        <f>IF(OR(H1344=1,G1345=1),1,0)</f>
        <v/>
      </c>
      <c r="I1345">
        <f>IF(H1344=0,1,SUMPRODUCT(J1344:N1344,B1345:F1345)+O1344*(1+0.00023125256064071564))</f>
        <v/>
      </c>
      <c r="J1345">
        <f>IF(G1345=1,0.2*R1345/B1345,J1344)</f>
        <v/>
      </c>
      <c r="K1345">
        <f>IF(G1345=1,0.2*R1345/C1345,K1344)</f>
        <v/>
      </c>
      <c r="L1345">
        <f>IF(G1345=1,0.2*R1345/D1345,L1344)</f>
        <v/>
      </c>
      <c r="M1345">
        <f>IF(G1345=1,0.2*R1345/E1345,M1344)</f>
        <v/>
      </c>
      <c r="N1345">
        <f>IF(G1345=1,0.2*R1345/F1345,N1344)</f>
        <v/>
      </c>
      <c r="O1345">
        <f>IF(G1345=1,R1345*(1-1.0),IF(H1344=0,1,O1344*(1+0.00023125256064071564)))</f>
        <v/>
      </c>
      <c r="P1345">
        <f>IF(G1345=1,IF(H1344=0,1,ABS(0.2-J1344*B1345/I1345)+ABS(0.2-K1344*C1345/I1345)+ABS(0.2-L1344*D1345/I1345)+ABS(0.2-M1344*E1345/I1345)+ABS(0.2-N1344*F1345/I1345)),0)</f>
        <v/>
      </c>
      <c r="Q1345">
        <f>P1345*0.0015</f>
        <v/>
      </c>
      <c r="R1345">
        <f>I1345*(1-Q1345)</f>
        <v/>
      </c>
      <c r="S1345">
        <f>R1345/R1344-1</f>
        <v/>
      </c>
      <c r="T1345">
        <f>MAX(T1344,R1345)</f>
        <v/>
      </c>
      <c r="U1345">
        <f>R1345/T1345-1</f>
        <v/>
      </c>
      <c r="V1345" t="n">
        <v>3.342800517950867</v>
      </c>
      <c r="W1345" s="5">
        <f>R1345-V1345</f>
        <v/>
      </c>
    </row>
    <row r="1346">
      <c r="A1346" s="3" t="n">
        <v>40421</v>
      </c>
      <c r="B1346">
        <f>Prices!B1346</f>
        <v/>
      </c>
      <c r="C1346">
        <f>Prices!C1346</f>
        <v/>
      </c>
      <c r="D1346">
        <f>Prices!D1346</f>
        <v/>
      </c>
      <c r="E1346">
        <f>Prices!E1346</f>
        <v/>
      </c>
      <c r="F1346">
        <f>Prices!F1346</f>
        <v/>
      </c>
      <c r="G1346">
        <f>IF(AND(1344&gt;=16,TEXT(A1346,"yyyy-mm")&lt;&gt;TEXT(A1347,"yyyy-mm")),1,0)</f>
        <v/>
      </c>
      <c r="H1346">
        <f>IF(OR(H1345=1,G1346=1),1,0)</f>
        <v/>
      </c>
      <c r="I1346">
        <f>IF(H1345=0,1,SUMPRODUCT(J1345:N1345,B1346:F1346)+O1345*(1+0.00023125256064071564))</f>
        <v/>
      </c>
      <c r="J1346">
        <f>IF(G1346=1,0.2*R1346/B1346,J1345)</f>
        <v/>
      </c>
      <c r="K1346">
        <f>IF(G1346=1,0.2*R1346/C1346,K1345)</f>
        <v/>
      </c>
      <c r="L1346">
        <f>IF(G1346=1,0.2*R1346/D1346,L1345)</f>
        <v/>
      </c>
      <c r="M1346">
        <f>IF(G1346=1,0.2*R1346/E1346,M1345)</f>
        <v/>
      </c>
      <c r="N1346">
        <f>IF(G1346=1,0.2*R1346/F1346,N1345)</f>
        <v/>
      </c>
      <c r="O1346">
        <f>IF(G1346=1,R1346*(1-1.0),IF(H1345=0,1,O1345*(1+0.00023125256064071564)))</f>
        <v/>
      </c>
      <c r="P1346">
        <f>IF(G1346=1,IF(H1345=0,1,ABS(0.2-J1345*B1346/I1346)+ABS(0.2-K1345*C1346/I1346)+ABS(0.2-L1345*D1346/I1346)+ABS(0.2-M1345*E1346/I1346)+ABS(0.2-N1345*F1346/I1346)),0)</f>
        <v/>
      </c>
      <c r="Q1346">
        <f>P1346*0.0015</f>
        <v/>
      </c>
      <c r="R1346">
        <f>I1346*(1-Q1346)</f>
        <v/>
      </c>
      <c r="S1346">
        <f>R1346/R1345-1</f>
        <v/>
      </c>
      <c r="T1346">
        <f>MAX(T1345,R1346)</f>
        <v/>
      </c>
      <c r="U1346">
        <f>R1346/T1346-1</f>
        <v/>
      </c>
      <c r="V1346" t="n">
        <v>3.329427894727765</v>
      </c>
      <c r="W1346" s="5">
        <f>R1346-V1346</f>
        <v/>
      </c>
    </row>
    <row r="1347">
      <c r="A1347" s="3" t="n">
        <v>40422</v>
      </c>
      <c r="B1347">
        <f>Prices!B1347</f>
        <v/>
      </c>
      <c r="C1347">
        <f>Prices!C1347</f>
        <v/>
      </c>
      <c r="D1347">
        <f>Prices!D1347</f>
        <v/>
      </c>
      <c r="E1347">
        <f>Prices!E1347</f>
        <v/>
      </c>
      <c r="F1347">
        <f>Prices!F1347</f>
        <v/>
      </c>
      <c r="G1347">
        <f>IF(AND(1345&gt;=16,TEXT(A1347,"yyyy-mm")&lt;&gt;TEXT(A1348,"yyyy-mm")),1,0)</f>
        <v/>
      </c>
      <c r="H1347">
        <f>IF(OR(H1346=1,G1347=1),1,0)</f>
        <v/>
      </c>
      <c r="I1347">
        <f>IF(H1346=0,1,SUMPRODUCT(J1346:N1346,B1347:F1347)+O1346*(1+0.00023125256064071564))</f>
        <v/>
      </c>
      <c r="J1347">
        <f>IF(G1347=1,0.2*R1347/B1347,J1346)</f>
        <v/>
      </c>
      <c r="K1347">
        <f>IF(G1347=1,0.2*R1347/C1347,K1346)</f>
        <v/>
      </c>
      <c r="L1347">
        <f>IF(G1347=1,0.2*R1347/D1347,L1346)</f>
        <v/>
      </c>
      <c r="M1347">
        <f>IF(G1347=1,0.2*R1347/E1347,M1346)</f>
        <v/>
      </c>
      <c r="N1347">
        <f>IF(G1347=1,0.2*R1347/F1347,N1346)</f>
        <v/>
      </c>
      <c r="O1347">
        <f>IF(G1347=1,R1347*(1-1.0),IF(H1346=0,1,O1346*(1+0.00023125256064071564)))</f>
        <v/>
      </c>
      <c r="P1347">
        <f>IF(G1347=1,IF(H1346=0,1,ABS(0.2-J1346*B1347/I1347)+ABS(0.2-K1346*C1347/I1347)+ABS(0.2-L1346*D1347/I1347)+ABS(0.2-M1346*E1347/I1347)+ABS(0.2-N1346*F1347/I1347)),0)</f>
        <v/>
      </c>
      <c r="Q1347">
        <f>P1347*0.0015</f>
        <v/>
      </c>
      <c r="R1347">
        <f>I1347*(1-Q1347)</f>
        <v/>
      </c>
      <c r="S1347">
        <f>R1347/R1346-1</f>
        <v/>
      </c>
      <c r="T1347">
        <f>MAX(T1346,R1347)</f>
        <v/>
      </c>
      <c r="U1347">
        <f>R1347/T1347-1</f>
        <v/>
      </c>
      <c r="V1347" t="n">
        <v>3.371152401513574</v>
      </c>
      <c r="W1347" s="5">
        <f>R1347-V1347</f>
        <v/>
      </c>
    </row>
    <row r="1348">
      <c r="A1348" s="3" t="n">
        <v>40423</v>
      </c>
      <c r="B1348">
        <f>Prices!B1348</f>
        <v/>
      </c>
      <c r="C1348">
        <f>Prices!C1348</f>
        <v/>
      </c>
      <c r="D1348">
        <f>Prices!D1348</f>
        <v/>
      </c>
      <c r="E1348">
        <f>Prices!E1348</f>
        <v/>
      </c>
      <c r="F1348">
        <f>Prices!F1348</f>
        <v/>
      </c>
      <c r="G1348">
        <f>IF(AND(1346&gt;=16,TEXT(A1348,"yyyy-mm")&lt;&gt;TEXT(A1349,"yyyy-mm")),1,0)</f>
        <v/>
      </c>
      <c r="H1348">
        <f>IF(OR(H1347=1,G1348=1),1,0)</f>
        <v/>
      </c>
      <c r="I1348">
        <f>IF(H1347=0,1,SUMPRODUCT(J1347:N1347,B1348:F1348)+O1347*(1+0.00023125256064071564))</f>
        <v/>
      </c>
      <c r="J1348">
        <f>IF(G1348=1,0.2*R1348/B1348,J1347)</f>
        <v/>
      </c>
      <c r="K1348">
        <f>IF(G1348=1,0.2*R1348/C1348,K1347)</f>
        <v/>
      </c>
      <c r="L1348">
        <f>IF(G1348=1,0.2*R1348/D1348,L1347)</f>
        <v/>
      </c>
      <c r="M1348">
        <f>IF(G1348=1,0.2*R1348/E1348,M1347)</f>
        <v/>
      </c>
      <c r="N1348">
        <f>IF(G1348=1,0.2*R1348/F1348,N1347)</f>
        <v/>
      </c>
      <c r="O1348">
        <f>IF(G1348=1,R1348*(1-1.0),IF(H1347=0,1,O1347*(1+0.00023125256064071564)))</f>
        <v/>
      </c>
      <c r="P1348">
        <f>IF(G1348=1,IF(H1347=0,1,ABS(0.2-J1347*B1348/I1348)+ABS(0.2-K1347*C1348/I1348)+ABS(0.2-L1347*D1348/I1348)+ABS(0.2-M1347*E1348/I1348)+ABS(0.2-N1347*F1348/I1348)),0)</f>
        <v/>
      </c>
      <c r="Q1348">
        <f>P1348*0.0015</f>
        <v/>
      </c>
      <c r="R1348">
        <f>I1348*(1-Q1348)</f>
        <v/>
      </c>
      <c r="S1348">
        <f>R1348/R1347-1</f>
        <v/>
      </c>
      <c r="T1348">
        <f>MAX(T1347,R1348)</f>
        <v/>
      </c>
      <c r="U1348">
        <f>R1348/T1348-1</f>
        <v/>
      </c>
      <c r="V1348" t="n">
        <v>3.394356255454767</v>
      </c>
      <c r="W1348" s="5">
        <f>R1348-V1348</f>
        <v/>
      </c>
    </row>
    <row r="1349">
      <c r="A1349" s="3" t="n">
        <v>40424</v>
      </c>
      <c r="B1349">
        <f>Prices!B1349</f>
        <v/>
      </c>
      <c r="C1349">
        <f>Prices!C1349</f>
        <v/>
      </c>
      <c r="D1349">
        <f>Prices!D1349</f>
        <v/>
      </c>
      <c r="E1349">
        <f>Prices!E1349</f>
        <v/>
      </c>
      <c r="F1349">
        <f>Prices!F1349</f>
        <v/>
      </c>
      <c r="G1349">
        <f>IF(AND(1347&gt;=16,TEXT(A1349,"yyyy-mm")&lt;&gt;TEXT(A1350,"yyyy-mm")),1,0)</f>
        <v/>
      </c>
      <c r="H1349">
        <f>IF(OR(H1348=1,G1349=1),1,0)</f>
        <v/>
      </c>
      <c r="I1349">
        <f>IF(H1348=0,1,SUMPRODUCT(J1348:N1348,B1349:F1349)+O1348*(1+0.00023125256064071564))</f>
        <v/>
      </c>
      <c r="J1349">
        <f>IF(G1349=1,0.2*R1349/B1349,J1348)</f>
        <v/>
      </c>
      <c r="K1349">
        <f>IF(G1349=1,0.2*R1349/C1349,K1348)</f>
        <v/>
      </c>
      <c r="L1349">
        <f>IF(G1349=1,0.2*R1349/D1349,L1348)</f>
        <v/>
      </c>
      <c r="M1349">
        <f>IF(G1349=1,0.2*R1349/E1349,M1348)</f>
        <v/>
      </c>
      <c r="N1349">
        <f>IF(G1349=1,0.2*R1349/F1349,N1348)</f>
        <v/>
      </c>
      <c r="O1349">
        <f>IF(G1349=1,R1349*(1-1.0),IF(H1348=0,1,O1348*(1+0.00023125256064071564)))</f>
        <v/>
      </c>
      <c r="P1349">
        <f>IF(G1349=1,IF(H1348=0,1,ABS(0.2-J1348*B1349/I1349)+ABS(0.2-K1348*C1349/I1349)+ABS(0.2-L1348*D1349/I1349)+ABS(0.2-M1348*E1349/I1349)+ABS(0.2-N1348*F1349/I1349)),0)</f>
        <v/>
      </c>
      <c r="Q1349">
        <f>P1349*0.0015</f>
        <v/>
      </c>
      <c r="R1349">
        <f>I1349*(1-Q1349)</f>
        <v/>
      </c>
      <c r="S1349">
        <f>R1349/R1348-1</f>
        <v/>
      </c>
      <c r="T1349">
        <f>MAX(T1348,R1349)</f>
        <v/>
      </c>
      <c r="U1349">
        <f>R1349/T1349-1</f>
        <v/>
      </c>
      <c r="V1349" t="n">
        <v>3.414961595975573</v>
      </c>
      <c r="W1349" s="5">
        <f>R1349-V1349</f>
        <v/>
      </c>
    </row>
    <row r="1350">
      <c r="A1350" s="3" t="n">
        <v>40427</v>
      </c>
      <c r="B1350">
        <f>Prices!B1350</f>
        <v/>
      </c>
      <c r="C1350">
        <f>Prices!C1350</f>
        <v/>
      </c>
      <c r="D1350">
        <f>Prices!D1350</f>
        <v/>
      </c>
      <c r="E1350">
        <f>Prices!E1350</f>
        <v/>
      </c>
      <c r="F1350">
        <f>Prices!F1350</f>
        <v/>
      </c>
      <c r="G1350">
        <f>IF(AND(1348&gt;=16,TEXT(A1350,"yyyy-mm")&lt;&gt;TEXT(A1351,"yyyy-mm")),1,0)</f>
        <v/>
      </c>
      <c r="H1350">
        <f>IF(OR(H1349=1,G1350=1),1,0)</f>
        <v/>
      </c>
      <c r="I1350">
        <f>IF(H1349=0,1,SUMPRODUCT(J1349:N1349,B1350:F1350)+O1349*(1+0.00023125256064071564))</f>
        <v/>
      </c>
      <c r="J1350">
        <f>IF(G1350=1,0.2*R1350/B1350,J1349)</f>
        <v/>
      </c>
      <c r="K1350">
        <f>IF(G1350=1,0.2*R1350/C1350,K1349)</f>
        <v/>
      </c>
      <c r="L1350">
        <f>IF(G1350=1,0.2*R1350/D1350,L1349)</f>
        <v/>
      </c>
      <c r="M1350">
        <f>IF(G1350=1,0.2*R1350/E1350,M1349)</f>
        <v/>
      </c>
      <c r="N1350">
        <f>IF(G1350=1,0.2*R1350/F1350,N1349)</f>
        <v/>
      </c>
      <c r="O1350">
        <f>IF(G1350=1,R1350*(1-1.0),IF(H1349=0,1,O1349*(1+0.00023125256064071564)))</f>
        <v/>
      </c>
      <c r="P1350">
        <f>IF(G1350=1,IF(H1349=0,1,ABS(0.2-J1349*B1350/I1350)+ABS(0.2-K1349*C1350/I1350)+ABS(0.2-L1349*D1350/I1350)+ABS(0.2-M1349*E1350/I1350)+ABS(0.2-N1349*F1350/I1350)),0)</f>
        <v/>
      </c>
      <c r="Q1350">
        <f>P1350*0.0015</f>
        <v/>
      </c>
      <c r="R1350">
        <f>I1350*(1-Q1350)</f>
        <v/>
      </c>
      <c r="S1350">
        <f>R1350/R1349-1</f>
        <v/>
      </c>
      <c r="T1350">
        <f>MAX(T1349,R1350)</f>
        <v/>
      </c>
      <c r="U1350">
        <f>R1350/T1350-1</f>
        <v/>
      </c>
      <c r="V1350" t="n">
        <v>3.464338653385267</v>
      </c>
      <c r="W1350" s="5">
        <f>R1350-V1350</f>
        <v/>
      </c>
    </row>
    <row r="1351">
      <c r="A1351" s="3" t="n">
        <v>40428</v>
      </c>
      <c r="B1351">
        <f>Prices!B1351</f>
        <v/>
      </c>
      <c r="C1351">
        <f>Prices!C1351</f>
        <v/>
      </c>
      <c r="D1351">
        <f>Prices!D1351</f>
        <v/>
      </c>
      <c r="E1351">
        <f>Prices!E1351</f>
        <v/>
      </c>
      <c r="F1351">
        <f>Prices!F1351</f>
        <v/>
      </c>
      <c r="G1351">
        <f>IF(AND(1349&gt;=16,TEXT(A1351,"yyyy-mm")&lt;&gt;TEXT(A1352,"yyyy-mm")),1,0)</f>
        <v/>
      </c>
      <c r="H1351">
        <f>IF(OR(H1350=1,G1351=1),1,0)</f>
        <v/>
      </c>
      <c r="I1351">
        <f>IF(H1350=0,1,SUMPRODUCT(J1350:N1350,B1351:F1351)+O1350*(1+0.00023125256064071564))</f>
        <v/>
      </c>
      <c r="J1351">
        <f>IF(G1351=1,0.2*R1351/B1351,J1350)</f>
        <v/>
      </c>
      <c r="K1351">
        <f>IF(G1351=1,0.2*R1351/C1351,K1350)</f>
        <v/>
      </c>
      <c r="L1351">
        <f>IF(G1351=1,0.2*R1351/D1351,L1350)</f>
        <v/>
      </c>
      <c r="M1351">
        <f>IF(G1351=1,0.2*R1351/E1351,M1350)</f>
        <v/>
      </c>
      <c r="N1351">
        <f>IF(G1351=1,0.2*R1351/F1351,N1350)</f>
        <v/>
      </c>
      <c r="O1351">
        <f>IF(G1351=1,R1351*(1-1.0),IF(H1350=0,1,O1350*(1+0.00023125256064071564)))</f>
        <v/>
      </c>
      <c r="P1351">
        <f>IF(G1351=1,IF(H1350=0,1,ABS(0.2-J1350*B1351/I1351)+ABS(0.2-K1350*C1351/I1351)+ABS(0.2-L1350*D1351/I1351)+ABS(0.2-M1350*E1351/I1351)+ABS(0.2-N1350*F1351/I1351)),0)</f>
        <v/>
      </c>
      <c r="Q1351">
        <f>P1351*0.0015</f>
        <v/>
      </c>
      <c r="R1351">
        <f>I1351*(1-Q1351)</f>
        <v/>
      </c>
      <c r="S1351">
        <f>R1351/R1350-1</f>
        <v/>
      </c>
      <c r="T1351">
        <f>MAX(T1350,R1351)</f>
        <v/>
      </c>
      <c r="U1351">
        <f>R1351/T1351-1</f>
        <v/>
      </c>
      <c r="V1351" t="n">
        <v>3.470658841956673</v>
      </c>
      <c r="W1351" s="5">
        <f>R1351-V1351</f>
        <v/>
      </c>
    </row>
    <row r="1352">
      <c r="A1352" s="3" t="n">
        <v>40429</v>
      </c>
      <c r="B1352">
        <f>Prices!B1352</f>
        <v/>
      </c>
      <c r="C1352">
        <f>Prices!C1352</f>
        <v/>
      </c>
      <c r="D1352">
        <f>Prices!D1352</f>
        <v/>
      </c>
      <c r="E1352">
        <f>Prices!E1352</f>
        <v/>
      </c>
      <c r="F1352">
        <f>Prices!F1352</f>
        <v/>
      </c>
      <c r="G1352">
        <f>IF(AND(1350&gt;=16,TEXT(A1352,"yyyy-mm")&lt;&gt;TEXT(A1353,"yyyy-mm")),1,0)</f>
        <v/>
      </c>
      <c r="H1352">
        <f>IF(OR(H1351=1,G1352=1),1,0)</f>
        <v/>
      </c>
      <c r="I1352">
        <f>IF(H1351=0,1,SUMPRODUCT(J1351:N1351,B1352:F1352)+O1351*(1+0.00023125256064071564))</f>
        <v/>
      </c>
      <c r="J1352">
        <f>IF(G1352=1,0.2*R1352/B1352,J1351)</f>
        <v/>
      </c>
      <c r="K1352">
        <f>IF(G1352=1,0.2*R1352/C1352,K1351)</f>
        <v/>
      </c>
      <c r="L1352">
        <f>IF(G1352=1,0.2*R1352/D1352,L1351)</f>
        <v/>
      </c>
      <c r="M1352">
        <f>IF(G1352=1,0.2*R1352/E1352,M1351)</f>
        <v/>
      </c>
      <c r="N1352">
        <f>IF(G1352=1,0.2*R1352/F1352,N1351)</f>
        <v/>
      </c>
      <c r="O1352">
        <f>IF(G1352=1,R1352*(1-1.0),IF(H1351=0,1,O1351*(1+0.00023125256064071564)))</f>
        <v/>
      </c>
      <c r="P1352">
        <f>IF(G1352=1,IF(H1351=0,1,ABS(0.2-J1351*B1352/I1352)+ABS(0.2-K1351*C1352/I1352)+ABS(0.2-L1351*D1352/I1352)+ABS(0.2-M1351*E1352/I1352)+ABS(0.2-N1351*F1352/I1352)),0)</f>
        <v/>
      </c>
      <c r="Q1352">
        <f>P1352*0.0015</f>
        <v/>
      </c>
      <c r="R1352">
        <f>I1352*(1-Q1352)</f>
        <v/>
      </c>
      <c r="S1352">
        <f>R1352/R1351-1</f>
        <v/>
      </c>
      <c r="T1352">
        <f>MAX(T1351,R1352)</f>
        <v/>
      </c>
      <c r="U1352">
        <f>R1352/T1352-1</f>
        <v/>
      </c>
      <c r="V1352" t="n">
        <v>3.478195695210944</v>
      </c>
      <c r="W1352" s="5">
        <f>R1352-V1352</f>
        <v/>
      </c>
    </row>
    <row r="1353">
      <c r="A1353" s="3" t="n">
        <v>40430</v>
      </c>
      <c r="B1353">
        <f>Prices!B1353</f>
        <v/>
      </c>
      <c r="C1353">
        <f>Prices!C1353</f>
        <v/>
      </c>
      <c r="D1353">
        <f>Prices!D1353</f>
        <v/>
      </c>
      <c r="E1353">
        <f>Prices!E1353</f>
        <v/>
      </c>
      <c r="F1353">
        <f>Prices!F1353</f>
        <v/>
      </c>
      <c r="G1353">
        <f>IF(AND(1351&gt;=16,TEXT(A1353,"yyyy-mm")&lt;&gt;TEXT(A1354,"yyyy-mm")),1,0)</f>
        <v/>
      </c>
      <c r="H1353">
        <f>IF(OR(H1352=1,G1353=1),1,0)</f>
        <v/>
      </c>
      <c r="I1353">
        <f>IF(H1352=0,1,SUMPRODUCT(J1352:N1352,B1353:F1353)+O1352*(1+0.00023125256064071564))</f>
        <v/>
      </c>
      <c r="J1353">
        <f>IF(G1353=1,0.2*R1353/B1353,J1352)</f>
        <v/>
      </c>
      <c r="K1353">
        <f>IF(G1353=1,0.2*R1353/C1353,K1352)</f>
        <v/>
      </c>
      <c r="L1353">
        <f>IF(G1353=1,0.2*R1353/D1353,L1352)</f>
        <v/>
      </c>
      <c r="M1353">
        <f>IF(G1353=1,0.2*R1353/E1353,M1352)</f>
        <v/>
      </c>
      <c r="N1353">
        <f>IF(G1353=1,0.2*R1353/F1353,N1352)</f>
        <v/>
      </c>
      <c r="O1353">
        <f>IF(G1353=1,R1353*(1-1.0),IF(H1352=0,1,O1352*(1+0.00023125256064071564)))</f>
        <v/>
      </c>
      <c r="P1353">
        <f>IF(G1353=1,IF(H1352=0,1,ABS(0.2-J1352*B1353/I1353)+ABS(0.2-K1352*C1353/I1353)+ABS(0.2-L1352*D1353/I1353)+ABS(0.2-M1352*E1353/I1353)+ABS(0.2-N1352*F1353/I1353)),0)</f>
        <v/>
      </c>
      <c r="Q1353">
        <f>P1353*0.0015</f>
        <v/>
      </c>
      <c r="R1353">
        <f>I1353*(1-Q1353)</f>
        <v/>
      </c>
      <c r="S1353">
        <f>R1353/R1352-1</f>
        <v/>
      </c>
      <c r="T1353">
        <f>MAX(T1352,R1353)</f>
        <v/>
      </c>
      <c r="U1353">
        <f>R1353/T1353-1</f>
        <v/>
      </c>
      <c r="V1353" t="n">
        <v>3.483933342712249</v>
      </c>
      <c r="W1353" s="5">
        <f>R1353-V1353</f>
        <v/>
      </c>
    </row>
    <row r="1354">
      <c r="A1354" s="3" t="n">
        <v>40434</v>
      </c>
      <c r="B1354">
        <f>Prices!B1354</f>
        <v/>
      </c>
      <c r="C1354">
        <f>Prices!C1354</f>
        <v/>
      </c>
      <c r="D1354">
        <f>Prices!D1354</f>
        <v/>
      </c>
      <c r="E1354">
        <f>Prices!E1354</f>
        <v/>
      </c>
      <c r="F1354">
        <f>Prices!F1354</f>
        <v/>
      </c>
      <c r="G1354">
        <f>IF(AND(1352&gt;=16,TEXT(A1354,"yyyy-mm")&lt;&gt;TEXT(A1355,"yyyy-mm")),1,0)</f>
        <v/>
      </c>
      <c r="H1354">
        <f>IF(OR(H1353=1,G1354=1),1,0)</f>
        <v/>
      </c>
      <c r="I1354">
        <f>IF(H1353=0,1,SUMPRODUCT(J1353:N1353,B1354:F1354)+O1353*(1+0.00023125256064071564))</f>
        <v/>
      </c>
      <c r="J1354">
        <f>IF(G1354=1,0.2*R1354/B1354,J1353)</f>
        <v/>
      </c>
      <c r="K1354">
        <f>IF(G1354=1,0.2*R1354/C1354,K1353)</f>
        <v/>
      </c>
      <c r="L1354">
        <f>IF(G1354=1,0.2*R1354/D1354,L1353)</f>
        <v/>
      </c>
      <c r="M1354">
        <f>IF(G1354=1,0.2*R1354/E1354,M1353)</f>
        <v/>
      </c>
      <c r="N1354">
        <f>IF(G1354=1,0.2*R1354/F1354,N1353)</f>
        <v/>
      </c>
      <c r="O1354">
        <f>IF(G1354=1,R1354*(1-1.0),IF(H1353=0,1,O1353*(1+0.00023125256064071564)))</f>
        <v/>
      </c>
      <c r="P1354">
        <f>IF(G1354=1,IF(H1353=0,1,ABS(0.2-J1353*B1354/I1354)+ABS(0.2-K1353*C1354/I1354)+ABS(0.2-L1353*D1354/I1354)+ABS(0.2-M1353*E1354/I1354)+ABS(0.2-N1353*F1354/I1354)),0)</f>
        <v/>
      </c>
      <c r="Q1354">
        <f>P1354*0.0015</f>
        <v/>
      </c>
      <c r="R1354">
        <f>I1354*(1-Q1354)</f>
        <v/>
      </c>
      <c r="S1354">
        <f>R1354/R1353-1</f>
        <v/>
      </c>
      <c r="T1354">
        <f>MAX(T1353,R1354)</f>
        <v/>
      </c>
      <c r="U1354">
        <f>R1354/T1354-1</f>
        <v/>
      </c>
      <c r="V1354" t="n">
        <v>3.512031216173539</v>
      </c>
      <c r="W1354" s="5">
        <f>R1354-V1354</f>
        <v/>
      </c>
    </row>
    <row r="1355">
      <c r="A1355" s="3" t="n">
        <v>40435</v>
      </c>
      <c r="B1355">
        <f>Prices!B1355</f>
        <v/>
      </c>
      <c r="C1355">
        <f>Prices!C1355</f>
        <v/>
      </c>
      <c r="D1355">
        <f>Prices!D1355</f>
        <v/>
      </c>
      <c r="E1355">
        <f>Prices!E1355</f>
        <v/>
      </c>
      <c r="F1355">
        <f>Prices!F1355</f>
        <v/>
      </c>
      <c r="G1355">
        <f>IF(AND(1353&gt;=16,TEXT(A1355,"yyyy-mm")&lt;&gt;TEXT(A1356,"yyyy-mm")),1,0)</f>
        <v/>
      </c>
      <c r="H1355">
        <f>IF(OR(H1354=1,G1355=1),1,0)</f>
        <v/>
      </c>
      <c r="I1355">
        <f>IF(H1354=0,1,SUMPRODUCT(J1354:N1354,B1355:F1355)+O1354*(1+0.00023125256064071564))</f>
        <v/>
      </c>
      <c r="J1355">
        <f>IF(G1355=1,0.2*R1355/B1355,J1354)</f>
        <v/>
      </c>
      <c r="K1355">
        <f>IF(G1355=1,0.2*R1355/C1355,K1354)</f>
        <v/>
      </c>
      <c r="L1355">
        <f>IF(G1355=1,0.2*R1355/D1355,L1354)</f>
        <v/>
      </c>
      <c r="M1355">
        <f>IF(G1355=1,0.2*R1355/E1355,M1354)</f>
        <v/>
      </c>
      <c r="N1355">
        <f>IF(G1355=1,0.2*R1355/F1355,N1354)</f>
        <v/>
      </c>
      <c r="O1355">
        <f>IF(G1355=1,R1355*(1-1.0),IF(H1354=0,1,O1354*(1+0.00023125256064071564)))</f>
        <v/>
      </c>
      <c r="P1355">
        <f>IF(G1355=1,IF(H1354=0,1,ABS(0.2-J1354*B1355/I1355)+ABS(0.2-K1354*C1355/I1355)+ABS(0.2-L1354*D1355/I1355)+ABS(0.2-M1354*E1355/I1355)+ABS(0.2-N1354*F1355/I1355)),0)</f>
        <v/>
      </c>
      <c r="Q1355">
        <f>P1355*0.0015</f>
        <v/>
      </c>
      <c r="R1355">
        <f>I1355*(1-Q1355)</f>
        <v/>
      </c>
      <c r="S1355">
        <f>R1355/R1354-1</f>
        <v/>
      </c>
      <c r="T1355">
        <f>MAX(T1354,R1355)</f>
        <v/>
      </c>
      <c r="U1355">
        <f>R1355/T1355-1</f>
        <v/>
      </c>
      <c r="V1355" t="n">
        <v>3.508865807492946</v>
      </c>
      <c r="W1355" s="5">
        <f>R1355-V1355</f>
        <v/>
      </c>
    </row>
    <row r="1356">
      <c r="A1356" s="3" t="n">
        <v>40436</v>
      </c>
      <c r="B1356">
        <f>Prices!B1356</f>
        <v/>
      </c>
      <c r="C1356">
        <f>Prices!C1356</f>
        <v/>
      </c>
      <c r="D1356">
        <f>Prices!D1356</f>
        <v/>
      </c>
      <c r="E1356">
        <f>Prices!E1356</f>
        <v/>
      </c>
      <c r="F1356">
        <f>Prices!F1356</f>
        <v/>
      </c>
      <c r="G1356">
        <f>IF(AND(1354&gt;=16,TEXT(A1356,"yyyy-mm")&lt;&gt;TEXT(A1357,"yyyy-mm")),1,0)</f>
        <v/>
      </c>
      <c r="H1356">
        <f>IF(OR(H1355=1,G1356=1),1,0)</f>
        <v/>
      </c>
      <c r="I1356">
        <f>IF(H1355=0,1,SUMPRODUCT(J1355:N1355,B1356:F1356)+O1355*(1+0.00023125256064071564))</f>
        <v/>
      </c>
      <c r="J1356">
        <f>IF(G1356=1,0.2*R1356/B1356,J1355)</f>
        <v/>
      </c>
      <c r="K1356">
        <f>IF(G1356=1,0.2*R1356/C1356,K1355)</f>
        <v/>
      </c>
      <c r="L1356">
        <f>IF(G1356=1,0.2*R1356/D1356,L1355)</f>
        <v/>
      </c>
      <c r="M1356">
        <f>IF(G1356=1,0.2*R1356/E1356,M1355)</f>
        <v/>
      </c>
      <c r="N1356">
        <f>IF(G1356=1,0.2*R1356/F1356,N1355)</f>
        <v/>
      </c>
      <c r="O1356">
        <f>IF(G1356=1,R1356*(1-1.0),IF(H1355=0,1,O1355*(1+0.00023125256064071564)))</f>
        <v/>
      </c>
      <c r="P1356">
        <f>IF(G1356=1,IF(H1355=0,1,ABS(0.2-J1355*B1356/I1356)+ABS(0.2-K1355*C1356/I1356)+ABS(0.2-L1355*D1356/I1356)+ABS(0.2-M1355*E1356/I1356)+ABS(0.2-N1355*F1356/I1356)),0)</f>
        <v/>
      </c>
      <c r="Q1356">
        <f>P1356*0.0015</f>
        <v/>
      </c>
      <c r="R1356">
        <f>I1356*(1-Q1356)</f>
        <v/>
      </c>
      <c r="S1356">
        <f>R1356/R1355-1</f>
        <v/>
      </c>
      <c r="T1356">
        <f>MAX(T1355,R1356)</f>
        <v/>
      </c>
      <c r="U1356">
        <f>R1356/T1356-1</f>
        <v/>
      </c>
      <c r="V1356" t="n">
        <v>3.527426377403239</v>
      </c>
      <c r="W1356" s="5">
        <f>R1356-V1356</f>
        <v/>
      </c>
    </row>
    <row r="1357">
      <c r="A1357" s="3" t="n">
        <v>40437</v>
      </c>
      <c r="B1357">
        <f>Prices!B1357</f>
        <v/>
      </c>
      <c r="C1357">
        <f>Prices!C1357</f>
        <v/>
      </c>
      <c r="D1357">
        <f>Prices!D1357</f>
        <v/>
      </c>
      <c r="E1357">
        <f>Prices!E1357</f>
        <v/>
      </c>
      <c r="F1357">
        <f>Prices!F1357</f>
        <v/>
      </c>
      <c r="G1357">
        <f>IF(AND(1355&gt;=16,TEXT(A1357,"yyyy-mm")&lt;&gt;TEXT(A1358,"yyyy-mm")),1,0)</f>
        <v/>
      </c>
      <c r="H1357">
        <f>IF(OR(H1356=1,G1357=1),1,0)</f>
        <v/>
      </c>
      <c r="I1357">
        <f>IF(H1356=0,1,SUMPRODUCT(J1356:N1356,B1357:F1357)+O1356*(1+0.00023125256064071564))</f>
        <v/>
      </c>
      <c r="J1357">
        <f>IF(G1357=1,0.2*R1357/B1357,J1356)</f>
        <v/>
      </c>
      <c r="K1357">
        <f>IF(G1357=1,0.2*R1357/C1357,K1356)</f>
        <v/>
      </c>
      <c r="L1357">
        <f>IF(G1357=1,0.2*R1357/D1357,L1356)</f>
        <v/>
      </c>
      <c r="M1357">
        <f>IF(G1357=1,0.2*R1357/E1357,M1356)</f>
        <v/>
      </c>
      <c r="N1357">
        <f>IF(G1357=1,0.2*R1357/F1357,N1356)</f>
        <v/>
      </c>
      <c r="O1357">
        <f>IF(G1357=1,R1357*(1-1.0),IF(H1356=0,1,O1356*(1+0.00023125256064071564)))</f>
        <v/>
      </c>
      <c r="P1357">
        <f>IF(G1357=1,IF(H1356=0,1,ABS(0.2-J1356*B1357/I1357)+ABS(0.2-K1356*C1357/I1357)+ABS(0.2-L1356*D1357/I1357)+ABS(0.2-M1356*E1357/I1357)+ABS(0.2-N1356*F1357/I1357)),0)</f>
        <v/>
      </c>
      <c r="Q1357">
        <f>P1357*0.0015</f>
        <v/>
      </c>
      <c r="R1357">
        <f>I1357*(1-Q1357)</f>
        <v/>
      </c>
      <c r="S1357">
        <f>R1357/R1356-1</f>
        <v/>
      </c>
      <c r="T1357">
        <f>MAX(T1356,R1357)</f>
        <v/>
      </c>
      <c r="U1357">
        <f>R1357/T1357-1</f>
        <v/>
      </c>
      <c r="V1357" t="n">
        <v>3.500658239904628</v>
      </c>
      <c r="W1357" s="5">
        <f>R1357-V1357</f>
        <v/>
      </c>
    </row>
    <row r="1358">
      <c r="A1358" s="3" t="n">
        <v>40438</v>
      </c>
      <c r="B1358">
        <f>Prices!B1358</f>
        <v/>
      </c>
      <c r="C1358">
        <f>Prices!C1358</f>
        <v/>
      </c>
      <c r="D1358">
        <f>Prices!D1358</f>
        <v/>
      </c>
      <c r="E1358">
        <f>Prices!E1358</f>
        <v/>
      </c>
      <c r="F1358">
        <f>Prices!F1358</f>
        <v/>
      </c>
      <c r="G1358">
        <f>IF(AND(1356&gt;=16,TEXT(A1358,"yyyy-mm")&lt;&gt;TEXT(A1359,"yyyy-mm")),1,0)</f>
        <v/>
      </c>
      <c r="H1358">
        <f>IF(OR(H1357=1,G1358=1),1,0)</f>
        <v/>
      </c>
      <c r="I1358">
        <f>IF(H1357=0,1,SUMPRODUCT(J1357:N1357,B1358:F1358)+O1357*(1+0.00023125256064071564))</f>
        <v/>
      </c>
      <c r="J1358">
        <f>IF(G1358=1,0.2*R1358/B1358,J1357)</f>
        <v/>
      </c>
      <c r="K1358">
        <f>IF(G1358=1,0.2*R1358/C1358,K1357)</f>
        <v/>
      </c>
      <c r="L1358">
        <f>IF(G1358=1,0.2*R1358/D1358,L1357)</f>
        <v/>
      </c>
      <c r="M1358">
        <f>IF(G1358=1,0.2*R1358/E1358,M1357)</f>
        <v/>
      </c>
      <c r="N1358">
        <f>IF(G1358=1,0.2*R1358/F1358,N1357)</f>
        <v/>
      </c>
      <c r="O1358">
        <f>IF(G1358=1,R1358*(1-1.0),IF(H1357=0,1,O1357*(1+0.00023125256064071564)))</f>
        <v/>
      </c>
      <c r="P1358">
        <f>IF(G1358=1,IF(H1357=0,1,ABS(0.2-J1357*B1358/I1358)+ABS(0.2-K1357*C1358/I1358)+ABS(0.2-L1357*D1358/I1358)+ABS(0.2-M1357*E1358/I1358)+ABS(0.2-N1357*F1358/I1358)),0)</f>
        <v/>
      </c>
      <c r="Q1358">
        <f>P1358*0.0015</f>
        <v/>
      </c>
      <c r="R1358">
        <f>I1358*(1-Q1358)</f>
        <v/>
      </c>
      <c r="S1358">
        <f>R1358/R1357-1</f>
        <v/>
      </c>
      <c r="T1358">
        <f>MAX(T1357,R1358)</f>
        <v/>
      </c>
      <c r="U1358">
        <f>R1358/T1358-1</f>
        <v/>
      </c>
      <c r="V1358" t="n">
        <v>3.546925798961321</v>
      </c>
      <c r="W1358" s="5">
        <f>R1358-V1358</f>
        <v/>
      </c>
    </row>
    <row r="1359">
      <c r="A1359" s="3" t="n">
        <v>40441</v>
      </c>
      <c r="B1359">
        <f>Prices!B1359</f>
        <v/>
      </c>
      <c r="C1359">
        <f>Prices!C1359</f>
        <v/>
      </c>
      <c r="D1359">
        <f>Prices!D1359</f>
        <v/>
      </c>
      <c r="E1359">
        <f>Prices!E1359</f>
        <v/>
      </c>
      <c r="F1359">
        <f>Prices!F1359</f>
        <v/>
      </c>
      <c r="G1359">
        <f>IF(AND(1357&gt;=16,TEXT(A1359,"yyyy-mm")&lt;&gt;TEXT(A1360,"yyyy-mm")),1,0)</f>
        <v/>
      </c>
      <c r="H1359">
        <f>IF(OR(H1358=1,G1359=1),1,0)</f>
        <v/>
      </c>
      <c r="I1359">
        <f>IF(H1358=0,1,SUMPRODUCT(J1358:N1358,B1359:F1359)+O1358*(1+0.00023125256064071564))</f>
        <v/>
      </c>
      <c r="J1359">
        <f>IF(G1359=1,0.2*R1359/B1359,J1358)</f>
        <v/>
      </c>
      <c r="K1359">
        <f>IF(G1359=1,0.2*R1359/C1359,K1358)</f>
        <v/>
      </c>
      <c r="L1359">
        <f>IF(G1359=1,0.2*R1359/D1359,L1358)</f>
        <v/>
      </c>
      <c r="M1359">
        <f>IF(G1359=1,0.2*R1359/E1359,M1358)</f>
        <v/>
      </c>
      <c r="N1359">
        <f>IF(G1359=1,0.2*R1359/F1359,N1358)</f>
        <v/>
      </c>
      <c r="O1359">
        <f>IF(G1359=1,R1359*(1-1.0),IF(H1358=0,1,O1358*(1+0.00023125256064071564)))</f>
        <v/>
      </c>
      <c r="P1359">
        <f>IF(G1359=1,IF(H1358=0,1,ABS(0.2-J1358*B1359/I1359)+ABS(0.2-K1358*C1359/I1359)+ABS(0.2-L1358*D1359/I1359)+ABS(0.2-M1358*E1359/I1359)+ABS(0.2-N1358*F1359/I1359)),0)</f>
        <v/>
      </c>
      <c r="Q1359">
        <f>P1359*0.0015</f>
        <v/>
      </c>
      <c r="R1359">
        <f>I1359*(1-Q1359)</f>
        <v/>
      </c>
      <c r="S1359">
        <f>R1359/R1358-1</f>
        <v/>
      </c>
      <c r="T1359">
        <f>MAX(T1358,R1359)</f>
        <v/>
      </c>
      <c r="U1359">
        <f>R1359/T1359-1</f>
        <v/>
      </c>
      <c r="V1359" t="n">
        <v>3.578909796592038</v>
      </c>
      <c r="W1359" s="5">
        <f>R1359-V1359</f>
        <v/>
      </c>
    </row>
    <row r="1360">
      <c r="A1360" s="3" t="n">
        <v>40442</v>
      </c>
      <c r="B1360">
        <f>Prices!B1360</f>
        <v/>
      </c>
      <c r="C1360">
        <f>Prices!C1360</f>
        <v/>
      </c>
      <c r="D1360">
        <f>Prices!D1360</f>
        <v/>
      </c>
      <c r="E1360">
        <f>Prices!E1360</f>
        <v/>
      </c>
      <c r="F1360">
        <f>Prices!F1360</f>
        <v/>
      </c>
      <c r="G1360">
        <f>IF(AND(1358&gt;=16,TEXT(A1360,"yyyy-mm")&lt;&gt;TEXT(A1361,"yyyy-mm")),1,0)</f>
        <v/>
      </c>
      <c r="H1360">
        <f>IF(OR(H1359=1,G1360=1),1,0)</f>
        <v/>
      </c>
      <c r="I1360">
        <f>IF(H1359=0,1,SUMPRODUCT(J1359:N1359,B1360:F1360)+O1359*(1+0.00023125256064071564))</f>
        <v/>
      </c>
      <c r="J1360">
        <f>IF(G1360=1,0.2*R1360/B1360,J1359)</f>
        <v/>
      </c>
      <c r="K1360">
        <f>IF(G1360=1,0.2*R1360/C1360,K1359)</f>
        <v/>
      </c>
      <c r="L1360">
        <f>IF(G1360=1,0.2*R1360/D1360,L1359)</f>
        <v/>
      </c>
      <c r="M1360">
        <f>IF(G1360=1,0.2*R1360/E1360,M1359)</f>
        <v/>
      </c>
      <c r="N1360">
        <f>IF(G1360=1,0.2*R1360/F1360,N1359)</f>
        <v/>
      </c>
      <c r="O1360">
        <f>IF(G1360=1,R1360*(1-1.0),IF(H1359=0,1,O1359*(1+0.00023125256064071564)))</f>
        <v/>
      </c>
      <c r="P1360">
        <f>IF(G1360=1,IF(H1359=0,1,ABS(0.2-J1359*B1360/I1360)+ABS(0.2-K1359*C1360/I1360)+ABS(0.2-L1359*D1360/I1360)+ABS(0.2-M1359*E1360/I1360)+ABS(0.2-N1359*F1360/I1360)),0)</f>
        <v/>
      </c>
      <c r="Q1360">
        <f>P1360*0.0015</f>
        <v/>
      </c>
      <c r="R1360">
        <f>I1360*(1-Q1360)</f>
        <v/>
      </c>
      <c r="S1360">
        <f>R1360/R1359-1</f>
        <v/>
      </c>
      <c r="T1360">
        <f>MAX(T1359,R1360)</f>
        <v/>
      </c>
      <c r="U1360">
        <f>R1360/T1360-1</f>
        <v/>
      </c>
      <c r="V1360" t="n">
        <v>3.563860421223284</v>
      </c>
      <c r="W1360" s="5">
        <f>R1360-V1360</f>
        <v/>
      </c>
    </row>
    <row r="1361">
      <c r="A1361" s="3" t="n">
        <v>40443</v>
      </c>
      <c r="B1361">
        <f>Prices!B1361</f>
        <v/>
      </c>
      <c r="C1361">
        <f>Prices!C1361</f>
        <v/>
      </c>
      <c r="D1361">
        <f>Prices!D1361</f>
        <v/>
      </c>
      <c r="E1361">
        <f>Prices!E1361</f>
        <v/>
      </c>
      <c r="F1361">
        <f>Prices!F1361</f>
        <v/>
      </c>
      <c r="G1361">
        <f>IF(AND(1359&gt;=16,TEXT(A1361,"yyyy-mm")&lt;&gt;TEXT(A1362,"yyyy-mm")),1,0)</f>
        <v/>
      </c>
      <c r="H1361">
        <f>IF(OR(H1360=1,G1361=1),1,0)</f>
        <v/>
      </c>
      <c r="I1361">
        <f>IF(H1360=0,1,SUMPRODUCT(J1360:N1360,B1361:F1361)+O1360*(1+0.00023125256064071564))</f>
        <v/>
      </c>
      <c r="J1361">
        <f>IF(G1361=1,0.2*R1361/B1361,J1360)</f>
        <v/>
      </c>
      <c r="K1361">
        <f>IF(G1361=1,0.2*R1361/C1361,K1360)</f>
        <v/>
      </c>
      <c r="L1361">
        <f>IF(G1361=1,0.2*R1361/D1361,L1360)</f>
        <v/>
      </c>
      <c r="M1361">
        <f>IF(G1361=1,0.2*R1361/E1361,M1360)</f>
        <v/>
      </c>
      <c r="N1361">
        <f>IF(G1361=1,0.2*R1361/F1361,N1360)</f>
        <v/>
      </c>
      <c r="O1361">
        <f>IF(G1361=1,R1361*(1-1.0),IF(H1360=0,1,O1360*(1+0.00023125256064071564)))</f>
        <v/>
      </c>
      <c r="P1361">
        <f>IF(G1361=1,IF(H1360=0,1,ABS(0.2-J1360*B1361/I1361)+ABS(0.2-K1360*C1361/I1361)+ABS(0.2-L1360*D1361/I1361)+ABS(0.2-M1360*E1361/I1361)+ABS(0.2-N1360*F1361/I1361)),0)</f>
        <v/>
      </c>
      <c r="Q1361">
        <f>P1361*0.0015</f>
        <v/>
      </c>
      <c r="R1361">
        <f>I1361*(1-Q1361)</f>
        <v/>
      </c>
      <c r="S1361">
        <f>R1361/R1360-1</f>
        <v/>
      </c>
      <c r="T1361">
        <f>MAX(T1360,R1361)</f>
        <v/>
      </c>
      <c r="U1361">
        <f>R1361/T1361-1</f>
        <v/>
      </c>
      <c r="V1361" t="n">
        <v>3.549365527976481</v>
      </c>
      <c r="W1361" s="5">
        <f>R1361-V1361</f>
        <v/>
      </c>
    </row>
    <row r="1362">
      <c r="A1362" s="3" t="n">
        <v>40444</v>
      </c>
      <c r="B1362">
        <f>Prices!B1362</f>
        <v/>
      </c>
      <c r="C1362">
        <f>Prices!C1362</f>
        <v/>
      </c>
      <c r="D1362">
        <f>Prices!D1362</f>
        <v/>
      </c>
      <c r="E1362">
        <f>Prices!E1362</f>
        <v/>
      </c>
      <c r="F1362">
        <f>Prices!F1362</f>
        <v/>
      </c>
      <c r="G1362">
        <f>IF(AND(1360&gt;=16,TEXT(A1362,"yyyy-mm")&lt;&gt;TEXT(A1363,"yyyy-mm")),1,0)</f>
        <v/>
      </c>
      <c r="H1362">
        <f>IF(OR(H1361=1,G1362=1),1,0)</f>
        <v/>
      </c>
      <c r="I1362">
        <f>IF(H1361=0,1,SUMPRODUCT(J1361:N1361,B1362:F1362)+O1361*(1+0.00023125256064071564))</f>
        <v/>
      </c>
      <c r="J1362">
        <f>IF(G1362=1,0.2*R1362/B1362,J1361)</f>
        <v/>
      </c>
      <c r="K1362">
        <f>IF(G1362=1,0.2*R1362/C1362,K1361)</f>
        <v/>
      </c>
      <c r="L1362">
        <f>IF(G1362=1,0.2*R1362/D1362,L1361)</f>
        <v/>
      </c>
      <c r="M1362">
        <f>IF(G1362=1,0.2*R1362/E1362,M1361)</f>
        <v/>
      </c>
      <c r="N1362">
        <f>IF(G1362=1,0.2*R1362/F1362,N1361)</f>
        <v/>
      </c>
      <c r="O1362">
        <f>IF(G1362=1,R1362*(1-1.0),IF(H1361=0,1,O1361*(1+0.00023125256064071564)))</f>
        <v/>
      </c>
      <c r="P1362">
        <f>IF(G1362=1,IF(H1361=0,1,ABS(0.2-J1361*B1362/I1362)+ABS(0.2-K1361*C1362/I1362)+ABS(0.2-L1361*D1362/I1362)+ABS(0.2-M1361*E1362/I1362)+ABS(0.2-N1361*F1362/I1362)),0)</f>
        <v/>
      </c>
      <c r="Q1362">
        <f>P1362*0.0015</f>
        <v/>
      </c>
      <c r="R1362">
        <f>I1362*(1-Q1362)</f>
        <v/>
      </c>
      <c r="S1362">
        <f>R1362/R1361-1</f>
        <v/>
      </c>
      <c r="T1362">
        <f>MAX(T1361,R1362)</f>
        <v/>
      </c>
      <c r="U1362">
        <f>R1362/T1362-1</f>
        <v/>
      </c>
      <c r="V1362" t="n">
        <v>3.546133353874778</v>
      </c>
      <c r="W1362" s="5">
        <f>R1362-V1362</f>
        <v/>
      </c>
    </row>
    <row r="1363">
      <c r="A1363" s="3" t="n">
        <v>40445</v>
      </c>
      <c r="B1363">
        <f>Prices!B1363</f>
        <v/>
      </c>
      <c r="C1363">
        <f>Prices!C1363</f>
        <v/>
      </c>
      <c r="D1363">
        <f>Prices!D1363</f>
        <v/>
      </c>
      <c r="E1363">
        <f>Prices!E1363</f>
        <v/>
      </c>
      <c r="F1363">
        <f>Prices!F1363</f>
        <v/>
      </c>
      <c r="G1363">
        <f>IF(AND(1361&gt;=16,TEXT(A1363,"yyyy-mm")&lt;&gt;TEXT(A1364,"yyyy-mm")),1,0)</f>
        <v/>
      </c>
      <c r="H1363">
        <f>IF(OR(H1362=1,G1363=1),1,0)</f>
        <v/>
      </c>
      <c r="I1363">
        <f>IF(H1362=0,1,SUMPRODUCT(J1362:N1362,B1363:F1363)+O1362*(1+0.00023125256064071564))</f>
        <v/>
      </c>
      <c r="J1363">
        <f>IF(G1363=1,0.2*R1363/B1363,J1362)</f>
        <v/>
      </c>
      <c r="K1363">
        <f>IF(G1363=1,0.2*R1363/C1363,K1362)</f>
        <v/>
      </c>
      <c r="L1363">
        <f>IF(G1363=1,0.2*R1363/D1363,L1362)</f>
        <v/>
      </c>
      <c r="M1363">
        <f>IF(G1363=1,0.2*R1363/E1363,M1362)</f>
        <v/>
      </c>
      <c r="N1363">
        <f>IF(G1363=1,0.2*R1363/F1363,N1362)</f>
        <v/>
      </c>
      <c r="O1363">
        <f>IF(G1363=1,R1363*(1-1.0),IF(H1362=0,1,O1362*(1+0.00023125256064071564)))</f>
        <v/>
      </c>
      <c r="P1363">
        <f>IF(G1363=1,IF(H1362=0,1,ABS(0.2-J1362*B1363/I1363)+ABS(0.2-K1362*C1363/I1363)+ABS(0.2-L1362*D1363/I1363)+ABS(0.2-M1362*E1363/I1363)+ABS(0.2-N1362*F1363/I1363)),0)</f>
        <v/>
      </c>
      <c r="Q1363">
        <f>P1363*0.0015</f>
        <v/>
      </c>
      <c r="R1363">
        <f>I1363*(1-Q1363)</f>
        <v/>
      </c>
      <c r="S1363">
        <f>R1363/R1362-1</f>
        <v/>
      </c>
      <c r="T1363">
        <f>MAX(T1362,R1363)</f>
        <v/>
      </c>
      <c r="U1363">
        <f>R1363/T1363-1</f>
        <v/>
      </c>
      <c r="V1363" t="n">
        <v>3.584264903786247</v>
      </c>
      <c r="W1363" s="5">
        <f>R1363-V1363</f>
        <v/>
      </c>
    </row>
    <row r="1364">
      <c r="A1364" s="3" t="n">
        <v>40448</v>
      </c>
      <c r="B1364">
        <f>Prices!B1364</f>
        <v/>
      </c>
      <c r="C1364">
        <f>Prices!C1364</f>
        <v/>
      </c>
      <c r="D1364">
        <f>Prices!D1364</f>
        <v/>
      </c>
      <c r="E1364">
        <f>Prices!E1364</f>
        <v/>
      </c>
      <c r="F1364">
        <f>Prices!F1364</f>
        <v/>
      </c>
      <c r="G1364">
        <f>IF(AND(1362&gt;=16,TEXT(A1364,"yyyy-mm")&lt;&gt;TEXT(A1365,"yyyy-mm")),1,0)</f>
        <v/>
      </c>
      <c r="H1364">
        <f>IF(OR(H1363=1,G1364=1),1,0)</f>
        <v/>
      </c>
      <c r="I1364">
        <f>IF(H1363=0,1,SUMPRODUCT(J1363:N1363,B1364:F1364)+O1363*(1+0.00023125256064071564))</f>
        <v/>
      </c>
      <c r="J1364">
        <f>IF(G1364=1,0.2*R1364/B1364,J1363)</f>
        <v/>
      </c>
      <c r="K1364">
        <f>IF(G1364=1,0.2*R1364/C1364,K1363)</f>
        <v/>
      </c>
      <c r="L1364">
        <f>IF(G1364=1,0.2*R1364/D1364,L1363)</f>
        <v/>
      </c>
      <c r="M1364">
        <f>IF(G1364=1,0.2*R1364/E1364,M1363)</f>
        <v/>
      </c>
      <c r="N1364">
        <f>IF(G1364=1,0.2*R1364/F1364,N1363)</f>
        <v/>
      </c>
      <c r="O1364">
        <f>IF(G1364=1,R1364*(1-1.0),IF(H1363=0,1,O1363*(1+0.00023125256064071564)))</f>
        <v/>
      </c>
      <c r="P1364">
        <f>IF(G1364=1,IF(H1363=0,1,ABS(0.2-J1363*B1364/I1364)+ABS(0.2-K1363*C1364/I1364)+ABS(0.2-L1363*D1364/I1364)+ABS(0.2-M1363*E1364/I1364)+ABS(0.2-N1363*F1364/I1364)),0)</f>
        <v/>
      </c>
      <c r="Q1364">
        <f>P1364*0.0015</f>
        <v/>
      </c>
      <c r="R1364">
        <f>I1364*(1-Q1364)</f>
        <v/>
      </c>
      <c r="S1364">
        <f>R1364/R1363-1</f>
        <v/>
      </c>
      <c r="T1364">
        <f>MAX(T1363,R1364)</f>
        <v/>
      </c>
      <c r="U1364">
        <f>R1364/T1364-1</f>
        <v/>
      </c>
      <c r="V1364" t="n">
        <v>3.588610790183335</v>
      </c>
      <c r="W1364" s="5">
        <f>R1364-V1364</f>
        <v/>
      </c>
    </row>
    <row r="1365">
      <c r="A1365" s="3" t="n">
        <v>40449</v>
      </c>
      <c r="B1365">
        <f>Prices!B1365</f>
        <v/>
      </c>
      <c r="C1365">
        <f>Prices!C1365</f>
        <v/>
      </c>
      <c r="D1365">
        <f>Prices!D1365</f>
        <v/>
      </c>
      <c r="E1365">
        <f>Prices!E1365</f>
        <v/>
      </c>
      <c r="F1365">
        <f>Prices!F1365</f>
        <v/>
      </c>
      <c r="G1365">
        <f>IF(AND(1363&gt;=16,TEXT(A1365,"yyyy-mm")&lt;&gt;TEXT(A1366,"yyyy-mm")),1,0)</f>
        <v/>
      </c>
      <c r="H1365">
        <f>IF(OR(H1364=1,G1365=1),1,0)</f>
        <v/>
      </c>
      <c r="I1365">
        <f>IF(H1364=0,1,SUMPRODUCT(J1364:N1364,B1365:F1365)+O1364*(1+0.00023125256064071564))</f>
        <v/>
      </c>
      <c r="J1365">
        <f>IF(G1365=1,0.2*R1365/B1365,J1364)</f>
        <v/>
      </c>
      <c r="K1365">
        <f>IF(G1365=1,0.2*R1365/C1365,K1364)</f>
        <v/>
      </c>
      <c r="L1365">
        <f>IF(G1365=1,0.2*R1365/D1365,L1364)</f>
        <v/>
      </c>
      <c r="M1365">
        <f>IF(G1365=1,0.2*R1365/E1365,M1364)</f>
        <v/>
      </c>
      <c r="N1365">
        <f>IF(G1365=1,0.2*R1365/F1365,N1364)</f>
        <v/>
      </c>
      <c r="O1365">
        <f>IF(G1365=1,R1365*(1-1.0),IF(H1364=0,1,O1364*(1+0.00023125256064071564)))</f>
        <v/>
      </c>
      <c r="P1365">
        <f>IF(G1365=1,IF(H1364=0,1,ABS(0.2-J1364*B1365/I1365)+ABS(0.2-K1364*C1365/I1365)+ABS(0.2-L1364*D1365/I1365)+ABS(0.2-M1364*E1365/I1365)+ABS(0.2-N1364*F1365/I1365)),0)</f>
        <v/>
      </c>
      <c r="Q1365">
        <f>P1365*0.0015</f>
        <v/>
      </c>
      <c r="R1365">
        <f>I1365*(1-Q1365)</f>
        <v/>
      </c>
      <c r="S1365">
        <f>R1365/R1364-1</f>
        <v/>
      </c>
      <c r="T1365">
        <f>MAX(T1364,R1365)</f>
        <v/>
      </c>
      <c r="U1365">
        <f>R1365/T1365-1</f>
        <v/>
      </c>
      <c r="V1365" t="n">
        <v>3.589550124142663</v>
      </c>
      <c r="W1365" s="5">
        <f>R1365-V1365</f>
        <v/>
      </c>
    </row>
    <row r="1366">
      <c r="A1366" s="3" t="n">
        <v>40450</v>
      </c>
      <c r="B1366">
        <f>Prices!B1366</f>
        <v/>
      </c>
      <c r="C1366">
        <f>Prices!C1366</f>
        <v/>
      </c>
      <c r="D1366">
        <f>Prices!D1366</f>
        <v/>
      </c>
      <c r="E1366">
        <f>Prices!E1366</f>
        <v/>
      </c>
      <c r="F1366">
        <f>Prices!F1366</f>
        <v/>
      </c>
      <c r="G1366">
        <f>IF(AND(1364&gt;=16,TEXT(A1366,"yyyy-mm")&lt;&gt;TEXT(A1367,"yyyy-mm")),1,0)</f>
        <v/>
      </c>
      <c r="H1366">
        <f>IF(OR(H1365=1,G1366=1),1,0)</f>
        <v/>
      </c>
      <c r="I1366">
        <f>IF(H1365=0,1,SUMPRODUCT(J1365:N1365,B1366:F1366)+O1365*(1+0.00023125256064071564))</f>
        <v/>
      </c>
      <c r="J1366">
        <f>IF(G1366=1,0.2*R1366/B1366,J1365)</f>
        <v/>
      </c>
      <c r="K1366">
        <f>IF(G1366=1,0.2*R1366/C1366,K1365)</f>
        <v/>
      </c>
      <c r="L1366">
        <f>IF(G1366=1,0.2*R1366/D1366,L1365)</f>
        <v/>
      </c>
      <c r="M1366">
        <f>IF(G1366=1,0.2*R1366/E1366,M1365)</f>
        <v/>
      </c>
      <c r="N1366">
        <f>IF(G1366=1,0.2*R1366/F1366,N1365)</f>
        <v/>
      </c>
      <c r="O1366">
        <f>IF(G1366=1,R1366*(1-1.0),IF(H1365=0,1,O1365*(1+0.00023125256064071564)))</f>
        <v/>
      </c>
      <c r="P1366">
        <f>IF(G1366=1,IF(H1365=0,1,ABS(0.2-J1365*B1366/I1366)+ABS(0.2-K1365*C1366/I1366)+ABS(0.2-L1365*D1366/I1366)+ABS(0.2-M1365*E1366/I1366)+ABS(0.2-N1365*F1366/I1366)),0)</f>
        <v/>
      </c>
      <c r="Q1366">
        <f>P1366*0.0015</f>
        <v/>
      </c>
      <c r="R1366">
        <f>I1366*(1-Q1366)</f>
        <v/>
      </c>
      <c r="S1366">
        <f>R1366/R1365-1</f>
        <v/>
      </c>
      <c r="T1366">
        <f>MAX(T1365,R1366)</f>
        <v/>
      </c>
      <c r="U1366">
        <f>R1366/T1366-1</f>
        <v/>
      </c>
      <c r="V1366" t="n">
        <v>3.569884698967391</v>
      </c>
      <c r="W1366" s="5">
        <f>R1366-V1366</f>
        <v/>
      </c>
    </row>
    <row r="1367">
      <c r="A1367" s="3" t="n">
        <v>40451</v>
      </c>
      <c r="B1367">
        <f>Prices!B1367</f>
        <v/>
      </c>
      <c r="C1367">
        <f>Prices!C1367</f>
        <v/>
      </c>
      <c r="D1367">
        <f>Prices!D1367</f>
        <v/>
      </c>
      <c r="E1367">
        <f>Prices!E1367</f>
        <v/>
      </c>
      <c r="F1367">
        <f>Prices!F1367</f>
        <v/>
      </c>
      <c r="G1367">
        <f>IF(AND(1365&gt;=16,TEXT(A1367,"yyyy-mm")&lt;&gt;TEXT(A1368,"yyyy-mm")),1,0)</f>
        <v/>
      </c>
      <c r="H1367">
        <f>IF(OR(H1366=1,G1367=1),1,0)</f>
        <v/>
      </c>
      <c r="I1367">
        <f>IF(H1366=0,1,SUMPRODUCT(J1366:N1366,B1367:F1367)+O1366*(1+0.00023125256064071564))</f>
        <v/>
      </c>
      <c r="J1367">
        <f>IF(G1367=1,0.2*R1367/B1367,J1366)</f>
        <v/>
      </c>
      <c r="K1367">
        <f>IF(G1367=1,0.2*R1367/C1367,K1366)</f>
        <v/>
      </c>
      <c r="L1367">
        <f>IF(G1367=1,0.2*R1367/D1367,L1366)</f>
        <v/>
      </c>
      <c r="M1367">
        <f>IF(G1367=1,0.2*R1367/E1367,M1366)</f>
        <v/>
      </c>
      <c r="N1367">
        <f>IF(G1367=1,0.2*R1367/F1367,N1366)</f>
        <v/>
      </c>
      <c r="O1367">
        <f>IF(G1367=1,R1367*(1-1.0),IF(H1366=0,1,O1366*(1+0.00023125256064071564)))</f>
        <v/>
      </c>
      <c r="P1367">
        <f>IF(G1367=1,IF(H1366=0,1,ABS(0.2-J1366*B1367/I1367)+ABS(0.2-K1366*C1367/I1367)+ABS(0.2-L1366*D1367/I1367)+ABS(0.2-M1366*E1367/I1367)+ABS(0.2-N1366*F1367/I1367)),0)</f>
        <v/>
      </c>
      <c r="Q1367">
        <f>P1367*0.0015</f>
        <v/>
      </c>
      <c r="R1367">
        <f>I1367*(1-Q1367)</f>
        <v/>
      </c>
      <c r="S1367">
        <f>R1367/R1366-1</f>
        <v/>
      </c>
      <c r="T1367">
        <f>MAX(T1366,R1367)</f>
        <v/>
      </c>
      <c r="U1367">
        <f>R1367/T1367-1</f>
        <v/>
      </c>
      <c r="V1367" t="n">
        <v>3.566832569755805</v>
      </c>
      <c r="W1367" s="5">
        <f>R1367-V1367</f>
        <v/>
      </c>
    </row>
    <row r="1368">
      <c r="A1368" s="3" t="n">
        <v>40452</v>
      </c>
      <c r="B1368">
        <f>Prices!B1368</f>
        <v/>
      </c>
      <c r="C1368">
        <f>Prices!C1368</f>
        <v/>
      </c>
      <c r="D1368">
        <f>Prices!D1368</f>
        <v/>
      </c>
      <c r="E1368">
        <f>Prices!E1368</f>
        <v/>
      </c>
      <c r="F1368">
        <f>Prices!F1368</f>
        <v/>
      </c>
      <c r="G1368">
        <f>IF(AND(1366&gt;=16,TEXT(A1368,"yyyy-mm")&lt;&gt;TEXT(A1369,"yyyy-mm")),1,0)</f>
        <v/>
      </c>
      <c r="H1368">
        <f>IF(OR(H1367=1,G1368=1),1,0)</f>
        <v/>
      </c>
      <c r="I1368">
        <f>IF(H1367=0,1,SUMPRODUCT(J1367:N1367,B1368:F1368)+O1367*(1+0.00023125256064071564))</f>
        <v/>
      </c>
      <c r="J1368">
        <f>IF(G1368=1,0.2*R1368/B1368,J1367)</f>
        <v/>
      </c>
      <c r="K1368">
        <f>IF(G1368=1,0.2*R1368/C1368,K1367)</f>
        <v/>
      </c>
      <c r="L1368">
        <f>IF(G1368=1,0.2*R1368/D1368,L1367)</f>
        <v/>
      </c>
      <c r="M1368">
        <f>IF(G1368=1,0.2*R1368/E1368,M1367)</f>
        <v/>
      </c>
      <c r="N1368">
        <f>IF(G1368=1,0.2*R1368/F1368,N1367)</f>
        <v/>
      </c>
      <c r="O1368">
        <f>IF(G1368=1,R1368*(1-1.0),IF(H1367=0,1,O1367*(1+0.00023125256064071564)))</f>
        <v/>
      </c>
      <c r="P1368">
        <f>IF(G1368=1,IF(H1367=0,1,ABS(0.2-J1367*B1368/I1368)+ABS(0.2-K1367*C1368/I1368)+ABS(0.2-L1367*D1368/I1368)+ABS(0.2-M1367*E1368/I1368)+ABS(0.2-N1367*F1368/I1368)),0)</f>
        <v/>
      </c>
      <c r="Q1368">
        <f>P1368*0.0015</f>
        <v/>
      </c>
      <c r="R1368">
        <f>I1368*(1-Q1368)</f>
        <v/>
      </c>
      <c r="S1368">
        <f>R1368/R1367-1</f>
        <v/>
      </c>
      <c r="T1368">
        <f>MAX(T1367,R1368)</f>
        <v/>
      </c>
      <c r="U1368">
        <f>R1368/T1368-1</f>
        <v/>
      </c>
      <c r="V1368" t="n">
        <v>3.632897094140136</v>
      </c>
      <c r="W1368" s="5">
        <f>R1368-V1368</f>
        <v/>
      </c>
    </row>
    <row r="1369">
      <c r="A1369" s="3" t="n">
        <v>40455</v>
      </c>
      <c r="B1369">
        <f>Prices!B1369</f>
        <v/>
      </c>
      <c r="C1369">
        <f>Prices!C1369</f>
        <v/>
      </c>
      <c r="D1369">
        <f>Prices!D1369</f>
        <v/>
      </c>
      <c r="E1369">
        <f>Prices!E1369</f>
        <v/>
      </c>
      <c r="F1369">
        <f>Prices!F1369</f>
        <v/>
      </c>
      <c r="G1369">
        <f>IF(AND(1367&gt;=16,TEXT(A1369,"yyyy-mm")&lt;&gt;TEXT(A1370,"yyyy-mm")),1,0)</f>
        <v/>
      </c>
      <c r="H1369">
        <f>IF(OR(H1368=1,G1369=1),1,0)</f>
        <v/>
      </c>
      <c r="I1369">
        <f>IF(H1368=0,1,SUMPRODUCT(J1368:N1368,B1369:F1369)+O1368*(1+0.00023125256064071564))</f>
        <v/>
      </c>
      <c r="J1369">
        <f>IF(G1369=1,0.2*R1369/B1369,J1368)</f>
        <v/>
      </c>
      <c r="K1369">
        <f>IF(G1369=1,0.2*R1369/C1369,K1368)</f>
        <v/>
      </c>
      <c r="L1369">
        <f>IF(G1369=1,0.2*R1369/D1369,L1368)</f>
        <v/>
      </c>
      <c r="M1369">
        <f>IF(G1369=1,0.2*R1369/E1369,M1368)</f>
        <v/>
      </c>
      <c r="N1369">
        <f>IF(G1369=1,0.2*R1369/F1369,N1368)</f>
        <v/>
      </c>
      <c r="O1369">
        <f>IF(G1369=1,R1369*(1-1.0),IF(H1368=0,1,O1368*(1+0.00023125256064071564)))</f>
        <v/>
      </c>
      <c r="P1369">
        <f>IF(G1369=1,IF(H1368=0,1,ABS(0.2-J1368*B1369/I1369)+ABS(0.2-K1368*C1369/I1369)+ABS(0.2-L1368*D1369/I1369)+ABS(0.2-M1368*E1369/I1369)+ABS(0.2-N1368*F1369/I1369)),0)</f>
        <v/>
      </c>
      <c r="Q1369">
        <f>P1369*0.0015</f>
        <v/>
      </c>
      <c r="R1369">
        <f>I1369*(1-Q1369)</f>
        <v/>
      </c>
      <c r="S1369">
        <f>R1369/R1368-1</f>
        <v/>
      </c>
      <c r="T1369">
        <f>MAX(T1368,R1369)</f>
        <v/>
      </c>
      <c r="U1369">
        <f>R1369/T1369-1</f>
        <v/>
      </c>
      <c r="V1369" t="n">
        <v>3.657045446270992</v>
      </c>
      <c r="W1369" s="5">
        <f>R1369-V1369</f>
        <v/>
      </c>
    </row>
    <row r="1370">
      <c r="A1370" s="3" t="n">
        <v>40456</v>
      </c>
      <c r="B1370">
        <f>Prices!B1370</f>
        <v/>
      </c>
      <c r="C1370">
        <f>Prices!C1370</f>
        <v/>
      </c>
      <c r="D1370">
        <f>Prices!D1370</f>
        <v/>
      </c>
      <c r="E1370">
        <f>Prices!E1370</f>
        <v/>
      </c>
      <c r="F1370">
        <f>Prices!F1370</f>
        <v/>
      </c>
      <c r="G1370">
        <f>IF(AND(1368&gt;=16,TEXT(A1370,"yyyy-mm")&lt;&gt;TEXT(A1371,"yyyy-mm")),1,0)</f>
        <v/>
      </c>
      <c r="H1370">
        <f>IF(OR(H1369=1,G1370=1),1,0)</f>
        <v/>
      </c>
      <c r="I1370">
        <f>IF(H1369=0,1,SUMPRODUCT(J1369:N1369,B1370:F1370)+O1369*(1+0.00023125256064071564))</f>
        <v/>
      </c>
      <c r="J1370">
        <f>IF(G1370=1,0.2*R1370/B1370,J1369)</f>
        <v/>
      </c>
      <c r="K1370">
        <f>IF(G1370=1,0.2*R1370/C1370,K1369)</f>
        <v/>
      </c>
      <c r="L1370">
        <f>IF(G1370=1,0.2*R1370/D1370,L1369)</f>
        <v/>
      </c>
      <c r="M1370">
        <f>IF(G1370=1,0.2*R1370/E1370,M1369)</f>
        <v/>
      </c>
      <c r="N1370">
        <f>IF(G1370=1,0.2*R1370/F1370,N1369)</f>
        <v/>
      </c>
      <c r="O1370">
        <f>IF(G1370=1,R1370*(1-1.0),IF(H1369=0,1,O1369*(1+0.00023125256064071564)))</f>
        <v/>
      </c>
      <c r="P1370">
        <f>IF(G1370=1,IF(H1369=0,1,ABS(0.2-J1369*B1370/I1370)+ABS(0.2-K1369*C1370/I1370)+ABS(0.2-L1369*D1370/I1370)+ABS(0.2-M1369*E1370/I1370)+ABS(0.2-N1369*F1370/I1370)),0)</f>
        <v/>
      </c>
      <c r="Q1370">
        <f>P1370*0.0015</f>
        <v/>
      </c>
      <c r="R1370">
        <f>I1370*(1-Q1370)</f>
        <v/>
      </c>
      <c r="S1370">
        <f>R1370/R1369-1</f>
        <v/>
      </c>
      <c r="T1370">
        <f>MAX(T1369,R1370)</f>
        <v/>
      </c>
      <c r="U1370">
        <f>R1370/T1370-1</f>
        <v/>
      </c>
      <c r="V1370" t="n">
        <v>3.678969049309061</v>
      </c>
      <c r="W1370" s="5">
        <f>R1370-V1370</f>
        <v/>
      </c>
    </row>
    <row r="1371">
      <c r="A1371" s="3" t="n">
        <v>40457</v>
      </c>
      <c r="B1371">
        <f>Prices!B1371</f>
        <v/>
      </c>
      <c r="C1371">
        <f>Prices!C1371</f>
        <v/>
      </c>
      <c r="D1371">
        <f>Prices!D1371</f>
        <v/>
      </c>
      <c r="E1371">
        <f>Prices!E1371</f>
        <v/>
      </c>
      <c r="F1371">
        <f>Prices!F1371</f>
        <v/>
      </c>
      <c r="G1371">
        <f>IF(AND(1369&gt;=16,TEXT(A1371,"yyyy-mm")&lt;&gt;TEXT(A1372,"yyyy-mm")),1,0)</f>
        <v/>
      </c>
      <c r="H1371">
        <f>IF(OR(H1370=1,G1371=1),1,0)</f>
        <v/>
      </c>
      <c r="I1371">
        <f>IF(H1370=0,1,SUMPRODUCT(J1370:N1370,B1371:F1371)+O1370*(1+0.00023125256064071564))</f>
        <v/>
      </c>
      <c r="J1371">
        <f>IF(G1371=1,0.2*R1371/B1371,J1370)</f>
        <v/>
      </c>
      <c r="K1371">
        <f>IF(G1371=1,0.2*R1371/C1371,K1370)</f>
        <v/>
      </c>
      <c r="L1371">
        <f>IF(G1371=1,0.2*R1371/D1371,L1370)</f>
        <v/>
      </c>
      <c r="M1371">
        <f>IF(G1371=1,0.2*R1371/E1371,M1370)</f>
        <v/>
      </c>
      <c r="N1371">
        <f>IF(G1371=1,0.2*R1371/F1371,N1370)</f>
        <v/>
      </c>
      <c r="O1371">
        <f>IF(G1371=1,R1371*(1-1.0),IF(H1370=0,1,O1370*(1+0.00023125256064071564)))</f>
        <v/>
      </c>
      <c r="P1371">
        <f>IF(G1371=1,IF(H1370=0,1,ABS(0.2-J1370*B1371/I1371)+ABS(0.2-K1370*C1371/I1371)+ABS(0.2-L1370*D1371/I1371)+ABS(0.2-M1370*E1371/I1371)+ABS(0.2-N1370*F1371/I1371)),0)</f>
        <v/>
      </c>
      <c r="Q1371">
        <f>P1371*0.0015</f>
        <v/>
      </c>
      <c r="R1371">
        <f>I1371*(1-Q1371)</f>
        <v/>
      </c>
      <c r="S1371">
        <f>R1371/R1370-1</f>
        <v/>
      </c>
      <c r="T1371">
        <f>MAX(T1370,R1371)</f>
        <v/>
      </c>
      <c r="U1371">
        <f>R1371/T1371-1</f>
        <v/>
      </c>
      <c r="V1371" t="n">
        <v>3.714284919938752</v>
      </c>
      <c r="W1371" s="5">
        <f>R1371-V1371</f>
        <v/>
      </c>
    </row>
    <row r="1372">
      <c r="A1372" s="3" t="n">
        <v>40458</v>
      </c>
      <c r="B1372">
        <f>Prices!B1372</f>
        <v/>
      </c>
      <c r="C1372">
        <f>Prices!C1372</f>
        <v/>
      </c>
      <c r="D1372">
        <f>Prices!D1372</f>
        <v/>
      </c>
      <c r="E1372">
        <f>Prices!E1372</f>
        <v/>
      </c>
      <c r="F1372">
        <f>Prices!F1372</f>
        <v/>
      </c>
      <c r="G1372">
        <f>IF(AND(1370&gt;=16,TEXT(A1372,"yyyy-mm")&lt;&gt;TEXT(A1373,"yyyy-mm")),1,0)</f>
        <v/>
      </c>
      <c r="H1372">
        <f>IF(OR(H1371=1,G1372=1),1,0)</f>
        <v/>
      </c>
      <c r="I1372">
        <f>IF(H1371=0,1,SUMPRODUCT(J1371:N1371,B1372:F1372)+O1371*(1+0.00023125256064071564))</f>
        <v/>
      </c>
      <c r="J1372">
        <f>IF(G1372=1,0.2*R1372/B1372,J1371)</f>
        <v/>
      </c>
      <c r="K1372">
        <f>IF(G1372=1,0.2*R1372/C1372,K1371)</f>
        <v/>
      </c>
      <c r="L1372">
        <f>IF(G1372=1,0.2*R1372/D1372,L1371)</f>
        <v/>
      </c>
      <c r="M1372">
        <f>IF(G1372=1,0.2*R1372/E1372,M1371)</f>
        <v/>
      </c>
      <c r="N1372">
        <f>IF(G1372=1,0.2*R1372/F1372,N1371)</f>
        <v/>
      </c>
      <c r="O1372">
        <f>IF(G1372=1,R1372*(1-1.0),IF(H1371=0,1,O1371*(1+0.00023125256064071564)))</f>
        <v/>
      </c>
      <c r="P1372">
        <f>IF(G1372=1,IF(H1371=0,1,ABS(0.2-J1371*B1372/I1372)+ABS(0.2-K1371*C1372/I1372)+ABS(0.2-L1371*D1372/I1372)+ABS(0.2-M1371*E1372/I1372)+ABS(0.2-N1371*F1372/I1372)),0)</f>
        <v/>
      </c>
      <c r="Q1372">
        <f>P1372*0.0015</f>
        <v/>
      </c>
      <c r="R1372">
        <f>I1372*(1-Q1372)</f>
        <v/>
      </c>
      <c r="S1372">
        <f>R1372/R1371-1</f>
        <v/>
      </c>
      <c r="T1372">
        <f>MAX(T1371,R1372)</f>
        <v/>
      </c>
      <c r="U1372">
        <f>R1372/T1372-1</f>
        <v/>
      </c>
      <c r="V1372" t="n">
        <v>3.683374109341006</v>
      </c>
      <c r="W1372" s="5">
        <f>R1372-V1372</f>
        <v/>
      </c>
    </row>
    <row r="1373">
      <c r="A1373" s="3" t="n">
        <v>40459</v>
      </c>
      <c r="B1373">
        <f>Prices!B1373</f>
        <v/>
      </c>
      <c r="C1373">
        <f>Prices!C1373</f>
        <v/>
      </c>
      <c r="D1373">
        <f>Prices!D1373</f>
        <v/>
      </c>
      <c r="E1373">
        <f>Prices!E1373</f>
        <v/>
      </c>
      <c r="F1373">
        <f>Prices!F1373</f>
        <v/>
      </c>
      <c r="G1373">
        <f>IF(AND(1371&gt;=16,TEXT(A1373,"yyyy-mm")&lt;&gt;TEXT(A1374,"yyyy-mm")),1,0)</f>
        <v/>
      </c>
      <c r="H1373">
        <f>IF(OR(H1372=1,G1373=1),1,0)</f>
        <v/>
      </c>
      <c r="I1373">
        <f>IF(H1372=0,1,SUMPRODUCT(J1372:N1372,B1373:F1373)+O1372*(1+0.00023125256064071564))</f>
        <v/>
      </c>
      <c r="J1373">
        <f>IF(G1373=1,0.2*R1373/B1373,J1372)</f>
        <v/>
      </c>
      <c r="K1373">
        <f>IF(G1373=1,0.2*R1373/C1373,K1372)</f>
        <v/>
      </c>
      <c r="L1373">
        <f>IF(G1373=1,0.2*R1373/D1373,L1372)</f>
        <v/>
      </c>
      <c r="M1373">
        <f>IF(G1373=1,0.2*R1373/E1373,M1372)</f>
        <v/>
      </c>
      <c r="N1373">
        <f>IF(G1373=1,0.2*R1373/F1373,N1372)</f>
        <v/>
      </c>
      <c r="O1373">
        <f>IF(G1373=1,R1373*(1-1.0),IF(H1372=0,1,O1372*(1+0.00023125256064071564)))</f>
        <v/>
      </c>
      <c r="P1373">
        <f>IF(G1373=1,IF(H1372=0,1,ABS(0.2-J1372*B1373/I1373)+ABS(0.2-K1372*C1373/I1373)+ABS(0.2-L1372*D1373/I1373)+ABS(0.2-M1372*E1373/I1373)+ABS(0.2-N1372*F1373/I1373)),0)</f>
        <v/>
      </c>
      <c r="Q1373">
        <f>P1373*0.0015</f>
        <v/>
      </c>
      <c r="R1373">
        <f>I1373*(1-Q1373)</f>
        <v/>
      </c>
      <c r="S1373">
        <f>R1373/R1372-1</f>
        <v/>
      </c>
      <c r="T1373">
        <f>MAX(T1372,R1373)</f>
        <v/>
      </c>
      <c r="U1373">
        <f>R1373/T1373-1</f>
        <v/>
      </c>
      <c r="V1373" t="n">
        <v>3.664268469907445</v>
      </c>
      <c r="W1373" s="5">
        <f>R1373-V1373</f>
        <v/>
      </c>
    </row>
    <row r="1374">
      <c r="A1374" s="3" t="n">
        <v>40462</v>
      </c>
      <c r="B1374">
        <f>Prices!B1374</f>
        <v/>
      </c>
      <c r="C1374">
        <f>Prices!C1374</f>
        <v/>
      </c>
      <c r="D1374">
        <f>Prices!D1374</f>
        <v/>
      </c>
      <c r="E1374">
        <f>Prices!E1374</f>
        <v/>
      </c>
      <c r="F1374">
        <f>Prices!F1374</f>
        <v/>
      </c>
      <c r="G1374">
        <f>IF(AND(1372&gt;=16,TEXT(A1374,"yyyy-mm")&lt;&gt;TEXT(A1375,"yyyy-mm")),1,0)</f>
        <v/>
      </c>
      <c r="H1374">
        <f>IF(OR(H1373=1,G1374=1),1,0)</f>
        <v/>
      </c>
      <c r="I1374">
        <f>IF(H1373=0,1,SUMPRODUCT(J1373:N1373,B1374:F1374)+O1373*(1+0.00023125256064071564))</f>
        <v/>
      </c>
      <c r="J1374">
        <f>IF(G1374=1,0.2*R1374/B1374,J1373)</f>
        <v/>
      </c>
      <c r="K1374">
        <f>IF(G1374=1,0.2*R1374/C1374,K1373)</f>
        <v/>
      </c>
      <c r="L1374">
        <f>IF(G1374=1,0.2*R1374/D1374,L1373)</f>
        <v/>
      </c>
      <c r="M1374">
        <f>IF(G1374=1,0.2*R1374/E1374,M1373)</f>
        <v/>
      </c>
      <c r="N1374">
        <f>IF(G1374=1,0.2*R1374/F1374,N1373)</f>
        <v/>
      </c>
      <c r="O1374">
        <f>IF(G1374=1,R1374*(1-1.0),IF(H1373=0,1,O1373*(1+0.00023125256064071564)))</f>
        <v/>
      </c>
      <c r="P1374">
        <f>IF(G1374=1,IF(H1373=0,1,ABS(0.2-J1373*B1374/I1374)+ABS(0.2-K1373*C1374/I1374)+ABS(0.2-L1373*D1374/I1374)+ABS(0.2-M1373*E1374/I1374)+ABS(0.2-N1373*F1374/I1374)),0)</f>
        <v/>
      </c>
      <c r="Q1374">
        <f>P1374*0.0015</f>
        <v/>
      </c>
      <c r="R1374">
        <f>I1374*(1-Q1374)</f>
        <v/>
      </c>
      <c r="S1374">
        <f>R1374/R1373-1</f>
        <v/>
      </c>
      <c r="T1374">
        <f>MAX(T1373,R1374)</f>
        <v/>
      </c>
      <c r="U1374">
        <f>R1374/T1374-1</f>
        <v/>
      </c>
      <c r="V1374" t="n">
        <v>3.694856641925944</v>
      </c>
      <c r="W1374" s="5">
        <f>R1374-V1374</f>
        <v/>
      </c>
    </row>
    <row r="1375">
      <c r="A1375" s="3" t="n">
        <v>40463</v>
      </c>
      <c r="B1375">
        <f>Prices!B1375</f>
        <v/>
      </c>
      <c r="C1375">
        <f>Prices!C1375</f>
        <v/>
      </c>
      <c r="D1375">
        <f>Prices!D1375</f>
        <v/>
      </c>
      <c r="E1375">
        <f>Prices!E1375</f>
        <v/>
      </c>
      <c r="F1375">
        <f>Prices!F1375</f>
        <v/>
      </c>
      <c r="G1375">
        <f>IF(AND(1373&gt;=16,TEXT(A1375,"yyyy-mm")&lt;&gt;TEXT(A1376,"yyyy-mm")),1,0)</f>
        <v/>
      </c>
      <c r="H1375">
        <f>IF(OR(H1374=1,G1375=1),1,0)</f>
        <v/>
      </c>
      <c r="I1375">
        <f>IF(H1374=0,1,SUMPRODUCT(J1374:N1374,B1375:F1375)+O1374*(1+0.00023125256064071564))</f>
        <v/>
      </c>
      <c r="J1375">
        <f>IF(G1375=1,0.2*R1375/B1375,J1374)</f>
        <v/>
      </c>
      <c r="K1375">
        <f>IF(G1375=1,0.2*R1375/C1375,K1374)</f>
        <v/>
      </c>
      <c r="L1375">
        <f>IF(G1375=1,0.2*R1375/D1375,L1374)</f>
        <v/>
      </c>
      <c r="M1375">
        <f>IF(G1375=1,0.2*R1375/E1375,M1374)</f>
        <v/>
      </c>
      <c r="N1375">
        <f>IF(G1375=1,0.2*R1375/F1375,N1374)</f>
        <v/>
      </c>
      <c r="O1375">
        <f>IF(G1375=1,R1375*(1-1.0),IF(H1374=0,1,O1374*(1+0.00023125256064071564)))</f>
        <v/>
      </c>
      <c r="P1375">
        <f>IF(G1375=1,IF(H1374=0,1,ABS(0.2-J1374*B1375/I1375)+ABS(0.2-K1374*C1375/I1375)+ABS(0.2-L1374*D1375/I1375)+ABS(0.2-M1374*E1375/I1375)+ABS(0.2-N1374*F1375/I1375)),0)</f>
        <v/>
      </c>
      <c r="Q1375">
        <f>P1375*0.0015</f>
        <v/>
      </c>
      <c r="R1375">
        <f>I1375*(1-Q1375)</f>
        <v/>
      </c>
      <c r="S1375">
        <f>R1375/R1374-1</f>
        <v/>
      </c>
      <c r="T1375">
        <f>MAX(T1374,R1375)</f>
        <v/>
      </c>
      <c r="U1375">
        <f>R1375/T1375-1</f>
        <v/>
      </c>
      <c r="V1375" t="n">
        <v>3.679224330628267</v>
      </c>
      <c r="W1375" s="5">
        <f>R1375-V1375</f>
        <v/>
      </c>
    </row>
    <row r="1376">
      <c r="A1376" s="3" t="n">
        <v>40464</v>
      </c>
      <c r="B1376">
        <f>Prices!B1376</f>
        <v/>
      </c>
      <c r="C1376">
        <f>Prices!C1376</f>
        <v/>
      </c>
      <c r="D1376">
        <f>Prices!D1376</f>
        <v/>
      </c>
      <c r="E1376">
        <f>Prices!E1376</f>
        <v/>
      </c>
      <c r="F1376">
        <f>Prices!F1376</f>
        <v/>
      </c>
      <c r="G1376">
        <f>IF(AND(1374&gt;=16,TEXT(A1376,"yyyy-mm")&lt;&gt;TEXT(A1377,"yyyy-mm")),1,0)</f>
        <v/>
      </c>
      <c r="H1376">
        <f>IF(OR(H1375=1,G1376=1),1,0)</f>
        <v/>
      </c>
      <c r="I1376">
        <f>IF(H1375=0,1,SUMPRODUCT(J1375:N1375,B1376:F1376)+O1375*(1+0.00023125256064071564))</f>
        <v/>
      </c>
      <c r="J1376">
        <f>IF(G1376=1,0.2*R1376/B1376,J1375)</f>
        <v/>
      </c>
      <c r="K1376">
        <f>IF(G1376=1,0.2*R1376/C1376,K1375)</f>
        <v/>
      </c>
      <c r="L1376">
        <f>IF(G1376=1,0.2*R1376/D1376,L1375)</f>
        <v/>
      </c>
      <c r="M1376">
        <f>IF(G1376=1,0.2*R1376/E1376,M1375)</f>
        <v/>
      </c>
      <c r="N1376">
        <f>IF(G1376=1,0.2*R1376/F1376,N1375)</f>
        <v/>
      </c>
      <c r="O1376">
        <f>IF(G1376=1,R1376*(1-1.0),IF(H1375=0,1,O1375*(1+0.00023125256064071564)))</f>
        <v/>
      </c>
      <c r="P1376">
        <f>IF(G1376=1,IF(H1375=0,1,ABS(0.2-J1375*B1376/I1376)+ABS(0.2-K1375*C1376/I1376)+ABS(0.2-L1375*D1376/I1376)+ABS(0.2-M1375*E1376/I1376)+ABS(0.2-N1375*F1376/I1376)),0)</f>
        <v/>
      </c>
      <c r="Q1376">
        <f>P1376*0.0015</f>
        <v/>
      </c>
      <c r="R1376">
        <f>I1376*(1-Q1376)</f>
        <v/>
      </c>
      <c r="S1376">
        <f>R1376/R1375-1</f>
        <v/>
      </c>
      <c r="T1376">
        <f>MAX(T1375,R1376)</f>
        <v/>
      </c>
      <c r="U1376">
        <f>R1376/T1376-1</f>
        <v/>
      </c>
      <c r="V1376" t="n">
        <v>3.733377287234851</v>
      </c>
      <c r="W1376" s="5">
        <f>R1376-V1376</f>
        <v/>
      </c>
    </row>
    <row r="1377">
      <c r="A1377" s="3" t="n">
        <v>40465</v>
      </c>
      <c r="B1377">
        <f>Prices!B1377</f>
        <v/>
      </c>
      <c r="C1377">
        <f>Prices!C1377</f>
        <v/>
      </c>
      <c r="D1377">
        <f>Prices!D1377</f>
        <v/>
      </c>
      <c r="E1377">
        <f>Prices!E1377</f>
        <v/>
      </c>
      <c r="F1377">
        <f>Prices!F1377</f>
        <v/>
      </c>
      <c r="G1377">
        <f>IF(AND(1375&gt;=16,TEXT(A1377,"yyyy-mm")&lt;&gt;TEXT(A1378,"yyyy-mm")),1,0)</f>
        <v/>
      </c>
      <c r="H1377">
        <f>IF(OR(H1376=1,G1377=1),1,0)</f>
        <v/>
      </c>
      <c r="I1377">
        <f>IF(H1376=0,1,SUMPRODUCT(J1376:N1376,B1377:F1377)+O1376*(1+0.00023125256064071564))</f>
        <v/>
      </c>
      <c r="J1377">
        <f>IF(G1377=1,0.2*R1377/B1377,J1376)</f>
        <v/>
      </c>
      <c r="K1377">
        <f>IF(G1377=1,0.2*R1377/C1377,K1376)</f>
        <v/>
      </c>
      <c r="L1377">
        <f>IF(G1377=1,0.2*R1377/D1377,L1376)</f>
        <v/>
      </c>
      <c r="M1377">
        <f>IF(G1377=1,0.2*R1377/E1377,M1376)</f>
        <v/>
      </c>
      <c r="N1377">
        <f>IF(G1377=1,0.2*R1377/F1377,N1376)</f>
        <v/>
      </c>
      <c r="O1377">
        <f>IF(G1377=1,R1377*(1-1.0),IF(H1376=0,1,O1376*(1+0.00023125256064071564)))</f>
        <v/>
      </c>
      <c r="P1377">
        <f>IF(G1377=1,IF(H1376=0,1,ABS(0.2-J1376*B1377/I1377)+ABS(0.2-K1376*C1377/I1377)+ABS(0.2-L1376*D1377/I1377)+ABS(0.2-M1376*E1377/I1377)+ABS(0.2-N1376*F1377/I1377)),0)</f>
        <v/>
      </c>
      <c r="Q1377">
        <f>P1377*0.0015</f>
        <v/>
      </c>
      <c r="R1377">
        <f>I1377*(1-Q1377)</f>
        <v/>
      </c>
      <c r="S1377">
        <f>R1377/R1376-1</f>
        <v/>
      </c>
      <c r="T1377">
        <f>MAX(T1376,R1377)</f>
        <v/>
      </c>
      <c r="U1377">
        <f>R1377/T1377-1</f>
        <v/>
      </c>
      <c r="V1377" t="n">
        <v>3.715617160042651</v>
      </c>
      <c r="W1377" s="5">
        <f>R1377-V1377</f>
        <v/>
      </c>
    </row>
    <row r="1378">
      <c r="A1378" s="3" t="n">
        <v>40466</v>
      </c>
      <c r="B1378">
        <f>Prices!B1378</f>
        <v/>
      </c>
      <c r="C1378">
        <f>Prices!C1378</f>
        <v/>
      </c>
      <c r="D1378">
        <f>Prices!D1378</f>
        <v/>
      </c>
      <c r="E1378">
        <f>Prices!E1378</f>
        <v/>
      </c>
      <c r="F1378">
        <f>Prices!F1378</f>
        <v/>
      </c>
      <c r="G1378">
        <f>IF(AND(1376&gt;=16,TEXT(A1378,"yyyy-mm")&lt;&gt;TEXT(A1379,"yyyy-mm")),1,0)</f>
        <v/>
      </c>
      <c r="H1378">
        <f>IF(OR(H1377=1,G1378=1),1,0)</f>
        <v/>
      </c>
      <c r="I1378">
        <f>IF(H1377=0,1,SUMPRODUCT(J1377:N1377,B1378:F1378)+O1377*(1+0.00023125256064071564))</f>
        <v/>
      </c>
      <c r="J1378">
        <f>IF(G1378=1,0.2*R1378/B1378,J1377)</f>
        <v/>
      </c>
      <c r="K1378">
        <f>IF(G1378=1,0.2*R1378/C1378,K1377)</f>
        <v/>
      </c>
      <c r="L1378">
        <f>IF(G1378=1,0.2*R1378/D1378,L1377)</f>
        <v/>
      </c>
      <c r="M1378">
        <f>IF(G1378=1,0.2*R1378/E1378,M1377)</f>
        <v/>
      </c>
      <c r="N1378">
        <f>IF(G1378=1,0.2*R1378/F1378,N1377)</f>
        <v/>
      </c>
      <c r="O1378">
        <f>IF(G1378=1,R1378*(1-1.0),IF(H1377=0,1,O1377*(1+0.00023125256064071564)))</f>
        <v/>
      </c>
      <c r="P1378">
        <f>IF(G1378=1,IF(H1377=0,1,ABS(0.2-J1377*B1378/I1378)+ABS(0.2-K1377*C1378/I1378)+ABS(0.2-L1377*D1378/I1378)+ABS(0.2-M1377*E1378/I1378)+ABS(0.2-N1377*F1378/I1378)),0)</f>
        <v/>
      </c>
      <c r="Q1378">
        <f>P1378*0.0015</f>
        <v/>
      </c>
      <c r="R1378">
        <f>I1378*(1-Q1378)</f>
        <v/>
      </c>
      <c r="S1378">
        <f>R1378/R1377-1</f>
        <v/>
      </c>
      <c r="T1378">
        <f>MAX(T1377,R1378)</f>
        <v/>
      </c>
      <c r="U1378">
        <f>R1378/T1378-1</f>
        <v/>
      </c>
      <c r="V1378" t="n">
        <v>3.662435589002969</v>
      </c>
      <c r="W1378" s="5">
        <f>R1378-V1378</f>
        <v/>
      </c>
    </row>
    <row r="1379">
      <c r="A1379" s="3" t="n">
        <v>40469</v>
      </c>
      <c r="B1379">
        <f>Prices!B1379</f>
        <v/>
      </c>
      <c r="C1379">
        <f>Prices!C1379</f>
        <v/>
      </c>
      <c r="D1379">
        <f>Prices!D1379</f>
        <v/>
      </c>
      <c r="E1379">
        <f>Prices!E1379</f>
        <v/>
      </c>
      <c r="F1379">
        <f>Prices!F1379</f>
        <v/>
      </c>
      <c r="G1379">
        <f>IF(AND(1377&gt;=16,TEXT(A1379,"yyyy-mm")&lt;&gt;TEXT(A1380,"yyyy-mm")),1,0)</f>
        <v/>
      </c>
      <c r="H1379">
        <f>IF(OR(H1378=1,G1379=1),1,0)</f>
        <v/>
      </c>
      <c r="I1379">
        <f>IF(H1378=0,1,SUMPRODUCT(J1378:N1378,B1379:F1379)+O1378*(1+0.00023125256064071564))</f>
        <v/>
      </c>
      <c r="J1379">
        <f>IF(G1379=1,0.2*R1379/B1379,J1378)</f>
        <v/>
      </c>
      <c r="K1379">
        <f>IF(G1379=1,0.2*R1379/C1379,K1378)</f>
        <v/>
      </c>
      <c r="L1379">
        <f>IF(G1379=1,0.2*R1379/D1379,L1378)</f>
        <v/>
      </c>
      <c r="M1379">
        <f>IF(G1379=1,0.2*R1379/E1379,M1378)</f>
        <v/>
      </c>
      <c r="N1379">
        <f>IF(G1379=1,0.2*R1379/F1379,N1378)</f>
        <v/>
      </c>
      <c r="O1379">
        <f>IF(G1379=1,R1379*(1-1.0),IF(H1378=0,1,O1378*(1+0.00023125256064071564)))</f>
        <v/>
      </c>
      <c r="P1379">
        <f>IF(G1379=1,IF(H1378=0,1,ABS(0.2-J1378*B1379/I1379)+ABS(0.2-K1378*C1379/I1379)+ABS(0.2-L1378*D1379/I1379)+ABS(0.2-M1378*E1379/I1379)+ABS(0.2-N1378*F1379/I1379)),0)</f>
        <v/>
      </c>
      <c r="Q1379">
        <f>P1379*0.0015</f>
        <v/>
      </c>
      <c r="R1379">
        <f>I1379*(1-Q1379)</f>
        <v/>
      </c>
      <c r="S1379">
        <f>R1379/R1378-1</f>
        <v/>
      </c>
      <c r="T1379">
        <f>MAX(T1378,R1379)</f>
        <v/>
      </c>
      <c r="U1379">
        <f>R1379/T1379-1</f>
        <v/>
      </c>
      <c r="V1379" t="n">
        <v>3.652628543157315</v>
      </c>
      <c r="W1379" s="5">
        <f>R1379-V1379</f>
        <v/>
      </c>
    </row>
    <row r="1380">
      <c r="A1380" s="3" t="n">
        <v>40470</v>
      </c>
      <c r="B1380">
        <f>Prices!B1380</f>
        <v/>
      </c>
      <c r="C1380">
        <f>Prices!C1380</f>
        <v/>
      </c>
      <c r="D1380">
        <f>Prices!D1380</f>
        <v/>
      </c>
      <c r="E1380">
        <f>Prices!E1380</f>
        <v/>
      </c>
      <c r="F1380">
        <f>Prices!F1380</f>
        <v/>
      </c>
      <c r="G1380">
        <f>IF(AND(1378&gt;=16,TEXT(A1380,"yyyy-mm")&lt;&gt;TEXT(A1381,"yyyy-mm")),1,0)</f>
        <v/>
      </c>
      <c r="H1380">
        <f>IF(OR(H1379=1,G1380=1),1,0)</f>
        <v/>
      </c>
      <c r="I1380">
        <f>IF(H1379=0,1,SUMPRODUCT(J1379:N1379,B1380:F1380)+O1379*(1+0.00023125256064071564))</f>
        <v/>
      </c>
      <c r="J1380">
        <f>IF(G1380=1,0.2*R1380/B1380,J1379)</f>
        <v/>
      </c>
      <c r="K1380">
        <f>IF(G1380=1,0.2*R1380/C1380,K1379)</f>
        <v/>
      </c>
      <c r="L1380">
        <f>IF(G1380=1,0.2*R1380/D1380,L1379)</f>
        <v/>
      </c>
      <c r="M1380">
        <f>IF(G1380=1,0.2*R1380/E1380,M1379)</f>
        <v/>
      </c>
      <c r="N1380">
        <f>IF(G1380=1,0.2*R1380/F1380,N1379)</f>
        <v/>
      </c>
      <c r="O1380">
        <f>IF(G1380=1,R1380*(1-1.0),IF(H1379=0,1,O1379*(1+0.00023125256064071564)))</f>
        <v/>
      </c>
      <c r="P1380">
        <f>IF(G1380=1,IF(H1379=0,1,ABS(0.2-J1379*B1380/I1380)+ABS(0.2-K1379*C1380/I1380)+ABS(0.2-L1379*D1380/I1380)+ABS(0.2-M1379*E1380/I1380)+ABS(0.2-N1379*F1380/I1380)),0)</f>
        <v/>
      </c>
      <c r="Q1380">
        <f>P1380*0.0015</f>
        <v/>
      </c>
      <c r="R1380">
        <f>I1380*(1-Q1380)</f>
        <v/>
      </c>
      <c r="S1380">
        <f>R1380/R1379-1</f>
        <v/>
      </c>
      <c r="T1380">
        <f>MAX(T1379,R1380)</f>
        <v/>
      </c>
      <c r="U1380">
        <f>R1380/T1380-1</f>
        <v/>
      </c>
      <c r="V1380" t="n">
        <v>3.644762600597033</v>
      </c>
      <c r="W1380" s="5">
        <f>R1380-V1380</f>
        <v/>
      </c>
    </row>
    <row r="1381">
      <c r="A1381" s="3" t="n">
        <v>40471</v>
      </c>
      <c r="B1381">
        <f>Prices!B1381</f>
        <v/>
      </c>
      <c r="C1381">
        <f>Prices!C1381</f>
        <v/>
      </c>
      <c r="D1381">
        <f>Prices!D1381</f>
        <v/>
      </c>
      <c r="E1381">
        <f>Prices!E1381</f>
        <v/>
      </c>
      <c r="F1381">
        <f>Prices!F1381</f>
        <v/>
      </c>
      <c r="G1381">
        <f>IF(AND(1379&gt;=16,TEXT(A1381,"yyyy-mm")&lt;&gt;TEXT(A1382,"yyyy-mm")),1,0)</f>
        <v/>
      </c>
      <c r="H1381">
        <f>IF(OR(H1380=1,G1381=1),1,0)</f>
        <v/>
      </c>
      <c r="I1381">
        <f>IF(H1380=0,1,SUMPRODUCT(J1380:N1380,B1381:F1381)+O1380*(1+0.00023125256064071564))</f>
        <v/>
      </c>
      <c r="J1381">
        <f>IF(G1381=1,0.2*R1381/B1381,J1380)</f>
        <v/>
      </c>
      <c r="K1381">
        <f>IF(G1381=1,0.2*R1381/C1381,K1380)</f>
        <v/>
      </c>
      <c r="L1381">
        <f>IF(G1381=1,0.2*R1381/D1381,L1380)</f>
        <v/>
      </c>
      <c r="M1381">
        <f>IF(G1381=1,0.2*R1381/E1381,M1380)</f>
        <v/>
      </c>
      <c r="N1381">
        <f>IF(G1381=1,0.2*R1381/F1381,N1380)</f>
        <v/>
      </c>
      <c r="O1381">
        <f>IF(G1381=1,R1381*(1-1.0),IF(H1380=0,1,O1380*(1+0.00023125256064071564)))</f>
        <v/>
      </c>
      <c r="P1381">
        <f>IF(G1381=1,IF(H1380=0,1,ABS(0.2-J1380*B1381/I1381)+ABS(0.2-K1380*C1381/I1381)+ABS(0.2-L1380*D1381/I1381)+ABS(0.2-M1380*E1381/I1381)+ABS(0.2-N1380*F1381/I1381)),0)</f>
        <v/>
      </c>
      <c r="Q1381">
        <f>P1381*0.0015</f>
        <v/>
      </c>
      <c r="R1381">
        <f>I1381*(1-Q1381)</f>
        <v/>
      </c>
      <c r="S1381">
        <f>R1381/R1380-1</f>
        <v/>
      </c>
      <c r="T1381">
        <f>MAX(T1380,R1381)</f>
        <v/>
      </c>
      <c r="U1381">
        <f>R1381/T1381-1</f>
        <v/>
      </c>
      <c r="V1381" t="n">
        <v>3.642677703138298</v>
      </c>
      <c r="W1381" s="5">
        <f>R1381-V1381</f>
        <v/>
      </c>
    </row>
    <row r="1382">
      <c r="A1382" s="3" t="n">
        <v>40472</v>
      </c>
      <c r="B1382">
        <f>Prices!B1382</f>
        <v/>
      </c>
      <c r="C1382">
        <f>Prices!C1382</f>
        <v/>
      </c>
      <c r="D1382">
        <f>Prices!D1382</f>
        <v/>
      </c>
      <c r="E1382">
        <f>Prices!E1382</f>
        <v/>
      </c>
      <c r="F1382">
        <f>Prices!F1382</f>
        <v/>
      </c>
      <c r="G1382">
        <f>IF(AND(1380&gt;=16,TEXT(A1382,"yyyy-mm")&lt;&gt;TEXT(A1383,"yyyy-mm")),1,0)</f>
        <v/>
      </c>
      <c r="H1382">
        <f>IF(OR(H1381=1,G1382=1),1,0)</f>
        <v/>
      </c>
      <c r="I1382">
        <f>IF(H1381=0,1,SUMPRODUCT(J1381:N1381,B1382:F1382)+O1381*(1+0.00023125256064071564))</f>
        <v/>
      </c>
      <c r="J1382">
        <f>IF(G1382=1,0.2*R1382/B1382,J1381)</f>
        <v/>
      </c>
      <c r="K1382">
        <f>IF(G1382=1,0.2*R1382/C1382,K1381)</f>
        <v/>
      </c>
      <c r="L1382">
        <f>IF(G1382=1,0.2*R1382/D1382,L1381)</f>
        <v/>
      </c>
      <c r="M1382">
        <f>IF(G1382=1,0.2*R1382/E1382,M1381)</f>
        <v/>
      </c>
      <c r="N1382">
        <f>IF(G1382=1,0.2*R1382/F1382,N1381)</f>
        <v/>
      </c>
      <c r="O1382">
        <f>IF(G1382=1,R1382*(1-1.0),IF(H1381=0,1,O1381*(1+0.00023125256064071564)))</f>
        <v/>
      </c>
      <c r="P1382">
        <f>IF(G1382=1,IF(H1381=0,1,ABS(0.2-J1381*B1382/I1382)+ABS(0.2-K1381*C1382/I1382)+ABS(0.2-L1381*D1382/I1382)+ABS(0.2-M1381*E1382/I1382)+ABS(0.2-N1381*F1382/I1382)),0)</f>
        <v/>
      </c>
      <c r="Q1382">
        <f>P1382*0.0015</f>
        <v/>
      </c>
      <c r="R1382">
        <f>I1382*(1-Q1382)</f>
        <v/>
      </c>
      <c r="S1382">
        <f>R1382/R1381-1</f>
        <v/>
      </c>
      <c r="T1382">
        <f>MAX(T1381,R1382)</f>
        <v/>
      </c>
      <c r="U1382">
        <f>R1382/T1382-1</f>
        <v/>
      </c>
      <c r="V1382" t="n">
        <v>3.694346624015429</v>
      </c>
      <c r="W1382" s="5">
        <f>R1382-V1382</f>
        <v/>
      </c>
    </row>
    <row r="1383">
      <c r="A1383" s="3" t="n">
        <v>40473</v>
      </c>
      <c r="B1383">
        <f>Prices!B1383</f>
        <v/>
      </c>
      <c r="C1383">
        <f>Prices!C1383</f>
        <v/>
      </c>
      <c r="D1383">
        <f>Prices!D1383</f>
        <v/>
      </c>
      <c r="E1383">
        <f>Prices!E1383</f>
        <v/>
      </c>
      <c r="F1383">
        <f>Prices!F1383</f>
        <v/>
      </c>
      <c r="G1383">
        <f>IF(AND(1381&gt;=16,TEXT(A1383,"yyyy-mm")&lt;&gt;TEXT(A1384,"yyyy-mm")),1,0)</f>
        <v/>
      </c>
      <c r="H1383">
        <f>IF(OR(H1382=1,G1383=1),1,0)</f>
        <v/>
      </c>
      <c r="I1383">
        <f>IF(H1382=0,1,SUMPRODUCT(J1382:N1382,B1383:F1383)+O1382*(1+0.00023125256064071564))</f>
        <v/>
      </c>
      <c r="J1383">
        <f>IF(G1383=1,0.2*R1383/B1383,J1382)</f>
        <v/>
      </c>
      <c r="K1383">
        <f>IF(G1383=1,0.2*R1383/C1383,K1382)</f>
        <v/>
      </c>
      <c r="L1383">
        <f>IF(G1383=1,0.2*R1383/D1383,L1382)</f>
        <v/>
      </c>
      <c r="M1383">
        <f>IF(G1383=1,0.2*R1383/E1383,M1382)</f>
        <v/>
      </c>
      <c r="N1383">
        <f>IF(G1383=1,0.2*R1383/F1383,N1382)</f>
        <v/>
      </c>
      <c r="O1383">
        <f>IF(G1383=1,R1383*(1-1.0),IF(H1382=0,1,O1382*(1+0.00023125256064071564)))</f>
        <v/>
      </c>
      <c r="P1383">
        <f>IF(G1383=1,IF(H1382=0,1,ABS(0.2-J1382*B1383/I1383)+ABS(0.2-K1382*C1383/I1383)+ABS(0.2-L1382*D1383/I1383)+ABS(0.2-M1382*E1383/I1383)+ABS(0.2-N1382*F1383/I1383)),0)</f>
        <v/>
      </c>
      <c r="Q1383">
        <f>P1383*0.0015</f>
        <v/>
      </c>
      <c r="R1383">
        <f>I1383*(1-Q1383)</f>
        <v/>
      </c>
      <c r="S1383">
        <f>R1383/R1382-1</f>
        <v/>
      </c>
      <c r="T1383">
        <f>MAX(T1382,R1383)</f>
        <v/>
      </c>
      <c r="U1383">
        <f>R1383/T1383-1</f>
        <v/>
      </c>
      <c r="V1383" t="n">
        <v>3.706718208944521</v>
      </c>
      <c r="W1383" s="5">
        <f>R1383-V1383</f>
        <v/>
      </c>
    </row>
    <row r="1384">
      <c r="A1384" s="3" t="n">
        <v>40476</v>
      </c>
      <c r="B1384">
        <f>Prices!B1384</f>
        <v/>
      </c>
      <c r="C1384">
        <f>Prices!C1384</f>
        <v/>
      </c>
      <c r="D1384">
        <f>Prices!D1384</f>
        <v/>
      </c>
      <c r="E1384">
        <f>Prices!E1384</f>
        <v/>
      </c>
      <c r="F1384">
        <f>Prices!F1384</f>
        <v/>
      </c>
      <c r="G1384">
        <f>IF(AND(1382&gt;=16,TEXT(A1384,"yyyy-mm")&lt;&gt;TEXT(A1385,"yyyy-mm")),1,0)</f>
        <v/>
      </c>
      <c r="H1384">
        <f>IF(OR(H1383=1,G1384=1),1,0)</f>
        <v/>
      </c>
      <c r="I1384">
        <f>IF(H1383=0,1,SUMPRODUCT(J1383:N1383,B1384:F1384)+O1383*(1+0.00023125256064071564))</f>
        <v/>
      </c>
      <c r="J1384">
        <f>IF(G1384=1,0.2*R1384/B1384,J1383)</f>
        <v/>
      </c>
      <c r="K1384">
        <f>IF(G1384=1,0.2*R1384/C1384,K1383)</f>
        <v/>
      </c>
      <c r="L1384">
        <f>IF(G1384=1,0.2*R1384/D1384,L1383)</f>
        <v/>
      </c>
      <c r="M1384">
        <f>IF(G1384=1,0.2*R1384/E1384,M1383)</f>
        <v/>
      </c>
      <c r="N1384">
        <f>IF(G1384=1,0.2*R1384/F1384,N1383)</f>
        <v/>
      </c>
      <c r="O1384">
        <f>IF(G1384=1,R1384*(1-1.0),IF(H1383=0,1,O1383*(1+0.00023125256064071564)))</f>
        <v/>
      </c>
      <c r="P1384">
        <f>IF(G1384=1,IF(H1383=0,1,ABS(0.2-J1383*B1384/I1384)+ABS(0.2-K1383*C1384/I1384)+ABS(0.2-L1383*D1384/I1384)+ABS(0.2-M1383*E1384/I1384)+ABS(0.2-N1383*F1384/I1384)),0)</f>
        <v/>
      </c>
      <c r="Q1384">
        <f>P1384*0.0015</f>
        <v/>
      </c>
      <c r="R1384">
        <f>I1384*(1-Q1384)</f>
        <v/>
      </c>
      <c r="S1384">
        <f>R1384/R1383-1</f>
        <v/>
      </c>
      <c r="T1384">
        <f>MAX(T1383,R1384)</f>
        <v/>
      </c>
      <c r="U1384">
        <f>R1384/T1384-1</f>
        <v/>
      </c>
      <c r="V1384" t="n">
        <v>3.749883731166398</v>
      </c>
      <c r="W1384" s="5">
        <f>R1384-V1384</f>
        <v/>
      </c>
    </row>
    <row r="1385">
      <c r="A1385" s="3" t="n">
        <v>40477</v>
      </c>
      <c r="B1385">
        <f>Prices!B1385</f>
        <v/>
      </c>
      <c r="C1385">
        <f>Prices!C1385</f>
        <v/>
      </c>
      <c r="D1385">
        <f>Prices!D1385</f>
        <v/>
      </c>
      <c r="E1385">
        <f>Prices!E1385</f>
        <v/>
      </c>
      <c r="F1385">
        <f>Prices!F1385</f>
        <v/>
      </c>
      <c r="G1385">
        <f>IF(AND(1383&gt;=16,TEXT(A1385,"yyyy-mm")&lt;&gt;TEXT(A1386,"yyyy-mm")),1,0)</f>
        <v/>
      </c>
      <c r="H1385">
        <f>IF(OR(H1384=1,G1385=1),1,0)</f>
        <v/>
      </c>
      <c r="I1385">
        <f>IF(H1384=0,1,SUMPRODUCT(J1384:N1384,B1385:F1385)+O1384*(1+0.00023125256064071564))</f>
        <v/>
      </c>
      <c r="J1385">
        <f>IF(G1385=1,0.2*R1385/B1385,J1384)</f>
        <v/>
      </c>
      <c r="K1385">
        <f>IF(G1385=1,0.2*R1385/C1385,K1384)</f>
        <v/>
      </c>
      <c r="L1385">
        <f>IF(G1385=1,0.2*R1385/D1385,L1384)</f>
        <v/>
      </c>
      <c r="M1385">
        <f>IF(G1385=1,0.2*R1385/E1385,M1384)</f>
        <v/>
      </c>
      <c r="N1385">
        <f>IF(G1385=1,0.2*R1385/F1385,N1384)</f>
        <v/>
      </c>
      <c r="O1385">
        <f>IF(G1385=1,R1385*(1-1.0),IF(H1384=0,1,O1384*(1+0.00023125256064071564)))</f>
        <v/>
      </c>
      <c r="P1385">
        <f>IF(G1385=1,IF(H1384=0,1,ABS(0.2-J1384*B1385/I1385)+ABS(0.2-K1384*C1385/I1385)+ABS(0.2-L1384*D1385/I1385)+ABS(0.2-M1384*E1385/I1385)+ABS(0.2-N1384*F1385/I1385)),0)</f>
        <v/>
      </c>
      <c r="Q1385">
        <f>P1385*0.0015</f>
        <v/>
      </c>
      <c r="R1385">
        <f>I1385*(1-Q1385)</f>
        <v/>
      </c>
      <c r="S1385">
        <f>R1385/R1384-1</f>
        <v/>
      </c>
      <c r="T1385">
        <f>MAX(T1384,R1385)</f>
        <v/>
      </c>
      <c r="U1385">
        <f>R1385/T1385-1</f>
        <v/>
      </c>
      <c r="V1385" t="n">
        <v>3.750501357897234</v>
      </c>
      <c r="W1385" s="5">
        <f>R1385-V1385</f>
        <v/>
      </c>
    </row>
    <row r="1386">
      <c r="A1386" s="3" t="n">
        <v>40478</v>
      </c>
      <c r="B1386">
        <f>Prices!B1386</f>
        <v/>
      </c>
      <c r="C1386">
        <f>Prices!C1386</f>
        <v/>
      </c>
      <c r="D1386">
        <f>Prices!D1386</f>
        <v/>
      </c>
      <c r="E1386">
        <f>Prices!E1386</f>
        <v/>
      </c>
      <c r="F1386">
        <f>Prices!F1386</f>
        <v/>
      </c>
      <c r="G1386">
        <f>IF(AND(1384&gt;=16,TEXT(A1386,"yyyy-mm")&lt;&gt;TEXT(A1387,"yyyy-mm")),1,0)</f>
        <v/>
      </c>
      <c r="H1386">
        <f>IF(OR(H1385=1,G1386=1),1,0)</f>
        <v/>
      </c>
      <c r="I1386">
        <f>IF(H1385=0,1,SUMPRODUCT(J1385:N1385,B1386:F1386)+O1385*(1+0.00023125256064071564))</f>
        <v/>
      </c>
      <c r="J1386">
        <f>IF(G1386=1,0.2*R1386/B1386,J1385)</f>
        <v/>
      </c>
      <c r="K1386">
        <f>IF(G1386=1,0.2*R1386/C1386,K1385)</f>
        <v/>
      </c>
      <c r="L1386">
        <f>IF(G1386=1,0.2*R1386/D1386,L1385)</f>
        <v/>
      </c>
      <c r="M1386">
        <f>IF(G1386=1,0.2*R1386/E1386,M1385)</f>
        <v/>
      </c>
      <c r="N1386">
        <f>IF(G1386=1,0.2*R1386/F1386,N1385)</f>
        <v/>
      </c>
      <c r="O1386">
        <f>IF(G1386=1,R1386*(1-1.0),IF(H1385=0,1,O1385*(1+0.00023125256064071564)))</f>
        <v/>
      </c>
      <c r="P1386">
        <f>IF(G1386=1,IF(H1385=0,1,ABS(0.2-J1385*B1386/I1386)+ABS(0.2-K1385*C1386/I1386)+ABS(0.2-L1385*D1386/I1386)+ABS(0.2-M1385*E1386/I1386)+ABS(0.2-N1385*F1386/I1386)),0)</f>
        <v/>
      </c>
      <c r="Q1386">
        <f>P1386*0.0015</f>
        <v/>
      </c>
      <c r="R1386">
        <f>I1386*(1-Q1386)</f>
        <v/>
      </c>
      <c r="S1386">
        <f>R1386/R1385-1</f>
        <v/>
      </c>
      <c r="T1386">
        <f>MAX(T1385,R1386)</f>
        <v/>
      </c>
      <c r="U1386">
        <f>R1386/T1386-1</f>
        <v/>
      </c>
      <c r="V1386" t="n">
        <v>3.743730359980442</v>
      </c>
      <c r="W1386" s="5">
        <f>R1386-V1386</f>
        <v/>
      </c>
    </row>
    <row r="1387">
      <c r="A1387" s="3" t="n">
        <v>40479</v>
      </c>
      <c r="B1387">
        <f>Prices!B1387</f>
        <v/>
      </c>
      <c r="C1387">
        <f>Prices!C1387</f>
        <v/>
      </c>
      <c r="D1387">
        <f>Prices!D1387</f>
        <v/>
      </c>
      <c r="E1387">
        <f>Prices!E1387</f>
        <v/>
      </c>
      <c r="F1387">
        <f>Prices!F1387</f>
        <v/>
      </c>
      <c r="G1387">
        <f>IF(AND(1385&gt;=16,TEXT(A1387,"yyyy-mm")&lt;&gt;TEXT(A1388,"yyyy-mm")),1,0)</f>
        <v/>
      </c>
      <c r="H1387">
        <f>IF(OR(H1386=1,G1387=1),1,0)</f>
        <v/>
      </c>
      <c r="I1387">
        <f>IF(H1386=0,1,SUMPRODUCT(J1386:N1386,B1387:F1387)+O1386*(1+0.00023125256064071564))</f>
        <v/>
      </c>
      <c r="J1387">
        <f>IF(G1387=1,0.2*R1387/B1387,J1386)</f>
        <v/>
      </c>
      <c r="K1387">
        <f>IF(G1387=1,0.2*R1387/C1387,K1386)</f>
        <v/>
      </c>
      <c r="L1387">
        <f>IF(G1387=1,0.2*R1387/D1387,L1386)</f>
        <v/>
      </c>
      <c r="M1387">
        <f>IF(G1387=1,0.2*R1387/E1387,M1386)</f>
        <v/>
      </c>
      <c r="N1387">
        <f>IF(G1387=1,0.2*R1387/F1387,N1386)</f>
        <v/>
      </c>
      <c r="O1387">
        <f>IF(G1387=1,R1387*(1-1.0),IF(H1386=0,1,O1386*(1+0.00023125256064071564)))</f>
        <v/>
      </c>
      <c r="P1387">
        <f>IF(G1387=1,IF(H1386=0,1,ABS(0.2-J1386*B1387/I1387)+ABS(0.2-K1386*C1387/I1387)+ABS(0.2-L1386*D1387/I1387)+ABS(0.2-M1386*E1387/I1387)+ABS(0.2-N1386*F1387/I1387)),0)</f>
        <v/>
      </c>
      <c r="Q1387">
        <f>P1387*0.0015</f>
        <v/>
      </c>
      <c r="R1387">
        <f>I1387*(1-Q1387)</f>
        <v/>
      </c>
      <c r="S1387">
        <f>R1387/R1386-1</f>
        <v/>
      </c>
      <c r="T1387">
        <f>MAX(T1386,R1387)</f>
        <v/>
      </c>
      <c r="U1387">
        <f>R1387/T1387-1</f>
        <v/>
      </c>
      <c r="V1387" t="n">
        <v>3.721616165134173</v>
      </c>
      <c r="W1387" s="5">
        <f>R1387-V1387</f>
        <v/>
      </c>
    </row>
    <row r="1388">
      <c r="A1388" s="3" t="n">
        <v>40480</v>
      </c>
      <c r="B1388">
        <f>Prices!B1388</f>
        <v/>
      </c>
      <c r="C1388">
        <f>Prices!C1388</f>
        <v/>
      </c>
      <c r="D1388">
        <f>Prices!D1388</f>
        <v/>
      </c>
      <c r="E1388">
        <f>Prices!E1388</f>
        <v/>
      </c>
      <c r="F1388">
        <f>Prices!F1388</f>
        <v/>
      </c>
      <c r="G1388">
        <f>IF(AND(1386&gt;=16,TEXT(A1388,"yyyy-mm")&lt;&gt;TEXT(A1389,"yyyy-mm")),1,0)</f>
        <v/>
      </c>
      <c r="H1388">
        <f>IF(OR(H1387=1,G1388=1),1,0)</f>
        <v/>
      </c>
      <c r="I1388">
        <f>IF(H1387=0,1,SUMPRODUCT(J1387:N1387,B1388:F1388)+O1387*(1+0.00023125256064071564))</f>
        <v/>
      </c>
      <c r="J1388">
        <f>IF(G1388=1,0.2*R1388/B1388,J1387)</f>
        <v/>
      </c>
      <c r="K1388">
        <f>IF(G1388=1,0.2*R1388/C1388,K1387)</f>
        <v/>
      </c>
      <c r="L1388">
        <f>IF(G1388=1,0.2*R1388/D1388,L1387)</f>
        <v/>
      </c>
      <c r="M1388">
        <f>IF(G1388=1,0.2*R1388/E1388,M1387)</f>
        <v/>
      </c>
      <c r="N1388">
        <f>IF(G1388=1,0.2*R1388/F1388,N1387)</f>
        <v/>
      </c>
      <c r="O1388">
        <f>IF(G1388=1,R1388*(1-1.0),IF(H1387=0,1,O1387*(1+0.00023125256064071564)))</f>
        <v/>
      </c>
      <c r="P1388">
        <f>IF(G1388=1,IF(H1387=0,1,ABS(0.2-J1387*B1388/I1388)+ABS(0.2-K1387*C1388/I1388)+ABS(0.2-L1387*D1388/I1388)+ABS(0.2-M1387*E1388/I1388)+ABS(0.2-N1387*F1388/I1388)),0)</f>
        <v/>
      </c>
      <c r="Q1388">
        <f>P1388*0.0015</f>
        <v/>
      </c>
      <c r="R1388">
        <f>I1388*(1-Q1388)</f>
        <v/>
      </c>
      <c r="S1388">
        <f>R1388/R1387-1</f>
        <v/>
      </c>
      <c r="T1388">
        <f>MAX(T1387,R1388)</f>
        <v/>
      </c>
      <c r="U1388">
        <f>R1388/T1388-1</f>
        <v/>
      </c>
      <c r="V1388" t="n">
        <v>3.714627568641998</v>
      </c>
      <c r="W1388" s="5">
        <f>R1388-V1388</f>
        <v/>
      </c>
    </row>
    <row r="1389">
      <c r="A1389" s="3" t="n">
        <v>40483</v>
      </c>
      <c r="B1389">
        <f>Prices!B1389</f>
        <v/>
      </c>
      <c r="C1389">
        <f>Prices!C1389</f>
        <v/>
      </c>
      <c r="D1389">
        <f>Prices!D1389</f>
        <v/>
      </c>
      <c r="E1389">
        <f>Prices!E1389</f>
        <v/>
      </c>
      <c r="F1389">
        <f>Prices!F1389</f>
        <v/>
      </c>
      <c r="G1389">
        <f>IF(AND(1387&gt;=16,TEXT(A1389,"yyyy-mm")&lt;&gt;TEXT(A1390,"yyyy-mm")),1,0)</f>
        <v/>
      </c>
      <c r="H1389">
        <f>IF(OR(H1388=1,G1389=1),1,0)</f>
        <v/>
      </c>
      <c r="I1389">
        <f>IF(H1388=0,1,SUMPRODUCT(J1388:N1388,B1389:F1389)+O1388*(1+0.00023125256064071564))</f>
        <v/>
      </c>
      <c r="J1389">
        <f>IF(G1389=1,0.2*R1389/B1389,J1388)</f>
        <v/>
      </c>
      <c r="K1389">
        <f>IF(G1389=1,0.2*R1389/C1389,K1388)</f>
        <v/>
      </c>
      <c r="L1389">
        <f>IF(G1389=1,0.2*R1389/D1389,L1388)</f>
        <v/>
      </c>
      <c r="M1389">
        <f>IF(G1389=1,0.2*R1389/E1389,M1388)</f>
        <v/>
      </c>
      <c r="N1389">
        <f>IF(G1389=1,0.2*R1389/F1389,N1388)</f>
        <v/>
      </c>
      <c r="O1389">
        <f>IF(G1389=1,R1389*(1-1.0),IF(H1388=0,1,O1388*(1+0.00023125256064071564)))</f>
        <v/>
      </c>
      <c r="P1389">
        <f>IF(G1389=1,IF(H1388=0,1,ABS(0.2-J1388*B1389/I1389)+ABS(0.2-K1388*C1389/I1389)+ABS(0.2-L1388*D1389/I1389)+ABS(0.2-M1388*E1389/I1389)+ABS(0.2-N1388*F1389/I1389)),0)</f>
        <v/>
      </c>
      <c r="Q1389">
        <f>P1389*0.0015</f>
        <v/>
      </c>
      <c r="R1389">
        <f>I1389*(1-Q1389)</f>
        <v/>
      </c>
      <c r="S1389">
        <f>R1389/R1388-1</f>
        <v/>
      </c>
      <c r="T1389">
        <f>MAX(T1388,R1389)</f>
        <v/>
      </c>
      <c r="U1389">
        <f>R1389/T1389-1</f>
        <v/>
      </c>
      <c r="V1389" t="n">
        <v>3.772019055545097</v>
      </c>
      <c r="W1389" s="5">
        <f>R1389-V1389</f>
        <v/>
      </c>
    </row>
    <row r="1390">
      <c r="A1390" s="3" t="n">
        <v>40484</v>
      </c>
      <c r="B1390">
        <f>Prices!B1390</f>
        <v/>
      </c>
      <c r="C1390">
        <f>Prices!C1390</f>
        <v/>
      </c>
      <c r="D1390">
        <f>Prices!D1390</f>
        <v/>
      </c>
      <c r="E1390">
        <f>Prices!E1390</f>
        <v/>
      </c>
      <c r="F1390">
        <f>Prices!F1390</f>
        <v/>
      </c>
      <c r="G1390">
        <f>IF(AND(1388&gt;=16,TEXT(A1390,"yyyy-mm")&lt;&gt;TEXT(A1391,"yyyy-mm")),1,0)</f>
        <v/>
      </c>
      <c r="H1390">
        <f>IF(OR(H1389=1,G1390=1),1,0)</f>
        <v/>
      </c>
      <c r="I1390">
        <f>IF(H1389=0,1,SUMPRODUCT(J1389:N1389,B1390:F1390)+O1389*(1+0.00023125256064071564))</f>
        <v/>
      </c>
      <c r="J1390">
        <f>IF(G1390=1,0.2*R1390/B1390,J1389)</f>
        <v/>
      </c>
      <c r="K1390">
        <f>IF(G1390=1,0.2*R1390/C1390,K1389)</f>
        <v/>
      </c>
      <c r="L1390">
        <f>IF(G1390=1,0.2*R1390/D1390,L1389)</f>
        <v/>
      </c>
      <c r="M1390">
        <f>IF(G1390=1,0.2*R1390/E1390,M1389)</f>
        <v/>
      </c>
      <c r="N1390">
        <f>IF(G1390=1,0.2*R1390/F1390,N1389)</f>
        <v/>
      </c>
      <c r="O1390">
        <f>IF(G1390=1,R1390*(1-1.0),IF(H1389=0,1,O1389*(1+0.00023125256064071564)))</f>
        <v/>
      </c>
      <c r="P1390">
        <f>IF(G1390=1,IF(H1389=0,1,ABS(0.2-J1389*B1390/I1390)+ABS(0.2-K1389*C1390/I1390)+ABS(0.2-L1389*D1390/I1390)+ABS(0.2-M1389*E1390/I1390)+ABS(0.2-N1389*F1390/I1390)),0)</f>
        <v/>
      </c>
      <c r="Q1390">
        <f>P1390*0.0015</f>
        <v/>
      </c>
      <c r="R1390">
        <f>I1390*(1-Q1390)</f>
        <v/>
      </c>
      <c r="S1390">
        <f>R1390/R1389-1</f>
        <v/>
      </c>
      <c r="T1390">
        <f>MAX(T1389,R1390)</f>
        <v/>
      </c>
      <c r="U1390">
        <f>R1390/T1390-1</f>
        <v/>
      </c>
      <c r="V1390" t="n">
        <v>3.791790503671283</v>
      </c>
      <c r="W1390" s="5">
        <f>R1390-V1390</f>
        <v/>
      </c>
    </row>
    <row r="1391">
      <c r="A1391" s="3" t="n">
        <v>40485</v>
      </c>
      <c r="B1391">
        <f>Prices!B1391</f>
        <v/>
      </c>
      <c r="C1391">
        <f>Prices!C1391</f>
        <v/>
      </c>
      <c r="D1391">
        <f>Prices!D1391</f>
        <v/>
      </c>
      <c r="E1391">
        <f>Prices!E1391</f>
        <v/>
      </c>
      <c r="F1391">
        <f>Prices!F1391</f>
        <v/>
      </c>
      <c r="G1391">
        <f>IF(AND(1389&gt;=16,TEXT(A1391,"yyyy-mm")&lt;&gt;TEXT(A1392,"yyyy-mm")),1,0)</f>
        <v/>
      </c>
      <c r="H1391">
        <f>IF(OR(H1390=1,G1391=1),1,0)</f>
        <v/>
      </c>
      <c r="I1391">
        <f>IF(H1390=0,1,SUMPRODUCT(J1390:N1390,B1391:F1391)+O1390*(1+0.00023125256064071564))</f>
        <v/>
      </c>
      <c r="J1391">
        <f>IF(G1391=1,0.2*R1391/B1391,J1390)</f>
        <v/>
      </c>
      <c r="K1391">
        <f>IF(G1391=1,0.2*R1391/C1391,K1390)</f>
        <v/>
      </c>
      <c r="L1391">
        <f>IF(G1391=1,0.2*R1391/D1391,L1390)</f>
        <v/>
      </c>
      <c r="M1391">
        <f>IF(G1391=1,0.2*R1391/E1391,M1390)</f>
        <v/>
      </c>
      <c r="N1391">
        <f>IF(G1391=1,0.2*R1391/F1391,N1390)</f>
        <v/>
      </c>
      <c r="O1391">
        <f>IF(G1391=1,R1391*(1-1.0),IF(H1390=0,1,O1390*(1+0.00023125256064071564)))</f>
        <v/>
      </c>
      <c r="P1391">
        <f>IF(G1391=1,IF(H1390=0,1,ABS(0.2-J1390*B1391/I1391)+ABS(0.2-K1390*C1391/I1391)+ABS(0.2-L1390*D1391/I1391)+ABS(0.2-M1390*E1391/I1391)+ABS(0.2-N1390*F1391/I1391)),0)</f>
        <v/>
      </c>
      <c r="Q1391">
        <f>P1391*0.0015</f>
        <v/>
      </c>
      <c r="R1391">
        <f>I1391*(1-Q1391)</f>
        <v/>
      </c>
      <c r="S1391">
        <f>R1391/R1390-1</f>
        <v/>
      </c>
      <c r="T1391">
        <f>MAX(T1390,R1391)</f>
        <v/>
      </c>
      <c r="U1391">
        <f>R1391/T1391-1</f>
        <v/>
      </c>
      <c r="V1391" t="n">
        <v>3.812495928623344</v>
      </c>
      <c r="W1391" s="5">
        <f>R1391-V1391</f>
        <v/>
      </c>
    </row>
    <row r="1392">
      <c r="A1392" s="3" t="n">
        <v>40486</v>
      </c>
      <c r="B1392">
        <f>Prices!B1392</f>
        <v/>
      </c>
      <c r="C1392">
        <f>Prices!C1392</f>
        <v/>
      </c>
      <c r="D1392">
        <f>Prices!D1392</f>
        <v/>
      </c>
      <c r="E1392">
        <f>Prices!E1392</f>
        <v/>
      </c>
      <c r="F1392">
        <f>Prices!F1392</f>
        <v/>
      </c>
      <c r="G1392">
        <f>IF(AND(1390&gt;=16,TEXT(A1392,"yyyy-mm")&lt;&gt;TEXT(A1393,"yyyy-mm")),1,0)</f>
        <v/>
      </c>
      <c r="H1392">
        <f>IF(OR(H1391=1,G1392=1),1,0)</f>
        <v/>
      </c>
      <c r="I1392">
        <f>IF(H1391=0,1,SUMPRODUCT(J1391:N1391,B1392:F1392)+O1391*(1+0.00023125256064071564))</f>
        <v/>
      </c>
      <c r="J1392">
        <f>IF(G1392=1,0.2*R1392/B1392,J1391)</f>
        <v/>
      </c>
      <c r="K1392">
        <f>IF(G1392=1,0.2*R1392/C1392,K1391)</f>
        <v/>
      </c>
      <c r="L1392">
        <f>IF(G1392=1,0.2*R1392/D1392,L1391)</f>
        <v/>
      </c>
      <c r="M1392">
        <f>IF(G1392=1,0.2*R1392/E1392,M1391)</f>
        <v/>
      </c>
      <c r="N1392">
        <f>IF(G1392=1,0.2*R1392/F1392,N1391)</f>
        <v/>
      </c>
      <c r="O1392">
        <f>IF(G1392=1,R1392*(1-1.0),IF(H1391=0,1,O1391*(1+0.00023125256064071564)))</f>
        <v/>
      </c>
      <c r="P1392">
        <f>IF(G1392=1,IF(H1391=0,1,ABS(0.2-J1391*B1392/I1392)+ABS(0.2-K1391*C1392/I1392)+ABS(0.2-L1391*D1392/I1392)+ABS(0.2-M1391*E1392/I1392)+ABS(0.2-N1391*F1392/I1392)),0)</f>
        <v/>
      </c>
      <c r="Q1392">
        <f>P1392*0.0015</f>
        <v/>
      </c>
      <c r="R1392">
        <f>I1392*(1-Q1392)</f>
        <v/>
      </c>
      <c r="S1392">
        <f>R1392/R1391-1</f>
        <v/>
      </c>
      <c r="T1392">
        <f>MAX(T1391,R1392)</f>
        <v/>
      </c>
      <c r="U1392">
        <f>R1392/T1392-1</f>
        <v/>
      </c>
      <c r="V1392" t="n">
        <v>3.850745987353709</v>
      </c>
      <c r="W1392" s="5">
        <f>R1392-V1392</f>
        <v/>
      </c>
    </row>
    <row r="1393">
      <c r="A1393" s="3" t="n">
        <v>40487</v>
      </c>
      <c r="B1393">
        <f>Prices!B1393</f>
        <v/>
      </c>
      <c r="C1393">
        <f>Prices!C1393</f>
        <v/>
      </c>
      <c r="D1393">
        <f>Prices!D1393</f>
        <v/>
      </c>
      <c r="E1393">
        <f>Prices!E1393</f>
        <v/>
      </c>
      <c r="F1393">
        <f>Prices!F1393</f>
        <v/>
      </c>
      <c r="G1393">
        <f>IF(AND(1391&gt;=16,TEXT(A1393,"yyyy-mm")&lt;&gt;TEXT(A1394,"yyyy-mm")),1,0)</f>
        <v/>
      </c>
      <c r="H1393">
        <f>IF(OR(H1392=1,G1393=1),1,0)</f>
        <v/>
      </c>
      <c r="I1393">
        <f>IF(H1392=0,1,SUMPRODUCT(J1392:N1392,B1393:F1393)+O1392*(1+0.00023125256064071564))</f>
        <v/>
      </c>
      <c r="J1393">
        <f>IF(G1393=1,0.2*R1393/B1393,J1392)</f>
        <v/>
      </c>
      <c r="K1393">
        <f>IF(G1393=1,0.2*R1393/C1393,K1392)</f>
        <v/>
      </c>
      <c r="L1393">
        <f>IF(G1393=1,0.2*R1393/D1393,L1392)</f>
        <v/>
      </c>
      <c r="M1393">
        <f>IF(G1393=1,0.2*R1393/E1393,M1392)</f>
        <v/>
      </c>
      <c r="N1393">
        <f>IF(G1393=1,0.2*R1393/F1393,N1392)</f>
        <v/>
      </c>
      <c r="O1393">
        <f>IF(G1393=1,R1393*(1-1.0),IF(H1392=0,1,O1392*(1+0.00023125256064071564)))</f>
        <v/>
      </c>
      <c r="P1393">
        <f>IF(G1393=1,IF(H1392=0,1,ABS(0.2-J1392*B1393/I1393)+ABS(0.2-K1392*C1393/I1393)+ABS(0.2-L1392*D1393/I1393)+ABS(0.2-M1392*E1393/I1393)+ABS(0.2-N1392*F1393/I1393)),0)</f>
        <v/>
      </c>
      <c r="Q1393">
        <f>P1393*0.0015</f>
        <v/>
      </c>
      <c r="R1393">
        <f>I1393*(1-Q1393)</f>
        <v/>
      </c>
      <c r="S1393">
        <f>R1393/R1392-1</f>
        <v/>
      </c>
      <c r="T1393">
        <f>MAX(T1392,R1393)</f>
        <v/>
      </c>
      <c r="U1393">
        <f>R1393/T1393-1</f>
        <v/>
      </c>
      <c r="V1393" t="n">
        <v>3.870831734927292</v>
      </c>
      <c r="W1393" s="5">
        <f>R1393-V1393</f>
        <v/>
      </c>
    </row>
    <row r="1394">
      <c r="A1394" s="3" t="n">
        <v>40490</v>
      </c>
      <c r="B1394">
        <f>Prices!B1394</f>
        <v/>
      </c>
      <c r="C1394">
        <f>Prices!C1394</f>
        <v/>
      </c>
      <c r="D1394">
        <f>Prices!D1394</f>
        <v/>
      </c>
      <c r="E1394">
        <f>Prices!E1394</f>
        <v/>
      </c>
      <c r="F1394">
        <f>Prices!F1394</f>
        <v/>
      </c>
      <c r="G1394">
        <f>IF(AND(1392&gt;=16,TEXT(A1394,"yyyy-mm")&lt;&gt;TEXT(A1395,"yyyy-mm")),1,0)</f>
        <v/>
      </c>
      <c r="H1394">
        <f>IF(OR(H1393=1,G1394=1),1,0)</f>
        <v/>
      </c>
      <c r="I1394">
        <f>IF(H1393=0,1,SUMPRODUCT(J1393:N1393,B1394:F1394)+O1393*(1+0.00023125256064071564))</f>
        <v/>
      </c>
      <c r="J1394">
        <f>IF(G1394=1,0.2*R1394/B1394,J1393)</f>
        <v/>
      </c>
      <c r="K1394">
        <f>IF(G1394=1,0.2*R1394/C1394,K1393)</f>
        <v/>
      </c>
      <c r="L1394">
        <f>IF(G1394=1,0.2*R1394/D1394,L1393)</f>
        <v/>
      </c>
      <c r="M1394">
        <f>IF(G1394=1,0.2*R1394/E1394,M1393)</f>
        <v/>
      </c>
      <c r="N1394">
        <f>IF(G1394=1,0.2*R1394/F1394,N1393)</f>
        <v/>
      </c>
      <c r="O1394">
        <f>IF(G1394=1,R1394*(1-1.0),IF(H1393=0,1,O1393*(1+0.00023125256064071564)))</f>
        <v/>
      </c>
      <c r="P1394">
        <f>IF(G1394=1,IF(H1393=0,1,ABS(0.2-J1393*B1394/I1394)+ABS(0.2-K1393*C1394/I1394)+ABS(0.2-L1393*D1394/I1394)+ABS(0.2-M1393*E1394/I1394)+ABS(0.2-N1393*F1394/I1394)),0)</f>
        <v/>
      </c>
      <c r="Q1394">
        <f>P1394*0.0015</f>
        <v/>
      </c>
      <c r="R1394">
        <f>I1394*(1-Q1394)</f>
        <v/>
      </c>
      <c r="S1394">
        <f>R1394/R1393-1</f>
        <v/>
      </c>
      <c r="T1394">
        <f>MAX(T1393,R1394)</f>
        <v/>
      </c>
      <c r="U1394">
        <f>R1394/T1394-1</f>
        <v/>
      </c>
      <c r="V1394" t="n">
        <v>3.857262538167286</v>
      </c>
      <c r="W1394" s="5">
        <f>R1394-V1394</f>
        <v/>
      </c>
    </row>
    <row r="1395">
      <c r="A1395" s="3" t="n">
        <v>40491</v>
      </c>
      <c r="B1395">
        <f>Prices!B1395</f>
        <v/>
      </c>
      <c r="C1395">
        <f>Prices!C1395</f>
        <v/>
      </c>
      <c r="D1395">
        <f>Prices!D1395</f>
        <v/>
      </c>
      <c r="E1395">
        <f>Prices!E1395</f>
        <v/>
      </c>
      <c r="F1395">
        <f>Prices!F1395</f>
        <v/>
      </c>
      <c r="G1395">
        <f>IF(AND(1393&gt;=16,TEXT(A1395,"yyyy-mm")&lt;&gt;TEXT(A1396,"yyyy-mm")),1,0)</f>
        <v/>
      </c>
      <c r="H1395">
        <f>IF(OR(H1394=1,G1395=1),1,0)</f>
        <v/>
      </c>
      <c r="I1395">
        <f>IF(H1394=0,1,SUMPRODUCT(J1394:N1394,B1395:F1395)+O1394*(1+0.00023125256064071564))</f>
        <v/>
      </c>
      <c r="J1395">
        <f>IF(G1395=1,0.2*R1395/B1395,J1394)</f>
        <v/>
      </c>
      <c r="K1395">
        <f>IF(G1395=1,0.2*R1395/C1395,K1394)</f>
        <v/>
      </c>
      <c r="L1395">
        <f>IF(G1395=1,0.2*R1395/D1395,L1394)</f>
        <v/>
      </c>
      <c r="M1395">
        <f>IF(G1395=1,0.2*R1395/E1395,M1394)</f>
        <v/>
      </c>
      <c r="N1395">
        <f>IF(G1395=1,0.2*R1395/F1395,N1394)</f>
        <v/>
      </c>
      <c r="O1395">
        <f>IF(G1395=1,R1395*(1-1.0),IF(H1394=0,1,O1394*(1+0.00023125256064071564)))</f>
        <v/>
      </c>
      <c r="P1395">
        <f>IF(G1395=1,IF(H1394=0,1,ABS(0.2-J1394*B1395/I1395)+ABS(0.2-K1394*C1395/I1395)+ABS(0.2-L1394*D1395/I1395)+ABS(0.2-M1394*E1395/I1395)+ABS(0.2-N1394*F1395/I1395)),0)</f>
        <v/>
      </c>
      <c r="Q1395">
        <f>P1395*0.0015</f>
        <v/>
      </c>
      <c r="R1395">
        <f>I1395*(1-Q1395)</f>
        <v/>
      </c>
      <c r="S1395">
        <f>R1395/R1394-1</f>
        <v/>
      </c>
      <c r="T1395">
        <f>MAX(T1394,R1395)</f>
        <v/>
      </c>
      <c r="U1395">
        <f>R1395/T1395-1</f>
        <v/>
      </c>
      <c r="V1395" t="n">
        <v>3.883939545704465</v>
      </c>
      <c r="W1395" s="5">
        <f>R1395-V1395</f>
        <v/>
      </c>
    </row>
    <row r="1396">
      <c r="A1396" s="3" t="n">
        <v>40492</v>
      </c>
      <c r="B1396">
        <f>Prices!B1396</f>
        <v/>
      </c>
      <c r="C1396">
        <f>Prices!C1396</f>
        <v/>
      </c>
      <c r="D1396">
        <f>Prices!D1396</f>
        <v/>
      </c>
      <c r="E1396">
        <f>Prices!E1396</f>
        <v/>
      </c>
      <c r="F1396">
        <f>Prices!F1396</f>
        <v/>
      </c>
      <c r="G1396">
        <f>IF(AND(1394&gt;=16,TEXT(A1396,"yyyy-mm")&lt;&gt;TEXT(A1397,"yyyy-mm")),1,0)</f>
        <v/>
      </c>
      <c r="H1396">
        <f>IF(OR(H1395=1,G1396=1),1,0)</f>
        <v/>
      </c>
      <c r="I1396">
        <f>IF(H1395=0,1,SUMPRODUCT(J1395:N1395,B1396:F1396)+O1395*(1+0.00023125256064071564))</f>
        <v/>
      </c>
      <c r="J1396">
        <f>IF(G1396=1,0.2*R1396/B1396,J1395)</f>
        <v/>
      </c>
      <c r="K1396">
        <f>IF(G1396=1,0.2*R1396/C1396,K1395)</f>
        <v/>
      </c>
      <c r="L1396">
        <f>IF(G1396=1,0.2*R1396/D1396,L1395)</f>
        <v/>
      </c>
      <c r="M1396">
        <f>IF(G1396=1,0.2*R1396/E1396,M1395)</f>
        <v/>
      </c>
      <c r="N1396">
        <f>IF(G1396=1,0.2*R1396/F1396,N1395)</f>
        <v/>
      </c>
      <c r="O1396">
        <f>IF(G1396=1,R1396*(1-1.0),IF(H1395=0,1,O1395*(1+0.00023125256064071564)))</f>
        <v/>
      </c>
      <c r="P1396">
        <f>IF(G1396=1,IF(H1395=0,1,ABS(0.2-J1395*B1396/I1396)+ABS(0.2-K1395*C1396/I1396)+ABS(0.2-L1395*D1396/I1396)+ABS(0.2-M1395*E1396/I1396)+ABS(0.2-N1395*F1396/I1396)),0)</f>
        <v/>
      </c>
      <c r="Q1396">
        <f>P1396*0.0015</f>
        <v/>
      </c>
      <c r="R1396">
        <f>I1396*(1-Q1396)</f>
        <v/>
      </c>
      <c r="S1396">
        <f>R1396/R1395-1</f>
        <v/>
      </c>
      <c r="T1396">
        <f>MAX(T1395,R1396)</f>
        <v/>
      </c>
      <c r="U1396">
        <f>R1396/T1396-1</f>
        <v/>
      </c>
      <c r="V1396" t="n">
        <v>3.898105710555946</v>
      </c>
      <c r="W1396" s="5">
        <f>R1396-V1396</f>
        <v/>
      </c>
    </row>
    <row r="1397">
      <c r="A1397" s="3" t="n">
        <v>40493</v>
      </c>
      <c r="B1397">
        <f>Prices!B1397</f>
        <v/>
      </c>
      <c r="C1397">
        <f>Prices!C1397</f>
        <v/>
      </c>
      <c r="D1397">
        <f>Prices!D1397</f>
        <v/>
      </c>
      <c r="E1397">
        <f>Prices!E1397</f>
        <v/>
      </c>
      <c r="F1397">
        <f>Prices!F1397</f>
        <v/>
      </c>
      <c r="G1397">
        <f>IF(AND(1395&gt;=16,TEXT(A1397,"yyyy-mm")&lt;&gt;TEXT(A1398,"yyyy-mm")),1,0)</f>
        <v/>
      </c>
      <c r="H1397">
        <f>IF(OR(H1396=1,G1397=1),1,0)</f>
        <v/>
      </c>
      <c r="I1397">
        <f>IF(H1396=0,1,SUMPRODUCT(J1396:N1396,B1397:F1397)+O1396*(1+0.00023125256064071564))</f>
        <v/>
      </c>
      <c r="J1397">
        <f>IF(G1397=1,0.2*R1397/B1397,J1396)</f>
        <v/>
      </c>
      <c r="K1397">
        <f>IF(G1397=1,0.2*R1397/C1397,K1396)</f>
        <v/>
      </c>
      <c r="L1397">
        <f>IF(G1397=1,0.2*R1397/D1397,L1396)</f>
        <v/>
      </c>
      <c r="M1397">
        <f>IF(G1397=1,0.2*R1397/E1397,M1396)</f>
        <v/>
      </c>
      <c r="N1397">
        <f>IF(G1397=1,0.2*R1397/F1397,N1396)</f>
        <v/>
      </c>
      <c r="O1397">
        <f>IF(G1397=1,R1397*(1-1.0),IF(H1396=0,1,O1396*(1+0.00023125256064071564)))</f>
        <v/>
      </c>
      <c r="P1397">
        <f>IF(G1397=1,IF(H1396=0,1,ABS(0.2-J1396*B1397/I1397)+ABS(0.2-K1396*C1397/I1397)+ABS(0.2-L1396*D1397/I1397)+ABS(0.2-M1396*E1397/I1397)+ABS(0.2-N1396*F1397/I1397)),0)</f>
        <v/>
      </c>
      <c r="Q1397">
        <f>P1397*0.0015</f>
        <v/>
      </c>
      <c r="R1397">
        <f>I1397*(1-Q1397)</f>
        <v/>
      </c>
      <c r="S1397">
        <f>R1397/R1396-1</f>
        <v/>
      </c>
      <c r="T1397">
        <f>MAX(T1396,R1397)</f>
        <v/>
      </c>
      <c r="U1397">
        <f>R1397/T1397-1</f>
        <v/>
      </c>
      <c r="V1397" t="n">
        <v>3.857085494563158</v>
      </c>
      <c r="W1397" s="5">
        <f>R1397-V1397</f>
        <v/>
      </c>
    </row>
    <row r="1398">
      <c r="A1398" s="3" t="n">
        <v>40494</v>
      </c>
      <c r="B1398">
        <f>Prices!B1398</f>
        <v/>
      </c>
      <c r="C1398">
        <f>Prices!C1398</f>
        <v/>
      </c>
      <c r="D1398">
        <f>Prices!D1398</f>
        <v/>
      </c>
      <c r="E1398">
        <f>Prices!E1398</f>
        <v/>
      </c>
      <c r="F1398">
        <f>Prices!F1398</f>
        <v/>
      </c>
      <c r="G1398">
        <f>IF(AND(1396&gt;=16,TEXT(A1398,"yyyy-mm")&lt;&gt;TEXT(A1399,"yyyy-mm")),1,0)</f>
        <v/>
      </c>
      <c r="H1398">
        <f>IF(OR(H1397=1,G1398=1),1,0)</f>
        <v/>
      </c>
      <c r="I1398">
        <f>IF(H1397=0,1,SUMPRODUCT(J1397:N1397,B1398:F1398)+O1397*(1+0.00023125256064071564))</f>
        <v/>
      </c>
      <c r="J1398">
        <f>IF(G1398=1,0.2*R1398/B1398,J1397)</f>
        <v/>
      </c>
      <c r="K1398">
        <f>IF(G1398=1,0.2*R1398/C1398,K1397)</f>
        <v/>
      </c>
      <c r="L1398">
        <f>IF(G1398=1,0.2*R1398/D1398,L1397)</f>
        <v/>
      </c>
      <c r="M1398">
        <f>IF(G1398=1,0.2*R1398/E1398,M1397)</f>
        <v/>
      </c>
      <c r="N1398">
        <f>IF(G1398=1,0.2*R1398/F1398,N1397)</f>
        <v/>
      </c>
      <c r="O1398">
        <f>IF(G1398=1,R1398*(1-1.0),IF(H1397=0,1,O1397*(1+0.00023125256064071564)))</f>
        <v/>
      </c>
      <c r="P1398">
        <f>IF(G1398=1,IF(H1397=0,1,ABS(0.2-J1397*B1398/I1398)+ABS(0.2-K1397*C1398/I1398)+ABS(0.2-L1397*D1398/I1398)+ABS(0.2-M1397*E1398/I1398)+ABS(0.2-N1397*F1398/I1398)),0)</f>
        <v/>
      </c>
      <c r="Q1398">
        <f>P1398*0.0015</f>
        <v/>
      </c>
      <c r="R1398">
        <f>I1398*(1-Q1398)</f>
        <v/>
      </c>
      <c r="S1398">
        <f>R1398/R1397-1</f>
        <v/>
      </c>
      <c r="T1398">
        <f>MAX(T1397,R1398)</f>
        <v/>
      </c>
      <c r="U1398">
        <f>R1398/T1398-1</f>
        <v/>
      </c>
      <c r="V1398" t="n">
        <v>3.77650236420493</v>
      </c>
      <c r="W1398" s="5">
        <f>R1398-V1398</f>
        <v/>
      </c>
    </row>
    <row r="1399">
      <c r="A1399" s="3" t="n">
        <v>40497</v>
      </c>
      <c r="B1399">
        <f>Prices!B1399</f>
        <v/>
      </c>
      <c r="C1399">
        <f>Prices!C1399</f>
        <v/>
      </c>
      <c r="D1399">
        <f>Prices!D1399</f>
        <v/>
      </c>
      <c r="E1399">
        <f>Prices!E1399</f>
        <v/>
      </c>
      <c r="F1399">
        <f>Prices!F1399</f>
        <v/>
      </c>
      <c r="G1399">
        <f>IF(AND(1397&gt;=16,TEXT(A1399,"yyyy-mm")&lt;&gt;TEXT(A1400,"yyyy-mm")),1,0)</f>
        <v/>
      </c>
      <c r="H1399">
        <f>IF(OR(H1398=1,G1399=1),1,0)</f>
        <v/>
      </c>
      <c r="I1399">
        <f>IF(H1398=0,1,SUMPRODUCT(J1398:N1398,B1399:F1399)+O1398*(1+0.00023125256064071564))</f>
        <v/>
      </c>
      <c r="J1399">
        <f>IF(G1399=1,0.2*R1399/B1399,J1398)</f>
        <v/>
      </c>
      <c r="K1399">
        <f>IF(G1399=1,0.2*R1399/C1399,K1398)</f>
        <v/>
      </c>
      <c r="L1399">
        <f>IF(G1399=1,0.2*R1399/D1399,L1398)</f>
        <v/>
      </c>
      <c r="M1399">
        <f>IF(G1399=1,0.2*R1399/E1399,M1398)</f>
        <v/>
      </c>
      <c r="N1399">
        <f>IF(G1399=1,0.2*R1399/F1399,N1398)</f>
        <v/>
      </c>
      <c r="O1399">
        <f>IF(G1399=1,R1399*(1-1.0),IF(H1398=0,1,O1398*(1+0.00023125256064071564)))</f>
        <v/>
      </c>
      <c r="P1399">
        <f>IF(G1399=1,IF(H1398=0,1,ABS(0.2-J1398*B1399/I1399)+ABS(0.2-K1398*C1399/I1399)+ABS(0.2-L1398*D1399/I1399)+ABS(0.2-M1398*E1399/I1399)+ABS(0.2-N1398*F1399/I1399)),0)</f>
        <v/>
      </c>
      <c r="Q1399">
        <f>P1399*0.0015</f>
        <v/>
      </c>
      <c r="R1399">
        <f>I1399*(1-Q1399)</f>
        <v/>
      </c>
      <c r="S1399">
        <f>R1399/R1398-1</f>
        <v/>
      </c>
      <c r="T1399">
        <f>MAX(T1398,R1399)</f>
        <v/>
      </c>
      <c r="U1399">
        <f>R1399/T1399-1</f>
        <v/>
      </c>
      <c r="V1399" t="n">
        <v>3.795769723261017</v>
      </c>
      <c r="W1399" s="5">
        <f>R1399-V1399</f>
        <v/>
      </c>
    </row>
    <row r="1400">
      <c r="A1400" s="3" t="n">
        <v>40498</v>
      </c>
      <c r="B1400">
        <f>Prices!B1400</f>
        <v/>
      </c>
      <c r="C1400">
        <f>Prices!C1400</f>
        <v/>
      </c>
      <c r="D1400">
        <f>Prices!D1400</f>
        <v/>
      </c>
      <c r="E1400">
        <f>Prices!E1400</f>
        <v/>
      </c>
      <c r="F1400">
        <f>Prices!F1400</f>
        <v/>
      </c>
      <c r="G1400">
        <f>IF(AND(1398&gt;=16,TEXT(A1400,"yyyy-mm")&lt;&gt;TEXT(A1401,"yyyy-mm")),1,0)</f>
        <v/>
      </c>
      <c r="H1400">
        <f>IF(OR(H1399=1,G1400=1),1,0)</f>
        <v/>
      </c>
      <c r="I1400">
        <f>IF(H1399=0,1,SUMPRODUCT(J1399:N1399,B1400:F1400)+O1399*(1+0.00023125256064071564))</f>
        <v/>
      </c>
      <c r="J1400">
        <f>IF(G1400=1,0.2*R1400/B1400,J1399)</f>
        <v/>
      </c>
      <c r="K1400">
        <f>IF(G1400=1,0.2*R1400/C1400,K1399)</f>
        <v/>
      </c>
      <c r="L1400">
        <f>IF(G1400=1,0.2*R1400/D1400,L1399)</f>
        <v/>
      </c>
      <c r="M1400">
        <f>IF(G1400=1,0.2*R1400/E1400,M1399)</f>
        <v/>
      </c>
      <c r="N1400">
        <f>IF(G1400=1,0.2*R1400/F1400,N1399)</f>
        <v/>
      </c>
      <c r="O1400">
        <f>IF(G1400=1,R1400*(1-1.0),IF(H1399=0,1,O1399*(1+0.00023125256064071564)))</f>
        <v/>
      </c>
      <c r="P1400">
        <f>IF(G1400=1,IF(H1399=0,1,ABS(0.2-J1399*B1400/I1400)+ABS(0.2-K1399*C1400/I1400)+ABS(0.2-L1399*D1400/I1400)+ABS(0.2-M1399*E1400/I1400)+ABS(0.2-N1399*F1400/I1400)),0)</f>
        <v/>
      </c>
      <c r="Q1400">
        <f>P1400*0.0015</f>
        <v/>
      </c>
      <c r="R1400">
        <f>I1400*(1-Q1400)</f>
        <v/>
      </c>
      <c r="S1400">
        <f>R1400/R1399-1</f>
        <v/>
      </c>
      <c r="T1400">
        <f>MAX(T1399,R1400)</f>
        <v/>
      </c>
      <c r="U1400">
        <f>R1400/T1400-1</f>
        <v/>
      </c>
      <c r="V1400" t="n">
        <v>3.716152306676404</v>
      </c>
      <c r="W1400" s="5">
        <f>R1400-V1400</f>
        <v/>
      </c>
    </row>
    <row r="1401">
      <c r="A1401" s="3" t="n">
        <v>40500</v>
      </c>
      <c r="B1401">
        <f>Prices!B1401</f>
        <v/>
      </c>
      <c r="C1401">
        <f>Prices!C1401</f>
        <v/>
      </c>
      <c r="D1401">
        <f>Prices!D1401</f>
        <v/>
      </c>
      <c r="E1401">
        <f>Prices!E1401</f>
        <v/>
      </c>
      <c r="F1401">
        <f>Prices!F1401</f>
        <v/>
      </c>
      <c r="G1401">
        <f>IF(AND(1399&gt;=16,TEXT(A1401,"yyyy-mm")&lt;&gt;TEXT(A1402,"yyyy-mm")),1,0)</f>
        <v/>
      </c>
      <c r="H1401">
        <f>IF(OR(H1400=1,G1401=1),1,0)</f>
        <v/>
      </c>
      <c r="I1401">
        <f>IF(H1400=0,1,SUMPRODUCT(J1400:N1400,B1401:F1401)+O1400*(1+0.00023125256064071564))</f>
        <v/>
      </c>
      <c r="J1401">
        <f>IF(G1401=1,0.2*R1401/B1401,J1400)</f>
        <v/>
      </c>
      <c r="K1401">
        <f>IF(G1401=1,0.2*R1401/C1401,K1400)</f>
        <v/>
      </c>
      <c r="L1401">
        <f>IF(G1401=1,0.2*R1401/D1401,L1400)</f>
        <v/>
      </c>
      <c r="M1401">
        <f>IF(G1401=1,0.2*R1401/E1401,M1400)</f>
        <v/>
      </c>
      <c r="N1401">
        <f>IF(G1401=1,0.2*R1401/F1401,N1400)</f>
        <v/>
      </c>
      <c r="O1401">
        <f>IF(G1401=1,R1401*(1-1.0),IF(H1400=0,1,O1400*(1+0.00023125256064071564)))</f>
        <v/>
      </c>
      <c r="P1401">
        <f>IF(G1401=1,IF(H1400=0,1,ABS(0.2-J1400*B1401/I1401)+ABS(0.2-K1400*C1401/I1401)+ABS(0.2-L1400*D1401/I1401)+ABS(0.2-M1400*E1401/I1401)+ABS(0.2-N1400*F1401/I1401)),0)</f>
        <v/>
      </c>
      <c r="Q1401">
        <f>P1401*0.0015</f>
        <v/>
      </c>
      <c r="R1401">
        <f>I1401*(1-Q1401)</f>
        <v/>
      </c>
      <c r="S1401">
        <f>R1401/R1400-1</f>
        <v/>
      </c>
      <c r="T1401">
        <f>MAX(T1400,R1401)</f>
        <v/>
      </c>
      <c r="U1401">
        <f>R1401/T1401-1</f>
        <v/>
      </c>
      <c r="V1401" t="n">
        <v>3.722539049765009</v>
      </c>
      <c r="W1401" s="5">
        <f>R1401-V1401</f>
        <v/>
      </c>
    </row>
    <row r="1402">
      <c r="A1402" s="3" t="n">
        <v>40501</v>
      </c>
      <c r="B1402">
        <f>Prices!B1402</f>
        <v/>
      </c>
      <c r="C1402">
        <f>Prices!C1402</f>
        <v/>
      </c>
      <c r="D1402">
        <f>Prices!D1402</f>
        <v/>
      </c>
      <c r="E1402">
        <f>Prices!E1402</f>
        <v/>
      </c>
      <c r="F1402">
        <f>Prices!F1402</f>
        <v/>
      </c>
      <c r="G1402">
        <f>IF(AND(1400&gt;=16,TEXT(A1402,"yyyy-mm")&lt;&gt;TEXT(A1403,"yyyy-mm")),1,0)</f>
        <v/>
      </c>
      <c r="H1402">
        <f>IF(OR(H1401=1,G1402=1),1,0)</f>
        <v/>
      </c>
      <c r="I1402">
        <f>IF(H1401=0,1,SUMPRODUCT(J1401:N1401,B1402:F1402)+O1401*(1+0.00023125256064071564))</f>
        <v/>
      </c>
      <c r="J1402">
        <f>IF(G1402=1,0.2*R1402/B1402,J1401)</f>
        <v/>
      </c>
      <c r="K1402">
        <f>IF(G1402=1,0.2*R1402/C1402,K1401)</f>
        <v/>
      </c>
      <c r="L1402">
        <f>IF(G1402=1,0.2*R1402/D1402,L1401)</f>
        <v/>
      </c>
      <c r="M1402">
        <f>IF(G1402=1,0.2*R1402/E1402,M1401)</f>
        <v/>
      </c>
      <c r="N1402">
        <f>IF(G1402=1,0.2*R1402/F1402,N1401)</f>
        <v/>
      </c>
      <c r="O1402">
        <f>IF(G1402=1,R1402*(1-1.0),IF(H1401=0,1,O1401*(1+0.00023125256064071564)))</f>
        <v/>
      </c>
      <c r="P1402">
        <f>IF(G1402=1,IF(H1401=0,1,ABS(0.2-J1401*B1402/I1402)+ABS(0.2-K1401*C1402/I1402)+ABS(0.2-L1401*D1402/I1402)+ABS(0.2-M1401*E1402/I1402)+ABS(0.2-N1401*F1402/I1402)),0)</f>
        <v/>
      </c>
      <c r="Q1402">
        <f>P1402*0.0015</f>
        <v/>
      </c>
      <c r="R1402">
        <f>I1402*(1-Q1402)</f>
        <v/>
      </c>
      <c r="S1402">
        <f>R1402/R1401-1</f>
        <v/>
      </c>
      <c r="T1402">
        <f>MAX(T1401,R1402)</f>
        <v/>
      </c>
      <c r="U1402">
        <f>R1402/T1402-1</f>
        <v/>
      </c>
      <c r="V1402" t="n">
        <v>3.651083560926499</v>
      </c>
      <c r="W1402" s="5">
        <f>R1402-V1402</f>
        <v/>
      </c>
    </row>
    <row r="1403">
      <c r="A1403" s="3" t="n">
        <v>40504</v>
      </c>
      <c r="B1403">
        <f>Prices!B1403</f>
        <v/>
      </c>
      <c r="C1403">
        <f>Prices!C1403</f>
        <v/>
      </c>
      <c r="D1403">
        <f>Prices!D1403</f>
        <v/>
      </c>
      <c r="E1403">
        <f>Prices!E1403</f>
        <v/>
      </c>
      <c r="F1403">
        <f>Prices!F1403</f>
        <v/>
      </c>
      <c r="G1403">
        <f>IF(AND(1401&gt;=16,TEXT(A1403,"yyyy-mm")&lt;&gt;TEXT(A1404,"yyyy-mm")),1,0)</f>
        <v/>
      </c>
      <c r="H1403">
        <f>IF(OR(H1402=1,G1403=1),1,0)</f>
        <v/>
      </c>
      <c r="I1403">
        <f>IF(H1402=0,1,SUMPRODUCT(J1402:N1402,B1403:F1403)+O1402*(1+0.00023125256064071564))</f>
        <v/>
      </c>
      <c r="J1403">
        <f>IF(G1403=1,0.2*R1403/B1403,J1402)</f>
        <v/>
      </c>
      <c r="K1403">
        <f>IF(G1403=1,0.2*R1403/C1403,K1402)</f>
        <v/>
      </c>
      <c r="L1403">
        <f>IF(G1403=1,0.2*R1403/D1403,L1402)</f>
        <v/>
      </c>
      <c r="M1403">
        <f>IF(G1403=1,0.2*R1403/E1403,M1402)</f>
        <v/>
      </c>
      <c r="N1403">
        <f>IF(G1403=1,0.2*R1403/F1403,N1402)</f>
        <v/>
      </c>
      <c r="O1403">
        <f>IF(G1403=1,R1403*(1-1.0),IF(H1402=0,1,O1402*(1+0.00023125256064071564)))</f>
        <v/>
      </c>
      <c r="P1403">
        <f>IF(G1403=1,IF(H1402=0,1,ABS(0.2-J1402*B1403/I1403)+ABS(0.2-K1402*C1403/I1403)+ABS(0.2-L1402*D1403/I1403)+ABS(0.2-M1402*E1403/I1403)+ABS(0.2-N1402*F1403/I1403)),0)</f>
        <v/>
      </c>
      <c r="Q1403">
        <f>P1403*0.0015</f>
        <v/>
      </c>
      <c r="R1403">
        <f>I1403*(1-Q1403)</f>
        <v/>
      </c>
      <c r="S1403">
        <f>R1403/R1402-1</f>
        <v/>
      </c>
      <c r="T1403">
        <f>MAX(T1402,R1403)</f>
        <v/>
      </c>
      <c r="U1403">
        <f>R1403/T1403-1</f>
        <v/>
      </c>
      <c r="V1403" t="n">
        <v>3.709519648807718</v>
      </c>
      <c r="W1403" s="5">
        <f>R1403-V1403</f>
        <v/>
      </c>
    </row>
    <row r="1404">
      <c r="A1404" s="3" t="n">
        <v>40505</v>
      </c>
      <c r="B1404">
        <f>Prices!B1404</f>
        <v/>
      </c>
      <c r="C1404">
        <f>Prices!C1404</f>
        <v/>
      </c>
      <c r="D1404">
        <f>Prices!D1404</f>
        <v/>
      </c>
      <c r="E1404">
        <f>Prices!E1404</f>
        <v/>
      </c>
      <c r="F1404">
        <f>Prices!F1404</f>
        <v/>
      </c>
      <c r="G1404">
        <f>IF(AND(1402&gt;=16,TEXT(A1404,"yyyy-mm")&lt;&gt;TEXT(A1405,"yyyy-mm")),1,0)</f>
        <v/>
      </c>
      <c r="H1404">
        <f>IF(OR(H1403=1,G1404=1),1,0)</f>
        <v/>
      </c>
      <c r="I1404">
        <f>IF(H1403=0,1,SUMPRODUCT(J1403:N1403,B1404:F1404)+O1403*(1+0.00023125256064071564))</f>
        <v/>
      </c>
      <c r="J1404">
        <f>IF(G1404=1,0.2*R1404/B1404,J1403)</f>
        <v/>
      </c>
      <c r="K1404">
        <f>IF(G1404=1,0.2*R1404/C1404,K1403)</f>
        <v/>
      </c>
      <c r="L1404">
        <f>IF(G1404=1,0.2*R1404/D1404,L1403)</f>
        <v/>
      </c>
      <c r="M1404">
        <f>IF(G1404=1,0.2*R1404/E1404,M1403)</f>
        <v/>
      </c>
      <c r="N1404">
        <f>IF(G1404=1,0.2*R1404/F1404,N1403)</f>
        <v/>
      </c>
      <c r="O1404">
        <f>IF(G1404=1,R1404*(1-1.0),IF(H1403=0,1,O1403*(1+0.00023125256064071564)))</f>
        <v/>
      </c>
      <c r="P1404">
        <f>IF(G1404=1,IF(H1403=0,1,ABS(0.2-J1403*B1404/I1404)+ABS(0.2-K1403*C1404/I1404)+ABS(0.2-L1403*D1404/I1404)+ABS(0.2-M1403*E1404/I1404)+ABS(0.2-N1403*F1404/I1404)),0)</f>
        <v/>
      </c>
      <c r="Q1404">
        <f>P1404*0.0015</f>
        <v/>
      </c>
      <c r="R1404">
        <f>I1404*(1-Q1404)</f>
        <v/>
      </c>
      <c r="S1404">
        <f>R1404/R1403-1</f>
        <v/>
      </c>
      <c r="T1404">
        <f>MAX(T1403,R1404)</f>
        <v/>
      </c>
      <c r="U1404">
        <f>R1404/T1404-1</f>
        <v/>
      </c>
      <c r="V1404" t="n">
        <v>3.675525587727802</v>
      </c>
      <c r="W1404" s="5">
        <f>R1404-V1404</f>
        <v/>
      </c>
    </row>
    <row r="1405">
      <c r="A1405" s="3" t="n">
        <v>40506</v>
      </c>
      <c r="B1405">
        <f>Prices!B1405</f>
        <v/>
      </c>
      <c r="C1405">
        <f>Prices!C1405</f>
        <v/>
      </c>
      <c r="D1405">
        <f>Prices!D1405</f>
        <v/>
      </c>
      <c r="E1405">
        <f>Prices!E1405</f>
        <v/>
      </c>
      <c r="F1405">
        <f>Prices!F1405</f>
        <v/>
      </c>
      <c r="G1405">
        <f>IF(AND(1403&gt;=16,TEXT(A1405,"yyyy-mm")&lt;&gt;TEXT(A1406,"yyyy-mm")),1,0)</f>
        <v/>
      </c>
      <c r="H1405">
        <f>IF(OR(H1404=1,G1405=1),1,0)</f>
        <v/>
      </c>
      <c r="I1405">
        <f>IF(H1404=0,1,SUMPRODUCT(J1404:N1404,B1405:F1405)+O1404*(1+0.00023125256064071564))</f>
        <v/>
      </c>
      <c r="J1405">
        <f>IF(G1405=1,0.2*R1405/B1405,J1404)</f>
        <v/>
      </c>
      <c r="K1405">
        <f>IF(G1405=1,0.2*R1405/C1405,K1404)</f>
        <v/>
      </c>
      <c r="L1405">
        <f>IF(G1405=1,0.2*R1405/D1405,L1404)</f>
        <v/>
      </c>
      <c r="M1405">
        <f>IF(G1405=1,0.2*R1405/E1405,M1404)</f>
        <v/>
      </c>
      <c r="N1405">
        <f>IF(G1405=1,0.2*R1405/F1405,N1404)</f>
        <v/>
      </c>
      <c r="O1405">
        <f>IF(G1405=1,R1405*(1-1.0),IF(H1404=0,1,O1404*(1+0.00023125256064071564)))</f>
        <v/>
      </c>
      <c r="P1405">
        <f>IF(G1405=1,IF(H1404=0,1,ABS(0.2-J1404*B1405/I1405)+ABS(0.2-K1404*C1405/I1405)+ABS(0.2-L1404*D1405/I1405)+ABS(0.2-M1404*E1405/I1405)+ABS(0.2-N1404*F1405/I1405)),0)</f>
        <v/>
      </c>
      <c r="Q1405">
        <f>P1405*0.0015</f>
        <v/>
      </c>
      <c r="R1405">
        <f>I1405*(1-Q1405)</f>
        <v/>
      </c>
      <c r="S1405">
        <f>R1405/R1404-1</f>
        <v/>
      </c>
      <c r="T1405">
        <f>MAX(T1404,R1405)</f>
        <v/>
      </c>
      <c r="U1405">
        <f>R1405/T1405-1</f>
        <v/>
      </c>
      <c r="V1405" t="n">
        <v>3.628797424128349</v>
      </c>
      <c r="W1405" s="5">
        <f>R1405-V1405</f>
        <v/>
      </c>
    </row>
    <row r="1406">
      <c r="A1406" s="3" t="n">
        <v>40507</v>
      </c>
      <c r="B1406">
        <f>Prices!B1406</f>
        <v/>
      </c>
      <c r="C1406">
        <f>Prices!C1406</f>
        <v/>
      </c>
      <c r="D1406">
        <f>Prices!D1406</f>
        <v/>
      </c>
      <c r="E1406">
        <f>Prices!E1406</f>
        <v/>
      </c>
      <c r="F1406">
        <f>Prices!F1406</f>
        <v/>
      </c>
      <c r="G1406">
        <f>IF(AND(1404&gt;=16,TEXT(A1406,"yyyy-mm")&lt;&gt;TEXT(A1407,"yyyy-mm")),1,0)</f>
        <v/>
      </c>
      <c r="H1406">
        <f>IF(OR(H1405=1,G1406=1),1,0)</f>
        <v/>
      </c>
      <c r="I1406">
        <f>IF(H1405=0,1,SUMPRODUCT(J1405:N1405,B1406:F1406)+O1405*(1+0.00023125256064071564))</f>
        <v/>
      </c>
      <c r="J1406">
        <f>IF(G1406=1,0.2*R1406/B1406,J1405)</f>
        <v/>
      </c>
      <c r="K1406">
        <f>IF(G1406=1,0.2*R1406/C1406,K1405)</f>
        <v/>
      </c>
      <c r="L1406">
        <f>IF(G1406=1,0.2*R1406/D1406,L1405)</f>
        <v/>
      </c>
      <c r="M1406">
        <f>IF(G1406=1,0.2*R1406/E1406,M1405)</f>
        <v/>
      </c>
      <c r="N1406">
        <f>IF(G1406=1,0.2*R1406/F1406,N1405)</f>
        <v/>
      </c>
      <c r="O1406">
        <f>IF(G1406=1,R1406*(1-1.0),IF(H1405=0,1,O1405*(1+0.00023125256064071564)))</f>
        <v/>
      </c>
      <c r="P1406">
        <f>IF(G1406=1,IF(H1405=0,1,ABS(0.2-J1405*B1406/I1406)+ABS(0.2-K1405*C1406/I1406)+ABS(0.2-L1405*D1406/I1406)+ABS(0.2-M1405*E1406/I1406)+ABS(0.2-N1405*F1406/I1406)),0)</f>
        <v/>
      </c>
      <c r="Q1406">
        <f>P1406*0.0015</f>
        <v/>
      </c>
      <c r="R1406">
        <f>I1406*(1-Q1406)</f>
        <v/>
      </c>
      <c r="S1406">
        <f>R1406/R1405-1</f>
        <v/>
      </c>
      <c r="T1406">
        <f>MAX(T1405,R1406)</f>
        <v/>
      </c>
      <c r="U1406">
        <f>R1406/T1406-1</f>
        <v/>
      </c>
      <c r="V1406" t="n">
        <v>3.568437341378718</v>
      </c>
      <c r="W1406" s="5">
        <f>R1406-V1406</f>
        <v/>
      </c>
    </row>
    <row r="1407">
      <c r="A1407" s="3" t="n">
        <v>40508</v>
      </c>
      <c r="B1407">
        <f>Prices!B1407</f>
        <v/>
      </c>
      <c r="C1407">
        <f>Prices!C1407</f>
        <v/>
      </c>
      <c r="D1407">
        <f>Prices!D1407</f>
        <v/>
      </c>
      <c r="E1407">
        <f>Prices!E1407</f>
        <v/>
      </c>
      <c r="F1407">
        <f>Prices!F1407</f>
        <v/>
      </c>
      <c r="G1407">
        <f>IF(AND(1405&gt;=16,TEXT(A1407,"yyyy-mm")&lt;&gt;TEXT(A1408,"yyyy-mm")),1,0)</f>
        <v/>
      </c>
      <c r="H1407">
        <f>IF(OR(H1406=1,G1407=1),1,0)</f>
        <v/>
      </c>
      <c r="I1407">
        <f>IF(H1406=0,1,SUMPRODUCT(J1406:N1406,B1407:F1407)+O1406*(1+0.00023125256064071564))</f>
        <v/>
      </c>
      <c r="J1407">
        <f>IF(G1407=1,0.2*R1407/B1407,J1406)</f>
        <v/>
      </c>
      <c r="K1407">
        <f>IF(G1407=1,0.2*R1407/C1407,K1406)</f>
        <v/>
      </c>
      <c r="L1407">
        <f>IF(G1407=1,0.2*R1407/D1407,L1406)</f>
        <v/>
      </c>
      <c r="M1407">
        <f>IF(G1407=1,0.2*R1407/E1407,M1406)</f>
        <v/>
      </c>
      <c r="N1407">
        <f>IF(G1407=1,0.2*R1407/F1407,N1406)</f>
        <v/>
      </c>
      <c r="O1407">
        <f>IF(G1407=1,R1407*(1-1.0),IF(H1406=0,1,O1406*(1+0.00023125256064071564)))</f>
        <v/>
      </c>
      <c r="P1407">
        <f>IF(G1407=1,IF(H1406=0,1,ABS(0.2-J1406*B1407/I1407)+ABS(0.2-K1406*C1407/I1407)+ABS(0.2-L1406*D1407/I1407)+ABS(0.2-M1406*E1407/I1407)+ABS(0.2-N1406*F1407/I1407)),0)</f>
        <v/>
      </c>
      <c r="Q1407">
        <f>P1407*0.0015</f>
        <v/>
      </c>
      <c r="R1407">
        <f>I1407*(1-Q1407)</f>
        <v/>
      </c>
      <c r="S1407">
        <f>R1407/R1406-1</f>
        <v/>
      </c>
      <c r="T1407">
        <f>MAX(T1406,R1407)</f>
        <v/>
      </c>
      <c r="U1407">
        <f>R1407/T1407-1</f>
        <v/>
      </c>
      <c r="V1407" t="n">
        <v>3.503302439635421</v>
      </c>
      <c r="W1407" s="5">
        <f>R1407-V1407</f>
        <v/>
      </c>
    </row>
    <row r="1408">
      <c r="A1408" s="3" t="n">
        <v>40511</v>
      </c>
      <c r="B1408">
        <f>Prices!B1408</f>
        <v/>
      </c>
      <c r="C1408">
        <f>Prices!C1408</f>
        <v/>
      </c>
      <c r="D1408">
        <f>Prices!D1408</f>
        <v/>
      </c>
      <c r="E1408">
        <f>Prices!E1408</f>
        <v/>
      </c>
      <c r="F1408">
        <f>Prices!F1408</f>
        <v/>
      </c>
      <c r="G1408">
        <f>IF(AND(1406&gt;=16,TEXT(A1408,"yyyy-mm")&lt;&gt;TEXT(A1409,"yyyy-mm")),1,0)</f>
        <v/>
      </c>
      <c r="H1408">
        <f>IF(OR(H1407=1,G1408=1),1,0)</f>
        <v/>
      </c>
      <c r="I1408">
        <f>IF(H1407=0,1,SUMPRODUCT(J1407:N1407,B1408:F1408)+O1407*(1+0.00023125256064071564))</f>
        <v/>
      </c>
      <c r="J1408">
        <f>IF(G1408=1,0.2*R1408/B1408,J1407)</f>
        <v/>
      </c>
      <c r="K1408">
        <f>IF(G1408=1,0.2*R1408/C1408,K1407)</f>
        <v/>
      </c>
      <c r="L1408">
        <f>IF(G1408=1,0.2*R1408/D1408,L1407)</f>
        <v/>
      </c>
      <c r="M1408">
        <f>IF(G1408=1,0.2*R1408/E1408,M1407)</f>
        <v/>
      </c>
      <c r="N1408">
        <f>IF(G1408=1,0.2*R1408/F1408,N1407)</f>
        <v/>
      </c>
      <c r="O1408">
        <f>IF(G1408=1,R1408*(1-1.0),IF(H1407=0,1,O1407*(1+0.00023125256064071564)))</f>
        <v/>
      </c>
      <c r="P1408">
        <f>IF(G1408=1,IF(H1407=0,1,ABS(0.2-J1407*B1408/I1408)+ABS(0.2-K1407*C1408/I1408)+ABS(0.2-L1407*D1408/I1408)+ABS(0.2-M1407*E1408/I1408)+ABS(0.2-N1407*F1408/I1408)),0)</f>
        <v/>
      </c>
      <c r="Q1408">
        <f>P1408*0.0015</f>
        <v/>
      </c>
      <c r="R1408">
        <f>I1408*(1-Q1408)</f>
        <v/>
      </c>
      <c r="S1408">
        <f>R1408/R1407-1</f>
        <v/>
      </c>
      <c r="T1408">
        <f>MAX(T1407,R1408)</f>
        <v/>
      </c>
      <c r="U1408">
        <f>R1408/T1408-1</f>
        <v/>
      </c>
      <c r="V1408" t="n">
        <v>3.535180153870168</v>
      </c>
      <c r="W1408" s="5">
        <f>R1408-V1408</f>
        <v/>
      </c>
    </row>
    <row r="1409">
      <c r="A1409" s="3" t="n">
        <v>40512</v>
      </c>
      <c r="B1409">
        <f>Prices!B1409</f>
        <v/>
      </c>
      <c r="C1409">
        <f>Prices!C1409</f>
        <v/>
      </c>
      <c r="D1409">
        <f>Prices!D1409</f>
        <v/>
      </c>
      <c r="E1409">
        <f>Prices!E1409</f>
        <v/>
      </c>
      <c r="F1409">
        <f>Prices!F1409</f>
        <v/>
      </c>
      <c r="G1409">
        <f>IF(AND(1407&gt;=16,TEXT(A1409,"yyyy-mm")&lt;&gt;TEXT(A1410,"yyyy-mm")),1,0)</f>
        <v/>
      </c>
      <c r="H1409">
        <f>IF(OR(H1408=1,G1409=1),1,0)</f>
        <v/>
      </c>
      <c r="I1409">
        <f>IF(H1408=0,1,SUMPRODUCT(J1408:N1408,B1409:F1409)+O1408*(1+0.00023125256064071564))</f>
        <v/>
      </c>
      <c r="J1409">
        <f>IF(G1409=1,0.2*R1409/B1409,J1408)</f>
        <v/>
      </c>
      <c r="K1409">
        <f>IF(G1409=1,0.2*R1409/C1409,K1408)</f>
        <v/>
      </c>
      <c r="L1409">
        <f>IF(G1409=1,0.2*R1409/D1409,L1408)</f>
        <v/>
      </c>
      <c r="M1409">
        <f>IF(G1409=1,0.2*R1409/E1409,M1408)</f>
        <v/>
      </c>
      <c r="N1409">
        <f>IF(G1409=1,0.2*R1409/F1409,N1408)</f>
        <v/>
      </c>
      <c r="O1409">
        <f>IF(G1409=1,R1409*(1-1.0),IF(H1408=0,1,O1408*(1+0.00023125256064071564)))</f>
        <v/>
      </c>
      <c r="P1409">
        <f>IF(G1409=1,IF(H1408=0,1,ABS(0.2-J1408*B1409/I1409)+ABS(0.2-K1408*C1409/I1409)+ABS(0.2-L1408*D1409/I1409)+ABS(0.2-M1408*E1409/I1409)+ABS(0.2-N1408*F1409/I1409)),0)</f>
        <v/>
      </c>
      <c r="Q1409">
        <f>P1409*0.0015</f>
        <v/>
      </c>
      <c r="R1409">
        <f>I1409*(1-Q1409)</f>
        <v/>
      </c>
      <c r="S1409">
        <f>R1409/R1408-1</f>
        <v/>
      </c>
      <c r="T1409">
        <f>MAX(T1408,R1409)</f>
        <v/>
      </c>
      <c r="U1409">
        <f>R1409/T1409-1</f>
        <v/>
      </c>
      <c r="V1409" t="n">
        <v>3.57698553950061</v>
      </c>
      <c r="W1409" s="5">
        <f>R1409-V1409</f>
        <v/>
      </c>
    </row>
    <row r="1410">
      <c r="A1410" s="3" t="n">
        <v>40513</v>
      </c>
      <c r="B1410">
        <f>Prices!B1410</f>
        <v/>
      </c>
      <c r="C1410">
        <f>Prices!C1410</f>
        <v/>
      </c>
      <c r="D1410">
        <f>Prices!D1410</f>
        <v/>
      </c>
      <c r="E1410">
        <f>Prices!E1410</f>
        <v/>
      </c>
      <c r="F1410">
        <f>Prices!F1410</f>
        <v/>
      </c>
      <c r="G1410">
        <f>IF(AND(1408&gt;=16,TEXT(A1410,"yyyy-mm")&lt;&gt;TEXT(A1411,"yyyy-mm")),1,0)</f>
        <v/>
      </c>
      <c r="H1410">
        <f>IF(OR(H1409=1,G1410=1),1,0)</f>
        <v/>
      </c>
      <c r="I1410">
        <f>IF(H1409=0,1,SUMPRODUCT(J1409:N1409,B1410:F1410)+O1409*(1+0.00023125256064071564))</f>
        <v/>
      </c>
      <c r="J1410">
        <f>IF(G1410=1,0.2*R1410/B1410,J1409)</f>
        <v/>
      </c>
      <c r="K1410">
        <f>IF(G1410=1,0.2*R1410/C1410,K1409)</f>
        <v/>
      </c>
      <c r="L1410">
        <f>IF(G1410=1,0.2*R1410/D1410,L1409)</f>
        <v/>
      </c>
      <c r="M1410">
        <f>IF(G1410=1,0.2*R1410/E1410,M1409)</f>
        <v/>
      </c>
      <c r="N1410">
        <f>IF(G1410=1,0.2*R1410/F1410,N1409)</f>
        <v/>
      </c>
      <c r="O1410">
        <f>IF(G1410=1,R1410*(1-1.0),IF(H1409=0,1,O1409*(1+0.00023125256064071564)))</f>
        <v/>
      </c>
      <c r="P1410">
        <f>IF(G1410=1,IF(H1409=0,1,ABS(0.2-J1409*B1410/I1410)+ABS(0.2-K1409*C1410/I1410)+ABS(0.2-L1409*D1410/I1410)+ABS(0.2-M1409*E1410/I1410)+ABS(0.2-N1409*F1410/I1410)),0)</f>
        <v/>
      </c>
      <c r="Q1410">
        <f>P1410*0.0015</f>
        <v/>
      </c>
      <c r="R1410">
        <f>I1410*(1-Q1410)</f>
        <v/>
      </c>
      <c r="S1410">
        <f>R1410/R1409-1</f>
        <v/>
      </c>
      <c r="T1410">
        <f>MAX(T1409,R1410)</f>
        <v/>
      </c>
      <c r="U1410">
        <f>R1410/T1410-1</f>
        <v/>
      </c>
      <c r="V1410" t="n">
        <v>3.657571415598131</v>
      </c>
      <c r="W1410" s="5">
        <f>R1410-V1410</f>
        <v/>
      </c>
    </row>
    <row r="1411">
      <c r="A1411" s="3" t="n">
        <v>40514</v>
      </c>
      <c r="B1411">
        <f>Prices!B1411</f>
        <v/>
      </c>
      <c r="C1411">
        <f>Prices!C1411</f>
        <v/>
      </c>
      <c r="D1411">
        <f>Prices!D1411</f>
        <v/>
      </c>
      <c r="E1411">
        <f>Prices!E1411</f>
        <v/>
      </c>
      <c r="F1411">
        <f>Prices!F1411</f>
        <v/>
      </c>
      <c r="G1411">
        <f>IF(AND(1409&gt;=16,TEXT(A1411,"yyyy-mm")&lt;&gt;TEXT(A1412,"yyyy-mm")),1,0)</f>
        <v/>
      </c>
      <c r="H1411">
        <f>IF(OR(H1410=1,G1411=1),1,0)</f>
        <v/>
      </c>
      <c r="I1411">
        <f>IF(H1410=0,1,SUMPRODUCT(J1410:N1410,B1411:F1411)+O1410*(1+0.00023125256064071564))</f>
        <v/>
      </c>
      <c r="J1411">
        <f>IF(G1411=1,0.2*R1411/B1411,J1410)</f>
        <v/>
      </c>
      <c r="K1411">
        <f>IF(G1411=1,0.2*R1411/C1411,K1410)</f>
        <v/>
      </c>
      <c r="L1411">
        <f>IF(G1411=1,0.2*R1411/D1411,L1410)</f>
        <v/>
      </c>
      <c r="M1411">
        <f>IF(G1411=1,0.2*R1411/E1411,M1410)</f>
        <v/>
      </c>
      <c r="N1411">
        <f>IF(G1411=1,0.2*R1411/F1411,N1410)</f>
        <v/>
      </c>
      <c r="O1411">
        <f>IF(G1411=1,R1411*(1-1.0),IF(H1410=0,1,O1410*(1+0.00023125256064071564)))</f>
        <v/>
      </c>
      <c r="P1411">
        <f>IF(G1411=1,IF(H1410=0,1,ABS(0.2-J1410*B1411/I1411)+ABS(0.2-K1410*C1411/I1411)+ABS(0.2-L1410*D1411/I1411)+ABS(0.2-M1410*E1411/I1411)+ABS(0.2-N1410*F1411/I1411)),0)</f>
        <v/>
      </c>
      <c r="Q1411">
        <f>P1411*0.0015</f>
        <v/>
      </c>
      <c r="R1411">
        <f>I1411*(1-Q1411)</f>
        <v/>
      </c>
      <c r="S1411">
        <f>R1411/R1410-1</f>
        <v/>
      </c>
      <c r="T1411">
        <f>MAX(T1410,R1411)</f>
        <v/>
      </c>
      <c r="U1411">
        <f>R1411/T1411-1</f>
        <v/>
      </c>
      <c r="V1411" t="n">
        <v>3.688799615905821</v>
      </c>
      <c r="W1411" s="5">
        <f>R1411-V1411</f>
        <v/>
      </c>
    </row>
    <row r="1412">
      <c r="A1412" s="3" t="n">
        <v>40515</v>
      </c>
      <c r="B1412">
        <f>Prices!B1412</f>
        <v/>
      </c>
      <c r="C1412">
        <f>Prices!C1412</f>
        <v/>
      </c>
      <c r="D1412">
        <f>Prices!D1412</f>
        <v/>
      </c>
      <c r="E1412">
        <f>Prices!E1412</f>
        <v/>
      </c>
      <c r="F1412">
        <f>Prices!F1412</f>
        <v/>
      </c>
      <c r="G1412">
        <f>IF(AND(1410&gt;=16,TEXT(A1412,"yyyy-mm")&lt;&gt;TEXT(A1413,"yyyy-mm")),1,0)</f>
        <v/>
      </c>
      <c r="H1412">
        <f>IF(OR(H1411=1,G1412=1),1,0)</f>
        <v/>
      </c>
      <c r="I1412">
        <f>IF(H1411=0,1,SUMPRODUCT(J1411:N1411,B1412:F1412)+O1411*(1+0.00023125256064071564))</f>
        <v/>
      </c>
      <c r="J1412">
        <f>IF(G1412=1,0.2*R1412/B1412,J1411)</f>
        <v/>
      </c>
      <c r="K1412">
        <f>IF(G1412=1,0.2*R1412/C1412,K1411)</f>
        <v/>
      </c>
      <c r="L1412">
        <f>IF(G1412=1,0.2*R1412/D1412,L1411)</f>
        <v/>
      </c>
      <c r="M1412">
        <f>IF(G1412=1,0.2*R1412/E1412,M1411)</f>
        <v/>
      </c>
      <c r="N1412">
        <f>IF(G1412=1,0.2*R1412/F1412,N1411)</f>
        <v/>
      </c>
      <c r="O1412">
        <f>IF(G1412=1,R1412*(1-1.0),IF(H1411=0,1,O1411*(1+0.00023125256064071564)))</f>
        <v/>
      </c>
      <c r="P1412">
        <f>IF(G1412=1,IF(H1411=0,1,ABS(0.2-J1411*B1412/I1412)+ABS(0.2-K1411*C1412/I1412)+ABS(0.2-L1411*D1412/I1412)+ABS(0.2-M1411*E1412/I1412)+ABS(0.2-N1411*F1412/I1412)),0)</f>
        <v/>
      </c>
      <c r="Q1412">
        <f>P1412*0.0015</f>
        <v/>
      </c>
      <c r="R1412">
        <f>I1412*(1-Q1412)</f>
        <v/>
      </c>
      <c r="S1412">
        <f>R1412/R1411-1</f>
        <v/>
      </c>
      <c r="T1412">
        <f>MAX(T1411,R1412)</f>
        <v/>
      </c>
      <c r="U1412">
        <f>R1412/T1412-1</f>
        <v/>
      </c>
      <c r="V1412" t="n">
        <v>3.638797549878669</v>
      </c>
      <c r="W1412" s="5">
        <f>R1412-V1412</f>
        <v/>
      </c>
    </row>
    <row r="1413">
      <c r="A1413" s="3" t="n">
        <v>40518</v>
      </c>
      <c r="B1413">
        <f>Prices!B1413</f>
        <v/>
      </c>
      <c r="C1413">
        <f>Prices!C1413</f>
        <v/>
      </c>
      <c r="D1413">
        <f>Prices!D1413</f>
        <v/>
      </c>
      <c r="E1413">
        <f>Prices!E1413</f>
        <v/>
      </c>
      <c r="F1413">
        <f>Prices!F1413</f>
        <v/>
      </c>
      <c r="G1413">
        <f>IF(AND(1411&gt;=16,TEXT(A1413,"yyyy-mm")&lt;&gt;TEXT(A1414,"yyyy-mm")),1,0)</f>
        <v/>
      </c>
      <c r="H1413">
        <f>IF(OR(H1412=1,G1413=1),1,0)</f>
        <v/>
      </c>
      <c r="I1413">
        <f>IF(H1412=0,1,SUMPRODUCT(J1412:N1412,B1413:F1413)+O1412*(1+0.00023125256064071564))</f>
        <v/>
      </c>
      <c r="J1413">
        <f>IF(G1413=1,0.2*R1413/B1413,J1412)</f>
        <v/>
      </c>
      <c r="K1413">
        <f>IF(G1413=1,0.2*R1413/C1413,K1412)</f>
        <v/>
      </c>
      <c r="L1413">
        <f>IF(G1413=1,0.2*R1413/D1413,L1412)</f>
        <v/>
      </c>
      <c r="M1413">
        <f>IF(G1413=1,0.2*R1413/E1413,M1412)</f>
        <v/>
      </c>
      <c r="N1413">
        <f>IF(G1413=1,0.2*R1413/F1413,N1412)</f>
        <v/>
      </c>
      <c r="O1413">
        <f>IF(G1413=1,R1413*(1-1.0),IF(H1412=0,1,O1412*(1+0.00023125256064071564)))</f>
        <v/>
      </c>
      <c r="P1413">
        <f>IF(G1413=1,IF(H1412=0,1,ABS(0.2-J1412*B1413/I1413)+ABS(0.2-K1412*C1413/I1413)+ABS(0.2-L1412*D1413/I1413)+ABS(0.2-M1412*E1413/I1413)+ABS(0.2-N1412*F1413/I1413)),0)</f>
        <v/>
      </c>
      <c r="Q1413">
        <f>P1413*0.0015</f>
        <v/>
      </c>
      <c r="R1413">
        <f>I1413*(1-Q1413)</f>
        <v/>
      </c>
      <c r="S1413">
        <f>R1413/R1412-1</f>
        <v/>
      </c>
      <c r="T1413">
        <f>MAX(T1412,R1413)</f>
        <v/>
      </c>
      <c r="U1413">
        <f>R1413/T1413-1</f>
        <v/>
      </c>
      <c r="V1413" t="n">
        <v>3.617202049801049</v>
      </c>
      <c r="W1413" s="5">
        <f>R1413-V1413</f>
        <v/>
      </c>
    </row>
    <row r="1414">
      <c r="A1414" s="3" t="n">
        <v>40519</v>
      </c>
      <c r="B1414">
        <f>Prices!B1414</f>
        <v/>
      </c>
      <c r="C1414">
        <f>Prices!C1414</f>
        <v/>
      </c>
      <c r="D1414">
        <f>Prices!D1414</f>
        <v/>
      </c>
      <c r="E1414">
        <f>Prices!E1414</f>
        <v/>
      </c>
      <c r="F1414">
        <f>Prices!F1414</f>
        <v/>
      </c>
      <c r="G1414">
        <f>IF(AND(1412&gt;=16,TEXT(A1414,"yyyy-mm")&lt;&gt;TEXT(A1415,"yyyy-mm")),1,0)</f>
        <v/>
      </c>
      <c r="H1414">
        <f>IF(OR(H1413=1,G1414=1),1,0)</f>
        <v/>
      </c>
      <c r="I1414">
        <f>IF(H1413=0,1,SUMPRODUCT(J1413:N1413,B1414:F1414)+O1413*(1+0.00023125256064071564))</f>
        <v/>
      </c>
      <c r="J1414">
        <f>IF(G1414=1,0.2*R1414/B1414,J1413)</f>
        <v/>
      </c>
      <c r="K1414">
        <f>IF(G1414=1,0.2*R1414/C1414,K1413)</f>
        <v/>
      </c>
      <c r="L1414">
        <f>IF(G1414=1,0.2*R1414/D1414,L1413)</f>
        <v/>
      </c>
      <c r="M1414">
        <f>IF(G1414=1,0.2*R1414/E1414,M1413)</f>
        <v/>
      </c>
      <c r="N1414">
        <f>IF(G1414=1,0.2*R1414/F1414,N1413)</f>
        <v/>
      </c>
      <c r="O1414">
        <f>IF(G1414=1,R1414*(1-1.0),IF(H1413=0,1,O1413*(1+0.00023125256064071564)))</f>
        <v/>
      </c>
      <c r="P1414">
        <f>IF(G1414=1,IF(H1413=0,1,ABS(0.2-J1413*B1414/I1414)+ABS(0.2-K1413*C1414/I1414)+ABS(0.2-L1413*D1414/I1414)+ABS(0.2-M1413*E1414/I1414)+ABS(0.2-N1413*F1414/I1414)),0)</f>
        <v/>
      </c>
      <c r="Q1414">
        <f>P1414*0.0015</f>
        <v/>
      </c>
      <c r="R1414">
        <f>I1414*(1-Q1414)</f>
        <v/>
      </c>
      <c r="S1414">
        <f>R1414/R1413-1</f>
        <v/>
      </c>
      <c r="T1414">
        <f>MAX(T1413,R1414)</f>
        <v/>
      </c>
      <c r="U1414">
        <f>R1414/T1414-1</f>
        <v/>
      </c>
      <c r="V1414" t="n">
        <v>3.577206671982407</v>
      </c>
      <c r="W1414" s="5">
        <f>R1414-V1414</f>
        <v/>
      </c>
    </row>
    <row r="1415">
      <c r="A1415" s="3" t="n">
        <v>40520</v>
      </c>
      <c r="B1415">
        <f>Prices!B1415</f>
        <v/>
      </c>
      <c r="C1415">
        <f>Prices!C1415</f>
        <v/>
      </c>
      <c r="D1415">
        <f>Prices!D1415</f>
        <v/>
      </c>
      <c r="E1415">
        <f>Prices!E1415</f>
        <v/>
      </c>
      <c r="F1415">
        <f>Prices!F1415</f>
        <v/>
      </c>
      <c r="G1415">
        <f>IF(AND(1413&gt;=16,TEXT(A1415,"yyyy-mm")&lt;&gt;TEXT(A1416,"yyyy-mm")),1,0)</f>
        <v/>
      </c>
      <c r="H1415">
        <f>IF(OR(H1414=1,G1415=1),1,0)</f>
        <v/>
      </c>
      <c r="I1415">
        <f>IF(H1414=0,1,SUMPRODUCT(J1414:N1414,B1415:F1415)+O1414*(1+0.00023125256064071564))</f>
        <v/>
      </c>
      <c r="J1415">
        <f>IF(G1415=1,0.2*R1415/B1415,J1414)</f>
        <v/>
      </c>
      <c r="K1415">
        <f>IF(G1415=1,0.2*R1415/C1415,K1414)</f>
        <v/>
      </c>
      <c r="L1415">
        <f>IF(G1415=1,0.2*R1415/D1415,L1414)</f>
        <v/>
      </c>
      <c r="M1415">
        <f>IF(G1415=1,0.2*R1415/E1415,M1414)</f>
        <v/>
      </c>
      <c r="N1415">
        <f>IF(G1415=1,0.2*R1415/F1415,N1414)</f>
        <v/>
      </c>
      <c r="O1415">
        <f>IF(G1415=1,R1415*(1-1.0),IF(H1414=0,1,O1414*(1+0.00023125256064071564)))</f>
        <v/>
      </c>
      <c r="P1415">
        <f>IF(G1415=1,IF(H1414=0,1,ABS(0.2-J1414*B1415/I1415)+ABS(0.2-K1414*C1415/I1415)+ABS(0.2-L1414*D1415/I1415)+ABS(0.2-M1414*E1415/I1415)+ABS(0.2-N1414*F1415/I1415)),0)</f>
        <v/>
      </c>
      <c r="Q1415">
        <f>P1415*0.0015</f>
        <v/>
      </c>
      <c r="R1415">
        <f>I1415*(1-Q1415)</f>
        <v/>
      </c>
      <c r="S1415">
        <f>R1415/R1414-1</f>
        <v/>
      </c>
      <c r="T1415">
        <f>MAX(T1414,R1415)</f>
        <v/>
      </c>
      <c r="U1415">
        <f>R1415/T1415-1</f>
        <v/>
      </c>
      <c r="V1415" t="n">
        <v>3.506033318294675</v>
      </c>
      <c r="W1415" s="5">
        <f>R1415-V1415</f>
        <v/>
      </c>
    </row>
    <row r="1416">
      <c r="A1416" s="3" t="n">
        <v>40521</v>
      </c>
      <c r="B1416">
        <f>Prices!B1416</f>
        <v/>
      </c>
      <c r="C1416">
        <f>Prices!C1416</f>
        <v/>
      </c>
      <c r="D1416">
        <f>Prices!D1416</f>
        <v/>
      </c>
      <c r="E1416">
        <f>Prices!E1416</f>
        <v/>
      </c>
      <c r="F1416">
        <f>Prices!F1416</f>
        <v/>
      </c>
      <c r="G1416">
        <f>IF(AND(1414&gt;=16,TEXT(A1416,"yyyy-mm")&lt;&gt;TEXT(A1417,"yyyy-mm")),1,0)</f>
        <v/>
      </c>
      <c r="H1416">
        <f>IF(OR(H1415=1,G1416=1),1,0)</f>
        <v/>
      </c>
      <c r="I1416">
        <f>IF(H1415=0,1,SUMPRODUCT(J1415:N1415,B1416:F1416)+O1415*(1+0.00023125256064071564))</f>
        <v/>
      </c>
      <c r="J1416">
        <f>IF(G1416=1,0.2*R1416/B1416,J1415)</f>
        <v/>
      </c>
      <c r="K1416">
        <f>IF(G1416=1,0.2*R1416/C1416,K1415)</f>
        <v/>
      </c>
      <c r="L1416">
        <f>IF(G1416=1,0.2*R1416/D1416,L1415)</f>
        <v/>
      </c>
      <c r="M1416">
        <f>IF(G1416=1,0.2*R1416/E1416,M1415)</f>
        <v/>
      </c>
      <c r="N1416">
        <f>IF(G1416=1,0.2*R1416/F1416,N1415)</f>
        <v/>
      </c>
      <c r="O1416">
        <f>IF(G1416=1,R1416*(1-1.0),IF(H1415=0,1,O1415*(1+0.00023125256064071564)))</f>
        <v/>
      </c>
      <c r="P1416">
        <f>IF(G1416=1,IF(H1415=0,1,ABS(0.2-J1415*B1416/I1416)+ABS(0.2-K1415*C1416/I1416)+ABS(0.2-L1415*D1416/I1416)+ABS(0.2-M1415*E1416/I1416)+ABS(0.2-N1415*F1416/I1416)),0)</f>
        <v/>
      </c>
      <c r="Q1416">
        <f>P1416*0.0015</f>
        <v/>
      </c>
      <c r="R1416">
        <f>I1416*(1-Q1416)</f>
        <v/>
      </c>
      <c r="S1416">
        <f>R1416/R1415-1</f>
        <v/>
      </c>
      <c r="T1416">
        <f>MAX(T1415,R1416)</f>
        <v/>
      </c>
      <c r="U1416">
        <f>R1416/T1416-1</f>
        <v/>
      </c>
      <c r="V1416" t="n">
        <v>3.379684434543637</v>
      </c>
      <c r="W1416" s="5">
        <f>R1416-V1416</f>
        <v/>
      </c>
    </row>
    <row r="1417">
      <c r="A1417" s="3" t="n">
        <v>40522</v>
      </c>
      <c r="B1417">
        <f>Prices!B1417</f>
        <v/>
      </c>
      <c r="C1417">
        <f>Prices!C1417</f>
        <v/>
      </c>
      <c r="D1417">
        <f>Prices!D1417</f>
        <v/>
      </c>
      <c r="E1417">
        <f>Prices!E1417</f>
        <v/>
      </c>
      <c r="F1417">
        <f>Prices!F1417</f>
        <v/>
      </c>
      <c r="G1417">
        <f>IF(AND(1415&gt;=16,TEXT(A1417,"yyyy-mm")&lt;&gt;TEXT(A1418,"yyyy-mm")),1,0)</f>
        <v/>
      </c>
      <c r="H1417">
        <f>IF(OR(H1416=1,G1417=1),1,0)</f>
        <v/>
      </c>
      <c r="I1417">
        <f>IF(H1416=0,1,SUMPRODUCT(J1416:N1416,B1417:F1417)+O1416*(1+0.00023125256064071564))</f>
        <v/>
      </c>
      <c r="J1417">
        <f>IF(G1417=1,0.2*R1417/B1417,J1416)</f>
        <v/>
      </c>
      <c r="K1417">
        <f>IF(G1417=1,0.2*R1417/C1417,K1416)</f>
        <v/>
      </c>
      <c r="L1417">
        <f>IF(G1417=1,0.2*R1417/D1417,L1416)</f>
        <v/>
      </c>
      <c r="M1417">
        <f>IF(G1417=1,0.2*R1417/E1417,M1416)</f>
        <v/>
      </c>
      <c r="N1417">
        <f>IF(G1417=1,0.2*R1417/F1417,N1416)</f>
        <v/>
      </c>
      <c r="O1417">
        <f>IF(G1417=1,R1417*(1-1.0),IF(H1416=0,1,O1416*(1+0.00023125256064071564)))</f>
        <v/>
      </c>
      <c r="P1417">
        <f>IF(G1417=1,IF(H1416=0,1,ABS(0.2-J1416*B1417/I1417)+ABS(0.2-K1416*C1417/I1417)+ABS(0.2-L1416*D1417/I1417)+ABS(0.2-M1416*E1417/I1417)+ABS(0.2-N1416*F1417/I1417)),0)</f>
        <v/>
      </c>
      <c r="Q1417">
        <f>P1417*0.0015</f>
        <v/>
      </c>
      <c r="R1417">
        <f>I1417*(1-Q1417)</f>
        <v/>
      </c>
      <c r="S1417">
        <f>R1417/R1416-1</f>
        <v/>
      </c>
      <c r="T1417">
        <f>MAX(T1416,R1417)</f>
        <v/>
      </c>
      <c r="U1417">
        <f>R1417/T1417-1</f>
        <v/>
      </c>
      <c r="V1417" t="n">
        <v>3.438010174076064</v>
      </c>
      <c r="W1417" s="5">
        <f>R1417-V1417</f>
        <v/>
      </c>
    </row>
    <row r="1418">
      <c r="A1418" s="3" t="n">
        <v>40525</v>
      </c>
      <c r="B1418">
        <f>Prices!B1418</f>
        <v/>
      </c>
      <c r="C1418">
        <f>Prices!C1418</f>
        <v/>
      </c>
      <c r="D1418">
        <f>Prices!D1418</f>
        <v/>
      </c>
      <c r="E1418">
        <f>Prices!E1418</f>
        <v/>
      </c>
      <c r="F1418">
        <f>Prices!F1418</f>
        <v/>
      </c>
      <c r="G1418">
        <f>IF(AND(1416&gt;=16,TEXT(A1418,"yyyy-mm")&lt;&gt;TEXT(A1419,"yyyy-mm")),1,0)</f>
        <v/>
      </c>
      <c r="H1418">
        <f>IF(OR(H1417=1,G1418=1),1,0)</f>
        <v/>
      </c>
      <c r="I1418">
        <f>IF(H1417=0,1,SUMPRODUCT(J1417:N1417,B1418:F1418)+O1417*(1+0.00023125256064071564))</f>
        <v/>
      </c>
      <c r="J1418">
        <f>IF(G1418=1,0.2*R1418/B1418,J1417)</f>
        <v/>
      </c>
      <c r="K1418">
        <f>IF(G1418=1,0.2*R1418/C1418,K1417)</f>
        <v/>
      </c>
      <c r="L1418">
        <f>IF(G1418=1,0.2*R1418/D1418,L1417)</f>
        <v/>
      </c>
      <c r="M1418">
        <f>IF(G1418=1,0.2*R1418/E1418,M1417)</f>
        <v/>
      </c>
      <c r="N1418">
        <f>IF(G1418=1,0.2*R1418/F1418,N1417)</f>
        <v/>
      </c>
      <c r="O1418">
        <f>IF(G1418=1,R1418*(1-1.0),IF(H1417=0,1,O1417*(1+0.00023125256064071564)))</f>
        <v/>
      </c>
      <c r="P1418">
        <f>IF(G1418=1,IF(H1417=0,1,ABS(0.2-J1417*B1418/I1418)+ABS(0.2-K1417*C1418/I1418)+ABS(0.2-L1417*D1418/I1418)+ABS(0.2-M1417*E1418/I1418)+ABS(0.2-N1417*F1418/I1418)),0)</f>
        <v/>
      </c>
      <c r="Q1418">
        <f>P1418*0.0015</f>
        <v/>
      </c>
      <c r="R1418">
        <f>I1418*(1-Q1418)</f>
        <v/>
      </c>
      <c r="S1418">
        <f>R1418/R1417-1</f>
        <v/>
      </c>
      <c r="T1418">
        <f>MAX(T1417,R1418)</f>
        <v/>
      </c>
      <c r="U1418">
        <f>R1418/T1418-1</f>
        <v/>
      </c>
      <c r="V1418" t="n">
        <v>3.487796988498649</v>
      </c>
      <c r="W1418" s="5">
        <f>R1418-V1418</f>
        <v/>
      </c>
    </row>
    <row r="1419">
      <c r="A1419" s="3" t="n">
        <v>40526</v>
      </c>
      <c r="B1419">
        <f>Prices!B1419</f>
        <v/>
      </c>
      <c r="C1419">
        <f>Prices!C1419</f>
        <v/>
      </c>
      <c r="D1419">
        <f>Prices!D1419</f>
        <v/>
      </c>
      <c r="E1419">
        <f>Prices!E1419</f>
        <v/>
      </c>
      <c r="F1419">
        <f>Prices!F1419</f>
        <v/>
      </c>
      <c r="G1419">
        <f>IF(AND(1417&gt;=16,TEXT(A1419,"yyyy-mm")&lt;&gt;TEXT(A1420,"yyyy-mm")),1,0)</f>
        <v/>
      </c>
      <c r="H1419">
        <f>IF(OR(H1418=1,G1419=1),1,0)</f>
        <v/>
      </c>
      <c r="I1419">
        <f>IF(H1418=0,1,SUMPRODUCT(J1418:N1418,B1419:F1419)+O1418*(1+0.00023125256064071564))</f>
        <v/>
      </c>
      <c r="J1419">
        <f>IF(G1419=1,0.2*R1419/B1419,J1418)</f>
        <v/>
      </c>
      <c r="K1419">
        <f>IF(G1419=1,0.2*R1419/C1419,K1418)</f>
        <v/>
      </c>
      <c r="L1419">
        <f>IF(G1419=1,0.2*R1419/D1419,L1418)</f>
        <v/>
      </c>
      <c r="M1419">
        <f>IF(G1419=1,0.2*R1419/E1419,M1418)</f>
        <v/>
      </c>
      <c r="N1419">
        <f>IF(G1419=1,0.2*R1419/F1419,N1418)</f>
        <v/>
      </c>
      <c r="O1419">
        <f>IF(G1419=1,R1419*(1-1.0),IF(H1418=0,1,O1418*(1+0.00023125256064071564)))</f>
        <v/>
      </c>
      <c r="P1419">
        <f>IF(G1419=1,IF(H1418=0,1,ABS(0.2-J1418*B1419/I1419)+ABS(0.2-K1418*C1419/I1419)+ABS(0.2-L1418*D1419/I1419)+ABS(0.2-M1418*E1419/I1419)+ABS(0.2-N1418*F1419/I1419)),0)</f>
        <v/>
      </c>
      <c r="Q1419">
        <f>P1419*0.0015</f>
        <v/>
      </c>
      <c r="R1419">
        <f>I1419*(1-Q1419)</f>
        <v/>
      </c>
      <c r="S1419">
        <f>R1419/R1418-1</f>
        <v/>
      </c>
      <c r="T1419">
        <f>MAX(T1418,R1419)</f>
        <v/>
      </c>
      <c r="U1419">
        <f>R1419/T1419-1</f>
        <v/>
      </c>
      <c r="V1419" t="n">
        <v>3.532852134007718</v>
      </c>
      <c r="W1419" s="5">
        <f>R1419-V1419</f>
        <v/>
      </c>
    </row>
    <row r="1420">
      <c r="A1420" s="3" t="n">
        <v>40527</v>
      </c>
      <c r="B1420">
        <f>Prices!B1420</f>
        <v/>
      </c>
      <c r="C1420">
        <f>Prices!C1420</f>
        <v/>
      </c>
      <c r="D1420">
        <f>Prices!D1420</f>
        <v/>
      </c>
      <c r="E1420">
        <f>Prices!E1420</f>
        <v/>
      </c>
      <c r="F1420">
        <f>Prices!F1420</f>
        <v/>
      </c>
      <c r="G1420">
        <f>IF(AND(1418&gt;=16,TEXT(A1420,"yyyy-mm")&lt;&gt;TEXT(A1421,"yyyy-mm")),1,0)</f>
        <v/>
      </c>
      <c r="H1420">
        <f>IF(OR(H1419=1,G1420=1),1,0)</f>
        <v/>
      </c>
      <c r="I1420">
        <f>IF(H1419=0,1,SUMPRODUCT(J1419:N1419,B1420:F1420)+O1419*(1+0.00023125256064071564))</f>
        <v/>
      </c>
      <c r="J1420">
        <f>IF(G1420=1,0.2*R1420/B1420,J1419)</f>
        <v/>
      </c>
      <c r="K1420">
        <f>IF(G1420=1,0.2*R1420/C1420,K1419)</f>
        <v/>
      </c>
      <c r="L1420">
        <f>IF(G1420=1,0.2*R1420/D1420,L1419)</f>
        <v/>
      </c>
      <c r="M1420">
        <f>IF(G1420=1,0.2*R1420/E1420,M1419)</f>
        <v/>
      </c>
      <c r="N1420">
        <f>IF(G1420=1,0.2*R1420/F1420,N1419)</f>
        <v/>
      </c>
      <c r="O1420">
        <f>IF(G1420=1,R1420*(1-1.0),IF(H1419=0,1,O1419*(1+0.00023125256064071564)))</f>
        <v/>
      </c>
      <c r="P1420">
        <f>IF(G1420=1,IF(H1419=0,1,ABS(0.2-J1419*B1420/I1420)+ABS(0.2-K1419*C1420/I1420)+ABS(0.2-L1419*D1420/I1420)+ABS(0.2-M1419*E1420/I1420)+ABS(0.2-N1419*F1420/I1420)),0)</f>
        <v/>
      </c>
      <c r="Q1420">
        <f>P1420*0.0015</f>
        <v/>
      </c>
      <c r="R1420">
        <f>I1420*(1-Q1420)</f>
        <v/>
      </c>
      <c r="S1420">
        <f>R1420/R1419-1</f>
        <v/>
      </c>
      <c r="T1420">
        <f>MAX(T1419,R1420)</f>
        <v/>
      </c>
      <c r="U1420">
        <f>R1420/T1420-1</f>
        <v/>
      </c>
      <c r="V1420" t="n">
        <v>3.490557042516829</v>
      </c>
      <c r="W1420" s="5">
        <f>R1420-V1420</f>
        <v/>
      </c>
    </row>
    <row r="1421">
      <c r="A1421" s="3" t="n">
        <v>40528</v>
      </c>
      <c r="B1421">
        <f>Prices!B1421</f>
        <v/>
      </c>
      <c r="C1421">
        <f>Prices!C1421</f>
        <v/>
      </c>
      <c r="D1421">
        <f>Prices!D1421</f>
        <v/>
      </c>
      <c r="E1421">
        <f>Prices!E1421</f>
        <v/>
      </c>
      <c r="F1421">
        <f>Prices!F1421</f>
        <v/>
      </c>
      <c r="G1421">
        <f>IF(AND(1419&gt;=16,TEXT(A1421,"yyyy-mm")&lt;&gt;TEXT(A1422,"yyyy-mm")),1,0)</f>
        <v/>
      </c>
      <c r="H1421">
        <f>IF(OR(H1420=1,G1421=1),1,0)</f>
        <v/>
      </c>
      <c r="I1421">
        <f>IF(H1420=0,1,SUMPRODUCT(J1420:N1420,B1421:F1421)+O1420*(1+0.00023125256064071564))</f>
        <v/>
      </c>
      <c r="J1421">
        <f>IF(G1421=1,0.2*R1421/B1421,J1420)</f>
        <v/>
      </c>
      <c r="K1421">
        <f>IF(G1421=1,0.2*R1421/C1421,K1420)</f>
        <v/>
      </c>
      <c r="L1421">
        <f>IF(G1421=1,0.2*R1421/D1421,L1420)</f>
        <v/>
      </c>
      <c r="M1421">
        <f>IF(G1421=1,0.2*R1421/E1421,M1420)</f>
        <v/>
      </c>
      <c r="N1421">
        <f>IF(G1421=1,0.2*R1421/F1421,N1420)</f>
        <v/>
      </c>
      <c r="O1421">
        <f>IF(G1421=1,R1421*(1-1.0),IF(H1420=0,1,O1420*(1+0.00023125256064071564)))</f>
        <v/>
      </c>
      <c r="P1421">
        <f>IF(G1421=1,IF(H1420=0,1,ABS(0.2-J1420*B1421/I1421)+ABS(0.2-K1420*C1421/I1421)+ABS(0.2-L1420*D1421/I1421)+ABS(0.2-M1420*E1421/I1421)+ABS(0.2-N1420*F1421/I1421)),0)</f>
        <v/>
      </c>
      <c r="Q1421">
        <f>P1421*0.0015</f>
        <v/>
      </c>
      <c r="R1421">
        <f>I1421*(1-Q1421)</f>
        <v/>
      </c>
      <c r="S1421">
        <f>R1421/R1420-1</f>
        <v/>
      </c>
      <c r="T1421">
        <f>MAX(T1420,R1421)</f>
        <v/>
      </c>
      <c r="U1421">
        <f>R1421/T1421-1</f>
        <v/>
      </c>
      <c r="V1421" t="n">
        <v>3.513283312648253</v>
      </c>
      <c r="W1421" s="5">
        <f>R1421-V1421</f>
        <v/>
      </c>
    </row>
    <row r="1422">
      <c r="A1422" s="3" t="n">
        <v>40532</v>
      </c>
      <c r="B1422">
        <f>Prices!B1422</f>
        <v/>
      </c>
      <c r="C1422">
        <f>Prices!C1422</f>
        <v/>
      </c>
      <c r="D1422">
        <f>Prices!D1422</f>
        <v/>
      </c>
      <c r="E1422">
        <f>Prices!E1422</f>
        <v/>
      </c>
      <c r="F1422">
        <f>Prices!F1422</f>
        <v/>
      </c>
      <c r="G1422">
        <f>IF(AND(1420&gt;=16,TEXT(A1422,"yyyy-mm")&lt;&gt;TEXT(A1423,"yyyy-mm")),1,0)</f>
        <v/>
      </c>
      <c r="H1422">
        <f>IF(OR(H1421=1,G1422=1),1,0)</f>
        <v/>
      </c>
      <c r="I1422">
        <f>IF(H1421=0,1,SUMPRODUCT(J1421:N1421,B1422:F1422)+O1421*(1+0.00023125256064071564))</f>
        <v/>
      </c>
      <c r="J1422">
        <f>IF(G1422=1,0.2*R1422/B1422,J1421)</f>
        <v/>
      </c>
      <c r="K1422">
        <f>IF(G1422=1,0.2*R1422/C1422,K1421)</f>
        <v/>
      </c>
      <c r="L1422">
        <f>IF(G1422=1,0.2*R1422/D1422,L1421)</f>
        <v/>
      </c>
      <c r="M1422">
        <f>IF(G1422=1,0.2*R1422/E1422,M1421)</f>
        <v/>
      </c>
      <c r="N1422">
        <f>IF(G1422=1,0.2*R1422/F1422,N1421)</f>
        <v/>
      </c>
      <c r="O1422">
        <f>IF(G1422=1,R1422*(1-1.0),IF(H1421=0,1,O1421*(1+0.00023125256064071564)))</f>
        <v/>
      </c>
      <c r="P1422">
        <f>IF(G1422=1,IF(H1421=0,1,ABS(0.2-J1421*B1422/I1422)+ABS(0.2-K1421*C1422/I1422)+ABS(0.2-L1421*D1422/I1422)+ABS(0.2-M1421*E1422/I1422)+ABS(0.2-N1421*F1422/I1422)),0)</f>
        <v/>
      </c>
      <c r="Q1422">
        <f>P1422*0.0015</f>
        <v/>
      </c>
      <c r="R1422">
        <f>I1422*(1-Q1422)</f>
        <v/>
      </c>
      <c r="S1422">
        <f>R1422/R1421-1</f>
        <v/>
      </c>
      <c r="T1422">
        <f>MAX(T1421,R1422)</f>
        <v/>
      </c>
      <c r="U1422">
        <f>R1422/T1422-1</f>
        <v/>
      </c>
      <c r="V1422" t="n">
        <v>3.520184150092607</v>
      </c>
      <c r="W1422" s="5">
        <f>R1422-V1422</f>
        <v/>
      </c>
    </row>
    <row r="1423">
      <c r="A1423" s="3" t="n">
        <v>40533</v>
      </c>
      <c r="B1423">
        <f>Prices!B1423</f>
        <v/>
      </c>
      <c r="C1423">
        <f>Prices!C1423</f>
        <v/>
      </c>
      <c r="D1423">
        <f>Prices!D1423</f>
        <v/>
      </c>
      <c r="E1423">
        <f>Prices!E1423</f>
        <v/>
      </c>
      <c r="F1423">
        <f>Prices!F1423</f>
        <v/>
      </c>
      <c r="G1423">
        <f>IF(AND(1421&gt;=16,TEXT(A1423,"yyyy-mm")&lt;&gt;TEXT(A1424,"yyyy-mm")),1,0)</f>
        <v/>
      </c>
      <c r="H1423">
        <f>IF(OR(H1422=1,G1423=1),1,0)</f>
        <v/>
      </c>
      <c r="I1423">
        <f>IF(H1422=0,1,SUMPRODUCT(J1422:N1422,B1423:F1423)+O1422*(1+0.00023125256064071564))</f>
        <v/>
      </c>
      <c r="J1423">
        <f>IF(G1423=1,0.2*R1423/B1423,J1422)</f>
        <v/>
      </c>
      <c r="K1423">
        <f>IF(G1423=1,0.2*R1423/C1423,K1422)</f>
        <v/>
      </c>
      <c r="L1423">
        <f>IF(G1423=1,0.2*R1423/D1423,L1422)</f>
        <v/>
      </c>
      <c r="M1423">
        <f>IF(G1423=1,0.2*R1423/E1423,M1422)</f>
        <v/>
      </c>
      <c r="N1423">
        <f>IF(G1423=1,0.2*R1423/F1423,N1422)</f>
        <v/>
      </c>
      <c r="O1423">
        <f>IF(G1423=1,R1423*(1-1.0),IF(H1422=0,1,O1422*(1+0.00023125256064071564)))</f>
        <v/>
      </c>
      <c r="P1423">
        <f>IF(G1423=1,IF(H1422=0,1,ABS(0.2-J1422*B1423/I1423)+ABS(0.2-K1422*C1423/I1423)+ABS(0.2-L1422*D1423/I1423)+ABS(0.2-M1422*E1423/I1423)+ABS(0.2-N1422*F1423/I1423)),0)</f>
        <v/>
      </c>
      <c r="Q1423">
        <f>P1423*0.0015</f>
        <v/>
      </c>
      <c r="R1423">
        <f>I1423*(1-Q1423)</f>
        <v/>
      </c>
      <c r="S1423">
        <f>R1423/R1422-1</f>
        <v/>
      </c>
      <c r="T1423">
        <f>MAX(T1422,R1423)</f>
        <v/>
      </c>
      <c r="U1423">
        <f>R1423/T1423-1</f>
        <v/>
      </c>
      <c r="V1423" t="n">
        <v>3.535820595597297</v>
      </c>
      <c r="W1423" s="5">
        <f>R1423-V1423</f>
        <v/>
      </c>
    </row>
    <row r="1424">
      <c r="A1424" s="3" t="n">
        <v>40534</v>
      </c>
      <c r="B1424">
        <f>Prices!B1424</f>
        <v/>
      </c>
      <c r="C1424">
        <f>Prices!C1424</f>
        <v/>
      </c>
      <c r="D1424">
        <f>Prices!D1424</f>
        <v/>
      </c>
      <c r="E1424">
        <f>Prices!E1424</f>
        <v/>
      </c>
      <c r="F1424">
        <f>Prices!F1424</f>
        <v/>
      </c>
      <c r="G1424">
        <f>IF(AND(1422&gt;=16,TEXT(A1424,"yyyy-mm")&lt;&gt;TEXT(A1425,"yyyy-mm")),1,0)</f>
        <v/>
      </c>
      <c r="H1424">
        <f>IF(OR(H1423=1,G1424=1),1,0)</f>
        <v/>
      </c>
      <c r="I1424">
        <f>IF(H1423=0,1,SUMPRODUCT(J1423:N1423,B1424:F1424)+O1423*(1+0.00023125256064071564))</f>
        <v/>
      </c>
      <c r="J1424">
        <f>IF(G1424=1,0.2*R1424/B1424,J1423)</f>
        <v/>
      </c>
      <c r="K1424">
        <f>IF(G1424=1,0.2*R1424/C1424,K1423)</f>
        <v/>
      </c>
      <c r="L1424">
        <f>IF(G1424=1,0.2*R1424/D1424,L1423)</f>
        <v/>
      </c>
      <c r="M1424">
        <f>IF(G1424=1,0.2*R1424/E1424,M1423)</f>
        <v/>
      </c>
      <c r="N1424">
        <f>IF(G1424=1,0.2*R1424/F1424,N1423)</f>
        <v/>
      </c>
      <c r="O1424">
        <f>IF(G1424=1,R1424*(1-1.0),IF(H1423=0,1,O1423*(1+0.00023125256064071564)))</f>
        <v/>
      </c>
      <c r="P1424">
        <f>IF(G1424=1,IF(H1423=0,1,ABS(0.2-J1423*B1424/I1424)+ABS(0.2-K1423*C1424/I1424)+ABS(0.2-L1423*D1424/I1424)+ABS(0.2-M1423*E1424/I1424)+ABS(0.2-N1423*F1424/I1424)),0)</f>
        <v/>
      </c>
      <c r="Q1424">
        <f>P1424*0.0015</f>
        <v/>
      </c>
      <c r="R1424">
        <f>I1424*(1-Q1424)</f>
        <v/>
      </c>
      <c r="S1424">
        <f>R1424/R1423-1</f>
        <v/>
      </c>
      <c r="T1424">
        <f>MAX(T1423,R1424)</f>
        <v/>
      </c>
      <c r="U1424">
        <f>R1424/T1424-1</f>
        <v/>
      </c>
      <c r="V1424" t="n">
        <v>3.536063523200552</v>
      </c>
      <c r="W1424" s="5">
        <f>R1424-V1424</f>
        <v/>
      </c>
    </row>
    <row r="1425">
      <c r="A1425" s="3" t="n">
        <v>40535</v>
      </c>
      <c r="B1425">
        <f>Prices!B1425</f>
        <v/>
      </c>
      <c r="C1425">
        <f>Prices!C1425</f>
        <v/>
      </c>
      <c r="D1425">
        <f>Prices!D1425</f>
        <v/>
      </c>
      <c r="E1425">
        <f>Prices!E1425</f>
        <v/>
      </c>
      <c r="F1425">
        <f>Prices!F1425</f>
        <v/>
      </c>
      <c r="G1425">
        <f>IF(AND(1423&gt;=16,TEXT(A1425,"yyyy-mm")&lt;&gt;TEXT(A1426,"yyyy-mm")),1,0)</f>
        <v/>
      </c>
      <c r="H1425">
        <f>IF(OR(H1424=1,G1425=1),1,0)</f>
        <v/>
      </c>
      <c r="I1425">
        <f>IF(H1424=0,1,SUMPRODUCT(J1424:N1424,B1425:F1425)+O1424*(1+0.00023125256064071564))</f>
        <v/>
      </c>
      <c r="J1425">
        <f>IF(G1425=1,0.2*R1425/B1425,J1424)</f>
        <v/>
      </c>
      <c r="K1425">
        <f>IF(G1425=1,0.2*R1425/C1425,K1424)</f>
        <v/>
      </c>
      <c r="L1425">
        <f>IF(G1425=1,0.2*R1425/D1425,L1424)</f>
        <v/>
      </c>
      <c r="M1425">
        <f>IF(G1425=1,0.2*R1425/E1425,M1424)</f>
        <v/>
      </c>
      <c r="N1425">
        <f>IF(G1425=1,0.2*R1425/F1425,N1424)</f>
        <v/>
      </c>
      <c r="O1425">
        <f>IF(G1425=1,R1425*(1-1.0),IF(H1424=0,1,O1424*(1+0.00023125256064071564)))</f>
        <v/>
      </c>
      <c r="P1425">
        <f>IF(G1425=1,IF(H1424=0,1,ABS(0.2-J1424*B1425/I1425)+ABS(0.2-K1424*C1425/I1425)+ABS(0.2-L1424*D1425/I1425)+ABS(0.2-M1424*E1425/I1425)+ABS(0.2-N1424*F1425/I1425)),0)</f>
        <v/>
      </c>
      <c r="Q1425">
        <f>P1425*0.0015</f>
        <v/>
      </c>
      <c r="R1425">
        <f>I1425*(1-Q1425)</f>
        <v/>
      </c>
      <c r="S1425">
        <f>R1425/R1424-1</f>
        <v/>
      </c>
      <c r="T1425">
        <f>MAX(T1424,R1425)</f>
        <v/>
      </c>
      <c r="U1425">
        <f>R1425/T1425-1</f>
        <v/>
      </c>
      <c r="V1425" t="n">
        <v>3.528585283832677</v>
      </c>
      <c r="W1425" s="5">
        <f>R1425-V1425</f>
        <v/>
      </c>
    </row>
    <row r="1426">
      <c r="A1426" s="3" t="n">
        <v>40536</v>
      </c>
      <c r="B1426">
        <f>Prices!B1426</f>
        <v/>
      </c>
      <c r="C1426">
        <f>Prices!C1426</f>
        <v/>
      </c>
      <c r="D1426">
        <f>Prices!D1426</f>
        <v/>
      </c>
      <c r="E1426">
        <f>Prices!E1426</f>
        <v/>
      </c>
      <c r="F1426">
        <f>Prices!F1426</f>
        <v/>
      </c>
      <c r="G1426">
        <f>IF(AND(1424&gt;=16,TEXT(A1426,"yyyy-mm")&lt;&gt;TEXT(A1427,"yyyy-mm")),1,0)</f>
        <v/>
      </c>
      <c r="H1426">
        <f>IF(OR(H1425=1,G1426=1),1,0)</f>
        <v/>
      </c>
      <c r="I1426">
        <f>IF(H1425=0,1,SUMPRODUCT(J1425:N1425,B1426:F1426)+O1425*(1+0.00023125256064071564))</f>
        <v/>
      </c>
      <c r="J1426">
        <f>IF(G1426=1,0.2*R1426/B1426,J1425)</f>
        <v/>
      </c>
      <c r="K1426">
        <f>IF(G1426=1,0.2*R1426/C1426,K1425)</f>
        <v/>
      </c>
      <c r="L1426">
        <f>IF(G1426=1,0.2*R1426/D1426,L1425)</f>
        <v/>
      </c>
      <c r="M1426">
        <f>IF(G1426=1,0.2*R1426/E1426,M1425)</f>
        <v/>
      </c>
      <c r="N1426">
        <f>IF(G1426=1,0.2*R1426/F1426,N1425)</f>
        <v/>
      </c>
      <c r="O1426">
        <f>IF(G1426=1,R1426*(1-1.0),IF(H1425=0,1,O1425*(1+0.00023125256064071564)))</f>
        <v/>
      </c>
      <c r="P1426">
        <f>IF(G1426=1,IF(H1425=0,1,ABS(0.2-J1425*B1426/I1426)+ABS(0.2-K1425*C1426/I1426)+ABS(0.2-L1425*D1426/I1426)+ABS(0.2-M1425*E1426/I1426)+ABS(0.2-N1425*F1426/I1426)),0)</f>
        <v/>
      </c>
      <c r="Q1426">
        <f>P1426*0.0015</f>
        <v/>
      </c>
      <c r="R1426">
        <f>I1426*(1-Q1426)</f>
        <v/>
      </c>
      <c r="S1426">
        <f>R1426/R1425-1</f>
        <v/>
      </c>
      <c r="T1426">
        <f>MAX(T1425,R1426)</f>
        <v/>
      </c>
      <c r="U1426">
        <f>R1426/T1426-1</f>
        <v/>
      </c>
      <c r="V1426" t="n">
        <v>3.537865943220691</v>
      </c>
      <c r="W1426" s="5">
        <f>R1426-V1426</f>
        <v/>
      </c>
    </row>
    <row r="1427">
      <c r="A1427" s="3" t="n">
        <v>40539</v>
      </c>
      <c r="B1427">
        <f>Prices!B1427</f>
        <v/>
      </c>
      <c r="C1427">
        <f>Prices!C1427</f>
        <v/>
      </c>
      <c r="D1427">
        <f>Prices!D1427</f>
        <v/>
      </c>
      <c r="E1427">
        <f>Prices!E1427</f>
        <v/>
      </c>
      <c r="F1427">
        <f>Prices!F1427</f>
        <v/>
      </c>
      <c r="G1427">
        <f>IF(AND(1425&gt;=16,TEXT(A1427,"yyyy-mm")&lt;&gt;TEXT(A1428,"yyyy-mm")),1,0)</f>
        <v/>
      </c>
      <c r="H1427">
        <f>IF(OR(H1426=1,G1427=1),1,0)</f>
        <v/>
      </c>
      <c r="I1427">
        <f>IF(H1426=0,1,SUMPRODUCT(J1426:N1426,B1427:F1427)+O1426*(1+0.00023125256064071564))</f>
        <v/>
      </c>
      <c r="J1427">
        <f>IF(G1427=1,0.2*R1427/B1427,J1426)</f>
        <v/>
      </c>
      <c r="K1427">
        <f>IF(G1427=1,0.2*R1427/C1427,K1426)</f>
        <v/>
      </c>
      <c r="L1427">
        <f>IF(G1427=1,0.2*R1427/D1427,L1426)</f>
        <v/>
      </c>
      <c r="M1427">
        <f>IF(G1427=1,0.2*R1427/E1427,M1426)</f>
        <v/>
      </c>
      <c r="N1427">
        <f>IF(G1427=1,0.2*R1427/F1427,N1426)</f>
        <v/>
      </c>
      <c r="O1427">
        <f>IF(G1427=1,R1427*(1-1.0),IF(H1426=0,1,O1426*(1+0.00023125256064071564)))</f>
        <v/>
      </c>
      <c r="P1427">
        <f>IF(G1427=1,IF(H1426=0,1,ABS(0.2-J1426*B1427/I1427)+ABS(0.2-K1426*C1427/I1427)+ABS(0.2-L1426*D1427/I1427)+ABS(0.2-M1426*E1427/I1427)+ABS(0.2-N1426*F1427/I1427)),0)</f>
        <v/>
      </c>
      <c r="Q1427">
        <f>P1427*0.0015</f>
        <v/>
      </c>
      <c r="R1427">
        <f>I1427*(1-Q1427)</f>
        <v/>
      </c>
      <c r="S1427">
        <f>R1427/R1426-1</f>
        <v/>
      </c>
      <c r="T1427">
        <f>MAX(T1426,R1427)</f>
        <v/>
      </c>
      <c r="U1427">
        <f>R1427/T1427-1</f>
        <v/>
      </c>
      <c r="V1427" t="n">
        <v>3.532155564547432</v>
      </c>
      <c r="W1427" s="5">
        <f>R1427-V1427</f>
        <v/>
      </c>
    </row>
    <row r="1428">
      <c r="A1428" s="3" t="n">
        <v>40540</v>
      </c>
      <c r="B1428">
        <f>Prices!B1428</f>
        <v/>
      </c>
      <c r="C1428">
        <f>Prices!C1428</f>
        <v/>
      </c>
      <c r="D1428">
        <f>Prices!D1428</f>
        <v/>
      </c>
      <c r="E1428">
        <f>Prices!E1428</f>
        <v/>
      </c>
      <c r="F1428">
        <f>Prices!F1428</f>
        <v/>
      </c>
      <c r="G1428">
        <f>IF(AND(1426&gt;=16,TEXT(A1428,"yyyy-mm")&lt;&gt;TEXT(A1429,"yyyy-mm")),1,0)</f>
        <v/>
      </c>
      <c r="H1428">
        <f>IF(OR(H1427=1,G1428=1),1,0)</f>
        <v/>
      </c>
      <c r="I1428">
        <f>IF(H1427=0,1,SUMPRODUCT(J1427:N1427,B1428:F1428)+O1427*(1+0.00023125256064071564))</f>
        <v/>
      </c>
      <c r="J1428">
        <f>IF(G1428=1,0.2*R1428/B1428,J1427)</f>
        <v/>
      </c>
      <c r="K1428">
        <f>IF(G1428=1,0.2*R1428/C1428,K1427)</f>
        <v/>
      </c>
      <c r="L1428">
        <f>IF(G1428=1,0.2*R1428/D1428,L1427)</f>
        <v/>
      </c>
      <c r="M1428">
        <f>IF(G1428=1,0.2*R1428/E1428,M1427)</f>
        <v/>
      </c>
      <c r="N1428">
        <f>IF(G1428=1,0.2*R1428/F1428,N1427)</f>
        <v/>
      </c>
      <c r="O1428">
        <f>IF(G1428=1,R1428*(1-1.0),IF(H1427=0,1,O1427*(1+0.00023125256064071564)))</f>
        <v/>
      </c>
      <c r="P1428">
        <f>IF(G1428=1,IF(H1427=0,1,ABS(0.2-J1427*B1428/I1428)+ABS(0.2-K1427*C1428/I1428)+ABS(0.2-L1427*D1428/I1428)+ABS(0.2-M1427*E1428/I1428)+ABS(0.2-N1427*F1428/I1428)),0)</f>
        <v/>
      </c>
      <c r="Q1428">
        <f>P1428*0.0015</f>
        <v/>
      </c>
      <c r="R1428">
        <f>I1428*(1-Q1428)</f>
        <v/>
      </c>
      <c r="S1428">
        <f>R1428/R1427-1</f>
        <v/>
      </c>
      <c r="T1428">
        <f>MAX(T1427,R1428)</f>
        <v/>
      </c>
      <c r="U1428">
        <f>R1428/T1428-1</f>
        <v/>
      </c>
      <c r="V1428" t="n">
        <v>3.535404021285304</v>
      </c>
      <c r="W1428" s="5">
        <f>R1428-V1428</f>
        <v/>
      </c>
    </row>
    <row r="1429">
      <c r="A1429" s="3" t="n">
        <v>40541</v>
      </c>
      <c r="B1429">
        <f>Prices!B1429</f>
        <v/>
      </c>
      <c r="C1429">
        <f>Prices!C1429</f>
        <v/>
      </c>
      <c r="D1429">
        <f>Prices!D1429</f>
        <v/>
      </c>
      <c r="E1429">
        <f>Prices!E1429</f>
        <v/>
      </c>
      <c r="F1429">
        <f>Prices!F1429</f>
        <v/>
      </c>
      <c r="G1429">
        <f>IF(AND(1427&gt;=16,TEXT(A1429,"yyyy-mm")&lt;&gt;TEXT(A1430,"yyyy-mm")),1,0)</f>
        <v/>
      </c>
      <c r="H1429">
        <f>IF(OR(H1428=1,G1429=1),1,0)</f>
        <v/>
      </c>
      <c r="I1429">
        <f>IF(H1428=0,1,SUMPRODUCT(J1428:N1428,B1429:F1429)+O1428*(1+0.00023125256064071564))</f>
        <v/>
      </c>
      <c r="J1429">
        <f>IF(G1429=1,0.2*R1429/B1429,J1428)</f>
        <v/>
      </c>
      <c r="K1429">
        <f>IF(G1429=1,0.2*R1429/C1429,K1428)</f>
        <v/>
      </c>
      <c r="L1429">
        <f>IF(G1429=1,0.2*R1429/D1429,L1428)</f>
        <v/>
      </c>
      <c r="M1429">
        <f>IF(G1429=1,0.2*R1429/E1429,M1428)</f>
        <v/>
      </c>
      <c r="N1429">
        <f>IF(G1429=1,0.2*R1429/F1429,N1428)</f>
        <v/>
      </c>
      <c r="O1429">
        <f>IF(G1429=1,R1429*(1-1.0),IF(H1428=0,1,O1428*(1+0.00023125256064071564)))</f>
        <v/>
      </c>
      <c r="P1429">
        <f>IF(G1429=1,IF(H1428=0,1,ABS(0.2-J1428*B1429/I1429)+ABS(0.2-K1428*C1429/I1429)+ABS(0.2-L1428*D1429/I1429)+ABS(0.2-M1428*E1429/I1429)+ABS(0.2-N1428*F1429/I1429)),0)</f>
        <v/>
      </c>
      <c r="Q1429">
        <f>P1429*0.0015</f>
        <v/>
      </c>
      <c r="R1429">
        <f>I1429*(1-Q1429)</f>
        <v/>
      </c>
      <c r="S1429">
        <f>R1429/R1428-1</f>
        <v/>
      </c>
      <c r="T1429">
        <f>MAX(T1428,R1429)</f>
        <v/>
      </c>
      <c r="U1429">
        <f>R1429/T1429-1</f>
        <v/>
      </c>
      <c r="V1429" t="n">
        <v>3.559826168988294</v>
      </c>
      <c r="W1429" s="5">
        <f>R1429-V1429</f>
        <v/>
      </c>
    </row>
    <row r="1430">
      <c r="A1430" s="3" t="n">
        <v>40542</v>
      </c>
      <c r="B1430">
        <f>Prices!B1430</f>
        <v/>
      </c>
      <c r="C1430">
        <f>Prices!C1430</f>
        <v/>
      </c>
      <c r="D1430">
        <f>Prices!D1430</f>
        <v/>
      </c>
      <c r="E1430">
        <f>Prices!E1430</f>
        <v/>
      </c>
      <c r="F1430">
        <f>Prices!F1430</f>
        <v/>
      </c>
      <c r="G1430">
        <f>IF(AND(1428&gt;=16,TEXT(A1430,"yyyy-mm")&lt;&gt;TEXT(A1431,"yyyy-mm")),1,0)</f>
        <v/>
      </c>
      <c r="H1430">
        <f>IF(OR(H1429=1,G1430=1),1,0)</f>
        <v/>
      </c>
      <c r="I1430">
        <f>IF(H1429=0,1,SUMPRODUCT(J1429:N1429,B1430:F1430)+O1429*(1+0.00023125256064071564))</f>
        <v/>
      </c>
      <c r="J1430">
        <f>IF(G1430=1,0.2*R1430/B1430,J1429)</f>
        <v/>
      </c>
      <c r="K1430">
        <f>IF(G1430=1,0.2*R1430/C1430,K1429)</f>
        <v/>
      </c>
      <c r="L1430">
        <f>IF(G1430=1,0.2*R1430/D1430,L1429)</f>
        <v/>
      </c>
      <c r="M1430">
        <f>IF(G1430=1,0.2*R1430/E1430,M1429)</f>
        <v/>
      </c>
      <c r="N1430">
        <f>IF(G1430=1,0.2*R1430/F1430,N1429)</f>
        <v/>
      </c>
      <c r="O1430">
        <f>IF(G1430=1,R1430*(1-1.0),IF(H1429=0,1,O1429*(1+0.00023125256064071564)))</f>
        <v/>
      </c>
      <c r="P1430">
        <f>IF(G1430=1,IF(H1429=0,1,ABS(0.2-J1429*B1430/I1430)+ABS(0.2-K1429*C1430/I1430)+ABS(0.2-L1429*D1430/I1430)+ABS(0.2-M1429*E1430/I1430)+ABS(0.2-N1429*F1430/I1430)),0)</f>
        <v/>
      </c>
      <c r="Q1430">
        <f>P1430*0.0015</f>
        <v/>
      </c>
      <c r="R1430">
        <f>I1430*(1-Q1430)</f>
        <v/>
      </c>
      <c r="S1430">
        <f>R1430/R1429-1</f>
        <v/>
      </c>
      <c r="T1430">
        <f>MAX(T1429,R1430)</f>
        <v/>
      </c>
      <c r="U1430">
        <f>R1430/T1430-1</f>
        <v/>
      </c>
      <c r="V1430" t="n">
        <v>3.583682065189992</v>
      </c>
      <c r="W1430" s="5">
        <f>R1430-V1430</f>
        <v/>
      </c>
    </row>
    <row r="1431">
      <c r="A1431" s="3" t="n">
        <v>40543</v>
      </c>
      <c r="B1431">
        <f>Prices!B1431</f>
        <v/>
      </c>
      <c r="C1431">
        <f>Prices!C1431</f>
        <v/>
      </c>
      <c r="D1431">
        <f>Prices!D1431</f>
        <v/>
      </c>
      <c r="E1431">
        <f>Prices!E1431</f>
        <v/>
      </c>
      <c r="F1431">
        <f>Prices!F1431</f>
        <v/>
      </c>
      <c r="G1431">
        <f>IF(AND(1429&gt;=16,TEXT(A1431,"yyyy-mm")&lt;&gt;TEXT(A1432,"yyyy-mm")),1,0)</f>
        <v/>
      </c>
      <c r="H1431">
        <f>IF(OR(H1430=1,G1431=1),1,0)</f>
        <v/>
      </c>
      <c r="I1431">
        <f>IF(H1430=0,1,SUMPRODUCT(J1430:N1430,B1431:F1431)+O1430*(1+0.00023125256064071564))</f>
        <v/>
      </c>
      <c r="J1431">
        <f>IF(G1431=1,0.2*R1431/B1431,J1430)</f>
        <v/>
      </c>
      <c r="K1431">
        <f>IF(G1431=1,0.2*R1431/C1431,K1430)</f>
        <v/>
      </c>
      <c r="L1431">
        <f>IF(G1431=1,0.2*R1431/D1431,L1430)</f>
        <v/>
      </c>
      <c r="M1431">
        <f>IF(G1431=1,0.2*R1431/E1431,M1430)</f>
        <v/>
      </c>
      <c r="N1431">
        <f>IF(G1431=1,0.2*R1431/F1431,N1430)</f>
        <v/>
      </c>
      <c r="O1431">
        <f>IF(G1431=1,R1431*(1-1.0),IF(H1430=0,1,O1430*(1+0.00023125256064071564)))</f>
        <v/>
      </c>
      <c r="P1431">
        <f>IF(G1431=1,IF(H1430=0,1,ABS(0.2-J1430*B1431/I1431)+ABS(0.2-K1430*C1431/I1431)+ABS(0.2-L1430*D1431/I1431)+ABS(0.2-M1430*E1431/I1431)+ABS(0.2-N1430*F1431/I1431)),0)</f>
        <v/>
      </c>
      <c r="Q1431">
        <f>P1431*0.0015</f>
        <v/>
      </c>
      <c r="R1431">
        <f>I1431*(1-Q1431)</f>
        <v/>
      </c>
      <c r="S1431">
        <f>R1431/R1430-1</f>
        <v/>
      </c>
      <c r="T1431">
        <f>MAX(T1430,R1431)</f>
        <v/>
      </c>
      <c r="U1431">
        <f>R1431/T1431-1</f>
        <v/>
      </c>
      <c r="V1431" t="n">
        <v>3.619393030618651</v>
      </c>
      <c r="W1431" s="5">
        <f>R1431-V1431</f>
        <v/>
      </c>
    </row>
    <row r="1432">
      <c r="A1432" s="3" t="n">
        <v>40546</v>
      </c>
      <c r="B1432">
        <f>Prices!B1432</f>
        <v/>
      </c>
      <c r="C1432">
        <f>Prices!C1432</f>
        <v/>
      </c>
      <c r="D1432">
        <f>Prices!D1432</f>
        <v/>
      </c>
      <c r="E1432">
        <f>Prices!E1432</f>
        <v/>
      </c>
      <c r="F1432">
        <f>Prices!F1432</f>
        <v/>
      </c>
      <c r="G1432">
        <f>IF(AND(1430&gt;=16,TEXT(A1432,"yyyy-mm")&lt;&gt;TEXT(A1433,"yyyy-mm")),1,0)</f>
        <v/>
      </c>
      <c r="H1432">
        <f>IF(OR(H1431=1,G1432=1),1,0)</f>
        <v/>
      </c>
      <c r="I1432">
        <f>IF(H1431=0,1,SUMPRODUCT(J1431:N1431,B1432:F1432)+O1431*(1+0.00023125256064071564))</f>
        <v/>
      </c>
      <c r="J1432">
        <f>IF(G1432=1,0.2*R1432/B1432,J1431)</f>
        <v/>
      </c>
      <c r="K1432">
        <f>IF(G1432=1,0.2*R1432/C1432,K1431)</f>
        <v/>
      </c>
      <c r="L1432">
        <f>IF(G1432=1,0.2*R1432/D1432,L1431)</f>
        <v/>
      </c>
      <c r="M1432">
        <f>IF(G1432=1,0.2*R1432/E1432,M1431)</f>
        <v/>
      </c>
      <c r="N1432">
        <f>IF(G1432=1,0.2*R1432/F1432,N1431)</f>
        <v/>
      </c>
      <c r="O1432">
        <f>IF(G1432=1,R1432*(1-1.0),IF(H1431=0,1,O1431*(1+0.00023125256064071564)))</f>
        <v/>
      </c>
      <c r="P1432">
        <f>IF(G1432=1,IF(H1431=0,1,ABS(0.2-J1431*B1432/I1432)+ABS(0.2-K1431*C1432/I1432)+ABS(0.2-L1431*D1432/I1432)+ABS(0.2-M1431*E1432/I1432)+ABS(0.2-N1431*F1432/I1432)),0)</f>
        <v/>
      </c>
      <c r="Q1432">
        <f>P1432*0.0015</f>
        <v/>
      </c>
      <c r="R1432">
        <f>I1432*(1-Q1432)</f>
        <v/>
      </c>
      <c r="S1432">
        <f>R1432/R1431-1</f>
        <v/>
      </c>
      <c r="T1432">
        <f>MAX(T1431,R1432)</f>
        <v/>
      </c>
      <c r="U1432">
        <f>R1432/T1432-1</f>
        <v/>
      </c>
      <c r="V1432" t="n">
        <v>3.638894350180113</v>
      </c>
      <c r="W1432" s="5">
        <f>R1432-V1432</f>
        <v/>
      </c>
    </row>
    <row r="1433">
      <c r="A1433" s="3" t="n">
        <v>40547</v>
      </c>
      <c r="B1433">
        <f>Prices!B1433</f>
        <v/>
      </c>
      <c r="C1433">
        <f>Prices!C1433</f>
        <v/>
      </c>
      <c r="D1433">
        <f>Prices!D1433</f>
        <v/>
      </c>
      <c r="E1433">
        <f>Prices!E1433</f>
        <v/>
      </c>
      <c r="F1433">
        <f>Prices!F1433</f>
        <v/>
      </c>
      <c r="G1433">
        <f>IF(AND(1431&gt;=16,TEXT(A1433,"yyyy-mm")&lt;&gt;TEXT(A1434,"yyyy-mm")),1,0)</f>
        <v/>
      </c>
      <c r="H1433">
        <f>IF(OR(H1432=1,G1433=1),1,0)</f>
        <v/>
      </c>
      <c r="I1433">
        <f>IF(H1432=0,1,SUMPRODUCT(J1432:N1432,B1433:F1433)+O1432*(1+0.00023125256064071564))</f>
        <v/>
      </c>
      <c r="J1433">
        <f>IF(G1433=1,0.2*R1433/B1433,J1432)</f>
        <v/>
      </c>
      <c r="K1433">
        <f>IF(G1433=1,0.2*R1433/C1433,K1432)</f>
        <v/>
      </c>
      <c r="L1433">
        <f>IF(G1433=1,0.2*R1433/D1433,L1432)</f>
        <v/>
      </c>
      <c r="M1433">
        <f>IF(G1433=1,0.2*R1433/E1433,M1432)</f>
        <v/>
      </c>
      <c r="N1433">
        <f>IF(G1433=1,0.2*R1433/F1433,N1432)</f>
        <v/>
      </c>
      <c r="O1433">
        <f>IF(G1433=1,R1433*(1-1.0),IF(H1432=0,1,O1432*(1+0.00023125256064071564)))</f>
        <v/>
      </c>
      <c r="P1433">
        <f>IF(G1433=1,IF(H1432=0,1,ABS(0.2-J1432*B1433/I1433)+ABS(0.2-K1432*C1433/I1433)+ABS(0.2-L1432*D1433/I1433)+ABS(0.2-M1432*E1433/I1433)+ABS(0.2-N1432*F1433/I1433)),0)</f>
        <v/>
      </c>
      <c r="Q1433">
        <f>P1433*0.0015</f>
        <v/>
      </c>
      <c r="R1433">
        <f>I1433*(1-Q1433)</f>
        <v/>
      </c>
      <c r="S1433">
        <f>R1433/R1432-1</f>
        <v/>
      </c>
      <c r="T1433">
        <f>MAX(T1432,R1433)</f>
        <v/>
      </c>
      <c r="U1433">
        <f>R1433/T1433-1</f>
        <v/>
      </c>
      <c r="V1433" t="n">
        <v>3.62326906637789</v>
      </c>
      <c r="W1433" s="5">
        <f>R1433-V1433</f>
        <v/>
      </c>
    </row>
    <row r="1434">
      <c r="A1434" s="3" t="n">
        <v>40548</v>
      </c>
      <c r="B1434">
        <f>Prices!B1434</f>
        <v/>
      </c>
      <c r="C1434">
        <f>Prices!C1434</f>
        <v/>
      </c>
      <c r="D1434">
        <f>Prices!D1434</f>
        <v/>
      </c>
      <c r="E1434">
        <f>Prices!E1434</f>
        <v/>
      </c>
      <c r="F1434">
        <f>Prices!F1434</f>
        <v/>
      </c>
      <c r="G1434">
        <f>IF(AND(1432&gt;=16,TEXT(A1434,"yyyy-mm")&lt;&gt;TEXT(A1435,"yyyy-mm")),1,0)</f>
        <v/>
      </c>
      <c r="H1434">
        <f>IF(OR(H1433=1,G1434=1),1,0)</f>
        <v/>
      </c>
      <c r="I1434">
        <f>IF(H1433=0,1,SUMPRODUCT(J1433:N1433,B1434:F1434)+O1433*(1+0.00023125256064071564))</f>
        <v/>
      </c>
      <c r="J1434">
        <f>IF(G1434=1,0.2*R1434/B1434,J1433)</f>
        <v/>
      </c>
      <c r="K1434">
        <f>IF(G1434=1,0.2*R1434/C1434,K1433)</f>
        <v/>
      </c>
      <c r="L1434">
        <f>IF(G1434=1,0.2*R1434/D1434,L1433)</f>
        <v/>
      </c>
      <c r="M1434">
        <f>IF(G1434=1,0.2*R1434/E1434,M1433)</f>
        <v/>
      </c>
      <c r="N1434">
        <f>IF(G1434=1,0.2*R1434/F1434,N1433)</f>
        <v/>
      </c>
      <c r="O1434">
        <f>IF(G1434=1,R1434*(1-1.0),IF(H1433=0,1,O1433*(1+0.00023125256064071564)))</f>
        <v/>
      </c>
      <c r="P1434">
        <f>IF(G1434=1,IF(H1433=0,1,ABS(0.2-J1433*B1434/I1434)+ABS(0.2-K1433*C1434/I1434)+ABS(0.2-L1433*D1434/I1434)+ABS(0.2-M1433*E1434/I1434)+ABS(0.2-N1433*F1434/I1434)),0)</f>
        <v/>
      </c>
      <c r="Q1434">
        <f>P1434*0.0015</f>
        <v/>
      </c>
      <c r="R1434">
        <f>I1434*(1-Q1434)</f>
        <v/>
      </c>
      <c r="S1434">
        <f>R1434/R1433-1</f>
        <v/>
      </c>
      <c r="T1434">
        <f>MAX(T1433,R1434)</f>
        <v/>
      </c>
      <c r="U1434">
        <f>R1434/T1434-1</f>
        <v/>
      </c>
      <c r="V1434" t="n">
        <v>3.577859074054178</v>
      </c>
      <c r="W1434" s="5">
        <f>R1434-V1434</f>
        <v/>
      </c>
    </row>
    <row r="1435">
      <c r="A1435" s="3" t="n">
        <v>40549</v>
      </c>
      <c r="B1435">
        <f>Prices!B1435</f>
        <v/>
      </c>
      <c r="C1435">
        <f>Prices!C1435</f>
        <v/>
      </c>
      <c r="D1435">
        <f>Prices!D1435</f>
        <v/>
      </c>
      <c r="E1435">
        <f>Prices!E1435</f>
        <v/>
      </c>
      <c r="F1435">
        <f>Prices!F1435</f>
        <v/>
      </c>
      <c r="G1435">
        <f>IF(AND(1433&gt;=16,TEXT(A1435,"yyyy-mm")&lt;&gt;TEXT(A1436,"yyyy-mm")),1,0)</f>
        <v/>
      </c>
      <c r="H1435">
        <f>IF(OR(H1434=1,G1435=1),1,0)</f>
        <v/>
      </c>
      <c r="I1435">
        <f>IF(H1434=0,1,SUMPRODUCT(J1434:N1434,B1435:F1435)+O1434*(1+0.00023125256064071564))</f>
        <v/>
      </c>
      <c r="J1435">
        <f>IF(G1435=1,0.2*R1435/B1435,J1434)</f>
        <v/>
      </c>
      <c r="K1435">
        <f>IF(G1435=1,0.2*R1435/C1435,K1434)</f>
        <v/>
      </c>
      <c r="L1435">
        <f>IF(G1435=1,0.2*R1435/D1435,L1434)</f>
        <v/>
      </c>
      <c r="M1435">
        <f>IF(G1435=1,0.2*R1435/E1435,M1434)</f>
        <v/>
      </c>
      <c r="N1435">
        <f>IF(G1435=1,0.2*R1435/F1435,N1434)</f>
        <v/>
      </c>
      <c r="O1435">
        <f>IF(G1435=1,R1435*(1-1.0),IF(H1434=0,1,O1434*(1+0.00023125256064071564)))</f>
        <v/>
      </c>
      <c r="P1435">
        <f>IF(G1435=1,IF(H1434=0,1,ABS(0.2-J1434*B1435/I1435)+ABS(0.2-K1434*C1435/I1435)+ABS(0.2-L1434*D1435/I1435)+ABS(0.2-M1434*E1435/I1435)+ABS(0.2-N1434*F1435/I1435)),0)</f>
        <v/>
      </c>
      <c r="Q1435">
        <f>P1435*0.0015</f>
        <v/>
      </c>
      <c r="R1435">
        <f>I1435*(1-Q1435)</f>
        <v/>
      </c>
      <c r="S1435">
        <f>R1435/R1434-1</f>
        <v/>
      </c>
      <c r="T1435">
        <f>MAX(T1434,R1435)</f>
        <v/>
      </c>
      <c r="U1435">
        <f>R1435/T1435-1</f>
        <v/>
      </c>
      <c r="V1435" t="n">
        <v>3.54156106306722</v>
      </c>
      <c r="W1435" s="5">
        <f>R1435-V1435</f>
        <v/>
      </c>
    </row>
    <row r="1436">
      <c r="A1436" s="3" t="n">
        <v>40550</v>
      </c>
      <c r="B1436">
        <f>Prices!B1436</f>
        <v/>
      </c>
      <c r="C1436">
        <f>Prices!C1436</f>
        <v/>
      </c>
      <c r="D1436">
        <f>Prices!D1436</f>
        <v/>
      </c>
      <c r="E1436">
        <f>Prices!E1436</f>
        <v/>
      </c>
      <c r="F1436">
        <f>Prices!F1436</f>
        <v/>
      </c>
      <c r="G1436">
        <f>IF(AND(1434&gt;=16,TEXT(A1436,"yyyy-mm")&lt;&gt;TEXT(A1437,"yyyy-mm")),1,0)</f>
        <v/>
      </c>
      <c r="H1436">
        <f>IF(OR(H1435=1,G1436=1),1,0)</f>
        <v/>
      </c>
      <c r="I1436">
        <f>IF(H1435=0,1,SUMPRODUCT(J1435:N1435,B1436:F1436)+O1435*(1+0.00023125256064071564))</f>
        <v/>
      </c>
      <c r="J1436">
        <f>IF(G1436=1,0.2*R1436/B1436,J1435)</f>
        <v/>
      </c>
      <c r="K1436">
        <f>IF(G1436=1,0.2*R1436/C1436,K1435)</f>
        <v/>
      </c>
      <c r="L1436">
        <f>IF(G1436=1,0.2*R1436/D1436,L1435)</f>
        <v/>
      </c>
      <c r="M1436">
        <f>IF(G1436=1,0.2*R1436/E1436,M1435)</f>
        <v/>
      </c>
      <c r="N1436">
        <f>IF(G1436=1,0.2*R1436/F1436,N1435)</f>
        <v/>
      </c>
      <c r="O1436">
        <f>IF(G1436=1,R1436*(1-1.0),IF(H1435=0,1,O1435*(1+0.00023125256064071564)))</f>
        <v/>
      </c>
      <c r="P1436">
        <f>IF(G1436=1,IF(H1435=0,1,ABS(0.2-J1435*B1436/I1436)+ABS(0.2-K1435*C1436/I1436)+ABS(0.2-L1435*D1436/I1436)+ABS(0.2-M1435*E1436/I1436)+ABS(0.2-N1435*F1436/I1436)),0)</f>
        <v/>
      </c>
      <c r="Q1436">
        <f>P1436*0.0015</f>
        <v/>
      </c>
      <c r="R1436">
        <f>I1436*(1-Q1436)</f>
        <v/>
      </c>
      <c r="S1436">
        <f>R1436/R1435-1</f>
        <v/>
      </c>
      <c r="T1436">
        <f>MAX(T1435,R1436)</f>
        <v/>
      </c>
      <c r="U1436">
        <f>R1436/T1436-1</f>
        <v/>
      </c>
      <c r="V1436" t="n">
        <v>3.451742597213209</v>
      </c>
      <c r="W1436" s="5">
        <f>R1436-V1436</f>
        <v/>
      </c>
    </row>
    <row r="1437">
      <c r="A1437" s="3" t="n">
        <v>40553</v>
      </c>
      <c r="B1437">
        <f>Prices!B1437</f>
        <v/>
      </c>
      <c r="C1437">
        <f>Prices!C1437</f>
        <v/>
      </c>
      <c r="D1437">
        <f>Prices!D1437</f>
        <v/>
      </c>
      <c r="E1437">
        <f>Prices!E1437</f>
        <v/>
      </c>
      <c r="F1437">
        <f>Prices!F1437</f>
        <v/>
      </c>
      <c r="G1437">
        <f>IF(AND(1435&gt;=16,TEXT(A1437,"yyyy-mm")&lt;&gt;TEXT(A1438,"yyyy-mm")),1,0)</f>
        <v/>
      </c>
      <c r="H1437">
        <f>IF(OR(H1436=1,G1437=1),1,0)</f>
        <v/>
      </c>
      <c r="I1437">
        <f>IF(H1436=0,1,SUMPRODUCT(J1436:N1436,B1437:F1437)+O1436*(1+0.00023125256064071564))</f>
        <v/>
      </c>
      <c r="J1437">
        <f>IF(G1437=1,0.2*R1437/B1437,J1436)</f>
        <v/>
      </c>
      <c r="K1437">
        <f>IF(G1437=1,0.2*R1437/C1437,K1436)</f>
        <v/>
      </c>
      <c r="L1437">
        <f>IF(G1437=1,0.2*R1437/D1437,L1436)</f>
        <v/>
      </c>
      <c r="M1437">
        <f>IF(G1437=1,0.2*R1437/E1437,M1436)</f>
        <v/>
      </c>
      <c r="N1437">
        <f>IF(G1437=1,0.2*R1437/F1437,N1436)</f>
        <v/>
      </c>
      <c r="O1437">
        <f>IF(G1437=1,R1437*(1-1.0),IF(H1436=0,1,O1436*(1+0.00023125256064071564)))</f>
        <v/>
      </c>
      <c r="P1437">
        <f>IF(G1437=1,IF(H1436=0,1,ABS(0.2-J1436*B1437/I1437)+ABS(0.2-K1436*C1437/I1437)+ABS(0.2-L1436*D1437/I1437)+ABS(0.2-M1436*E1437/I1437)+ABS(0.2-N1436*F1437/I1437)),0)</f>
        <v/>
      </c>
      <c r="Q1437">
        <f>P1437*0.0015</f>
        <v/>
      </c>
      <c r="R1437">
        <f>I1437*(1-Q1437)</f>
        <v/>
      </c>
      <c r="S1437">
        <f>R1437/R1436-1</f>
        <v/>
      </c>
      <c r="T1437">
        <f>MAX(T1436,R1437)</f>
        <v/>
      </c>
      <c r="U1437">
        <f>R1437/T1437-1</f>
        <v/>
      </c>
      <c r="V1437" t="n">
        <v>3.374384278811326</v>
      </c>
      <c r="W1437" s="5">
        <f>R1437-V1437</f>
        <v/>
      </c>
    </row>
    <row r="1438">
      <c r="A1438" s="3" t="n">
        <v>40554</v>
      </c>
      <c r="B1438">
        <f>Prices!B1438</f>
        <v/>
      </c>
      <c r="C1438">
        <f>Prices!C1438</f>
        <v/>
      </c>
      <c r="D1438">
        <f>Prices!D1438</f>
        <v/>
      </c>
      <c r="E1438">
        <f>Prices!E1438</f>
        <v/>
      </c>
      <c r="F1438">
        <f>Prices!F1438</f>
        <v/>
      </c>
      <c r="G1438">
        <f>IF(AND(1436&gt;=16,TEXT(A1438,"yyyy-mm")&lt;&gt;TEXT(A1439,"yyyy-mm")),1,0)</f>
        <v/>
      </c>
      <c r="H1438">
        <f>IF(OR(H1437=1,G1438=1),1,0)</f>
        <v/>
      </c>
      <c r="I1438">
        <f>IF(H1437=0,1,SUMPRODUCT(J1437:N1437,B1438:F1438)+O1437*(1+0.00023125256064071564))</f>
        <v/>
      </c>
      <c r="J1438">
        <f>IF(G1438=1,0.2*R1438/B1438,J1437)</f>
        <v/>
      </c>
      <c r="K1438">
        <f>IF(G1438=1,0.2*R1438/C1438,K1437)</f>
        <v/>
      </c>
      <c r="L1438">
        <f>IF(G1438=1,0.2*R1438/D1438,L1437)</f>
        <v/>
      </c>
      <c r="M1438">
        <f>IF(G1438=1,0.2*R1438/E1438,M1437)</f>
        <v/>
      </c>
      <c r="N1438">
        <f>IF(G1438=1,0.2*R1438/F1438,N1437)</f>
        <v/>
      </c>
      <c r="O1438">
        <f>IF(G1438=1,R1438*(1-1.0),IF(H1437=0,1,O1437*(1+0.00023125256064071564)))</f>
        <v/>
      </c>
      <c r="P1438">
        <f>IF(G1438=1,IF(H1437=0,1,ABS(0.2-J1437*B1438/I1438)+ABS(0.2-K1437*C1438/I1438)+ABS(0.2-L1437*D1438/I1438)+ABS(0.2-M1437*E1438/I1438)+ABS(0.2-N1437*F1438/I1438)),0)</f>
        <v/>
      </c>
      <c r="Q1438">
        <f>P1438*0.0015</f>
        <v/>
      </c>
      <c r="R1438">
        <f>I1438*(1-Q1438)</f>
        <v/>
      </c>
      <c r="S1438">
        <f>R1438/R1437-1</f>
        <v/>
      </c>
      <c r="T1438">
        <f>MAX(T1437,R1438)</f>
        <v/>
      </c>
      <c r="U1438">
        <f>R1438/T1438-1</f>
        <v/>
      </c>
      <c r="V1438" t="n">
        <v>3.363421425147498</v>
      </c>
      <c r="W1438" s="5">
        <f>R1438-V1438</f>
        <v/>
      </c>
    </row>
    <row r="1439">
      <c r="A1439" s="3" t="n">
        <v>40555</v>
      </c>
      <c r="B1439">
        <f>Prices!B1439</f>
        <v/>
      </c>
      <c r="C1439">
        <f>Prices!C1439</f>
        <v/>
      </c>
      <c r="D1439">
        <f>Prices!D1439</f>
        <v/>
      </c>
      <c r="E1439">
        <f>Prices!E1439</f>
        <v/>
      </c>
      <c r="F1439">
        <f>Prices!F1439</f>
        <v/>
      </c>
      <c r="G1439">
        <f>IF(AND(1437&gt;=16,TEXT(A1439,"yyyy-mm")&lt;&gt;TEXT(A1440,"yyyy-mm")),1,0)</f>
        <v/>
      </c>
      <c r="H1439">
        <f>IF(OR(H1438=1,G1439=1),1,0)</f>
        <v/>
      </c>
      <c r="I1439">
        <f>IF(H1438=0,1,SUMPRODUCT(J1438:N1438,B1439:F1439)+O1438*(1+0.00023125256064071564))</f>
        <v/>
      </c>
      <c r="J1439">
        <f>IF(G1439=1,0.2*R1439/B1439,J1438)</f>
        <v/>
      </c>
      <c r="K1439">
        <f>IF(G1439=1,0.2*R1439/C1439,K1438)</f>
        <v/>
      </c>
      <c r="L1439">
        <f>IF(G1439=1,0.2*R1439/D1439,L1438)</f>
        <v/>
      </c>
      <c r="M1439">
        <f>IF(G1439=1,0.2*R1439/E1439,M1438)</f>
        <v/>
      </c>
      <c r="N1439">
        <f>IF(G1439=1,0.2*R1439/F1439,N1438)</f>
        <v/>
      </c>
      <c r="O1439">
        <f>IF(G1439=1,R1439*(1-1.0),IF(H1438=0,1,O1438*(1+0.00023125256064071564)))</f>
        <v/>
      </c>
      <c r="P1439">
        <f>IF(G1439=1,IF(H1438=0,1,ABS(0.2-J1438*B1439/I1439)+ABS(0.2-K1438*C1439/I1439)+ABS(0.2-L1438*D1439/I1439)+ABS(0.2-M1438*E1439/I1439)+ABS(0.2-N1438*F1439/I1439)),0)</f>
        <v/>
      </c>
      <c r="Q1439">
        <f>P1439*0.0015</f>
        <v/>
      </c>
      <c r="R1439">
        <f>I1439*(1-Q1439)</f>
        <v/>
      </c>
      <c r="S1439">
        <f>R1439/R1438-1</f>
        <v/>
      </c>
      <c r="T1439">
        <f>MAX(T1438,R1439)</f>
        <v/>
      </c>
      <c r="U1439">
        <f>R1439/T1439-1</f>
        <v/>
      </c>
      <c r="V1439" t="n">
        <v>3.425448386260603</v>
      </c>
      <c r="W1439" s="5">
        <f>R1439-V1439</f>
        <v/>
      </c>
    </row>
    <row r="1440">
      <c r="A1440" s="3" t="n">
        <v>40556</v>
      </c>
      <c r="B1440">
        <f>Prices!B1440</f>
        <v/>
      </c>
      <c r="C1440">
        <f>Prices!C1440</f>
        <v/>
      </c>
      <c r="D1440">
        <f>Prices!D1440</f>
        <v/>
      </c>
      <c r="E1440">
        <f>Prices!E1440</f>
        <v/>
      </c>
      <c r="F1440">
        <f>Prices!F1440</f>
        <v/>
      </c>
      <c r="G1440">
        <f>IF(AND(1438&gt;=16,TEXT(A1440,"yyyy-mm")&lt;&gt;TEXT(A1441,"yyyy-mm")),1,0)</f>
        <v/>
      </c>
      <c r="H1440">
        <f>IF(OR(H1439=1,G1440=1),1,0)</f>
        <v/>
      </c>
      <c r="I1440">
        <f>IF(H1439=0,1,SUMPRODUCT(J1439:N1439,B1440:F1440)+O1439*(1+0.00023125256064071564))</f>
        <v/>
      </c>
      <c r="J1440">
        <f>IF(G1440=1,0.2*R1440/B1440,J1439)</f>
        <v/>
      </c>
      <c r="K1440">
        <f>IF(G1440=1,0.2*R1440/C1440,K1439)</f>
        <v/>
      </c>
      <c r="L1440">
        <f>IF(G1440=1,0.2*R1440/D1440,L1439)</f>
        <v/>
      </c>
      <c r="M1440">
        <f>IF(G1440=1,0.2*R1440/E1440,M1439)</f>
        <v/>
      </c>
      <c r="N1440">
        <f>IF(G1440=1,0.2*R1440/F1440,N1439)</f>
        <v/>
      </c>
      <c r="O1440">
        <f>IF(G1440=1,R1440*(1-1.0),IF(H1439=0,1,O1439*(1+0.00023125256064071564)))</f>
        <v/>
      </c>
      <c r="P1440">
        <f>IF(G1440=1,IF(H1439=0,1,ABS(0.2-J1439*B1440/I1440)+ABS(0.2-K1439*C1440/I1440)+ABS(0.2-L1439*D1440/I1440)+ABS(0.2-M1439*E1440/I1440)+ABS(0.2-N1439*F1440/I1440)),0)</f>
        <v/>
      </c>
      <c r="Q1440">
        <f>P1440*0.0015</f>
        <v/>
      </c>
      <c r="R1440">
        <f>I1440*(1-Q1440)</f>
        <v/>
      </c>
      <c r="S1440">
        <f>R1440/R1439-1</f>
        <v/>
      </c>
      <c r="T1440">
        <f>MAX(T1439,R1440)</f>
        <v/>
      </c>
      <c r="U1440">
        <f>R1440/T1440-1</f>
        <v/>
      </c>
      <c r="V1440" t="n">
        <v>3.384968876657362</v>
      </c>
      <c r="W1440" s="5">
        <f>R1440-V1440</f>
        <v/>
      </c>
    </row>
    <row r="1441">
      <c r="A1441" s="3" t="n">
        <v>40557</v>
      </c>
      <c r="B1441">
        <f>Prices!B1441</f>
        <v/>
      </c>
      <c r="C1441">
        <f>Prices!C1441</f>
        <v/>
      </c>
      <c r="D1441">
        <f>Prices!D1441</f>
        <v/>
      </c>
      <c r="E1441">
        <f>Prices!E1441</f>
        <v/>
      </c>
      <c r="F1441">
        <f>Prices!F1441</f>
        <v/>
      </c>
      <c r="G1441">
        <f>IF(AND(1439&gt;=16,TEXT(A1441,"yyyy-mm")&lt;&gt;TEXT(A1442,"yyyy-mm")),1,0)</f>
        <v/>
      </c>
      <c r="H1441">
        <f>IF(OR(H1440=1,G1441=1),1,0)</f>
        <v/>
      </c>
      <c r="I1441">
        <f>IF(H1440=0,1,SUMPRODUCT(J1440:N1440,B1441:F1441)+O1440*(1+0.00023125256064071564))</f>
        <v/>
      </c>
      <c r="J1441">
        <f>IF(G1441=1,0.2*R1441/B1441,J1440)</f>
        <v/>
      </c>
      <c r="K1441">
        <f>IF(G1441=1,0.2*R1441/C1441,K1440)</f>
        <v/>
      </c>
      <c r="L1441">
        <f>IF(G1441=1,0.2*R1441/D1441,L1440)</f>
        <v/>
      </c>
      <c r="M1441">
        <f>IF(G1441=1,0.2*R1441/E1441,M1440)</f>
        <v/>
      </c>
      <c r="N1441">
        <f>IF(G1441=1,0.2*R1441/F1441,N1440)</f>
        <v/>
      </c>
      <c r="O1441">
        <f>IF(G1441=1,R1441*(1-1.0),IF(H1440=0,1,O1440*(1+0.00023125256064071564)))</f>
        <v/>
      </c>
      <c r="P1441">
        <f>IF(G1441=1,IF(H1440=0,1,ABS(0.2-J1440*B1441/I1441)+ABS(0.2-K1440*C1441/I1441)+ABS(0.2-L1440*D1441/I1441)+ABS(0.2-M1440*E1441/I1441)+ABS(0.2-N1440*F1441/I1441)),0)</f>
        <v/>
      </c>
      <c r="Q1441">
        <f>P1441*0.0015</f>
        <v/>
      </c>
      <c r="R1441">
        <f>I1441*(1-Q1441)</f>
        <v/>
      </c>
      <c r="S1441">
        <f>R1441/R1440-1</f>
        <v/>
      </c>
      <c r="T1441">
        <f>MAX(T1440,R1441)</f>
        <v/>
      </c>
      <c r="U1441">
        <f>R1441/T1441-1</f>
        <v/>
      </c>
      <c r="V1441" t="n">
        <v>3.335577092142903</v>
      </c>
      <c r="W1441" s="5">
        <f>R1441-V1441</f>
        <v/>
      </c>
    </row>
    <row r="1442">
      <c r="A1442" s="3" t="n">
        <v>40560</v>
      </c>
      <c r="B1442">
        <f>Prices!B1442</f>
        <v/>
      </c>
      <c r="C1442">
        <f>Prices!C1442</f>
        <v/>
      </c>
      <c r="D1442">
        <f>Prices!D1442</f>
        <v/>
      </c>
      <c r="E1442">
        <f>Prices!E1442</f>
        <v/>
      </c>
      <c r="F1442">
        <f>Prices!F1442</f>
        <v/>
      </c>
      <c r="G1442">
        <f>IF(AND(1440&gt;=16,TEXT(A1442,"yyyy-mm")&lt;&gt;TEXT(A1443,"yyyy-mm")),1,0)</f>
        <v/>
      </c>
      <c r="H1442">
        <f>IF(OR(H1441=1,G1442=1),1,0)</f>
        <v/>
      </c>
      <c r="I1442">
        <f>IF(H1441=0,1,SUMPRODUCT(J1441:N1441,B1442:F1442)+O1441*(1+0.00023125256064071564))</f>
        <v/>
      </c>
      <c r="J1442">
        <f>IF(G1442=1,0.2*R1442/B1442,J1441)</f>
        <v/>
      </c>
      <c r="K1442">
        <f>IF(G1442=1,0.2*R1442/C1442,K1441)</f>
        <v/>
      </c>
      <c r="L1442">
        <f>IF(G1442=1,0.2*R1442/D1442,L1441)</f>
        <v/>
      </c>
      <c r="M1442">
        <f>IF(G1442=1,0.2*R1442/E1442,M1441)</f>
        <v/>
      </c>
      <c r="N1442">
        <f>IF(G1442=1,0.2*R1442/F1442,N1441)</f>
        <v/>
      </c>
      <c r="O1442">
        <f>IF(G1442=1,R1442*(1-1.0),IF(H1441=0,1,O1441*(1+0.00023125256064071564)))</f>
        <v/>
      </c>
      <c r="P1442">
        <f>IF(G1442=1,IF(H1441=0,1,ABS(0.2-J1441*B1442/I1442)+ABS(0.2-K1441*C1442/I1442)+ABS(0.2-L1441*D1442/I1442)+ABS(0.2-M1441*E1442/I1442)+ABS(0.2-N1441*F1442/I1442)),0)</f>
        <v/>
      </c>
      <c r="Q1442">
        <f>P1442*0.0015</f>
        <v/>
      </c>
      <c r="R1442">
        <f>I1442*(1-Q1442)</f>
        <v/>
      </c>
      <c r="S1442">
        <f>R1442/R1441-1</f>
        <v/>
      </c>
      <c r="T1442">
        <f>MAX(T1441,R1442)</f>
        <v/>
      </c>
      <c r="U1442">
        <f>R1442/T1442-1</f>
        <v/>
      </c>
      <c r="V1442" t="n">
        <v>3.320854016993039</v>
      </c>
      <c r="W1442" s="5">
        <f>R1442-V1442</f>
        <v/>
      </c>
    </row>
    <row r="1443">
      <c r="A1443" s="3" t="n">
        <v>40561</v>
      </c>
      <c r="B1443">
        <f>Prices!B1443</f>
        <v/>
      </c>
      <c r="C1443">
        <f>Prices!C1443</f>
        <v/>
      </c>
      <c r="D1443">
        <f>Prices!D1443</f>
        <v/>
      </c>
      <c r="E1443">
        <f>Prices!E1443</f>
        <v/>
      </c>
      <c r="F1443">
        <f>Prices!F1443</f>
        <v/>
      </c>
      <c r="G1443">
        <f>IF(AND(1441&gt;=16,TEXT(A1443,"yyyy-mm")&lt;&gt;TEXT(A1444,"yyyy-mm")),1,0)</f>
        <v/>
      </c>
      <c r="H1443">
        <f>IF(OR(H1442=1,G1443=1),1,0)</f>
        <v/>
      </c>
      <c r="I1443">
        <f>IF(H1442=0,1,SUMPRODUCT(J1442:N1442,B1443:F1443)+O1442*(1+0.00023125256064071564))</f>
        <v/>
      </c>
      <c r="J1443">
        <f>IF(G1443=1,0.2*R1443/B1443,J1442)</f>
        <v/>
      </c>
      <c r="K1443">
        <f>IF(G1443=1,0.2*R1443/C1443,K1442)</f>
        <v/>
      </c>
      <c r="L1443">
        <f>IF(G1443=1,0.2*R1443/D1443,L1442)</f>
        <v/>
      </c>
      <c r="M1443">
        <f>IF(G1443=1,0.2*R1443/E1443,M1442)</f>
        <v/>
      </c>
      <c r="N1443">
        <f>IF(G1443=1,0.2*R1443/F1443,N1442)</f>
        <v/>
      </c>
      <c r="O1443">
        <f>IF(G1443=1,R1443*(1-1.0),IF(H1442=0,1,O1442*(1+0.00023125256064071564)))</f>
        <v/>
      </c>
      <c r="P1443">
        <f>IF(G1443=1,IF(H1442=0,1,ABS(0.2-J1442*B1443/I1443)+ABS(0.2-K1442*C1443/I1443)+ABS(0.2-L1442*D1443/I1443)+ABS(0.2-M1442*E1443/I1443)+ABS(0.2-N1442*F1443/I1443)),0)</f>
        <v/>
      </c>
      <c r="Q1443">
        <f>P1443*0.0015</f>
        <v/>
      </c>
      <c r="R1443">
        <f>I1443*(1-Q1443)</f>
        <v/>
      </c>
      <c r="S1443">
        <f>R1443/R1442-1</f>
        <v/>
      </c>
      <c r="T1443">
        <f>MAX(T1442,R1443)</f>
        <v/>
      </c>
      <c r="U1443">
        <f>R1443/T1443-1</f>
        <v/>
      </c>
      <c r="V1443" t="n">
        <v>3.351777658769149</v>
      </c>
      <c r="W1443" s="5">
        <f>R1443-V1443</f>
        <v/>
      </c>
    </row>
    <row r="1444">
      <c r="A1444" s="3" t="n">
        <v>40562</v>
      </c>
      <c r="B1444">
        <f>Prices!B1444</f>
        <v/>
      </c>
      <c r="C1444">
        <f>Prices!C1444</f>
        <v/>
      </c>
      <c r="D1444">
        <f>Prices!D1444</f>
        <v/>
      </c>
      <c r="E1444">
        <f>Prices!E1444</f>
        <v/>
      </c>
      <c r="F1444">
        <f>Prices!F1444</f>
        <v/>
      </c>
      <c r="G1444">
        <f>IF(AND(1442&gt;=16,TEXT(A1444,"yyyy-mm")&lt;&gt;TEXT(A1445,"yyyy-mm")),1,0)</f>
        <v/>
      </c>
      <c r="H1444">
        <f>IF(OR(H1443=1,G1444=1),1,0)</f>
        <v/>
      </c>
      <c r="I1444">
        <f>IF(H1443=0,1,SUMPRODUCT(J1443:N1443,B1444:F1444)+O1443*(1+0.00023125256064071564))</f>
        <v/>
      </c>
      <c r="J1444">
        <f>IF(G1444=1,0.2*R1444/B1444,J1443)</f>
        <v/>
      </c>
      <c r="K1444">
        <f>IF(G1444=1,0.2*R1444/C1444,K1443)</f>
        <v/>
      </c>
      <c r="L1444">
        <f>IF(G1444=1,0.2*R1444/D1444,L1443)</f>
        <v/>
      </c>
      <c r="M1444">
        <f>IF(G1444=1,0.2*R1444/E1444,M1443)</f>
        <v/>
      </c>
      <c r="N1444">
        <f>IF(G1444=1,0.2*R1444/F1444,N1443)</f>
        <v/>
      </c>
      <c r="O1444">
        <f>IF(G1444=1,R1444*(1-1.0),IF(H1443=0,1,O1443*(1+0.00023125256064071564)))</f>
        <v/>
      </c>
      <c r="P1444">
        <f>IF(G1444=1,IF(H1443=0,1,ABS(0.2-J1443*B1444/I1444)+ABS(0.2-K1443*C1444/I1444)+ABS(0.2-L1443*D1444/I1444)+ABS(0.2-M1443*E1444/I1444)+ABS(0.2-N1443*F1444/I1444)),0)</f>
        <v/>
      </c>
      <c r="Q1444">
        <f>P1444*0.0015</f>
        <v/>
      </c>
      <c r="R1444">
        <f>I1444*(1-Q1444)</f>
        <v/>
      </c>
      <c r="S1444">
        <f>R1444/R1443-1</f>
        <v/>
      </c>
      <c r="T1444">
        <f>MAX(T1443,R1444)</f>
        <v/>
      </c>
      <c r="U1444">
        <f>R1444/T1444-1</f>
        <v/>
      </c>
      <c r="V1444" t="n">
        <v>3.355685887044986</v>
      </c>
      <c r="W1444" s="5">
        <f>R1444-V1444</f>
        <v/>
      </c>
    </row>
    <row r="1445">
      <c r="A1445" s="3" t="n">
        <v>40563</v>
      </c>
      <c r="B1445">
        <f>Prices!B1445</f>
        <v/>
      </c>
      <c r="C1445">
        <f>Prices!C1445</f>
        <v/>
      </c>
      <c r="D1445">
        <f>Prices!D1445</f>
        <v/>
      </c>
      <c r="E1445">
        <f>Prices!E1445</f>
        <v/>
      </c>
      <c r="F1445">
        <f>Prices!F1445</f>
        <v/>
      </c>
      <c r="G1445">
        <f>IF(AND(1443&gt;=16,TEXT(A1445,"yyyy-mm")&lt;&gt;TEXT(A1446,"yyyy-mm")),1,0)</f>
        <v/>
      </c>
      <c r="H1445">
        <f>IF(OR(H1444=1,G1445=1),1,0)</f>
        <v/>
      </c>
      <c r="I1445">
        <f>IF(H1444=0,1,SUMPRODUCT(J1444:N1444,B1445:F1445)+O1444*(1+0.00023125256064071564))</f>
        <v/>
      </c>
      <c r="J1445">
        <f>IF(G1445=1,0.2*R1445/B1445,J1444)</f>
        <v/>
      </c>
      <c r="K1445">
        <f>IF(G1445=1,0.2*R1445/C1445,K1444)</f>
        <v/>
      </c>
      <c r="L1445">
        <f>IF(G1445=1,0.2*R1445/D1445,L1444)</f>
        <v/>
      </c>
      <c r="M1445">
        <f>IF(G1445=1,0.2*R1445/E1445,M1444)</f>
        <v/>
      </c>
      <c r="N1445">
        <f>IF(G1445=1,0.2*R1445/F1445,N1444)</f>
        <v/>
      </c>
      <c r="O1445">
        <f>IF(G1445=1,R1445*(1-1.0),IF(H1444=0,1,O1444*(1+0.00023125256064071564)))</f>
        <v/>
      </c>
      <c r="P1445">
        <f>IF(G1445=1,IF(H1444=0,1,ABS(0.2-J1444*B1445/I1445)+ABS(0.2-K1444*C1445/I1445)+ABS(0.2-L1444*D1445/I1445)+ABS(0.2-M1444*E1445/I1445)+ABS(0.2-N1444*F1445/I1445)),0)</f>
        <v/>
      </c>
      <c r="Q1445">
        <f>P1445*0.0015</f>
        <v/>
      </c>
      <c r="R1445">
        <f>I1445*(1-Q1445)</f>
        <v/>
      </c>
      <c r="S1445">
        <f>R1445/R1444-1</f>
        <v/>
      </c>
      <c r="T1445">
        <f>MAX(T1444,R1445)</f>
        <v/>
      </c>
      <c r="U1445">
        <f>R1445/T1445-1</f>
        <v/>
      </c>
      <c r="V1445" t="n">
        <v>3.37040165307129</v>
      </c>
      <c r="W1445" s="5">
        <f>R1445-V1445</f>
        <v/>
      </c>
    </row>
    <row r="1446">
      <c r="A1446" s="3" t="n">
        <v>40564</v>
      </c>
      <c r="B1446">
        <f>Prices!B1446</f>
        <v/>
      </c>
      <c r="C1446">
        <f>Prices!C1446</f>
        <v/>
      </c>
      <c r="D1446">
        <f>Prices!D1446</f>
        <v/>
      </c>
      <c r="E1446">
        <f>Prices!E1446</f>
        <v/>
      </c>
      <c r="F1446">
        <f>Prices!F1446</f>
        <v/>
      </c>
      <c r="G1446">
        <f>IF(AND(1444&gt;=16,TEXT(A1446,"yyyy-mm")&lt;&gt;TEXT(A1447,"yyyy-mm")),1,0)</f>
        <v/>
      </c>
      <c r="H1446">
        <f>IF(OR(H1445=1,G1446=1),1,0)</f>
        <v/>
      </c>
      <c r="I1446">
        <f>IF(H1445=0,1,SUMPRODUCT(J1445:N1445,B1446:F1446)+O1445*(1+0.00023125256064071564))</f>
        <v/>
      </c>
      <c r="J1446">
        <f>IF(G1446=1,0.2*R1446/B1446,J1445)</f>
        <v/>
      </c>
      <c r="K1446">
        <f>IF(G1446=1,0.2*R1446/C1446,K1445)</f>
        <v/>
      </c>
      <c r="L1446">
        <f>IF(G1446=1,0.2*R1446/D1446,L1445)</f>
        <v/>
      </c>
      <c r="M1446">
        <f>IF(G1446=1,0.2*R1446/E1446,M1445)</f>
        <v/>
      </c>
      <c r="N1446">
        <f>IF(G1446=1,0.2*R1446/F1446,N1445)</f>
        <v/>
      </c>
      <c r="O1446">
        <f>IF(G1446=1,R1446*(1-1.0),IF(H1445=0,1,O1445*(1+0.00023125256064071564)))</f>
        <v/>
      </c>
      <c r="P1446">
        <f>IF(G1446=1,IF(H1445=0,1,ABS(0.2-J1445*B1446/I1446)+ABS(0.2-K1445*C1446/I1446)+ABS(0.2-L1445*D1446/I1446)+ABS(0.2-M1445*E1446/I1446)+ABS(0.2-N1445*F1446/I1446)),0)</f>
        <v/>
      </c>
      <c r="Q1446">
        <f>P1446*0.0015</f>
        <v/>
      </c>
      <c r="R1446">
        <f>I1446*(1-Q1446)</f>
        <v/>
      </c>
      <c r="S1446">
        <f>R1446/R1445-1</f>
        <v/>
      </c>
      <c r="T1446">
        <f>MAX(T1445,R1446)</f>
        <v/>
      </c>
      <c r="U1446">
        <f>R1446/T1446-1</f>
        <v/>
      </c>
      <c r="V1446" t="n">
        <v>3.370475883769817</v>
      </c>
      <c r="W1446" s="5">
        <f>R1446-V1446</f>
        <v/>
      </c>
    </row>
    <row r="1447">
      <c r="A1447" s="3" t="n">
        <v>40567</v>
      </c>
      <c r="B1447">
        <f>Prices!B1447</f>
        <v/>
      </c>
      <c r="C1447">
        <f>Prices!C1447</f>
        <v/>
      </c>
      <c r="D1447">
        <f>Prices!D1447</f>
        <v/>
      </c>
      <c r="E1447">
        <f>Prices!E1447</f>
        <v/>
      </c>
      <c r="F1447">
        <f>Prices!F1447</f>
        <v/>
      </c>
      <c r="G1447">
        <f>IF(AND(1445&gt;=16,TEXT(A1447,"yyyy-mm")&lt;&gt;TEXT(A1448,"yyyy-mm")),1,0)</f>
        <v/>
      </c>
      <c r="H1447">
        <f>IF(OR(H1446=1,G1447=1),1,0)</f>
        <v/>
      </c>
      <c r="I1447">
        <f>IF(H1446=0,1,SUMPRODUCT(J1446:N1446,B1447:F1447)+O1446*(1+0.00023125256064071564))</f>
        <v/>
      </c>
      <c r="J1447">
        <f>IF(G1447=1,0.2*R1447/B1447,J1446)</f>
        <v/>
      </c>
      <c r="K1447">
        <f>IF(G1447=1,0.2*R1447/C1447,K1446)</f>
        <v/>
      </c>
      <c r="L1447">
        <f>IF(G1447=1,0.2*R1447/D1447,L1446)</f>
        <v/>
      </c>
      <c r="M1447">
        <f>IF(G1447=1,0.2*R1447/E1447,M1446)</f>
        <v/>
      </c>
      <c r="N1447">
        <f>IF(G1447=1,0.2*R1447/F1447,N1446)</f>
        <v/>
      </c>
      <c r="O1447">
        <f>IF(G1447=1,R1447*(1-1.0),IF(H1446=0,1,O1446*(1+0.00023125256064071564)))</f>
        <v/>
      </c>
      <c r="P1447">
        <f>IF(G1447=1,IF(H1446=0,1,ABS(0.2-J1446*B1447/I1447)+ABS(0.2-K1446*C1447/I1447)+ABS(0.2-L1446*D1447/I1447)+ABS(0.2-M1446*E1447/I1447)+ABS(0.2-N1446*F1447/I1447)),0)</f>
        <v/>
      </c>
      <c r="Q1447">
        <f>P1447*0.0015</f>
        <v/>
      </c>
      <c r="R1447">
        <f>I1447*(1-Q1447)</f>
        <v/>
      </c>
      <c r="S1447">
        <f>R1447/R1446-1</f>
        <v/>
      </c>
      <c r="T1447">
        <f>MAX(T1446,R1447)</f>
        <v/>
      </c>
      <c r="U1447">
        <f>R1447/T1447-1</f>
        <v/>
      </c>
      <c r="V1447" t="n">
        <v>3.394716097640896</v>
      </c>
      <c r="W1447" s="5">
        <f>R1447-V1447</f>
        <v/>
      </c>
    </row>
    <row r="1448">
      <c r="A1448" s="3" t="n">
        <v>40568</v>
      </c>
      <c r="B1448">
        <f>Prices!B1448</f>
        <v/>
      </c>
      <c r="C1448">
        <f>Prices!C1448</f>
        <v/>
      </c>
      <c r="D1448">
        <f>Prices!D1448</f>
        <v/>
      </c>
      <c r="E1448">
        <f>Prices!E1448</f>
        <v/>
      </c>
      <c r="F1448">
        <f>Prices!F1448</f>
        <v/>
      </c>
      <c r="G1448">
        <f>IF(AND(1446&gt;=16,TEXT(A1448,"yyyy-mm")&lt;&gt;TEXT(A1449,"yyyy-mm")),1,0)</f>
        <v/>
      </c>
      <c r="H1448">
        <f>IF(OR(H1447=1,G1448=1),1,0)</f>
        <v/>
      </c>
      <c r="I1448">
        <f>IF(H1447=0,1,SUMPRODUCT(J1447:N1447,B1448:F1448)+O1447*(1+0.00023125256064071564))</f>
        <v/>
      </c>
      <c r="J1448">
        <f>IF(G1448=1,0.2*R1448/B1448,J1447)</f>
        <v/>
      </c>
      <c r="K1448">
        <f>IF(G1448=1,0.2*R1448/C1448,K1447)</f>
        <v/>
      </c>
      <c r="L1448">
        <f>IF(G1448=1,0.2*R1448/D1448,L1447)</f>
        <v/>
      </c>
      <c r="M1448">
        <f>IF(G1448=1,0.2*R1448/E1448,M1447)</f>
        <v/>
      </c>
      <c r="N1448">
        <f>IF(G1448=1,0.2*R1448/F1448,N1447)</f>
        <v/>
      </c>
      <c r="O1448">
        <f>IF(G1448=1,R1448*(1-1.0),IF(H1447=0,1,O1447*(1+0.00023125256064071564)))</f>
        <v/>
      </c>
      <c r="P1448">
        <f>IF(G1448=1,IF(H1447=0,1,ABS(0.2-J1447*B1448/I1448)+ABS(0.2-K1447*C1448/I1448)+ABS(0.2-L1447*D1448/I1448)+ABS(0.2-M1447*E1448/I1448)+ABS(0.2-N1447*F1448/I1448)),0)</f>
        <v/>
      </c>
      <c r="Q1448">
        <f>P1448*0.0015</f>
        <v/>
      </c>
      <c r="R1448">
        <f>I1448*(1-Q1448)</f>
        <v/>
      </c>
      <c r="S1448">
        <f>R1448/R1447-1</f>
        <v/>
      </c>
      <c r="T1448">
        <f>MAX(T1447,R1448)</f>
        <v/>
      </c>
      <c r="U1448">
        <f>R1448/T1448-1</f>
        <v/>
      </c>
      <c r="V1448" t="n">
        <v>3.367379140585677</v>
      </c>
      <c r="W1448" s="5">
        <f>R1448-V1448</f>
        <v/>
      </c>
    </row>
    <row r="1449">
      <c r="A1449" s="3" t="n">
        <v>40570</v>
      </c>
      <c r="B1449">
        <f>Prices!B1449</f>
        <v/>
      </c>
      <c r="C1449">
        <f>Prices!C1449</f>
        <v/>
      </c>
      <c r="D1449">
        <f>Prices!D1449</f>
        <v/>
      </c>
      <c r="E1449">
        <f>Prices!E1449</f>
        <v/>
      </c>
      <c r="F1449">
        <f>Prices!F1449</f>
        <v/>
      </c>
      <c r="G1449">
        <f>IF(AND(1447&gt;=16,TEXT(A1449,"yyyy-mm")&lt;&gt;TEXT(A1450,"yyyy-mm")),1,0)</f>
        <v/>
      </c>
      <c r="H1449">
        <f>IF(OR(H1448=1,G1449=1),1,0)</f>
        <v/>
      </c>
      <c r="I1449">
        <f>IF(H1448=0,1,SUMPRODUCT(J1448:N1448,B1449:F1449)+O1448*(1+0.00023125256064071564))</f>
        <v/>
      </c>
      <c r="J1449">
        <f>IF(G1449=1,0.2*R1449/B1449,J1448)</f>
        <v/>
      </c>
      <c r="K1449">
        <f>IF(G1449=1,0.2*R1449/C1449,K1448)</f>
        <v/>
      </c>
      <c r="L1449">
        <f>IF(G1449=1,0.2*R1449/D1449,L1448)</f>
        <v/>
      </c>
      <c r="M1449">
        <f>IF(G1449=1,0.2*R1449/E1449,M1448)</f>
        <v/>
      </c>
      <c r="N1449">
        <f>IF(G1449=1,0.2*R1449/F1449,N1448)</f>
        <v/>
      </c>
      <c r="O1449">
        <f>IF(G1449=1,R1449*(1-1.0),IF(H1448=0,1,O1448*(1+0.00023125256064071564)))</f>
        <v/>
      </c>
      <c r="P1449">
        <f>IF(G1449=1,IF(H1448=0,1,ABS(0.2-J1448*B1449/I1449)+ABS(0.2-K1448*C1449/I1449)+ABS(0.2-L1448*D1449/I1449)+ABS(0.2-M1448*E1449/I1449)+ABS(0.2-N1448*F1449/I1449)),0)</f>
        <v/>
      </c>
      <c r="Q1449">
        <f>P1449*0.0015</f>
        <v/>
      </c>
      <c r="R1449">
        <f>I1449*(1-Q1449)</f>
        <v/>
      </c>
      <c r="S1449">
        <f>R1449/R1448-1</f>
        <v/>
      </c>
      <c r="T1449">
        <f>MAX(T1448,R1449)</f>
        <v/>
      </c>
      <c r="U1449">
        <f>R1449/T1449-1</f>
        <v/>
      </c>
      <c r="V1449" t="n">
        <v>3.312868597263698</v>
      </c>
      <c r="W1449" s="5">
        <f>R1449-V1449</f>
        <v/>
      </c>
    </row>
    <row r="1450">
      <c r="A1450" s="3" t="n">
        <v>40571</v>
      </c>
      <c r="B1450">
        <f>Prices!B1450</f>
        <v/>
      </c>
      <c r="C1450">
        <f>Prices!C1450</f>
        <v/>
      </c>
      <c r="D1450">
        <f>Prices!D1450</f>
        <v/>
      </c>
      <c r="E1450">
        <f>Prices!E1450</f>
        <v/>
      </c>
      <c r="F1450">
        <f>Prices!F1450</f>
        <v/>
      </c>
      <c r="G1450">
        <f>IF(AND(1448&gt;=16,TEXT(A1450,"yyyy-mm")&lt;&gt;TEXT(A1451,"yyyy-mm")),1,0)</f>
        <v/>
      </c>
      <c r="H1450">
        <f>IF(OR(H1449=1,G1450=1),1,0)</f>
        <v/>
      </c>
      <c r="I1450">
        <f>IF(H1449=0,1,SUMPRODUCT(J1449:N1449,B1450:F1450)+O1449*(1+0.00023125256064071564))</f>
        <v/>
      </c>
      <c r="J1450">
        <f>IF(G1450=1,0.2*R1450/B1450,J1449)</f>
        <v/>
      </c>
      <c r="K1450">
        <f>IF(G1450=1,0.2*R1450/C1450,K1449)</f>
        <v/>
      </c>
      <c r="L1450">
        <f>IF(G1450=1,0.2*R1450/D1450,L1449)</f>
        <v/>
      </c>
      <c r="M1450">
        <f>IF(G1450=1,0.2*R1450/E1450,M1449)</f>
        <v/>
      </c>
      <c r="N1450">
        <f>IF(G1450=1,0.2*R1450/F1450,N1449)</f>
        <v/>
      </c>
      <c r="O1450">
        <f>IF(G1450=1,R1450*(1-1.0),IF(H1449=0,1,O1449*(1+0.00023125256064071564)))</f>
        <v/>
      </c>
      <c r="P1450">
        <f>IF(G1450=1,IF(H1449=0,1,ABS(0.2-J1449*B1450/I1450)+ABS(0.2-K1449*C1450/I1450)+ABS(0.2-L1449*D1450/I1450)+ABS(0.2-M1449*E1450/I1450)+ABS(0.2-N1449*F1450/I1450)),0)</f>
        <v/>
      </c>
      <c r="Q1450">
        <f>P1450*0.0015</f>
        <v/>
      </c>
      <c r="R1450">
        <f>I1450*(1-Q1450)</f>
        <v/>
      </c>
      <c r="S1450">
        <f>R1450/R1449-1</f>
        <v/>
      </c>
      <c r="T1450">
        <f>MAX(T1449,R1450)</f>
        <v/>
      </c>
      <c r="U1450">
        <f>R1450/T1450-1</f>
        <v/>
      </c>
      <c r="V1450" t="n">
        <v>3.23541274617716</v>
      </c>
      <c r="W1450" s="5">
        <f>R1450-V1450</f>
        <v/>
      </c>
    </row>
    <row r="1451">
      <c r="A1451" s="3" t="n">
        <v>40574</v>
      </c>
      <c r="B1451">
        <f>Prices!B1451</f>
        <v/>
      </c>
      <c r="C1451">
        <f>Prices!C1451</f>
        <v/>
      </c>
      <c r="D1451">
        <f>Prices!D1451</f>
        <v/>
      </c>
      <c r="E1451">
        <f>Prices!E1451</f>
        <v/>
      </c>
      <c r="F1451">
        <f>Prices!F1451</f>
        <v/>
      </c>
      <c r="G1451">
        <f>IF(AND(1449&gt;=16,TEXT(A1451,"yyyy-mm")&lt;&gt;TEXT(A1452,"yyyy-mm")),1,0)</f>
        <v/>
      </c>
      <c r="H1451">
        <f>IF(OR(H1450=1,G1451=1),1,0)</f>
        <v/>
      </c>
      <c r="I1451">
        <f>IF(H1450=0,1,SUMPRODUCT(J1450:N1450,B1451:F1451)+O1450*(1+0.00023125256064071564))</f>
        <v/>
      </c>
      <c r="J1451">
        <f>IF(G1451=1,0.2*R1451/B1451,J1450)</f>
        <v/>
      </c>
      <c r="K1451">
        <f>IF(G1451=1,0.2*R1451/C1451,K1450)</f>
        <v/>
      </c>
      <c r="L1451">
        <f>IF(G1451=1,0.2*R1451/D1451,L1450)</f>
        <v/>
      </c>
      <c r="M1451">
        <f>IF(G1451=1,0.2*R1451/E1451,M1450)</f>
        <v/>
      </c>
      <c r="N1451">
        <f>IF(G1451=1,0.2*R1451/F1451,N1450)</f>
        <v/>
      </c>
      <c r="O1451">
        <f>IF(G1451=1,R1451*(1-1.0),IF(H1450=0,1,O1450*(1+0.00023125256064071564)))</f>
        <v/>
      </c>
      <c r="P1451">
        <f>IF(G1451=1,IF(H1450=0,1,ABS(0.2-J1450*B1451/I1451)+ABS(0.2-K1450*C1451/I1451)+ABS(0.2-L1450*D1451/I1451)+ABS(0.2-M1450*E1451/I1451)+ABS(0.2-N1450*F1451/I1451)),0)</f>
        <v/>
      </c>
      <c r="Q1451">
        <f>P1451*0.0015</f>
        <v/>
      </c>
      <c r="R1451">
        <f>I1451*(1-Q1451)</f>
        <v/>
      </c>
      <c r="S1451">
        <f>R1451/R1450-1</f>
        <v/>
      </c>
      <c r="T1451">
        <f>MAX(T1450,R1451)</f>
        <v/>
      </c>
      <c r="U1451">
        <f>R1451/T1451-1</f>
        <v/>
      </c>
      <c r="V1451" t="n">
        <v>3.246795666492481</v>
      </c>
      <c r="W1451" s="5">
        <f>R1451-V1451</f>
        <v/>
      </c>
    </row>
    <row r="1452">
      <c r="A1452" s="3" t="n">
        <v>40575</v>
      </c>
      <c r="B1452">
        <f>Prices!B1452</f>
        <v/>
      </c>
      <c r="C1452">
        <f>Prices!C1452</f>
        <v/>
      </c>
      <c r="D1452">
        <f>Prices!D1452</f>
        <v/>
      </c>
      <c r="E1452">
        <f>Prices!E1452</f>
        <v/>
      </c>
      <c r="F1452">
        <f>Prices!F1452</f>
        <v/>
      </c>
      <c r="G1452">
        <f>IF(AND(1450&gt;=16,TEXT(A1452,"yyyy-mm")&lt;&gt;TEXT(A1453,"yyyy-mm")),1,0)</f>
        <v/>
      </c>
      <c r="H1452">
        <f>IF(OR(H1451=1,G1452=1),1,0)</f>
        <v/>
      </c>
      <c r="I1452">
        <f>IF(H1451=0,1,SUMPRODUCT(J1451:N1451,B1452:F1452)+O1451*(1+0.00023125256064071564))</f>
        <v/>
      </c>
      <c r="J1452">
        <f>IF(G1452=1,0.2*R1452/B1452,J1451)</f>
        <v/>
      </c>
      <c r="K1452">
        <f>IF(G1452=1,0.2*R1452/C1452,K1451)</f>
        <v/>
      </c>
      <c r="L1452">
        <f>IF(G1452=1,0.2*R1452/D1452,L1451)</f>
        <v/>
      </c>
      <c r="M1452">
        <f>IF(G1452=1,0.2*R1452/E1452,M1451)</f>
        <v/>
      </c>
      <c r="N1452">
        <f>IF(G1452=1,0.2*R1452/F1452,N1451)</f>
        <v/>
      </c>
      <c r="O1452">
        <f>IF(G1452=1,R1452*(1-1.0),IF(H1451=0,1,O1451*(1+0.00023125256064071564)))</f>
        <v/>
      </c>
      <c r="P1452">
        <f>IF(G1452=1,IF(H1451=0,1,ABS(0.2-J1451*B1452/I1452)+ABS(0.2-K1451*C1452/I1452)+ABS(0.2-L1451*D1452/I1452)+ABS(0.2-M1451*E1452/I1452)+ABS(0.2-N1451*F1452/I1452)),0)</f>
        <v/>
      </c>
      <c r="Q1452">
        <f>P1452*0.0015</f>
        <v/>
      </c>
      <c r="R1452">
        <f>I1452*(1-Q1452)</f>
        <v/>
      </c>
      <c r="S1452">
        <f>R1452/R1451-1</f>
        <v/>
      </c>
      <c r="T1452">
        <f>MAX(T1451,R1452)</f>
        <v/>
      </c>
      <c r="U1452">
        <f>R1452/T1452-1</f>
        <v/>
      </c>
      <c r="V1452" t="n">
        <v>3.184622379298577</v>
      </c>
      <c r="W1452" s="5">
        <f>R1452-V1452</f>
        <v/>
      </c>
    </row>
    <row r="1453">
      <c r="A1453" s="3" t="n">
        <v>40576</v>
      </c>
      <c r="B1453">
        <f>Prices!B1453</f>
        <v/>
      </c>
      <c r="C1453">
        <f>Prices!C1453</f>
        <v/>
      </c>
      <c r="D1453">
        <f>Prices!D1453</f>
        <v/>
      </c>
      <c r="E1453">
        <f>Prices!E1453</f>
        <v/>
      </c>
      <c r="F1453">
        <f>Prices!F1453</f>
        <v/>
      </c>
      <c r="G1453">
        <f>IF(AND(1451&gt;=16,TEXT(A1453,"yyyy-mm")&lt;&gt;TEXT(A1454,"yyyy-mm")),1,0)</f>
        <v/>
      </c>
      <c r="H1453">
        <f>IF(OR(H1452=1,G1453=1),1,0)</f>
        <v/>
      </c>
      <c r="I1453">
        <f>IF(H1452=0,1,SUMPRODUCT(J1452:N1452,B1453:F1453)+O1452*(1+0.00023125256064071564))</f>
        <v/>
      </c>
      <c r="J1453">
        <f>IF(G1453=1,0.2*R1453/B1453,J1452)</f>
        <v/>
      </c>
      <c r="K1453">
        <f>IF(G1453=1,0.2*R1453/C1453,K1452)</f>
        <v/>
      </c>
      <c r="L1453">
        <f>IF(G1453=1,0.2*R1453/D1453,L1452)</f>
        <v/>
      </c>
      <c r="M1453">
        <f>IF(G1453=1,0.2*R1453/E1453,M1452)</f>
        <v/>
      </c>
      <c r="N1453">
        <f>IF(G1453=1,0.2*R1453/F1453,N1452)</f>
        <v/>
      </c>
      <c r="O1453">
        <f>IF(G1453=1,R1453*(1-1.0),IF(H1452=0,1,O1452*(1+0.00023125256064071564)))</f>
        <v/>
      </c>
      <c r="P1453">
        <f>IF(G1453=1,IF(H1452=0,1,ABS(0.2-J1452*B1453/I1453)+ABS(0.2-K1452*C1453/I1453)+ABS(0.2-L1452*D1453/I1453)+ABS(0.2-M1452*E1453/I1453)+ABS(0.2-N1452*F1453/I1453)),0)</f>
        <v/>
      </c>
      <c r="Q1453">
        <f>P1453*0.0015</f>
        <v/>
      </c>
      <c r="R1453">
        <f>I1453*(1-Q1453)</f>
        <v/>
      </c>
      <c r="S1453">
        <f>R1453/R1452-1</f>
        <v/>
      </c>
      <c r="T1453">
        <f>MAX(T1452,R1453)</f>
        <v/>
      </c>
      <c r="U1453">
        <f>R1453/T1453-1</f>
        <v/>
      </c>
      <c r="V1453" t="n">
        <v>3.183001519877142</v>
      </c>
      <c r="W1453" s="5">
        <f>R1453-V1453</f>
        <v/>
      </c>
    </row>
    <row r="1454">
      <c r="A1454" s="3" t="n">
        <v>40577</v>
      </c>
      <c r="B1454">
        <f>Prices!B1454</f>
        <v/>
      </c>
      <c r="C1454">
        <f>Prices!C1454</f>
        <v/>
      </c>
      <c r="D1454">
        <f>Prices!D1454</f>
        <v/>
      </c>
      <c r="E1454">
        <f>Prices!E1454</f>
        <v/>
      </c>
      <c r="F1454">
        <f>Prices!F1454</f>
        <v/>
      </c>
      <c r="G1454">
        <f>IF(AND(1452&gt;=16,TEXT(A1454,"yyyy-mm")&lt;&gt;TEXT(A1455,"yyyy-mm")),1,0)</f>
        <v/>
      </c>
      <c r="H1454">
        <f>IF(OR(H1453=1,G1454=1),1,0)</f>
        <v/>
      </c>
      <c r="I1454">
        <f>IF(H1453=0,1,SUMPRODUCT(J1453:N1453,B1454:F1454)+O1453*(1+0.00023125256064071564))</f>
        <v/>
      </c>
      <c r="J1454">
        <f>IF(G1454=1,0.2*R1454/B1454,J1453)</f>
        <v/>
      </c>
      <c r="K1454">
        <f>IF(G1454=1,0.2*R1454/C1454,K1453)</f>
        <v/>
      </c>
      <c r="L1454">
        <f>IF(G1454=1,0.2*R1454/D1454,L1453)</f>
        <v/>
      </c>
      <c r="M1454">
        <f>IF(G1454=1,0.2*R1454/E1454,M1453)</f>
        <v/>
      </c>
      <c r="N1454">
        <f>IF(G1454=1,0.2*R1454/F1454,N1453)</f>
        <v/>
      </c>
      <c r="O1454">
        <f>IF(G1454=1,R1454*(1-1.0),IF(H1453=0,1,O1453*(1+0.00023125256064071564)))</f>
        <v/>
      </c>
      <c r="P1454">
        <f>IF(G1454=1,IF(H1453=0,1,ABS(0.2-J1453*B1454/I1454)+ABS(0.2-K1453*C1454/I1454)+ABS(0.2-L1453*D1454/I1454)+ABS(0.2-M1453*E1454/I1454)+ABS(0.2-N1453*F1454/I1454)),0)</f>
        <v/>
      </c>
      <c r="Q1454">
        <f>P1454*0.0015</f>
        <v/>
      </c>
      <c r="R1454">
        <f>I1454*(1-Q1454)</f>
        <v/>
      </c>
      <c r="S1454">
        <f>R1454/R1453-1</f>
        <v/>
      </c>
      <c r="T1454">
        <f>MAX(T1453,R1454)</f>
        <v/>
      </c>
      <c r="U1454">
        <f>R1454/T1454-1</f>
        <v/>
      </c>
      <c r="V1454" t="n">
        <v>3.221013463984041</v>
      </c>
      <c r="W1454" s="5">
        <f>R1454-V1454</f>
        <v/>
      </c>
    </row>
    <row r="1455">
      <c r="A1455" s="3" t="n">
        <v>40578</v>
      </c>
      <c r="B1455">
        <f>Prices!B1455</f>
        <v/>
      </c>
      <c r="C1455">
        <f>Prices!C1455</f>
        <v/>
      </c>
      <c r="D1455">
        <f>Prices!D1455</f>
        <v/>
      </c>
      <c r="E1455">
        <f>Prices!E1455</f>
        <v/>
      </c>
      <c r="F1455">
        <f>Prices!F1455</f>
        <v/>
      </c>
      <c r="G1455">
        <f>IF(AND(1453&gt;=16,TEXT(A1455,"yyyy-mm")&lt;&gt;TEXT(A1456,"yyyy-mm")),1,0)</f>
        <v/>
      </c>
      <c r="H1455">
        <f>IF(OR(H1454=1,G1455=1),1,0)</f>
        <v/>
      </c>
      <c r="I1455">
        <f>IF(H1454=0,1,SUMPRODUCT(J1454:N1454,B1455:F1455)+O1454*(1+0.00023125256064071564))</f>
        <v/>
      </c>
      <c r="J1455">
        <f>IF(G1455=1,0.2*R1455/B1455,J1454)</f>
        <v/>
      </c>
      <c r="K1455">
        <f>IF(G1455=1,0.2*R1455/C1455,K1454)</f>
        <v/>
      </c>
      <c r="L1455">
        <f>IF(G1455=1,0.2*R1455/D1455,L1454)</f>
        <v/>
      </c>
      <c r="M1455">
        <f>IF(G1455=1,0.2*R1455/E1455,M1454)</f>
        <v/>
      </c>
      <c r="N1455">
        <f>IF(G1455=1,0.2*R1455/F1455,N1454)</f>
        <v/>
      </c>
      <c r="O1455">
        <f>IF(G1455=1,R1455*(1-1.0),IF(H1454=0,1,O1454*(1+0.00023125256064071564)))</f>
        <v/>
      </c>
      <c r="P1455">
        <f>IF(G1455=1,IF(H1454=0,1,ABS(0.2-J1454*B1455/I1455)+ABS(0.2-K1454*C1455/I1455)+ABS(0.2-L1454*D1455/I1455)+ABS(0.2-M1454*E1455/I1455)+ABS(0.2-N1454*F1455/I1455)),0)</f>
        <v/>
      </c>
      <c r="Q1455">
        <f>P1455*0.0015</f>
        <v/>
      </c>
      <c r="R1455">
        <f>I1455*(1-Q1455)</f>
        <v/>
      </c>
      <c r="S1455">
        <f>R1455/R1454-1</f>
        <v/>
      </c>
      <c r="T1455">
        <f>MAX(T1454,R1455)</f>
        <v/>
      </c>
      <c r="U1455">
        <f>R1455/T1455-1</f>
        <v/>
      </c>
      <c r="V1455" t="n">
        <v>3.166852877207537</v>
      </c>
      <c r="W1455" s="5">
        <f>R1455-V1455</f>
        <v/>
      </c>
    </row>
    <row r="1456">
      <c r="A1456" s="3" t="n">
        <v>40581</v>
      </c>
      <c r="B1456">
        <f>Prices!B1456</f>
        <v/>
      </c>
      <c r="C1456">
        <f>Prices!C1456</f>
        <v/>
      </c>
      <c r="D1456">
        <f>Prices!D1456</f>
        <v/>
      </c>
      <c r="E1456">
        <f>Prices!E1456</f>
        <v/>
      </c>
      <c r="F1456">
        <f>Prices!F1456</f>
        <v/>
      </c>
      <c r="G1456">
        <f>IF(AND(1454&gt;=16,TEXT(A1456,"yyyy-mm")&lt;&gt;TEXT(A1457,"yyyy-mm")),1,0)</f>
        <v/>
      </c>
      <c r="H1456">
        <f>IF(OR(H1455=1,G1456=1),1,0)</f>
        <v/>
      </c>
      <c r="I1456">
        <f>IF(H1455=0,1,SUMPRODUCT(J1455:N1455,B1456:F1456)+O1455*(1+0.00023125256064071564))</f>
        <v/>
      </c>
      <c r="J1456">
        <f>IF(G1456=1,0.2*R1456/B1456,J1455)</f>
        <v/>
      </c>
      <c r="K1456">
        <f>IF(G1456=1,0.2*R1456/C1456,K1455)</f>
        <v/>
      </c>
      <c r="L1456">
        <f>IF(G1456=1,0.2*R1456/D1456,L1455)</f>
        <v/>
      </c>
      <c r="M1456">
        <f>IF(G1456=1,0.2*R1456/E1456,M1455)</f>
        <v/>
      </c>
      <c r="N1456">
        <f>IF(G1456=1,0.2*R1456/F1456,N1455)</f>
        <v/>
      </c>
      <c r="O1456">
        <f>IF(G1456=1,R1456*(1-1.0),IF(H1455=0,1,O1455*(1+0.00023125256064071564)))</f>
        <v/>
      </c>
      <c r="P1456">
        <f>IF(G1456=1,IF(H1455=0,1,ABS(0.2-J1455*B1456/I1456)+ABS(0.2-K1455*C1456/I1456)+ABS(0.2-L1455*D1456/I1456)+ABS(0.2-M1455*E1456/I1456)+ABS(0.2-N1455*F1456/I1456)),0)</f>
        <v/>
      </c>
      <c r="Q1456">
        <f>P1456*0.0015</f>
        <v/>
      </c>
      <c r="R1456">
        <f>I1456*(1-Q1456)</f>
        <v/>
      </c>
      <c r="S1456">
        <f>R1456/R1455-1</f>
        <v/>
      </c>
      <c r="T1456">
        <f>MAX(T1455,R1456)</f>
        <v/>
      </c>
      <c r="U1456">
        <f>R1456/T1456-1</f>
        <v/>
      </c>
      <c r="V1456" t="n">
        <v>3.147275324993919</v>
      </c>
      <c r="W1456" s="5">
        <f>R1456-V1456</f>
        <v/>
      </c>
    </row>
    <row r="1457">
      <c r="A1457" s="3" t="n">
        <v>40582</v>
      </c>
      <c r="B1457">
        <f>Prices!B1457</f>
        <v/>
      </c>
      <c r="C1457">
        <f>Prices!C1457</f>
        <v/>
      </c>
      <c r="D1457">
        <f>Prices!D1457</f>
        <v/>
      </c>
      <c r="E1457">
        <f>Prices!E1457</f>
        <v/>
      </c>
      <c r="F1457">
        <f>Prices!F1457</f>
        <v/>
      </c>
      <c r="G1457">
        <f>IF(AND(1455&gt;=16,TEXT(A1457,"yyyy-mm")&lt;&gt;TEXT(A1458,"yyyy-mm")),1,0)</f>
        <v/>
      </c>
      <c r="H1457">
        <f>IF(OR(H1456=1,G1457=1),1,0)</f>
        <v/>
      </c>
      <c r="I1457">
        <f>IF(H1456=0,1,SUMPRODUCT(J1456:N1456,B1457:F1457)+O1456*(1+0.00023125256064071564))</f>
        <v/>
      </c>
      <c r="J1457">
        <f>IF(G1457=1,0.2*R1457/B1457,J1456)</f>
        <v/>
      </c>
      <c r="K1457">
        <f>IF(G1457=1,0.2*R1457/C1457,K1456)</f>
        <v/>
      </c>
      <c r="L1457">
        <f>IF(G1457=1,0.2*R1457/D1457,L1456)</f>
        <v/>
      </c>
      <c r="M1457">
        <f>IF(G1457=1,0.2*R1457/E1457,M1456)</f>
        <v/>
      </c>
      <c r="N1457">
        <f>IF(G1457=1,0.2*R1457/F1457,N1456)</f>
        <v/>
      </c>
      <c r="O1457">
        <f>IF(G1457=1,R1457*(1-1.0),IF(H1456=0,1,O1456*(1+0.00023125256064071564)))</f>
        <v/>
      </c>
      <c r="P1457">
        <f>IF(G1457=1,IF(H1456=0,1,ABS(0.2-J1456*B1457/I1457)+ABS(0.2-K1456*C1457/I1457)+ABS(0.2-L1456*D1457/I1457)+ABS(0.2-M1456*E1457/I1457)+ABS(0.2-N1456*F1457/I1457)),0)</f>
        <v/>
      </c>
      <c r="Q1457">
        <f>P1457*0.0015</f>
        <v/>
      </c>
      <c r="R1457">
        <f>I1457*(1-Q1457)</f>
        <v/>
      </c>
      <c r="S1457">
        <f>R1457/R1456-1</f>
        <v/>
      </c>
      <c r="T1457">
        <f>MAX(T1456,R1457)</f>
        <v/>
      </c>
      <c r="U1457">
        <f>R1457/T1457-1</f>
        <v/>
      </c>
      <c r="V1457" t="n">
        <v>3.085834496885908</v>
      </c>
      <c r="W1457" s="5">
        <f>R1457-V1457</f>
        <v/>
      </c>
    </row>
    <row r="1458">
      <c r="A1458" s="3" t="n">
        <v>40583</v>
      </c>
      <c r="B1458">
        <f>Prices!B1458</f>
        <v/>
      </c>
      <c r="C1458">
        <f>Prices!C1458</f>
        <v/>
      </c>
      <c r="D1458">
        <f>Prices!D1458</f>
        <v/>
      </c>
      <c r="E1458">
        <f>Prices!E1458</f>
        <v/>
      </c>
      <c r="F1458">
        <f>Prices!F1458</f>
        <v/>
      </c>
      <c r="G1458">
        <f>IF(AND(1456&gt;=16,TEXT(A1458,"yyyy-mm")&lt;&gt;TEXT(A1459,"yyyy-mm")),1,0)</f>
        <v/>
      </c>
      <c r="H1458">
        <f>IF(OR(H1457=1,G1458=1),1,0)</f>
        <v/>
      </c>
      <c r="I1458">
        <f>IF(H1457=0,1,SUMPRODUCT(J1457:N1457,B1458:F1458)+O1457*(1+0.00023125256064071564))</f>
        <v/>
      </c>
      <c r="J1458">
        <f>IF(G1458=1,0.2*R1458/B1458,J1457)</f>
        <v/>
      </c>
      <c r="K1458">
        <f>IF(G1458=1,0.2*R1458/C1458,K1457)</f>
        <v/>
      </c>
      <c r="L1458">
        <f>IF(G1458=1,0.2*R1458/D1458,L1457)</f>
        <v/>
      </c>
      <c r="M1458">
        <f>IF(G1458=1,0.2*R1458/E1458,M1457)</f>
        <v/>
      </c>
      <c r="N1458">
        <f>IF(G1458=1,0.2*R1458/F1458,N1457)</f>
        <v/>
      </c>
      <c r="O1458">
        <f>IF(G1458=1,R1458*(1-1.0),IF(H1457=0,1,O1457*(1+0.00023125256064071564)))</f>
        <v/>
      </c>
      <c r="P1458">
        <f>IF(G1458=1,IF(H1457=0,1,ABS(0.2-J1457*B1458/I1458)+ABS(0.2-K1457*C1458/I1458)+ABS(0.2-L1457*D1458/I1458)+ABS(0.2-M1457*E1458/I1458)+ABS(0.2-N1457*F1458/I1458)),0)</f>
        <v/>
      </c>
      <c r="Q1458">
        <f>P1458*0.0015</f>
        <v/>
      </c>
      <c r="R1458">
        <f>I1458*(1-Q1458)</f>
        <v/>
      </c>
      <c r="S1458">
        <f>R1458/R1457-1</f>
        <v/>
      </c>
      <c r="T1458">
        <f>MAX(T1457,R1458)</f>
        <v/>
      </c>
      <c r="U1458">
        <f>R1458/T1458-1</f>
        <v/>
      </c>
      <c r="V1458" t="n">
        <v>3.007566612035797</v>
      </c>
      <c r="W1458" s="5">
        <f>R1458-V1458</f>
        <v/>
      </c>
    </row>
    <row r="1459">
      <c r="A1459" s="3" t="n">
        <v>40584</v>
      </c>
      <c r="B1459">
        <f>Prices!B1459</f>
        <v/>
      </c>
      <c r="C1459">
        <f>Prices!C1459</f>
        <v/>
      </c>
      <c r="D1459">
        <f>Prices!D1459</f>
        <v/>
      </c>
      <c r="E1459">
        <f>Prices!E1459</f>
        <v/>
      </c>
      <c r="F1459">
        <f>Prices!F1459</f>
        <v/>
      </c>
      <c r="G1459">
        <f>IF(AND(1457&gt;=16,TEXT(A1459,"yyyy-mm")&lt;&gt;TEXT(A1460,"yyyy-mm")),1,0)</f>
        <v/>
      </c>
      <c r="H1459">
        <f>IF(OR(H1458=1,G1459=1),1,0)</f>
        <v/>
      </c>
      <c r="I1459">
        <f>IF(H1458=0,1,SUMPRODUCT(J1458:N1458,B1459:F1459)+O1458*(1+0.00023125256064071564))</f>
        <v/>
      </c>
      <c r="J1459">
        <f>IF(G1459=1,0.2*R1459/B1459,J1458)</f>
        <v/>
      </c>
      <c r="K1459">
        <f>IF(G1459=1,0.2*R1459/C1459,K1458)</f>
        <v/>
      </c>
      <c r="L1459">
        <f>IF(G1459=1,0.2*R1459/D1459,L1458)</f>
        <v/>
      </c>
      <c r="M1459">
        <f>IF(G1459=1,0.2*R1459/E1459,M1458)</f>
        <v/>
      </c>
      <c r="N1459">
        <f>IF(G1459=1,0.2*R1459/F1459,N1458)</f>
        <v/>
      </c>
      <c r="O1459">
        <f>IF(G1459=1,R1459*(1-1.0),IF(H1458=0,1,O1458*(1+0.00023125256064071564)))</f>
        <v/>
      </c>
      <c r="P1459">
        <f>IF(G1459=1,IF(H1458=0,1,ABS(0.2-J1458*B1459/I1459)+ABS(0.2-K1458*C1459/I1459)+ABS(0.2-L1458*D1459/I1459)+ABS(0.2-M1458*E1459/I1459)+ABS(0.2-N1458*F1459/I1459)),0)</f>
        <v/>
      </c>
      <c r="Q1459">
        <f>P1459*0.0015</f>
        <v/>
      </c>
      <c r="R1459">
        <f>I1459*(1-Q1459)</f>
        <v/>
      </c>
      <c r="S1459">
        <f>R1459/R1458-1</f>
        <v/>
      </c>
      <c r="T1459">
        <f>MAX(T1458,R1459)</f>
        <v/>
      </c>
      <c r="U1459">
        <f>R1459/T1459-1</f>
        <v/>
      </c>
      <c r="V1459" t="n">
        <v>3.01167944836978</v>
      </c>
      <c r="W1459" s="5">
        <f>R1459-V1459</f>
        <v/>
      </c>
    </row>
    <row r="1460">
      <c r="A1460" s="3" t="n">
        <v>40585</v>
      </c>
      <c r="B1460">
        <f>Prices!B1460</f>
        <v/>
      </c>
      <c r="C1460">
        <f>Prices!C1460</f>
        <v/>
      </c>
      <c r="D1460">
        <f>Prices!D1460</f>
        <v/>
      </c>
      <c r="E1460">
        <f>Prices!E1460</f>
        <v/>
      </c>
      <c r="F1460">
        <f>Prices!F1460</f>
        <v/>
      </c>
      <c r="G1460">
        <f>IF(AND(1458&gt;=16,TEXT(A1460,"yyyy-mm")&lt;&gt;TEXT(A1461,"yyyy-mm")),1,0)</f>
        <v/>
      </c>
      <c r="H1460">
        <f>IF(OR(H1459=1,G1460=1),1,0)</f>
        <v/>
      </c>
      <c r="I1460">
        <f>IF(H1459=0,1,SUMPRODUCT(J1459:N1459,B1460:F1460)+O1459*(1+0.00023125256064071564))</f>
        <v/>
      </c>
      <c r="J1460">
        <f>IF(G1460=1,0.2*R1460/B1460,J1459)</f>
        <v/>
      </c>
      <c r="K1460">
        <f>IF(G1460=1,0.2*R1460/C1460,K1459)</f>
        <v/>
      </c>
      <c r="L1460">
        <f>IF(G1460=1,0.2*R1460/D1460,L1459)</f>
        <v/>
      </c>
      <c r="M1460">
        <f>IF(G1460=1,0.2*R1460/E1460,M1459)</f>
        <v/>
      </c>
      <c r="N1460">
        <f>IF(G1460=1,0.2*R1460/F1460,N1459)</f>
        <v/>
      </c>
      <c r="O1460">
        <f>IF(G1460=1,R1460*(1-1.0),IF(H1459=0,1,O1459*(1+0.00023125256064071564)))</f>
        <v/>
      </c>
      <c r="P1460">
        <f>IF(G1460=1,IF(H1459=0,1,ABS(0.2-J1459*B1460/I1460)+ABS(0.2-K1459*C1460/I1460)+ABS(0.2-L1459*D1460/I1460)+ABS(0.2-M1459*E1460/I1460)+ABS(0.2-N1459*F1460/I1460)),0)</f>
        <v/>
      </c>
      <c r="Q1460">
        <f>P1460*0.0015</f>
        <v/>
      </c>
      <c r="R1460">
        <f>I1460*(1-Q1460)</f>
        <v/>
      </c>
      <c r="S1460">
        <f>R1460/R1459-1</f>
        <v/>
      </c>
      <c r="T1460">
        <f>MAX(T1459,R1460)</f>
        <v/>
      </c>
      <c r="U1460">
        <f>R1460/T1460-1</f>
        <v/>
      </c>
      <c r="V1460" t="n">
        <v>3.085360505222398</v>
      </c>
      <c r="W1460" s="5">
        <f>R1460-V1460</f>
        <v/>
      </c>
    </row>
    <row r="1461">
      <c r="A1461" s="3" t="n">
        <v>40588</v>
      </c>
      <c r="B1461">
        <f>Prices!B1461</f>
        <v/>
      </c>
      <c r="C1461">
        <f>Prices!C1461</f>
        <v/>
      </c>
      <c r="D1461">
        <f>Prices!D1461</f>
        <v/>
      </c>
      <c r="E1461">
        <f>Prices!E1461</f>
        <v/>
      </c>
      <c r="F1461">
        <f>Prices!F1461</f>
        <v/>
      </c>
      <c r="G1461">
        <f>IF(AND(1459&gt;=16,TEXT(A1461,"yyyy-mm")&lt;&gt;TEXT(A1462,"yyyy-mm")),1,0)</f>
        <v/>
      </c>
      <c r="H1461">
        <f>IF(OR(H1460=1,G1461=1),1,0)</f>
        <v/>
      </c>
      <c r="I1461">
        <f>IF(H1460=0,1,SUMPRODUCT(J1460:N1460,B1461:F1461)+O1460*(1+0.00023125256064071564))</f>
        <v/>
      </c>
      <c r="J1461">
        <f>IF(G1461=1,0.2*R1461/B1461,J1460)</f>
        <v/>
      </c>
      <c r="K1461">
        <f>IF(G1461=1,0.2*R1461/C1461,K1460)</f>
        <v/>
      </c>
      <c r="L1461">
        <f>IF(G1461=1,0.2*R1461/D1461,L1460)</f>
        <v/>
      </c>
      <c r="M1461">
        <f>IF(G1461=1,0.2*R1461/E1461,M1460)</f>
        <v/>
      </c>
      <c r="N1461">
        <f>IF(G1461=1,0.2*R1461/F1461,N1460)</f>
        <v/>
      </c>
      <c r="O1461">
        <f>IF(G1461=1,R1461*(1-1.0),IF(H1460=0,1,O1460*(1+0.00023125256064071564)))</f>
        <v/>
      </c>
      <c r="P1461">
        <f>IF(G1461=1,IF(H1460=0,1,ABS(0.2-J1460*B1461/I1461)+ABS(0.2-K1460*C1461/I1461)+ABS(0.2-L1460*D1461/I1461)+ABS(0.2-M1460*E1461/I1461)+ABS(0.2-N1460*F1461/I1461)),0)</f>
        <v/>
      </c>
      <c r="Q1461">
        <f>P1461*0.0015</f>
        <v/>
      </c>
      <c r="R1461">
        <f>I1461*(1-Q1461)</f>
        <v/>
      </c>
      <c r="S1461">
        <f>R1461/R1460-1</f>
        <v/>
      </c>
      <c r="T1461">
        <f>MAX(T1460,R1461)</f>
        <v/>
      </c>
      <c r="U1461">
        <f>R1461/T1461-1</f>
        <v/>
      </c>
      <c r="V1461" t="n">
        <v>3.192961342352328</v>
      </c>
      <c r="W1461" s="5">
        <f>R1461-V1461</f>
        <v/>
      </c>
    </row>
    <row r="1462">
      <c r="A1462" s="3" t="n">
        <v>40589</v>
      </c>
      <c r="B1462">
        <f>Prices!B1462</f>
        <v/>
      </c>
      <c r="C1462">
        <f>Prices!C1462</f>
        <v/>
      </c>
      <c r="D1462">
        <f>Prices!D1462</f>
        <v/>
      </c>
      <c r="E1462">
        <f>Prices!E1462</f>
        <v/>
      </c>
      <c r="F1462">
        <f>Prices!F1462</f>
        <v/>
      </c>
      <c r="G1462">
        <f>IF(AND(1460&gt;=16,TEXT(A1462,"yyyy-mm")&lt;&gt;TEXT(A1463,"yyyy-mm")),1,0)</f>
        <v/>
      </c>
      <c r="H1462">
        <f>IF(OR(H1461=1,G1462=1),1,0)</f>
        <v/>
      </c>
      <c r="I1462">
        <f>IF(H1461=0,1,SUMPRODUCT(J1461:N1461,B1462:F1462)+O1461*(1+0.00023125256064071564))</f>
        <v/>
      </c>
      <c r="J1462">
        <f>IF(G1462=1,0.2*R1462/B1462,J1461)</f>
        <v/>
      </c>
      <c r="K1462">
        <f>IF(G1462=1,0.2*R1462/C1462,K1461)</f>
        <v/>
      </c>
      <c r="L1462">
        <f>IF(G1462=1,0.2*R1462/D1462,L1461)</f>
        <v/>
      </c>
      <c r="M1462">
        <f>IF(G1462=1,0.2*R1462/E1462,M1461)</f>
        <v/>
      </c>
      <c r="N1462">
        <f>IF(G1462=1,0.2*R1462/F1462,N1461)</f>
        <v/>
      </c>
      <c r="O1462">
        <f>IF(G1462=1,R1462*(1-1.0),IF(H1461=0,1,O1461*(1+0.00023125256064071564)))</f>
        <v/>
      </c>
      <c r="P1462">
        <f>IF(G1462=1,IF(H1461=0,1,ABS(0.2-J1461*B1462/I1462)+ABS(0.2-K1461*C1462/I1462)+ABS(0.2-L1461*D1462/I1462)+ABS(0.2-M1461*E1462/I1462)+ABS(0.2-N1461*F1462/I1462)),0)</f>
        <v/>
      </c>
      <c r="Q1462">
        <f>P1462*0.0015</f>
        <v/>
      </c>
      <c r="R1462">
        <f>I1462*(1-Q1462)</f>
        <v/>
      </c>
      <c r="S1462">
        <f>R1462/R1461-1</f>
        <v/>
      </c>
      <c r="T1462">
        <f>MAX(T1461,R1462)</f>
        <v/>
      </c>
      <c r="U1462">
        <f>R1462/T1462-1</f>
        <v/>
      </c>
      <c r="V1462" t="n">
        <v>3.206460180515114</v>
      </c>
      <c r="W1462" s="5">
        <f>R1462-V1462</f>
        <v/>
      </c>
    </row>
    <row r="1463">
      <c r="A1463" s="3" t="n">
        <v>40590</v>
      </c>
      <c r="B1463">
        <f>Prices!B1463</f>
        <v/>
      </c>
      <c r="C1463">
        <f>Prices!C1463</f>
        <v/>
      </c>
      <c r="D1463">
        <f>Prices!D1463</f>
        <v/>
      </c>
      <c r="E1463">
        <f>Prices!E1463</f>
        <v/>
      </c>
      <c r="F1463">
        <f>Prices!F1463</f>
        <v/>
      </c>
      <c r="G1463">
        <f>IF(AND(1461&gt;=16,TEXT(A1463,"yyyy-mm")&lt;&gt;TEXT(A1464,"yyyy-mm")),1,0)</f>
        <v/>
      </c>
      <c r="H1463">
        <f>IF(OR(H1462=1,G1463=1),1,0)</f>
        <v/>
      </c>
      <c r="I1463">
        <f>IF(H1462=0,1,SUMPRODUCT(J1462:N1462,B1463:F1463)+O1462*(1+0.00023125256064071564))</f>
        <v/>
      </c>
      <c r="J1463">
        <f>IF(G1463=1,0.2*R1463/B1463,J1462)</f>
        <v/>
      </c>
      <c r="K1463">
        <f>IF(G1463=1,0.2*R1463/C1463,K1462)</f>
        <v/>
      </c>
      <c r="L1463">
        <f>IF(G1463=1,0.2*R1463/D1463,L1462)</f>
        <v/>
      </c>
      <c r="M1463">
        <f>IF(G1463=1,0.2*R1463/E1463,M1462)</f>
        <v/>
      </c>
      <c r="N1463">
        <f>IF(G1463=1,0.2*R1463/F1463,N1462)</f>
        <v/>
      </c>
      <c r="O1463">
        <f>IF(G1463=1,R1463*(1-1.0),IF(H1462=0,1,O1462*(1+0.00023125256064071564)))</f>
        <v/>
      </c>
      <c r="P1463">
        <f>IF(G1463=1,IF(H1462=0,1,ABS(0.2-J1462*B1463/I1463)+ABS(0.2-K1462*C1463/I1463)+ABS(0.2-L1462*D1463/I1463)+ABS(0.2-M1462*E1463/I1463)+ABS(0.2-N1462*F1463/I1463)),0)</f>
        <v/>
      </c>
      <c r="Q1463">
        <f>P1463*0.0015</f>
        <v/>
      </c>
      <c r="R1463">
        <f>I1463*(1-Q1463)</f>
        <v/>
      </c>
      <c r="S1463">
        <f>R1463/R1462-1</f>
        <v/>
      </c>
      <c r="T1463">
        <f>MAX(T1462,R1463)</f>
        <v/>
      </c>
      <c r="U1463">
        <f>R1463/T1463-1</f>
        <v/>
      </c>
      <c r="V1463" t="n">
        <v>3.212927086189571</v>
      </c>
      <c r="W1463" s="5">
        <f>R1463-V1463</f>
        <v/>
      </c>
    </row>
    <row r="1464">
      <c r="A1464" s="3" t="n">
        <v>40591</v>
      </c>
      <c r="B1464">
        <f>Prices!B1464</f>
        <v/>
      </c>
      <c r="C1464">
        <f>Prices!C1464</f>
        <v/>
      </c>
      <c r="D1464">
        <f>Prices!D1464</f>
        <v/>
      </c>
      <c r="E1464">
        <f>Prices!E1464</f>
        <v/>
      </c>
      <c r="F1464">
        <f>Prices!F1464</f>
        <v/>
      </c>
      <c r="G1464">
        <f>IF(AND(1462&gt;=16,TEXT(A1464,"yyyy-mm")&lt;&gt;TEXT(A1465,"yyyy-mm")),1,0)</f>
        <v/>
      </c>
      <c r="H1464">
        <f>IF(OR(H1463=1,G1464=1),1,0)</f>
        <v/>
      </c>
      <c r="I1464">
        <f>IF(H1463=0,1,SUMPRODUCT(J1463:N1463,B1464:F1464)+O1463*(1+0.00023125256064071564))</f>
        <v/>
      </c>
      <c r="J1464">
        <f>IF(G1464=1,0.2*R1464/B1464,J1463)</f>
        <v/>
      </c>
      <c r="K1464">
        <f>IF(G1464=1,0.2*R1464/C1464,K1463)</f>
        <v/>
      </c>
      <c r="L1464">
        <f>IF(G1464=1,0.2*R1464/D1464,L1463)</f>
        <v/>
      </c>
      <c r="M1464">
        <f>IF(G1464=1,0.2*R1464/E1464,M1463)</f>
        <v/>
      </c>
      <c r="N1464">
        <f>IF(G1464=1,0.2*R1464/F1464,N1463)</f>
        <v/>
      </c>
      <c r="O1464">
        <f>IF(G1464=1,R1464*(1-1.0),IF(H1463=0,1,O1463*(1+0.00023125256064071564)))</f>
        <v/>
      </c>
      <c r="P1464">
        <f>IF(G1464=1,IF(H1463=0,1,ABS(0.2-J1463*B1464/I1464)+ABS(0.2-K1463*C1464/I1464)+ABS(0.2-L1463*D1464/I1464)+ABS(0.2-M1463*E1464/I1464)+ABS(0.2-N1463*F1464/I1464)),0)</f>
        <v/>
      </c>
      <c r="Q1464">
        <f>P1464*0.0015</f>
        <v/>
      </c>
      <c r="R1464">
        <f>I1464*(1-Q1464)</f>
        <v/>
      </c>
      <c r="S1464">
        <f>R1464/R1463-1</f>
        <v/>
      </c>
      <c r="T1464">
        <f>MAX(T1463,R1464)</f>
        <v/>
      </c>
      <c r="U1464">
        <f>R1464/T1464-1</f>
        <v/>
      </c>
      <c r="V1464" t="n">
        <v>3.244538339063769</v>
      </c>
      <c r="W1464" s="5">
        <f>R1464-V1464</f>
        <v/>
      </c>
    </row>
    <row r="1465">
      <c r="A1465" s="3" t="n">
        <v>40592</v>
      </c>
      <c r="B1465">
        <f>Prices!B1465</f>
        <v/>
      </c>
      <c r="C1465">
        <f>Prices!C1465</f>
        <v/>
      </c>
      <c r="D1465">
        <f>Prices!D1465</f>
        <v/>
      </c>
      <c r="E1465">
        <f>Prices!E1465</f>
        <v/>
      </c>
      <c r="F1465">
        <f>Prices!F1465</f>
        <v/>
      </c>
      <c r="G1465">
        <f>IF(AND(1463&gt;=16,TEXT(A1465,"yyyy-mm")&lt;&gt;TEXT(A1466,"yyyy-mm")),1,0)</f>
        <v/>
      </c>
      <c r="H1465">
        <f>IF(OR(H1464=1,G1465=1),1,0)</f>
        <v/>
      </c>
      <c r="I1465">
        <f>IF(H1464=0,1,SUMPRODUCT(J1464:N1464,B1465:F1465)+O1464*(1+0.00023125256064071564))</f>
        <v/>
      </c>
      <c r="J1465">
        <f>IF(G1465=1,0.2*R1465/B1465,J1464)</f>
        <v/>
      </c>
      <c r="K1465">
        <f>IF(G1465=1,0.2*R1465/C1465,K1464)</f>
        <v/>
      </c>
      <c r="L1465">
        <f>IF(G1465=1,0.2*R1465/D1465,L1464)</f>
        <v/>
      </c>
      <c r="M1465">
        <f>IF(G1465=1,0.2*R1465/E1465,M1464)</f>
        <v/>
      </c>
      <c r="N1465">
        <f>IF(G1465=1,0.2*R1465/F1465,N1464)</f>
        <v/>
      </c>
      <c r="O1465">
        <f>IF(G1465=1,R1465*(1-1.0),IF(H1464=0,1,O1464*(1+0.00023125256064071564)))</f>
        <v/>
      </c>
      <c r="P1465">
        <f>IF(G1465=1,IF(H1464=0,1,ABS(0.2-J1464*B1465/I1465)+ABS(0.2-K1464*C1465/I1465)+ABS(0.2-L1464*D1465/I1465)+ABS(0.2-M1464*E1465/I1465)+ABS(0.2-N1464*F1465/I1465)),0)</f>
        <v/>
      </c>
      <c r="Q1465">
        <f>P1465*0.0015</f>
        <v/>
      </c>
      <c r="R1465">
        <f>I1465*(1-Q1465)</f>
        <v/>
      </c>
      <c r="S1465">
        <f>R1465/R1464-1</f>
        <v/>
      </c>
      <c r="T1465">
        <f>MAX(T1464,R1465)</f>
        <v/>
      </c>
      <c r="U1465">
        <f>R1465/T1465-1</f>
        <v/>
      </c>
      <c r="V1465" t="n">
        <v>3.192800461690375</v>
      </c>
      <c r="W1465" s="5">
        <f>R1465-V1465</f>
        <v/>
      </c>
    </row>
    <row r="1466">
      <c r="A1466" s="3" t="n">
        <v>40595</v>
      </c>
      <c r="B1466">
        <f>Prices!B1466</f>
        <v/>
      </c>
      <c r="C1466">
        <f>Prices!C1466</f>
        <v/>
      </c>
      <c r="D1466">
        <f>Prices!D1466</f>
        <v/>
      </c>
      <c r="E1466">
        <f>Prices!E1466</f>
        <v/>
      </c>
      <c r="F1466">
        <f>Prices!F1466</f>
        <v/>
      </c>
      <c r="G1466">
        <f>IF(AND(1464&gt;=16,TEXT(A1466,"yyyy-mm")&lt;&gt;TEXT(A1467,"yyyy-mm")),1,0)</f>
        <v/>
      </c>
      <c r="H1466">
        <f>IF(OR(H1465=1,G1466=1),1,0)</f>
        <v/>
      </c>
      <c r="I1466">
        <f>IF(H1465=0,1,SUMPRODUCT(J1465:N1465,B1466:F1466)+O1465*(1+0.00023125256064071564))</f>
        <v/>
      </c>
      <c r="J1466">
        <f>IF(G1466=1,0.2*R1466/B1466,J1465)</f>
        <v/>
      </c>
      <c r="K1466">
        <f>IF(G1466=1,0.2*R1466/C1466,K1465)</f>
        <v/>
      </c>
      <c r="L1466">
        <f>IF(G1466=1,0.2*R1466/D1466,L1465)</f>
        <v/>
      </c>
      <c r="M1466">
        <f>IF(G1466=1,0.2*R1466/E1466,M1465)</f>
        <v/>
      </c>
      <c r="N1466">
        <f>IF(G1466=1,0.2*R1466/F1466,N1465)</f>
        <v/>
      </c>
      <c r="O1466">
        <f>IF(G1466=1,R1466*(1-1.0),IF(H1465=0,1,O1465*(1+0.00023125256064071564)))</f>
        <v/>
      </c>
      <c r="P1466">
        <f>IF(G1466=1,IF(H1465=0,1,ABS(0.2-J1465*B1466/I1466)+ABS(0.2-K1465*C1466/I1466)+ABS(0.2-L1465*D1466/I1466)+ABS(0.2-M1465*E1466/I1466)+ABS(0.2-N1465*F1466/I1466)),0)</f>
        <v/>
      </c>
      <c r="Q1466">
        <f>P1466*0.0015</f>
        <v/>
      </c>
      <c r="R1466">
        <f>I1466*(1-Q1466)</f>
        <v/>
      </c>
      <c r="S1466">
        <f>R1466/R1465-1</f>
        <v/>
      </c>
      <c r="T1466">
        <f>MAX(T1465,R1466)</f>
        <v/>
      </c>
      <c r="U1466">
        <f>R1466/T1466-1</f>
        <v/>
      </c>
      <c r="V1466" t="n">
        <v>3.20654368499162</v>
      </c>
      <c r="W1466" s="5">
        <f>R1466-V1466</f>
        <v/>
      </c>
    </row>
    <row r="1467">
      <c r="A1467" s="3" t="n">
        <v>40596</v>
      </c>
      <c r="B1467">
        <f>Prices!B1467</f>
        <v/>
      </c>
      <c r="C1467">
        <f>Prices!C1467</f>
        <v/>
      </c>
      <c r="D1467">
        <f>Prices!D1467</f>
        <v/>
      </c>
      <c r="E1467">
        <f>Prices!E1467</f>
        <v/>
      </c>
      <c r="F1467">
        <f>Prices!F1467</f>
        <v/>
      </c>
      <c r="G1467">
        <f>IF(AND(1465&gt;=16,TEXT(A1467,"yyyy-mm")&lt;&gt;TEXT(A1468,"yyyy-mm")),1,0)</f>
        <v/>
      </c>
      <c r="H1467">
        <f>IF(OR(H1466=1,G1467=1),1,0)</f>
        <v/>
      </c>
      <c r="I1467">
        <f>IF(H1466=0,1,SUMPRODUCT(J1466:N1466,B1467:F1467)+O1466*(1+0.00023125256064071564))</f>
        <v/>
      </c>
      <c r="J1467">
        <f>IF(G1467=1,0.2*R1467/B1467,J1466)</f>
        <v/>
      </c>
      <c r="K1467">
        <f>IF(G1467=1,0.2*R1467/C1467,K1466)</f>
        <v/>
      </c>
      <c r="L1467">
        <f>IF(G1467=1,0.2*R1467/D1467,L1466)</f>
        <v/>
      </c>
      <c r="M1467">
        <f>IF(G1467=1,0.2*R1467/E1467,M1466)</f>
        <v/>
      </c>
      <c r="N1467">
        <f>IF(G1467=1,0.2*R1467/F1467,N1466)</f>
        <v/>
      </c>
      <c r="O1467">
        <f>IF(G1467=1,R1467*(1-1.0),IF(H1466=0,1,O1466*(1+0.00023125256064071564)))</f>
        <v/>
      </c>
      <c r="P1467">
        <f>IF(G1467=1,IF(H1466=0,1,ABS(0.2-J1466*B1467/I1467)+ABS(0.2-K1466*C1467/I1467)+ABS(0.2-L1466*D1467/I1467)+ABS(0.2-M1466*E1467/I1467)+ABS(0.2-N1466*F1467/I1467)),0)</f>
        <v/>
      </c>
      <c r="Q1467">
        <f>P1467*0.0015</f>
        <v/>
      </c>
      <c r="R1467">
        <f>I1467*(1-Q1467)</f>
        <v/>
      </c>
      <c r="S1467">
        <f>R1467/R1466-1</f>
        <v/>
      </c>
      <c r="T1467">
        <f>MAX(T1466,R1467)</f>
        <v/>
      </c>
      <c r="U1467">
        <f>R1467/T1467-1</f>
        <v/>
      </c>
      <c r="V1467" t="n">
        <v>3.172464344899037</v>
      </c>
      <c r="W1467" s="5">
        <f>R1467-V1467</f>
        <v/>
      </c>
    </row>
    <row r="1468">
      <c r="A1468" s="3" t="n">
        <v>40597</v>
      </c>
      <c r="B1468">
        <f>Prices!B1468</f>
        <v/>
      </c>
      <c r="C1468">
        <f>Prices!C1468</f>
        <v/>
      </c>
      <c r="D1468">
        <f>Prices!D1468</f>
        <v/>
      </c>
      <c r="E1468">
        <f>Prices!E1468</f>
        <v/>
      </c>
      <c r="F1468">
        <f>Prices!F1468</f>
        <v/>
      </c>
      <c r="G1468">
        <f>IF(AND(1466&gt;=16,TEXT(A1468,"yyyy-mm")&lt;&gt;TEXT(A1469,"yyyy-mm")),1,0)</f>
        <v/>
      </c>
      <c r="H1468">
        <f>IF(OR(H1467=1,G1468=1),1,0)</f>
        <v/>
      </c>
      <c r="I1468">
        <f>IF(H1467=0,1,SUMPRODUCT(J1467:N1467,B1468:F1468)+O1467*(1+0.00023125256064071564))</f>
        <v/>
      </c>
      <c r="J1468">
        <f>IF(G1468=1,0.2*R1468/B1468,J1467)</f>
        <v/>
      </c>
      <c r="K1468">
        <f>IF(G1468=1,0.2*R1468/C1468,K1467)</f>
        <v/>
      </c>
      <c r="L1468">
        <f>IF(G1468=1,0.2*R1468/D1468,L1467)</f>
        <v/>
      </c>
      <c r="M1468">
        <f>IF(G1468=1,0.2*R1468/E1468,M1467)</f>
        <v/>
      </c>
      <c r="N1468">
        <f>IF(G1468=1,0.2*R1468/F1468,N1467)</f>
        <v/>
      </c>
      <c r="O1468">
        <f>IF(G1468=1,R1468*(1-1.0),IF(H1467=0,1,O1467*(1+0.00023125256064071564)))</f>
        <v/>
      </c>
      <c r="P1468">
        <f>IF(G1468=1,IF(H1467=0,1,ABS(0.2-J1467*B1468/I1468)+ABS(0.2-K1467*C1468/I1468)+ABS(0.2-L1467*D1468/I1468)+ABS(0.2-M1467*E1468/I1468)+ABS(0.2-N1467*F1468/I1468)),0)</f>
        <v/>
      </c>
      <c r="Q1468">
        <f>P1468*0.0015</f>
        <v/>
      </c>
      <c r="R1468">
        <f>I1468*(1-Q1468)</f>
        <v/>
      </c>
      <c r="S1468">
        <f>R1468/R1467-1</f>
        <v/>
      </c>
      <c r="T1468">
        <f>MAX(T1467,R1468)</f>
        <v/>
      </c>
      <c r="U1468">
        <f>R1468/T1468-1</f>
        <v/>
      </c>
      <c r="V1468" t="n">
        <v>3.154749576350534</v>
      </c>
      <c r="W1468" s="5">
        <f>R1468-V1468</f>
        <v/>
      </c>
    </row>
    <row r="1469">
      <c r="A1469" s="3" t="n">
        <v>40598</v>
      </c>
      <c r="B1469">
        <f>Prices!B1469</f>
        <v/>
      </c>
      <c r="C1469">
        <f>Prices!C1469</f>
        <v/>
      </c>
      <c r="D1469">
        <f>Prices!D1469</f>
        <v/>
      </c>
      <c r="E1469">
        <f>Prices!E1469</f>
        <v/>
      </c>
      <c r="F1469">
        <f>Prices!F1469</f>
        <v/>
      </c>
      <c r="G1469">
        <f>IF(AND(1467&gt;=16,TEXT(A1469,"yyyy-mm")&lt;&gt;TEXT(A1470,"yyyy-mm")),1,0)</f>
        <v/>
      </c>
      <c r="H1469">
        <f>IF(OR(H1468=1,G1469=1),1,0)</f>
        <v/>
      </c>
      <c r="I1469">
        <f>IF(H1468=0,1,SUMPRODUCT(J1468:N1468,B1469:F1469)+O1468*(1+0.00023125256064071564))</f>
        <v/>
      </c>
      <c r="J1469">
        <f>IF(G1469=1,0.2*R1469/B1469,J1468)</f>
        <v/>
      </c>
      <c r="K1469">
        <f>IF(G1469=1,0.2*R1469/C1469,K1468)</f>
        <v/>
      </c>
      <c r="L1469">
        <f>IF(G1469=1,0.2*R1469/D1469,L1468)</f>
        <v/>
      </c>
      <c r="M1469">
        <f>IF(G1469=1,0.2*R1469/E1469,M1468)</f>
        <v/>
      </c>
      <c r="N1469">
        <f>IF(G1469=1,0.2*R1469/F1469,N1468)</f>
        <v/>
      </c>
      <c r="O1469">
        <f>IF(G1469=1,R1469*(1-1.0),IF(H1468=0,1,O1468*(1+0.00023125256064071564)))</f>
        <v/>
      </c>
      <c r="P1469">
        <f>IF(G1469=1,IF(H1468=0,1,ABS(0.2-J1468*B1469/I1469)+ABS(0.2-K1468*C1469/I1469)+ABS(0.2-L1468*D1469/I1469)+ABS(0.2-M1468*E1469/I1469)+ABS(0.2-N1468*F1469/I1469)),0)</f>
        <v/>
      </c>
      <c r="Q1469">
        <f>P1469*0.0015</f>
        <v/>
      </c>
      <c r="R1469">
        <f>I1469*(1-Q1469)</f>
        <v/>
      </c>
      <c r="S1469">
        <f>R1469/R1468-1</f>
        <v/>
      </c>
      <c r="T1469">
        <f>MAX(T1468,R1469)</f>
        <v/>
      </c>
      <c r="U1469">
        <f>R1469/T1469-1</f>
        <v/>
      </c>
      <c r="V1469" t="n">
        <v>3.050899646507214</v>
      </c>
      <c r="W1469" s="5">
        <f>R1469-V1469</f>
        <v/>
      </c>
    </row>
    <row r="1470">
      <c r="A1470" s="3" t="n">
        <v>40599</v>
      </c>
      <c r="B1470">
        <f>Prices!B1470</f>
        <v/>
      </c>
      <c r="C1470">
        <f>Prices!C1470</f>
        <v/>
      </c>
      <c r="D1470">
        <f>Prices!D1470</f>
        <v/>
      </c>
      <c r="E1470">
        <f>Prices!E1470</f>
        <v/>
      </c>
      <c r="F1470">
        <f>Prices!F1470</f>
        <v/>
      </c>
      <c r="G1470">
        <f>IF(AND(1468&gt;=16,TEXT(A1470,"yyyy-mm")&lt;&gt;TEXT(A1471,"yyyy-mm")),1,0)</f>
        <v/>
      </c>
      <c r="H1470">
        <f>IF(OR(H1469=1,G1470=1),1,0)</f>
        <v/>
      </c>
      <c r="I1470">
        <f>IF(H1469=0,1,SUMPRODUCT(J1469:N1469,B1470:F1470)+O1469*(1+0.00023125256064071564))</f>
        <v/>
      </c>
      <c r="J1470">
        <f>IF(G1470=1,0.2*R1470/B1470,J1469)</f>
        <v/>
      </c>
      <c r="K1470">
        <f>IF(G1470=1,0.2*R1470/C1470,K1469)</f>
        <v/>
      </c>
      <c r="L1470">
        <f>IF(G1470=1,0.2*R1470/D1470,L1469)</f>
        <v/>
      </c>
      <c r="M1470">
        <f>IF(G1470=1,0.2*R1470/E1470,M1469)</f>
        <v/>
      </c>
      <c r="N1470">
        <f>IF(G1470=1,0.2*R1470/F1470,N1469)</f>
        <v/>
      </c>
      <c r="O1470">
        <f>IF(G1470=1,R1470*(1-1.0),IF(H1469=0,1,O1469*(1+0.00023125256064071564)))</f>
        <v/>
      </c>
      <c r="P1470">
        <f>IF(G1470=1,IF(H1469=0,1,ABS(0.2-J1469*B1470/I1470)+ABS(0.2-K1469*C1470/I1470)+ABS(0.2-L1469*D1470/I1470)+ABS(0.2-M1469*E1470/I1470)+ABS(0.2-N1469*F1470/I1470)),0)</f>
        <v/>
      </c>
      <c r="Q1470">
        <f>P1470*0.0015</f>
        <v/>
      </c>
      <c r="R1470">
        <f>I1470*(1-Q1470)</f>
        <v/>
      </c>
      <c r="S1470">
        <f>R1470/R1469-1</f>
        <v/>
      </c>
      <c r="T1470">
        <f>MAX(T1469,R1470)</f>
        <v/>
      </c>
      <c r="U1470">
        <f>R1470/T1470-1</f>
        <v/>
      </c>
      <c r="V1470" t="n">
        <v>3.057619050385773</v>
      </c>
      <c r="W1470" s="5">
        <f>R1470-V1470</f>
        <v/>
      </c>
    </row>
    <row r="1471">
      <c r="A1471" s="3" t="n">
        <v>40602</v>
      </c>
      <c r="B1471">
        <f>Prices!B1471</f>
        <v/>
      </c>
      <c r="C1471">
        <f>Prices!C1471</f>
        <v/>
      </c>
      <c r="D1471">
        <f>Prices!D1471</f>
        <v/>
      </c>
      <c r="E1471">
        <f>Prices!E1471</f>
        <v/>
      </c>
      <c r="F1471">
        <f>Prices!F1471</f>
        <v/>
      </c>
      <c r="G1471">
        <f>IF(AND(1469&gt;=16,TEXT(A1471,"yyyy-mm")&lt;&gt;TEXT(A1472,"yyyy-mm")),1,0)</f>
        <v/>
      </c>
      <c r="H1471">
        <f>IF(OR(H1470=1,G1471=1),1,0)</f>
        <v/>
      </c>
      <c r="I1471">
        <f>IF(H1470=0,1,SUMPRODUCT(J1470:N1470,B1471:F1471)+O1470*(1+0.00023125256064071564))</f>
        <v/>
      </c>
      <c r="J1471">
        <f>IF(G1471=1,0.2*R1471/B1471,J1470)</f>
        <v/>
      </c>
      <c r="K1471">
        <f>IF(G1471=1,0.2*R1471/C1471,K1470)</f>
        <v/>
      </c>
      <c r="L1471">
        <f>IF(G1471=1,0.2*R1471/D1471,L1470)</f>
        <v/>
      </c>
      <c r="M1471">
        <f>IF(G1471=1,0.2*R1471/E1471,M1470)</f>
        <v/>
      </c>
      <c r="N1471">
        <f>IF(G1471=1,0.2*R1471/F1471,N1470)</f>
        <v/>
      </c>
      <c r="O1471">
        <f>IF(G1471=1,R1471*(1-1.0),IF(H1470=0,1,O1470*(1+0.00023125256064071564)))</f>
        <v/>
      </c>
      <c r="P1471">
        <f>IF(G1471=1,IF(H1470=0,1,ABS(0.2-J1470*B1471/I1471)+ABS(0.2-K1470*C1471/I1471)+ABS(0.2-L1470*D1471/I1471)+ABS(0.2-M1470*E1471/I1471)+ABS(0.2-N1470*F1471/I1471)),0)</f>
        <v/>
      </c>
      <c r="Q1471">
        <f>P1471*0.0015</f>
        <v/>
      </c>
      <c r="R1471">
        <f>I1471*(1-Q1471)</f>
        <v/>
      </c>
      <c r="S1471">
        <f>R1471/R1470-1</f>
        <v/>
      </c>
      <c r="T1471">
        <f>MAX(T1470,R1471)</f>
        <v/>
      </c>
      <c r="U1471">
        <f>R1471/T1471-1</f>
        <v/>
      </c>
      <c r="V1471" t="n">
        <v>3.070073141374076</v>
      </c>
      <c r="W1471" s="5">
        <f>R1471-V1471</f>
        <v/>
      </c>
    </row>
    <row r="1472">
      <c r="A1472" s="3" t="n">
        <v>40603</v>
      </c>
      <c r="B1472">
        <f>Prices!B1472</f>
        <v/>
      </c>
      <c r="C1472">
        <f>Prices!C1472</f>
        <v/>
      </c>
      <c r="D1472">
        <f>Prices!D1472</f>
        <v/>
      </c>
      <c r="E1472">
        <f>Prices!E1472</f>
        <v/>
      </c>
      <c r="F1472">
        <f>Prices!F1472</f>
        <v/>
      </c>
      <c r="G1472">
        <f>IF(AND(1470&gt;=16,TEXT(A1472,"yyyy-mm")&lt;&gt;TEXT(A1473,"yyyy-mm")),1,0)</f>
        <v/>
      </c>
      <c r="H1472">
        <f>IF(OR(H1471=1,G1472=1),1,0)</f>
        <v/>
      </c>
      <c r="I1472">
        <f>IF(H1471=0,1,SUMPRODUCT(J1471:N1471,B1472:F1472)+O1471*(1+0.00023125256064071564))</f>
        <v/>
      </c>
      <c r="J1472">
        <f>IF(G1472=1,0.2*R1472/B1472,J1471)</f>
        <v/>
      </c>
      <c r="K1472">
        <f>IF(G1472=1,0.2*R1472/C1472,K1471)</f>
        <v/>
      </c>
      <c r="L1472">
        <f>IF(G1472=1,0.2*R1472/D1472,L1471)</f>
        <v/>
      </c>
      <c r="M1472">
        <f>IF(G1472=1,0.2*R1472/E1472,M1471)</f>
        <v/>
      </c>
      <c r="N1472">
        <f>IF(G1472=1,0.2*R1472/F1472,N1471)</f>
        <v/>
      </c>
      <c r="O1472">
        <f>IF(G1472=1,R1472*(1-1.0),IF(H1471=0,1,O1471*(1+0.00023125256064071564)))</f>
        <v/>
      </c>
      <c r="P1472">
        <f>IF(G1472=1,IF(H1471=0,1,ABS(0.2-J1471*B1472/I1472)+ABS(0.2-K1471*C1472/I1472)+ABS(0.2-L1471*D1472/I1472)+ABS(0.2-M1471*E1472/I1472)+ABS(0.2-N1471*F1472/I1472)),0)</f>
        <v/>
      </c>
      <c r="Q1472">
        <f>P1472*0.0015</f>
        <v/>
      </c>
      <c r="R1472">
        <f>I1472*(1-Q1472)</f>
        <v/>
      </c>
      <c r="S1472">
        <f>R1472/R1471-1</f>
        <v/>
      </c>
      <c r="T1472">
        <f>MAX(T1471,R1472)</f>
        <v/>
      </c>
      <c r="U1472">
        <f>R1472/T1472-1</f>
        <v/>
      </c>
      <c r="V1472" t="n">
        <v>3.176527517835153</v>
      </c>
      <c r="W1472" s="5">
        <f>R1472-V1472</f>
        <v/>
      </c>
    </row>
    <row r="1473">
      <c r="A1473" s="3" t="n">
        <v>40605</v>
      </c>
      <c r="B1473">
        <f>Prices!B1473</f>
        <v/>
      </c>
      <c r="C1473">
        <f>Prices!C1473</f>
        <v/>
      </c>
      <c r="D1473">
        <f>Prices!D1473</f>
        <v/>
      </c>
      <c r="E1473">
        <f>Prices!E1473</f>
        <v/>
      </c>
      <c r="F1473">
        <f>Prices!F1473</f>
        <v/>
      </c>
      <c r="G1473">
        <f>IF(AND(1471&gt;=16,TEXT(A1473,"yyyy-mm")&lt;&gt;TEXT(A1474,"yyyy-mm")),1,0)</f>
        <v/>
      </c>
      <c r="H1473">
        <f>IF(OR(H1472=1,G1473=1),1,0)</f>
        <v/>
      </c>
      <c r="I1473">
        <f>IF(H1472=0,1,SUMPRODUCT(J1472:N1472,B1473:F1473)+O1472*(1+0.00023125256064071564))</f>
        <v/>
      </c>
      <c r="J1473">
        <f>IF(G1473=1,0.2*R1473/B1473,J1472)</f>
        <v/>
      </c>
      <c r="K1473">
        <f>IF(G1473=1,0.2*R1473/C1473,K1472)</f>
        <v/>
      </c>
      <c r="L1473">
        <f>IF(G1473=1,0.2*R1473/D1473,L1472)</f>
        <v/>
      </c>
      <c r="M1473">
        <f>IF(G1473=1,0.2*R1473/E1473,M1472)</f>
        <v/>
      </c>
      <c r="N1473">
        <f>IF(G1473=1,0.2*R1473/F1473,N1472)</f>
        <v/>
      </c>
      <c r="O1473">
        <f>IF(G1473=1,R1473*(1-1.0),IF(H1472=0,1,O1472*(1+0.00023125256064071564)))</f>
        <v/>
      </c>
      <c r="P1473">
        <f>IF(G1473=1,IF(H1472=0,1,ABS(0.2-J1472*B1473/I1473)+ABS(0.2-K1472*C1473/I1473)+ABS(0.2-L1472*D1473/I1473)+ABS(0.2-M1472*E1473/I1473)+ABS(0.2-N1472*F1473/I1473)),0)</f>
        <v/>
      </c>
      <c r="Q1473">
        <f>P1473*0.0015</f>
        <v/>
      </c>
      <c r="R1473">
        <f>I1473*(1-Q1473)</f>
        <v/>
      </c>
      <c r="S1473">
        <f>R1473/R1472-1</f>
        <v/>
      </c>
      <c r="T1473">
        <f>MAX(T1472,R1473)</f>
        <v/>
      </c>
      <c r="U1473">
        <f>R1473/T1473-1</f>
        <v/>
      </c>
      <c r="V1473" t="n">
        <v>3.187754775000445</v>
      </c>
      <c r="W1473" s="5">
        <f>R1473-V1473</f>
        <v/>
      </c>
    </row>
    <row r="1474">
      <c r="A1474" s="3" t="n">
        <v>40606</v>
      </c>
      <c r="B1474">
        <f>Prices!B1474</f>
        <v/>
      </c>
      <c r="C1474">
        <f>Prices!C1474</f>
        <v/>
      </c>
      <c r="D1474">
        <f>Prices!D1474</f>
        <v/>
      </c>
      <c r="E1474">
        <f>Prices!E1474</f>
        <v/>
      </c>
      <c r="F1474">
        <f>Prices!F1474</f>
        <v/>
      </c>
      <c r="G1474">
        <f>IF(AND(1472&gt;=16,TEXT(A1474,"yyyy-mm")&lt;&gt;TEXT(A1475,"yyyy-mm")),1,0)</f>
        <v/>
      </c>
      <c r="H1474">
        <f>IF(OR(H1473=1,G1474=1),1,0)</f>
        <v/>
      </c>
      <c r="I1474">
        <f>IF(H1473=0,1,SUMPRODUCT(J1473:N1473,B1474:F1474)+O1473*(1+0.00023125256064071564))</f>
        <v/>
      </c>
      <c r="J1474">
        <f>IF(G1474=1,0.2*R1474/B1474,J1473)</f>
        <v/>
      </c>
      <c r="K1474">
        <f>IF(G1474=1,0.2*R1474/C1474,K1473)</f>
        <v/>
      </c>
      <c r="L1474">
        <f>IF(G1474=1,0.2*R1474/D1474,L1473)</f>
        <v/>
      </c>
      <c r="M1474">
        <f>IF(G1474=1,0.2*R1474/E1474,M1473)</f>
        <v/>
      </c>
      <c r="N1474">
        <f>IF(G1474=1,0.2*R1474/F1474,N1473)</f>
        <v/>
      </c>
      <c r="O1474">
        <f>IF(G1474=1,R1474*(1-1.0),IF(H1473=0,1,O1473*(1+0.00023125256064071564)))</f>
        <v/>
      </c>
      <c r="P1474">
        <f>IF(G1474=1,IF(H1473=0,1,ABS(0.2-J1473*B1474/I1474)+ABS(0.2-K1473*C1474/I1474)+ABS(0.2-L1473*D1474/I1474)+ABS(0.2-M1473*E1474/I1474)+ABS(0.2-N1473*F1474/I1474)),0)</f>
        <v/>
      </c>
      <c r="Q1474">
        <f>P1474*0.0015</f>
        <v/>
      </c>
      <c r="R1474">
        <f>I1474*(1-Q1474)</f>
        <v/>
      </c>
      <c r="S1474">
        <f>R1474/R1473-1</f>
        <v/>
      </c>
      <c r="T1474">
        <f>MAX(T1473,R1474)</f>
        <v/>
      </c>
      <c r="U1474">
        <f>R1474/T1474-1</f>
        <v/>
      </c>
      <c r="V1474" t="n">
        <v>3.190468982384936</v>
      </c>
      <c r="W1474" s="5">
        <f>R1474-V1474</f>
        <v/>
      </c>
    </row>
    <row r="1475">
      <c r="A1475" s="3" t="n">
        <v>40609</v>
      </c>
      <c r="B1475">
        <f>Prices!B1475</f>
        <v/>
      </c>
      <c r="C1475">
        <f>Prices!C1475</f>
        <v/>
      </c>
      <c r="D1475">
        <f>Prices!D1475</f>
        <v/>
      </c>
      <c r="E1475">
        <f>Prices!E1475</f>
        <v/>
      </c>
      <c r="F1475">
        <f>Prices!F1475</f>
        <v/>
      </c>
      <c r="G1475">
        <f>IF(AND(1473&gt;=16,TEXT(A1475,"yyyy-mm")&lt;&gt;TEXT(A1476,"yyyy-mm")),1,0)</f>
        <v/>
      </c>
      <c r="H1475">
        <f>IF(OR(H1474=1,G1475=1),1,0)</f>
        <v/>
      </c>
      <c r="I1475">
        <f>IF(H1474=0,1,SUMPRODUCT(J1474:N1474,B1475:F1475)+O1474*(1+0.00023125256064071564))</f>
        <v/>
      </c>
      <c r="J1475">
        <f>IF(G1475=1,0.2*R1475/B1475,J1474)</f>
        <v/>
      </c>
      <c r="K1475">
        <f>IF(G1475=1,0.2*R1475/C1475,K1474)</f>
        <v/>
      </c>
      <c r="L1475">
        <f>IF(G1475=1,0.2*R1475/D1475,L1474)</f>
        <v/>
      </c>
      <c r="M1475">
        <f>IF(G1475=1,0.2*R1475/E1475,M1474)</f>
        <v/>
      </c>
      <c r="N1475">
        <f>IF(G1475=1,0.2*R1475/F1475,N1474)</f>
        <v/>
      </c>
      <c r="O1475">
        <f>IF(G1475=1,R1475*(1-1.0),IF(H1474=0,1,O1474*(1+0.00023125256064071564)))</f>
        <v/>
      </c>
      <c r="P1475">
        <f>IF(G1475=1,IF(H1474=0,1,ABS(0.2-J1474*B1475/I1475)+ABS(0.2-K1474*C1475/I1475)+ABS(0.2-L1474*D1475/I1475)+ABS(0.2-M1474*E1475/I1475)+ABS(0.2-N1474*F1475/I1475)),0)</f>
        <v/>
      </c>
      <c r="Q1475">
        <f>P1475*0.0015</f>
        <v/>
      </c>
      <c r="R1475">
        <f>I1475*(1-Q1475)</f>
        <v/>
      </c>
      <c r="S1475">
        <f>R1475/R1474-1</f>
        <v/>
      </c>
      <c r="T1475">
        <f>MAX(T1474,R1475)</f>
        <v/>
      </c>
      <c r="U1475">
        <f>R1475/T1475-1</f>
        <v/>
      </c>
      <c r="V1475" t="n">
        <v>3.147827972434042</v>
      </c>
      <c r="W1475" s="5">
        <f>R1475-V1475</f>
        <v/>
      </c>
    </row>
    <row r="1476">
      <c r="A1476" s="3" t="n">
        <v>40610</v>
      </c>
      <c r="B1476">
        <f>Prices!B1476</f>
        <v/>
      </c>
      <c r="C1476">
        <f>Prices!C1476</f>
        <v/>
      </c>
      <c r="D1476">
        <f>Prices!D1476</f>
        <v/>
      </c>
      <c r="E1476">
        <f>Prices!E1476</f>
        <v/>
      </c>
      <c r="F1476">
        <f>Prices!F1476</f>
        <v/>
      </c>
      <c r="G1476">
        <f>IF(AND(1474&gt;=16,TEXT(A1476,"yyyy-mm")&lt;&gt;TEXT(A1477,"yyyy-mm")),1,0)</f>
        <v/>
      </c>
      <c r="H1476">
        <f>IF(OR(H1475=1,G1476=1),1,0)</f>
        <v/>
      </c>
      <c r="I1476">
        <f>IF(H1475=0,1,SUMPRODUCT(J1475:N1475,B1476:F1476)+O1475*(1+0.00023125256064071564))</f>
        <v/>
      </c>
      <c r="J1476">
        <f>IF(G1476=1,0.2*R1476/B1476,J1475)</f>
        <v/>
      </c>
      <c r="K1476">
        <f>IF(G1476=1,0.2*R1476/C1476,K1475)</f>
        <v/>
      </c>
      <c r="L1476">
        <f>IF(G1476=1,0.2*R1476/D1476,L1475)</f>
        <v/>
      </c>
      <c r="M1476">
        <f>IF(G1476=1,0.2*R1476/E1476,M1475)</f>
        <v/>
      </c>
      <c r="N1476">
        <f>IF(G1476=1,0.2*R1476/F1476,N1475)</f>
        <v/>
      </c>
      <c r="O1476">
        <f>IF(G1476=1,R1476*(1-1.0),IF(H1475=0,1,O1475*(1+0.00023125256064071564)))</f>
        <v/>
      </c>
      <c r="P1476">
        <f>IF(G1476=1,IF(H1475=0,1,ABS(0.2-J1475*B1476/I1476)+ABS(0.2-K1475*C1476/I1476)+ABS(0.2-L1475*D1476/I1476)+ABS(0.2-M1475*E1476/I1476)+ABS(0.2-N1475*F1476/I1476)),0)</f>
        <v/>
      </c>
      <c r="Q1476">
        <f>P1476*0.0015</f>
        <v/>
      </c>
      <c r="R1476">
        <f>I1476*(1-Q1476)</f>
        <v/>
      </c>
      <c r="S1476">
        <f>R1476/R1475-1</f>
        <v/>
      </c>
      <c r="T1476">
        <f>MAX(T1475,R1476)</f>
        <v/>
      </c>
      <c r="U1476">
        <f>R1476/T1476-1</f>
        <v/>
      </c>
      <c r="V1476" t="n">
        <v>3.180216666351293</v>
      </c>
      <c r="W1476" s="5">
        <f>R1476-V1476</f>
        <v/>
      </c>
    </row>
    <row r="1477">
      <c r="A1477" s="3" t="n">
        <v>40611</v>
      </c>
      <c r="B1477">
        <f>Prices!B1477</f>
        <v/>
      </c>
      <c r="C1477">
        <f>Prices!C1477</f>
        <v/>
      </c>
      <c r="D1477">
        <f>Prices!D1477</f>
        <v/>
      </c>
      <c r="E1477">
        <f>Prices!E1477</f>
        <v/>
      </c>
      <c r="F1477">
        <f>Prices!F1477</f>
        <v/>
      </c>
      <c r="G1477">
        <f>IF(AND(1475&gt;=16,TEXT(A1477,"yyyy-mm")&lt;&gt;TEXT(A1478,"yyyy-mm")),1,0)</f>
        <v/>
      </c>
      <c r="H1477">
        <f>IF(OR(H1476=1,G1477=1),1,0)</f>
        <v/>
      </c>
      <c r="I1477">
        <f>IF(H1476=0,1,SUMPRODUCT(J1476:N1476,B1477:F1477)+O1476*(1+0.00023125256064071564))</f>
        <v/>
      </c>
      <c r="J1477">
        <f>IF(G1477=1,0.2*R1477/B1477,J1476)</f>
        <v/>
      </c>
      <c r="K1477">
        <f>IF(G1477=1,0.2*R1477/C1477,K1476)</f>
        <v/>
      </c>
      <c r="L1477">
        <f>IF(G1477=1,0.2*R1477/D1477,L1476)</f>
        <v/>
      </c>
      <c r="M1477">
        <f>IF(G1477=1,0.2*R1477/E1477,M1476)</f>
        <v/>
      </c>
      <c r="N1477">
        <f>IF(G1477=1,0.2*R1477/F1477,N1476)</f>
        <v/>
      </c>
      <c r="O1477">
        <f>IF(G1477=1,R1477*(1-1.0),IF(H1476=0,1,O1476*(1+0.00023125256064071564)))</f>
        <v/>
      </c>
      <c r="P1477">
        <f>IF(G1477=1,IF(H1476=0,1,ABS(0.2-J1476*B1477/I1477)+ABS(0.2-K1476*C1477/I1477)+ABS(0.2-L1476*D1477/I1477)+ABS(0.2-M1476*E1477/I1477)+ABS(0.2-N1476*F1477/I1477)),0)</f>
        <v/>
      </c>
      <c r="Q1477">
        <f>P1477*0.0015</f>
        <v/>
      </c>
      <c r="R1477">
        <f>I1477*(1-Q1477)</f>
        <v/>
      </c>
      <c r="S1477">
        <f>R1477/R1476-1</f>
        <v/>
      </c>
      <c r="T1477">
        <f>MAX(T1476,R1477)</f>
        <v/>
      </c>
      <c r="U1477">
        <f>R1477/T1477-1</f>
        <v/>
      </c>
      <c r="V1477" t="n">
        <v>3.200040019326833</v>
      </c>
      <c r="W1477" s="5">
        <f>R1477-V1477</f>
        <v/>
      </c>
    </row>
    <row r="1478">
      <c r="A1478" s="3" t="n">
        <v>40612</v>
      </c>
      <c r="B1478">
        <f>Prices!B1478</f>
        <v/>
      </c>
      <c r="C1478">
        <f>Prices!C1478</f>
        <v/>
      </c>
      <c r="D1478">
        <f>Prices!D1478</f>
        <v/>
      </c>
      <c r="E1478">
        <f>Prices!E1478</f>
        <v/>
      </c>
      <c r="F1478">
        <f>Prices!F1478</f>
        <v/>
      </c>
      <c r="G1478">
        <f>IF(AND(1476&gt;=16,TEXT(A1478,"yyyy-mm")&lt;&gt;TEXT(A1479,"yyyy-mm")),1,0)</f>
        <v/>
      </c>
      <c r="H1478">
        <f>IF(OR(H1477=1,G1478=1),1,0)</f>
        <v/>
      </c>
      <c r="I1478">
        <f>IF(H1477=0,1,SUMPRODUCT(J1477:N1477,B1478:F1478)+O1477*(1+0.00023125256064071564))</f>
        <v/>
      </c>
      <c r="J1478">
        <f>IF(G1478=1,0.2*R1478/B1478,J1477)</f>
        <v/>
      </c>
      <c r="K1478">
        <f>IF(G1478=1,0.2*R1478/C1478,K1477)</f>
        <v/>
      </c>
      <c r="L1478">
        <f>IF(G1478=1,0.2*R1478/D1478,L1477)</f>
        <v/>
      </c>
      <c r="M1478">
        <f>IF(G1478=1,0.2*R1478/E1478,M1477)</f>
        <v/>
      </c>
      <c r="N1478">
        <f>IF(G1478=1,0.2*R1478/F1478,N1477)</f>
        <v/>
      </c>
      <c r="O1478">
        <f>IF(G1478=1,R1478*(1-1.0),IF(H1477=0,1,O1477*(1+0.00023125256064071564)))</f>
        <v/>
      </c>
      <c r="P1478">
        <f>IF(G1478=1,IF(H1477=0,1,ABS(0.2-J1477*B1478/I1478)+ABS(0.2-K1477*C1478/I1478)+ABS(0.2-L1477*D1478/I1478)+ABS(0.2-M1477*E1478/I1478)+ABS(0.2-N1477*F1478/I1478)),0)</f>
        <v/>
      </c>
      <c r="Q1478">
        <f>P1478*0.0015</f>
        <v/>
      </c>
      <c r="R1478">
        <f>I1478*(1-Q1478)</f>
        <v/>
      </c>
      <c r="S1478">
        <f>R1478/R1477-1</f>
        <v/>
      </c>
      <c r="T1478">
        <f>MAX(T1477,R1478)</f>
        <v/>
      </c>
      <c r="U1478">
        <f>R1478/T1478-1</f>
        <v/>
      </c>
      <c r="V1478" t="n">
        <v>3.18803517021757</v>
      </c>
      <c r="W1478" s="5">
        <f>R1478-V1478</f>
        <v/>
      </c>
    </row>
    <row r="1479">
      <c r="A1479" s="3" t="n">
        <v>40613</v>
      </c>
      <c r="B1479">
        <f>Prices!B1479</f>
        <v/>
      </c>
      <c r="C1479">
        <f>Prices!C1479</f>
        <v/>
      </c>
      <c r="D1479">
        <f>Prices!D1479</f>
        <v/>
      </c>
      <c r="E1479">
        <f>Prices!E1479</f>
        <v/>
      </c>
      <c r="F1479">
        <f>Prices!F1479</f>
        <v/>
      </c>
      <c r="G1479">
        <f>IF(AND(1477&gt;=16,TEXT(A1479,"yyyy-mm")&lt;&gt;TEXT(A1480,"yyyy-mm")),1,0)</f>
        <v/>
      </c>
      <c r="H1479">
        <f>IF(OR(H1478=1,G1479=1),1,0)</f>
        <v/>
      </c>
      <c r="I1479">
        <f>IF(H1478=0,1,SUMPRODUCT(J1478:N1478,B1479:F1479)+O1478*(1+0.00023125256064071564))</f>
        <v/>
      </c>
      <c r="J1479">
        <f>IF(G1479=1,0.2*R1479/B1479,J1478)</f>
        <v/>
      </c>
      <c r="K1479">
        <f>IF(G1479=1,0.2*R1479/C1479,K1478)</f>
        <v/>
      </c>
      <c r="L1479">
        <f>IF(G1479=1,0.2*R1479/D1479,L1478)</f>
        <v/>
      </c>
      <c r="M1479">
        <f>IF(G1479=1,0.2*R1479/E1479,M1478)</f>
        <v/>
      </c>
      <c r="N1479">
        <f>IF(G1479=1,0.2*R1479/F1479,N1478)</f>
        <v/>
      </c>
      <c r="O1479">
        <f>IF(G1479=1,R1479*(1-1.0),IF(H1478=0,1,O1478*(1+0.00023125256064071564)))</f>
        <v/>
      </c>
      <c r="P1479">
        <f>IF(G1479=1,IF(H1478=0,1,ABS(0.2-J1478*B1479/I1479)+ABS(0.2-K1478*C1479/I1479)+ABS(0.2-L1478*D1479/I1479)+ABS(0.2-M1478*E1479/I1479)+ABS(0.2-N1478*F1479/I1479)),0)</f>
        <v/>
      </c>
      <c r="Q1479">
        <f>P1479*0.0015</f>
        <v/>
      </c>
      <c r="R1479">
        <f>I1479*(1-Q1479)</f>
        <v/>
      </c>
      <c r="S1479">
        <f>R1479/R1478-1</f>
        <v/>
      </c>
      <c r="T1479">
        <f>MAX(T1478,R1479)</f>
        <v/>
      </c>
      <c r="U1479">
        <f>R1479/T1479-1</f>
        <v/>
      </c>
      <c r="V1479" t="n">
        <v>3.163302902369292</v>
      </c>
      <c r="W1479" s="5">
        <f>R1479-V1479</f>
        <v/>
      </c>
    </row>
    <row r="1480">
      <c r="A1480" s="3" t="n">
        <v>40616</v>
      </c>
      <c r="B1480">
        <f>Prices!B1480</f>
        <v/>
      </c>
      <c r="C1480">
        <f>Prices!C1480</f>
        <v/>
      </c>
      <c r="D1480">
        <f>Prices!D1480</f>
        <v/>
      </c>
      <c r="E1480">
        <f>Prices!E1480</f>
        <v/>
      </c>
      <c r="F1480">
        <f>Prices!F1480</f>
        <v/>
      </c>
      <c r="G1480">
        <f>IF(AND(1478&gt;=16,TEXT(A1480,"yyyy-mm")&lt;&gt;TEXT(A1481,"yyyy-mm")),1,0)</f>
        <v/>
      </c>
      <c r="H1480">
        <f>IF(OR(H1479=1,G1480=1),1,0)</f>
        <v/>
      </c>
      <c r="I1480">
        <f>IF(H1479=0,1,SUMPRODUCT(J1479:N1479,B1480:F1480)+O1479*(1+0.00023125256064071564))</f>
        <v/>
      </c>
      <c r="J1480">
        <f>IF(G1480=1,0.2*R1480/B1480,J1479)</f>
        <v/>
      </c>
      <c r="K1480">
        <f>IF(G1480=1,0.2*R1480/C1480,K1479)</f>
        <v/>
      </c>
      <c r="L1480">
        <f>IF(G1480=1,0.2*R1480/D1480,L1479)</f>
        <v/>
      </c>
      <c r="M1480">
        <f>IF(G1480=1,0.2*R1480/E1480,M1479)</f>
        <v/>
      </c>
      <c r="N1480">
        <f>IF(G1480=1,0.2*R1480/F1480,N1479)</f>
        <v/>
      </c>
      <c r="O1480">
        <f>IF(G1480=1,R1480*(1-1.0),IF(H1479=0,1,O1479*(1+0.00023125256064071564)))</f>
        <v/>
      </c>
      <c r="P1480">
        <f>IF(G1480=1,IF(H1479=0,1,ABS(0.2-J1479*B1480/I1480)+ABS(0.2-K1479*C1480/I1480)+ABS(0.2-L1479*D1480/I1480)+ABS(0.2-M1479*E1480/I1480)+ABS(0.2-N1479*F1480/I1480)),0)</f>
        <v/>
      </c>
      <c r="Q1480">
        <f>P1480*0.0015</f>
        <v/>
      </c>
      <c r="R1480">
        <f>I1480*(1-Q1480)</f>
        <v/>
      </c>
      <c r="S1480">
        <f>R1480/R1479-1</f>
        <v/>
      </c>
      <c r="T1480">
        <f>MAX(T1479,R1480)</f>
        <v/>
      </c>
      <c r="U1480">
        <f>R1480/T1480-1</f>
        <v/>
      </c>
      <c r="V1480" t="n">
        <v>3.192047253538052</v>
      </c>
      <c r="W1480" s="5">
        <f>R1480-V1480</f>
        <v/>
      </c>
    </row>
    <row r="1481">
      <c r="A1481" s="3" t="n">
        <v>40617</v>
      </c>
      <c r="B1481">
        <f>Prices!B1481</f>
        <v/>
      </c>
      <c r="C1481">
        <f>Prices!C1481</f>
        <v/>
      </c>
      <c r="D1481">
        <f>Prices!D1481</f>
        <v/>
      </c>
      <c r="E1481">
        <f>Prices!E1481</f>
        <v/>
      </c>
      <c r="F1481">
        <f>Prices!F1481</f>
        <v/>
      </c>
      <c r="G1481">
        <f>IF(AND(1479&gt;=16,TEXT(A1481,"yyyy-mm")&lt;&gt;TEXT(A1482,"yyyy-mm")),1,0)</f>
        <v/>
      </c>
      <c r="H1481">
        <f>IF(OR(H1480=1,G1481=1),1,0)</f>
        <v/>
      </c>
      <c r="I1481">
        <f>IF(H1480=0,1,SUMPRODUCT(J1480:N1480,B1481:F1481)+O1480*(1+0.00023125256064071564))</f>
        <v/>
      </c>
      <c r="J1481">
        <f>IF(G1481=1,0.2*R1481/B1481,J1480)</f>
        <v/>
      </c>
      <c r="K1481">
        <f>IF(G1481=1,0.2*R1481/C1481,K1480)</f>
        <v/>
      </c>
      <c r="L1481">
        <f>IF(G1481=1,0.2*R1481/D1481,L1480)</f>
        <v/>
      </c>
      <c r="M1481">
        <f>IF(G1481=1,0.2*R1481/E1481,M1480)</f>
        <v/>
      </c>
      <c r="N1481">
        <f>IF(G1481=1,0.2*R1481/F1481,N1480)</f>
        <v/>
      </c>
      <c r="O1481">
        <f>IF(G1481=1,R1481*(1-1.0),IF(H1480=0,1,O1480*(1+0.00023125256064071564)))</f>
        <v/>
      </c>
      <c r="P1481">
        <f>IF(G1481=1,IF(H1480=0,1,ABS(0.2-J1480*B1481/I1481)+ABS(0.2-K1480*C1481/I1481)+ABS(0.2-L1480*D1481/I1481)+ABS(0.2-M1480*E1481/I1481)+ABS(0.2-N1480*F1481/I1481)),0)</f>
        <v/>
      </c>
      <c r="Q1481">
        <f>P1481*0.0015</f>
        <v/>
      </c>
      <c r="R1481">
        <f>I1481*(1-Q1481)</f>
        <v/>
      </c>
      <c r="S1481">
        <f>R1481/R1480-1</f>
        <v/>
      </c>
      <c r="T1481">
        <f>MAX(T1480,R1481)</f>
        <v/>
      </c>
      <c r="U1481">
        <f>R1481/T1481-1</f>
        <v/>
      </c>
      <c r="V1481" t="n">
        <v>3.145648703793573</v>
      </c>
      <c r="W1481" s="5">
        <f>R1481-V1481</f>
        <v/>
      </c>
    </row>
    <row r="1482">
      <c r="A1482" s="3" t="n">
        <v>40618</v>
      </c>
      <c r="B1482">
        <f>Prices!B1482</f>
        <v/>
      </c>
      <c r="C1482">
        <f>Prices!C1482</f>
        <v/>
      </c>
      <c r="D1482">
        <f>Prices!D1482</f>
        <v/>
      </c>
      <c r="E1482">
        <f>Prices!E1482</f>
        <v/>
      </c>
      <c r="F1482">
        <f>Prices!F1482</f>
        <v/>
      </c>
      <c r="G1482">
        <f>IF(AND(1480&gt;=16,TEXT(A1482,"yyyy-mm")&lt;&gt;TEXT(A1483,"yyyy-mm")),1,0)</f>
        <v/>
      </c>
      <c r="H1482">
        <f>IF(OR(H1481=1,G1482=1),1,0)</f>
        <v/>
      </c>
      <c r="I1482">
        <f>IF(H1481=0,1,SUMPRODUCT(J1481:N1481,B1482:F1482)+O1481*(1+0.00023125256064071564))</f>
        <v/>
      </c>
      <c r="J1482">
        <f>IF(G1482=1,0.2*R1482/B1482,J1481)</f>
        <v/>
      </c>
      <c r="K1482">
        <f>IF(G1482=1,0.2*R1482/C1482,K1481)</f>
        <v/>
      </c>
      <c r="L1482">
        <f>IF(G1482=1,0.2*R1482/D1482,L1481)</f>
        <v/>
      </c>
      <c r="M1482">
        <f>IF(G1482=1,0.2*R1482/E1482,M1481)</f>
        <v/>
      </c>
      <c r="N1482">
        <f>IF(G1482=1,0.2*R1482/F1482,N1481)</f>
        <v/>
      </c>
      <c r="O1482">
        <f>IF(G1482=1,R1482*(1-1.0),IF(H1481=0,1,O1481*(1+0.00023125256064071564)))</f>
        <v/>
      </c>
      <c r="P1482">
        <f>IF(G1482=1,IF(H1481=0,1,ABS(0.2-J1481*B1482/I1482)+ABS(0.2-K1481*C1482/I1482)+ABS(0.2-L1481*D1482/I1482)+ABS(0.2-M1481*E1482/I1482)+ABS(0.2-N1481*F1482/I1482)),0)</f>
        <v/>
      </c>
      <c r="Q1482">
        <f>P1482*0.0015</f>
        <v/>
      </c>
      <c r="R1482">
        <f>I1482*(1-Q1482)</f>
        <v/>
      </c>
      <c r="S1482">
        <f>R1482/R1481-1</f>
        <v/>
      </c>
      <c r="T1482">
        <f>MAX(T1481,R1482)</f>
        <v/>
      </c>
      <c r="U1482">
        <f>R1482/T1482-1</f>
        <v/>
      </c>
      <c r="V1482" t="n">
        <v>3.185238034178016</v>
      </c>
      <c r="W1482" s="5">
        <f>R1482-V1482</f>
        <v/>
      </c>
    </row>
    <row r="1483">
      <c r="A1483" s="3" t="n">
        <v>40619</v>
      </c>
      <c r="B1483">
        <f>Prices!B1483</f>
        <v/>
      </c>
      <c r="C1483">
        <f>Prices!C1483</f>
        <v/>
      </c>
      <c r="D1483">
        <f>Prices!D1483</f>
        <v/>
      </c>
      <c r="E1483">
        <f>Prices!E1483</f>
        <v/>
      </c>
      <c r="F1483">
        <f>Prices!F1483</f>
        <v/>
      </c>
      <c r="G1483">
        <f>IF(AND(1481&gt;=16,TEXT(A1483,"yyyy-mm")&lt;&gt;TEXT(A1484,"yyyy-mm")),1,0)</f>
        <v/>
      </c>
      <c r="H1483">
        <f>IF(OR(H1482=1,G1483=1),1,0)</f>
        <v/>
      </c>
      <c r="I1483">
        <f>IF(H1482=0,1,SUMPRODUCT(J1482:N1482,B1483:F1483)+O1482*(1+0.00023125256064071564))</f>
        <v/>
      </c>
      <c r="J1483">
        <f>IF(G1483=1,0.2*R1483/B1483,J1482)</f>
        <v/>
      </c>
      <c r="K1483">
        <f>IF(G1483=1,0.2*R1483/C1483,K1482)</f>
        <v/>
      </c>
      <c r="L1483">
        <f>IF(G1483=1,0.2*R1483/D1483,L1482)</f>
        <v/>
      </c>
      <c r="M1483">
        <f>IF(G1483=1,0.2*R1483/E1483,M1482)</f>
        <v/>
      </c>
      <c r="N1483">
        <f>IF(G1483=1,0.2*R1483/F1483,N1482)</f>
        <v/>
      </c>
      <c r="O1483">
        <f>IF(G1483=1,R1483*(1-1.0),IF(H1482=0,1,O1482*(1+0.00023125256064071564)))</f>
        <v/>
      </c>
      <c r="P1483">
        <f>IF(G1483=1,IF(H1482=0,1,ABS(0.2-J1482*B1483/I1483)+ABS(0.2-K1482*C1483/I1483)+ABS(0.2-L1482*D1483/I1483)+ABS(0.2-M1482*E1483/I1483)+ABS(0.2-N1482*F1483/I1483)),0)</f>
        <v/>
      </c>
      <c r="Q1483">
        <f>P1483*0.0015</f>
        <v/>
      </c>
      <c r="R1483">
        <f>I1483*(1-Q1483)</f>
        <v/>
      </c>
      <c r="S1483">
        <f>R1483/R1482-1</f>
        <v/>
      </c>
      <c r="T1483">
        <f>MAX(T1482,R1483)</f>
        <v/>
      </c>
      <c r="U1483">
        <f>R1483/T1483-1</f>
        <v/>
      </c>
      <c r="V1483" t="n">
        <v>3.173256556500333</v>
      </c>
      <c r="W1483" s="5">
        <f>R1483-V1483</f>
        <v/>
      </c>
    </row>
    <row r="1484">
      <c r="A1484" s="3" t="n">
        <v>40620</v>
      </c>
      <c r="B1484">
        <f>Prices!B1484</f>
        <v/>
      </c>
      <c r="C1484">
        <f>Prices!C1484</f>
        <v/>
      </c>
      <c r="D1484">
        <f>Prices!D1484</f>
        <v/>
      </c>
      <c r="E1484">
        <f>Prices!E1484</f>
        <v/>
      </c>
      <c r="F1484">
        <f>Prices!F1484</f>
        <v/>
      </c>
      <c r="G1484">
        <f>IF(AND(1482&gt;=16,TEXT(A1484,"yyyy-mm")&lt;&gt;TEXT(A1485,"yyyy-mm")),1,0)</f>
        <v/>
      </c>
      <c r="H1484">
        <f>IF(OR(H1483=1,G1484=1),1,0)</f>
        <v/>
      </c>
      <c r="I1484">
        <f>IF(H1483=0,1,SUMPRODUCT(J1483:N1483,B1484:F1484)+O1483*(1+0.00023125256064071564))</f>
        <v/>
      </c>
      <c r="J1484">
        <f>IF(G1484=1,0.2*R1484/B1484,J1483)</f>
        <v/>
      </c>
      <c r="K1484">
        <f>IF(G1484=1,0.2*R1484/C1484,K1483)</f>
        <v/>
      </c>
      <c r="L1484">
        <f>IF(G1484=1,0.2*R1484/D1484,L1483)</f>
        <v/>
      </c>
      <c r="M1484">
        <f>IF(G1484=1,0.2*R1484/E1484,M1483)</f>
        <v/>
      </c>
      <c r="N1484">
        <f>IF(G1484=1,0.2*R1484/F1484,N1483)</f>
        <v/>
      </c>
      <c r="O1484">
        <f>IF(G1484=1,R1484*(1-1.0),IF(H1483=0,1,O1483*(1+0.00023125256064071564)))</f>
        <v/>
      </c>
      <c r="P1484">
        <f>IF(G1484=1,IF(H1483=0,1,ABS(0.2-J1483*B1484/I1484)+ABS(0.2-K1483*C1484/I1484)+ABS(0.2-L1483*D1484/I1484)+ABS(0.2-M1483*E1484/I1484)+ABS(0.2-N1483*F1484/I1484)),0)</f>
        <v/>
      </c>
      <c r="Q1484">
        <f>P1484*0.0015</f>
        <v/>
      </c>
      <c r="R1484">
        <f>I1484*(1-Q1484)</f>
        <v/>
      </c>
      <c r="S1484">
        <f>R1484/R1483-1</f>
        <v/>
      </c>
      <c r="T1484">
        <f>MAX(T1483,R1484)</f>
        <v/>
      </c>
      <c r="U1484">
        <f>R1484/T1484-1</f>
        <v/>
      </c>
      <c r="V1484" t="n">
        <v>3.142697720038488</v>
      </c>
      <c r="W1484" s="5">
        <f>R1484-V1484</f>
        <v/>
      </c>
    </row>
    <row r="1485">
      <c r="A1485" s="3" t="n">
        <v>40623</v>
      </c>
      <c r="B1485">
        <f>Prices!B1485</f>
        <v/>
      </c>
      <c r="C1485">
        <f>Prices!C1485</f>
        <v/>
      </c>
      <c r="D1485">
        <f>Prices!D1485</f>
        <v/>
      </c>
      <c r="E1485">
        <f>Prices!E1485</f>
        <v/>
      </c>
      <c r="F1485">
        <f>Prices!F1485</f>
        <v/>
      </c>
      <c r="G1485">
        <f>IF(AND(1483&gt;=16,TEXT(A1485,"yyyy-mm")&lt;&gt;TEXT(A1486,"yyyy-mm")),1,0)</f>
        <v/>
      </c>
      <c r="H1485">
        <f>IF(OR(H1484=1,G1485=1),1,0)</f>
        <v/>
      </c>
      <c r="I1485">
        <f>IF(H1484=0,1,SUMPRODUCT(J1484:N1484,B1485:F1485)+O1484*(1+0.00023125256064071564))</f>
        <v/>
      </c>
      <c r="J1485">
        <f>IF(G1485=1,0.2*R1485/B1485,J1484)</f>
        <v/>
      </c>
      <c r="K1485">
        <f>IF(G1485=1,0.2*R1485/C1485,K1484)</f>
        <v/>
      </c>
      <c r="L1485">
        <f>IF(G1485=1,0.2*R1485/D1485,L1484)</f>
        <v/>
      </c>
      <c r="M1485">
        <f>IF(G1485=1,0.2*R1485/E1485,M1484)</f>
        <v/>
      </c>
      <c r="N1485">
        <f>IF(G1485=1,0.2*R1485/F1485,N1484)</f>
        <v/>
      </c>
      <c r="O1485">
        <f>IF(G1485=1,R1485*(1-1.0),IF(H1484=0,1,O1484*(1+0.00023125256064071564)))</f>
        <v/>
      </c>
      <c r="P1485">
        <f>IF(G1485=1,IF(H1484=0,1,ABS(0.2-J1484*B1485/I1485)+ABS(0.2-K1484*C1485/I1485)+ABS(0.2-L1484*D1485/I1485)+ABS(0.2-M1484*E1485/I1485)+ABS(0.2-N1484*F1485/I1485)),0)</f>
        <v/>
      </c>
      <c r="Q1485">
        <f>P1485*0.0015</f>
        <v/>
      </c>
      <c r="R1485">
        <f>I1485*(1-Q1485)</f>
        <v/>
      </c>
      <c r="S1485">
        <f>R1485/R1484-1</f>
        <v/>
      </c>
      <c r="T1485">
        <f>MAX(T1484,R1485)</f>
        <v/>
      </c>
      <c r="U1485">
        <f>R1485/T1485-1</f>
        <v/>
      </c>
      <c r="V1485" t="n">
        <v>3.135354501331435</v>
      </c>
      <c r="W1485" s="5">
        <f>R1485-V1485</f>
        <v/>
      </c>
    </row>
    <row r="1486">
      <c r="A1486" s="3" t="n">
        <v>40624</v>
      </c>
      <c r="B1486">
        <f>Prices!B1486</f>
        <v/>
      </c>
      <c r="C1486">
        <f>Prices!C1486</f>
        <v/>
      </c>
      <c r="D1486">
        <f>Prices!D1486</f>
        <v/>
      </c>
      <c r="E1486">
        <f>Prices!E1486</f>
        <v/>
      </c>
      <c r="F1486">
        <f>Prices!F1486</f>
        <v/>
      </c>
      <c r="G1486">
        <f>IF(AND(1484&gt;=16,TEXT(A1486,"yyyy-mm")&lt;&gt;TEXT(A1487,"yyyy-mm")),1,0)</f>
        <v/>
      </c>
      <c r="H1486">
        <f>IF(OR(H1485=1,G1486=1),1,0)</f>
        <v/>
      </c>
      <c r="I1486">
        <f>IF(H1485=0,1,SUMPRODUCT(J1485:N1485,B1486:F1486)+O1485*(1+0.00023125256064071564))</f>
        <v/>
      </c>
      <c r="J1486">
        <f>IF(G1486=1,0.2*R1486/B1486,J1485)</f>
        <v/>
      </c>
      <c r="K1486">
        <f>IF(G1486=1,0.2*R1486/C1486,K1485)</f>
        <v/>
      </c>
      <c r="L1486">
        <f>IF(G1486=1,0.2*R1486/D1486,L1485)</f>
        <v/>
      </c>
      <c r="M1486">
        <f>IF(G1486=1,0.2*R1486/E1486,M1485)</f>
        <v/>
      </c>
      <c r="N1486">
        <f>IF(G1486=1,0.2*R1486/F1486,N1485)</f>
        <v/>
      </c>
      <c r="O1486">
        <f>IF(G1486=1,R1486*(1-1.0),IF(H1485=0,1,O1485*(1+0.00023125256064071564)))</f>
        <v/>
      </c>
      <c r="P1486">
        <f>IF(G1486=1,IF(H1485=0,1,ABS(0.2-J1485*B1486/I1486)+ABS(0.2-K1485*C1486/I1486)+ABS(0.2-L1485*D1486/I1486)+ABS(0.2-M1485*E1486/I1486)+ABS(0.2-N1485*F1486/I1486)),0)</f>
        <v/>
      </c>
      <c r="Q1486">
        <f>P1486*0.0015</f>
        <v/>
      </c>
      <c r="R1486">
        <f>I1486*(1-Q1486)</f>
        <v/>
      </c>
      <c r="S1486">
        <f>R1486/R1485-1</f>
        <v/>
      </c>
      <c r="T1486">
        <f>MAX(T1485,R1486)</f>
        <v/>
      </c>
      <c r="U1486">
        <f>R1486/T1486-1</f>
        <v/>
      </c>
      <c r="V1486" t="n">
        <v>3.16255710463366</v>
      </c>
      <c r="W1486" s="5">
        <f>R1486-V1486</f>
        <v/>
      </c>
    </row>
    <row r="1487">
      <c r="A1487" s="3" t="n">
        <v>40625</v>
      </c>
      <c r="B1487">
        <f>Prices!B1487</f>
        <v/>
      </c>
      <c r="C1487">
        <f>Prices!C1487</f>
        <v/>
      </c>
      <c r="D1487">
        <f>Prices!D1487</f>
        <v/>
      </c>
      <c r="E1487">
        <f>Prices!E1487</f>
        <v/>
      </c>
      <c r="F1487">
        <f>Prices!F1487</f>
        <v/>
      </c>
      <c r="G1487">
        <f>IF(AND(1485&gt;=16,TEXT(A1487,"yyyy-mm")&lt;&gt;TEXT(A1488,"yyyy-mm")),1,0)</f>
        <v/>
      </c>
      <c r="H1487">
        <f>IF(OR(H1486=1,G1487=1),1,0)</f>
        <v/>
      </c>
      <c r="I1487">
        <f>IF(H1486=0,1,SUMPRODUCT(J1486:N1486,B1487:F1487)+O1486*(1+0.00023125256064071564))</f>
        <v/>
      </c>
      <c r="J1487">
        <f>IF(G1487=1,0.2*R1487/B1487,J1486)</f>
        <v/>
      </c>
      <c r="K1487">
        <f>IF(G1487=1,0.2*R1487/C1487,K1486)</f>
        <v/>
      </c>
      <c r="L1487">
        <f>IF(G1487=1,0.2*R1487/D1487,L1486)</f>
        <v/>
      </c>
      <c r="M1487">
        <f>IF(G1487=1,0.2*R1487/E1487,M1486)</f>
        <v/>
      </c>
      <c r="N1487">
        <f>IF(G1487=1,0.2*R1487/F1487,N1486)</f>
        <v/>
      </c>
      <c r="O1487">
        <f>IF(G1487=1,R1487*(1-1.0),IF(H1486=0,1,O1486*(1+0.00023125256064071564)))</f>
        <v/>
      </c>
      <c r="P1487">
        <f>IF(G1487=1,IF(H1486=0,1,ABS(0.2-J1486*B1487/I1487)+ABS(0.2-K1486*C1487/I1487)+ABS(0.2-L1486*D1487/I1487)+ABS(0.2-M1486*E1487/I1487)+ABS(0.2-N1486*F1487/I1487)),0)</f>
        <v/>
      </c>
      <c r="Q1487">
        <f>P1487*0.0015</f>
        <v/>
      </c>
      <c r="R1487">
        <f>I1487*(1-Q1487)</f>
        <v/>
      </c>
      <c r="S1487">
        <f>R1487/R1486-1</f>
        <v/>
      </c>
      <c r="T1487">
        <f>MAX(T1486,R1487)</f>
        <v/>
      </c>
      <c r="U1487">
        <f>R1487/T1487-1</f>
        <v/>
      </c>
      <c r="V1487" t="n">
        <v>3.186251876334824</v>
      </c>
      <c r="W1487" s="5">
        <f>R1487-V1487</f>
        <v/>
      </c>
    </row>
    <row r="1488">
      <c r="A1488" s="3" t="n">
        <v>40626</v>
      </c>
      <c r="B1488">
        <f>Prices!B1488</f>
        <v/>
      </c>
      <c r="C1488">
        <f>Prices!C1488</f>
        <v/>
      </c>
      <c r="D1488">
        <f>Prices!D1488</f>
        <v/>
      </c>
      <c r="E1488">
        <f>Prices!E1488</f>
        <v/>
      </c>
      <c r="F1488">
        <f>Prices!F1488</f>
        <v/>
      </c>
      <c r="G1488">
        <f>IF(AND(1486&gt;=16,TEXT(A1488,"yyyy-mm")&lt;&gt;TEXT(A1489,"yyyy-mm")),1,0)</f>
        <v/>
      </c>
      <c r="H1488">
        <f>IF(OR(H1487=1,G1488=1),1,0)</f>
        <v/>
      </c>
      <c r="I1488">
        <f>IF(H1487=0,1,SUMPRODUCT(J1487:N1487,B1488:F1488)+O1487*(1+0.00023125256064071564))</f>
        <v/>
      </c>
      <c r="J1488">
        <f>IF(G1488=1,0.2*R1488/B1488,J1487)</f>
        <v/>
      </c>
      <c r="K1488">
        <f>IF(G1488=1,0.2*R1488/C1488,K1487)</f>
        <v/>
      </c>
      <c r="L1488">
        <f>IF(G1488=1,0.2*R1488/D1488,L1487)</f>
        <v/>
      </c>
      <c r="M1488">
        <f>IF(G1488=1,0.2*R1488/E1488,M1487)</f>
        <v/>
      </c>
      <c r="N1488">
        <f>IF(G1488=1,0.2*R1488/F1488,N1487)</f>
        <v/>
      </c>
      <c r="O1488">
        <f>IF(G1488=1,R1488*(1-1.0),IF(H1487=0,1,O1487*(1+0.00023125256064071564)))</f>
        <v/>
      </c>
      <c r="P1488">
        <f>IF(G1488=1,IF(H1487=0,1,ABS(0.2-J1487*B1488/I1488)+ABS(0.2-K1487*C1488/I1488)+ABS(0.2-L1487*D1488/I1488)+ABS(0.2-M1487*E1488/I1488)+ABS(0.2-N1487*F1488/I1488)),0)</f>
        <v/>
      </c>
      <c r="Q1488">
        <f>P1488*0.0015</f>
        <v/>
      </c>
      <c r="R1488">
        <f>I1488*(1-Q1488)</f>
        <v/>
      </c>
      <c r="S1488">
        <f>R1488/R1487-1</f>
        <v/>
      </c>
      <c r="T1488">
        <f>MAX(T1487,R1488)</f>
        <v/>
      </c>
      <c r="U1488">
        <f>R1488/T1488-1</f>
        <v/>
      </c>
      <c r="V1488" t="n">
        <v>3.206924372611629</v>
      </c>
      <c r="W1488" s="5">
        <f>R1488-V1488</f>
        <v/>
      </c>
    </row>
    <row r="1489">
      <c r="A1489" s="3" t="n">
        <v>40627</v>
      </c>
      <c r="B1489">
        <f>Prices!B1489</f>
        <v/>
      </c>
      <c r="C1489">
        <f>Prices!C1489</f>
        <v/>
      </c>
      <c r="D1489">
        <f>Prices!D1489</f>
        <v/>
      </c>
      <c r="E1489">
        <f>Prices!E1489</f>
        <v/>
      </c>
      <c r="F1489">
        <f>Prices!F1489</f>
        <v/>
      </c>
      <c r="G1489">
        <f>IF(AND(1487&gt;=16,TEXT(A1489,"yyyy-mm")&lt;&gt;TEXT(A1490,"yyyy-mm")),1,0)</f>
        <v/>
      </c>
      <c r="H1489">
        <f>IF(OR(H1488=1,G1489=1),1,0)</f>
        <v/>
      </c>
      <c r="I1489">
        <f>IF(H1488=0,1,SUMPRODUCT(J1488:N1488,B1489:F1489)+O1488*(1+0.00023125256064071564))</f>
        <v/>
      </c>
      <c r="J1489">
        <f>IF(G1489=1,0.2*R1489/B1489,J1488)</f>
        <v/>
      </c>
      <c r="K1489">
        <f>IF(G1489=1,0.2*R1489/C1489,K1488)</f>
        <v/>
      </c>
      <c r="L1489">
        <f>IF(G1489=1,0.2*R1489/D1489,L1488)</f>
        <v/>
      </c>
      <c r="M1489">
        <f>IF(G1489=1,0.2*R1489/E1489,M1488)</f>
        <v/>
      </c>
      <c r="N1489">
        <f>IF(G1489=1,0.2*R1489/F1489,N1488)</f>
        <v/>
      </c>
      <c r="O1489">
        <f>IF(G1489=1,R1489*(1-1.0),IF(H1488=0,1,O1488*(1+0.00023125256064071564)))</f>
        <v/>
      </c>
      <c r="P1489">
        <f>IF(G1489=1,IF(H1488=0,1,ABS(0.2-J1488*B1489/I1489)+ABS(0.2-K1488*C1489/I1489)+ABS(0.2-L1488*D1489/I1489)+ABS(0.2-M1488*E1489/I1489)+ABS(0.2-N1488*F1489/I1489)),0)</f>
        <v/>
      </c>
      <c r="Q1489">
        <f>P1489*0.0015</f>
        <v/>
      </c>
      <c r="R1489">
        <f>I1489*(1-Q1489)</f>
        <v/>
      </c>
      <c r="S1489">
        <f>R1489/R1488-1</f>
        <v/>
      </c>
      <c r="T1489">
        <f>MAX(T1488,R1489)</f>
        <v/>
      </c>
      <c r="U1489">
        <f>R1489/T1489-1</f>
        <v/>
      </c>
      <c r="V1489" t="n">
        <v>3.252348430515541</v>
      </c>
      <c r="W1489" s="5">
        <f>R1489-V1489</f>
        <v/>
      </c>
    </row>
    <row r="1490">
      <c r="A1490" s="3" t="n">
        <v>40630</v>
      </c>
      <c r="B1490">
        <f>Prices!B1490</f>
        <v/>
      </c>
      <c r="C1490">
        <f>Prices!C1490</f>
        <v/>
      </c>
      <c r="D1490">
        <f>Prices!D1490</f>
        <v/>
      </c>
      <c r="E1490">
        <f>Prices!E1490</f>
        <v/>
      </c>
      <c r="F1490">
        <f>Prices!F1490</f>
        <v/>
      </c>
      <c r="G1490">
        <f>IF(AND(1488&gt;=16,TEXT(A1490,"yyyy-mm")&lt;&gt;TEXT(A1491,"yyyy-mm")),1,0)</f>
        <v/>
      </c>
      <c r="H1490">
        <f>IF(OR(H1489=1,G1490=1),1,0)</f>
        <v/>
      </c>
      <c r="I1490">
        <f>IF(H1489=0,1,SUMPRODUCT(J1489:N1489,B1490:F1490)+O1489*(1+0.00023125256064071564))</f>
        <v/>
      </c>
      <c r="J1490">
        <f>IF(G1490=1,0.2*R1490/B1490,J1489)</f>
        <v/>
      </c>
      <c r="K1490">
        <f>IF(G1490=1,0.2*R1490/C1490,K1489)</f>
        <v/>
      </c>
      <c r="L1490">
        <f>IF(G1490=1,0.2*R1490/D1490,L1489)</f>
        <v/>
      </c>
      <c r="M1490">
        <f>IF(G1490=1,0.2*R1490/E1490,M1489)</f>
        <v/>
      </c>
      <c r="N1490">
        <f>IF(G1490=1,0.2*R1490/F1490,N1489)</f>
        <v/>
      </c>
      <c r="O1490">
        <f>IF(G1490=1,R1490*(1-1.0),IF(H1489=0,1,O1489*(1+0.00023125256064071564)))</f>
        <v/>
      </c>
      <c r="P1490">
        <f>IF(G1490=1,IF(H1489=0,1,ABS(0.2-J1489*B1490/I1490)+ABS(0.2-K1489*C1490/I1490)+ABS(0.2-L1489*D1490/I1490)+ABS(0.2-M1489*E1490/I1490)+ABS(0.2-N1489*F1490/I1490)),0)</f>
        <v/>
      </c>
      <c r="Q1490">
        <f>P1490*0.0015</f>
        <v/>
      </c>
      <c r="R1490">
        <f>I1490*(1-Q1490)</f>
        <v/>
      </c>
      <c r="S1490">
        <f>R1490/R1489-1</f>
        <v/>
      </c>
      <c r="T1490">
        <f>MAX(T1489,R1490)</f>
        <v/>
      </c>
      <c r="U1490">
        <f>R1490/T1490-1</f>
        <v/>
      </c>
      <c r="V1490" t="n">
        <v>3.278220974509213</v>
      </c>
      <c r="W1490" s="5">
        <f>R1490-V1490</f>
        <v/>
      </c>
    </row>
    <row r="1491">
      <c r="A1491" s="3" t="n">
        <v>40631</v>
      </c>
      <c r="B1491">
        <f>Prices!B1491</f>
        <v/>
      </c>
      <c r="C1491">
        <f>Prices!C1491</f>
        <v/>
      </c>
      <c r="D1491">
        <f>Prices!D1491</f>
        <v/>
      </c>
      <c r="E1491">
        <f>Prices!E1491</f>
        <v/>
      </c>
      <c r="F1491">
        <f>Prices!F1491</f>
        <v/>
      </c>
      <c r="G1491">
        <f>IF(AND(1489&gt;=16,TEXT(A1491,"yyyy-mm")&lt;&gt;TEXT(A1492,"yyyy-mm")),1,0)</f>
        <v/>
      </c>
      <c r="H1491">
        <f>IF(OR(H1490=1,G1491=1),1,0)</f>
        <v/>
      </c>
      <c r="I1491">
        <f>IF(H1490=0,1,SUMPRODUCT(J1490:N1490,B1491:F1491)+O1490*(1+0.00023125256064071564))</f>
        <v/>
      </c>
      <c r="J1491">
        <f>IF(G1491=1,0.2*R1491/B1491,J1490)</f>
        <v/>
      </c>
      <c r="K1491">
        <f>IF(G1491=1,0.2*R1491/C1491,K1490)</f>
        <v/>
      </c>
      <c r="L1491">
        <f>IF(G1491=1,0.2*R1491/D1491,L1490)</f>
        <v/>
      </c>
      <c r="M1491">
        <f>IF(G1491=1,0.2*R1491/E1491,M1490)</f>
        <v/>
      </c>
      <c r="N1491">
        <f>IF(G1491=1,0.2*R1491/F1491,N1490)</f>
        <v/>
      </c>
      <c r="O1491">
        <f>IF(G1491=1,R1491*(1-1.0),IF(H1490=0,1,O1490*(1+0.00023125256064071564)))</f>
        <v/>
      </c>
      <c r="P1491">
        <f>IF(G1491=1,IF(H1490=0,1,ABS(0.2-J1490*B1491/I1491)+ABS(0.2-K1490*C1491/I1491)+ABS(0.2-L1490*D1491/I1491)+ABS(0.2-M1490*E1491/I1491)+ABS(0.2-N1490*F1491/I1491)),0)</f>
        <v/>
      </c>
      <c r="Q1491">
        <f>P1491*0.0015</f>
        <v/>
      </c>
      <c r="R1491">
        <f>I1491*(1-Q1491)</f>
        <v/>
      </c>
      <c r="S1491">
        <f>R1491/R1490-1</f>
        <v/>
      </c>
      <c r="T1491">
        <f>MAX(T1490,R1491)</f>
        <v/>
      </c>
      <c r="U1491">
        <f>R1491/T1491-1</f>
        <v/>
      </c>
      <c r="V1491" t="n">
        <v>3.29750091119601</v>
      </c>
      <c r="W1491" s="5">
        <f>R1491-V1491</f>
        <v/>
      </c>
    </row>
    <row r="1492">
      <c r="A1492" s="3" t="n">
        <v>40632</v>
      </c>
      <c r="B1492">
        <f>Prices!B1492</f>
        <v/>
      </c>
      <c r="C1492">
        <f>Prices!C1492</f>
        <v/>
      </c>
      <c r="D1492">
        <f>Prices!D1492</f>
        <v/>
      </c>
      <c r="E1492">
        <f>Prices!E1492</f>
        <v/>
      </c>
      <c r="F1492">
        <f>Prices!F1492</f>
        <v/>
      </c>
      <c r="G1492">
        <f>IF(AND(1490&gt;=16,TEXT(A1492,"yyyy-mm")&lt;&gt;TEXT(A1493,"yyyy-mm")),1,0)</f>
        <v/>
      </c>
      <c r="H1492">
        <f>IF(OR(H1491=1,G1492=1),1,0)</f>
        <v/>
      </c>
      <c r="I1492">
        <f>IF(H1491=0,1,SUMPRODUCT(J1491:N1491,B1492:F1492)+O1491*(1+0.00023125256064071564))</f>
        <v/>
      </c>
      <c r="J1492">
        <f>IF(G1492=1,0.2*R1492/B1492,J1491)</f>
        <v/>
      </c>
      <c r="K1492">
        <f>IF(G1492=1,0.2*R1492/C1492,K1491)</f>
        <v/>
      </c>
      <c r="L1492">
        <f>IF(G1492=1,0.2*R1492/D1492,L1491)</f>
        <v/>
      </c>
      <c r="M1492">
        <f>IF(G1492=1,0.2*R1492/E1492,M1491)</f>
        <v/>
      </c>
      <c r="N1492">
        <f>IF(G1492=1,0.2*R1492/F1492,N1491)</f>
        <v/>
      </c>
      <c r="O1492">
        <f>IF(G1492=1,R1492*(1-1.0),IF(H1491=0,1,O1491*(1+0.00023125256064071564)))</f>
        <v/>
      </c>
      <c r="P1492">
        <f>IF(G1492=1,IF(H1491=0,1,ABS(0.2-J1491*B1492/I1492)+ABS(0.2-K1491*C1492/I1492)+ABS(0.2-L1491*D1492/I1492)+ABS(0.2-M1491*E1492/I1492)+ABS(0.2-N1491*F1492/I1492)),0)</f>
        <v/>
      </c>
      <c r="Q1492">
        <f>P1492*0.0015</f>
        <v/>
      </c>
      <c r="R1492">
        <f>I1492*(1-Q1492)</f>
        <v/>
      </c>
      <c r="S1492">
        <f>R1492/R1491-1</f>
        <v/>
      </c>
      <c r="T1492">
        <f>MAX(T1491,R1492)</f>
        <v/>
      </c>
      <c r="U1492">
        <f>R1492/T1492-1</f>
        <v/>
      </c>
      <c r="V1492" t="n">
        <v>3.343147143785405</v>
      </c>
      <c r="W1492" s="5">
        <f>R1492-V1492</f>
        <v/>
      </c>
    </row>
    <row r="1493">
      <c r="A1493" s="3" t="n">
        <v>40633</v>
      </c>
      <c r="B1493">
        <f>Prices!B1493</f>
        <v/>
      </c>
      <c r="C1493">
        <f>Prices!C1493</f>
        <v/>
      </c>
      <c r="D1493">
        <f>Prices!D1493</f>
        <v/>
      </c>
      <c r="E1493">
        <f>Prices!E1493</f>
        <v/>
      </c>
      <c r="F1493">
        <f>Prices!F1493</f>
        <v/>
      </c>
      <c r="G1493">
        <f>IF(AND(1491&gt;=16,TEXT(A1493,"yyyy-mm")&lt;&gt;TEXT(A1494,"yyyy-mm")),1,0)</f>
        <v/>
      </c>
      <c r="H1493">
        <f>IF(OR(H1492=1,G1493=1),1,0)</f>
        <v/>
      </c>
      <c r="I1493">
        <f>IF(H1492=0,1,SUMPRODUCT(J1492:N1492,B1493:F1493)+O1492*(1+0.00023125256064071564))</f>
        <v/>
      </c>
      <c r="J1493">
        <f>IF(G1493=1,0.2*R1493/B1493,J1492)</f>
        <v/>
      </c>
      <c r="K1493">
        <f>IF(G1493=1,0.2*R1493/C1493,K1492)</f>
        <v/>
      </c>
      <c r="L1493">
        <f>IF(G1493=1,0.2*R1493/D1493,L1492)</f>
        <v/>
      </c>
      <c r="M1493">
        <f>IF(G1493=1,0.2*R1493/E1493,M1492)</f>
        <v/>
      </c>
      <c r="N1493">
        <f>IF(G1493=1,0.2*R1493/F1493,N1492)</f>
        <v/>
      </c>
      <c r="O1493">
        <f>IF(G1493=1,R1493*(1-1.0),IF(H1492=0,1,O1492*(1+0.00023125256064071564)))</f>
        <v/>
      </c>
      <c r="P1493">
        <f>IF(G1493=1,IF(H1492=0,1,ABS(0.2-J1492*B1493/I1493)+ABS(0.2-K1492*C1493/I1493)+ABS(0.2-L1492*D1493/I1493)+ABS(0.2-M1492*E1493/I1493)+ABS(0.2-N1492*F1493/I1493)),0)</f>
        <v/>
      </c>
      <c r="Q1493">
        <f>P1493*0.0015</f>
        <v/>
      </c>
      <c r="R1493">
        <f>I1493*(1-Q1493)</f>
        <v/>
      </c>
      <c r="S1493">
        <f>R1493/R1492-1</f>
        <v/>
      </c>
      <c r="T1493">
        <f>MAX(T1492,R1493)</f>
        <v/>
      </c>
      <c r="U1493">
        <f>R1493/T1493-1</f>
        <v/>
      </c>
      <c r="V1493" t="n">
        <v>3.353391386539323</v>
      </c>
      <c r="W1493" s="5">
        <f>R1493-V1493</f>
        <v/>
      </c>
    </row>
    <row r="1494">
      <c r="A1494" s="3" t="n">
        <v>40634</v>
      </c>
      <c r="B1494">
        <f>Prices!B1494</f>
        <v/>
      </c>
      <c r="C1494">
        <f>Prices!C1494</f>
        <v/>
      </c>
      <c r="D1494">
        <f>Prices!D1494</f>
        <v/>
      </c>
      <c r="E1494">
        <f>Prices!E1494</f>
        <v/>
      </c>
      <c r="F1494">
        <f>Prices!F1494</f>
        <v/>
      </c>
      <c r="G1494">
        <f>IF(AND(1492&gt;=16,TEXT(A1494,"yyyy-mm")&lt;&gt;TEXT(A1495,"yyyy-mm")),1,0)</f>
        <v/>
      </c>
      <c r="H1494">
        <f>IF(OR(H1493=1,G1494=1),1,0)</f>
        <v/>
      </c>
      <c r="I1494">
        <f>IF(H1493=0,1,SUMPRODUCT(J1493:N1493,B1494:F1494)+O1493*(1+0.00023125256064071564))</f>
        <v/>
      </c>
      <c r="J1494">
        <f>IF(G1494=1,0.2*R1494/B1494,J1493)</f>
        <v/>
      </c>
      <c r="K1494">
        <f>IF(G1494=1,0.2*R1494/C1494,K1493)</f>
        <v/>
      </c>
      <c r="L1494">
        <f>IF(G1494=1,0.2*R1494/D1494,L1493)</f>
        <v/>
      </c>
      <c r="M1494">
        <f>IF(G1494=1,0.2*R1494/E1494,M1493)</f>
        <v/>
      </c>
      <c r="N1494">
        <f>IF(G1494=1,0.2*R1494/F1494,N1493)</f>
        <v/>
      </c>
      <c r="O1494">
        <f>IF(G1494=1,R1494*(1-1.0),IF(H1493=0,1,O1493*(1+0.00023125256064071564)))</f>
        <v/>
      </c>
      <c r="P1494">
        <f>IF(G1494=1,IF(H1493=0,1,ABS(0.2-J1493*B1494/I1494)+ABS(0.2-K1493*C1494/I1494)+ABS(0.2-L1493*D1494/I1494)+ABS(0.2-M1493*E1494/I1494)+ABS(0.2-N1493*F1494/I1494)),0)</f>
        <v/>
      </c>
      <c r="Q1494">
        <f>P1494*0.0015</f>
        <v/>
      </c>
      <c r="R1494">
        <f>I1494*(1-Q1494)</f>
        <v/>
      </c>
      <c r="S1494">
        <f>R1494/R1493-1</f>
        <v/>
      </c>
      <c r="T1494">
        <f>MAX(T1493,R1494)</f>
        <v/>
      </c>
      <c r="U1494">
        <f>R1494/T1494-1</f>
        <v/>
      </c>
      <c r="V1494" t="n">
        <v>3.375302849933722</v>
      </c>
      <c r="W1494" s="5">
        <f>R1494-V1494</f>
        <v/>
      </c>
    </row>
    <row r="1495">
      <c r="A1495" s="3" t="n">
        <v>40637</v>
      </c>
      <c r="B1495">
        <f>Prices!B1495</f>
        <v/>
      </c>
      <c r="C1495">
        <f>Prices!C1495</f>
        <v/>
      </c>
      <c r="D1495">
        <f>Prices!D1495</f>
        <v/>
      </c>
      <c r="E1495">
        <f>Prices!E1495</f>
        <v/>
      </c>
      <c r="F1495">
        <f>Prices!F1495</f>
        <v/>
      </c>
      <c r="G1495">
        <f>IF(AND(1493&gt;=16,TEXT(A1495,"yyyy-mm")&lt;&gt;TEXT(A1496,"yyyy-mm")),1,0)</f>
        <v/>
      </c>
      <c r="H1495">
        <f>IF(OR(H1494=1,G1495=1),1,0)</f>
        <v/>
      </c>
      <c r="I1495">
        <f>IF(H1494=0,1,SUMPRODUCT(J1494:N1494,B1495:F1495)+O1494*(1+0.00023125256064071564))</f>
        <v/>
      </c>
      <c r="J1495">
        <f>IF(G1495=1,0.2*R1495/B1495,J1494)</f>
        <v/>
      </c>
      <c r="K1495">
        <f>IF(G1495=1,0.2*R1495/C1495,K1494)</f>
        <v/>
      </c>
      <c r="L1495">
        <f>IF(G1495=1,0.2*R1495/D1495,L1494)</f>
        <v/>
      </c>
      <c r="M1495">
        <f>IF(G1495=1,0.2*R1495/E1495,M1494)</f>
        <v/>
      </c>
      <c r="N1495">
        <f>IF(G1495=1,0.2*R1495/F1495,N1494)</f>
        <v/>
      </c>
      <c r="O1495">
        <f>IF(G1495=1,R1495*(1-1.0),IF(H1494=0,1,O1494*(1+0.00023125256064071564)))</f>
        <v/>
      </c>
      <c r="P1495">
        <f>IF(G1495=1,IF(H1494=0,1,ABS(0.2-J1494*B1495/I1495)+ABS(0.2-K1494*C1495/I1495)+ABS(0.2-L1494*D1495/I1495)+ABS(0.2-M1494*E1495/I1495)+ABS(0.2-N1494*F1495/I1495)),0)</f>
        <v/>
      </c>
      <c r="Q1495">
        <f>P1495*0.0015</f>
        <v/>
      </c>
      <c r="R1495">
        <f>I1495*(1-Q1495)</f>
        <v/>
      </c>
      <c r="S1495">
        <f>R1495/R1494-1</f>
        <v/>
      </c>
      <c r="T1495">
        <f>MAX(T1494,R1495)</f>
        <v/>
      </c>
      <c r="U1495">
        <f>R1495/T1495-1</f>
        <v/>
      </c>
      <c r="V1495" t="n">
        <v>3.424150951321044</v>
      </c>
      <c r="W1495" s="5">
        <f>R1495-V1495</f>
        <v/>
      </c>
    </row>
    <row r="1496">
      <c r="A1496" s="3" t="n">
        <v>40638</v>
      </c>
      <c r="B1496">
        <f>Prices!B1496</f>
        <v/>
      </c>
      <c r="C1496">
        <f>Prices!C1496</f>
        <v/>
      </c>
      <c r="D1496">
        <f>Prices!D1496</f>
        <v/>
      </c>
      <c r="E1496">
        <f>Prices!E1496</f>
        <v/>
      </c>
      <c r="F1496">
        <f>Prices!F1496</f>
        <v/>
      </c>
      <c r="G1496">
        <f>IF(AND(1494&gt;=16,TEXT(A1496,"yyyy-mm")&lt;&gt;TEXT(A1497,"yyyy-mm")),1,0)</f>
        <v/>
      </c>
      <c r="H1496">
        <f>IF(OR(H1495=1,G1496=1),1,0)</f>
        <v/>
      </c>
      <c r="I1496">
        <f>IF(H1495=0,1,SUMPRODUCT(J1495:N1495,B1496:F1496)+O1495*(1+0.00023125256064071564))</f>
        <v/>
      </c>
      <c r="J1496">
        <f>IF(G1496=1,0.2*R1496/B1496,J1495)</f>
        <v/>
      </c>
      <c r="K1496">
        <f>IF(G1496=1,0.2*R1496/C1496,K1495)</f>
        <v/>
      </c>
      <c r="L1496">
        <f>IF(G1496=1,0.2*R1496/D1496,L1495)</f>
        <v/>
      </c>
      <c r="M1496">
        <f>IF(G1496=1,0.2*R1496/E1496,M1495)</f>
        <v/>
      </c>
      <c r="N1496">
        <f>IF(G1496=1,0.2*R1496/F1496,N1495)</f>
        <v/>
      </c>
      <c r="O1496">
        <f>IF(G1496=1,R1496*(1-1.0),IF(H1495=0,1,O1495*(1+0.00023125256064071564)))</f>
        <v/>
      </c>
      <c r="P1496">
        <f>IF(G1496=1,IF(H1495=0,1,ABS(0.2-J1495*B1496/I1496)+ABS(0.2-K1495*C1496/I1496)+ABS(0.2-L1495*D1496/I1496)+ABS(0.2-M1495*E1496/I1496)+ABS(0.2-N1495*F1496/I1496)),0)</f>
        <v/>
      </c>
      <c r="Q1496">
        <f>P1496*0.0015</f>
        <v/>
      </c>
      <c r="R1496">
        <f>I1496*(1-Q1496)</f>
        <v/>
      </c>
      <c r="S1496">
        <f>R1496/R1495-1</f>
        <v/>
      </c>
      <c r="T1496">
        <f>MAX(T1495,R1496)</f>
        <v/>
      </c>
      <c r="U1496">
        <f>R1496/T1496-1</f>
        <v/>
      </c>
      <c r="V1496" t="n">
        <v>3.456226333606006</v>
      </c>
      <c r="W1496" s="5">
        <f>R1496-V1496</f>
        <v/>
      </c>
    </row>
    <row r="1497">
      <c r="A1497" s="3" t="n">
        <v>40639</v>
      </c>
      <c r="B1497">
        <f>Prices!B1497</f>
        <v/>
      </c>
      <c r="C1497">
        <f>Prices!C1497</f>
        <v/>
      </c>
      <c r="D1497">
        <f>Prices!D1497</f>
        <v/>
      </c>
      <c r="E1497">
        <f>Prices!E1497</f>
        <v/>
      </c>
      <c r="F1497">
        <f>Prices!F1497</f>
        <v/>
      </c>
      <c r="G1497">
        <f>IF(AND(1495&gt;=16,TEXT(A1497,"yyyy-mm")&lt;&gt;TEXT(A1498,"yyyy-mm")),1,0)</f>
        <v/>
      </c>
      <c r="H1497">
        <f>IF(OR(H1496=1,G1497=1),1,0)</f>
        <v/>
      </c>
      <c r="I1497">
        <f>IF(H1496=0,1,SUMPRODUCT(J1496:N1496,B1497:F1497)+O1496*(1+0.00023125256064071564))</f>
        <v/>
      </c>
      <c r="J1497">
        <f>IF(G1497=1,0.2*R1497/B1497,J1496)</f>
        <v/>
      </c>
      <c r="K1497">
        <f>IF(G1497=1,0.2*R1497/C1497,K1496)</f>
        <v/>
      </c>
      <c r="L1497">
        <f>IF(G1497=1,0.2*R1497/D1497,L1496)</f>
        <v/>
      </c>
      <c r="M1497">
        <f>IF(G1497=1,0.2*R1497/E1497,M1496)</f>
        <v/>
      </c>
      <c r="N1497">
        <f>IF(G1497=1,0.2*R1497/F1497,N1496)</f>
        <v/>
      </c>
      <c r="O1497">
        <f>IF(G1497=1,R1497*(1-1.0),IF(H1496=0,1,O1496*(1+0.00023125256064071564)))</f>
        <v/>
      </c>
      <c r="P1497">
        <f>IF(G1497=1,IF(H1496=0,1,ABS(0.2-J1496*B1497/I1497)+ABS(0.2-K1496*C1497/I1497)+ABS(0.2-L1496*D1497/I1497)+ABS(0.2-M1496*E1497/I1497)+ABS(0.2-N1496*F1497/I1497)),0)</f>
        <v/>
      </c>
      <c r="Q1497">
        <f>P1497*0.0015</f>
        <v/>
      </c>
      <c r="R1497">
        <f>I1497*(1-Q1497)</f>
        <v/>
      </c>
      <c r="S1497">
        <f>R1497/R1496-1</f>
        <v/>
      </c>
      <c r="T1497">
        <f>MAX(T1496,R1497)</f>
        <v/>
      </c>
      <c r="U1497">
        <f>R1497/T1497-1</f>
        <v/>
      </c>
      <c r="V1497" t="n">
        <v>3.45861940642307</v>
      </c>
      <c r="W1497" s="5">
        <f>R1497-V1497</f>
        <v/>
      </c>
    </row>
    <row r="1498">
      <c r="A1498" s="3" t="n">
        <v>40640</v>
      </c>
      <c r="B1498">
        <f>Prices!B1498</f>
        <v/>
      </c>
      <c r="C1498">
        <f>Prices!C1498</f>
        <v/>
      </c>
      <c r="D1498">
        <f>Prices!D1498</f>
        <v/>
      </c>
      <c r="E1498">
        <f>Prices!E1498</f>
        <v/>
      </c>
      <c r="F1498">
        <f>Prices!F1498</f>
        <v/>
      </c>
      <c r="G1498">
        <f>IF(AND(1496&gt;=16,TEXT(A1498,"yyyy-mm")&lt;&gt;TEXT(A1499,"yyyy-mm")),1,0)</f>
        <v/>
      </c>
      <c r="H1498">
        <f>IF(OR(H1497=1,G1498=1),1,0)</f>
        <v/>
      </c>
      <c r="I1498">
        <f>IF(H1497=0,1,SUMPRODUCT(J1497:N1497,B1498:F1498)+O1497*(1+0.00023125256064071564))</f>
        <v/>
      </c>
      <c r="J1498">
        <f>IF(G1498=1,0.2*R1498/B1498,J1497)</f>
        <v/>
      </c>
      <c r="K1498">
        <f>IF(G1498=1,0.2*R1498/C1498,K1497)</f>
        <v/>
      </c>
      <c r="L1498">
        <f>IF(G1498=1,0.2*R1498/D1498,L1497)</f>
        <v/>
      </c>
      <c r="M1498">
        <f>IF(G1498=1,0.2*R1498/E1498,M1497)</f>
        <v/>
      </c>
      <c r="N1498">
        <f>IF(G1498=1,0.2*R1498/F1498,N1497)</f>
        <v/>
      </c>
      <c r="O1498">
        <f>IF(G1498=1,R1498*(1-1.0),IF(H1497=0,1,O1497*(1+0.00023125256064071564)))</f>
        <v/>
      </c>
      <c r="P1498">
        <f>IF(G1498=1,IF(H1497=0,1,ABS(0.2-J1497*B1498/I1498)+ABS(0.2-K1497*C1498/I1498)+ABS(0.2-L1497*D1498/I1498)+ABS(0.2-M1497*E1498/I1498)+ABS(0.2-N1497*F1498/I1498)),0)</f>
        <v/>
      </c>
      <c r="Q1498">
        <f>P1498*0.0015</f>
        <v/>
      </c>
      <c r="R1498">
        <f>I1498*(1-Q1498)</f>
        <v/>
      </c>
      <c r="S1498">
        <f>R1498/R1497-1</f>
        <v/>
      </c>
      <c r="T1498">
        <f>MAX(T1497,R1498)</f>
        <v/>
      </c>
      <c r="U1498">
        <f>R1498/T1498-1</f>
        <v/>
      </c>
      <c r="V1498" t="n">
        <v>3.471027829492814</v>
      </c>
      <c r="W1498" s="5">
        <f>R1498-V1498</f>
        <v/>
      </c>
    </row>
    <row r="1499">
      <c r="A1499" s="3" t="n">
        <v>40641</v>
      </c>
      <c r="B1499">
        <f>Prices!B1499</f>
        <v/>
      </c>
      <c r="C1499">
        <f>Prices!C1499</f>
        <v/>
      </c>
      <c r="D1499">
        <f>Prices!D1499</f>
        <v/>
      </c>
      <c r="E1499">
        <f>Prices!E1499</f>
        <v/>
      </c>
      <c r="F1499">
        <f>Prices!F1499</f>
        <v/>
      </c>
      <c r="G1499">
        <f>IF(AND(1497&gt;=16,TEXT(A1499,"yyyy-mm")&lt;&gt;TEXT(A1500,"yyyy-mm")),1,0)</f>
        <v/>
      </c>
      <c r="H1499">
        <f>IF(OR(H1498=1,G1499=1),1,0)</f>
        <v/>
      </c>
      <c r="I1499">
        <f>IF(H1498=0,1,SUMPRODUCT(J1498:N1498,B1499:F1499)+O1498*(1+0.00023125256064071564))</f>
        <v/>
      </c>
      <c r="J1499">
        <f>IF(G1499=1,0.2*R1499/B1499,J1498)</f>
        <v/>
      </c>
      <c r="K1499">
        <f>IF(G1499=1,0.2*R1499/C1499,K1498)</f>
        <v/>
      </c>
      <c r="L1499">
        <f>IF(G1499=1,0.2*R1499/D1499,L1498)</f>
        <v/>
      </c>
      <c r="M1499">
        <f>IF(G1499=1,0.2*R1499/E1499,M1498)</f>
        <v/>
      </c>
      <c r="N1499">
        <f>IF(G1499=1,0.2*R1499/F1499,N1498)</f>
        <v/>
      </c>
      <c r="O1499">
        <f>IF(G1499=1,R1499*(1-1.0),IF(H1498=0,1,O1498*(1+0.00023125256064071564)))</f>
        <v/>
      </c>
      <c r="P1499">
        <f>IF(G1499=1,IF(H1498=0,1,ABS(0.2-J1498*B1499/I1499)+ABS(0.2-K1498*C1499/I1499)+ABS(0.2-L1498*D1499/I1499)+ABS(0.2-M1498*E1499/I1499)+ABS(0.2-N1498*F1499/I1499)),0)</f>
        <v/>
      </c>
      <c r="Q1499">
        <f>P1499*0.0015</f>
        <v/>
      </c>
      <c r="R1499">
        <f>I1499*(1-Q1499)</f>
        <v/>
      </c>
      <c r="S1499">
        <f>R1499/R1498-1</f>
        <v/>
      </c>
      <c r="T1499">
        <f>MAX(T1498,R1499)</f>
        <v/>
      </c>
      <c r="U1499">
        <f>R1499/T1499-1</f>
        <v/>
      </c>
      <c r="V1499" t="n">
        <v>3.428211335947786</v>
      </c>
      <c r="W1499" s="5">
        <f>R1499-V1499</f>
        <v/>
      </c>
    </row>
    <row r="1500">
      <c r="A1500" s="3" t="n">
        <v>40644</v>
      </c>
      <c r="B1500">
        <f>Prices!B1500</f>
        <v/>
      </c>
      <c r="C1500">
        <f>Prices!C1500</f>
        <v/>
      </c>
      <c r="D1500">
        <f>Prices!D1500</f>
        <v/>
      </c>
      <c r="E1500">
        <f>Prices!E1500</f>
        <v/>
      </c>
      <c r="F1500">
        <f>Prices!F1500</f>
        <v/>
      </c>
      <c r="G1500">
        <f>IF(AND(1498&gt;=16,TEXT(A1500,"yyyy-mm")&lt;&gt;TEXT(A1501,"yyyy-mm")),1,0)</f>
        <v/>
      </c>
      <c r="H1500">
        <f>IF(OR(H1499=1,G1500=1),1,0)</f>
        <v/>
      </c>
      <c r="I1500">
        <f>IF(H1499=0,1,SUMPRODUCT(J1499:N1499,B1500:F1500)+O1499*(1+0.00023125256064071564))</f>
        <v/>
      </c>
      <c r="J1500">
        <f>IF(G1500=1,0.2*R1500/B1500,J1499)</f>
        <v/>
      </c>
      <c r="K1500">
        <f>IF(G1500=1,0.2*R1500/C1500,K1499)</f>
        <v/>
      </c>
      <c r="L1500">
        <f>IF(G1500=1,0.2*R1500/D1500,L1499)</f>
        <v/>
      </c>
      <c r="M1500">
        <f>IF(G1500=1,0.2*R1500/E1500,M1499)</f>
        <v/>
      </c>
      <c r="N1500">
        <f>IF(G1500=1,0.2*R1500/F1500,N1499)</f>
        <v/>
      </c>
      <c r="O1500">
        <f>IF(G1500=1,R1500*(1-1.0),IF(H1499=0,1,O1499*(1+0.00023125256064071564)))</f>
        <v/>
      </c>
      <c r="P1500">
        <f>IF(G1500=1,IF(H1499=0,1,ABS(0.2-J1499*B1500/I1500)+ABS(0.2-K1499*C1500/I1500)+ABS(0.2-L1499*D1500/I1500)+ABS(0.2-M1499*E1500/I1500)+ABS(0.2-N1499*F1500/I1500)),0)</f>
        <v/>
      </c>
      <c r="Q1500">
        <f>P1500*0.0015</f>
        <v/>
      </c>
      <c r="R1500">
        <f>I1500*(1-Q1500)</f>
        <v/>
      </c>
      <c r="S1500">
        <f>R1500/R1499-1</f>
        <v/>
      </c>
      <c r="T1500">
        <f>MAX(T1499,R1500)</f>
        <v/>
      </c>
      <c r="U1500">
        <f>R1500/T1500-1</f>
        <v/>
      </c>
      <c r="V1500" t="n">
        <v>3.39794007736631</v>
      </c>
      <c r="W1500" s="5">
        <f>R1500-V1500</f>
        <v/>
      </c>
    </row>
    <row r="1501">
      <c r="A1501" s="3" t="n">
        <v>40646</v>
      </c>
      <c r="B1501">
        <f>Prices!B1501</f>
        <v/>
      </c>
      <c r="C1501">
        <f>Prices!C1501</f>
        <v/>
      </c>
      <c r="D1501">
        <f>Prices!D1501</f>
        <v/>
      </c>
      <c r="E1501">
        <f>Prices!E1501</f>
        <v/>
      </c>
      <c r="F1501">
        <f>Prices!F1501</f>
        <v/>
      </c>
      <c r="G1501">
        <f>IF(AND(1499&gt;=16,TEXT(A1501,"yyyy-mm")&lt;&gt;TEXT(A1502,"yyyy-mm")),1,0)</f>
        <v/>
      </c>
      <c r="H1501">
        <f>IF(OR(H1500=1,G1501=1),1,0)</f>
        <v/>
      </c>
      <c r="I1501">
        <f>IF(H1500=0,1,SUMPRODUCT(J1500:N1500,B1501:F1501)+O1500*(1+0.00023125256064071564))</f>
        <v/>
      </c>
      <c r="J1501">
        <f>IF(G1501=1,0.2*R1501/B1501,J1500)</f>
        <v/>
      </c>
      <c r="K1501">
        <f>IF(G1501=1,0.2*R1501/C1501,K1500)</f>
        <v/>
      </c>
      <c r="L1501">
        <f>IF(G1501=1,0.2*R1501/D1501,L1500)</f>
        <v/>
      </c>
      <c r="M1501">
        <f>IF(G1501=1,0.2*R1501/E1501,M1500)</f>
        <v/>
      </c>
      <c r="N1501">
        <f>IF(G1501=1,0.2*R1501/F1501,N1500)</f>
        <v/>
      </c>
      <c r="O1501">
        <f>IF(G1501=1,R1501*(1-1.0),IF(H1500=0,1,O1500*(1+0.00023125256064071564)))</f>
        <v/>
      </c>
      <c r="P1501">
        <f>IF(G1501=1,IF(H1500=0,1,ABS(0.2-J1500*B1501/I1501)+ABS(0.2-K1500*C1501/I1501)+ABS(0.2-L1500*D1501/I1501)+ABS(0.2-M1500*E1501/I1501)+ABS(0.2-N1500*F1501/I1501)),0)</f>
        <v/>
      </c>
      <c r="Q1501">
        <f>P1501*0.0015</f>
        <v/>
      </c>
      <c r="R1501">
        <f>I1501*(1-Q1501)</f>
        <v/>
      </c>
      <c r="S1501">
        <f>R1501/R1500-1</f>
        <v/>
      </c>
      <c r="T1501">
        <f>MAX(T1500,R1501)</f>
        <v/>
      </c>
      <c r="U1501">
        <f>R1501/T1501-1</f>
        <v/>
      </c>
      <c r="V1501" t="n">
        <v>3.462019144405683</v>
      </c>
      <c r="W1501" s="5">
        <f>R1501-V1501</f>
        <v/>
      </c>
    </row>
    <row r="1502">
      <c r="A1502" s="3" t="n">
        <v>40648</v>
      </c>
      <c r="B1502">
        <f>Prices!B1502</f>
        <v/>
      </c>
      <c r="C1502">
        <f>Prices!C1502</f>
        <v/>
      </c>
      <c r="D1502">
        <f>Prices!D1502</f>
        <v/>
      </c>
      <c r="E1502">
        <f>Prices!E1502</f>
        <v/>
      </c>
      <c r="F1502">
        <f>Prices!F1502</f>
        <v/>
      </c>
      <c r="G1502">
        <f>IF(AND(1500&gt;=16,TEXT(A1502,"yyyy-mm")&lt;&gt;TEXT(A1503,"yyyy-mm")),1,0)</f>
        <v/>
      </c>
      <c r="H1502">
        <f>IF(OR(H1501=1,G1502=1),1,0)</f>
        <v/>
      </c>
      <c r="I1502">
        <f>IF(H1501=0,1,SUMPRODUCT(J1501:N1501,B1502:F1502)+O1501*(1+0.00023125256064071564))</f>
        <v/>
      </c>
      <c r="J1502">
        <f>IF(G1502=1,0.2*R1502/B1502,J1501)</f>
        <v/>
      </c>
      <c r="K1502">
        <f>IF(G1502=1,0.2*R1502/C1502,K1501)</f>
        <v/>
      </c>
      <c r="L1502">
        <f>IF(G1502=1,0.2*R1502/D1502,L1501)</f>
        <v/>
      </c>
      <c r="M1502">
        <f>IF(G1502=1,0.2*R1502/E1502,M1501)</f>
        <v/>
      </c>
      <c r="N1502">
        <f>IF(G1502=1,0.2*R1502/F1502,N1501)</f>
        <v/>
      </c>
      <c r="O1502">
        <f>IF(G1502=1,R1502*(1-1.0),IF(H1501=0,1,O1501*(1+0.00023125256064071564)))</f>
        <v/>
      </c>
      <c r="P1502">
        <f>IF(G1502=1,IF(H1501=0,1,ABS(0.2-J1501*B1502/I1502)+ABS(0.2-K1501*C1502/I1502)+ABS(0.2-L1501*D1502/I1502)+ABS(0.2-M1501*E1502/I1502)+ABS(0.2-N1501*F1502/I1502)),0)</f>
        <v/>
      </c>
      <c r="Q1502">
        <f>P1502*0.0015</f>
        <v/>
      </c>
      <c r="R1502">
        <f>I1502*(1-Q1502)</f>
        <v/>
      </c>
      <c r="S1502">
        <f>R1502/R1501-1</f>
        <v/>
      </c>
      <c r="T1502">
        <f>MAX(T1501,R1502)</f>
        <v/>
      </c>
      <c r="U1502">
        <f>R1502/T1502-1</f>
        <v/>
      </c>
      <c r="V1502" t="n">
        <v>3.450462359773491</v>
      </c>
      <c r="W1502" s="5">
        <f>R1502-V1502</f>
        <v/>
      </c>
    </row>
    <row r="1503">
      <c r="A1503" s="3" t="n">
        <v>40651</v>
      </c>
      <c r="B1503">
        <f>Prices!B1503</f>
        <v/>
      </c>
      <c r="C1503">
        <f>Prices!C1503</f>
        <v/>
      </c>
      <c r="D1503">
        <f>Prices!D1503</f>
        <v/>
      </c>
      <c r="E1503">
        <f>Prices!E1503</f>
        <v/>
      </c>
      <c r="F1503">
        <f>Prices!F1503</f>
        <v/>
      </c>
      <c r="G1503">
        <f>IF(AND(1501&gt;=16,TEXT(A1503,"yyyy-mm")&lt;&gt;TEXT(A1504,"yyyy-mm")),1,0)</f>
        <v/>
      </c>
      <c r="H1503">
        <f>IF(OR(H1502=1,G1503=1),1,0)</f>
        <v/>
      </c>
      <c r="I1503">
        <f>IF(H1502=0,1,SUMPRODUCT(J1502:N1502,B1503:F1503)+O1502*(1+0.00023125256064071564))</f>
        <v/>
      </c>
      <c r="J1503">
        <f>IF(G1503=1,0.2*R1503/B1503,J1502)</f>
        <v/>
      </c>
      <c r="K1503">
        <f>IF(G1503=1,0.2*R1503/C1503,K1502)</f>
        <v/>
      </c>
      <c r="L1503">
        <f>IF(G1503=1,0.2*R1503/D1503,L1502)</f>
        <v/>
      </c>
      <c r="M1503">
        <f>IF(G1503=1,0.2*R1503/E1503,M1502)</f>
        <v/>
      </c>
      <c r="N1503">
        <f>IF(G1503=1,0.2*R1503/F1503,N1502)</f>
        <v/>
      </c>
      <c r="O1503">
        <f>IF(G1503=1,R1503*(1-1.0),IF(H1502=0,1,O1502*(1+0.00023125256064071564)))</f>
        <v/>
      </c>
      <c r="P1503">
        <f>IF(G1503=1,IF(H1502=0,1,ABS(0.2-J1502*B1503/I1503)+ABS(0.2-K1502*C1503/I1503)+ABS(0.2-L1502*D1503/I1503)+ABS(0.2-M1502*E1503/I1503)+ABS(0.2-N1502*F1503/I1503)),0)</f>
        <v/>
      </c>
      <c r="Q1503">
        <f>P1503*0.0015</f>
        <v/>
      </c>
      <c r="R1503">
        <f>I1503*(1-Q1503)</f>
        <v/>
      </c>
      <c r="S1503">
        <f>R1503/R1502-1</f>
        <v/>
      </c>
      <c r="T1503">
        <f>MAX(T1502,R1503)</f>
        <v/>
      </c>
      <c r="U1503">
        <f>R1503/T1503-1</f>
        <v/>
      </c>
      <c r="V1503" t="n">
        <v>3.405260897167482</v>
      </c>
      <c r="W1503" s="5">
        <f>R1503-V1503</f>
        <v/>
      </c>
    </row>
    <row r="1504">
      <c r="A1504" s="3" t="n">
        <v>40652</v>
      </c>
      <c r="B1504">
        <f>Prices!B1504</f>
        <v/>
      </c>
      <c r="C1504">
        <f>Prices!C1504</f>
        <v/>
      </c>
      <c r="D1504">
        <f>Prices!D1504</f>
        <v/>
      </c>
      <c r="E1504">
        <f>Prices!E1504</f>
        <v/>
      </c>
      <c r="F1504">
        <f>Prices!F1504</f>
        <v/>
      </c>
      <c r="G1504">
        <f>IF(AND(1502&gt;=16,TEXT(A1504,"yyyy-mm")&lt;&gt;TEXT(A1505,"yyyy-mm")),1,0)</f>
        <v/>
      </c>
      <c r="H1504">
        <f>IF(OR(H1503=1,G1504=1),1,0)</f>
        <v/>
      </c>
      <c r="I1504">
        <f>IF(H1503=0,1,SUMPRODUCT(J1503:N1503,B1504:F1504)+O1503*(1+0.00023125256064071564))</f>
        <v/>
      </c>
      <c r="J1504">
        <f>IF(G1504=1,0.2*R1504/B1504,J1503)</f>
        <v/>
      </c>
      <c r="K1504">
        <f>IF(G1504=1,0.2*R1504/C1504,K1503)</f>
        <v/>
      </c>
      <c r="L1504">
        <f>IF(G1504=1,0.2*R1504/D1504,L1503)</f>
        <v/>
      </c>
      <c r="M1504">
        <f>IF(G1504=1,0.2*R1504/E1504,M1503)</f>
        <v/>
      </c>
      <c r="N1504">
        <f>IF(G1504=1,0.2*R1504/F1504,N1503)</f>
        <v/>
      </c>
      <c r="O1504">
        <f>IF(G1504=1,R1504*(1-1.0),IF(H1503=0,1,O1503*(1+0.00023125256064071564)))</f>
        <v/>
      </c>
      <c r="P1504">
        <f>IF(G1504=1,IF(H1503=0,1,ABS(0.2-J1503*B1504/I1504)+ABS(0.2-K1503*C1504/I1504)+ABS(0.2-L1503*D1504/I1504)+ABS(0.2-M1503*E1504/I1504)+ABS(0.2-N1503*F1504/I1504)),0)</f>
        <v/>
      </c>
      <c r="Q1504">
        <f>P1504*0.0015</f>
        <v/>
      </c>
      <c r="R1504">
        <f>I1504*(1-Q1504)</f>
        <v/>
      </c>
      <c r="S1504">
        <f>R1504/R1503-1</f>
        <v/>
      </c>
      <c r="T1504">
        <f>MAX(T1503,R1504)</f>
        <v/>
      </c>
      <c r="U1504">
        <f>R1504/T1504-1</f>
        <v/>
      </c>
      <c r="V1504" t="n">
        <v>3.416163375394143</v>
      </c>
      <c r="W1504" s="5">
        <f>R1504-V1504</f>
        <v/>
      </c>
    </row>
    <row r="1505">
      <c r="A1505" s="3" t="n">
        <v>40653</v>
      </c>
      <c r="B1505">
        <f>Prices!B1505</f>
        <v/>
      </c>
      <c r="C1505">
        <f>Prices!C1505</f>
        <v/>
      </c>
      <c r="D1505">
        <f>Prices!D1505</f>
        <v/>
      </c>
      <c r="E1505">
        <f>Prices!E1505</f>
        <v/>
      </c>
      <c r="F1505">
        <f>Prices!F1505</f>
        <v/>
      </c>
      <c r="G1505">
        <f>IF(AND(1503&gt;=16,TEXT(A1505,"yyyy-mm")&lt;&gt;TEXT(A1506,"yyyy-mm")),1,0)</f>
        <v/>
      </c>
      <c r="H1505">
        <f>IF(OR(H1504=1,G1505=1),1,0)</f>
        <v/>
      </c>
      <c r="I1505">
        <f>IF(H1504=0,1,SUMPRODUCT(J1504:N1504,B1505:F1505)+O1504*(1+0.00023125256064071564))</f>
        <v/>
      </c>
      <c r="J1505">
        <f>IF(G1505=1,0.2*R1505/B1505,J1504)</f>
        <v/>
      </c>
      <c r="K1505">
        <f>IF(G1505=1,0.2*R1505/C1505,K1504)</f>
        <v/>
      </c>
      <c r="L1505">
        <f>IF(G1505=1,0.2*R1505/D1505,L1504)</f>
        <v/>
      </c>
      <c r="M1505">
        <f>IF(G1505=1,0.2*R1505/E1505,M1504)</f>
        <v/>
      </c>
      <c r="N1505">
        <f>IF(G1505=1,0.2*R1505/F1505,N1504)</f>
        <v/>
      </c>
      <c r="O1505">
        <f>IF(G1505=1,R1505*(1-1.0),IF(H1504=0,1,O1504*(1+0.00023125256064071564)))</f>
        <v/>
      </c>
      <c r="P1505">
        <f>IF(G1505=1,IF(H1504=0,1,ABS(0.2-J1504*B1505/I1505)+ABS(0.2-K1504*C1505/I1505)+ABS(0.2-L1504*D1505/I1505)+ABS(0.2-M1504*E1505/I1505)+ABS(0.2-N1504*F1505/I1505)),0)</f>
        <v/>
      </c>
      <c r="Q1505">
        <f>P1505*0.0015</f>
        <v/>
      </c>
      <c r="R1505">
        <f>I1505*(1-Q1505)</f>
        <v/>
      </c>
      <c r="S1505">
        <f>R1505/R1504-1</f>
        <v/>
      </c>
      <c r="T1505">
        <f>MAX(T1504,R1505)</f>
        <v/>
      </c>
      <c r="U1505">
        <f>R1505/T1505-1</f>
        <v/>
      </c>
      <c r="V1505" t="n">
        <v>3.466642484298875</v>
      </c>
      <c r="W1505" s="5">
        <f>R1505-V1505</f>
        <v/>
      </c>
    </row>
    <row r="1506">
      <c r="A1506" s="3" t="n">
        <v>40654</v>
      </c>
      <c r="B1506">
        <f>Prices!B1506</f>
        <v/>
      </c>
      <c r="C1506">
        <f>Prices!C1506</f>
        <v/>
      </c>
      <c r="D1506">
        <f>Prices!D1506</f>
        <v/>
      </c>
      <c r="E1506">
        <f>Prices!E1506</f>
        <v/>
      </c>
      <c r="F1506">
        <f>Prices!F1506</f>
        <v/>
      </c>
      <c r="G1506">
        <f>IF(AND(1504&gt;=16,TEXT(A1506,"yyyy-mm")&lt;&gt;TEXT(A1507,"yyyy-mm")),1,0)</f>
        <v/>
      </c>
      <c r="H1506">
        <f>IF(OR(H1505=1,G1506=1),1,0)</f>
        <v/>
      </c>
      <c r="I1506">
        <f>IF(H1505=0,1,SUMPRODUCT(J1505:N1505,B1506:F1506)+O1505*(1+0.00023125256064071564))</f>
        <v/>
      </c>
      <c r="J1506">
        <f>IF(G1506=1,0.2*R1506/B1506,J1505)</f>
        <v/>
      </c>
      <c r="K1506">
        <f>IF(G1506=1,0.2*R1506/C1506,K1505)</f>
        <v/>
      </c>
      <c r="L1506">
        <f>IF(G1506=1,0.2*R1506/D1506,L1505)</f>
        <v/>
      </c>
      <c r="M1506">
        <f>IF(G1506=1,0.2*R1506/E1506,M1505)</f>
        <v/>
      </c>
      <c r="N1506">
        <f>IF(G1506=1,0.2*R1506/F1506,N1505)</f>
        <v/>
      </c>
      <c r="O1506">
        <f>IF(G1506=1,R1506*(1-1.0),IF(H1505=0,1,O1505*(1+0.00023125256064071564)))</f>
        <v/>
      </c>
      <c r="P1506">
        <f>IF(G1506=1,IF(H1505=0,1,ABS(0.2-J1505*B1506/I1506)+ABS(0.2-K1505*C1506/I1506)+ABS(0.2-L1505*D1506/I1506)+ABS(0.2-M1505*E1506/I1506)+ABS(0.2-N1505*F1506/I1506)),0)</f>
        <v/>
      </c>
      <c r="Q1506">
        <f>P1506*0.0015</f>
        <v/>
      </c>
      <c r="R1506">
        <f>I1506*(1-Q1506)</f>
        <v/>
      </c>
      <c r="S1506">
        <f>R1506/R1505-1</f>
        <v/>
      </c>
      <c r="T1506">
        <f>MAX(T1505,R1506)</f>
        <v/>
      </c>
      <c r="U1506">
        <f>R1506/T1506-1</f>
        <v/>
      </c>
      <c r="V1506" t="n">
        <v>3.461722157518949</v>
      </c>
      <c r="W1506" s="5">
        <f>R1506-V1506</f>
        <v/>
      </c>
    </row>
    <row r="1507">
      <c r="A1507" s="3" t="n">
        <v>40658</v>
      </c>
      <c r="B1507">
        <f>Prices!B1507</f>
        <v/>
      </c>
      <c r="C1507">
        <f>Prices!C1507</f>
        <v/>
      </c>
      <c r="D1507">
        <f>Prices!D1507</f>
        <v/>
      </c>
      <c r="E1507">
        <f>Prices!E1507</f>
        <v/>
      </c>
      <c r="F1507">
        <f>Prices!F1507</f>
        <v/>
      </c>
      <c r="G1507">
        <f>IF(AND(1505&gt;=16,TEXT(A1507,"yyyy-mm")&lt;&gt;TEXT(A1508,"yyyy-mm")),1,0)</f>
        <v/>
      </c>
      <c r="H1507">
        <f>IF(OR(H1506=1,G1507=1),1,0)</f>
        <v/>
      </c>
      <c r="I1507">
        <f>IF(H1506=0,1,SUMPRODUCT(J1506:N1506,B1507:F1507)+O1506*(1+0.00023125256064071564))</f>
        <v/>
      </c>
      <c r="J1507">
        <f>IF(G1507=1,0.2*R1507/B1507,J1506)</f>
        <v/>
      </c>
      <c r="K1507">
        <f>IF(G1507=1,0.2*R1507/C1507,K1506)</f>
        <v/>
      </c>
      <c r="L1507">
        <f>IF(G1507=1,0.2*R1507/D1507,L1506)</f>
        <v/>
      </c>
      <c r="M1507">
        <f>IF(G1507=1,0.2*R1507/E1507,M1506)</f>
        <v/>
      </c>
      <c r="N1507">
        <f>IF(G1507=1,0.2*R1507/F1507,N1506)</f>
        <v/>
      </c>
      <c r="O1507">
        <f>IF(G1507=1,R1507*(1-1.0),IF(H1506=0,1,O1506*(1+0.00023125256064071564)))</f>
        <v/>
      </c>
      <c r="P1507">
        <f>IF(G1507=1,IF(H1506=0,1,ABS(0.2-J1506*B1507/I1507)+ABS(0.2-K1506*C1507/I1507)+ABS(0.2-L1506*D1507/I1507)+ABS(0.2-M1506*E1507/I1507)+ABS(0.2-N1506*F1507/I1507)),0)</f>
        <v/>
      </c>
      <c r="Q1507">
        <f>P1507*0.0015</f>
        <v/>
      </c>
      <c r="R1507">
        <f>I1507*(1-Q1507)</f>
        <v/>
      </c>
      <c r="S1507">
        <f>R1507/R1506-1</f>
        <v/>
      </c>
      <c r="T1507">
        <f>MAX(T1506,R1507)</f>
        <v/>
      </c>
      <c r="U1507">
        <f>R1507/T1507-1</f>
        <v/>
      </c>
      <c r="V1507" t="n">
        <v>3.472590050834027</v>
      </c>
      <c r="W1507" s="5">
        <f>R1507-V1507</f>
        <v/>
      </c>
    </row>
    <row r="1508">
      <c r="A1508" s="3" t="n">
        <v>40659</v>
      </c>
      <c r="B1508">
        <f>Prices!B1508</f>
        <v/>
      </c>
      <c r="C1508">
        <f>Prices!C1508</f>
        <v/>
      </c>
      <c r="D1508">
        <f>Prices!D1508</f>
        <v/>
      </c>
      <c r="E1508">
        <f>Prices!E1508</f>
        <v/>
      </c>
      <c r="F1508">
        <f>Prices!F1508</f>
        <v/>
      </c>
      <c r="G1508">
        <f>IF(AND(1506&gt;=16,TEXT(A1508,"yyyy-mm")&lt;&gt;TEXT(A1509,"yyyy-mm")),1,0)</f>
        <v/>
      </c>
      <c r="H1508">
        <f>IF(OR(H1507=1,G1508=1),1,0)</f>
        <v/>
      </c>
      <c r="I1508">
        <f>IF(H1507=0,1,SUMPRODUCT(J1507:N1507,B1508:F1508)+O1507*(1+0.00023125256064071564))</f>
        <v/>
      </c>
      <c r="J1508">
        <f>IF(G1508=1,0.2*R1508/B1508,J1507)</f>
        <v/>
      </c>
      <c r="K1508">
        <f>IF(G1508=1,0.2*R1508/C1508,K1507)</f>
        <v/>
      </c>
      <c r="L1508">
        <f>IF(G1508=1,0.2*R1508/D1508,L1507)</f>
        <v/>
      </c>
      <c r="M1508">
        <f>IF(G1508=1,0.2*R1508/E1508,M1507)</f>
        <v/>
      </c>
      <c r="N1508">
        <f>IF(G1508=1,0.2*R1508/F1508,N1507)</f>
        <v/>
      </c>
      <c r="O1508">
        <f>IF(G1508=1,R1508*(1-1.0),IF(H1507=0,1,O1507*(1+0.00023125256064071564)))</f>
        <v/>
      </c>
      <c r="P1508">
        <f>IF(G1508=1,IF(H1507=0,1,ABS(0.2-J1507*B1508/I1508)+ABS(0.2-K1507*C1508/I1508)+ABS(0.2-L1507*D1508/I1508)+ABS(0.2-M1507*E1508/I1508)+ABS(0.2-N1507*F1508/I1508)),0)</f>
        <v/>
      </c>
      <c r="Q1508">
        <f>P1508*0.0015</f>
        <v/>
      </c>
      <c r="R1508">
        <f>I1508*(1-Q1508)</f>
        <v/>
      </c>
      <c r="S1508">
        <f>R1508/R1507-1</f>
        <v/>
      </c>
      <c r="T1508">
        <f>MAX(T1507,R1508)</f>
        <v/>
      </c>
      <c r="U1508">
        <f>R1508/T1508-1</f>
        <v/>
      </c>
      <c r="V1508" t="n">
        <v>3.466881449155543</v>
      </c>
      <c r="W1508" s="5">
        <f>R1508-V1508</f>
        <v/>
      </c>
    </row>
    <row r="1509">
      <c r="A1509" s="3" t="n">
        <v>40660</v>
      </c>
      <c r="B1509">
        <f>Prices!B1509</f>
        <v/>
      </c>
      <c r="C1509">
        <f>Prices!C1509</f>
        <v/>
      </c>
      <c r="D1509">
        <f>Prices!D1509</f>
        <v/>
      </c>
      <c r="E1509">
        <f>Prices!E1509</f>
        <v/>
      </c>
      <c r="F1509">
        <f>Prices!F1509</f>
        <v/>
      </c>
      <c r="G1509">
        <f>IF(AND(1507&gt;=16,TEXT(A1509,"yyyy-mm")&lt;&gt;TEXT(A1510,"yyyy-mm")),1,0)</f>
        <v/>
      </c>
      <c r="H1509">
        <f>IF(OR(H1508=1,G1509=1),1,0)</f>
        <v/>
      </c>
      <c r="I1509">
        <f>IF(H1508=0,1,SUMPRODUCT(J1508:N1508,B1509:F1509)+O1508*(1+0.00023125256064071564))</f>
        <v/>
      </c>
      <c r="J1509">
        <f>IF(G1509=1,0.2*R1509/B1509,J1508)</f>
        <v/>
      </c>
      <c r="K1509">
        <f>IF(G1509=1,0.2*R1509/C1509,K1508)</f>
        <v/>
      </c>
      <c r="L1509">
        <f>IF(G1509=1,0.2*R1509/D1509,L1508)</f>
        <v/>
      </c>
      <c r="M1509">
        <f>IF(G1509=1,0.2*R1509/E1509,M1508)</f>
        <v/>
      </c>
      <c r="N1509">
        <f>IF(G1509=1,0.2*R1509/F1509,N1508)</f>
        <v/>
      </c>
      <c r="O1509">
        <f>IF(G1509=1,R1509*(1-1.0),IF(H1508=0,1,O1508*(1+0.00023125256064071564)))</f>
        <v/>
      </c>
      <c r="P1509">
        <f>IF(G1509=1,IF(H1508=0,1,ABS(0.2-J1508*B1509/I1509)+ABS(0.2-K1508*C1509/I1509)+ABS(0.2-L1508*D1509/I1509)+ABS(0.2-M1508*E1509/I1509)+ABS(0.2-N1508*F1509/I1509)),0)</f>
        <v/>
      </c>
      <c r="Q1509">
        <f>P1509*0.0015</f>
        <v/>
      </c>
      <c r="R1509">
        <f>I1509*(1-Q1509)</f>
        <v/>
      </c>
      <c r="S1509">
        <f>R1509/R1508-1</f>
        <v/>
      </c>
      <c r="T1509">
        <f>MAX(T1508,R1509)</f>
        <v/>
      </c>
      <c r="U1509">
        <f>R1509/T1509-1</f>
        <v/>
      </c>
      <c r="V1509" t="n">
        <v>3.461179393226417</v>
      </c>
      <c r="W1509" s="5">
        <f>R1509-V1509</f>
        <v/>
      </c>
    </row>
    <row r="1510">
      <c r="A1510" s="3" t="n">
        <v>40661</v>
      </c>
      <c r="B1510">
        <f>Prices!B1510</f>
        <v/>
      </c>
      <c r="C1510">
        <f>Prices!C1510</f>
        <v/>
      </c>
      <c r="D1510">
        <f>Prices!D1510</f>
        <v/>
      </c>
      <c r="E1510">
        <f>Prices!E1510</f>
        <v/>
      </c>
      <c r="F1510">
        <f>Prices!F1510</f>
        <v/>
      </c>
      <c r="G1510">
        <f>IF(AND(1508&gt;=16,TEXT(A1510,"yyyy-mm")&lt;&gt;TEXT(A1511,"yyyy-mm")),1,0)</f>
        <v/>
      </c>
      <c r="H1510">
        <f>IF(OR(H1509=1,G1510=1),1,0)</f>
        <v/>
      </c>
      <c r="I1510">
        <f>IF(H1509=0,1,SUMPRODUCT(J1509:N1509,B1510:F1510)+O1509*(1+0.00023125256064071564))</f>
        <v/>
      </c>
      <c r="J1510">
        <f>IF(G1510=1,0.2*R1510/B1510,J1509)</f>
        <v/>
      </c>
      <c r="K1510">
        <f>IF(G1510=1,0.2*R1510/C1510,K1509)</f>
        <v/>
      </c>
      <c r="L1510">
        <f>IF(G1510=1,0.2*R1510/D1510,L1509)</f>
        <v/>
      </c>
      <c r="M1510">
        <f>IF(G1510=1,0.2*R1510/E1510,M1509)</f>
        <v/>
      </c>
      <c r="N1510">
        <f>IF(G1510=1,0.2*R1510/F1510,N1509)</f>
        <v/>
      </c>
      <c r="O1510">
        <f>IF(G1510=1,R1510*(1-1.0),IF(H1509=0,1,O1509*(1+0.00023125256064071564)))</f>
        <v/>
      </c>
      <c r="P1510">
        <f>IF(G1510=1,IF(H1509=0,1,ABS(0.2-J1509*B1510/I1510)+ABS(0.2-K1509*C1510/I1510)+ABS(0.2-L1509*D1510/I1510)+ABS(0.2-M1509*E1510/I1510)+ABS(0.2-N1509*F1510/I1510)),0)</f>
        <v/>
      </c>
      <c r="Q1510">
        <f>P1510*0.0015</f>
        <v/>
      </c>
      <c r="R1510">
        <f>I1510*(1-Q1510)</f>
        <v/>
      </c>
      <c r="S1510">
        <f>R1510/R1509-1</f>
        <v/>
      </c>
      <c r="T1510">
        <f>MAX(T1509,R1510)</f>
        <v/>
      </c>
      <c r="U1510">
        <f>R1510/T1510-1</f>
        <v/>
      </c>
      <c r="V1510" t="n">
        <v>3.432243634392124</v>
      </c>
      <c r="W1510" s="5">
        <f>R1510-V1510</f>
        <v/>
      </c>
    </row>
    <row r="1511">
      <c r="A1511" s="3" t="n">
        <v>40662</v>
      </c>
      <c r="B1511">
        <f>Prices!B1511</f>
        <v/>
      </c>
      <c r="C1511">
        <f>Prices!C1511</f>
        <v/>
      </c>
      <c r="D1511">
        <f>Prices!D1511</f>
        <v/>
      </c>
      <c r="E1511">
        <f>Prices!E1511</f>
        <v/>
      </c>
      <c r="F1511">
        <f>Prices!F1511</f>
        <v/>
      </c>
      <c r="G1511">
        <f>IF(AND(1509&gt;=16,TEXT(A1511,"yyyy-mm")&lt;&gt;TEXT(A1512,"yyyy-mm")),1,0)</f>
        <v/>
      </c>
      <c r="H1511">
        <f>IF(OR(H1510=1,G1511=1),1,0)</f>
        <v/>
      </c>
      <c r="I1511">
        <f>IF(H1510=0,1,SUMPRODUCT(J1510:N1510,B1511:F1511)+O1510*(1+0.00023125256064071564))</f>
        <v/>
      </c>
      <c r="J1511">
        <f>IF(G1511=1,0.2*R1511/B1511,J1510)</f>
        <v/>
      </c>
      <c r="K1511">
        <f>IF(G1511=1,0.2*R1511/C1511,K1510)</f>
        <v/>
      </c>
      <c r="L1511">
        <f>IF(G1511=1,0.2*R1511/D1511,L1510)</f>
        <v/>
      </c>
      <c r="M1511">
        <f>IF(G1511=1,0.2*R1511/E1511,M1510)</f>
        <v/>
      </c>
      <c r="N1511">
        <f>IF(G1511=1,0.2*R1511/F1511,N1510)</f>
        <v/>
      </c>
      <c r="O1511">
        <f>IF(G1511=1,R1511*(1-1.0),IF(H1510=0,1,O1510*(1+0.00023125256064071564)))</f>
        <v/>
      </c>
      <c r="P1511">
        <f>IF(G1511=1,IF(H1510=0,1,ABS(0.2-J1510*B1511/I1511)+ABS(0.2-K1510*C1511/I1511)+ABS(0.2-L1510*D1511/I1511)+ABS(0.2-M1510*E1511/I1511)+ABS(0.2-N1510*F1511/I1511)),0)</f>
        <v/>
      </c>
      <c r="Q1511">
        <f>P1511*0.0015</f>
        <v/>
      </c>
      <c r="R1511">
        <f>I1511*(1-Q1511)</f>
        <v/>
      </c>
      <c r="S1511">
        <f>R1511/R1510-1</f>
        <v/>
      </c>
      <c r="T1511">
        <f>MAX(T1510,R1511)</f>
        <v/>
      </c>
      <c r="U1511">
        <f>R1511/T1511-1</f>
        <v/>
      </c>
      <c r="V1511" t="n">
        <v>3.396148221702409</v>
      </c>
      <c r="W1511" s="5">
        <f>R1511-V1511</f>
        <v/>
      </c>
    </row>
    <row r="1512">
      <c r="A1512" s="3" t="n">
        <v>40665</v>
      </c>
      <c r="B1512">
        <f>Prices!B1512</f>
        <v/>
      </c>
      <c r="C1512">
        <f>Prices!C1512</f>
        <v/>
      </c>
      <c r="D1512">
        <f>Prices!D1512</f>
        <v/>
      </c>
      <c r="E1512">
        <f>Prices!E1512</f>
        <v/>
      </c>
      <c r="F1512">
        <f>Prices!F1512</f>
        <v/>
      </c>
      <c r="G1512">
        <f>IF(AND(1510&gt;=16,TEXT(A1512,"yyyy-mm")&lt;&gt;TEXT(A1513,"yyyy-mm")),1,0)</f>
        <v/>
      </c>
      <c r="H1512">
        <f>IF(OR(H1511=1,G1512=1),1,0)</f>
        <v/>
      </c>
      <c r="I1512">
        <f>IF(H1511=0,1,SUMPRODUCT(J1511:N1511,B1512:F1512)+O1511*(1+0.00023125256064071564))</f>
        <v/>
      </c>
      <c r="J1512">
        <f>IF(G1512=1,0.2*R1512/B1512,J1511)</f>
        <v/>
      </c>
      <c r="K1512">
        <f>IF(G1512=1,0.2*R1512/C1512,K1511)</f>
        <v/>
      </c>
      <c r="L1512">
        <f>IF(G1512=1,0.2*R1512/D1512,L1511)</f>
        <v/>
      </c>
      <c r="M1512">
        <f>IF(G1512=1,0.2*R1512/E1512,M1511)</f>
        <v/>
      </c>
      <c r="N1512">
        <f>IF(G1512=1,0.2*R1512/F1512,N1511)</f>
        <v/>
      </c>
      <c r="O1512">
        <f>IF(G1512=1,R1512*(1-1.0),IF(H1511=0,1,O1511*(1+0.00023125256064071564)))</f>
        <v/>
      </c>
      <c r="P1512">
        <f>IF(G1512=1,IF(H1511=0,1,ABS(0.2-J1511*B1512/I1512)+ABS(0.2-K1511*C1512/I1512)+ABS(0.2-L1511*D1512/I1512)+ABS(0.2-M1511*E1512/I1512)+ABS(0.2-N1511*F1512/I1512)),0)</f>
        <v/>
      </c>
      <c r="Q1512">
        <f>P1512*0.0015</f>
        <v/>
      </c>
      <c r="R1512">
        <f>I1512*(1-Q1512)</f>
        <v/>
      </c>
      <c r="S1512">
        <f>R1512/R1511-1</f>
        <v/>
      </c>
      <c r="T1512">
        <f>MAX(T1511,R1512)</f>
        <v/>
      </c>
      <c r="U1512">
        <f>R1512/T1512-1</f>
        <v/>
      </c>
      <c r="V1512" t="n">
        <v>3.363113028468666</v>
      </c>
      <c r="W1512" s="5">
        <f>R1512-V1512</f>
        <v/>
      </c>
    </row>
    <row r="1513">
      <c r="A1513" s="3" t="n">
        <v>40666</v>
      </c>
      <c r="B1513">
        <f>Prices!B1513</f>
        <v/>
      </c>
      <c r="C1513">
        <f>Prices!C1513</f>
        <v/>
      </c>
      <c r="D1513">
        <f>Prices!D1513</f>
        <v/>
      </c>
      <c r="E1513">
        <f>Prices!E1513</f>
        <v/>
      </c>
      <c r="F1513">
        <f>Prices!F1513</f>
        <v/>
      </c>
      <c r="G1513">
        <f>IF(AND(1511&gt;=16,TEXT(A1513,"yyyy-mm")&lt;&gt;TEXT(A1514,"yyyy-mm")),1,0)</f>
        <v/>
      </c>
      <c r="H1513">
        <f>IF(OR(H1512=1,G1513=1),1,0)</f>
        <v/>
      </c>
      <c r="I1513">
        <f>IF(H1512=0,1,SUMPRODUCT(J1512:N1512,B1513:F1513)+O1512*(1+0.00023125256064071564))</f>
        <v/>
      </c>
      <c r="J1513">
        <f>IF(G1513=1,0.2*R1513/B1513,J1512)</f>
        <v/>
      </c>
      <c r="K1513">
        <f>IF(G1513=1,0.2*R1513/C1513,K1512)</f>
        <v/>
      </c>
      <c r="L1513">
        <f>IF(G1513=1,0.2*R1513/D1513,L1512)</f>
        <v/>
      </c>
      <c r="M1513">
        <f>IF(G1513=1,0.2*R1513/E1513,M1512)</f>
        <v/>
      </c>
      <c r="N1513">
        <f>IF(G1513=1,0.2*R1513/F1513,N1512)</f>
        <v/>
      </c>
      <c r="O1513">
        <f>IF(G1513=1,R1513*(1-1.0),IF(H1512=0,1,O1512*(1+0.00023125256064071564)))</f>
        <v/>
      </c>
      <c r="P1513">
        <f>IF(G1513=1,IF(H1512=0,1,ABS(0.2-J1512*B1513/I1513)+ABS(0.2-K1512*C1513/I1513)+ABS(0.2-L1512*D1513/I1513)+ABS(0.2-M1512*E1513/I1513)+ABS(0.2-N1512*F1513/I1513)),0)</f>
        <v/>
      </c>
      <c r="Q1513">
        <f>P1513*0.0015</f>
        <v/>
      </c>
      <c r="R1513">
        <f>I1513*(1-Q1513)</f>
        <v/>
      </c>
      <c r="S1513">
        <f>R1513/R1512-1</f>
        <v/>
      </c>
      <c r="T1513">
        <f>MAX(T1512,R1513)</f>
        <v/>
      </c>
      <c r="U1513">
        <f>R1513/T1513-1</f>
        <v/>
      </c>
      <c r="V1513" t="n">
        <v>3.295697720611012</v>
      </c>
      <c r="W1513" s="5">
        <f>R1513-V1513</f>
        <v/>
      </c>
    </row>
    <row r="1514">
      <c r="A1514" s="3" t="n">
        <v>40667</v>
      </c>
      <c r="B1514">
        <f>Prices!B1514</f>
        <v/>
      </c>
      <c r="C1514">
        <f>Prices!C1514</f>
        <v/>
      </c>
      <c r="D1514">
        <f>Prices!D1514</f>
        <v/>
      </c>
      <c r="E1514">
        <f>Prices!E1514</f>
        <v/>
      </c>
      <c r="F1514">
        <f>Prices!F1514</f>
        <v/>
      </c>
      <c r="G1514">
        <f>IF(AND(1512&gt;=16,TEXT(A1514,"yyyy-mm")&lt;&gt;TEXT(A1515,"yyyy-mm")),1,0)</f>
        <v/>
      </c>
      <c r="H1514">
        <f>IF(OR(H1513=1,G1514=1),1,0)</f>
        <v/>
      </c>
      <c r="I1514">
        <f>IF(H1513=0,1,SUMPRODUCT(J1513:N1513,B1514:F1514)+O1513*(1+0.00023125256064071564))</f>
        <v/>
      </c>
      <c r="J1514">
        <f>IF(G1514=1,0.2*R1514/B1514,J1513)</f>
        <v/>
      </c>
      <c r="K1514">
        <f>IF(G1514=1,0.2*R1514/C1514,K1513)</f>
        <v/>
      </c>
      <c r="L1514">
        <f>IF(G1514=1,0.2*R1514/D1514,L1513)</f>
        <v/>
      </c>
      <c r="M1514">
        <f>IF(G1514=1,0.2*R1514/E1514,M1513)</f>
        <v/>
      </c>
      <c r="N1514">
        <f>IF(G1514=1,0.2*R1514/F1514,N1513)</f>
        <v/>
      </c>
      <c r="O1514">
        <f>IF(G1514=1,R1514*(1-1.0),IF(H1513=0,1,O1513*(1+0.00023125256064071564)))</f>
        <v/>
      </c>
      <c r="P1514">
        <f>IF(G1514=1,IF(H1513=0,1,ABS(0.2-J1513*B1514/I1514)+ABS(0.2-K1513*C1514/I1514)+ABS(0.2-L1513*D1514/I1514)+ABS(0.2-M1513*E1514/I1514)+ABS(0.2-N1513*F1514/I1514)),0)</f>
        <v/>
      </c>
      <c r="Q1514">
        <f>P1514*0.0015</f>
        <v/>
      </c>
      <c r="R1514">
        <f>I1514*(1-Q1514)</f>
        <v/>
      </c>
      <c r="S1514">
        <f>R1514/R1513-1</f>
        <v/>
      </c>
      <c r="T1514">
        <f>MAX(T1513,R1514)</f>
        <v/>
      </c>
      <c r="U1514">
        <f>R1514/T1514-1</f>
        <v/>
      </c>
      <c r="V1514" t="n">
        <v>3.279791957192346</v>
      </c>
      <c r="W1514" s="5">
        <f>R1514-V1514</f>
        <v/>
      </c>
    </row>
    <row r="1515">
      <c r="A1515" s="3" t="n">
        <v>40668</v>
      </c>
      <c r="B1515">
        <f>Prices!B1515</f>
        <v/>
      </c>
      <c r="C1515">
        <f>Prices!C1515</f>
        <v/>
      </c>
      <c r="D1515">
        <f>Prices!D1515</f>
        <v/>
      </c>
      <c r="E1515">
        <f>Prices!E1515</f>
        <v/>
      </c>
      <c r="F1515">
        <f>Prices!F1515</f>
        <v/>
      </c>
      <c r="G1515">
        <f>IF(AND(1513&gt;=16,TEXT(A1515,"yyyy-mm")&lt;&gt;TEXT(A1516,"yyyy-mm")),1,0)</f>
        <v/>
      </c>
      <c r="H1515">
        <f>IF(OR(H1514=1,G1515=1),1,0)</f>
        <v/>
      </c>
      <c r="I1515">
        <f>IF(H1514=0,1,SUMPRODUCT(J1514:N1514,B1515:F1515)+O1514*(1+0.00023125256064071564))</f>
        <v/>
      </c>
      <c r="J1515">
        <f>IF(G1515=1,0.2*R1515/B1515,J1514)</f>
        <v/>
      </c>
      <c r="K1515">
        <f>IF(G1515=1,0.2*R1515/C1515,K1514)</f>
        <v/>
      </c>
      <c r="L1515">
        <f>IF(G1515=1,0.2*R1515/D1515,L1514)</f>
        <v/>
      </c>
      <c r="M1515">
        <f>IF(G1515=1,0.2*R1515/E1515,M1514)</f>
        <v/>
      </c>
      <c r="N1515">
        <f>IF(G1515=1,0.2*R1515/F1515,N1514)</f>
        <v/>
      </c>
      <c r="O1515">
        <f>IF(G1515=1,R1515*(1-1.0),IF(H1514=0,1,O1514*(1+0.00023125256064071564)))</f>
        <v/>
      </c>
      <c r="P1515">
        <f>IF(G1515=1,IF(H1514=0,1,ABS(0.2-J1514*B1515/I1515)+ABS(0.2-K1514*C1515/I1515)+ABS(0.2-L1514*D1515/I1515)+ABS(0.2-M1514*E1515/I1515)+ABS(0.2-N1514*F1515/I1515)),0)</f>
        <v/>
      </c>
      <c r="Q1515">
        <f>P1515*0.0015</f>
        <v/>
      </c>
      <c r="R1515">
        <f>I1515*(1-Q1515)</f>
        <v/>
      </c>
      <c r="S1515">
        <f>R1515/R1514-1</f>
        <v/>
      </c>
      <c r="T1515">
        <f>MAX(T1514,R1515)</f>
        <v/>
      </c>
      <c r="U1515">
        <f>R1515/T1515-1</f>
        <v/>
      </c>
      <c r="V1515" t="n">
        <v>3.242037683037292</v>
      </c>
      <c r="W1515" s="5">
        <f>R1515-V1515</f>
        <v/>
      </c>
    </row>
    <row r="1516">
      <c r="A1516" s="3" t="n">
        <v>40669</v>
      </c>
      <c r="B1516">
        <f>Prices!B1516</f>
        <v/>
      </c>
      <c r="C1516">
        <f>Prices!C1516</f>
        <v/>
      </c>
      <c r="D1516">
        <f>Prices!D1516</f>
        <v/>
      </c>
      <c r="E1516">
        <f>Prices!E1516</f>
        <v/>
      </c>
      <c r="F1516">
        <f>Prices!F1516</f>
        <v/>
      </c>
      <c r="G1516">
        <f>IF(AND(1514&gt;=16,TEXT(A1516,"yyyy-mm")&lt;&gt;TEXT(A1517,"yyyy-mm")),1,0)</f>
        <v/>
      </c>
      <c r="H1516">
        <f>IF(OR(H1515=1,G1516=1),1,0)</f>
        <v/>
      </c>
      <c r="I1516">
        <f>IF(H1515=0,1,SUMPRODUCT(J1515:N1515,B1516:F1516)+O1515*(1+0.00023125256064071564))</f>
        <v/>
      </c>
      <c r="J1516">
        <f>IF(G1516=1,0.2*R1516/B1516,J1515)</f>
        <v/>
      </c>
      <c r="K1516">
        <f>IF(G1516=1,0.2*R1516/C1516,K1515)</f>
        <v/>
      </c>
      <c r="L1516">
        <f>IF(G1516=1,0.2*R1516/D1516,L1515)</f>
        <v/>
      </c>
      <c r="M1516">
        <f>IF(G1516=1,0.2*R1516/E1516,M1515)</f>
        <v/>
      </c>
      <c r="N1516">
        <f>IF(G1516=1,0.2*R1516/F1516,N1515)</f>
        <v/>
      </c>
      <c r="O1516">
        <f>IF(G1516=1,R1516*(1-1.0),IF(H1515=0,1,O1515*(1+0.00023125256064071564)))</f>
        <v/>
      </c>
      <c r="P1516">
        <f>IF(G1516=1,IF(H1515=0,1,ABS(0.2-J1515*B1516/I1516)+ABS(0.2-K1515*C1516/I1516)+ABS(0.2-L1515*D1516/I1516)+ABS(0.2-M1515*E1516/I1516)+ABS(0.2-N1515*F1516/I1516)),0)</f>
        <v/>
      </c>
      <c r="Q1516">
        <f>P1516*0.0015</f>
        <v/>
      </c>
      <c r="R1516">
        <f>I1516*(1-Q1516)</f>
        <v/>
      </c>
      <c r="S1516">
        <f>R1516/R1515-1</f>
        <v/>
      </c>
      <c r="T1516">
        <f>MAX(T1515,R1516)</f>
        <v/>
      </c>
      <c r="U1516">
        <f>R1516/T1516-1</f>
        <v/>
      </c>
      <c r="V1516" t="n">
        <v>3.307800760104929</v>
      </c>
      <c r="W1516" s="5">
        <f>R1516-V1516</f>
        <v/>
      </c>
    </row>
    <row r="1517">
      <c r="A1517" s="3" t="n">
        <v>40672</v>
      </c>
      <c r="B1517">
        <f>Prices!B1517</f>
        <v/>
      </c>
      <c r="C1517">
        <f>Prices!C1517</f>
        <v/>
      </c>
      <c r="D1517">
        <f>Prices!D1517</f>
        <v/>
      </c>
      <c r="E1517">
        <f>Prices!E1517</f>
        <v/>
      </c>
      <c r="F1517">
        <f>Prices!F1517</f>
        <v/>
      </c>
      <c r="G1517">
        <f>IF(AND(1515&gt;=16,TEXT(A1517,"yyyy-mm")&lt;&gt;TEXT(A1518,"yyyy-mm")),1,0)</f>
        <v/>
      </c>
      <c r="H1517">
        <f>IF(OR(H1516=1,G1517=1),1,0)</f>
        <v/>
      </c>
      <c r="I1517">
        <f>IF(H1516=0,1,SUMPRODUCT(J1516:N1516,B1517:F1517)+O1516*(1+0.00023125256064071564))</f>
        <v/>
      </c>
      <c r="J1517">
        <f>IF(G1517=1,0.2*R1517/B1517,J1516)</f>
        <v/>
      </c>
      <c r="K1517">
        <f>IF(G1517=1,0.2*R1517/C1517,K1516)</f>
        <v/>
      </c>
      <c r="L1517">
        <f>IF(G1517=1,0.2*R1517/D1517,L1516)</f>
        <v/>
      </c>
      <c r="M1517">
        <f>IF(G1517=1,0.2*R1517/E1517,M1516)</f>
        <v/>
      </c>
      <c r="N1517">
        <f>IF(G1517=1,0.2*R1517/F1517,N1516)</f>
        <v/>
      </c>
      <c r="O1517">
        <f>IF(G1517=1,R1517*(1-1.0),IF(H1516=0,1,O1516*(1+0.00023125256064071564)))</f>
        <v/>
      </c>
      <c r="P1517">
        <f>IF(G1517=1,IF(H1516=0,1,ABS(0.2-J1516*B1517/I1517)+ABS(0.2-K1516*C1517/I1517)+ABS(0.2-L1516*D1517/I1517)+ABS(0.2-M1516*E1517/I1517)+ABS(0.2-N1516*F1517/I1517)),0)</f>
        <v/>
      </c>
      <c r="Q1517">
        <f>P1517*0.0015</f>
        <v/>
      </c>
      <c r="R1517">
        <f>I1517*(1-Q1517)</f>
        <v/>
      </c>
      <c r="S1517">
        <f>R1517/R1516-1</f>
        <v/>
      </c>
      <c r="T1517">
        <f>MAX(T1516,R1517)</f>
        <v/>
      </c>
      <c r="U1517">
        <f>R1517/T1517-1</f>
        <v/>
      </c>
      <c r="V1517" t="n">
        <v>3.306598226911916</v>
      </c>
      <c r="W1517" s="5">
        <f>R1517-V1517</f>
        <v/>
      </c>
    </row>
    <row r="1518">
      <c r="A1518" s="3" t="n">
        <v>40673</v>
      </c>
      <c r="B1518">
        <f>Prices!B1518</f>
        <v/>
      </c>
      <c r="C1518">
        <f>Prices!C1518</f>
        <v/>
      </c>
      <c r="D1518">
        <f>Prices!D1518</f>
        <v/>
      </c>
      <c r="E1518">
        <f>Prices!E1518</f>
        <v/>
      </c>
      <c r="F1518">
        <f>Prices!F1518</f>
        <v/>
      </c>
      <c r="G1518">
        <f>IF(AND(1516&gt;=16,TEXT(A1518,"yyyy-mm")&lt;&gt;TEXT(A1519,"yyyy-mm")),1,0)</f>
        <v/>
      </c>
      <c r="H1518">
        <f>IF(OR(H1517=1,G1518=1),1,0)</f>
        <v/>
      </c>
      <c r="I1518">
        <f>IF(H1517=0,1,SUMPRODUCT(J1517:N1517,B1518:F1518)+O1517*(1+0.00023125256064071564))</f>
        <v/>
      </c>
      <c r="J1518">
        <f>IF(G1518=1,0.2*R1518/B1518,J1517)</f>
        <v/>
      </c>
      <c r="K1518">
        <f>IF(G1518=1,0.2*R1518/C1518,K1517)</f>
        <v/>
      </c>
      <c r="L1518">
        <f>IF(G1518=1,0.2*R1518/D1518,L1517)</f>
        <v/>
      </c>
      <c r="M1518">
        <f>IF(G1518=1,0.2*R1518/E1518,M1517)</f>
        <v/>
      </c>
      <c r="N1518">
        <f>IF(G1518=1,0.2*R1518/F1518,N1517)</f>
        <v/>
      </c>
      <c r="O1518">
        <f>IF(G1518=1,R1518*(1-1.0),IF(H1517=0,1,O1517*(1+0.00023125256064071564)))</f>
        <v/>
      </c>
      <c r="P1518">
        <f>IF(G1518=1,IF(H1517=0,1,ABS(0.2-J1517*B1518/I1518)+ABS(0.2-K1517*C1518/I1518)+ABS(0.2-L1517*D1518/I1518)+ABS(0.2-M1517*E1518/I1518)+ABS(0.2-N1517*F1518/I1518)),0)</f>
        <v/>
      </c>
      <c r="Q1518">
        <f>P1518*0.0015</f>
        <v/>
      </c>
      <c r="R1518">
        <f>I1518*(1-Q1518)</f>
        <v/>
      </c>
      <c r="S1518">
        <f>R1518/R1517-1</f>
        <v/>
      </c>
      <c r="T1518">
        <f>MAX(T1517,R1518)</f>
        <v/>
      </c>
      <c r="U1518">
        <f>R1518/T1518-1</f>
        <v/>
      </c>
      <c r="V1518" t="n">
        <v>3.307544852113982</v>
      </c>
      <c r="W1518" s="5">
        <f>R1518-V1518</f>
        <v/>
      </c>
    </row>
    <row r="1519">
      <c r="A1519" s="3" t="n">
        <v>40674</v>
      </c>
      <c r="B1519">
        <f>Prices!B1519</f>
        <v/>
      </c>
      <c r="C1519">
        <f>Prices!C1519</f>
        <v/>
      </c>
      <c r="D1519">
        <f>Prices!D1519</f>
        <v/>
      </c>
      <c r="E1519">
        <f>Prices!E1519</f>
        <v/>
      </c>
      <c r="F1519">
        <f>Prices!F1519</f>
        <v/>
      </c>
      <c r="G1519">
        <f>IF(AND(1517&gt;=16,TEXT(A1519,"yyyy-mm")&lt;&gt;TEXT(A1520,"yyyy-mm")),1,0)</f>
        <v/>
      </c>
      <c r="H1519">
        <f>IF(OR(H1518=1,G1519=1),1,0)</f>
        <v/>
      </c>
      <c r="I1519">
        <f>IF(H1518=0,1,SUMPRODUCT(J1518:N1518,B1519:F1519)+O1518*(1+0.00023125256064071564))</f>
        <v/>
      </c>
      <c r="J1519">
        <f>IF(G1519=1,0.2*R1519/B1519,J1518)</f>
        <v/>
      </c>
      <c r="K1519">
        <f>IF(G1519=1,0.2*R1519/C1519,K1518)</f>
        <v/>
      </c>
      <c r="L1519">
        <f>IF(G1519=1,0.2*R1519/D1519,L1518)</f>
        <v/>
      </c>
      <c r="M1519">
        <f>IF(G1519=1,0.2*R1519/E1519,M1518)</f>
        <v/>
      </c>
      <c r="N1519">
        <f>IF(G1519=1,0.2*R1519/F1519,N1518)</f>
        <v/>
      </c>
      <c r="O1519">
        <f>IF(G1519=1,R1519*(1-1.0),IF(H1518=0,1,O1518*(1+0.00023125256064071564)))</f>
        <v/>
      </c>
      <c r="P1519">
        <f>IF(G1519=1,IF(H1518=0,1,ABS(0.2-J1518*B1519/I1519)+ABS(0.2-K1518*C1519/I1519)+ABS(0.2-L1518*D1519/I1519)+ABS(0.2-M1518*E1519/I1519)+ABS(0.2-N1518*F1519/I1519)),0)</f>
        <v/>
      </c>
      <c r="Q1519">
        <f>P1519*0.0015</f>
        <v/>
      </c>
      <c r="R1519">
        <f>I1519*(1-Q1519)</f>
        <v/>
      </c>
      <c r="S1519">
        <f>R1519/R1518-1</f>
        <v/>
      </c>
      <c r="T1519">
        <f>MAX(T1518,R1519)</f>
        <v/>
      </c>
      <c r="U1519">
        <f>R1519/T1519-1</f>
        <v/>
      </c>
      <c r="V1519" t="n">
        <v>3.332661643101774</v>
      </c>
      <c r="W1519" s="5">
        <f>R1519-V1519</f>
        <v/>
      </c>
    </row>
    <row r="1520">
      <c r="A1520" s="3" t="n">
        <v>40675</v>
      </c>
      <c r="B1520">
        <f>Prices!B1520</f>
        <v/>
      </c>
      <c r="C1520">
        <f>Prices!C1520</f>
        <v/>
      </c>
      <c r="D1520">
        <f>Prices!D1520</f>
        <v/>
      </c>
      <c r="E1520">
        <f>Prices!E1520</f>
        <v/>
      </c>
      <c r="F1520">
        <f>Prices!F1520</f>
        <v/>
      </c>
      <c r="G1520">
        <f>IF(AND(1518&gt;=16,TEXT(A1520,"yyyy-mm")&lt;&gt;TEXT(A1521,"yyyy-mm")),1,0)</f>
        <v/>
      </c>
      <c r="H1520">
        <f>IF(OR(H1519=1,G1520=1),1,0)</f>
        <v/>
      </c>
      <c r="I1520">
        <f>IF(H1519=0,1,SUMPRODUCT(J1519:N1519,B1520:F1520)+O1519*(1+0.00023125256064071564))</f>
        <v/>
      </c>
      <c r="J1520">
        <f>IF(G1520=1,0.2*R1520/B1520,J1519)</f>
        <v/>
      </c>
      <c r="K1520">
        <f>IF(G1520=1,0.2*R1520/C1520,K1519)</f>
        <v/>
      </c>
      <c r="L1520">
        <f>IF(G1520=1,0.2*R1520/D1520,L1519)</f>
        <v/>
      </c>
      <c r="M1520">
        <f>IF(G1520=1,0.2*R1520/E1520,M1519)</f>
        <v/>
      </c>
      <c r="N1520">
        <f>IF(G1520=1,0.2*R1520/F1520,N1519)</f>
        <v/>
      </c>
      <c r="O1520">
        <f>IF(G1520=1,R1520*(1-1.0),IF(H1519=0,1,O1519*(1+0.00023125256064071564)))</f>
        <v/>
      </c>
      <c r="P1520">
        <f>IF(G1520=1,IF(H1519=0,1,ABS(0.2-J1519*B1520/I1520)+ABS(0.2-K1519*C1520/I1520)+ABS(0.2-L1519*D1520/I1520)+ABS(0.2-M1519*E1520/I1520)+ABS(0.2-N1519*F1520/I1520)),0)</f>
        <v/>
      </c>
      <c r="Q1520">
        <f>P1520*0.0015</f>
        <v/>
      </c>
      <c r="R1520">
        <f>I1520*(1-Q1520)</f>
        <v/>
      </c>
      <c r="S1520">
        <f>R1520/R1519-1</f>
        <v/>
      </c>
      <c r="T1520">
        <f>MAX(T1519,R1520)</f>
        <v/>
      </c>
      <c r="U1520">
        <f>R1520/T1520-1</f>
        <v/>
      </c>
      <c r="V1520" t="n">
        <v>3.293626251661829</v>
      </c>
      <c r="W1520" s="5">
        <f>R1520-V1520</f>
        <v/>
      </c>
    </row>
    <row r="1521">
      <c r="A1521" s="3" t="n">
        <v>40676</v>
      </c>
      <c r="B1521">
        <f>Prices!B1521</f>
        <v/>
      </c>
      <c r="C1521">
        <f>Prices!C1521</f>
        <v/>
      </c>
      <c r="D1521">
        <f>Prices!D1521</f>
        <v/>
      </c>
      <c r="E1521">
        <f>Prices!E1521</f>
        <v/>
      </c>
      <c r="F1521">
        <f>Prices!F1521</f>
        <v/>
      </c>
      <c r="G1521">
        <f>IF(AND(1519&gt;=16,TEXT(A1521,"yyyy-mm")&lt;&gt;TEXT(A1522,"yyyy-mm")),1,0)</f>
        <v/>
      </c>
      <c r="H1521">
        <f>IF(OR(H1520=1,G1521=1),1,0)</f>
        <v/>
      </c>
      <c r="I1521">
        <f>IF(H1520=0,1,SUMPRODUCT(J1520:N1520,B1521:F1521)+O1520*(1+0.00023125256064071564))</f>
        <v/>
      </c>
      <c r="J1521">
        <f>IF(G1521=1,0.2*R1521/B1521,J1520)</f>
        <v/>
      </c>
      <c r="K1521">
        <f>IF(G1521=1,0.2*R1521/C1521,K1520)</f>
        <v/>
      </c>
      <c r="L1521">
        <f>IF(G1521=1,0.2*R1521/D1521,L1520)</f>
        <v/>
      </c>
      <c r="M1521">
        <f>IF(G1521=1,0.2*R1521/E1521,M1520)</f>
        <v/>
      </c>
      <c r="N1521">
        <f>IF(G1521=1,0.2*R1521/F1521,N1520)</f>
        <v/>
      </c>
      <c r="O1521">
        <f>IF(G1521=1,R1521*(1-1.0),IF(H1520=0,1,O1520*(1+0.00023125256064071564)))</f>
        <v/>
      </c>
      <c r="P1521">
        <f>IF(G1521=1,IF(H1520=0,1,ABS(0.2-J1520*B1521/I1521)+ABS(0.2-K1520*C1521/I1521)+ABS(0.2-L1520*D1521/I1521)+ABS(0.2-M1520*E1521/I1521)+ABS(0.2-N1520*F1521/I1521)),0)</f>
        <v/>
      </c>
      <c r="Q1521">
        <f>P1521*0.0015</f>
        <v/>
      </c>
      <c r="R1521">
        <f>I1521*(1-Q1521)</f>
        <v/>
      </c>
      <c r="S1521">
        <f>R1521/R1520-1</f>
        <v/>
      </c>
      <c r="T1521">
        <f>MAX(T1520,R1521)</f>
        <v/>
      </c>
      <c r="U1521">
        <f>R1521/T1521-1</f>
        <v/>
      </c>
      <c r="V1521" t="n">
        <v>3.323165414369499</v>
      </c>
      <c r="W1521" s="5">
        <f>R1521-V1521</f>
        <v/>
      </c>
    </row>
    <row r="1522">
      <c r="A1522" s="3" t="n">
        <v>40679</v>
      </c>
      <c r="B1522">
        <f>Prices!B1522</f>
        <v/>
      </c>
      <c r="C1522">
        <f>Prices!C1522</f>
        <v/>
      </c>
      <c r="D1522">
        <f>Prices!D1522</f>
        <v/>
      </c>
      <c r="E1522">
        <f>Prices!E1522</f>
        <v/>
      </c>
      <c r="F1522">
        <f>Prices!F1522</f>
        <v/>
      </c>
      <c r="G1522">
        <f>IF(AND(1520&gt;=16,TEXT(A1522,"yyyy-mm")&lt;&gt;TEXT(A1523,"yyyy-mm")),1,0)</f>
        <v/>
      </c>
      <c r="H1522">
        <f>IF(OR(H1521=1,G1522=1),1,0)</f>
        <v/>
      </c>
      <c r="I1522">
        <f>IF(H1521=0,1,SUMPRODUCT(J1521:N1521,B1522:F1522)+O1521*(1+0.00023125256064071564))</f>
        <v/>
      </c>
      <c r="J1522">
        <f>IF(G1522=1,0.2*R1522/B1522,J1521)</f>
        <v/>
      </c>
      <c r="K1522">
        <f>IF(G1522=1,0.2*R1522/C1522,K1521)</f>
        <v/>
      </c>
      <c r="L1522">
        <f>IF(G1522=1,0.2*R1522/D1522,L1521)</f>
        <v/>
      </c>
      <c r="M1522">
        <f>IF(G1522=1,0.2*R1522/E1522,M1521)</f>
        <v/>
      </c>
      <c r="N1522">
        <f>IF(G1522=1,0.2*R1522/F1522,N1521)</f>
        <v/>
      </c>
      <c r="O1522">
        <f>IF(G1522=1,R1522*(1-1.0),IF(H1521=0,1,O1521*(1+0.00023125256064071564)))</f>
        <v/>
      </c>
      <c r="P1522">
        <f>IF(G1522=1,IF(H1521=0,1,ABS(0.2-J1521*B1522/I1522)+ABS(0.2-K1521*C1522/I1522)+ABS(0.2-L1521*D1522/I1522)+ABS(0.2-M1521*E1522/I1522)+ABS(0.2-N1521*F1522/I1522)),0)</f>
        <v/>
      </c>
      <c r="Q1522">
        <f>P1522*0.0015</f>
        <v/>
      </c>
      <c r="R1522">
        <f>I1522*(1-Q1522)</f>
        <v/>
      </c>
      <c r="S1522">
        <f>R1522/R1521-1</f>
        <v/>
      </c>
      <c r="T1522">
        <f>MAX(T1521,R1522)</f>
        <v/>
      </c>
      <c r="U1522">
        <f>R1522/T1522-1</f>
        <v/>
      </c>
      <c r="V1522" t="n">
        <v>3.302463335653478</v>
      </c>
      <c r="W1522" s="5">
        <f>R1522-V1522</f>
        <v/>
      </c>
    </row>
    <row r="1523">
      <c r="A1523" s="3" t="n">
        <v>40680</v>
      </c>
      <c r="B1523">
        <f>Prices!B1523</f>
        <v/>
      </c>
      <c r="C1523">
        <f>Prices!C1523</f>
        <v/>
      </c>
      <c r="D1523">
        <f>Prices!D1523</f>
        <v/>
      </c>
      <c r="E1523">
        <f>Prices!E1523</f>
        <v/>
      </c>
      <c r="F1523">
        <f>Prices!F1523</f>
        <v/>
      </c>
      <c r="G1523">
        <f>IF(AND(1521&gt;=16,TEXT(A1523,"yyyy-mm")&lt;&gt;TEXT(A1524,"yyyy-mm")),1,0)</f>
        <v/>
      </c>
      <c r="H1523">
        <f>IF(OR(H1522=1,G1523=1),1,0)</f>
        <v/>
      </c>
      <c r="I1523">
        <f>IF(H1522=0,1,SUMPRODUCT(J1522:N1522,B1523:F1523)+O1522*(1+0.00023125256064071564))</f>
        <v/>
      </c>
      <c r="J1523">
        <f>IF(G1523=1,0.2*R1523/B1523,J1522)</f>
        <v/>
      </c>
      <c r="K1523">
        <f>IF(G1523=1,0.2*R1523/C1523,K1522)</f>
        <v/>
      </c>
      <c r="L1523">
        <f>IF(G1523=1,0.2*R1523/D1523,L1522)</f>
        <v/>
      </c>
      <c r="M1523">
        <f>IF(G1523=1,0.2*R1523/E1523,M1522)</f>
        <v/>
      </c>
      <c r="N1523">
        <f>IF(G1523=1,0.2*R1523/F1523,N1522)</f>
        <v/>
      </c>
      <c r="O1523">
        <f>IF(G1523=1,R1523*(1-1.0),IF(H1522=0,1,O1522*(1+0.00023125256064071564)))</f>
        <v/>
      </c>
      <c r="P1523">
        <f>IF(G1523=1,IF(H1522=0,1,ABS(0.2-J1522*B1523/I1523)+ABS(0.2-K1522*C1523/I1523)+ABS(0.2-L1522*D1523/I1523)+ABS(0.2-M1522*E1523/I1523)+ABS(0.2-N1522*F1523/I1523)),0)</f>
        <v/>
      </c>
      <c r="Q1523">
        <f>P1523*0.0015</f>
        <v/>
      </c>
      <c r="R1523">
        <f>I1523*(1-Q1523)</f>
        <v/>
      </c>
      <c r="S1523">
        <f>R1523/R1522-1</f>
        <v/>
      </c>
      <c r="T1523">
        <f>MAX(T1522,R1523)</f>
        <v/>
      </c>
      <c r="U1523">
        <f>R1523/T1523-1</f>
        <v/>
      </c>
      <c r="V1523" t="n">
        <v>3.275753515933096</v>
      </c>
      <c r="W1523" s="5">
        <f>R1523-V1523</f>
        <v/>
      </c>
    </row>
    <row r="1524">
      <c r="A1524" s="3" t="n">
        <v>40681</v>
      </c>
      <c r="B1524">
        <f>Prices!B1524</f>
        <v/>
      </c>
      <c r="C1524">
        <f>Prices!C1524</f>
        <v/>
      </c>
      <c r="D1524">
        <f>Prices!D1524</f>
        <v/>
      </c>
      <c r="E1524">
        <f>Prices!E1524</f>
        <v/>
      </c>
      <c r="F1524">
        <f>Prices!F1524</f>
        <v/>
      </c>
      <c r="G1524">
        <f>IF(AND(1522&gt;=16,TEXT(A1524,"yyyy-mm")&lt;&gt;TEXT(A1525,"yyyy-mm")),1,0)</f>
        <v/>
      </c>
      <c r="H1524">
        <f>IF(OR(H1523=1,G1524=1),1,0)</f>
        <v/>
      </c>
      <c r="I1524">
        <f>IF(H1523=0,1,SUMPRODUCT(J1523:N1523,B1524:F1524)+O1523*(1+0.00023125256064071564))</f>
        <v/>
      </c>
      <c r="J1524">
        <f>IF(G1524=1,0.2*R1524/B1524,J1523)</f>
        <v/>
      </c>
      <c r="K1524">
        <f>IF(G1524=1,0.2*R1524/C1524,K1523)</f>
        <v/>
      </c>
      <c r="L1524">
        <f>IF(G1524=1,0.2*R1524/D1524,L1523)</f>
        <v/>
      </c>
      <c r="M1524">
        <f>IF(G1524=1,0.2*R1524/E1524,M1523)</f>
        <v/>
      </c>
      <c r="N1524">
        <f>IF(G1524=1,0.2*R1524/F1524,N1523)</f>
        <v/>
      </c>
      <c r="O1524">
        <f>IF(G1524=1,R1524*(1-1.0),IF(H1523=0,1,O1523*(1+0.00023125256064071564)))</f>
        <v/>
      </c>
      <c r="P1524">
        <f>IF(G1524=1,IF(H1523=0,1,ABS(0.2-J1523*B1524/I1524)+ABS(0.2-K1523*C1524/I1524)+ABS(0.2-L1523*D1524/I1524)+ABS(0.2-M1523*E1524/I1524)+ABS(0.2-N1523*F1524/I1524)),0)</f>
        <v/>
      </c>
      <c r="Q1524">
        <f>P1524*0.0015</f>
        <v/>
      </c>
      <c r="R1524">
        <f>I1524*(1-Q1524)</f>
        <v/>
      </c>
      <c r="S1524">
        <f>R1524/R1523-1</f>
        <v/>
      </c>
      <c r="T1524">
        <f>MAX(T1523,R1524)</f>
        <v/>
      </c>
      <c r="U1524">
        <f>R1524/T1524-1</f>
        <v/>
      </c>
      <c r="V1524" t="n">
        <v>3.256903884661685</v>
      </c>
      <c r="W1524" s="5">
        <f>R1524-V1524</f>
        <v/>
      </c>
    </row>
    <row r="1525">
      <c r="A1525" s="3" t="n">
        <v>40682</v>
      </c>
      <c r="B1525">
        <f>Prices!B1525</f>
        <v/>
      </c>
      <c r="C1525">
        <f>Prices!C1525</f>
        <v/>
      </c>
      <c r="D1525">
        <f>Prices!D1525</f>
        <v/>
      </c>
      <c r="E1525">
        <f>Prices!E1525</f>
        <v/>
      </c>
      <c r="F1525">
        <f>Prices!F1525</f>
        <v/>
      </c>
      <c r="G1525">
        <f>IF(AND(1523&gt;=16,TEXT(A1525,"yyyy-mm")&lt;&gt;TEXT(A1526,"yyyy-mm")),1,0)</f>
        <v/>
      </c>
      <c r="H1525">
        <f>IF(OR(H1524=1,G1525=1),1,0)</f>
        <v/>
      </c>
      <c r="I1525">
        <f>IF(H1524=0,1,SUMPRODUCT(J1524:N1524,B1525:F1525)+O1524*(1+0.00023125256064071564))</f>
        <v/>
      </c>
      <c r="J1525">
        <f>IF(G1525=1,0.2*R1525/B1525,J1524)</f>
        <v/>
      </c>
      <c r="K1525">
        <f>IF(G1525=1,0.2*R1525/C1525,K1524)</f>
        <v/>
      </c>
      <c r="L1525">
        <f>IF(G1525=1,0.2*R1525/D1525,L1524)</f>
        <v/>
      </c>
      <c r="M1525">
        <f>IF(G1525=1,0.2*R1525/E1525,M1524)</f>
        <v/>
      </c>
      <c r="N1525">
        <f>IF(G1525=1,0.2*R1525/F1525,N1524)</f>
        <v/>
      </c>
      <c r="O1525">
        <f>IF(G1525=1,R1525*(1-1.0),IF(H1524=0,1,O1524*(1+0.00023125256064071564)))</f>
        <v/>
      </c>
      <c r="P1525">
        <f>IF(G1525=1,IF(H1524=0,1,ABS(0.2-J1524*B1525/I1525)+ABS(0.2-K1524*C1525/I1525)+ABS(0.2-L1524*D1525/I1525)+ABS(0.2-M1524*E1525/I1525)+ABS(0.2-N1524*F1525/I1525)),0)</f>
        <v/>
      </c>
      <c r="Q1525">
        <f>P1525*0.0015</f>
        <v/>
      </c>
      <c r="R1525">
        <f>I1525*(1-Q1525)</f>
        <v/>
      </c>
      <c r="S1525">
        <f>R1525/R1524-1</f>
        <v/>
      </c>
      <c r="T1525">
        <f>MAX(T1524,R1525)</f>
        <v/>
      </c>
      <c r="U1525">
        <f>R1525/T1525-1</f>
        <v/>
      </c>
      <c r="V1525" t="n">
        <v>3.246493546056357</v>
      </c>
      <c r="W1525" s="5">
        <f>R1525-V1525</f>
        <v/>
      </c>
    </row>
    <row r="1526">
      <c r="A1526" s="3" t="n">
        <v>40683</v>
      </c>
      <c r="B1526">
        <f>Prices!B1526</f>
        <v/>
      </c>
      <c r="C1526">
        <f>Prices!C1526</f>
        <v/>
      </c>
      <c r="D1526">
        <f>Prices!D1526</f>
        <v/>
      </c>
      <c r="E1526">
        <f>Prices!E1526</f>
        <v/>
      </c>
      <c r="F1526">
        <f>Prices!F1526</f>
        <v/>
      </c>
      <c r="G1526">
        <f>IF(AND(1524&gt;=16,TEXT(A1526,"yyyy-mm")&lt;&gt;TEXT(A1527,"yyyy-mm")),1,0)</f>
        <v/>
      </c>
      <c r="H1526">
        <f>IF(OR(H1525=1,G1526=1),1,0)</f>
        <v/>
      </c>
      <c r="I1526">
        <f>IF(H1525=0,1,SUMPRODUCT(J1525:N1525,B1526:F1526)+O1525*(1+0.00023125256064071564))</f>
        <v/>
      </c>
      <c r="J1526">
        <f>IF(G1526=1,0.2*R1526/B1526,J1525)</f>
        <v/>
      </c>
      <c r="K1526">
        <f>IF(G1526=1,0.2*R1526/C1526,K1525)</f>
        <v/>
      </c>
      <c r="L1526">
        <f>IF(G1526=1,0.2*R1526/D1526,L1525)</f>
        <v/>
      </c>
      <c r="M1526">
        <f>IF(G1526=1,0.2*R1526/E1526,M1525)</f>
        <v/>
      </c>
      <c r="N1526">
        <f>IF(G1526=1,0.2*R1526/F1526,N1525)</f>
        <v/>
      </c>
      <c r="O1526">
        <f>IF(G1526=1,R1526*(1-1.0),IF(H1525=0,1,O1525*(1+0.00023125256064071564)))</f>
        <v/>
      </c>
      <c r="P1526">
        <f>IF(G1526=1,IF(H1525=0,1,ABS(0.2-J1525*B1526/I1526)+ABS(0.2-K1525*C1526/I1526)+ABS(0.2-L1525*D1526/I1526)+ABS(0.2-M1525*E1526/I1526)+ABS(0.2-N1525*F1526/I1526)),0)</f>
        <v/>
      </c>
      <c r="Q1526">
        <f>P1526*0.0015</f>
        <v/>
      </c>
      <c r="R1526">
        <f>I1526*(1-Q1526)</f>
        <v/>
      </c>
      <c r="S1526">
        <f>R1526/R1525-1</f>
        <v/>
      </c>
      <c r="T1526">
        <f>MAX(T1525,R1526)</f>
        <v/>
      </c>
      <c r="U1526">
        <f>R1526/T1526-1</f>
        <v/>
      </c>
      <c r="V1526" t="n">
        <v>3.278301226616053</v>
      </c>
      <c r="W1526" s="5">
        <f>R1526-V1526</f>
        <v/>
      </c>
    </row>
    <row r="1527">
      <c r="A1527" s="3" t="n">
        <v>40686</v>
      </c>
      <c r="B1527">
        <f>Prices!B1527</f>
        <v/>
      </c>
      <c r="C1527">
        <f>Prices!C1527</f>
        <v/>
      </c>
      <c r="D1527">
        <f>Prices!D1527</f>
        <v/>
      </c>
      <c r="E1527">
        <f>Prices!E1527</f>
        <v/>
      </c>
      <c r="F1527">
        <f>Prices!F1527</f>
        <v/>
      </c>
      <c r="G1527">
        <f>IF(AND(1525&gt;=16,TEXT(A1527,"yyyy-mm")&lt;&gt;TEXT(A1528,"yyyy-mm")),1,0)</f>
        <v/>
      </c>
      <c r="H1527">
        <f>IF(OR(H1526=1,G1527=1),1,0)</f>
        <v/>
      </c>
      <c r="I1527">
        <f>IF(H1526=0,1,SUMPRODUCT(J1526:N1526,B1527:F1527)+O1526*(1+0.00023125256064071564))</f>
        <v/>
      </c>
      <c r="J1527">
        <f>IF(G1527=1,0.2*R1527/B1527,J1526)</f>
        <v/>
      </c>
      <c r="K1527">
        <f>IF(G1527=1,0.2*R1527/C1527,K1526)</f>
        <v/>
      </c>
      <c r="L1527">
        <f>IF(G1527=1,0.2*R1527/D1527,L1526)</f>
        <v/>
      </c>
      <c r="M1527">
        <f>IF(G1527=1,0.2*R1527/E1527,M1526)</f>
        <v/>
      </c>
      <c r="N1527">
        <f>IF(G1527=1,0.2*R1527/F1527,N1526)</f>
        <v/>
      </c>
      <c r="O1527">
        <f>IF(G1527=1,R1527*(1-1.0),IF(H1526=0,1,O1526*(1+0.00023125256064071564)))</f>
        <v/>
      </c>
      <c r="P1527">
        <f>IF(G1527=1,IF(H1526=0,1,ABS(0.2-J1526*B1527/I1527)+ABS(0.2-K1526*C1527/I1527)+ABS(0.2-L1526*D1527/I1527)+ABS(0.2-M1526*E1527/I1527)+ABS(0.2-N1526*F1527/I1527)),0)</f>
        <v/>
      </c>
      <c r="Q1527">
        <f>P1527*0.0015</f>
        <v/>
      </c>
      <c r="R1527">
        <f>I1527*(1-Q1527)</f>
        <v/>
      </c>
      <c r="S1527">
        <f>R1527/R1526-1</f>
        <v/>
      </c>
      <c r="T1527">
        <f>MAX(T1526,R1527)</f>
        <v/>
      </c>
      <c r="U1527">
        <f>R1527/T1527-1</f>
        <v/>
      </c>
      <c r="V1527" t="n">
        <v>3.227949116891068</v>
      </c>
      <c r="W1527" s="5">
        <f>R1527-V1527</f>
        <v/>
      </c>
    </row>
    <row r="1528">
      <c r="A1528" s="3" t="n">
        <v>40687</v>
      </c>
      <c r="B1528">
        <f>Prices!B1528</f>
        <v/>
      </c>
      <c r="C1528">
        <f>Prices!C1528</f>
        <v/>
      </c>
      <c r="D1528">
        <f>Prices!D1528</f>
        <v/>
      </c>
      <c r="E1528">
        <f>Prices!E1528</f>
        <v/>
      </c>
      <c r="F1528">
        <f>Prices!F1528</f>
        <v/>
      </c>
      <c r="G1528">
        <f>IF(AND(1526&gt;=16,TEXT(A1528,"yyyy-mm")&lt;&gt;TEXT(A1529,"yyyy-mm")),1,0)</f>
        <v/>
      </c>
      <c r="H1528">
        <f>IF(OR(H1527=1,G1528=1),1,0)</f>
        <v/>
      </c>
      <c r="I1528">
        <f>IF(H1527=0,1,SUMPRODUCT(J1527:N1527,B1528:F1528)+O1527*(1+0.00023125256064071564))</f>
        <v/>
      </c>
      <c r="J1528">
        <f>IF(G1528=1,0.2*R1528/B1528,J1527)</f>
        <v/>
      </c>
      <c r="K1528">
        <f>IF(G1528=1,0.2*R1528/C1528,K1527)</f>
        <v/>
      </c>
      <c r="L1528">
        <f>IF(G1528=1,0.2*R1528/D1528,L1527)</f>
        <v/>
      </c>
      <c r="M1528">
        <f>IF(G1528=1,0.2*R1528/E1528,M1527)</f>
        <v/>
      </c>
      <c r="N1528">
        <f>IF(G1528=1,0.2*R1528/F1528,N1527)</f>
        <v/>
      </c>
      <c r="O1528">
        <f>IF(G1528=1,R1528*(1-1.0),IF(H1527=0,1,O1527*(1+0.00023125256064071564)))</f>
        <v/>
      </c>
      <c r="P1528">
        <f>IF(G1528=1,IF(H1527=0,1,ABS(0.2-J1527*B1528/I1528)+ABS(0.2-K1527*C1528/I1528)+ABS(0.2-L1527*D1528/I1528)+ABS(0.2-M1527*E1528/I1528)+ABS(0.2-N1527*F1528/I1528)),0)</f>
        <v/>
      </c>
      <c r="Q1528">
        <f>P1528*0.0015</f>
        <v/>
      </c>
      <c r="R1528">
        <f>I1528*(1-Q1528)</f>
        <v/>
      </c>
      <c r="S1528">
        <f>R1528/R1527-1</f>
        <v/>
      </c>
      <c r="T1528">
        <f>MAX(T1527,R1528)</f>
        <v/>
      </c>
      <c r="U1528">
        <f>R1528/T1528-1</f>
        <v/>
      </c>
      <c r="V1528" t="n">
        <v>3.244729619996686</v>
      </c>
      <c r="W1528" s="5">
        <f>R1528-V1528</f>
        <v/>
      </c>
    </row>
    <row r="1529">
      <c r="A1529" s="3" t="n">
        <v>40688</v>
      </c>
      <c r="B1529">
        <f>Prices!B1529</f>
        <v/>
      </c>
      <c r="C1529">
        <f>Prices!C1529</f>
        <v/>
      </c>
      <c r="D1529">
        <f>Prices!D1529</f>
        <v/>
      </c>
      <c r="E1529">
        <f>Prices!E1529</f>
        <v/>
      </c>
      <c r="F1529">
        <f>Prices!F1529</f>
        <v/>
      </c>
      <c r="G1529">
        <f>IF(AND(1527&gt;=16,TEXT(A1529,"yyyy-mm")&lt;&gt;TEXT(A1530,"yyyy-mm")),1,0)</f>
        <v/>
      </c>
      <c r="H1529">
        <f>IF(OR(H1528=1,G1529=1),1,0)</f>
        <v/>
      </c>
      <c r="I1529">
        <f>IF(H1528=0,1,SUMPRODUCT(J1528:N1528,B1529:F1529)+O1528*(1+0.00023125256064071564))</f>
        <v/>
      </c>
      <c r="J1529">
        <f>IF(G1529=1,0.2*R1529/B1529,J1528)</f>
        <v/>
      </c>
      <c r="K1529">
        <f>IF(G1529=1,0.2*R1529/C1529,K1528)</f>
        <v/>
      </c>
      <c r="L1529">
        <f>IF(G1529=1,0.2*R1529/D1529,L1528)</f>
        <v/>
      </c>
      <c r="M1529">
        <f>IF(G1529=1,0.2*R1529/E1529,M1528)</f>
        <v/>
      </c>
      <c r="N1529">
        <f>IF(G1529=1,0.2*R1529/F1529,N1528)</f>
        <v/>
      </c>
      <c r="O1529">
        <f>IF(G1529=1,R1529*(1-1.0),IF(H1528=0,1,O1528*(1+0.00023125256064071564)))</f>
        <v/>
      </c>
      <c r="P1529">
        <f>IF(G1529=1,IF(H1528=0,1,ABS(0.2-J1528*B1529/I1529)+ABS(0.2-K1528*C1529/I1529)+ABS(0.2-L1528*D1529/I1529)+ABS(0.2-M1528*E1529/I1529)+ABS(0.2-N1528*F1529/I1529)),0)</f>
        <v/>
      </c>
      <c r="Q1529">
        <f>P1529*0.0015</f>
        <v/>
      </c>
      <c r="R1529">
        <f>I1529*(1-Q1529)</f>
        <v/>
      </c>
      <c r="S1529">
        <f>R1529/R1528-1</f>
        <v/>
      </c>
      <c r="T1529">
        <f>MAX(T1528,R1529)</f>
        <v/>
      </c>
      <c r="U1529">
        <f>R1529/T1529-1</f>
        <v/>
      </c>
      <c r="V1529" t="n">
        <v>3.225023740317964</v>
      </c>
      <c r="W1529" s="5">
        <f>R1529-V1529</f>
        <v/>
      </c>
    </row>
    <row r="1530">
      <c r="A1530" s="3" t="n">
        <v>40689</v>
      </c>
      <c r="B1530">
        <f>Prices!B1530</f>
        <v/>
      </c>
      <c r="C1530">
        <f>Prices!C1530</f>
        <v/>
      </c>
      <c r="D1530">
        <f>Prices!D1530</f>
        <v/>
      </c>
      <c r="E1530">
        <f>Prices!E1530</f>
        <v/>
      </c>
      <c r="F1530">
        <f>Prices!F1530</f>
        <v/>
      </c>
      <c r="G1530">
        <f>IF(AND(1528&gt;=16,TEXT(A1530,"yyyy-mm")&lt;&gt;TEXT(A1531,"yyyy-mm")),1,0)</f>
        <v/>
      </c>
      <c r="H1530">
        <f>IF(OR(H1529=1,G1530=1),1,0)</f>
        <v/>
      </c>
      <c r="I1530">
        <f>IF(H1529=0,1,SUMPRODUCT(J1529:N1529,B1530:F1530)+O1529*(1+0.00023125256064071564))</f>
        <v/>
      </c>
      <c r="J1530">
        <f>IF(G1530=1,0.2*R1530/B1530,J1529)</f>
        <v/>
      </c>
      <c r="K1530">
        <f>IF(G1530=1,0.2*R1530/C1530,K1529)</f>
        <v/>
      </c>
      <c r="L1530">
        <f>IF(G1530=1,0.2*R1530/D1530,L1529)</f>
        <v/>
      </c>
      <c r="M1530">
        <f>IF(G1530=1,0.2*R1530/E1530,M1529)</f>
        <v/>
      </c>
      <c r="N1530">
        <f>IF(G1530=1,0.2*R1530/F1530,N1529)</f>
        <v/>
      </c>
      <c r="O1530">
        <f>IF(G1530=1,R1530*(1-1.0),IF(H1529=0,1,O1529*(1+0.00023125256064071564)))</f>
        <v/>
      </c>
      <c r="P1530">
        <f>IF(G1530=1,IF(H1529=0,1,ABS(0.2-J1529*B1530/I1530)+ABS(0.2-K1529*C1530/I1530)+ABS(0.2-L1529*D1530/I1530)+ABS(0.2-M1529*E1530/I1530)+ABS(0.2-N1529*F1530/I1530)),0)</f>
        <v/>
      </c>
      <c r="Q1530">
        <f>P1530*0.0015</f>
        <v/>
      </c>
      <c r="R1530">
        <f>I1530*(1-Q1530)</f>
        <v/>
      </c>
      <c r="S1530">
        <f>R1530/R1529-1</f>
        <v/>
      </c>
      <c r="T1530">
        <f>MAX(T1529,R1530)</f>
        <v/>
      </c>
      <c r="U1530">
        <f>R1530/T1530-1</f>
        <v/>
      </c>
      <c r="V1530" t="n">
        <v>3.249018748907727</v>
      </c>
      <c r="W1530" s="5">
        <f>R1530-V1530</f>
        <v/>
      </c>
    </row>
    <row r="1531">
      <c r="A1531" s="3" t="n">
        <v>40690</v>
      </c>
      <c r="B1531">
        <f>Prices!B1531</f>
        <v/>
      </c>
      <c r="C1531">
        <f>Prices!C1531</f>
        <v/>
      </c>
      <c r="D1531">
        <f>Prices!D1531</f>
        <v/>
      </c>
      <c r="E1531">
        <f>Prices!E1531</f>
        <v/>
      </c>
      <c r="F1531">
        <f>Prices!F1531</f>
        <v/>
      </c>
      <c r="G1531">
        <f>IF(AND(1529&gt;=16,TEXT(A1531,"yyyy-mm")&lt;&gt;TEXT(A1532,"yyyy-mm")),1,0)</f>
        <v/>
      </c>
      <c r="H1531">
        <f>IF(OR(H1530=1,G1531=1),1,0)</f>
        <v/>
      </c>
      <c r="I1531">
        <f>IF(H1530=0,1,SUMPRODUCT(J1530:N1530,B1531:F1531)+O1530*(1+0.00023125256064071564))</f>
        <v/>
      </c>
      <c r="J1531">
        <f>IF(G1531=1,0.2*R1531/B1531,J1530)</f>
        <v/>
      </c>
      <c r="K1531">
        <f>IF(G1531=1,0.2*R1531/C1531,K1530)</f>
        <v/>
      </c>
      <c r="L1531">
        <f>IF(G1531=1,0.2*R1531/D1531,L1530)</f>
        <v/>
      </c>
      <c r="M1531">
        <f>IF(G1531=1,0.2*R1531/E1531,M1530)</f>
        <v/>
      </c>
      <c r="N1531">
        <f>IF(G1531=1,0.2*R1531/F1531,N1530)</f>
        <v/>
      </c>
      <c r="O1531">
        <f>IF(G1531=1,R1531*(1-1.0),IF(H1530=0,1,O1530*(1+0.00023125256064071564)))</f>
        <v/>
      </c>
      <c r="P1531">
        <f>IF(G1531=1,IF(H1530=0,1,ABS(0.2-J1530*B1531/I1531)+ABS(0.2-K1530*C1531/I1531)+ABS(0.2-L1530*D1531/I1531)+ABS(0.2-M1530*E1531/I1531)+ABS(0.2-N1530*F1531/I1531)),0)</f>
        <v/>
      </c>
      <c r="Q1531">
        <f>P1531*0.0015</f>
        <v/>
      </c>
      <c r="R1531">
        <f>I1531*(1-Q1531)</f>
        <v/>
      </c>
      <c r="S1531">
        <f>R1531/R1530-1</f>
        <v/>
      </c>
      <c r="T1531">
        <f>MAX(T1530,R1531)</f>
        <v/>
      </c>
      <c r="U1531">
        <f>R1531/T1531-1</f>
        <v/>
      </c>
      <c r="V1531" t="n">
        <v>3.283853187201298</v>
      </c>
      <c r="W1531" s="5">
        <f>R1531-V1531</f>
        <v/>
      </c>
    </row>
    <row r="1532">
      <c r="A1532" s="3" t="n">
        <v>40693</v>
      </c>
      <c r="B1532">
        <f>Prices!B1532</f>
        <v/>
      </c>
      <c r="C1532">
        <f>Prices!C1532</f>
        <v/>
      </c>
      <c r="D1532">
        <f>Prices!D1532</f>
        <v/>
      </c>
      <c r="E1532">
        <f>Prices!E1532</f>
        <v/>
      </c>
      <c r="F1532">
        <f>Prices!F1532</f>
        <v/>
      </c>
      <c r="G1532">
        <f>IF(AND(1530&gt;=16,TEXT(A1532,"yyyy-mm")&lt;&gt;TEXT(A1533,"yyyy-mm")),1,0)</f>
        <v/>
      </c>
      <c r="H1532">
        <f>IF(OR(H1531=1,G1532=1),1,0)</f>
        <v/>
      </c>
      <c r="I1532">
        <f>IF(H1531=0,1,SUMPRODUCT(J1531:N1531,B1532:F1532)+O1531*(1+0.00023125256064071564))</f>
        <v/>
      </c>
      <c r="J1532">
        <f>IF(G1532=1,0.2*R1532/B1532,J1531)</f>
        <v/>
      </c>
      <c r="K1532">
        <f>IF(G1532=1,0.2*R1532/C1532,K1531)</f>
        <v/>
      </c>
      <c r="L1532">
        <f>IF(G1532=1,0.2*R1532/D1532,L1531)</f>
        <v/>
      </c>
      <c r="M1532">
        <f>IF(G1532=1,0.2*R1532/E1532,M1531)</f>
        <v/>
      </c>
      <c r="N1532">
        <f>IF(G1532=1,0.2*R1532/F1532,N1531)</f>
        <v/>
      </c>
      <c r="O1532">
        <f>IF(G1532=1,R1532*(1-1.0),IF(H1531=0,1,O1531*(1+0.00023125256064071564)))</f>
        <v/>
      </c>
      <c r="P1532">
        <f>IF(G1532=1,IF(H1531=0,1,ABS(0.2-J1531*B1532/I1532)+ABS(0.2-K1531*C1532/I1532)+ABS(0.2-L1531*D1532/I1532)+ABS(0.2-M1531*E1532/I1532)+ABS(0.2-N1531*F1532/I1532)),0)</f>
        <v/>
      </c>
      <c r="Q1532">
        <f>P1532*0.0015</f>
        <v/>
      </c>
      <c r="R1532">
        <f>I1532*(1-Q1532)</f>
        <v/>
      </c>
      <c r="S1532">
        <f>R1532/R1531-1</f>
        <v/>
      </c>
      <c r="T1532">
        <f>MAX(T1531,R1532)</f>
        <v/>
      </c>
      <c r="U1532">
        <f>R1532/T1532-1</f>
        <v/>
      </c>
      <c r="V1532" t="n">
        <v>3.302496219916375</v>
      </c>
      <c r="W1532" s="5">
        <f>R1532-V1532</f>
        <v/>
      </c>
    </row>
    <row r="1533">
      <c r="A1533" s="3" t="n">
        <v>40694</v>
      </c>
      <c r="B1533">
        <f>Prices!B1533</f>
        <v/>
      </c>
      <c r="C1533">
        <f>Prices!C1533</f>
        <v/>
      </c>
      <c r="D1533">
        <f>Prices!D1533</f>
        <v/>
      </c>
      <c r="E1533">
        <f>Prices!E1533</f>
        <v/>
      </c>
      <c r="F1533">
        <f>Prices!F1533</f>
        <v/>
      </c>
      <c r="G1533">
        <f>IF(AND(1531&gt;=16,TEXT(A1533,"yyyy-mm")&lt;&gt;TEXT(A1534,"yyyy-mm")),1,0)</f>
        <v/>
      </c>
      <c r="H1533">
        <f>IF(OR(H1532=1,G1533=1),1,0)</f>
        <v/>
      </c>
      <c r="I1533">
        <f>IF(H1532=0,1,SUMPRODUCT(J1532:N1532,B1533:F1533)+O1532*(1+0.00023125256064071564))</f>
        <v/>
      </c>
      <c r="J1533">
        <f>IF(G1533=1,0.2*R1533/B1533,J1532)</f>
        <v/>
      </c>
      <c r="K1533">
        <f>IF(G1533=1,0.2*R1533/C1533,K1532)</f>
        <v/>
      </c>
      <c r="L1533">
        <f>IF(G1533=1,0.2*R1533/D1533,L1532)</f>
        <v/>
      </c>
      <c r="M1533">
        <f>IF(G1533=1,0.2*R1533/E1533,M1532)</f>
        <v/>
      </c>
      <c r="N1533">
        <f>IF(G1533=1,0.2*R1533/F1533,N1532)</f>
        <v/>
      </c>
      <c r="O1533">
        <f>IF(G1533=1,R1533*(1-1.0),IF(H1532=0,1,O1532*(1+0.00023125256064071564)))</f>
        <v/>
      </c>
      <c r="P1533">
        <f>IF(G1533=1,IF(H1532=0,1,ABS(0.2-J1532*B1533/I1533)+ABS(0.2-K1532*C1533/I1533)+ABS(0.2-L1532*D1533/I1533)+ABS(0.2-M1532*E1533/I1533)+ABS(0.2-N1532*F1533/I1533)),0)</f>
        <v/>
      </c>
      <c r="Q1533">
        <f>P1533*0.0015</f>
        <v/>
      </c>
      <c r="R1533">
        <f>I1533*(1-Q1533)</f>
        <v/>
      </c>
      <c r="S1533">
        <f>R1533/R1532-1</f>
        <v/>
      </c>
      <c r="T1533">
        <f>MAX(T1532,R1533)</f>
        <v/>
      </c>
      <c r="U1533">
        <f>R1533/T1533-1</f>
        <v/>
      </c>
      <c r="V1533" t="n">
        <v>3.353540484366717</v>
      </c>
      <c r="W1533" s="5">
        <f>R1533-V1533</f>
        <v/>
      </c>
    </row>
    <row r="1534">
      <c r="A1534" s="3" t="n">
        <v>40695</v>
      </c>
      <c r="B1534">
        <f>Prices!B1534</f>
        <v/>
      </c>
      <c r="C1534">
        <f>Prices!C1534</f>
        <v/>
      </c>
      <c r="D1534">
        <f>Prices!D1534</f>
        <v/>
      </c>
      <c r="E1534">
        <f>Prices!E1534</f>
        <v/>
      </c>
      <c r="F1534">
        <f>Prices!F1534</f>
        <v/>
      </c>
      <c r="G1534">
        <f>IF(AND(1532&gt;=16,TEXT(A1534,"yyyy-mm")&lt;&gt;TEXT(A1535,"yyyy-mm")),1,0)</f>
        <v/>
      </c>
      <c r="H1534">
        <f>IF(OR(H1533=1,G1534=1),1,0)</f>
        <v/>
      </c>
      <c r="I1534">
        <f>IF(H1533=0,1,SUMPRODUCT(J1533:N1533,B1534:F1534)+O1533*(1+0.00023125256064071564))</f>
        <v/>
      </c>
      <c r="J1534">
        <f>IF(G1534=1,0.2*R1534/B1534,J1533)</f>
        <v/>
      </c>
      <c r="K1534">
        <f>IF(G1534=1,0.2*R1534/C1534,K1533)</f>
        <v/>
      </c>
      <c r="L1534">
        <f>IF(G1534=1,0.2*R1534/D1534,L1533)</f>
        <v/>
      </c>
      <c r="M1534">
        <f>IF(G1534=1,0.2*R1534/E1534,M1533)</f>
        <v/>
      </c>
      <c r="N1534">
        <f>IF(G1534=1,0.2*R1534/F1534,N1533)</f>
        <v/>
      </c>
      <c r="O1534">
        <f>IF(G1534=1,R1534*(1-1.0),IF(H1533=0,1,O1533*(1+0.00023125256064071564)))</f>
        <v/>
      </c>
      <c r="P1534">
        <f>IF(G1534=1,IF(H1533=0,1,ABS(0.2-J1533*B1534/I1534)+ABS(0.2-K1533*C1534/I1534)+ABS(0.2-L1533*D1534/I1534)+ABS(0.2-M1533*E1534/I1534)+ABS(0.2-N1533*F1534/I1534)),0)</f>
        <v/>
      </c>
      <c r="Q1534">
        <f>P1534*0.0015</f>
        <v/>
      </c>
      <c r="R1534">
        <f>I1534*(1-Q1534)</f>
        <v/>
      </c>
      <c r="S1534">
        <f>R1534/R1533-1</f>
        <v/>
      </c>
      <c r="T1534">
        <f>MAX(T1533,R1534)</f>
        <v/>
      </c>
      <c r="U1534">
        <f>R1534/T1534-1</f>
        <v/>
      </c>
      <c r="V1534" t="n">
        <v>3.376081181994556</v>
      </c>
      <c r="W1534" s="5">
        <f>R1534-V1534</f>
        <v/>
      </c>
    </row>
    <row r="1535">
      <c r="A1535" s="3" t="n">
        <v>40696</v>
      </c>
      <c r="B1535">
        <f>Prices!B1535</f>
        <v/>
      </c>
      <c r="C1535">
        <f>Prices!C1535</f>
        <v/>
      </c>
      <c r="D1535">
        <f>Prices!D1535</f>
        <v/>
      </c>
      <c r="E1535">
        <f>Prices!E1535</f>
        <v/>
      </c>
      <c r="F1535">
        <f>Prices!F1535</f>
        <v/>
      </c>
      <c r="G1535">
        <f>IF(AND(1533&gt;=16,TEXT(A1535,"yyyy-mm")&lt;&gt;TEXT(A1536,"yyyy-mm")),1,0)</f>
        <v/>
      </c>
      <c r="H1535">
        <f>IF(OR(H1534=1,G1535=1),1,0)</f>
        <v/>
      </c>
      <c r="I1535">
        <f>IF(H1534=0,1,SUMPRODUCT(J1534:N1534,B1535:F1535)+O1534*(1+0.00023125256064071564))</f>
        <v/>
      </c>
      <c r="J1535">
        <f>IF(G1535=1,0.2*R1535/B1535,J1534)</f>
        <v/>
      </c>
      <c r="K1535">
        <f>IF(G1535=1,0.2*R1535/C1535,K1534)</f>
        <v/>
      </c>
      <c r="L1535">
        <f>IF(G1535=1,0.2*R1535/D1535,L1534)</f>
        <v/>
      </c>
      <c r="M1535">
        <f>IF(G1535=1,0.2*R1535/E1535,M1534)</f>
        <v/>
      </c>
      <c r="N1535">
        <f>IF(G1535=1,0.2*R1535/F1535,N1534)</f>
        <v/>
      </c>
      <c r="O1535">
        <f>IF(G1535=1,R1535*(1-1.0),IF(H1534=0,1,O1534*(1+0.00023125256064071564)))</f>
        <v/>
      </c>
      <c r="P1535">
        <f>IF(G1535=1,IF(H1534=0,1,ABS(0.2-J1534*B1535/I1535)+ABS(0.2-K1534*C1535/I1535)+ABS(0.2-L1534*D1535/I1535)+ABS(0.2-M1534*E1535/I1535)+ABS(0.2-N1534*F1535/I1535)),0)</f>
        <v/>
      </c>
      <c r="Q1535">
        <f>P1535*0.0015</f>
        <v/>
      </c>
      <c r="R1535">
        <f>I1535*(1-Q1535)</f>
        <v/>
      </c>
      <c r="S1535">
        <f>R1535/R1534-1</f>
        <v/>
      </c>
      <c r="T1535">
        <f>MAX(T1534,R1535)</f>
        <v/>
      </c>
      <c r="U1535">
        <f>R1535/T1535-1</f>
        <v/>
      </c>
      <c r="V1535" t="n">
        <v>3.354104768448272</v>
      </c>
      <c r="W1535" s="5">
        <f>R1535-V1535</f>
        <v/>
      </c>
    </row>
    <row r="1536">
      <c r="A1536" s="3" t="n">
        <v>40697</v>
      </c>
      <c r="B1536">
        <f>Prices!B1536</f>
        <v/>
      </c>
      <c r="C1536">
        <f>Prices!C1536</f>
        <v/>
      </c>
      <c r="D1536">
        <f>Prices!D1536</f>
        <v/>
      </c>
      <c r="E1536">
        <f>Prices!E1536</f>
        <v/>
      </c>
      <c r="F1536">
        <f>Prices!F1536</f>
        <v/>
      </c>
      <c r="G1536">
        <f>IF(AND(1534&gt;=16,TEXT(A1536,"yyyy-mm")&lt;&gt;TEXT(A1537,"yyyy-mm")),1,0)</f>
        <v/>
      </c>
      <c r="H1536">
        <f>IF(OR(H1535=1,G1536=1),1,0)</f>
        <v/>
      </c>
      <c r="I1536">
        <f>IF(H1535=0,1,SUMPRODUCT(J1535:N1535,B1536:F1536)+O1535*(1+0.00023125256064071564))</f>
        <v/>
      </c>
      <c r="J1536">
        <f>IF(G1536=1,0.2*R1536/B1536,J1535)</f>
        <v/>
      </c>
      <c r="K1536">
        <f>IF(G1536=1,0.2*R1536/C1536,K1535)</f>
        <v/>
      </c>
      <c r="L1536">
        <f>IF(G1536=1,0.2*R1536/D1536,L1535)</f>
        <v/>
      </c>
      <c r="M1536">
        <f>IF(G1536=1,0.2*R1536/E1536,M1535)</f>
        <v/>
      </c>
      <c r="N1536">
        <f>IF(G1536=1,0.2*R1536/F1536,N1535)</f>
        <v/>
      </c>
      <c r="O1536">
        <f>IF(G1536=1,R1536*(1-1.0),IF(H1535=0,1,O1535*(1+0.00023125256064071564)))</f>
        <v/>
      </c>
      <c r="P1536">
        <f>IF(G1536=1,IF(H1535=0,1,ABS(0.2-J1535*B1536/I1536)+ABS(0.2-K1535*C1536/I1536)+ABS(0.2-L1535*D1536/I1536)+ABS(0.2-M1535*E1536/I1536)+ABS(0.2-N1535*F1536/I1536)),0)</f>
        <v/>
      </c>
      <c r="Q1536">
        <f>P1536*0.0015</f>
        <v/>
      </c>
      <c r="R1536">
        <f>I1536*(1-Q1536)</f>
        <v/>
      </c>
      <c r="S1536">
        <f>R1536/R1535-1</f>
        <v/>
      </c>
      <c r="T1536">
        <f>MAX(T1535,R1536)</f>
        <v/>
      </c>
      <c r="U1536">
        <f>R1536/T1536-1</f>
        <v/>
      </c>
      <c r="V1536" t="n">
        <v>3.342692508467222</v>
      </c>
      <c r="W1536" s="5">
        <f>R1536-V1536</f>
        <v/>
      </c>
    </row>
    <row r="1537">
      <c r="A1537" s="3" t="n">
        <v>40700</v>
      </c>
      <c r="B1537">
        <f>Prices!B1537</f>
        <v/>
      </c>
      <c r="C1537">
        <f>Prices!C1537</f>
        <v/>
      </c>
      <c r="D1537">
        <f>Prices!D1537</f>
        <v/>
      </c>
      <c r="E1537">
        <f>Prices!E1537</f>
        <v/>
      </c>
      <c r="F1537">
        <f>Prices!F1537</f>
        <v/>
      </c>
      <c r="G1537">
        <f>IF(AND(1535&gt;=16,TEXT(A1537,"yyyy-mm")&lt;&gt;TEXT(A1538,"yyyy-mm")),1,0)</f>
        <v/>
      </c>
      <c r="H1537">
        <f>IF(OR(H1536=1,G1537=1),1,0)</f>
        <v/>
      </c>
      <c r="I1537">
        <f>IF(H1536=0,1,SUMPRODUCT(J1536:N1536,B1537:F1537)+O1536*(1+0.00023125256064071564))</f>
        <v/>
      </c>
      <c r="J1537">
        <f>IF(G1537=1,0.2*R1537/B1537,J1536)</f>
        <v/>
      </c>
      <c r="K1537">
        <f>IF(G1537=1,0.2*R1537/C1537,K1536)</f>
        <v/>
      </c>
      <c r="L1537">
        <f>IF(G1537=1,0.2*R1537/D1537,L1536)</f>
        <v/>
      </c>
      <c r="M1537">
        <f>IF(G1537=1,0.2*R1537/E1537,M1536)</f>
        <v/>
      </c>
      <c r="N1537">
        <f>IF(G1537=1,0.2*R1537/F1537,N1536)</f>
        <v/>
      </c>
      <c r="O1537">
        <f>IF(G1537=1,R1537*(1-1.0),IF(H1536=0,1,O1536*(1+0.00023125256064071564)))</f>
        <v/>
      </c>
      <c r="P1537">
        <f>IF(G1537=1,IF(H1536=0,1,ABS(0.2-J1536*B1537/I1537)+ABS(0.2-K1536*C1537/I1537)+ABS(0.2-L1536*D1537/I1537)+ABS(0.2-M1536*E1537/I1537)+ABS(0.2-N1536*F1537/I1537)),0)</f>
        <v/>
      </c>
      <c r="Q1537">
        <f>P1537*0.0015</f>
        <v/>
      </c>
      <c r="R1537">
        <f>I1537*(1-Q1537)</f>
        <v/>
      </c>
      <c r="S1537">
        <f>R1537/R1536-1</f>
        <v/>
      </c>
      <c r="T1537">
        <f>MAX(T1536,R1537)</f>
        <v/>
      </c>
      <c r="U1537">
        <f>R1537/T1537-1</f>
        <v/>
      </c>
      <c r="V1537" t="n">
        <v>3.347391743372653</v>
      </c>
      <c r="W1537" s="5">
        <f>R1537-V1537</f>
        <v/>
      </c>
    </row>
    <row r="1538">
      <c r="A1538" s="3" t="n">
        <v>40701</v>
      </c>
      <c r="B1538">
        <f>Prices!B1538</f>
        <v/>
      </c>
      <c r="C1538">
        <f>Prices!C1538</f>
        <v/>
      </c>
      <c r="D1538">
        <f>Prices!D1538</f>
        <v/>
      </c>
      <c r="E1538">
        <f>Prices!E1538</f>
        <v/>
      </c>
      <c r="F1538">
        <f>Prices!F1538</f>
        <v/>
      </c>
      <c r="G1538">
        <f>IF(AND(1536&gt;=16,TEXT(A1538,"yyyy-mm")&lt;&gt;TEXT(A1539,"yyyy-mm")),1,0)</f>
        <v/>
      </c>
      <c r="H1538">
        <f>IF(OR(H1537=1,G1538=1),1,0)</f>
        <v/>
      </c>
      <c r="I1538">
        <f>IF(H1537=0,1,SUMPRODUCT(J1537:N1537,B1538:F1538)+O1537*(1+0.00023125256064071564))</f>
        <v/>
      </c>
      <c r="J1538">
        <f>IF(G1538=1,0.2*R1538/B1538,J1537)</f>
        <v/>
      </c>
      <c r="K1538">
        <f>IF(G1538=1,0.2*R1538/C1538,K1537)</f>
        <v/>
      </c>
      <c r="L1538">
        <f>IF(G1538=1,0.2*R1538/D1538,L1537)</f>
        <v/>
      </c>
      <c r="M1538">
        <f>IF(G1538=1,0.2*R1538/E1538,M1537)</f>
        <v/>
      </c>
      <c r="N1538">
        <f>IF(G1538=1,0.2*R1538/F1538,N1537)</f>
        <v/>
      </c>
      <c r="O1538">
        <f>IF(G1538=1,R1538*(1-1.0),IF(H1537=0,1,O1537*(1+0.00023125256064071564)))</f>
        <v/>
      </c>
      <c r="P1538">
        <f>IF(G1538=1,IF(H1537=0,1,ABS(0.2-J1537*B1538/I1538)+ABS(0.2-K1537*C1538/I1538)+ABS(0.2-L1537*D1538/I1538)+ABS(0.2-M1537*E1538/I1538)+ABS(0.2-N1537*F1538/I1538)),0)</f>
        <v/>
      </c>
      <c r="Q1538">
        <f>P1538*0.0015</f>
        <v/>
      </c>
      <c r="R1538">
        <f>I1538*(1-Q1538)</f>
        <v/>
      </c>
      <c r="S1538">
        <f>R1538/R1537-1</f>
        <v/>
      </c>
      <c r="T1538">
        <f>MAX(T1537,R1538)</f>
        <v/>
      </c>
      <c r="U1538">
        <f>R1538/T1538-1</f>
        <v/>
      </c>
      <c r="V1538" t="n">
        <v>3.363442259950149</v>
      </c>
      <c r="W1538" s="5">
        <f>R1538-V1538</f>
        <v/>
      </c>
    </row>
    <row r="1539">
      <c r="A1539" s="3" t="n">
        <v>40702</v>
      </c>
      <c r="B1539">
        <f>Prices!B1539</f>
        <v/>
      </c>
      <c r="C1539">
        <f>Prices!C1539</f>
        <v/>
      </c>
      <c r="D1539">
        <f>Prices!D1539</f>
        <v/>
      </c>
      <c r="E1539">
        <f>Prices!E1539</f>
        <v/>
      </c>
      <c r="F1539">
        <f>Prices!F1539</f>
        <v/>
      </c>
      <c r="G1539">
        <f>IF(AND(1537&gt;=16,TEXT(A1539,"yyyy-mm")&lt;&gt;TEXT(A1540,"yyyy-mm")),1,0)</f>
        <v/>
      </c>
      <c r="H1539">
        <f>IF(OR(H1538=1,G1539=1),1,0)</f>
        <v/>
      </c>
      <c r="I1539">
        <f>IF(H1538=0,1,SUMPRODUCT(J1538:N1538,B1539:F1539)+O1538*(1+0.00023125256064071564))</f>
        <v/>
      </c>
      <c r="J1539">
        <f>IF(G1539=1,0.2*R1539/B1539,J1538)</f>
        <v/>
      </c>
      <c r="K1539">
        <f>IF(G1539=1,0.2*R1539/C1539,K1538)</f>
        <v/>
      </c>
      <c r="L1539">
        <f>IF(G1539=1,0.2*R1539/D1539,L1538)</f>
        <v/>
      </c>
      <c r="M1539">
        <f>IF(G1539=1,0.2*R1539/E1539,M1538)</f>
        <v/>
      </c>
      <c r="N1539">
        <f>IF(G1539=1,0.2*R1539/F1539,N1538)</f>
        <v/>
      </c>
      <c r="O1539">
        <f>IF(G1539=1,R1539*(1-1.0),IF(H1538=0,1,O1538*(1+0.00023125256064071564)))</f>
        <v/>
      </c>
      <c r="P1539">
        <f>IF(G1539=1,IF(H1538=0,1,ABS(0.2-J1538*B1539/I1539)+ABS(0.2-K1538*C1539/I1539)+ABS(0.2-L1538*D1539/I1539)+ABS(0.2-M1538*E1539/I1539)+ABS(0.2-N1538*F1539/I1539)),0)</f>
        <v/>
      </c>
      <c r="Q1539">
        <f>P1539*0.0015</f>
        <v/>
      </c>
      <c r="R1539">
        <f>I1539*(1-Q1539)</f>
        <v/>
      </c>
      <c r="S1539">
        <f>R1539/R1538-1</f>
        <v/>
      </c>
      <c r="T1539">
        <f>MAX(T1538,R1539)</f>
        <v/>
      </c>
      <c r="U1539">
        <f>R1539/T1539-1</f>
        <v/>
      </c>
      <c r="V1539" t="n">
        <v>3.365432859339148</v>
      </c>
      <c r="W1539" s="5">
        <f>R1539-V1539</f>
        <v/>
      </c>
    </row>
    <row r="1540">
      <c r="A1540" s="3" t="n">
        <v>40703</v>
      </c>
      <c r="B1540">
        <f>Prices!B1540</f>
        <v/>
      </c>
      <c r="C1540">
        <f>Prices!C1540</f>
        <v/>
      </c>
      <c r="D1540">
        <f>Prices!D1540</f>
        <v/>
      </c>
      <c r="E1540">
        <f>Prices!E1540</f>
        <v/>
      </c>
      <c r="F1540">
        <f>Prices!F1540</f>
        <v/>
      </c>
      <c r="G1540">
        <f>IF(AND(1538&gt;=16,TEXT(A1540,"yyyy-mm")&lt;&gt;TEXT(A1541,"yyyy-mm")),1,0)</f>
        <v/>
      </c>
      <c r="H1540">
        <f>IF(OR(H1539=1,G1540=1),1,0)</f>
        <v/>
      </c>
      <c r="I1540">
        <f>IF(H1539=0,1,SUMPRODUCT(J1539:N1539,B1540:F1540)+O1539*(1+0.00023125256064071564))</f>
        <v/>
      </c>
      <c r="J1540">
        <f>IF(G1540=1,0.2*R1540/B1540,J1539)</f>
        <v/>
      </c>
      <c r="K1540">
        <f>IF(G1540=1,0.2*R1540/C1540,K1539)</f>
        <v/>
      </c>
      <c r="L1540">
        <f>IF(G1540=1,0.2*R1540/D1540,L1539)</f>
        <v/>
      </c>
      <c r="M1540">
        <f>IF(G1540=1,0.2*R1540/E1540,M1539)</f>
        <v/>
      </c>
      <c r="N1540">
        <f>IF(G1540=1,0.2*R1540/F1540,N1539)</f>
        <v/>
      </c>
      <c r="O1540">
        <f>IF(G1540=1,R1540*(1-1.0),IF(H1539=0,1,O1539*(1+0.00023125256064071564)))</f>
        <v/>
      </c>
      <c r="P1540">
        <f>IF(G1540=1,IF(H1539=0,1,ABS(0.2-J1539*B1540/I1540)+ABS(0.2-K1539*C1540/I1540)+ABS(0.2-L1539*D1540/I1540)+ABS(0.2-M1539*E1540/I1540)+ABS(0.2-N1539*F1540/I1540)),0)</f>
        <v/>
      </c>
      <c r="Q1540">
        <f>P1540*0.0015</f>
        <v/>
      </c>
      <c r="R1540">
        <f>I1540*(1-Q1540)</f>
        <v/>
      </c>
      <c r="S1540">
        <f>R1540/R1539-1</f>
        <v/>
      </c>
      <c r="T1540">
        <f>MAX(T1539,R1540)</f>
        <v/>
      </c>
      <c r="U1540">
        <f>R1540/T1540-1</f>
        <v/>
      </c>
      <c r="V1540" t="n">
        <v>3.357873090832064</v>
      </c>
      <c r="W1540" s="5">
        <f>R1540-V1540</f>
        <v/>
      </c>
    </row>
    <row r="1541">
      <c r="A1541" s="3" t="n">
        <v>40704</v>
      </c>
      <c r="B1541">
        <f>Prices!B1541</f>
        <v/>
      </c>
      <c r="C1541">
        <f>Prices!C1541</f>
        <v/>
      </c>
      <c r="D1541">
        <f>Prices!D1541</f>
        <v/>
      </c>
      <c r="E1541">
        <f>Prices!E1541</f>
        <v/>
      </c>
      <c r="F1541">
        <f>Prices!F1541</f>
        <v/>
      </c>
      <c r="G1541">
        <f>IF(AND(1539&gt;=16,TEXT(A1541,"yyyy-mm")&lt;&gt;TEXT(A1542,"yyyy-mm")),1,0)</f>
        <v/>
      </c>
      <c r="H1541">
        <f>IF(OR(H1540=1,G1541=1),1,0)</f>
        <v/>
      </c>
      <c r="I1541">
        <f>IF(H1540=0,1,SUMPRODUCT(J1540:N1540,B1541:F1541)+O1540*(1+0.00023125256064071564))</f>
        <v/>
      </c>
      <c r="J1541">
        <f>IF(G1541=1,0.2*R1541/B1541,J1540)</f>
        <v/>
      </c>
      <c r="K1541">
        <f>IF(G1541=1,0.2*R1541/C1541,K1540)</f>
        <v/>
      </c>
      <c r="L1541">
        <f>IF(G1541=1,0.2*R1541/D1541,L1540)</f>
        <v/>
      </c>
      <c r="M1541">
        <f>IF(G1541=1,0.2*R1541/E1541,M1540)</f>
        <v/>
      </c>
      <c r="N1541">
        <f>IF(G1541=1,0.2*R1541/F1541,N1540)</f>
        <v/>
      </c>
      <c r="O1541">
        <f>IF(G1541=1,R1541*(1-1.0),IF(H1540=0,1,O1540*(1+0.00023125256064071564)))</f>
        <v/>
      </c>
      <c r="P1541">
        <f>IF(G1541=1,IF(H1540=0,1,ABS(0.2-J1540*B1541/I1541)+ABS(0.2-K1540*C1541/I1541)+ABS(0.2-L1540*D1541/I1541)+ABS(0.2-M1540*E1541/I1541)+ABS(0.2-N1540*F1541/I1541)),0)</f>
        <v/>
      </c>
      <c r="Q1541">
        <f>P1541*0.0015</f>
        <v/>
      </c>
      <c r="R1541">
        <f>I1541*(1-Q1541)</f>
        <v/>
      </c>
      <c r="S1541">
        <f>R1541/R1540-1</f>
        <v/>
      </c>
      <c r="T1541">
        <f>MAX(T1540,R1541)</f>
        <v/>
      </c>
      <c r="U1541">
        <f>R1541/T1541-1</f>
        <v/>
      </c>
      <c r="V1541" t="n">
        <v>3.347423678948089</v>
      </c>
      <c r="W1541" s="5">
        <f>R1541-V1541</f>
        <v/>
      </c>
    </row>
    <row r="1542">
      <c r="A1542" s="3" t="n">
        <v>40707</v>
      </c>
      <c r="B1542">
        <f>Prices!B1542</f>
        <v/>
      </c>
      <c r="C1542">
        <f>Prices!C1542</f>
        <v/>
      </c>
      <c r="D1542">
        <f>Prices!D1542</f>
        <v/>
      </c>
      <c r="E1542">
        <f>Prices!E1542</f>
        <v/>
      </c>
      <c r="F1542">
        <f>Prices!F1542</f>
        <v/>
      </c>
      <c r="G1542">
        <f>IF(AND(1540&gt;=16,TEXT(A1542,"yyyy-mm")&lt;&gt;TEXT(A1543,"yyyy-mm")),1,0)</f>
        <v/>
      </c>
      <c r="H1542">
        <f>IF(OR(H1541=1,G1542=1),1,0)</f>
        <v/>
      </c>
      <c r="I1542">
        <f>IF(H1541=0,1,SUMPRODUCT(J1541:N1541,B1542:F1542)+O1541*(1+0.00023125256064071564))</f>
        <v/>
      </c>
      <c r="J1542">
        <f>IF(G1542=1,0.2*R1542/B1542,J1541)</f>
        <v/>
      </c>
      <c r="K1542">
        <f>IF(G1542=1,0.2*R1542/C1542,K1541)</f>
        <v/>
      </c>
      <c r="L1542">
        <f>IF(G1542=1,0.2*R1542/D1542,L1541)</f>
        <v/>
      </c>
      <c r="M1542">
        <f>IF(G1542=1,0.2*R1542/E1542,M1541)</f>
        <v/>
      </c>
      <c r="N1542">
        <f>IF(G1542=1,0.2*R1542/F1542,N1541)</f>
        <v/>
      </c>
      <c r="O1542">
        <f>IF(G1542=1,R1542*(1-1.0),IF(H1541=0,1,O1541*(1+0.00023125256064071564)))</f>
        <v/>
      </c>
      <c r="P1542">
        <f>IF(G1542=1,IF(H1541=0,1,ABS(0.2-J1541*B1542/I1542)+ABS(0.2-K1541*C1542/I1542)+ABS(0.2-L1541*D1542/I1542)+ABS(0.2-M1541*E1542/I1542)+ABS(0.2-N1541*F1542/I1542)),0)</f>
        <v/>
      </c>
      <c r="Q1542">
        <f>P1542*0.0015</f>
        <v/>
      </c>
      <c r="R1542">
        <f>I1542*(1-Q1542)</f>
        <v/>
      </c>
      <c r="S1542">
        <f>R1542/R1541-1</f>
        <v/>
      </c>
      <c r="T1542">
        <f>MAX(T1541,R1542)</f>
        <v/>
      </c>
      <c r="U1542">
        <f>R1542/T1542-1</f>
        <v/>
      </c>
      <c r="V1542" t="n">
        <v>3.357809500379499</v>
      </c>
      <c r="W1542" s="5">
        <f>R1542-V1542</f>
        <v/>
      </c>
    </row>
    <row r="1543">
      <c r="A1543" s="3" t="n">
        <v>40708</v>
      </c>
      <c r="B1543">
        <f>Prices!B1543</f>
        <v/>
      </c>
      <c r="C1543">
        <f>Prices!C1543</f>
        <v/>
      </c>
      <c r="D1543">
        <f>Prices!D1543</f>
        <v/>
      </c>
      <c r="E1543">
        <f>Prices!E1543</f>
        <v/>
      </c>
      <c r="F1543">
        <f>Prices!F1543</f>
        <v/>
      </c>
      <c r="G1543">
        <f>IF(AND(1541&gt;=16,TEXT(A1543,"yyyy-mm")&lt;&gt;TEXT(A1544,"yyyy-mm")),1,0)</f>
        <v/>
      </c>
      <c r="H1543">
        <f>IF(OR(H1542=1,G1543=1),1,0)</f>
        <v/>
      </c>
      <c r="I1543">
        <f>IF(H1542=0,1,SUMPRODUCT(J1542:N1542,B1543:F1543)+O1542*(1+0.00023125256064071564))</f>
        <v/>
      </c>
      <c r="J1543">
        <f>IF(G1543=1,0.2*R1543/B1543,J1542)</f>
        <v/>
      </c>
      <c r="K1543">
        <f>IF(G1543=1,0.2*R1543/C1543,K1542)</f>
        <v/>
      </c>
      <c r="L1543">
        <f>IF(G1543=1,0.2*R1543/D1543,L1542)</f>
        <v/>
      </c>
      <c r="M1543">
        <f>IF(G1543=1,0.2*R1543/E1543,M1542)</f>
        <v/>
      </c>
      <c r="N1543">
        <f>IF(G1543=1,0.2*R1543/F1543,N1542)</f>
        <v/>
      </c>
      <c r="O1543">
        <f>IF(G1543=1,R1543*(1-1.0),IF(H1542=0,1,O1542*(1+0.00023125256064071564)))</f>
        <v/>
      </c>
      <c r="P1543">
        <f>IF(G1543=1,IF(H1542=0,1,ABS(0.2-J1542*B1543/I1543)+ABS(0.2-K1542*C1543/I1543)+ABS(0.2-L1542*D1543/I1543)+ABS(0.2-M1542*E1543/I1543)+ABS(0.2-N1542*F1543/I1543)),0)</f>
        <v/>
      </c>
      <c r="Q1543">
        <f>P1543*0.0015</f>
        <v/>
      </c>
      <c r="R1543">
        <f>I1543*(1-Q1543)</f>
        <v/>
      </c>
      <c r="S1543">
        <f>R1543/R1542-1</f>
        <v/>
      </c>
      <c r="T1543">
        <f>MAX(T1542,R1543)</f>
        <v/>
      </c>
      <c r="U1543">
        <f>R1543/T1543-1</f>
        <v/>
      </c>
      <c r="V1543" t="n">
        <v>3.37080127694525</v>
      </c>
      <c r="W1543" s="5">
        <f>R1543-V1543</f>
        <v/>
      </c>
    </row>
    <row r="1544">
      <c r="A1544" s="3" t="n">
        <v>40709</v>
      </c>
      <c r="B1544">
        <f>Prices!B1544</f>
        <v/>
      </c>
      <c r="C1544">
        <f>Prices!C1544</f>
        <v/>
      </c>
      <c r="D1544">
        <f>Prices!D1544</f>
        <v/>
      </c>
      <c r="E1544">
        <f>Prices!E1544</f>
        <v/>
      </c>
      <c r="F1544">
        <f>Prices!F1544</f>
        <v/>
      </c>
      <c r="G1544">
        <f>IF(AND(1542&gt;=16,TEXT(A1544,"yyyy-mm")&lt;&gt;TEXT(A1545,"yyyy-mm")),1,0)</f>
        <v/>
      </c>
      <c r="H1544">
        <f>IF(OR(H1543=1,G1544=1),1,0)</f>
        <v/>
      </c>
      <c r="I1544">
        <f>IF(H1543=0,1,SUMPRODUCT(J1543:N1543,B1544:F1544)+O1543*(1+0.00023125256064071564))</f>
        <v/>
      </c>
      <c r="J1544">
        <f>IF(G1544=1,0.2*R1544/B1544,J1543)</f>
        <v/>
      </c>
      <c r="K1544">
        <f>IF(G1544=1,0.2*R1544/C1544,K1543)</f>
        <v/>
      </c>
      <c r="L1544">
        <f>IF(G1544=1,0.2*R1544/D1544,L1543)</f>
        <v/>
      </c>
      <c r="M1544">
        <f>IF(G1544=1,0.2*R1544/E1544,M1543)</f>
        <v/>
      </c>
      <c r="N1544">
        <f>IF(G1544=1,0.2*R1544/F1544,N1543)</f>
        <v/>
      </c>
      <c r="O1544">
        <f>IF(G1544=1,R1544*(1-1.0),IF(H1543=0,1,O1543*(1+0.00023125256064071564)))</f>
        <v/>
      </c>
      <c r="P1544">
        <f>IF(G1544=1,IF(H1543=0,1,ABS(0.2-J1543*B1544/I1544)+ABS(0.2-K1543*C1544/I1544)+ABS(0.2-L1543*D1544/I1544)+ABS(0.2-M1543*E1544/I1544)+ABS(0.2-N1543*F1544/I1544)),0)</f>
        <v/>
      </c>
      <c r="Q1544">
        <f>P1544*0.0015</f>
        <v/>
      </c>
      <c r="R1544">
        <f>I1544*(1-Q1544)</f>
        <v/>
      </c>
      <c r="S1544">
        <f>R1544/R1543-1</f>
        <v/>
      </c>
      <c r="T1544">
        <f>MAX(T1543,R1544)</f>
        <v/>
      </c>
      <c r="U1544">
        <f>R1544/T1544-1</f>
        <v/>
      </c>
      <c r="V1544" t="n">
        <v>3.348597135353673</v>
      </c>
      <c r="W1544" s="5">
        <f>R1544-V1544</f>
        <v/>
      </c>
    </row>
    <row r="1545">
      <c r="A1545" s="3" t="n">
        <v>40710</v>
      </c>
      <c r="B1545">
        <f>Prices!B1545</f>
        <v/>
      </c>
      <c r="C1545">
        <f>Prices!C1545</f>
        <v/>
      </c>
      <c r="D1545">
        <f>Prices!D1545</f>
        <v/>
      </c>
      <c r="E1545">
        <f>Prices!E1545</f>
        <v/>
      </c>
      <c r="F1545">
        <f>Prices!F1545</f>
        <v/>
      </c>
      <c r="G1545">
        <f>IF(AND(1543&gt;=16,TEXT(A1545,"yyyy-mm")&lt;&gt;TEXT(A1546,"yyyy-mm")),1,0)</f>
        <v/>
      </c>
      <c r="H1545">
        <f>IF(OR(H1544=1,G1545=1),1,0)</f>
        <v/>
      </c>
      <c r="I1545">
        <f>IF(H1544=0,1,SUMPRODUCT(J1544:N1544,B1545:F1545)+O1544*(1+0.00023125256064071564))</f>
        <v/>
      </c>
      <c r="J1545">
        <f>IF(G1545=1,0.2*R1545/B1545,J1544)</f>
        <v/>
      </c>
      <c r="K1545">
        <f>IF(G1545=1,0.2*R1545/C1545,K1544)</f>
        <v/>
      </c>
      <c r="L1545">
        <f>IF(G1545=1,0.2*R1545/D1545,L1544)</f>
        <v/>
      </c>
      <c r="M1545">
        <f>IF(G1545=1,0.2*R1545/E1545,M1544)</f>
        <v/>
      </c>
      <c r="N1545">
        <f>IF(G1545=1,0.2*R1545/F1545,N1544)</f>
        <v/>
      </c>
      <c r="O1545">
        <f>IF(G1545=1,R1545*(1-1.0),IF(H1544=0,1,O1544*(1+0.00023125256064071564)))</f>
        <v/>
      </c>
      <c r="P1545">
        <f>IF(G1545=1,IF(H1544=0,1,ABS(0.2-J1544*B1545/I1545)+ABS(0.2-K1544*C1545/I1545)+ABS(0.2-L1544*D1545/I1545)+ABS(0.2-M1544*E1545/I1545)+ABS(0.2-N1544*F1545/I1545)),0)</f>
        <v/>
      </c>
      <c r="Q1545">
        <f>P1545*0.0015</f>
        <v/>
      </c>
      <c r="R1545">
        <f>I1545*(1-Q1545)</f>
        <v/>
      </c>
      <c r="S1545">
        <f>R1545/R1544-1</f>
        <v/>
      </c>
      <c r="T1545">
        <f>MAX(T1544,R1545)</f>
        <v/>
      </c>
      <c r="U1545">
        <f>R1545/T1545-1</f>
        <v/>
      </c>
      <c r="V1545" t="n">
        <v>3.319546320599819</v>
      </c>
      <c r="W1545" s="5">
        <f>R1545-V1545</f>
        <v/>
      </c>
    </row>
    <row r="1546">
      <c r="A1546" s="3" t="n">
        <v>40711</v>
      </c>
      <c r="B1546">
        <f>Prices!B1546</f>
        <v/>
      </c>
      <c r="C1546">
        <f>Prices!C1546</f>
        <v/>
      </c>
      <c r="D1546">
        <f>Prices!D1546</f>
        <v/>
      </c>
      <c r="E1546">
        <f>Prices!E1546</f>
        <v/>
      </c>
      <c r="F1546">
        <f>Prices!F1546</f>
        <v/>
      </c>
      <c r="G1546">
        <f>IF(AND(1544&gt;=16,TEXT(A1546,"yyyy-mm")&lt;&gt;TEXT(A1547,"yyyy-mm")),1,0)</f>
        <v/>
      </c>
      <c r="H1546">
        <f>IF(OR(H1545=1,G1546=1),1,0)</f>
        <v/>
      </c>
      <c r="I1546">
        <f>IF(H1545=0,1,SUMPRODUCT(J1545:N1545,B1546:F1546)+O1545*(1+0.00023125256064071564))</f>
        <v/>
      </c>
      <c r="J1546">
        <f>IF(G1546=1,0.2*R1546/B1546,J1545)</f>
        <v/>
      </c>
      <c r="K1546">
        <f>IF(G1546=1,0.2*R1546/C1546,K1545)</f>
        <v/>
      </c>
      <c r="L1546">
        <f>IF(G1546=1,0.2*R1546/D1546,L1545)</f>
        <v/>
      </c>
      <c r="M1546">
        <f>IF(G1546=1,0.2*R1546/E1546,M1545)</f>
        <v/>
      </c>
      <c r="N1546">
        <f>IF(G1546=1,0.2*R1546/F1546,N1545)</f>
        <v/>
      </c>
      <c r="O1546">
        <f>IF(G1546=1,R1546*(1-1.0),IF(H1545=0,1,O1545*(1+0.00023125256064071564)))</f>
        <v/>
      </c>
      <c r="P1546">
        <f>IF(G1546=1,IF(H1545=0,1,ABS(0.2-J1545*B1546/I1546)+ABS(0.2-K1545*C1546/I1546)+ABS(0.2-L1545*D1546/I1546)+ABS(0.2-M1545*E1546/I1546)+ABS(0.2-N1545*F1546/I1546)),0)</f>
        <v/>
      </c>
      <c r="Q1546">
        <f>P1546*0.0015</f>
        <v/>
      </c>
      <c r="R1546">
        <f>I1546*(1-Q1546)</f>
        <v/>
      </c>
      <c r="S1546">
        <f>R1546/R1545-1</f>
        <v/>
      </c>
      <c r="T1546">
        <f>MAX(T1545,R1546)</f>
        <v/>
      </c>
      <c r="U1546">
        <f>R1546/T1546-1</f>
        <v/>
      </c>
      <c r="V1546" t="n">
        <v>3.299474909552676</v>
      </c>
      <c r="W1546" s="5">
        <f>R1546-V1546</f>
        <v/>
      </c>
    </row>
    <row r="1547">
      <c r="A1547" s="3" t="n">
        <v>40714</v>
      </c>
      <c r="B1547">
        <f>Prices!B1547</f>
        <v/>
      </c>
      <c r="C1547">
        <f>Prices!C1547</f>
        <v/>
      </c>
      <c r="D1547">
        <f>Prices!D1547</f>
        <v/>
      </c>
      <c r="E1547">
        <f>Prices!E1547</f>
        <v/>
      </c>
      <c r="F1547">
        <f>Prices!F1547</f>
        <v/>
      </c>
      <c r="G1547">
        <f>IF(AND(1545&gt;=16,TEXT(A1547,"yyyy-mm")&lt;&gt;TEXT(A1548,"yyyy-mm")),1,0)</f>
        <v/>
      </c>
      <c r="H1547">
        <f>IF(OR(H1546=1,G1547=1),1,0)</f>
        <v/>
      </c>
      <c r="I1547">
        <f>IF(H1546=0,1,SUMPRODUCT(J1546:N1546,B1547:F1547)+O1546*(1+0.00023125256064071564))</f>
        <v/>
      </c>
      <c r="J1547">
        <f>IF(G1547=1,0.2*R1547/B1547,J1546)</f>
        <v/>
      </c>
      <c r="K1547">
        <f>IF(G1547=1,0.2*R1547/C1547,K1546)</f>
        <v/>
      </c>
      <c r="L1547">
        <f>IF(G1547=1,0.2*R1547/D1547,L1546)</f>
        <v/>
      </c>
      <c r="M1547">
        <f>IF(G1547=1,0.2*R1547/E1547,M1546)</f>
        <v/>
      </c>
      <c r="N1547">
        <f>IF(G1547=1,0.2*R1547/F1547,N1546)</f>
        <v/>
      </c>
      <c r="O1547">
        <f>IF(G1547=1,R1547*(1-1.0),IF(H1546=0,1,O1546*(1+0.00023125256064071564)))</f>
        <v/>
      </c>
      <c r="P1547">
        <f>IF(G1547=1,IF(H1546=0,1,ABS(0.2-J1546*B1547/I1547)+ABS(0.2-K1546*C1547/I1547)+ABS(0.2-L1546*D1547/I1547)+ABS(0.2-M1546*E1547/I1547)+ABS(0.2-N1546*F1547/I1547)),0)</f>
        <v/>
      </c>
      <c r="Q1547">
        <f>P1547*0.0015</f>
        <v/>
      </c>
      <c r="R1547">
        <f>I1547*(1-Q1547)</f>
        <v/>
      </c>
      <c r="S1547">
        <f>R1547/R1546-1</f>
        <v/>
      </c>
      <c r="T1547">
        <f>MAX(T1546,R1547)</f>
        <v/>
      </c>
      <c r="U1547">
        <f>R1547/T1547-1</f>
        <v/>
      </c>
      <c r="V1547" t="n">
        <v>3.218529771336737</v>
      </c>
      <c r="W1547" s="5">
        <f>R1547-V1547</f>
        <v/>
      </c>
    </row>
    <row r="1548">
      <c r="A1548" s="3" t="n">
        <v>40715</v>
      </c>
      <c r="B1548">
        <f>Prices!B1548</f>
        <v/>
      </c>
      <c r="C1548">
        <f>Prices!C1548</f>
        <v/>
      </c>
      <c r="D1548">
        <f>Prices!D1548</f>
        <v/>
      </c>
      <c r="E1548">
        <f>Prices!E1548</f>
        <v/>
      </c>
      <c r="F1548">
        <f>Prices!F1548</f>
        <v/>
      </c>
      <c r="G1548">
        <f>IF(AND(1546&gt;=16,TEXT(A1548,"yyyy-mm")&lt;&gt;TEXT(A1549,"yyyy-mm")),1,0)</f>
        <v/>
      </c>
      <c r="H1548">
        <f>IF(OR(H1547=1,G1548=1),1,0)</f>
        <v/>
      </c>
      <c r="I1548">
        <f>IF(H1547=0,1,SUMPRODUCT(J1547:N1547,B1548:F1548)+O1547*(1+0.00023125256064071564))</f>
        <v/>
      </c>
      <c r="J1548">
        <f>IF(G1548=1,0.2*R1548/B1548,J1547)</f>
        <v/>
      </c>
      <c r="K1548">
        <f>IF(G1548=1,0.2*R1548/C1548,K1547)</f>
        <v/>
      </c>
      <c r="L1548">
        <f>IF(G1548=1,0.2*R1548/D1548,L1547)</f>
        <v/>
      </c>
      <c r="M1548">
        <f>IF(G1548=1,0.2*R1548/E1548,M1547)</f>
        <v/>
      </c>
      <c r="N1548">
        <f>IF(G1548=1,0.2*R1548/F1548,N1547)</f>
        <v/>
      </c>
      <c r="O1548">
        <f>IF(G1548=1,R1548*(1-1.0),IF(H1547=0,1,O1547*(1+0.00023125256064071564)))</f>
        <v/>
      </c>
      <c r="P1548">
        <f>IF(G1548=1,IF(H1547=0,1,ABS(0.2-J1547*B1548/I1548)+ABS(0.2-K1547*C1548/I1548)+ABS(0.2-L1547*D1548/I1548)+ABS(0.2-M1547*E1548/I1548)+ABS(0.2-N1547*F1548/I1548)),0)</f>
        <v/>
      </c>
      <c r="Q1548">
        <f>P1548*0.0015</f>
        <v/>
      </c>
      <c r="R1548">
        <f>I1548*(1-Q1548)</f>
        <v/>
      </c>
      <c r="S1548">
        <f>R1548/R1547-1</f>
        <v/>
      </c>
      <c r="T1548">
        <f>MAX(T1547,R1548)</f>
        <v/>
      </c>
      <c r="U1548">
        <f>R1548/T1548-1</f>
        <v/>
      </c>
      <c r="V1548" t="n">
        <v>3.212566839911185</v>
      </c>
      <c r="W1548" s="5">
        <f>R1548-V1548</f>
        <v/>
      </c>
    </row>
    <row r="1549">
      <c r="A1549" s="3" t="n">
        <v>40716</v>
      </c>
      <c r="B1549">
        <f>Prices!B1549</f>
        <v/>
      </c>
      <c r="C1549">
        <f>Prices!C1549</f>
        <v/>
      </c>
      <c r="D1549">
        <f>Prices!D1549</f>
        <v/>
      </c>
      <c r="E1549">
        <f>Prices!E1549</f>
        <v/>
      </c>
      <c r="F1549">
        <f>Prices!F1549</f>
        <v/>
      </c>
      <c r="G1549">
        <f>IF(AND(1547&gt;=16,TEXT(A1549,"yyyy-mm")&lt;&gt;TEXT(A1550,"yyyy-mm")),1,0)</f>
        <v/>
      </c>
      <c r="H1549">
        <f>IF(OR(H1548=1,G1549=1),1,0)</f>
        <v/>
      </c>
      <c r="I1549">
        <f>IF(H1548=0,1,SUMPRODUCT(J1548:N1548,B1549:F1549)+O1548*(1+0.00023125256064071564))</f>
        <v/>
      </c>
      <c r="J1549">
        <f>IF(G1549=1,0.2*R1549/B1549,J1548)</f>
        <v/>
      </c>
      <c r="K1549">
        <f>IF(G1549=1,0.2*R1549/C1549,K1548)</f>
        <v/>
      </c>
      <c r="L1549">
        <f>IF(G1549=1,0.2*R1549/D1549,L1548)</f>
        <v/>
      </c>
      <c r="M1549">
        <f>IF(G1549=1,0.2*R1549/E1549,M1548)</f>
        <v/>
      </c>
      <c r="N1549">
        <f>IF(G1549=1,0.2*R1549/F1549,N1548)</f>
        <v/>
      </c>
      <c r="O1549">
        <f>IF(G1549=1,R1549*(1-1.0),IF(H1548=0,1,O1548*(1+0.00023125256064071564)))</f>
        <v/>
      </c>
      <c r="P1549">
        <f>IF(G1549=1,IF(H1548=0,1,ABS(0.2-J1548*B1549/I1549)+ABS(0.2-K1548*C1549/I1549)+ABS(0.2-L1548*D1549/I1549)+ABS(0.2-M1548*E1549/I1549)+ABS(0.2-N1548*F1549/I1549)),0)</f>
        <v/>
      </c>
      <c r="Q1549">
        <f>P1549*0.0015</f>
        <v/>
      </c>
      <c r="R1549">
        <f>I1549*(1-Q1549)</f>
        <v/>
      </c>
      <c r="S1549">
        <f>R1549/R1548-1</f>
        <v/>
      </c>
      <c r="T1549">
        <f>MAX(T1548,R1549)</f>
        <v/>
      </c>
      <c r="U1549">
        <f>R1549/T1549-1</f>
        <v/>
      </c>
      <c r="V1549" t="n">
        <v>3.195209293080678</v>
      </c>
      <c r="W1549" s="5">
        <f>R1549-V1549</f>
        <v/>
      </c>
    </row>
    <row r="1550">
      <c r="A1550" s="3" t="n">
        <v>40717</v>
      </c>
      <c r="B1550">
        <f>Prices!B1550</f>
        <v/>
      </c>
      <c r="C1550">
        <f>Prices!C1550</f>
        <v/>
      </c>
      <c r="D1550">
        <f>Prices!D1550</f>
        <v/>
      </c>
      <c r="E1550">
        <f>Prices!E1550</f>
        <v/>
      </c>
      <c r="F1550">
        <f>Prices!F1550</f>
        <v/>
      </c>
      <c r="G1550">
        <f>IF(AND(1548&gt;=16,TEXT(A1550,"yyyy-mm")&lt;&gt;TEXT(A1551,"yyyy-mm")),1,0)</f>
        <v/>
      </c>
      <c r="H1550">
        <f>IF(OR(H1549=1,G1550=1),1,0)</f>
        <v/>
      </c>
      <c r="I1550">
        <f>IF(H1549=0,1,SUMPRODUCT(J1549:N1549,B1550:F1550)+O1549*(1+0.00023125256064071564))</f>
        <v/>
      </c>
      <c r="J1550">
        <f>IF(G1550=1,0.2*R1550/B1550,J1549)</f>
        <v/>
      </c>
      <c r="K1550">
        <f>IF(G1550=1,0.2*R1550/C1550,K1549)</f>
        <v/>
      </c>
      <c r="L1550">
        <f>IF(G1550=1,0.2*R1550/D1550,L1549)</f>
        <v/>
      </c>
      <c r="M1550">
        <f>IF(G1550=1,0.2*R1550/E1550,M1549)</f>
        <v/>
      </c>
      <c r="N1550">
        <f>IF(G1550=1,0.2*R1550/F1550,N1549)</f>
        <v/>
      </c>
      <c r="O1550">
        <f>IF(G1550=1,R1550*(1-1.0),IF(H1549=0,1,O1549*(1+0.00023125256064071564)))</f>
        <v/>
      </c>
      <c r="P1550">
        <f>IF(G1550=1,IF(H1549=0,1,ABS(0.2-J1549*B1550/I1550)+ABS(0.2-K1549*C1550/I1550)+ABS(0.2-L1549*D1550/I1550)+ABS(0.2-M1549*E1550/I1550)+ABS(0.2-N1549*F1550/I1550)),0)</f>
        <v/>
      </c>
      <c r="Q1550">
        <f>P1550*0.0015</f>
        <v/>
      </c>
      <c r="R1550">
        <f>I1550*(1-Q1550)</f>
        <v/>
      </c>
      <c r="S1550">
        <f>R1550/R1549-1</f>
        <v/>
      </c>
      <c r="T1550">
        <f>MAX(T1549,R1550)</f>
        <v/>
      </c>
      <c r="U1550">
        <f>R1550/T1550-1</f>
        <v/>
      </c>
      <c r="V1550" t="n">
        <v>3.206020778342218</v>
      </c>
      <c r="W1550" s="5">
        <f>R1550-V1550</f>
        <v/>
      </c>
    </row>
    <row r="1551">
      <c r="A1551" s="3" t="n">
        <v>40718</v>
      </c>
      <c r="B1551">
        <f>Prices!B1551</f>
        <v/>
      </c>
      <c r="C1551">
        <f>Prices!C1551</f>
        <v/>
      </c>
      <c r="D1551">
        <f>Prices!D1551</f>
        <v/>
      </c>
      <c r="E1551">
        <f>Prices!E1551</f>
        <v/>
      </c>
      <c r="F1551">
        <f>Prices!F1551</f>
        <v/>
      </c>
      <c r="G1551">
        <f>IF(AND(1549&gt;=16,TEXT(A1551,"yyyy-mm")&lt;&gt;TEXT(A1552,"yyyy-mm")),1,0)</f>
        <v/>
      </c>
      <c r="H1551">
        <f>IF(OR(H1550=1,G1551=1),1,0)</f>
        <v/>
      </c>
      <c r="I1551">
        <f>IF(H1550=0,1,SUMPRODUCT(J1550:N1550,B1551:F1551)+O1550*(1+0.00023125256064071564))</f>
        <v/>
      </c>
      <c r="J1551">
        <f>IF(G1551=1,0.2*R1551/B1551,J1550)</f>
        <v/>
      </c>
      <c r="K1551">
        <f>IF(G1551=1,0.2*R1551/C1551,K1550)</f>
        <v/>
      </c>
      <c r="L1551">
        <f>IF(G1551=1,0.2*R1551/D1551,L1550)</f>
        <v/>
      </c>
      <c r="M1551">
        <f>IF(G1551=1,0.2*R1551/E1551,M1550)</f>
        <v/>
      </c>
      <c r="N1551">
        <f>IF(G1551=1,0.2*R1551/F1551,N1550)</f>
        <v/>
      </c>
      <c r="O1551">
        <f>IF(G1551=1,R1551*(1-1.0),IF(H1550=0,1,O1550*(1+0.00023125256064071564)))</f>
        <v/>
      </c>
      <c r="P1551">
        <f>IF(G1551=1,IF(H1550=0,1,ABS(0.2-J1550*B1551/I1551)+ABS(0.2-K1550*C1551/I1551)+ABS(0.2-L1550*D1551/I1551)+ABS(0.2-M1550*E1551/I1551)+ABS(0.2-N1550*F1551/I1551)),0)</f>
        <v/>
      </c>
      <c r="Q1551">
        <f>P1551*0.0015</f>
        <v/>
      </c>
      <c r="R1551">
        <f>I1551*(1-Q1551)</f>
        <v/>
      </c>
      <c r="S1551">
        <f>R1551/R1550-1</f>
        <v/>
      </c>
      <c r="T1551">
        <f>MAX(T1550,R1551)</f>
        <v/>
      </c>
      <c r="U1551">
        <f>R1551/T1551-1</f>
        <v/>
      </c>
      <c r="V1551" t="n">
        <v>3.281736997027529</v>
      </c>
      <c r="W1551" s="5">
        <f>R1551-V1551</f>
        <v/>
      </c>
    </row>
    <row r="1552">
      <c r="A1552" s="3" t="n">
        <v>40721</v>
      </c>
      <c r="B1552">
        <f>Prices!B1552</f>
        <v/>
      </c>
      <c r="C1552">
        <f>Prices!C1552</f>
        <v/>
      </c>
      <c r="D1552">
        <f>Prices!D1552</f>
        <v/>
      </c>
      <c r="E1552">
        <f>Prices!E1552</f>
        <v/>
      </c>
      <c r="F1552">
        <f>Prices!F1552</f>
        <v/>
      </c>
      <c r="G1552">
        <f>IF(AND(1550&gt;=16,TEXT(A1552,"yyyy-mm")&lt;&gt;TEXT(A1553,"yyyy-mm")),1,0)</f>
        <v/>
      </c>
      <c r="H1552">
        <f>IF(OR(H1551=1,G1552=1),1,0)</f>
        <v/>
      </c>
      <c r="I1552">
        <f>IF(H1551=0,1,SUMPRODUCT(J1551:N1551,B1552:F1552)+O1551*(1+0.00023125256064071564))</f>
        <v/>
      </c>
      <c r="J1552">
        <f>IF(G1552=1,0.2*R1552/B1552,J1551)</f>
        <v/>
      </c>
      <c r="K1552">
        <f>IF(G1552=1,0.2*R1552/C1552,K1551)</f>
        <v/>
      </c>
      <c r="L1552">
        <f>IF(G1552=1,0.2*R1552/D1552,L1551)</f>
        <v/>
      </c>
      <c r="M1552">
        <f>IF(G1552=1,0.2*R1552/E1552,M1551)</f>
        <v/>
      </c>
      <c r="N1552">
        <f>IF(G1552=1,0.2*R1552/F1552,N1551)</f>
        <v/>
      </c>
      <c r="O1552">
        <f>IF(G1552=1,R1552*(1-1.0),IF(H1551=0,1,O1551*(1+0.00023125256064071564)))</f>
        <v/>
      </c>
      <c r="P1552">
        <f>IF(G1552=1,IF(H1551=0,1,ABS(0.2-J1551*B1552/I1552)+ABS(0.2-K1551*C1552/I1552)+ABS(0.2-L1551*D1552/I1552)+ABS(0.2-M1551*E1552/I1552)+ABS(0.2-N1551*F1552/I1552)),0)</f>
        <v/>
      </c>
      <c r="Q1552">
        <f>P1552*0.0015</f>
        <v/>
      </c>
      <c r="R1552">
        <f>I1552*(1-Q1552)</f>
        <v/>
      </c>
      <c r="S1552">
        <f>R1552/R1551-1</f>
        <v/>
      </c>
      <c r="T1552">
        <f>MAX(T1551,R1552)</f>
        <v/>
      </c>
      <c r="U1552">
        <f>R1552/T1552-1</f>
        <v/>
      </c>
      <c r="V1552" t="n">
        <v>3.318887677344204</v>
      </c>
      <c r="W1552" s="5">
        <f>R1552-V1552</f>
        <v/>
      </c>
    </row>
    <row r="1553">
      <c r="A1553" s="3" t="n">
        <v>40722</v>
      </c>
      <c r="B1553">
        <f>Prices!B1553</f>
        <v/>
      </c>
      <c r="C1553">
        <f>Prices!C1553</f>
        <v/>
      </c>
      <c r="D1553">
        <f>Prices!D1553</f>
        <v/>
      </c>
      <c r="E1553">
        <f>Prices!E1553</f>
        <v/>
      </c>
      <c r="F1553">
        <f>Prices!F1553</f>
        <v/>
      </c>
      <c r="G1553">
        <f>IF(AND(1551&gt;=16,TEXT(A1553,"yyyy-mm")&lt;&gt;TEXT(A1554,"yyyy-mm")),1,0)</f>
        <v/>
      </c>
      <c r="H1553">
        <f>IF(OR(H1552=1,G1553=1),1,0)</f>
        <v/>
      </c>
      <c r="I1553">
        <f>IF(H1552=0,1,SUMPRODUCT(J1552:N1552,B1553:F1553)+O1552*(1+0.00023125256064071564))</f>
        <v/>
      </c>
      <c r="J1553">
        <f>IF(G1553=1,0.2*R1553/B1553,J1552)</f>
        <v/>
      </c>
      <c r="K1553">
        <f>IF(G1553=1,0.2*R1553/C1553,K1552)</f>
        <v/>
      </c>
      <c r="L1553">
        <f>IF(G1553=1,0.2*R1553/D1553,L1552)</f>
        <v/>
      </c>
      <c r="M1553">
        <f>IF(G1553=1,0.2*R1553/E1553,M1552)</f>
        <v/>
      </c>
      <c r="N1553">
        <f>IF(G1553=1,0.2*R1553/F1553,N1552)</f>
        <v/>
      </c>
      <c r="O1553">
        <f>IF(G1553=1,R1553*(1-1.0),IF(H1552=0,1,O1552*(1+0.00023125256064071564)))</f>
        <v/>
      </c>
      <c r="P1553">
        <f>IF(G1553=1,IF(H1552=0,1,ABS(0.2-J1552*B1553/I1553)+ABS(0.2-K1552*C1553/I1553)+ABS(0.2-L1552*D1553/I1553)+ABS(0.2-M1552*E1553/I1553)+ABS(0.2-N1552*F1553/I1553)),0)</f>
        <v/>
      </c>
      <c r="Q1553">
        <f>P1553*0.0015</f>
        <v/>
      </c>
      <c r="R1553">
        <f>I1553*(1-Q1553)</f>
        <v/>
      </c>
      <c r="S1553">
        <f>R1553/R1552-1</f>
        <v/>
      </c>
      <c r="T1553">
        <f>MAX(T1552,R1553)</f>
        <v/>
      </c>
      <c r="U1553">
        <f>R1553/T1553-1</f>
        <v/>
      </c>
      <c r="V1553" t="n">
        <v>3.331980018240611</v>
      </c>
      <c r="W1553" s="5">
        <f>R1553-V1553</f>
        <v/>
      </c>
    </row>
    <row r="1554">
      <c r="A1554" s="3" t="n">
        <v>40723</v>
      </c>
      <c r="B1554">
        <f>Prices!B1554</f>
        <v/>
      </c>
      <c r="C1554">
        <f>Prices!C1554</f>
        <v/>
      </c>
      <c r="D1554">
        <f>Prices!D1554</f>
        <v/>
      </c>
      <c r="E1554">
        <f>Prices!E1554</f>
        <v/>
      </c>
      <c r="F1554">
        <f>Prices!F1554</f>
        <v/>
      </c>
      <c r="G1554">
        <f>IF(AND(1552&gt;=16,TEXT(A1554,"yyyy-mm")&lt;&gt;TEXT(A1555,"yyyy-mm")),1,0)</f>
        <v/>
      </c>
      <c r="H1554">
        <f>IF(OR(H1553=1,G1554=1),1,0)</f>
        <v/>
      </c>
      <c r="I1554">
        <f>IF(H1553=0,1,SUMPRODUCT(J1553:N1553,B1554:F1554)+O1553*(1+0.00023125256064071564))</f>
        <v/>
      </c>
      <c r="J1554">
        <f>IF(G1554=1,0.2*R1554/B1554,J1553)</f>
        <v/>
      </c>
      <c r="K1554">
        <f>IF(G1554=1,0.2*R1554/C1554,K1553)</f>
        <v/>
      </c>
      <c r="L1554">
        <f>IF(G1554=1,0.2*R1554/D1554,L1553)</f>
        <v/>
      </c>
      <c r="M1554">
        <f>IF(G1554=1,0.2*R1554/E1554,M1553)</f>
        <v/>
      </c>
      <c r="N1554">
        <f>IF(G1554=1,0.2*R1554/F1554,N1553)</f>
        <v/>
      </c>
      <c r="O1554">
        <f>IF(G1554=1,R1554*(1-1.0),IF(H1553=0,1,O1553*(1+0.00023125256064071564)))</f>
        <v/>
      </c>
      <c r="P1554">
        <f>IF(G1554=1,IF(H1553=0,1,ABS(0.2-J1553*B1554/I1554)+ABS(0.2-K1553*C1554/I1554)+ABS(0.2-L1553*D1554/I1554)+ABS(0.2-M1553*E1554/I1554)+ABS(0.2-N1553*F1554/I1554)),0)</f>
        <v/>
      </c>
      <c r="Q1554">
        <f>P1554*0.0015</f>
        <v/>
      </c>
      <c r="R1554">
        <f>I1554*(1-Q1554)</f>
        <v/>
      </c>
      <c r="S1554">
        <f>R1554/R1553-1</f>
        <v/>
      </c>
      <c r="T1554">
        <f>MAX(T1553,R1554)</f>
        <v/>
      </c>
      <c r="U1554">
        <f>R1554/T1554-1</f>
        <v/>
      </c>
      <c r="V1554" t="n">
        <v>3.357010649307938</v>
      </c>
      <c r="W1554" s="5">
        <f>R1554-V1554</f>
        <v/>
      </c>
    </row>
    <row r="1555">
      <c r="A1555" s="3" t="n">
        <v>40724</v>
      </c>
      <c r="B1555">
        <f>Prices!B1555</f>
        <v/>
      </c>
      <c r="C1555">
        <f>Prices!C1555</f>
        <v/>
      </c>
      <c r="D1555">
        <f>Prices!D1555</f>
        <v/>
      </c>
      <c r="E1555">
        <f>Prices!E1555</f>
        <v/>
      </c>
      <c r="F1555">
        <f>Prices!F1555</f>
        <v/>
      </c>
      <c r="G1555">
        <f>IF(AND(1553&gt;=16,TEXT(A1555,"yyyy-mm")&lt;&gt;TEXT(A1556,"yyyy-mm")),1,0)</f>
        <v/>
      </c>
      <c r="H1555">
        <f>IF(OR(H1554=1,G1555=1),1,0)</f>
        <v/>
      </c>
      <c r="I1555">
        <f>IF(H1554=0,1,SUMPRODUCT(J1554:N1554,B1555:F1555)+O1554*(1+0.00023125256064071564))</f>
        <v/>
      </c>
      <c r="J1555">
        <f>IF(G1555=1,0.2*R1555/B1555,J1554)</f>
        <v/>
      </c>
      <c r="K1555">
        <f>IF(G1555=1,0.2*R1555/C1555,K1554)</f>
        <v/>
      </c>
      <c r="L1555">
        <f>IF(G1555=1,0.2*R1555/D1555,L1554)</f>
        <v/>
      </c>
      <c r="M1555">
        <f>IF(G1555=1,0.2*R1555/E1555,M1554)</f>
        <v/>
      </c>
      <c r="N1555">
        <f>IF(G1555=1,0.2*R1555/F1555,N1554)</f>
        <v/>
      </c>
      <c r="O1555">
        <f>IF(G1555=1,R1555*(1-1.0),IF(H1554=0,1,O1554*(1+0.00023125256064071564)))</f>
        <v/>
      </c>
      <c r="P1555">
        <f>IF(G1555=1,IF(H1554=0,1,ABS(0.2-J1554*B1555/I1555)+ABS(0.2-K1554*C1555/I1555)+ABS(0.2-L1554*D1555/I1555)+ABS(0.2-M1554*E1555/I1555)+ABS(0.2-N1554*F1555/I1555)),0)</f>
        <v/>
      </c>
      <c r="Q1555">
        <f>P1555*0.0015</f>
        <v/>
      </c>
      <c r="R1555">
        <f>I1555*(1-Q1555)</f>
        <v/>
      </c>
      <c r="S1555">
        <f>R1555/R1554-1</f>
        <v/>
      </c>
      <c r="T1555">
        <f>MAX(T1554,R1555)</f>
        <v/>
      </c>
      <c r="U1555">
        <f>R1555/T1555-1</f>
        <v/>
      </c>
      <c r="V1555" t="n">
        <v>3.380364052713831</v>
      </c>
      <c r="W1555" s="5">
        <f>R1555-V1555</f>
        <v/>
      </c>
    </row>
    <row r="1556">
      <c r="A1556" s="3" t="n">
        <v>40725</v>
      </c>
      <c r="B1556">
        <f>Prices!B1556</f>
        <v/>
      </c>
      <c r="C1556">
        <f>Prices!C1556</f>
        <v/>
      </c>
      <c r="D1556">
        <f>Prices!D1556</f>
        <v/>
      </c>
      <c r="E1556">
        <f>Prices!E1556</f>
        <v/>
      </c>
      <c r="F1556">
        <f>Prices!F1556</f>
        <v/>
      </c>
      <c r="G1556">
        <f>IF(AND(1554&gt;=16,TEXT(A1556,"yyyy-mm")&lt;&gt;TEXT(A1557,"yyyy-mm")),1,0)</f>
        <v/>
      </c>
      <c r="H1556">
        <f>IF(OR(H1555=1,G1556=1),1,0)</f>
        <v/>
      </c>
      <c r="I1556">
        <f>IF(H1555=0,1,SUMPRODUCT(J1555:N1555,B1556:F1556)+O1555*(1+0.00023125256064071564))</f>
        <v/>
      </c>
      <c r="J1556">
        <f>IF(G1556=1,0.2*R1556/B1556,J1555)</f>
        <v/>
      </c>
      <c r="K1556">
        <f>IF(G1556=1,0.2*R1556/C1556,K1555)</f>
        <v/>
      </c>
      <c r="L1556">
        <f>IF(G1556=1,0.2*R1556/D1556,L1555)</f>
        <v/>
      </c>
      <c r="M1556">
        <f>IF(G1556=1,0.2*R1556/E1556,M1555)</f>
        <v/>
      </c>
      <c r="N1556">
        <f>IF(G1556=1,0.2*R1556/F1556,N1555)</f>
        <v/>
      </c>
      <c r="O1556">
        <f>IF(G1556=1,R1556*(1-1.0),IF(H1555=0,1,O1555*(1+0.00023125256064071564)))</f>
        <v/>
      </c>
      <c r="P1556">
        <f>IF(G1556=1,IF(H1555=0,1,ABS(0.2-J1555*B1556/I1556)+ABS(0.2-K1555*C1556/I1556)+ABS(0.2-L1555*D1556/I1556)+ABS(0.2-M1555*E1556/I1556)+ABS(0.2-N1555*F1556/I1556)),0)</f>
        <v/>
      </c>
      <c r="Q1556">
        <f>P1556*0.0015</f>
        <v/>
      </c>
      <c r="R1556">
        <f>I1556*(1-Q1556)</f>
        <v/>
      </c>
      <c r="S1556">
        <f>R1556/R1555-1</f>
        <v/>
      </c>
      <c r="T1556">
        <f>MAX(T1555,R1556)</f>
        <v/>
      </c>
      <c r="U1556">
        <f>R1556/T1556-1</f>
        <v/>
      </c>
      <c r="V1556" t="n">
        <v>3.391698313532954</v>
      </c>
      <c r="W1556" s="5">
        <f>R1556-V1556</f>
        <v/>
      </c>
    </row>
    <row r="1557">
      <c r="A1557" s="3" t="n">
        <v>40728</v>
      </c>
      <c r="B1557">
        <f>Prices!B1557</f>
        <v/>
      </c>
      <c r="C1557">
        <f>Prices!C1557</f>
        <v/>
      </c>
      <c r="D1557">
        <f>Prices!D1557</f>
        <v/>
      </c>
      <c r="E1557">
        <f>Prices!E1557</f>
        <v/>
      </c>
      <c r="F1557">
        <f>Prices!F1557</f>
        <v/>
      </c>
      <c r="G1557">
        <f>IF(AND(1555&gt;=16,TEXT(A1557,"yyyy-mm")&lt;&gt;TEXT(A1558,"yyyy-mm")),1,0)</f>
        <v/>
      </c>
      <c r="H1557">
        <f>IF(OR(H1556=1,G1557=1),1,0)</f>
        <v/>
      </c>
      <c r="I1557">
        <f>IF(H1556=0,1,SUMPRODUCT(J1556:N1556,B1557:F1557)+O1556*(1+0.00023125256064071564))</f>
        <v/>
      </c>
      <c r="J1557">
        <f>IF(G1557=1,0.2*R1557/B1557,J1556)</f>
        <v/>
      </c>
      <c r="K1557">
        <f>IF(G1557=1,0.2*R1557/C1557,K1556)</f>
        <v/>
      </c>
      <c r="L1557">
        <f>IF(G1557=1,0.2*R1557/D1557,L1556)</f>
        <v/>
      </c>
      <c r="M1557">
        <f>IF(G1557=1,0.2*R1557/E1557,M1556)</f>
        <v/>
      </c>
      <c r="N1557">
        <f>IF(G1557=1,0.2*R1557/F1557,N1556)</f>
        <v/>
      </c>
      <c r="O1557">
        <f>IF(G1557=1,R1557*(1-1.0),IF(H1556=0,1,O1556*(1+0.00023125256064071564)))</f>
        <v/>
      </c>
      <c r="P1557">
        <f>IF(G1557=1,IF(H1556=0,1,ABS(0.2-J1556*B1557/I1557)+ABS(0.2-K1556*C1557/I1557)+ABS(0.2-L1556*D1557/I1557)+ABS(0.2-M1556*E1557/I1557)+ABS(0.2-N1556*F1557/I1557)),0)</f>
        <v/>
      </c>
      <c r="Q1557">
        <f>P1557*0.0015</f>
        <v/>
      </c>
      <c r="R1557">
        <f>I1557*(1-Q1557)</f>
        <v/>
      </c>
      <c r="S1557">
        <f>R1557/R1556-1</f>
        <v/>
      </c>
      <c r="T1557">
        <f>MAX(T1556,R1557)</f>
        <v/>
      </c>
      <c r="U1557">
        <f>R1557/T1557-1</f>
        <v/>
      </c>
      <c r="V1557" t="n">
        <v>3.414535343166968</v>
      </c>
      <c r="W1557" s="5">
        <f>R1557-V1557</f>
        <v/>
      </c>
    </row>
    <row r="1558">
      <c r="A1558" s="3" t="n">
        <v>40729</v>
      </c>
      <c r="B1558">
        <f>Prices!B1558</f>
        <v/>
      </c>
      <c r="C1558">
        <f>Prices!C1558</f>
        <v/>
      </c>
      <c r="D1558">
        <f>Prices!D1558</f>
        <v/>
      </c>
      <c r="E1558">
        <f>Prices!E1558</f>
        <v/>
      </c>
      <c r="F1558">
        <f>Prices!F1558</f>
        <v/>
      </c>
      <c r="G1558">
        <f>IF(AND(1556&gt;=16,TEXT(A1558,"yyyy-mm")&lt;&gt;TEXT(A1559,"yyyy-mm")),1,0)</f>
        <v/>
      </c>
      <c r="H1558">
        <f>IF(OR(H1557=1,G1558=1),1,0)</f>
        <v/>
      </c>
      <c r="I1558">
        <f>IF(H1557=0,1,SUMPRODUCT(J1557:N1557,B1558:F1558)+O1557*(1+0.00023125256064071564))</f>
        <v/>
      </c>
      <c r="J1558">
        <f>IF(G1558=1,0.2*R1558/B1558,J1557)</f>
        <v/>
      </c>
      <c r="K1558">
        <f>IF(G1558=1,0.2*R1558/C1558,K1557)</f>
        <v/>
      </c>
      <c r="L1558">
        <f>IF(G1558=1,0.2*R1558/D1558,L1557)</f>
        <v/>
      </c>
      <c r="M1558">
        <f>IF(G1558=1,0.2*R1558/E1558,M1557)</f>
        <v/>
      </c>
      <c r="N1558">
        <f>IF(G1558=1,0.2*R1558/F1558,N1557)</f>
        <v/>
      </c>
      <c r="O1558">
        <f>IF(G1558=1,R1558*(1-1.0),IF(H1557=0,1,O1557*(1+0.00023125256064071564)))</f>
        <v/>
      </c>
      <c r="P1558">
        <f>IF(G1558=1,IF(H1557=0,1,ABS(0.2-J1557*B1558/I1558)+ABS(0.2-K1557*C1558/I1558)+ABS(0.2-L1557*D1558/I1558)+ABS(0.2-M1557*E1558/I1558)+ABS(0.2-N1557*F1558/I1558)),0)</f>
        <v/>
      </c>
      <c r="Q1558">
        <f>P1558*0.0015</f>
        <v/>
      </c>
      <c r="R1558">
        <f>I1558*(1-Q1558)</f>
        <v/>
      </c>
      <c r="S1558">
        <f>R1558/R1557-1</f>
        <v/>
      </c>
      <c r="T1558">
        <f>MAX(T1557,R1558)</f>
        <v/>
      </c>
      <c r="U1558">
        <f>R1558/T1558-1</f>
        <v/>
      </c>
      <c r="V1558" t="n">
        <v>3.410059352004412</v>
      </c>
      <c r="W1558" s="5">
        <f>R1558-V1558</f>
        <v/>
      </c>
    </row>
    <row r="1559">
      <c r="A1559" s="3" t="n">
        <v>40730</v>
      </c>
      <c r="B1559">
        <f>Prices!B1559</f>
        <v/>
      </c>
      <c r="C1559">
        <f>Prices!C1559</f>
        <v/>
      </c>
      <c r="D1559">
        <f>Prices!D1559</f>
        <v/>
      </c>
      <c r="E1559">
        <f>Prices!E1559</f>
        <v/>
      </c>
      <c r="F1559">
        <f>Prices!F1559</f>
        <v/>
      </c>
      <c r="G1559">
        <f>IF(AND(1557&gt;=16,TEXT(A1559,"yyyy-mm")&lt;&gt;TEXT(A1560,"yyyy-mm")),1,0)</f>
        <v/>
      </c>
      <c r="H1559">
        <f>IF(OR(H1558=1,G1559=1),1,0)</f>
        <v/>
      </c>
      <c r="I1559">
        <f>IF(H1558=0,1,SUMPRODUCT(J1558:N1558,B1559:F1559)+O1558*(1+0.00023125256064071564))</f>
        <v/>
      </c>
      <c r="J1559">
        <f>IF(G1559=1,0.2*R1559/B1559,J1558)</f>
        <v/>
      </c>
      <c r="K1559">
        <f>IF(G1559=1,0.2*R1559/C1559,K1558)</f>
        <v/>
      </c>
      <c r="L1559">
        <f>IF(G1559=1,0.2*R1559/D1559,L1558)</f>
        <v/>
      </c>
      <c r="M1559">
        <f>IF(G1559=1,0.2*R1559/E1559,M1558)</f>
        <v/>
      </c>
      <c r="N1559">
        <f>IF(G1559=1,0.2*R1559/F1559,N1558)</f>
        <v/>
      </c>
      <c r="O1559">
        <f>IF(G1559=1,R1559*(1-1.0),IF(H1558=0,1,O1558*(1+0.00023125256064071564)))</f>
        <v/>
      </c>
      <c r="P1559">
        <f>IF(G1559=1,IF(H1558=0,1,ABS(0.2-J1558*B1559/I1559)+ABS(0.2-K1558*C1559/I1559)+ABS(0.2-L1558*D1559/I1559)+ABS(0.2-M1558*E1559/I1559)+ABS(0.2-N1558*F1559/I1559)),0)</f>
        <v/>
      </c>
      <c r="Q1559">
        <f>P1559*0.0015</f>
        <v/>
      </c>
      <c r="R1559">
        <f>I1559*(1-Q1559)</f>
        <v/>
      </c>
      <c r="S1559">
        <f>R1559/R1558-1</f>
        <v/>
      </c>
      <c r="T1559">
        <f>MAX(T1558,R1559)</f>
        <v/>
      </c>
      <c r="U1559">
        <f>R1559/T1559-1</f>
        <v/>
      </c>
      <c r="V1559" t="n">
        <v>3.411721570202644</v>
      </c>
      <c r="W1559" s="5">
        <f>R1559-V1559</f>
        <v/>
      </c>
    </row>
    <row r="1560">
      <c r="A1560" s="3" t="n">
        <v>40731</v>
      </c>
      <c r="B1560">
        <f>Prices!B1560</f>
        <v/>
      </c>
      <c r="C1560">
        <f>Prices!C1560</f>
        <v/>
      </c>
      <c r="D1560">
        <f>Prices!D1560</f>
        <v/>
      </c>
      <c r="E1560">
        <f>Prices!E1560</f>
        <v/>
      </c>
      <c r="F1560">
        <f>Prices!F1560</f>
        <v/>
      </c>
      <c r="G1560">
        <f>IF(AND(1558&gt;=16,TEXT(A1560,"yyyy-mm")&lt;&gt;TEXT(A1561,"yyyy-mm")),1,0)</f>
        <v/>
      </c>
      <c r="H1560">
        <f>IF(OR(H1559=1,G1560=1),1,0)</f>
        <v/>
      </c>
      <c r="I1560">
        <f>IF(H1559=0,1,SUMPRODUCT(J1559:N1559,B1560:F1560)+O1559*(1+0.00023125256064071564))</f>
        <v/>
      </c>
      <c r="J1560">
        <f>IF(G1560=1,0.2*R1560/B1560,J1559)</f>
        <v/>
      </c>
      <c r="K1560">
        <f>IF(G1560=1,0.2*R1560/C1560,K1559)</f>
        <v/>
      </c>
      <c r="L1560">
        <f>IF(G1560=1,0.2*R1560/D1560,L1559)</f>
        <v/>
      </c>
      <c r="M1560">
        <f>IF(G1560=1,0.2*R1560/E1560,M1559)</f>
        <v/>
      </c>
      <c r="N1560">
        <f>IF(G1560=1,0.2*R1560/F1560,N1559)</f>
        <v/>
      </c>
      <c r="O1560">
        <f>IF(G1560=1,R1560*(1-1.0),IF(H1559=0,1,O1559*(1+0.00023125256064071564)))</f>
        <v/>
      </c>
      <c r="P1560">
        <f>IF(G1560=1,IF(H1559=0,1,ABS(0.2-J1559*B1560/I1560)+ABS(0.2-K1559*C1560/I1560)+ABS(0.2-L1559*D1560/I1560)+ABS(0.2-M1559*E1560/I1560)+ABS(0.2-N1559*F1560/I1560)),0)</f>
        <v/>
      </c>
      <c r="Q1560">
        <f>P1560*0.0015</f>
        <v/>
      </c>
      <c r="R1560">
        <f>I1560*(1-Q1560)</f>
        <v/>
      </c>
      <c r="S1560">
        <f>R1560/R1559-1</f>
        <v/>
      </c>
      <c r="T1560">
        <f>MAX(T1559,R1560)</f>
        <v/>
      </c>
      <c r="U1560">
        <f>R1560/T1560-1</f>
        <v/>
      </c>
      <c r="V1560" t="n">
        <v>3.452791488024889</v>
      </c>
      <c r="W1560" s="5">
        <f>R1560-V1560</f>
        <v/>
      </c>
    </row>
    <row r="1561">
      <c r="A1561" s="3" t="n">
        <v>40732</v>
      </c>
      <c r="B1561">
        <f>Prices!B1561</f>
        <v/>
      </c>
      <c r="C1561">
        <f>Prices!C1561</f>
        <v/>
      </c>
      <c r="D1561">
        <f>Prices!D1561</f>
        <v/>
      </c>
      <c r="E1561">
        <f>Prices!E1561</f>
        <v/>
      </c>
      <c r="F1561">
        <f>Prices!F1561</f>
        <v/>
      </c>
      <c r="G1561">
        <f>IF(AND(1559&gt;=16,TEXT(A1561,"yyyy-mm")&lt;&gt;TEXT(A1562,"yyyy-mm")),1,0)</f>
        <v/>
      </c>
      <c r="H1561">
        <f>IF(OR(H1560=1,G1561=1),1,0)</f>
        <v/>
      </c>
      <c r="I1561">
        <f>IF(H1560=0,1,SUMPRODUCT(J1560:N1560,B1561:F1561)+O1560*(1+0.00023125256064071564))</f>
        <v/>
      </c>
      <c r="J1561">
        <f>IF(G1561=1,0.2*R1561/B1561,J1560)</f>
        <v/>
      </c>
      <c r="K1561">
        <f>IF(G1561=1,0.2*R1561/C1561,K1560)</f>
        <v/>
      </c>
      <c r="L1561">
        <f>IF(G1561=1,0.2*R1561/D1561,L1560)</f>
        <v/>
      </c>
      <c r="M1561">
        <f>IF(G1561=1,0.2*R1561/E1561,M1560)</f>
        <v/>
      </c>
      <c r="N1561">
        <f>IF(G1561=1,0.2*R1561/F1561,N1560)</f>
        <v/>
      </c>
      <c r="O1561">
        <f>IF(G1561=1,R1561*(1-1.0),IF(H1560=0,1,O1560*(1+0.00023125256064071564)))</f>
        <v/>
      </c>
      <c r="P1561">
        <f>IF(G1561=1,IF(H1560=0,1,ABS(0.2-J1560*B1561/I1561)+ABS(0.2-K1560*C1561/I1561)+ABS(0.2-L1560*D1561/I1561)+ABS(0.2-M1560*E1561/I1561)+ABS(0.2-N1560*F1561/I1561)),0)</f>
        <v/>
      </c>
      <c r="Q1561">
        <f>P1561*0.0015</f>
        <v/>
      </c>
      <c r="R1561">
        <f>I1561*(1-Q1561)</f>
        <v/>
      </c>
      <c r="S1561">
        <f>R1561/R1560-1</f>
        <v/>
      </c>
      <c r="T1561">
        <f>MAX(T1560,R1561)</f>
        <v/>
      </c>
      <c r="U1561">
        <f>R1561/T1561-1</f>
        <v/>
      </c>
      <c r="V1561" t="n">
        <v>3.42710127628635</v>
      </c>
      <c r="W1561" s="5">
        <f>R1561-V1561</f>
        <v/>
      </c>
    </row>
    <row r="1562">
      <c r="A1562" s="3" t="n">
        <v>40735</v>
      </c>
      <c r="B1562">
        <f>Prices!B1562</f>
        <v/>
      </c>
      <c r="C1562">
        <f>Prices!C1562</f>
        <v/>
      </c>
      <c r="D1562">
        <f>Prices!D1562</f>
        <v/>
      </c>
      <c r="E1562">
        <f>Prices!E1562</f>
        <v/>
      </c>
      <c r="F1562">
        <f>Prices!F1562</f>
        <v/>
      </c>
      <c r="G1562">
        <f>IF(AND(1560&gt;=16,TEXT(A1562,"yyyy-mm")&lt;&gt;TEXT(A1563,"yyyy-mm")),1,0)</f>
        <v/>
      </c>
      <c r="H1562">
        <f>IF(OR(H1561=1,G1562=1),1,0)</f>
        <v/>
      </c>
      <c r="I1562">
        <f>IF(H1561=0,1,SUMPRODUCT(J1561:N1561,B1562:F1562)+O1561*(1+0.00023125256064071564))</f>
        <v/>
      </c>
      <c r="J1562">
        <f>IF(G1562=1,0.2*R1562/B1562,J1561)</f>
        <v/>
      </c>
      <c r="K1562">
        <f>IF(G1562=1,0.2*R1562/C1562,K1561)</f>
        <v/>
      </c>
      <c r="L1562">
        <f>IF(G1562=1,0.2*R1562/D1562,L1561)</f>
        <v/>
      </c>
      <c r="M1562">
        <f>IF(G1562=1,0.2*R1562/E1562,M1561)</f>
        <v/>
      </c>
      <c r="N1562">
        <f>IF(G1562=1,0.2*R1562/F1562,N1561)</f>
        <v/>
      </c>
      <c r="O1562">
        <f>IF(G1562=1,R1562*(1-1.0),IF(H1561=0,1,O1561*(1+0.00023125256064071564)))</f>
        <v/>
      </c>
      <c r="P1562">
        <f>IF(G1562=1,IF(H1561=0,1,ABS(0.2-J1561*B1562/I1562)+ABS(0.2-K1561*C1562/I1562)+ABS(0.2-L1561*D1562/I1562)+ABS(0.2-M1561*E1562/I1562)+ABS(0.2-N1561*F1562/I1562)),0)</f>
        <v/>
      </c>
      <c r="Q1562">
        <f>P1562*0.0015</f>
        <v/>
      </c>
      <c r="R1562">
        <f>I1562*(1-Q1562)</f>
        <v/>
      </c>
      <c r="S1562">
        <f>R1562/R1561-1</f>
        <v/>
      </c>
      <c r="T1562">
        <f>MAX(T1561,R1562)</f>
        <v/>
      </c>
      <c r="U1562">
        <f>R1562/T1562-1</f>
        <v/>
      </c>
      <c r="V1562" t="n">
        <v>3.411308195758438</v>
      </c>
      <c r="W1562" s="5">
        <f>R1562-V1562</f>
        <v/>
      </c>
    </row>
    <row r="1563">
      <c r="A1563" s="3" t="n">
        <v>40736</v>
      </c>
      <c r="B1563">
        <f>Prices!B1563</f>
        <v/>
      </c>
      <c r="C1563">
        <f>Prices!C1563</f>
        <v/>
      </c>
      <c r="D1563">
        <f>Prices!D1563</f>
        <v/>
      </c>
      <c r="E1563">
        <f>Prices!E1563</f>
        <v/>
      </c>
      <c r="F1563">
        <f>Prices!F1563</f>
        <v/>
      </c>
      <c r="G1563">
        <f>IF(AND(1561&gt;=16,TEXT(A1563,"yyyy-mm")&lt;&gt;TEXT(A1564,"yyyy-mm")),1,0)</f>
        <v/>
      </c>
      <c r="H1563">
        <f>IF(OR(H1562=1,G1563=1),1,0)</f>
        <v/>
      </c>
      <c r="I1563">
        <f>IF(H1562=0,1,SUMPRODUCT(J1562:N1562,B1563:F1563)+O1562*(1+0.00023125256064071564))</f>
        <v/>
      </c>
      <c r="J1563">
        <f>IF(G1563=1,0.2*R1563/B1563,J1562)</f>
        <v/>
      </c>
      <c r="K1563">
        <f>IF(G1563=1,0.2*R1563/C1563,K1562)</f>
        <v/>
      </c>
      <c r="L1563">
        <f>IF(G1563=1,0.2*R1563/D1563,L1562)</f>
        <v/>
      </c>
      <c r="M1563">
        <f>IF(G1563=1,0.2*R1563/E1563,M1562)</f>
        <v/>
      </c>
      <c r="N1563">
        <f>IF(G1563=1,0.2*R1563/F1563,N1562)</f>
        <v/>
      </c>
      <c r="O1563">
        <f>IF(G1563=1,R1563*(1-1.0),IF(H1562=0,1,O1562*(1+0.00023125256064071564)))</f>
        <v/>
      </c>
      <c r="P1563">
        <f>IF(G1563=1,IF(H1562=0,1,ABS(0.2-J1562*B1563/I1563)+ABS(0.2-K1562*C1563/I1563)+ABS(0.2-L1562*D1563/I1563)+ABS(0.2-M1562*E1563/I1563)+ABS(0.2-N1562*F1563/I1563)),0)</f>
        <v/>
      </c>
      <c r="Q1563">
        <f>P1563*0.0015</f>
        <v/>
      </c>
      <c r="R1563">
        <f>I1563*(1-Q1563)</f>
        <v/>
      </c>
      <c r="S1563">
        <f>R1563/R1562-1</f>
        <v/>
      </c>
      <c r="T1563">
        <f>MAX(T1562,R1563)</f>
        <v/>
      </c>
      <c r="U1563">
        <f>R1563/T1563-1</f>
        <v/>
      </c>
      <c r="V1563" t="n">
        <v>3.369682665144835</v>
      </c>
      <c r="W1563" s="5">
        <f>R1563-V1563</f>
        <v/>
      </c>
    </row>
    <row r="1564">
      <c r="A1564" s="3" t="n">
        <v>40737</v>
      </c>
      <c r="B1564">
        <f>Prices!B1564</f>
        <v/>
      </c>
      <c r="C1564">
        <f>Prices!C1564</f>
        <v/>
      </c>
      <c r="D1564">
        <f>Prices!D1564</f>
        <v/>
      </c>
      <c r="E1564">
        <f>Prices!E1564</f>
        <v/>
      </c>
      <c r="F1564">
        <f>Prices!F1564</f>
        <v/>
      </c>
      <c r="G1564">
        <f>IF(AND(1562&gt;=16,TEXT(A1564,"yyyy-mm")&lt;&gt;TEXT(A1565,"yyyy-mm")),1,0)</f>
        <v/>
      </c>
      <c r="H1564">
        <f>IF(OR(H1563=1,G1564=1),1,0)</f>
        <v/>
      </c>
      <c r="I1564">
        <f>IF(H1563=0,1,SUMPRODUCT(J1563:N1563,B1564:F1564)+O1563*(1+0.00023125256064071564))</f>
        <v/>
      </c>
      <c r="J1564">
        <f>IF(G1564=1,0.2*R1564/B1564,J1563)</f>
        <v/>
      </c>
      <c r="K1564">
        <f>IF(G1564=1,0.2*R1564/C1564,K1563)</f>
        <v/>
      </c>
      <c r="L1564">
        <f>IF(G1564=1,0.2*R1564/D1564,L1563)</f>
        <v/>
      </c>
      <c r="M1564">
        <f>IF(G1564=1,0.2*R1564/E1564,M1563)</f>
        <v/>
      </c>
      <c r="N1564">
        <f>IF(G1564=1,0.2*R1564/F1564,N1563)</f>
        <v/>
      </c>
      <c r="O1564">
        <f>IF(G1564=1,R1564*(1-1.0),IF(H1563=0,1,O1563*(1+0.00023125256064071564)))</f>
        <v/>
      </c>
      <c r="P1564">
        <f>IF(G1564=1,IF(H1563=0,1,ABS(0.2-J1563*B1564/I1564)+ABS(0.2-K1563*C1564/I1564)+ABS(0.2-L1563*D1564/I1564)+ABS(0.2-M1563*E1564/I1564)+ABS(0.2-N1563*F1564/I1564)),0)</f>
        <v/>
      </c>
      <c r="Q1564">
        <f>P1564*0.0015</f>
        <v/>
      </c>
      <c r="R1564">
        <f>I1564*(1-Q1564)</f>
        <v/>
      </c>
      <c r="S1564">
        <f>R1564/R1563-1</f>
        <v/>
      </c>
      <c r="T1564">
        <f>MAX(T1563,R1564)</f>
        <v/>
      </c>
      <c r="U1564">
        <f>R1564/T1564-1</f>
        <v/>
      </c>
      <c r="V1564" t="n">
        <v>3.412879268174108</v>
      </c>
      <c r="W1564" s="5">
        <f>R1564-V1564</f>
        <v/>
      </c>
    </row>
    <row r="1565">
      <c r="A1565" s="3" t="n">
        <v>40738</v>
      </c>
      <c r="B1565">
        <f>Prices!B1565</f>
        <v/>
      </c>
      <c r="C1565">
        <f>Prices!C1565</f>
        <v/>
      </c>
      <c r="D1565">
        <f>Prices!D1565</f>
        <v/>
      </c>
      <c r="E1565">
        <f>Prices!E1565</f>
        <v/>
      </c>
      <c r="F1565">
        <f>Prices!F1565</f>
        <v/>
      </c>
      <c r="G1565">
        <f>IF(AND(1563&gt;=16,TEXT(A1565,"yyyy-mm")&lt;&gt;TEXT(A1566,"yyyy-mm")),1,0)</f>
        <v/>
      </c>
      <c r="H1565">
        <f>IF(OR(H1564=1,G1565=1),1,0)</f>
        <v/>
      </c>
      <c r="I1565">
        <f>IF(H1564=0,1,SUMPRODUCT(J1564:N1564,B1565:F1565)+O1564*(1+0.00023125256064071564))</f>
        <v/>
      </c>
      <c r="J1565">
        <f>IF(G1565=1,0.2*R1565/B1565,J1564)</f>
        <v/>
      </c>
      <c r="K1565">
        <f>IF(G1565=1,0.2*R1565/C1565,K1564)</f>
        <v/>
      </c>
      <c r="L1565">
        <f>IF(G1565=1,0.2*R1565/D1565,L1564)</f>
        <v/>
      </c>
      <c r="M1565">
        <f>IF(G1565=1,0.2*R1565/E1565,M1564)</f>
        <v/>
      </c>
      <c r="N1565">
        <f>IF(G1565=1,0.2*R1565/F1565,N1564)</f>
        <v/>
      </c>
      <c r="O1565">
        <f>IF(G1565=1,R1565*(1-1.0),IF(H1564=0,1,O1564*(1+0.00023125256064071564)))</f>
        <v/>
      </c>
      <c r="P1565">
        <f>IF(G1565=1,IF(H1564=0,1,ABS(0.2-J1564*B1565/I1565)+ABS(0.2-K1564*C1565/I1565)+ABS(0.2-L1564*D1565/I1565)+ABS(0.2-M1564*E1565/I1565)+ABS(0.2-N1564*F1565/I1565)),0)</f>
        <v/>
      </c>
      <c r="Q1565">
        <f>P1565*0.0015</f>
        <v/>
      </c>
      <c r="R1565">
        <f>I1565*(1-Q1565)</f>
        <v/>
      </c>
      <c r="S1565">
        <f>R1565/R1564-1</f>
        <v/>
      </c>
      <c r="T1565">
        <f>MAX(T1564,R1565)</f>
        <v/>
      </c>
      <c r="U1565">
        <f>R1565/T1565-1</f>
        <v/>
      </c>
      <c r="V1565" t="n">
        <v>3.421924786258987</v>
      </c>
      <c r="W1565" s="5">
        <f>R1565-V1565</f>
        <v/>
      </c>
    </row>
    <row r="1566">
      <c r="A1566" s="3" t="n">
        <v>40739</v>
      </c>
      <c r="B1566">
        <f>Prices!B1566</f>
        <v/>
      </c>
      <c r="C1566">
        <f>Prices!C1566</f>
        <v/>
      </c>
      <c r="D1566">
        <f>Prices!D1566</f>
        <v/>
      </c>
      <c r="E1566">
        <f>Prices!E1566</f>
        <v/>
      </c>
      <c r="F1566">
        <f>Prices!F1566</f>
        <v/>
      </c>
      <c r="G1566">
        <f>IF(AND(1564&gt;=16,TEXT(A1566,"yyyy-mm")&lt;&gt;TEXT(A1567,"yyyy-mm")),1,0)</f>
        <v/>
      </c>
      <c r="H1566">
        <f>IF(OR(H1565=1,G1566=1),1,0)</f>
        <v/>
      </c>
      <c r="I1566">
        <f>IF(H1565=0,1,SUMPRODUCT(J1565:N1565,B1566:F1566)+O1565*(1+0.00023125256064071564))</f>
        <v/>
      </c>
      <c r="J1566">
        <f>IF(G1566=1,0.2*R1566/B1566,J1565)</f>
        <v/>
      </c>
      <c r="K1566">
        <f>IF(G1566=1,0.2*R1566/C1566,K1565)</f>
        <v/>
      </c>
      <c r="L1566">
        <f>IF(G1566=1,0.2*R1566/D1566,L1565)</f>
        <v/>
      </c>
      <c r="M1566">
        <f>IF(G1566=1,0.2*R1566/E1566,M1565)</f>
        <v/>
      </c>
      <c r="N1566">
        <f>IF(G1566=1,0.2*R1566/F1566,N1565)</f>
        <v/>
      </c>
      <c r="O1566">
        <f>IF(G1566=1,R1566*(1-1.0),IF(H1565=0,1,O1565*(1+0.00023125256064071564)))</f>
        <v/>
      </c>
      <c r="P1566">
        <f>IF(G1566=1,IF(H1565=0,1,ABS(0.2-J1565*B1566/I1566)+ABS(0.2-K1565*C1566/I1566)+ABS(0.2-L1565*D1566/I1566)+ABS(0.2-M1565*E1566/I1566)+ABS(0.2-N1565*F1566/I1566)),0)</f>
        <v/>
      </c>
      <c r="Q1566">
        <f>P1566*0.0015</f>
        <v/>
      </c>
      <c r="R1566">
        <f>I1566*(1-Q1566)</f>
        <v/>
      </c>
      <c r="S1566">
        <f>R1566/R1565-1</f>
        <v/>
      </c>
      <c r="T1566">
        <f>MAX(T1565,R1566)</f>
        <v/>
      </c>
      <c r="U1566">
        <f>R1566/T1566-1</f>
        <v/>
      </c>
      <c r="V1566" t="n">
        <v>3.42187762190038</v>
      </c>
      <c r="W1566" s="5">
        <f>R1566-V1566</f>
        <v/>
      </c>
    </row>
    <row r="1567">
      <c r="A1567" s="3" t="n">
        <v>40742</v>
      </c>
      <c r="B1567">
        <f>Prices!B1567</f>
        <v/>
      </c>
      <c r="C1567">
        <f>Prices!C1567</f>
        <v/>
      </c>
      <c r="D1567">
        <f>Prices!D1567</f>
        <v/>
      </c>
      <c r="E1567">
        <f>Prices!E1567</f>
        <v/>
      </c>
      <c r="F1567">
        <f>Prices!F1567</f>
        <v/>
      </c>
      <c r="G1567">
        <f>IF(AND(1565&gt;=16,TEXT(A1567,"yyyy-mm")&lt;&gt;TEXT(A1568,"yyyy-mm")),1,0)</f>
        <v/>
      </c>
      <c r="H1567">
        <f>IF(OR(H1566=1,G1567=1),1,0)</f>
        <v/>
      </c>
      <c r="I1567">
        <f>IF(H1566=0,1,SUMPRODUCT(J1566:N1566,B1567:F1567)+O1566*(1+0.00023125256064071564))</f>
        <v/>
      </c>
      <c r="J1567">
        <f>IF(G1567=1,0.2*R1567/B1567,J1566)</f>
        <v/>
      </c>
      <c r="K1567">
        <f>IF(G1567=1,0.2*R1567/C1567,K1566)</f>
        <v/>
      </c>
      <c r="L1567">
        <f>IF(G1567=1,0.2*R1567/D1567,L1566)</f>
        <v/>
      </c>
      <c r="M1567">
        <f>IF(G1567=1,0.2*R1567/E1567,M1566)</f>
        <v/>
      </c>
      <c r="N1567">
        <f>IF(G1567=1,0.2*R1567/F1567,N1566)</f>
        <v/>
      </c>
      <c r="O1567">
        <f>IF(G1567=1,R1567*(1-1.0),IF(H1566=0,1,O1566*(1+0.00023125256064071564)))</f>
        <v/>
      </c>
      <c r="P1567">
        <f>IF(G1567=1,IF(H1566=0,1,ABS(0.2-J1566*B1567/I1567)+ABS(0.2-K1566*C1567/I1567)+ABS(0.2-L1566*D1567/I1567)+ABS(0.2-M1566*E1567/I1567)+ABS(0.2-N1566*F1567/I1567)),0)</f>
        <v/>
      </c>
      <c r="Q1567">
        <f>P1567*0.0015</f>
        <v/>
      </c>
      <c r="R1567">
        <f>I1567*(1-Q1567)</f>
        <v/>
      </c>
      <c r="S1567">
        <f>R1567/R1566-1</f>
        <v/>
      </c>
      <c r="T1567">
        <f>MAX(T1566,R1567)</f>
        <v/>
      </c>
      <c r="U1567">
        <f>R1567/T1567-1</f>
        <v/>
      </c>
      <c r="V1567" t="n">
        <v>3.423625124894222</v>
      </c>
      <c r="W1567" s="5">
        <f>R1567-V1567</f>
        <v/>
      </c>
    </row>
    <row r="1568">
      <c r="A1568" s="3" t="n">
        <v>40743</v>
      </c>
      <c r="B1568">
        <f>Prices!B1568</f>
        <v/>
      </c>
      <c r="C1568">
        <f>Prices!C1568</f>
        <v/>
      </c>
      <c r="D1568">
        <f>Prices!D1568</f>
        <v/>
      </c>
      <c r="E1568">
        <f>Prices!E1568</f>
        <v/>
      </c>
      <c r="F1568">
        <f>Prices!F1568</f>
        <v/>
      </c>
      <c r="G1568">
        <f>IF(AND(1566&gt;=16,TEXT(A1568,"yyyy-mm")&lt;&gt;TEXT(A1569,"yyyy-mm")),1,0)</f>
        <v/>
      </c>
      <c r="H1568">
        <f>IF(OR(H1567=1,G1568=1),1,0)</f>
        <v/>
      </c>
      <c r="I1568">
        <f>IF(H1567=0,1,SUMPRODUCT(J1567:N1567,B1568:F1568)+O1567*(1+0.00023125256064071564))</f>
        <v/>
      </c>
      <c r="J1568">
        <f>IF(G1568=1,0.2*R1568/B1568,J1567)</f>
        <v/>
      </c>
      <c r="K1568">
        <f>IF(G1568=1,0.2*R1568/C1568,K1567)</f>
        <v/>
      </c>
      <c r="L1568">
        <f>IF(G1568=1,0.2*R1568/D1568,L1567)</f>
        <v/>
      </c>
      <c r="M1568">
        <f>IF(G1568=1,0.2*R1568/E1568,M1567)</f>
        <v/>
      </c>
      <c r="N1568">
        <f>IF(G1568=1,0.2*R1568/F1568,N1567)</f>
        <v/>
      </c>
      <c r="O1568">
        <f>IF(G1568=1,R1568*(1-1.0),IF(H1567=0,1,O1567*(1+0.00023125256064071564)))</f>
        <v/>
      </c>
      <c r="P1568">
        <f>IF(G1568=1,IF(H1567=0,1,ABS(0.2-J1567*B1568/I1568)+ABS(0.2-K1567*C1568/I1568)+ABS(0.2-L1567*D1568/I1568)+ABS(0.2-M1567*E1568/I1568)+ABS(0.2-N1567*F1568/I1568)),0)</f>
        <v/>
      </c>
      <c r="Q1568">
        <f>P1568*0.0015</f>
        <v/>
      </c>
      <c r="R1568">
        <f>I1568*(1-Q1568)</f>
        <v/>
      </c>
      <c r="S1568">
        <f>R1568/R1567-1</f>
        <v/>
      </c>
      <c r="T1568">
        <f>MAX(T1567,R1568)</f>
        <v/>
      </c>
      <c r="U1568">
        <f>R1568/T1568-1</f>
        <v/>
      </c>
      <c r="V1568" t="n">
        <v>3.439487387728581</v>
      </c>
      <c r="W1568" s="5">
        <f>R1568-V1568</f>
        <v/>
      </c>
    </row>
    <row r="1569">
      <c r="A1569" s="3" t="n">
        <v>40744</v>
      </c>
      <c r="B1569">
        <f>Prices!B1569</f>
        <v/>
      </c>
      <c r="C1569">
        <f>Prices!C1569</f>
        <v/>
      </c>
      <c r="D1569">
        <f>Prices!D1569</f>
        <v/>
      </c>
      <c r="E1569">
        <f>Prices!E1569</f>
        <v/>
      </c>
      <c r="F1569">
        <f>Prices!F1569</f>
        <v/>
      </c>
      <c r="G1569">
        <f>IF(AND(1567&gt;=16,TEXT(A1569,"yyyy-mm")&lt;&gt;TEXT(A1570,"yyyy-mm")),1,0)</f>
        <v/>
      </c>
      <c r="H1569">
        <f>IF(OR(H1568=1,G1569=1),1,0)</f>
        <v/>
      </c>
      <c r="I1569">
        <f>IF(H1568=0,1,SUMPRODUCT(J1568:N1568,B1569:F1569)+O1568*(1+0.00023125256064071564))</f>
        <v/>
      </c>
      <c r="J1569">
        <f>IF(G1569=1,0.2*R1569/B1569,J1568)</f>
        <v/>
      </c>
      <c r="K1569">
        <f>IF(G1569=1,0.2*R1569/C1569,K1568)</f>
        <v/>
      </c>
      <c r="L1569">
        <f>IF(G1569=1,0.2*R1569/D1569,L1568)</f>
        <v/>
      </c>
      <c r="M1569">
        <f>IF(G1569=1,0.2*R1569/E1569,M1568)</f>
        <v/>
      </c>
      <c r="N1569">
        <f>IF(G1569=1,0.2*R1569/F1569,N1568)</f>
        <v/>
      </c>
      <c r="O1569">
        <f>IF(G1569=1,R1569*(1-1.0),IF(H1568=0,1,O1568*(1+0.00023125256064071564)))</f>
        <v/>
      </c>
      <c r="P1569">
        <f>IF(G1569=1,IF(H1568=0,1,ABS(0.2-J1568*B1569/I1569)+ABS(0.2-K1568*C1569/I1569)+ABS(0.2-L1568*D1569/I1569)+ABS(0.2-M1568*E1569/I1569)+ABS(0.2-N1568*F1569/I1569)),0)</f>
        <v/>
      </c>
      <c r="Q1569">
        <f>P1569*0.0015</f>
        <v/>
      </c>
      <c r="R1569">
        <f>I1569*(1-Q1569)</f>
        <v/>
      </c>
      <c r="S1569">
        <f>R1569/R1568-1</f>
        <v/>
      </c>
      <c r="T1569">
        <f>MAX(T1568,R1569)</f>
        <v/>
      </c>
      <c r="U1569">
        <f>R1569/T1569-1</f>
        <v/>
      </c>
      <c r="V1569" t="n">
        <v>3.408504100242679</v>
      </c>
      <c r="W1569" s="5">
        <f>R1569-V1569</f>
        <v/>
      </c>
    </row>
    <row r="1570">
      <c r="A1570" s="3" t="n">
        <v>40745</v>
      </c>
      <c r="B1570">
        <f>Prices!B1570</f>
        <v/>
      </c>
      <c r="C1570">
        <f>Prices!C1570</f>
        <v/>
      </c>
      <c r="D1570">
        <f>Prices!D1570</f>
        <v/>
      </c>
      <c r="E1570">
        <f>Prices!E1570</f>
        <v/>
      </c>
      <c r="F1570">
        <f>Prices!F1570</f>
        <v/>
      </c>
      <c r="G1570">
        <f>IF(AND(1568&gt;=16,TEXT(A1570,"yyyy-mm")&lt;&gt;TEXT(A1571,"yyyy-mm")),1,0)</f>
        <v/>
      </c>
      <c r="H1570">
        <f>IF(OR(H1569=1,G1570=1),1,0)</f>
        <v/>
      </c>
      <c r="I1570">
        <f>IF(H1569=0,1,SUMPRODUCT(J1569:N1569,B1570:F1570)+O1569*(1+0.00023125256064071564))</f>
        <v/>
      </c>
      <c r="J1570">
        <f>IF(G1570=1,0.2*R1570/B1570,J1569)</f>
        <v/>
      </c>
      <c r="K1570">
        <f>IF(G1570=1,0.2*R1570/C1570,K1569)</f>
        <v/>
      </c>
      <c r="L1570">
        <f>IF(G1570=1,0.2*R1570/D1570,L1569)</f>
        <v/>
      </c>
      <c r="M1570">
        <f>IF(G1570=1,0.2*R1570/E1570,M1569)</f>
        <v/>
      </c>
      <c r="N1570">
        <f>IF(G1570=1,0.2*R1570/F1570,N1569)</f>
        <v/>
      </c>
      <c r="O1570">
        <f>IF(G1570=1,R1570*(1-1.0),IF(H1569=0,1,O1569*(1+0.00023125256064071564)))</f>
        <v/>
      </c>
      <c r="P1570">
        <f>IF(G1570=1,IF(H1569=0,1,ABS(0.2-J1569*B1570/I1570)+ABS(0.2-K1569*C1570/I1570)+ABS(0.2-L1569*D1570/I1570)+ABS(0.2-M1569*E1570/I1570)+ABS(0.2-N1569*F1570/I1570)),0)</f>
        <v/>
      </c>
      <c r="Q1570">
        <f>P1570*0.0015</f>
        <v/>
      </c>
      <c r="R1570">
        <f>I1570*(1-Q1570)</f>
        <v/>
      </c>
      <c r="S1570">
        <f>R1570/R1569-1</f>
        <v/>
      </c>
      <c r="T1570">
        <f>MAX(T1569,R1570)</f>
        <v/>
      </c>
      <c r="U1570">
        <f>R1570/T1570-1</f>
        <v/>
      </c>
      <c r="V1570" t="n">
        <v>3.387663557278314</v>
      </c>
      <c r="W1570" s="5">
        <f>R1570-V1570</f>
        <v/>
      </c>
    </row>
    <row r="1571">
      <c r="A1571" s="3" t="n">
        <v>40746</v>
      </c>
      <c r="B1571">
        <f>Prices!B1571</f>
        <v/>
      </c>
      <c r="C1571">
        <f>Prices!C1571</f>
        <v/>
      </c>
      <c r="D1571">
        <f>Prices!D1571</f>
        <v/>
      </c>
      <c r="E1571">
        <f>Prices!E1571</f>
        <v/>
      </c>
      <c r="F1571">
        <f>Prices!F1571</f>
        <v/>
      </c>
      <c r="G1571">
        <f>IF(AND(1569&gt;=16,TEXT(A1571,"yyyy-mm")&lt;&gt;TEXT(A1572,"yyyy-mm")),1,0)</f>
        <v/>
      </c>
      <c r="H1571">
        <f>IF(OR(H1570=1,G1571=1),1,0)</f>
        <v/>
      </c>
      <c r="I1571">
        <f>IF(H1570=0,1,SUMPRODUCT(J1570:N1570,B1571:F1571)+O1570*(1+0.00023125256064071564))</f>
        <v/>
      </c>
      <c r="J1571">
        <f>IF(G1571=1,0.2*R1571/B1571,J1570)</f>
        <v/>
      </c>
      <c r="K1571">
        <f>IF(G1571=1,0.2*R1571/C1571,K1570)</f>
        <v/>
      </c>
      <c r="L1571">
        <f>IF(G1571=1,0.2*R1571/D1571,L1570)</f>
        <v/>
      </c>
      <c r="M1571">
        <f>IF(G1571=1,0.2*R1571/E1571,M1570)</f>
        <v/>
      </c>
      <c r="N1571">
        <f>IF(G1571=1,0.2*R1571/F1571,N1570)</f>
        <v/>
      </c>
      <c r="O1571">
        <f>IF(G1571=1,R1571*(1-1.0),IF(H1570=0,1,O1570*(1+0.00023125256064071564)))</f>
        <v/>
      </c>
      <c r="P1571">
        <f>IF(G1571=1,IF(H1570=0,1,ABS(0.2-J1570*B1571/I1571)+ABS(0.2-K1570*C1571/I1571)+ABS(0.2-L1570*D1571/I1571)+ABS(0.2-M1570*E1571/I1571)+ABS(0.2-N1570*F1571/I1571)),0)</f>
        <v/>
      </c>
      <c r="Q1571">
        <f>P1571*0.0015</f>
        <v/>
      </c>
      <c r="R1571">
        <f>I1571*(1-Q1571)</f>
        <v/>
      </c>
      <c r="S1571">
        <f>R1571/R1570-1</f>
        <v/>
      </c>
      <c r="T1571">
        <f>MAX(T1570,R1571)</f>
        <v/>
      </c>
      <c r="U1571">
        <f>R1571/T1571-1</f>
        <v/>
      </c>
      <c r="V1571" t="n">
        <v>3.431679203675231</v>
      </c>
      <c r="W1571" s="5">
        <f>R1571-V1571</f>
        <v/>
      </c>
    </row>
    <row r="1572">
      <c r="A1572" s="3" t="n">
        <v>40749</v>
      </c>
      <c r="B1572">
        <f>Prices!B1572</f>
        <v/>
      </c>
      <c r="C1572">
        <f>Prices!C1572</f>
        <v/>
      </c>
      <c r="D1572">
        <f>Prices!D1572</f>
        <v/>
      </c>
      <c r="E1572">
        <f>Prices!E1572</f>
        <v/>
      </c>
      <c r="F1572">
        <f>Prices!F1572</f>
        <v/>
      </c>
      <c r="G1572">
        <f>IF(AND(1570&gt;=16,TEXT(A1572,"yyyy-mm")&lt;&gt;TEXT(A1573,"yyyy-mm")),1,0)</f>
        <v/>
      </c>
      <c r="H1572">
        <f>IF(OR(H1571=1,G1572=1),1,0)</f>
        <v/>
      </c>
      <c r="I1572">
        <f>IF(H1571=0,1,SUMPRODUCT(J1571:N1571,B1572:F1572)+O1571*(1+0.00023125256064071564))</f>
        <v/>
      </c>
      <c r="J1572">
        <f>IF(G1572=1,0.2*R1572/B1572,J1571)</f>
        <v/>
      </c>
      <c r="K1572">
        <f>IF(G1572=1,0.2*R1572/C1572,K1571)</f>
        <v/>
      </c>
      <c r="L1572">
        <f>IF(G1572=1,0.2*R1572/D1572,L1571)</f>
        <v/>
      </c>
      <c r="M1572">
        <f>IF(G1572=1,0.2*R1572/E1572,M1571)</f>
        <v/>
      </c>
      <c r="N1572">
        <f>IF(G1572=1,0.2*R1572/F1572,N1571)</f>
        <v/>
      </c>
      <c r="O1572">
        <f>IF(G1572=1,R1572*(1-1.0),IF(H1571=0,1,O1571*(1+0.00023125256064071564)))</f>
        <v/>
      </c>
      <c r="P1572">
        <f>IF(G1572=1,IF(H1571=0,1,ABS(0.2-J1571*B1572/I1572)+ABS(0.2-K1571*C1572/I1572)+ABS(0.2-L1571*D1572/I1572)+ABS(0.2-M1571*E1572/I1572)+ABS(0.2-N1571*F1572/I1572)),0)</f>
        <v/>
      </c>
      <c r="Q1572">
        <f>P1572*0.0015</f>
        <v/>
      </c>
      <c r="R1572">
        <f>I1572*(1-Q1572)</f>
        <v/>
      </c>
      <c r="S1572">
        <f>R1572/R1571-1</f>
        <v/>
      </c>
      <c r="T1572">
        <f>MAX(T1571,R1572)</f>
        <v/>
      </c>
      <c r="U1572">
        <f>R1572/T1572-1</f>
        <v/>
      </c>
      <c r="V1572" t="n">
        <v>3.453948611643857</v>
      </c>
      <c r="W1572" s="5">
        <f>R1572-V1572</f>
        <v/>
      </c>
    </row>
    <row r="1573">
      <c r="A1573" s="3" t="n">
        <v>40750</v>
      </c>
      <c r="B1573">
        <f>Prices!B1573</f>
        <v/>
      </c>
      <c r="C1573">
        <f>Prices!C1573</f>
        <v/>
      </c>
      <c r="D1573">
        <f>Prices!D1573</f>
        <v/>
      </c>
      <c r="E1573">
        <f>Prices!E1573</f>
        <v/>
      </c>
      <c r="F1573">
        <f>Prices!F1573</f>
        <v/>
      </c>
      <c r="G1573">
        <f>IF(AND(1571&gt;=16,TEXT(A1573,"yyyy-mm")&lt;&gt;TEXT(A1574,"yyyy-mm")),1,0)</f>
        <v/>
      </c>
      <c r="H1573">
        <f>IF(OR(H1572=1,G1573=1),1,0)</f>
        <v/>
      </c>
      <c r="I1573">
        <f>IF(H1572=0,1,SUMPRODUCT(J1572:N1572,B1573:F1573)+O1572*(1+0.00023125256064071564))</f>
        <v/>
      </c>
      <c r="J1573">
        <f>IF(G1573=1,0.2*R1573/B1573,J1572)</f>
        <v/>
      </c>
      <c r="K1573">
        <f>IF(G1573=1,0.2*R1573/C1573,K1572)</f>
        <v/>
      </c>
      <c r="L1573">
        <f>IF(G1573=1,0.2*R1573/D1573,L1572)</f>
        <v/>
      </c>
      <c r="M1573">
        <f>IF(G1573=1,0.2*R1573/E1573,M1572)</f>
        <v/>
      </c>
      <c r="N1573">
        <f>IF(G1573=1,0.2*R1573/F1573,N1572)</f>
        <v/>
      </c>
      <c r="O1573">
        <f>IF(G1573=1,R1573*(1-1.0),IF(H1572=0,1,O1572*(1+0.00023125256064071564)))</f>
        <v/>
      </c>
      <c r="P1573">
        <f>IF(G1573=1,IF(H1572=0,1,ABS(0.2-J1572*B1573/I1573)+ABS(0.2-K1572*C1573/I1573)+ABS(0.2-L1572*D1573/I1573)+ABS(0.2-M1572*E1573/I1573)+ABS(0.2-N1572*F1573/I1573)),0)</f>
        <v/>
      </c>
      <c r="Q1573">
        <f>P1573*0.0015</f>
        <v/>
      </c>
      <c r="R1573">
        <f>I1573*(1-Q1573)</f>
        <v/>
      </c>
      <c r="S1573">
        <f>R1573/R1572-1</f>
        <v/>
      </c>
      <c r="T1573">
        <f>MAX(T1572,R1573)</f>
        <v/>
      </c>
      <c r="U1573">
        <f>R1573/T1573-1</f>
        <v/>
      </c>
      <c r="V1573" t="n">
        <v>3.412940176823333</v>
      </c>
      <c r="W1573" s="5">
        <f>R1573-V1573</f>
        <v/>
      </c>
    </row>
    <row r="1574">
      <c r="A1574" s="3" t="n">
        <v>40751</v>
      </c>
      <c r="B1574">
        <f>Prices!B1574</f>
        <v/>
      </c>
      <c r="C1574">
        <f>Prices!C1574</f>
        <v/>
      </c>
      <c r="D1574">
        <f>Prices!D1574</f>
        <v/>
      </c>
      <c r="E1574">
        <f>Prices!E1574</f>
        <v/>
      </c>
      <c r="F1574">
        <f>Prices!F1574</f>
        <v/>
      </c>
      <c r="G1574">
        <f>IF(AND(1572&gt;=16,TEXT(A1574,"yyyy-mm")&lt;&gt;TEXT(A1575,"yyyy-mm")),1,0)</f>
        <v/>
      </c>
      <c r="H1574">
        <f>IF(OR(H1573=1,G1574=1),1,0)</f>
        <v/>
      </c>
      <c r="I1574">
        <f>IF(H1573=0,1,SUMPRODUCT(J1573:N1573,B1574:F1574)+O1573*(1+0.00023125256064071564))</f>
        <v/>
      </c>
      <c r="J1574">
        <f>IF(G1574=1,0.2*R1574/B1574,J1573)</f>
        <v/>
      </c>
      <c r="K1574">
        <f>IF(G1574=1,0.2*R1574/C1574,K1573)</f>
        <v/>
      </c>
      <c r="L1574">
        <f>IF(G1574=1,0.2*R1574/D1574,L1573)</f>
        <v/>
      </c>
      <c r="M1574">
        <f>IF(G1574=1,0.2*R1574/E1574,M1573)</f>
        <v/>
      </c>
      <c r="N1574">
        <f>IF(G1574=1,0.2*R1574/F1574,N1573)</f>
        <v/>
      </c>
      <c r="O1574">
        <f>IF(G1574=1,R1574*(1-1.0),IF(H1573=0,1,O1573*(1+0.00023125256064071564)))</f>
        <v/>
      </c>
      <c r="P1574">
        <f>IF(G1574=1,IF(H1573=0,1,ABS(0.2-J1573*B1574/I1574)+ABS(0.2-K1573*C1574/I1574)+ABS(0.2-L1573*D1574/I1574)+ABS(0.2-M1573*E1574/I1574)+ABS(0.2-N1573*F1574/I1574)),0)</f>
        <v/>
      </c>
      <c r="Q1574">
        <f>P1574*0.0015</f>
        <v/>
      </c>
      <c r="R1574">
        <f>I1574*(1-Q1574)</f>
        <v/>
      </c>
      <c r="S1574">
        <f>R1574/R1573-1</f>
        <v/>
      </c>
      <c r="T1574">
        <f>MAX(T1573,R1574)</f>
        <v/>
      </c>
      <c r="U1574">
        <f>R1574/T1574-1</f>
        <v/>
      </c>
      <c r="V1574" t="n">
        <v>3.408315805037197</v>
      </c>
      <c r="W1574" s="5">
        <f>R1574-V1574</f>
        <v/>
      </c>
    </row>
    <row r="1575">
      <c r="A1575" s="3" t="n">
        <v>40752</v>
      </c>
      <c r="B1575">
        <f>Prices!B1575</f>
        <v/>
      </c>
      <c r="C1575">
        <f>Prices!C1575</f>
        <v/>
      </c>
      <c r="D1575">
        <f>Prices!D1575</f>
        <v/>
      </c>
      <c r="E1575">
        <f>Prices!E1575</f>
        <v/>
      </c>
      <c r="F1575">
        <f>Prices!F1575</f>
        <v/>
      </c>
      <c r="G1575">
        <f>IF(AND(1573&gt;=16,TEXT(A1575,"yyyy-mm")&lt;&gt;TEXT(A1576,"yyyy-mm")),1,0)</f>
        <v/>
      </c>
      <c r="H1575">
        <f>IF(OR(H1574=1,G1575=1),1,0)</f>
        <v/>
      </c>
      <c r="I1575">
        <f>IF(H1574=0,1,SUMPRODUCT(J1574:N1574,B1575:F1575)+O1574*(1+0.00023125256064071564))</f>
        <v/>
      </c>
      <c r="J1575">
        <f>IF(G1575=1,0.2*R1575/B1575,J1574)</f>
        <v/>
      </c>
      <c r="K1575">
        <f>IF(G1575=1,0.2*R1575/C1575,K1574)</f>
        <v/>
      </c>
      <c r="L1575">
        <f>IF(G1575=1,0.2*R1575/D1575,L1574)</f>
        <v/>
      </c>
      <c r="M1575">
        <f>IF(G1575=1,0.2*R1575/E1575,M1574)</f>
        <v/>
      </c>
      <c r="N1575">
        <f>IF(G1575=1,0.2*R1575/F1575,N1574)</f>
        <v/>
      </c>
      <c r="O1575">
        <f>IF(G1575=1,R1575*(1-1.0),IF(H1574=0,1,O1574*(1+0.00023125256064071564)))</f>
        <v/>
      </c>
      <c r="P1575">
        <f>IF(G1575=1,IF(H1574=0,1,ABS(0.2-J1574*B1575/I1575)+ABS(0.2-K1574*C1575/I1575)+ABS(0.2-L1574*D1575/I1575)+ABS(0.2-M1574*E1575/I1575)+ABS(0.2-N1574*F1575/I1575)),0)</f>
        <v/>
      </c>
      <c r="Q1575">
        <f>P1575*0.0015</f>
        <v/>
      </c>
      <c r="R1575">
        <f>I1575*(1-Q1575)</f>
        <v/>
      </c>
      <c r="S1575">
        <f>R1575/R1574-1</f>
        <v/>
      </c>
      <c r="T1575">
        <f>MAX(T1574,R1575)</f>
        <v/>
      </c>
      <c r="U1575">
        <f>R1575/T1575-1</f>
        <v/>
      </c>
      <c r="V1575" t="n">
        <v>3.382505119263272</v>
      </c>
      <c r="W1575" s="5">
        <f>R1575-V1575</f>
        <v/>
      </c>
    </row>
    <row r="1576">
      <c r="A1576" s="3" t="n">
        <v>40753</v>
      </c>
      <c r="B1576">
        <f>Prices!B1576</f>
        <v/>
      </c>
      <c r="C1576">
        <f>Prices!C1576</f>
        <v/>
      </c>
      <c r="D1576">
        <f>Prices!D1576</f>
        <v/>
      </c>
      <c r="E1576">
        <f>Prices!E1576</f>
        <v/>
      </c>
      <c r="F1576">
        <f>Prices!F1576</f>
        <v/>
      </c>
      <c r="G1576">
        <f>IF(AND(1574&gt;=16,TEXT(A1576,"yyyy-mm")&lt;&gt;TEXT(A1577,"yyyy-mm")),1,0)</f>
        <v/>
      </c>
      <c r="H1576">
        <f>IF(OR(H1575=1,G1576=1),1,0)</f>
        <v/>
      </c>
      <c r="I1576">
        <f>IF(H1575=0,1,SUMPRODUCT(J1575:N1575,B1576:F1576)+O1575*(1+0.00023125256064071564))</f>
        <v/>
      </c>
      <c r="J1576">
        <f>IF(G1576=1,0.2*R1576/B1576,J1575)</f>
        <v/>
      </c>
      <c r="K1576">
        <f>IF(G1576=1,0.2*R1576/C1576,K1575)</f>
        <v/>
      </c>
      <c r="L1576">
        <f>IF(G1576=1,0.2*R1576/D1576,L1575)</f>
        <v/>
      </c>
      <c r="M1576">
        <f>IF(G1576=1,0.2*R1576/E1576,M1575)</f>
        <v/>
      </c>
      <c r="N1576">
        <f>IF(G1576=1,0.2*R1576/F1576,N1575)</f>
        <v/>
      </c>
      <c r="O1576">
        <f>IF(G1576=1,R1576*(1-1.0),IF(H1575=0,1,O1575*(1+0.00023125256064071564)))</f>
        <v/>
      </c>
      <c r="P1576">
        <f>IF(G1576=1,IF(H1575=0,1,ABS(0.2-J1575*B1576/I1576)+ABS(0.2-K1575*C1576/I1576)+ABS(0.2-L1575*D1576/I1576)+ABS(0.2-M1575*E1576/I1576)+ABS(0.2-N1575*F1576/I1576)),0)</f>
        <v/>
      </c>
      <c r="Q1576">
        <f>P1576*0.0015</f>
        <v/>
      </c>
      <c r="R1576">
        <f>I1576*(1-Q1576)</f>
        <v/>
      </c>
      <c r="S1576">
        <f>R1576/R1575-1</f>
        <v/>
      </c>
      <c r="T1576">
        <f>MAX(T1575,R1576)</f>
        <v/>
      </c>
      <c r="U1576">
        <f>R1576/T1576-1</f>
        <v/>
      </c>
      <c r="V1576" t="n">
        <v>3.362109709966445</v>
      </c>
      <c r="W1576" s="5">
        <f>R1576-V1576</f>
        <v/>
      </c>
    </row>
    <row r="1577">
      <c r="A1577" s="3" t="n">
        <v>40756</v>
      </c>
      <c r="B1577">
        <f>Prices!B1577</f>
        <v/>
      </c>
      <c r="C1577">
        <f>Prices!C1577</f>
        <v/>
      </c>
      <c r="D1577">
        <f>Prices!D1577</f>
        <v/>
      </c>
      <c r="E1577">
        <f>Prices!E1577</f>
        <v/>
      </c>
      <c r="F1577">
        <f>Prices!F1577</f>
        <v/>
      </c>
      <c r="G1577">
        <f>IF(AND(1575&gt;=16,TEXT(A1577,"yyyy-mm")&lt;&gt;TEXT(A1578,"yyyy-mm")),1,0)</f>
        <v/>
      </c>
      <c r="H1577">
        <f>IF(OR(H1576=1,G1577=1),1,0)</f>
        <v/>
      </c>
      <c r="I1577">
        <f>IF(H1576=0,1,SUMPRODUCT(J1576:N1576,B1577:F1577)+O1576*(1+0.00023125256064071564))</f>
        <v/>
      </c>
      <c r="J1577">
        <f>IF(G1577=1,0.2*R1577/B1577,J1576)</f>
        <v/>
      </c>
      <c r="K1577">
        <f>IF(G1577=1,0.2*R1577/C1577,K1576)</f>
        <v/>
      </c>
      <c r="L1577">
        <f>IF(G1577=1,0.2*R1577/D1577,L1576)</f>
        <v/>
      </c>
      <c r="M1577">
        <f>IF(G1577=1,0.2*R1577/E1577,M1576)</f>
        <v/>
      </c>
      <c r="N1577">
        <f>IF(G1577=1,0.2*R1577/F1577,N1576)</f>
        <v/>
      </c>
      <c r="O1577">
        <f>IF(G1577=1,R1577*(1-1.0),IF(H1576=0,1,O1576*(1+0.00023125256064071564)))</f>
        <v/>
      </c>
      <c r="P1577">
        <f>IF(G1577=1,IF(H1576=0,1,ABS(0.2-J1576*B1577/I1577)+ABS(0.2-K1576*C1577/I1577)+ABS(0.2-L1576*D1577/I1577)+ABS(0.2-M1576*E1577/I1577)+ABS(0.2-N1576*F1577/I1577)),0)</f>
        <v/>
      </c>
      <c r="Q1577">
        <f>P1577*0.0015</f>
        <v/>
      </c>
      <c r="R1577">
        <f>I1577*(1-Q1577)</f>
        <v/>
      </c>
      <c r="S1577">
        <f>R1577/R1576-1</f>
        <v/>
      </c>
      <c r="T1577">
        <f>MAX(T1576,R1577)</f>
        <v/>
      </c>
      <c r="U1577">
        <f>R1577/T1577-1</f>
        <v/>
      </c>
      <c r="V1577" t="n">
        <v>3.367194340607548</v>
      </c>
      <c r="W1577" s="5">
        <f>R1577-V1577</f>
        <v/>
      </c>
    </row>
    <row r="1578">
      <c r="A1578" s="3" t="n">
        <v>40757</v>
      </c>
      <c r="B1578">
        <f>Prices!B1578</f>
        <v/>
      </c>
      <c r="C1578">
        <f>Prices!C1578</f>
        <v/>
      </c>
      <c r="D1578">
        <f>Prices!D1578</f>
        <v/>
      </c>
      <c r="E1578">
        <f>Prices!E1578</f>
        <v/>
      </c>
      <c r="F1578">
        <f>Prices!F1578</f>
        <v/>
      </c>
      <c r="G1578">
        <f>IF(AND(1576&gt;=16,TEXT(A1578,"yyyy-mm")&lt;&gt;TEXT(A1579,"yyyy-mm")),1,0)</f>
        <v/>
      </c>
      <c r="H1578">
        <f>IF(OR(H1577=1,G1578=1),1,0)</f>
        <v/>
      </c>
      <c r="I1578">
        <f>IF(H1577=0,1,SUMPRODUCT(J1577:N1577,B1578:F1578)+O1577*(1+0.00023125256064071564))</f>
        <v/>
      </c>
      <c r="J1578">
        <f>IF(G1578=1,0.2*R1578/B1578,J1577)</f>
        <v/>
      </c>
      <c r="K1578">
        <f>IF(G1578=1,0.2*R1578/C1578,K1577)</f>
        <v/>
      </c>
      <c r="L1578">
        <f>IF(G1578=1,0.2*R1578/D1578,L1577)</f>
        <v/>
      </c>
      <c r="M1578">
        <f>IF(G1578=1,0.2*R1578/E1578,M1577)</f>
        <v/>
      </c>
      <c r="N1578">
        <f>IF(G1578=1,0.2*R1578/F1578,N1577)</f>
        <v/>
      </c>
      <c r="O1578">
        <f>IF(G1578=1,R1578*(1-1.0),IF(H1577=0,1,O1577*(1+0.00023125256064071564)))</f>
        <v/>
      </c>
      <c r="P1578">
        <f>IF(G1578=1,IF(H1577=0,1,ABS(0.2-J1577*B1578/I1578)+ABS(0.2-K1577*C1578/I1578)+ABS(0.2-L1577*D1578/I1578)+ABS(0.2-M1577*E1578/I1578)+ABS(0.2-N1577*F1578/I1578)),0)</f>
        <v/>
      </c>
      <c r="Q1578">
        <f>P1578*0.0015</f>
        <v/>
      </c>
      <c r="R1578">
        <f>I1578*(1-Q1578)</f>
        <v/>
      </c>
      <c r="S1578">
        <f>R1578/R1577-1</f>
        <v/>
      </c>
      <c r="T1578">
        <f>MAX(T1577,R1578)</f>
        <v/>
      </c>
      <c r="U1578">
        <f>R1578/T1578-1</f>
        <v/>
      </c>
      <c r="V1578" t="n">
        <v>3.327837697831172</v>
      </c>
      <c r="W1578" s="5">
        <f>R1578-V1578</f>
        <v/>
      </c>
    </row>
    <row r="1579">
      <c r="A1579" s="3" t="n">
        <v>40758</v>
      </c>
      <c r="B1579">
        <f>Prices!B1579</f>
        <v/>
      </c>
      <c r="C1579">
        <f>Prices!C1579</f>
        <v/>
      </c>
      <c r="D1579">
        <f>Prices!D1579</f>
        <v/>
      </c>
      <c r="E1579">
        <f>Prices!E1579</f>
        <v/>
      </c>
      <c r="F1579">
        <f>Prices!F1579</f>
        <v/>
      </c>
      <c r="G1579">
        <f>IF(AND(1577&gt;=16,TEXT(A1579,"yyyy-mm")&lt;&gt;TEXT(A1580,"yyyy-mm")),1,0)</f>
        <v/>
      </c>
      <c r="H1579">
        <f>IF(OR(H1578=1,G1579=1),1,0)</f>
        <v/>
      </c>
      <c r="I1579">
        <f>IF(H1578=0,1,SUMPRODUCT(J1578:N1578,B1579:F1579)+O1578*(1+0.00023125256064071564))</f>
        <v/>
      </c>
      <c r="J1579">
        <f>IF(G1579=1,0.2*R1579/B1579,J1578)</f>
        <v/>
      </c>
      <c r="K1579">
        <f>IF(G1579=1,0.2*R1579/C1579,K1578)</f>
        <v/>
      </c>
      <c r="L1579">
        <f>IF(G1579=1,0.2*R1579/D1579,L1578)</f>
        <v/>
      </c>
      <c r="M1579">
        <f>IF(G1579=1,0.2*R1579/E1579,M1578)</f>
        <v/>
      </c>
      <c r="N1579">
        <f>IF(G1579=1,0.2*R1579/F1579,N1578)</f>
        <v/>
      </c>
      <c r="O1579">
        <f>IF(G1579=1,R1579*(1-1.0),IF(H1578=0,1,O1578*(1+0.00023125256064071564)))</f>
        <v/>
      </c>
      <c r="P1579">
        <f>IF(G1579=1,IF(H1578=0,1,ABS(0.2-J1578*B1579/I1579)+ABS(0.2-K1578*C1579/I1579)+ABS(0.2-L1578*D1579/I1579)+ABS(0.2-M1578*E1579/I1579)+ABS(0.2-N1578*F1579/I1579)),0)</f>
        <v/>
      </c>
      <c r="Q1579">
        <f>P1579*0.0015</f>
        <v/>
      </c>
      <c r="R1579">
        <f>I1579*(1-Q1579)</f>
        <v/>
      </c>
      <c r="S1579">
        <f>R1579/R1578-1</f>
        <v/>
      </c>
      <c r="T1579">
        <f>MAX(T1578,R1579)</f>
        <v/>
      </c>
      <c r="U1579">
        <f>R1579/T1579-1</f>
        <v/>
      </c>
      <c r="V1579" t="n">
        <v>3.302340512561382</v>
      </c>
      <c r="W1579" s="5">
        <f>R1579-V1579</f>
        <v/>
      </c>
    </row>
    <row r="1580">
      <c r="A1580" s="3" t="n">
        <v>40759</v>
      </c>
      <c r="B1580">
        <f>Prices!B1580</f>
        <v/>
      </c>
      <c r="C1580">
        <f>Prices!C1580</f>
        <v/>
      </c>
      <c r="D1580">
        <f>Prices!D1580</f>
        <v/>
      </c>
      <c r="E1580">
        <f>Prices!E1580</f>
        <v/>
      </c>
      <c r="F1580">
        <f>Prices!F1580</f>
        <v/>
      </c>
      <c r="G1580">
        <f>IF(AND(1578&gt;=16,TEXT(A1580,"yyyy-mm")&lt;&gt;TEXT(A1581,"yyyy-mm")),1,0)</f>
        <v/>
      </c>
      <c r="H1580">
        <f>IF(OR(H1579=1,G1580=1),1,0)</f>
        <v/>
      </c>
      <c r="I1580">
        <f>IF(H1579=0,1,SUMPRODUCT(J1579:N1579,B1580:F1580)+O1579*(1+0.00023125256064071564))</f>
        <v/>
      </c>
      <c r="J1580">
        <f>IF(G1580=1,0.2*R1580/B1580,J1579)</f>
        <v/>
      </c>
      <c r="K1580">
        <f>IF(G1580=1,0.2*R1580/C1580,K1579)</f>
        <v/>
      </c>
      <c r="L1580">
        <f>IF(G1580=1,0.2*R1580/D1580,L1579)</f>
        <v/>
      </c>
      <c r="M1580">
        <f>IF(G1580=1,0.2*R1580/E1580,M1579)</f>
        <v/>
      </c>
      <c r="N1580">
        <f>IF(G1580=1,0.2*R1580/F1580,N1579)</f>
        <v/>
      </c>
      <c r="O1580">
        <f>IF(G1580=1,R1580*(1-1.0),IF(H1579=0,1,O1579*(1+0.00023125256064071564)))</f>
        <v/>
      </c>
      <c r="P1580">
        <f>IF(G1580=1,IF(H1579=0,1,ABS(0.2-J1579*B1580/I1580)+ABS(0.2-K1579*C1580/I1580)+ABS(0.2-L1579*D1580/I1580)+ABS(0.2-M1579*E1580/I1580)+ABS(0.2-N1579*F1580/I1580)),0)</f>
        <v/>
      </c>
      <c r="Q1580">
        <f>P1580*0.0015</f>
        <v/>
      </c>
      <c r="R1580">
        <f>I1580*(1-Q1580)</f>
        <v/>
      </c>
      <c r="S1580">
        <f>R1580/R1579-1</f>
        <v/>
      </c>
      <c r="T1580">
        <f>MAX(T1579,R1580)</f>
        <v/>
      </c>
      <c r="U1580">
        <f>R1580/T1580-1</f>
        <v/>
      </c>
      <c r="V1580" t="n">
        <v>3.282312132311779</v>
      </c>
      <c r="W1580" s="5">
        <f>R1580-V1580</f>
        <v/>
      </c>
    </row>
    <row r="1581">
      <c r="A1581" s="3" t="n">
        <v>40760</v>
      </c>
      <c r="B1581">
        <f>Prices!B1581</f>
        <v/>
      </c>
      <c r="C1581">
        <f>Prices!C1581</f>
        <v/>
      </c>
      <c r="D1581">
        <f>Prices!D1581</f>
        <v/>
      </c>
      <c r="E1581">
        <f>Prices!E1581</f>
        <v/>
      </c>
      <c r="F1581">
        <f>Prices!F1581</f>
        <v/>
      </c>
      <c r="G1581">
        <f>IF(AND(1579&gt;=16,TEXT(A1581,"yyyy-mm")&lt;&gt;TEXT(A1582,"yyyy-mm")),1,0)</f>
        <v/>
      </c>
      <c r="H1581">
        <f>IF(OR(H1580=1,G1581=1),1,0)</f>
        <v/>
      </c>
      <c r="I1581">
        <f>IF(H1580=0,1,SUMPRODUCT(J1580:N1580,B1581:F1581)+O1580*(1+0.00023125256064071564))</f>
        <v/>
      </c>
      <c r="J1581">
        <f>IF(G1581=1,0.2*R1581/B1581,J1580)</f>
        <v/>
      </c>
      <c r="K1581">
        <f>IF(G1581=1,0.2*R1581/C1581,K1580)</f>
        <v/>
      </c>
      <c r="L1581">
        <f>IF(G1581=1,0.2*R1581/D1581,L1580)</f>
        <v/>
      </c>
      <c r="M1581">
        <f>IF(G1581=1,0.2*R1581/E1581,M1580)</f>
        <v/>
      </c>
      <c r="N1581">
        <f>IF(G1581=1,0.2*R1581/F1581,N1580)</f>
        <v/>
      </c>
      <c r="O1581">
        <f>IF(G1581=1,R1581*(1-1.0),IF(H1580=0,1,O1580*(1+0.00023125256064071564)))</f>
        <v/>
      </c>
      <c r="P1581">
        <f>IF(G1581=1,IF(H1580=0,1,ABS(0.2-J1580*B1581/I1581)+ABS(0.2-K1580*C1581/I1581)+ABS(0.2-L1580*D1581/I1581)+ABS(0.2-M1580*E1581/I1581)+ABS(0.2-N1580*F1581/I1581)),0)</f>
        <v/>
      </c>
      <c r="Q1581">
        <f>P1581*0.0015</f>
        <v/>
      </c>
      <c r="R1581">
        <f>I1581*(1-Q1581)</f>
        <v/>
      </c>
      <c r="S1581">
        <f>R1581/R1580-1</f>
        <v/>
      </c>
      <c r="T1581">
        <f>MAX(T1580,R1581)</f>
        <v/>
      </c>
      <c r="U1581">
        <f>R1581/T1581-1</f>
        <v/>
      </c>
      <c r="V1581" t="n">
        <v>3.22147836574199</v>
      </c>
      <c r="W1581" s="5">
        <f>R1581-V1581</f>
        <v/>
      </c>
    </row>
    <row r="1582">
      <c r="A1582" s="3" t="n">
        <v>40763</v>
      </c>
      <c r="B1582">
        <f>Prices!B1582</f>
        <v/>
      </c>
      <c r="C1582">
        <f>Prices!C1582</f>
        <v/>
      </c>
      <c r="D1582">
        <f>Prices!D1582</f>
        <v/>
      </c>
      <c r="E1582">
        <f>Prices!E1582</f>
        <v/>
      </c>
      <c r="F1582">
        <f>Prices!F1582</f>
        <v/>
      </c>
      <c r="G1582">
        <f>IF(AND(1580&gt;=16,TEXT(A1582,"yyyy-mm")&lt;&gt;TEXT(A1583,"yyyy-mm")),1,0)</f>
        <v/>
      </c>
      <c r="H1582">
        <f>IF(OR(H1581=1,G1582=1),1,0)</f>
        <v/>
      </c>
      <c r="I1582">
        <f>IF(H1581=0,1,SUMPRODUCT(J1581:N1581,B1582:F1582)+O1581*(1+0.00023125256064071564))</f>
        <v/>
      </c>
      <c r="J1582">
        <f>IF(G1582=1,0.2*R1582/B1582,J1581)</f>
        <v/>
      </c>
      <c r="K1582">
        <f>IF(G1582=1,0.2*R1582/C1582,K1581)</f>
        <v/>
      </c>
      <c r="L1582">
        <f>IF(G1582=1,0.2*R1582/D1582,L1581)</f>
        <v/>
      </c>
      <c r="M1582">
        <f>IF(G1582=1,0.2*R1582/E1582,M1581)</f>
        <v/>
      </c>
      <c r="N1582">
        <f>IF(G1582=1,0.2*R1582/F1582,N1581)</f>
        <v/>
      </c>
      <c r="O1582">
        <f>IF(G1582=1,R1582*(1-1.0),IF(H1581=0,1,O1581*(1+0.00023125256064071564)))</f>
        <v/>
      </c>
      <c r="P1582">
        <f>IF(G1582=1,IF(H1581=0,1,ABS(0.2-J1581*B1582/I1582)+ABS(0.2-K1581*C1582/I1582)+ABS(0.2-L1581*D1582/I1582)+ABS(0.2-M1581*E1582/I1582)+ABS(0.2-N1581*F1582/I1582)),0)</f>
        <v/>
      </c>
      <c r="Q1582">
        <f>P1582*0.0015</f>
        <v/>
      </c>
      <c r="R1582">
        <f>I1582*(1-Q1582)</f>
        <v/>
      </c>
      <c r="S1582">
        <f>R1582/R1581-1</f>
        <v/>
      </c>
      <c r="T1582">
        <f>MAX(T1581,R1582)</f>
        <v/>
      </c>
      <c r="U1582">
        <f>R1582/T1582-1</f>
        <v/>
      </c>
      <c r="V1582" t="n">
        <v>3.17970795797655</v>
      </c>
      <c r="W1582" s="5">
        <f>R1582-V1582</f>
        <v/>
      </c>
    </row>
    <row r="1583">
      <c r="A1583" s="3" t="n">
        <v>40764</v>
      </c>
      <c r="B1583">
        <f>Prices!B1583</f>
        <v/>
      </c>
      <c r="C1583">
        <f>Prices!C1583</f>
        <v/>
      </c>
      <c r="D1583">
        <f>Prices!D1583</f>
        <v/>
      </c>
      <c r="E1583">
        <f>Prices!E1583</f>
        <v/>
      </c>
      <c r="F1583">
        <f>Prices!F1583</f>
        <v/>
      </c>
      <c r="G1583">
        <f>IF(AND(1581&gt;=16,TEXT(A1583,"yyyy-mm")&lt;&gt;TEXT(A1584,"yyyy-mm")),1,0)</f>
        <v/>
      </c>
      <c r="H1583">
        <f>IF(OR(H1582=1,G1583=1),1,0)</f>
        <v/>
      </c>
      <c r="I1583">
        <f>IF(H1582=0,1,SUMPRODUCT(J1582:N1582,B1583:F1583)+O1582*(1+0.00023125256064071564))</f>
        <v/>
      </c>
      <c r="J1583">
        <f>IF(G1583=1,0.2*R1583/B1583,J1582)</f>
        <v/>
      </c>
      <c r="K1583">
        <f>IF(G1583=1,0.2*R1583/C1583,K1582)</f>
        <v/>
      </c>
      <c r="L1583">
        <f>IF(G1583=1,0.2*R1583/D1583,L1582)</f>
        <v/>
      </c>
      <c r="M1583">
        <f>IF(G1583=1,0.2*R1583/E1583,M1582)</f>
        <v/>
      </c>
      <c r="N1583">
        <f>IF(G1583=1,0.2*R1583/F1583,N1582)</f>
        <v/>
      </c>
      <c r="O1583">
        <f>IF(G1583=1,R1583*(1-1.0),IF(H1582=0,1,O1582*(1+0.00023125256064071564)))</f>
        <v/>
      </c>
      <c r="P1583">
        <f>IF(G1583=1,IF(H1582=0,1,ABS(0.2-J1582*B1583/I1583)+ABS(0.2-K1582*C1583/I1583)+ABS(0.2-L1582*D1583/I1583)+ABS(0.2-M1582*E1583/I1583)+ABS(0.2-N1582*F1583/I1583)),0)</f>
        <v/>
      </c>
      <c r="Q1583">
        <f>P1583*0.0015</f>
        <v/>
      </c>
      <c r="R1583">
        <f>I1583*(1-Q1583)</f>
        <v/>
      </c>
      <c r="S1583">
        <f>R1583/R1582-1</f>
        <v/>
      </c>
      <c r="T1583">
        <f>MAX(T1582,R1583)</f>
        <v/>
      </c>
      <c r="U1583">
        <f>R1583/T1583-1</f>
        <v/>
      </c>
      <c r="V1583" t="n">
        <v>3.143943446031257</v>
      </c>
      <c r="W1583" s="5">
        <f>R1583-V1583</f>
        <v/>
      </c>
    </row>
    <row r="1584">
      <c r="A1584" s="3" t="n">
        <v>40765</v>
      </c>
      <c r="B1584">
        <f>Prices!B1584</f>
        <v/>
      </c>
      <c r="C1584">
        <f>Prices!C1584</f>
        <v/>
      </c>
      <c r="D1584">
        <f>Prices!D1584</f>
        <v/>
      </c>
      <c r="E1584">
        <f>Prices!E1584</f>
        <v/>
      </c>
      <c r="F1584">
        <f>Prices!F1584</f>
        <v/>
      </c>
      <c r="G1584">
        <f>IF(AND(1582&gt;=16,TEXT(A1584,"yyyy-mm")&lt;&gt;TEXT(A1585,"yyyy-mm")),1,0)</f>
        <v/>
      </c>
      <c r="H1584">
        <f>IF(OR(H1583=1,G1584=1),1,0)</f>
        <v/>
      </c>
      <c r="I1584">
        <f>IF(H1583=0,1,SUMPRODUCT(J1583:N1583,B1584:F1584)+O1583*(1+0.00023125256064071564))</f>
        <v/>
      </c>
      <c r="J1584">
        <f>IF(G1584=1,0.2*R1584/B1584,J1583)</f>
        <v/>
      </c>
      <c r="K1584">
        <f>IF(G1584=1,0.2*R1584/C1584,K1583)</f>
        <v/>
      </c>
      <c r="L1584">
        <f>IF(G1584=1,0.2*R1584/D1584,L1583)</f>
        <v/>
      </c>
      <c r="M1584">
        <f>IF(G1584=1,0.2*R1584/E1584,M1583)</f>
        <v/>
      </c>
      <c r="N1584">
        <f>IF(G1584=1,0.2*R1584/F1584,N1583)</f>
        <v/>
      </c>
      <c r="O1584">
        <f>IF(G1584=1,R1584*(1-1.0),IF(H1583=0,1,O1583*(1+0.00023125256064071564)))</f>
        <v/>
      </c>
      <c r="P1584">
        <f>IF(G1584=1,IF(H1583=0,1,ABS(0.2-J1583*B1584/I1584)+ABS(0.2-K1583*C1584/I1584)+ABS(0.2-L1583*D1584/I1584)+ABS(0.2-M1583*E1584/I1584)+ABS(0.2-N1583*F1584/I1584)),0)</f>
        <v/>
      </c>
      <c r="Q1584">
        <f>P1584*0.0015</f>
        <v/>
      </c>
      <c r="R1584">
        <f>I1584*(1-Q1584)</f>
        <v/>
      </c>
      <c r="S1584">
        <f>R1584/R1583-1</f>
        <v/>
      </c>
      <c r="T1584">
        <f>MAX(T1583,R1584)</f>
        <v/>
      </c>
      <c r="U1584">
        <f>R1584/T1584-1</f>
        <v/>
      </c>
      <c r="V1584" t="n">
        <v>3.209659147776674</v>
      </c>
      <c r="W1584" s="5">
        <f>R1584-V1584</f>
        <v/>
      </c>
    </row>
    <row r="1585">
      <c r="A1585" s="3" t="n">
        <v>40766</v>
      </c>
      <c r="B1585">
        <f>Prices!B1585</f>
        <v/>
      </c>
      <c r="C1585">
        <f>Prices!C1585</f>
        <v/>
      </c>
      <c r="D1585">
        <f>Prices!D1585</f>
        <v/>
      </c>
      <c r="E1585">
        <f>Prices!E1585</f>
        <v/>
      </c>
      <c r="F1585">
        <f>Prices!F1585</f>
        <v/>
      </c>
      <c r="G1585">
        <f>IF(AND(1583&gt;=16,TEXT(A1585,"yyyy-mm")&lt;&gt;TEXT(A1586,"yyyy-mm")),1,0)</f>
        <v/>
      </c>
      <c r="H1585">
        <f>IF(OR(H1584=1,G1585=1),1,0)</f>
        <v/>
      </c>
      <c r="I1585">
        <f>IF(H1584=0,1,SUMPRODUCT(J1584:N1584,B1585:F1585)+O1584*(1+0.00023125256064071564))</f>
        <v/>
      </c>
      <c r="J1585">
        <f>IF(G1585=1,0.2*R1585/B1585,J1584)</f>
        <v/>
      </c>
      <c r="K1585">
        <f>IF(G1585=1,0.2*R1585/C1585,K1584)</f>
        <v/>
      </c>
      <c r="L1585">
        <f>IF(G1585=1,0.2*R1585/D1585,L1584)</f>
        <v/>
      </c>
      <c r="M1585">
        <f>IF(G1585=1,0.2*R1585/E1585,M1584)</f>
        <v/>
      </c>
      <c r="N1585">
        <f>IF(G1585=1,0.2*R1585/F1585,N1584)</f>
        <v/>
      </c>
      <c r="O1585">
        <f>IF(G1585=1,R1585*(1-1.0),IF(H1584=0,1,O1584*(1+0.00023125256064071564)))</f>
        <v/>
      </c>
      <c r="P1585">
        <f>IF(G1585=1,IF(H1584=0,1,ABS(0.2-J1584*B1585/I1585)+ABS(0.2-K1584*C1585/I1585)+ABS(0.2-L1584*D1585/I1585)+ABS(0.2-M1584*E1585/I1585)+ABS(0.2-N1584*F1585/I1585)),0)</f>
        <v/>
      </c>
      <c r="Q1585">
        <f>P1585*0.0015</f>
        <v/>
      </c>
      <c r="R1585">
        <f>I1585*(1-Q1585)</f>
        <v/>
      </c>
      <c r="S1585">
        <f>R1585/R1584-1</f>
        <v/>
      </c>
      <c r="T1585">
        <f>MAX(T1584,R1585)</f>
        <v/>
      </c>
      <c r="U1585">
        <f>R1585/T1585-1</f>
        <v/>
      </c>
      <c r="V1585" t="n">
        <v>3.194666192200352</v>
      </c>
      <c r="W1585" s="5">
        <f>R1585-V1585</f>
        <v/>
      </c>
    </row>
    <row r="1586">
      <c r="A1586" s="3" t="n">
        <v>40767</v>
      </c>
      <c r="B1586">
        <f>Prices!B1586</f>
        <v/>
      </c>
      <c r="C1586">
        <f>Prices!C1586</f>
        <v/>
      </c>
      <c r="D1586">
        <f>Prices!D1586</f>
        <v/>
      </c>
      <c r="E1586">
        <f>Prices!E1586</f>
        <v/>
      </c>
      <c r="F1586">
        <f>Prices!F1586</f>
        <v/>
      </c>
      <c r="G1586">
        <f>IF(AND(1584&gt;=16,TEXT(A1586,"yyyy-mm")&lt;&gt;TEXT(A1587,"yyyy-mm")),1,0)</f>
        <v/>
      </c>
      <c r="H1586">
        <f>IF(OR(H1585=1,G1586=1),1,0)</f>
        <v/>
      </c>
      <c r="I1586">
        <f>IF(H1585=0,1,SUMPRODUCT(J1585:N1585,B1586:F1586)+O1585*(1+0.00023125256064071564))</f>
        <v/>
      </c>
      <c r="J1586">
        <f>IF(G1586=1,0.2*R1586/B1586,J1585)</f>
        <v/>
      </c>
      <c r="K1586">
        <f>IF(G1586=1,0.2*R1586/C1586,K1585)</f>
        <v/>
      </c>
      <c r="L1586">
        <f>IF(G1586=1,0.2*R1586/D1586,L1585)</f>
        <v/>
      </c>
      <c r="M1586">
        <f>IF(G1586=1,0.2*R1586/E1586,M1585)</f>
        <v/>
      </c>
      <c r="N1586">
        <f>IF(G1586=1,0.2*R1586/F1586,N1585)</f>
        <v/>
      </c>
      <c r="O1586">
        <f>IF(G1586=1,R1586*(1-1.0),IF(H1585=0,1,O1585*(1+0.00023125256064071564)))</f>
        <v/>
      </c>
      <c r="P1586">
        <f>IF(G1586=1,IF(H1585=0,1,ABS(0.2-J1585*B1586/I1586)+ABS(0.2-K1585*C1586/I1586)+ABS(0.2-L1585*D1586/I1586)+ABS(0.2-M1585*E1586/I1586)+ABS(0.2-N1585*F1586/I1586)),0)</f>
        <v/>
      </c>
      <c r="Q1586">
        <f>P1586*0.0015</f>
        <v/>
      </c>
      <c r="R1586">
        <f>I1586*(1-Q1586)</f>
        <v/>
      </c>
      <c r="S1586">
        <f>R1586/R1585-1</f>
        <v/>
      </c>
      <c r="T1586">
        <f>MAX(T1585,R1586)</f>
        <v/>
      </c>
      <c r="U1586">
        <f>R1586/T1586-1</f>
        <v/>
      </c>
      <c r="V1586" t="n">
        <v>3.173311893015722</v>
      </c>
      <c r="W1586" s="5">
        <f>R1586-V1586</f>
        <v/>
      </c>
    </row>
    <row r="1587">
      <c r="A1587" s="3" t="n">
        <v>40771</v>
      </c>
      <c r="B1587">
        <f>Prices!B1587</f>
        <v/>
      </c>
      <c r="C1587">
        <f>Prices!C1587</f>
        <v/>
      </c>
      <c r="D1587">
        <f>Prices!D1587</f>
        <v/>
      </c>
      <c r="E1587">
        <f>Prices!E1587</f>
        <v/>
      </c>
      <c r="F1587">
        <f>Prices!F1587</f>
        <v/>
      </c>
      <c r="G1587">
        <f>IF(AND(1585&gt;=16,TEXT(A1587,"yyyy-mm")&lt;&gt;TEXT(A1588,"yyyy-mm")),1,0)</f>
        <v/>
      </c>
      <c r="H1587">
        <f>IF(OR(H1586=1,G1587=1),1,0)</f>
        <v/>
      </c>
      <c r="I1587">
        <f>IF(H1586=0,1,SUMPRODUCT(J1586:N1586,B1587:F1587)+O1586*(1+0.00023125256064071564))</f>
        <v/>
      </c>
      <c r="J1587">
        <f>IF(G1587=1,0.2*R1587/B1587,J1586)</f>
        <v/>
      </c>
      <c r="K1587">
        <f>IF(G1587=1,0.2*R1587/C1587,K1586)</f>
        <v/>
      </c>
      <c r="L1587">
        <f>IF(G1587=1,0.2*R1587/D1587,L1586)</f>
        <v/>
      </c>
      <c r="M1587">
        <f>IF(G1587=1,0.2*R1587/E1587,M1586)</f>
        <v/>
      </c>
      <c r="N1587">
        <f>IF(G1587=1,0.2*R1587/F1587,N1586)</f>
        <v/>
      </c>
      <c r="O1587">
        <f>IF(G1587=1,R1587*(1-1.0),IF(H1586=0,1,O1586*(1+0.00023125256064071564)))</f>
        <v/>
      </c>
      <c r="P1587">
        <f>IF(G1587=1,IF(H1586=0,1,ABS(0.2-J1586*B1587/I1587)+ABS(0.2-K1586*C1587/I1587)+ABS(0.2-L1586*D1587/I1587)+ABS(0.2-M1586*E1587/I1587)+ABS(0.2-N1586*F1587/I1587)),0)</f>
        <v/>
      </c>
      <c r="Q1587">
        <f>P1587*0.0015</f>
        <v/>
      </c>
      <c r="R1587">
        <f>I1587*(1-Q1587)</f>
        <v/>
      </c>
      <c r="S1587">
        <f>R1587/R1586-1</f>
        <v/>
      </c>
      <c r="T1587">
        <f>MAX(T1586,R1587)</f>
        <v/>
      </c>
      <c r="U1587">
        <f>R1587/T1587-1</f>
        <v/>
      </c>
      <c r="V1587" t="n">
        <v>3.145404966388931</v>
      </c>
      <c r="W1587" s="5">
        <f>R1587-V1587</f>
        <v/>
      </c>
    </row>
    <row r="1588">
      <c r="A1588" s="3" t="n">
        <v>40772</v>
      </c>
      <c r="B1588">
        <f>Prices!B1588</f>
        <v/>
      </c>
      <c r="C1588">
        <f>Prices!C1588</f>
        <v/>
      </c>
      <c r="D1588">
        <f>Prices!D1588</f>
        <v/>
      </c>
      <c r="E1588">
        <f>Prices!E1588</f>
        <v/>
      </c>
      <c r="F1588">
        <f>Prices!F1588</f>
        <v/>
      </c>
      <c r="G1588">
        <f>IF(AND(1586&gt;=16,TEXT(A1588,"yyyy-mm")&lt;&gt;TEXT(A1589,"yyyy-mm")),1,0)</f>
        <v/>
      </c>
      <c r="H1588">
        <f>IF(OR(H1587=1,G1588=1),1,0)</f>
        <v/>
      </c>
      <c r="I1588">
        <f>IF(H1587=0,1,SUMPRODUCT(J1587:N1587,B1588:F1588)+O1587*(1+0.00023125256064071564))</f>
        <v/>
      </c>
      <c r="J1588">
        <f>IF(G1588=1,0.2*R1588/B1588,J1587)</f>
        <v/>
      </c>
      <c r="K1588">
        <f>IF(G1588=1,0.2*R1588/C1588,K1587)</f>
        <v/>
      </c>
      <c r="L1588">
        <f>IF(G1588=1,0.2*R1588/D1588,L1587)</f>
        <v/>
      </c>
      <c r="M1588">
        <f>IF(G1588=1,0.2*R1588/E1588,M1587)</f>
        <v/>
      </c>
      <c r="N1588">
        <f>IF(G1588=1,0.2*R1588/F1588,N1587)</f>
        <v/>
      </c>
      <c r="O1588">
        <f>IF(G1588=1,R1588*(1-1.0),IF(H1587=0,1,O1587*(1+0.00023125256064071564)))</f>
        <v/>
      </c>
      <c r="P1588">
        <f>IF(G1588=1,IF(H1587=0,1,ABS(0.2-J1587*B1588/I1588)+ABS(0.2-K1587*C1588/I1588)+ABS(0.2-L1587*D1588/I1588)+ABS(0.2-M1587*E1588/I1588)+ABS(0.2-N1587*F1588/I1588)),0)</f>
        <v/>
      </c>
      <c r="Q1588">
        <f>P1588*0.0015</f>
        <v/>
      </c>
      <c r="R1588">
        <f>I1588*(1-Q1588)</f>
        <v/>
      </c>
      <c r="S1588">
        <f>R1588/R1587-1</f>
        <v/>
      </c>
      <c r="T1588">
        <f>MAX(T1587,R1588)</f>
        <v/>
      </c>
      <c r="U1588">
        <f>R1588/T1588-1</f>
        <v/>
      </c>
      <c r="V1588" t="n">
        <v>3.144999079140371</v>
      </c>
      <c r="W1588" s="5">
        <f>R1588-V1588</f>
        <v/>
      </c>
    </row>
    <row r="1589">
      <c r="A1589" s="3" t="n">
        <v>40773</v>
      </c>
      <c r="B1589">
        <f>Prices!B1589</f>
        <v/>
      </c>
      <c r="C1589">
        <f>Prices!C1589</f>
        <v/>
      </c>
      <c r="D1589">
        <f>Prices!D1589</f>
        <v/>
      </c>
      <c r="E1589">
        <f>Prices!E1589</f>
        <v/>
      </c>
      <c r="F1589">
        <f>Prices!F1589</f>
        <v/>
      </c>
      <c r="G1589">
        <f>IF(AND(1587&gt;=16,TEXT(A1589,"yyyy-mm")&lt;&gt;TEXT(A1590,"yyyy-mm")),1,0)</f>
        <v/>
      </c>
      <c r="H1589">
        <f>IF(OR(H1588=1,G1589=1),1,0)</f>
        <v/>
      </c>
      <c r="I1589">
        <f>IF(H1588=0,1,SUMPRODUCT(J1588:N1588,B1589:F1589)+O1588*(1+0.00023125256064071564))</f>
        <v/>
      </c>
      <c r="J1589">
        <f>IF(G1589=1,0.2*R1589/B1589,J1588)</f>
        <v/>
      </c>
      <c r="K1589">
        <f>IF(G1589=1,0.2*R1589/C1589,K1588)</f>
        <v/>
      </c>
      <c r="L1589">
        <f>IF(G1589=1,0.2*R1589/D1589,L1588)</f>
        <v/>
      </c>
      <c r="M1589">
        <f>IF(G1589=1,0.2*R1589/E1589,M1588)</f>
        <v/>
      </c>
      <c r="N1589">
        <f>IF(G1589=1,0.2*R1589/F1589,N1588)</f>
        <v/>
      </c>
      <c r="O1589">
        <f>IF(G1589=1,R1589*(1-1.0),IF(H1588=0,1,O1588*(1+0.00023125256064071564)))</f>
        <v/>
      </c>
      <c r="P1589">
        <f>IF(G1589=1,IF(H1588=0,1,ABS(0.2-J1588*B1589/I1589)+ABS(0.2-K1588*C1589/I1589)+ABS(0.2-L1588*D1589/I1589)+ABS(0.2-M1588*E1589/I1589)+ABS(0.2-N1588*F1589/I1589)),0)</f>
        <v/>
      </c>
      <c r="Q1589">
        <f>P1589*0.0015</f>
        <v/>
      </c>
      <c r="R1589">
        <f>I1589*(1-Q1589)</f>
        <v/>
      </c>
      <c r="S1589">
        <f>R1589/R1588-1</f>
        <v/>
      </c>
      <c r="T1589">
        <f>MAX(T1588,R1589)</f>
        <v/>
      </c>
      <c r="U1589">
        <f>R1589/T1589-1</f>
        <v/>
      </c>
      <c r="V1589" t="n">
        <v>3.06947648714744</v>
      </c>
      <c r="W1589" s="5">
        <f>R1589-V1589</f>
        <v/>
      </c>
    </row>
    <row r="1590">
      <c r="A1590" s="3" t="n">
        <v>40774</v>
      </c>
      <c r="B1590">
        <f>Prices!B1590</f>
        <v/>
      </c>
      <c r="C1590">
        <f>Prices!C1590</f>
        <v/>
      </c>
      <c r="D1590">
        <f>Prices!D1590</f>
        <v/>
      </c>
      <c r="E1590">
        <f>Prices!E1590</f>
        <v/>
      </c>
      <c r="F1590">
        <f>Prices!F1590</f>
        <v/>
      </c>
      <c r="G1590">
        <f>IF(AND(1588&gt;=16,TEXT(A1590,"yyyy-mm")&lt;&gt;TEXT(A1591,"yyyy-mm")),1,0)</f>
        <v/>
      </c>
      <c r="H1590">
        <f>IF(OR(H1589=1,G1590=1),1,0)</f>
        <v/>
      </c>
      <c r="I1590">
        <f>IF(H1589=0,1,SUMPRODUCT(J1589:N1589,B1590:F1590)+O1589*(1+0.00023125256064071564))</f>
        <v/>
      </c>
      <c r="J1590">
        <f>IF(G1590=1,0.2*R1590/B1590,J1589)</f>
        <v/>
      </c>
      <c r="K1590">
        <f>IF(G1590=1,0.2*R1590/C1590,K1589)</f>
        <v/>
      </c>
      <c r="L1590">
        <f>IF(G1590=1,0.2*R1590/D1590,L1589)</f>
        <v/>
      </c>
      <c r="M1590">
        <f>IF(G1590=1,0.2*R1590/E1590,M1589)</f>
        <v/>
      </c>
      <c r="N1590">
        <f>IF(G1590=1,0.2*R1590/F1590,N1589)</f>
        <v/>
      </c>
      <c r="O1590">
        <f>IF(G1590=1,R1590*(1-1.0),IF(H1589=0,1,O1589*(1+0.00023125256064071564)))</f>
        <v/>
      </c>
      <c r="P1590">
        <f>IF(G1590=1,IF(H1589=0,1,ABS(0.2-J1589*B1590/I1590)+ABS(0.2-K1589*C1590/I1590)+ABS(0.2-L1589*D1590/I1590)+ABS(0.2-M1589*E1590/I1590)+ABS(0.2-N1589*F1590/I1590)),0)</f>
        <v/>
      </c>
      <c r="Q1590">
        <f>P1590*0.0015</f>
        <v/>
      </c>
      <c r="R1590">
        <f>I1590*(1-Q1590)</f>
        <v/>
      </c>
      <c r="S1590">
        <f>R1590/R1589-1</f>
        <v/>
      </c>
      <c r="T1590">
        <f>MAX(T1589,R1590)</f>
        <v/>
      </c>
      <c r="U1590">
        <f>R1590/T1590-1</f>
        <v/>
      </c>
      <c r="V1590" t="n">
        <v>3.024136129366097</v>
      </c>
      <c r="W1590" s="5">
        <f>R1590-V1590</f>
        <v/>
      </c>
    </row>
    <row r="1591">
      <c r="A1591" s="3" t="n">
        <v>40777</v>
      </c>
      <c r="B1591">
        <f>Prices!B1591</f>
        <v/>
      </c>
      <c r="C1591">
        <f>Prices!C1591</f>
        <v/>
      </c>
      <c r="D1591">
        <f>Prices!D1591</f>
        <v/>
      </c>
      <c r="E1591">
        <f>Prices!E1591</f>
        <v/>
      </c>
      <c r="F1591">
        <f>Prices!F1591</f>
        <v/>
      </c>
      <c r="G1591">
        <f>IF(AND(1589&gt;=16,TEXT(A1591,"yyyy-mm")&lt;&gt;TEXT(A1592,"yyyy-mm")),1,0)</f>
        <v/>
      </c>
      <c r="H1591">
        <f>IF(OR(H1590=1,G1591=1),1,0)</f>
        <v/>
      </c>
      <c r="I1591">
        <f>IF(H1590=0,1,SUMPRODUCT(J1590:N1590,B1591:F1591)+O1590*(1+0.00023125256064071564))</f>
        <v/>
      </c>
      <c r="J1591">
        <f>IF(G1591=1,0.2*R1591/B1591,J1590)</f>
        <v/>
      </c>
      <c r="K1591">
        <f>IF(G1591=1,0.2*R1591/C1591,K1590)</f>
        <v/>
      </c>
      <c r="L1591">
        <f>IF(G1591=1,0.2*R1591/D1591,L1590)</f>
        <v/>
      </c>
      <c r="M1591">
        <f>IF(G1591=1,0.2*R1591/E1591,M1590)</f>
        <v/>
      </c>
      <c r="N1591">
        <f>IF(G1591=1,0.2*R1591/F1591,N1590)</f>
        <v/>
      </c>
      <c r="O1591">
        <f>IF(G1591=1,R1591*(1-1.0),IF(H1590=0,1,O1590*(1+0.00023125256064071564)))</f>
        <v/>
      </c>
      <c r="P1591">
        <f>IF(G1591=1,IF(H1590=0,1,ABS(0.2-J1590*B1591/I1591)+ABS(0.2-K1590*C1591/I1591)+ABS(0.2-L1590*D1591/I1591)+ABS(0.2-M1590*E1591/I1591)+ABS(0.2-N1590*F1591/I1591)),0)</f>
        <v/>
      </c>
      <c r="Q1591">
        <f>P1591*0.0015</f>
        <v/>
      </c>
      <c r="R1591">
        <f>I1591*(1-Q1591)</f>
        <v/>
      </c>
      <c r="S1591">
        <f>R1591/R1590-1</f>
        <v/>
      </c>
      <c r="T1591">
        <f>MAX(T1590,R1591)</f>
        <v/>
      </c>
      <c r="U1591">
        <f>R1591/T1591-1</f>
        <v/>
      </c>
      <c r="V1591" t="n">
        <v>3.066757012832315</v>
      </c>
      <c r="W1591" s="5">
        <f>R1591-V1591</f>
        <v/>
      </c>
    </row>
    <row r="1592">
      <c r="A1592" s="3" t="n">
        <v>40778</v>
      </c>
      <c r="B1592">
        <f>Prices!B1592</f>
        <v/>
      </c>
      <c r="C1592">
        <f>Prices!C1592</f>
        <v/>
      </c>
      <c r="D1592">
        <f>Prices!D1592</f>
        <v/>
      </c>
      <c r="E1592">
        <f>Prices!E1592</f>
        <v/>
      </c>
      <c r="F1592">
        <f>Prices!F1592</f>
        <v/>
      </c>
      <c r="G1592">
        <f>IF(AND(1590&gt;=16,TEXT(A1592,"yyyy-mm")&lt;&gt;TEXT(A1593,"yyyy-mm")),1,0)</f>
        <v/>
      </c>
      <c r="H1592">
        <f>IF(OR(H1591=1,G1592=1),1,0)</f>
        <v/>
      </c>
      <c r="I1592">
        <f>IF(H1591=0,1,SUMPRODUCT(J1591:N1591,B1592:F1592)+O1591*(1+0.00023125256064071564))</f>
        <v/>
      </c>
      <c r="J1592">
        <f>IF(G1592=1,0.2*R1592/B1592,J1591)</f>
        <v/>
      </c>
      <c r="K1592">
        <f>IF(G1592=1,0.2*R1592/C1592,K1591)</f>
        <v/>
      </c>
      <c r="L1592">
        <f>IF(G1592=1,0.2*R1592/D1592,L1591)</f>
        <v/>
      </c>
      <c r="M1592">
        <f>IF(G1592=1,0.2*R1592/E1592,M1591)</f>
        <v/>
      </c>
      <c r="N1592">
        <f>IF(G1592=1,0.2*R1592/F1592,N1591)</f>
        <v/>
      </c>
      <c r="O1592">
        <f>IF(G1592=1,R1592*(1-1.0),IF(H1591=0,1,O1591*(1+0.00023125256064071564)))</f>
        <v/>
      </c>
      <c r="P1592">
        <f>IF(G1592=1,IF(H1591=0,1,ABS(0.2-J1591*B1592/I1592)+ABS(0.2-K1591*C1592/I1592)+ABS(0.2-L1591*D1592/I1592)+ABS(0.2-M1591*E1592/I1592)+ABS(0.2-N1591*F1592/I1592)),0)</f>
        <v/>
      </c>
      <c r="Q1592">
        <f>P1592*0.0015</f>
        <v/>
      </c>
      <c r="R1592">
        <f>I1592*(1-Q1592)</f>
        <v/>
      </c>
      <c r="S1592">
        <f>R1592/R1591-1</f>
        <v/>
      </c>
      <c r="T1592">
        <f>MAX(T1591,R1592)</f>
        <v/>
      </c>
      <c r="U1592">
        <f>R1592/T1592-1</f>
        <v/>
      </c>
      <c r="V1592" t="n">
        <v>3.101257692887129</v>
      </c>
      <c r="W1592" s="5">
        <f>R1592-V1592</f>
        <v/>
      </c>
    </row>
    <row r="1593">
      <c r="A1593" s="3" t="n">
        <v>40779</v>
      </c>
      <c r="B1593">
        <f>Prices!B1593</f>
        <v/>
      </c>
      <c r="C1593">
        <f>Prices!C1593</f>
        <v/>
      </c>
      <c r="D1593">
        <f>Prices!D1593</f>
        <v/>
      </c>
      <c r="E1593">
        <f>Prices!E1593</f>
        <v/>
      </c>
      <c r="F1593">
        <f>Prices!F1593</f>
        <v/>
      </c>
      <c r="G1593">
        <f>IF(AND(1591&gt;=16,TEXT(A1593,"yyyy-mm")&lt;&gt;TEXT(A1594,"yyyy-mm")),1,0)</f>
        <v/>
      </c>
      <c r="H1593">
        <f>IF(OR(H1592=1,G1593=1),1,0)</f>
        <v/>
      </c>
      <c r="I1593">
        <f>IF(H1592=0,1,SUMPRODUCT(J1592:N1592,B1593:F1593)+O1592*(1+0.00023125256064071564))</f>
        <v/>
      </c>
      <c r="J1593">
        <f>IF(G1593=1,0.2*R1593/B1593,J1592)</f>
        <v/>
      </c>
      <c r="K1593">
        <f>IF(G1593=1,0.2*R1593/C1593,K1592)</f>
        <v/>
      </c>
      <c r="L1593">
        <f>IF(G1593=1,0.2*R1593/D1593,L1592)</f>
        <v/>
      </c>
      <c r="M1593">
        <f>IF(G1593=1,0.2*R1593/E1593,M1592)</f>
        <v/>
      </c>
      <c r="N1593">
        <f>IF(G1593=1,0.2*R1593/F1593,N1592)</f>
        <v/>
      </c>
      <c r="O1593">
        <f>IF(G1593=1,R1593*(1-1.0),IF(H1592=0,1,O1592*(1+0.00023125256064071564)))</f>
        <v/>
      </c>
      <c r="P1593">
        <f>IF(G1593=1,IF(H1592=0,1,ABS(0.2-J1592*B1593/I1593)+ABS(0.2-K1592*C1593/I1593)+ABS(0.2-L1592*D1593/I1593)+ABS(0.2-M1592*E1593/I1593)+ABS(0.2-N1592*F1593/I1593)),0)</f>
        <v/>
      </c>
      <c r="Q1593">
        <f>P1593*0.0015</f>
        <v/>
      </c>
      <c r="R1593">
        <f>I1593*(1-Q1593)</f>
        <v/>
      </c>
      <c r="S1593">
        <f>R1593/R1592-1</f>
        <v/>
      </c>
      <c r="T1593">
        <f>MAX(T1592,R1593)</f>
        <v/>
      </c>
      <c r="U1593">
        <f>R1593/T1593-1</f>
        <v/>
      </c>
      <c r="V1593" t="n">
        <v>3.073970744380146</v>
      </c>
      <c r="W1593" s="5">
        <f>R1593-V1593</f>
        <v/>
      </c>
    </row>
    <row r="1594">
      <c r="A1594" s="3" t="n">
        <v>40780</v>
      </c>
      <c r="B1594">
        <f>Prices!B1594</f>
        <v/>
      </c>
      <c r="C1594">
        <f>Prices!C1594</f>
        <v/>
      </c>
      <c r="D1594">
        <f>Prices!D1594</f>
        <v/>
      </c>
      <c r="E1594">
        <f>Prices!E1594</f>
        <v/>
      </c>
      <c r="F1594">
        <f>Prices!F1594</f>
        <v/>
      </c>
      <c r="G1594">
        <f>IF(AND(1592&gt;=16,TEXT(A1594,"yyyy-mm")&lt;&gt;TEXT(A1595,"yyyy-mm")),1,0)</f>
        <v/>
      </c>
      <c r="H1594">
        <f>IF(OR(H1593=1,G1594=1),1,0)</f>
        <v/>
      </c>
      <c r="I1594">
        <f>IF(H1593=0,1,SUMPRODUCT(J1593:N1593,B1594:F1594)+O1593*(1+0.00023125256064071564))</f>
        <v/>
      </c>
      <c r="J1594">
        <f>IF(G1594=1,0.2*R1594/B1594,J1593)</f>
        <v/>
      </c>
      <c r="K1594">
        <f>IF(G1594=1,0.2*R1594/C1594,K1593)</f>
        <v/>
      </c>
      <c r="L1594">
        <f>IF(G1594=1,0.2*R1594/D1594,L1593)</f>
        <v/>
      </c>
      <c r="M1594">
        <f>IF(G1594=1,0.2*R1594/E1594,M1593)</f>
        <v/>
      </c>
      <c r="N1594">
        <f>IF(G1594=1,0.2*R1594/F1594,N1593)</f>
        <v/>
      </c>
      <c r="O1594">
        <f>IF(G1594=1,R1594*(1-1.0),IF(H1593=0,1,O1593*(1+0.00023125256064071564)))</f>
        <v/>
      </c>
      <c r="P1594">
        <f>IF(G1594=1,IF(H1593=0,1,ABS(0.2-J1593*B1594/I1594)+ABS(0.2-K1593*C1594/I1594)+ABS(0.2-L1593*D1594/I1594)+ABS(0.2-M1593*E1594/I1594)+ABS(0.2-N1593*F1594/I1594)),0)</f>
        <v/>
      </c>
      <c r="Q1594">
        <f>P1594*0.0015</f>
        <v/>
      </c>
      <c r="R1594">
        <f>I1594*(1-Q1594)</f>
        <v/>
      </c>
      <c r="S1594">
        <f>R1594/R1593-1</f>
        <v/>
      </c>
      <c r="T1594">
        <f>MAX(T1593,R1594)</f>
        <v/>
      </c>
      <c r="U1594">
        <f>R1594/T1594-1</f>
        <v/>
      </c>
      <c r="V1594" t="n">
        <v>3.045721308646804</v>
      </c>
      <c r="W1594" s="5">
        <f>R1594-V1594</f>
        <v/>
      </c>
    </row>
    <row r="1595">
      <c r="A1595" s="3" t="n">
        <v>40781</v>
      </c>
      <c r="B1595">
        <f>Prices!B1595</f>
        <v/>
      </c>
      <c r="C1595">
        <f>Prices!C1595</f>
        <v/>
      </c>
      <c r="D1595">
        <f>Prices!D1595</f>
        <v/>
      </c>
      <c r="E1595">
        <f>Prices!E1595</f>
        <v/>
      </c>
      <c r="F1595">
        <f>Prices!F1595</f>
        <v/>
      </c>
      <c r="G1595">
        <f>IF(AND(1593&gt;=16,TEXT(A1595,"yyyy-mm")&lt;&gt;TEXT(A1596,"yyyy-mm")),1,0)</f>
        <v/>
      </c>
      <c r="H1595">
        <f>IF(OR(H1594=1,G1595=1),1,0)</f>
        <v/>
      </c>
      <c r="I1595">
        <f>IF(H1594=0,1,SUMPRODUCT(J1594:N1594,B1595:F1595)+O1594*(1+0.00023125256064071564))</f>
        <v/>
      </c>
      <c r="J1595">
        <f>IF(G1595=1,0.2*R1595/B1595,J1594)</f>
        <v/>
      </c>
      <c r="K1595">
        <f>IF(G1595=1,0.2*R1595/C1595,K1594)</f>
        <v/>
      </c>
      <c r="L1595">
        <f>IF(G1595=1,0.2*R1595/D1595,L1594)</f>
        <v/>
      </c>
      <c r="M1595">
        <f>IF(G1595=1,0.2*R1595/E1595,M1594)</f>
        <v/>
      </c>
      <c r="N1595">
        <f>IF(G1595=1,0.2*R1595/F1595,N1594)</f>
        <v/>
      </c>
      <c r="O1595">
        <f>IF(G1595=1,R1595*(1-1.0),IF(H1594=0,1,O1594*(1+0.00023125256064071564)))</f>
        <v/>
      </c>
      <c r="P1595">
        <f>IF(G1595=1,IF(H1594=0,1,ABS(0.2-J1594*B1595/I1595)+ABS(0.2-K1594*C1595/I1595)+ABS(0.2-L1594*D1595/I1595)+ABS(0.2-M1594*E1595/I1595)+ABS(0.2-N1594*F1595/I1595)),0)</f>
        <v/>
      </c>
      <c r="Q1595">
        <f>P1595*0.0015</f>
        <v/>
      </c>
      <c r="R1595">
        <f>I1595*(1-Q1595)</f>
        <v/>
      </c>
      <c r="S1595">
        <f>R1595/R1594-1</f>
        <v/>
      </c>
      <c r="T1595">
        <f>MAX(T1594,R1595)</f>
        <v/>
      </c>
      <c r="U1595">
        <f>R1595/T1595-1</f>
        <v/>
      </c>
      <c r="V1595" t="n">
        <v>2.989878127726215</v>
      </c>
      <c r="W1595" s="5">
        <f>R1595-V1595</f>
        <v/>
      </c>
    </row>
    <row r="1596">
      <c r="A1596" s="3" t="n">
        <v>40784</v>
      </c>
      <c r="B1596">
        <f>Prices!B1596</f>
        <v/>
      </c>
      <c r="C1596">
        <f>Prices!C1596</f>
        <v/>
      </c>
      <c r="D1596">
        <f>Prices!D1596</f>
        <v/>
      </c>
      <c r="E1596">
        <f>Prices!E1596</f>
        <v/>
      </c>
      <c r="F1596">
        <f>Prices!F1596</f>
        <v/>
      </c>
      <c r="G1596">
        <f>IF(AND(1594&gt;=16,TEXT(A1596,"yyyy-mm")&lt;&gt;TEXT(A1597,"yyyy-mm")),1,0)</f>
        <v/>
      </c>
      <c r="H1596">
        <f>IF(OR(H1595=1,G1596=1),1,0)</f>
        <v/>
      </c>
      <c r="I1596">
        <f>IF(H1595=0,1,SUMPRODUCT(J1595:N1595,B1596:F1596)+O1595*(1+0.00023125256064071564))</f>
        <v/>
      </c>
      <c r="J1596">
        <f>IF(G1596=1,0.2*R1596/B1596,J1595)</f>
        <v/>
      </c>
      <c r="K1596">
        <f>IF(G1596=1,0.2*R1596/C1596,K1595)</f>
        <v/>
      </c>
      <c r="L1596">
        <f>IF(G1596=1,0.2*R1596/D1596,L1595)</f>
        <v/>
      </c>
      <c r="M1596">
        <f>IF(G1596=1,0.2*R1596/E1596,M1595)</f>
        <v/>
      </c>
      <c r="N1596">
        <f>IF(G1596=1,0.2*R1596/F1596,N1595)</f>
        <v/>
      </c>
      <c r="O1596">
        <f>IF(G1596=1,R1596*(1-1.0),IF(H1595=0,1,O1595*(1+0.00023125256064071564)))</f>
        <v/>
      </c>
      <c r="P1596">
        <f>IF(G1596=1,IF(H1595=0,1,ABS(0.2-J1595*B1596/I1596)+ABS(0.2-K1595*C1596/I1596)+ABS(0.2-L1595*D1596/I1596)+ABS(0.2-M1595*E1596/I1596)+ABS(0.2-N1595*F1596/I1596)),0)</f>
        <v/>
      </c>
      <c r="Q1596">
        <f>P1596*0.0015</f>
        <v/>
      </c>
      <c r="R1596">
        <f>I1596*(1-Q1596)</f>
        <v/>
      </c>
      <c r="S1596">
        <f>R1596/R1595-1</f>
        <v/>
      </c>
      <c r="T1596">
        <f>MAX(T1595,R1596)</f>
        <v/>
      </c>
      <c r="U1596">
        <f>R1596/T1596-1</f>
        <v/>
      </c>
      <c r="V1596" t="n">
        <v>3.073704346542171</v>
      </c>
      <c r="W1596" s="5">
        <f>R1596-V1596</f>
        <v/>
      </c>
    </row>
    <row r="1597">
      <c r="A1597" s="3" t="n">
        <v>40785</v>
      </c>
      <c r="B1597">
        <f>Prices!B1597</f>
        <v/>
      </c>
      <c r="C1597">
        <f>Prices!C1597</f>
        <v/>
      </c>
      <c r="D1597">
        <f>Prices!D1597</f>
        <v/>
      </c>
      <c r="E1597">
        <f>Prices!E1597</f>
        <v/>
      </c>
      <c r="F1597">
        <f>Prices!F1597</f>
        <v/>
      </c>
      <c r="G1597">
        <f>IF(AND(1595&gt;=16,TEXT(A1597,"yyyy-mm")&lt;&gt;TEXT(A1598,"yyyy-mm")),1,0)</f>
        <v/>
      </c>
      <c r="H1597">
        <f>IF(OR(H1596=1,G1597=1),1,0)</f>
        <v/>
      </c>
      <c r="I1597">
        <f>IF(H1596=0,1,SUMPRODUCT(J1596:N1596,B1597:F1597)+O1596*(1+0.00023125256064071564))</f>
        <v/>
      </c>
      <c r="J1597">
        <f>IF(G1597=1,0.2*R1597/B1597,J1596)</f>
        <v/>
      </c>
      <c r="K1597">
        <f>IF(G1597=1,0.2*R1597/C1597,K1596)</f>
        <v/>
      </c>
      <c r="L1597">
        <f>IF(G1597=1,0.2*R1597/D1597,L1596)</f>
        <v/>
      </c>
      <c r="M1597">
        <f>IF(G1597=1,0.2*R1597/E1597,M1596)</f>
        <v/>
      </c>
      <c r="N1597">
        <f>IF(G1597=1,0.2*R1597/F1597,N1596)</f>
        <v/>
      </c>
      <c r="O1597">
        <f>IF(G1597=1,R1597*(1-1.0),IF(H1596=0,1,O1596*(1+0.00023125256064071564)))</f>
        <v/>
      </c>
      <c r="P1597">
        <f>IF(G1597=1,IF(H1596=0,1,ABS(0.2-J1596*B1597/I1597)+ABS(0.2-K1596*C1597/I1597)+ABS(0.2-L1596*D1597/I1597)+ABS(0.2-M1596*E1597/I1597)+ABS(0.2-N1596*F1597/I1597)),0)</f>
        <v/>
      </c>
      <c r="Q1597">
        <f>P1597*0.0015</f>
        <v/>
      </c>
      <c r="R1597">
        <f>I1597*(1-Q1597)</f>
        <v/>
      </c>
      <c r="S1597">
        <f>R1597/R1596-1</f>
        <v/>
      </c>
      <c r="T1597">
        <f>MAX(T1596,R1597)</f>
        <v/>
      </c>
      <c r="U1597">
        <f>R1597/T1597-1</f>
        <v/>
      </c>
      <c r="V1597" t="n">
        <v>3.116941218218962</v>
      </c>
      <c r="W1597" s="5">
        <f>R1597-V1597</f>
        <v/>
      </c>
    </row>
    <row r="1598">
      <c r="A1598" s="3" t="n">
        <v>40788</v>
      </c>
      <c r="B1598">
        <f>Prices!B1598</f>
        <v/>
      </c>
      <c r="C1598">
        <f>Prices!C1598</f>
        <v/>
      </c>
      <c r="D1598">
        <f>Prices!D1598</f>
        <v/>
      </c>
      <c r="E1598">
        <f>Prices!E1598</f>
        <v/>
      </c>
      <c r="F1598">
        <f>Prices!F1598</f>
        <v/>
      </c>
      <c r="G1598">
        <f>IF(AND(1596&gt;=16,TEXT(A1598,"yyyy-mm")&lt;&gt;TEXT(A1599,"yyyy-mm")),1,0)</f>
        <v/>
      </c>
      <c r="H1598">
        <f>IF(OR(H1597=1,G1598=1),1,0)</f>
        <v/>
      </c>
      <c r="I1598">
        <f>IF(H1597=0,1,SUMPRODUCT(J1597:N1597,B1598:F1598)+O1597*(1+0.00023125256064071564))</f>
        <v/>
      </c>
      <c r="J1598">
        <f>IF(G1598=1,0.2*R1598/B1598,J1597)</f>
        <v/>
      </c>
      <c r="K1598">
        <f>IF(G1598=1,0.2*R1598/C1598,K1597)</f>
        <v/>
      </c>
      <c r="L1598">
        <f>IF(G1598=1,0.2*R1598/D1598,L1597)</f>
        <v/>
      </c>
      <c r="M1598">
        <f>IF(G1598=1,0.2*R1598/E1598,M1597)</f>
        <v/>
      </c>
      <c r="N1598">
        <f>IF(G1598=1,0.2*R1598/F1598,N1597)</f>
        <v/>
      </c>
      <c r="O1598">
        <f>IF(G1598=1,R1598*(1-1.0),IF(H1597=0,1,O1597*(1+0.00023125256064071564)))</f>
        <v/>
      </c>
      <c r="P1598">
        <f>IF(G1598=1,IF(H1597=0,1,ABS(0.2-J1597*B1598/I1598)+ABS(0.2-K1597*C1598/I1598)+ABS(0.2-L1597*D1598/I1598)+ABS(0.2-M1597*E1598/I1598)+ABS(0.2-N1597*F1598/I1598)),0)</f>
        <v/>
      </c>
      <c r="Q1598">
        <f>P1598*0.0015</f>
        <v/>
      </c>
      <c r="R1598">
        <f>I1598*(1-Q1598)</f>
        <v/>
      </c>
      <c r="S1598">
        <f>R1598/R1597-1</f>
        <v/>
      </c>
      <c r="T1598">
        <f>MAX(T1597,R1598)</f>
        <v/>
      </c>
      <c r="U1598">
        <f>R1598/T1598-1</f>
        <v/>
      </c>
      <c r="V1598" t="n">
        <v>3.143244590608327</v>
      </c>
      <c r="W1598" s="5">
        <f>R1598-V1598</f>
        <v/>
      </c>
    </row>
    <row r="1599">
      <c r="A1599" s="3" t="n">
        <v>40791</v>
      </c>
      <c r="B1599">
        <f>Prices!B1599</f>
        <v/>
      </c>
      <c r="C1599">
        <f>Prices!C1599</f>
        <v/>
      </c>
      <c r="D1599">
        <f>Prices!D1599</f>
        <v/>
      </c>
      <c r="E1599">
        <f>Prices!E1599</f>
        <v/>
      </c>
      <c r="F1599">
        <f>Prices!F1599</f>
        <v/>
      </c>
      <c r="G1599">
        <f>IF(AND(1597&gt;=16,TEXT(A1599,"yyyy-mm")&lt;&gt;TEXT(A1600,"yyyy-mm")),1,0)</f>
        <v/>
      </c>
      <c r="H1599">
        <f>IF(OR(H1598=1,G1599=1),1,0)</f>
        <v/>
      </c>
      <c r="I1599">
        <f>IF(H1598=0,1,SUMPRODUCT(J1598:N1598,B1599:F1599)+O1598*(1+0.00023125256064071564))</f>
        <v/>
      </c>
      <c r="J1599">
        <f>IF(G1599=1,0.2*R1599/B1599,J1598)</f>
        <v/>
      </c>
      <c r="K1599">
        <f>IF(G1599=1,0.2*R1599/C1599,K1598)</f>
        <v/>
      </c>
      <c r="L1599">
        <f>IF(G1599=1,0.2*R1599/D1599,L1598)</f>
        <v/>
      </c>
      <c r="M1599">
        <f>IF(G1599=1,0.2*R1599/E1599,M1598)</f>
        <v/>
      </c>
      <c r="N1599">
        <f>IF(G1599=1,0.2*R1599/F1599,N1598)</f>
        <v/>
      </c>
      <c r="O1599">
        <f>IF(G1599=1,R1599*(1-1.0),IF(H1598=0,1,O1598*(1+0.00023125256064071564)))</f>
        <v/>
      </c>
      <c r="P1599">
        <f>IF(G1599=1,IF(H1598=0,1,ABS(0.2-J1598*B1599/I1599)+ABS(0.2-K1598*C1599/I1599)+ABS(0.2-L1598*D1599/I1599)+ABS(0.2-M1598*E1599/I1599)+ABS(0.2-N1598*F1599/I1599)),0)</f>
        <v/>
      </c>
      <c r="Q1599">
        <f>P1599*0.0015</f>
        <v/>
      </c>
      <c r="R1599">
        <f>I1599*(1-Q1599)</f>
        <v/>
      </c>
      <c r="S1599">
        <f>R1599/R1598-1</f>
        <v/>
      </c>
      <c r="T1599">
        <f>MAX(T1598,R1599)</f>
        <v/>
      </c>
      <c r="U1599">
        <f>R1599/T1599-1</f>
        <v/>
      </c>
      <c r="V1599" t="n">
        <v>3.156433199773649</v>
      </c>
      <c r="W1599" s="5">
        <f>R1599-V1599</f>
        <v/>
      </c>
    </row>
    <row r="1600">
      <c r="A1600" s="3" t="n">
        <v>40792</v>
      </c>
      <c r="B1600">
        <f>Prices!B1600</f>
        <v/>
      </c>
      <c r="C1600">
        <f>Prices!C1600</f>
        <v/>
      </c>
      <c r="D1600">
        <f>Prices!D1600</f>
        <v/>
      </c>
      <c r="E1600">
        <f>Prices!E1600</f>
        <v/>
      </c>
      <c r="F1600">
        <f>Prices!F1600</f>
        <v/>
      </c>
      <c r="G1600">
        <f>IF(AND(1598&gt;=16,TEXT(A1600,"yyyy-mm")&lt;&gt;TEXT(A1601,"yyyy-mm")),1,0)</f>
        <v/>
      </c>
      <c r="H1600">
        <f>IF(OR(H1599=1,G1600=1),1,0)</f>
        <v/>
      </c>
      <c r="I1600">
        <f>IF(H1599=0,1,SUMPRODUCT(J1599:N1599,B1600:F1600)+O1599*(1+0.00023125256064071564))</f>
        <v/>
      </c>
      <c r="J1600">
        <f>IF(G1600=1,0.2*R1600/B1600,J1599)</f>
        <v/>
      </c>
      <c r="K1600">
        <f>IF(G1600=1,0.2*R1600/C1600,K1599)</f>
        <v/>
      </c>
      <c r="L1600">
        <f>IF(G1600=1,0.2*R1600/D1600,L1599)</f>
        <v/>
      </c>
      <c r="M1600">
        <f>IF(G1600=1,0.2*R1600/E1600,M1599)</f>
        <v/>
      </c>
      <c r="N1600">
        <f>IF(G1600=1,0.2*R1600/F1600,N1599)</f>
        <v/>
      </c>
      <c r="O1600">
        <f>IF(G1600=1,R1600*(1-1.0),IF(H1599=0,1,O1599*(1+0.00023125256064071564)))</f>
        <v/>
      </c>
      <c r="P1600">
        <f>IF(G1600=1,IF(H1599=0,1,ABS(0.2-J1599*B1600/I1600)+ABS(0.2-K1599*C1600/I1600)+ABS(0.2-L1599*D1600/I1600)+ABS(0.2-M1599*E1600/I1600)+ABS(0.2-N1599*F1600/I1600)),0)</f>
        <v/>
      </c>
      <c r="Q1600">
        <f>P1600*0.0015</f>
        <v/>
      </c>
      <c r="R1600">
        <f>I1600*(1-Q1600)</f>
        <v/>
      </c>
      <c r="S1600">
        <f>R1600/R1599-1</f>
        <v/>
      </c>
      <c r="T1600">
        <f>MAX(T1599,R1600)</f>
        <v/>
      </c>
      <c r="U1600">
        <f>R1600/T1600-1</f>
        <v/>
      </c>
      <c r="V1600" t="n">
        <v>3.168766412374658</v>
      </c>
      <c r="W1600" s="5">
        <f>R1600-V1600</f>
        <v/>
      </c>
    </row>
    <row r="1601">
      <c r="A1601" s="3" t="n">
        <v>40793</v>
      </c>
      <c r="B1601">
        <f>Prices!B1601</f>
        <v/>
      </c>
      <c r="C1601">
        <f>Prices!C1601</f>
        <v/>
      </c>
      <c r="D1601">
        <f>Prices!D1601</f>
        <v/>
      </c>
      <c r="E1601">
        <f>Prices!E1601</f>
        <v/>
      </c>
      <c r="F1601">
        <f>Prices!F1601</f>
        <v/>
      </c>
      <c r="G1601">
        <f>IF(AND(1599&gt;=16,TEXT(A1601,"yyyy-mm")&lt;&gt;TEXT(A1602,"yyyy-mm")),1,0)</f>
        <v/>
      </c>
      <c r="H1601">
        <f>IF(OR(H1600=1,G1601=1),1,0)</f>
        <v/>
      </c>
      <c r="I1601">
        <f>IF(H1600=0,1,SUMPRODUCT(J1600:N1600,B1601:F1601)+O1600*(1+0.00023125256064071564))</f>
        <v/>
      </c>
      <c r="J1601">
        <f>IF(G1601=1,0.2*R1601/B1601,J1600)</f>
        <v/>
      </c>
      <c r="K1601">
        <f>IF(G1601=1,0.2*R1601/C1601,K1600)</f>
        <v/>
      </c>
      <c r="L1601">
        <f>IF(G1601=1,0.2*R1601/D1601,L1600)</f>
        <v/>
      </c>
      <c r="M1601">
        <f>IF(G1601=1,0.2*R1601/E1601,M1600)</f>
        <v/>
      </c>
      <c r="N1601">
        <f>IF(G1601=1,0.2*R1601/F1601,N1600)</f>
        <v/>
      </c>
      <c r="O1601">
        <f>IF(G1601=1,R1601*(1-1.0),IF(H1600=0,1,O1600*(1+0.00023125256064071564)))</f>
        <v/>
      </c>
      <c r="P1601">
        <f>IF(G1601=1,IF(H1600=0,1,ABS(0.2-J1600*B1601/I1601)+ABS(0.2-K1600*C1601/I1601)+ABS(0.2-L1600*D1601/I1601)+ABS(0.2-M1600*E1601/I1601)+ABS(0.2-N1600*F1601/I1601)),0)</f>
        <v/>
      </c>
      <c r="Q1601">
        <f>P1601*0.0015</f>
        <v/>
      </c>
      <c r="R1601">
        <f>I1601*(1-Q1601)</f>
        <v/>
      </c>
      <c r="S1601">
        <f>R1601/R1600-1</f>
        <v/>
      </c>
      <c r="T1601">
        <f>MAX(T1600,R1601)</f>
        <v/>
      </c>
      <c r="U1601">
        <f>R1601/T1601-1</f>
        <v/>
      </c>
      <c r="V1601" t="n">
        <v>3.203105208763856</v>
      </c>
      <c r="W1601" s="5">
        <f>R1601-V1601</f>
        <v/>
      </c>
    </row>
    <row r="1602">
      <c r="A1602" s="3" t="n">
        <v>40794</v>
      </c>
      <c r="B1602">
        <f>Prices!B1602</f>
        <v/>
      </c>
      <c r="C1602">
        <f>Prices!C1602</f>
        <v/>
      </c>
      <c r="D1602">
        <f>Prices!D1602</f>
        <v/>
      </c>
      <c r="E1602">
        <f>Prices!E1602</f>
        <v/>
      </c>
      <c r="F1602">
        <f>Prices!F1602</f>
        <v/>
      </c>
      <c r="G1602">
        <f>IF(AND(1600&gt;=16,TEXT(A1602,"yyyy-mm")&lt;&gt;TEXT(A1603,"yyyy-mm")),1,0)</f>
        <v/>
      </c>
      <c r="H1602">
        <f>IF(OR(H1601=1,G1602=1),1,0)</f>
        <v/>
      </c>
      <c r="I1602">
        <f>IF(H1601=0,1,SUMPRODUCT(J1601:N1601,B1602:F1602)+O1601*(1+0.00023125256064071564))</f>
        <v/>
      </c>
      <c r="J1602">
        <f>IF(G1602=1,0.2*R1602/B1602,J1601)</f>
        <v/>
      </c>
      <c r="K1602">
        <f>IF(G1602=1,0.2*R1602/C1602,K1601)</f>
        <v/>
      </c>
      <c r="L1602">
        <f>IF(G1602=1,0.2*R1602/D1602,L1601)</f>
        <v/>
      </c>
      <c r="M1602">
        <f>IF(G1602=1,0.2*R1602/E1602,M1601)</f>
        <v/>
      </c>
      <c r="N1602">
        <f>IF(G1602=1,0.2*R1602/F1602,N1601)</f>
        <v/>
      </c>
      <c r="O1602">
        <f>IF(G1602=1,R1602*(1-1.0),IF(H1601=0,1,O1601*(1+0.00023125256064071564)))</f>
        <v/>
      </c>
      <c r="P1602">
        <f>IF(G1602=1,IF(H1601=0,1,ABS(0.2-J1601*B1602/I1602)+ABS(0.2-K1601*C1602/I1602)+ABS(0.2-L1601*D1602/I1602)+ABS(0.2-M1601*E1602/I1602)+ABS(0.2-N1601*F1602/I1602)),0)</f>
        <v/>
      </c>
      <c r="Q1602">
        <f>P1602*0.0015</f>
        <v/>
      </c>
      <c r="R1602">
        <f>I1602*(1-Q1602)</f>
        <v/>
      </c>
      <c r="S1602">
        <f>R1602/R1601-1</f>
        <v/>
      </c>
      <c r="T1602">
        <f>MAX(T1601,R1602)</f>
        <v/>
      </c>
      <c r="U1602">
        <f>R1602/T1602-1</f>
        <v/>
      </c>
      <c r="V1602" t="n">
        <v>3.212354436257133</v>
      </c>
      <c r="W1602" s="5">
        <f>R1602-V1602</f>
        <v/>
      </c>
    </row>
    <row r="1603">
      <c r="A1603" s="3" t="n">
        <v>40795</v>
      </c>
      <c r="B1603">
        <f>Prices!B1603</f>
        <v/>
      </c>
      <c r="C1603">
        <f>Prices!C1603</f>
        <v/>
      </c>
      <c r="D1603">
        <f>Prices!D1603</f>
        <v/>
      </c>
      <c r="E1603">
        <f>Prices!E1603</f>
        <v/>
      </c>
      <c r="F1603">
        <f>Prices!F1603</f>
        <v/>
      </c>
      <c r="G1603">
        <f>IF(AND(1601&gt;=16,TEXT(A1603,"yyyy-mm")&lt;&gt;TEXT(A1604,"yyyy-mm")),1,0)</f>
        <v/>
      </c>
      <c r="H1603">
        <f>IF(OR(H1602=1,G1603=1),1,0)</f>
        <v/>
      </c>
      <c r="I1603">
        <f>IF(H1602=0,1,SUMPRODUCT(J1602:N1602,B1603:F1603)+O1602*(1+0.00023125256064071564))</f>
        <v/>
      </c>
      <c r="J1603">
        <f>IF(G1603=1,0.2*R1603/B1603,J1602)</f>
        <v/>
      </c>
      <c r="K1603">
        <f>IF(G1603=1,0.2*R1603/C1603,K1602)</f>
        <v/>
      </c>
      <c r="L1603">
        <f>IF(G1603=1,0.2*R1603/D1603,L1602)</f>
        <v/>
      </c>
      <c r="M1603">
        <f>IF(G1603=1,0.2*R1603/E1603,M1602)</f>
        <v/>
      </c>
      <c r="N1603">
        <f>IF(G1603=1,0.2*R1603/F1603,N1602)</f>
        <v/>
      </c>
      <c r="O1603">
        <f>IF(G1603=1,R1603*(1-1.0),IF(H1602=0,1,O1602*(1+0.00023125256064071564)))</f>
        <v/>
      </c>
      <c r="P1603">
        <f>IF(G1603=1,IF(H1602=0,1,ABS(0.2-J1602*B1603/I1603)+ABS(0.2-K1602*C1603/I1603)+ABS(0.2-L1602*D1603/I1603)+ABS(0.2-M1602*E1603/I1603)+ABS(0.2-N1602*F1603/I1603)),0)</f>
        <v/>
      </c>
      <c r="Q1603">
        <f>P1603*0.0015</f>
        <v/>
      </c>
      <c r="R1603">
        <f>I1603*(1-Q1603)</f>
        <v/>
      </c>
      <c r="S1603">
        <f>R1603/R1602-1</f>
        <v/>
      </c>
      <c r="T1603">
        <f>MAX(T1602,R1603)</f>
        <v/>
      </c>
      <c r="U1603">
        <f>R1603/T1603-1</f>
        <v/>
      </c>
      <c r="V1603" t="n">
        <v>3.183976795748836</v>
      </c>
      <c r="W1603" s="5">
        <f>R1603-V1603</f>
        <v/>
      </c>
    </row>
    <row r="1604">
      <c r="A1604" s="3" t="n">
        <v>40798</v>
      </c>
      <c r="B1604">
        <f>Prices!B1604</f>
        <v/>
      </c>
      <c r="C1604">
        <f>Prices!C1604</f>
        <v/>
      </c>
      <c r="D1604">
        <f>Prices!D1604</f>
        <v/>
      </c>
      <c r="E1604">
        <f>Prices!E1604</f>
        <v/>
      </c>
      <c r="F1604">
        <f>Prices!F1604</f>
        <v/>
      </c>
      <c r="G1604">
        <f>IF(AND(1602&gt;=16,TEXT(A1604,"yyyy-mm")&lt;&gt;TEXT(A1605,"yyyy-mm")),1,0)</f>
        <v/>
      </c>
      <c r="H1604">
        <f>IF(OR(H1603=1,G1604=1),1,0)</f>
        <v/>
      </c>
      <c r="I1604">
        <f>IF(H1603=0,1,SUMPRODUCT(J1603:N1603,B1604:F1604)+O1603*(1+0.00023125256064071564))</f>
        <v/>
      </c>
      <c r="J1604">
        <f>IF(G1604=1,0.2*R1604/B1604,J1603)</f>
        <v/>
      </c>
      <c r="K1604">
        <f>IF(G1604=1,0.2*R1604/C1604,K1603)</f>
        <v/>
      </c>
      <c r="L1604">
        <f>IF(G1604=1,0.2*R1604/D1604,L1603)</f>
        <v/>
      </c>
      <c r="M1604">
        <f>IF(G1604=1,0.2*R1604/E1604,M1603)</f>
        <v/>
      </c>
      <c r="N1604">
        <f>IF(G1604=1,0.2*R1604/F1604,N1603)</f>
        <v/>
      </c>
      <c r="O1604">
        <f>IF(G1604=1,R1604*(1-1.0),IF(H1603=0,1,O1603*(1+0.00023125256064071564)))</f>
        <v/>
      </c>
      <c r="P1604">
        <f>IF(G1604=1,IF(H1603=0,1,ABS(0.2-J1603*B1604/I1604)+ABS(0.2-K1603*C1604/I1604)+ABS(0.2-L1603*D1604/I1604)+ABS(0.2-M1603*E1604/I1604)+ABS(0.2-N1603*F1604/I1604)),0)</f>
        <v/>
      </c>
      <c r="Q1604">
        <f>P1604*0.0015</f>
        <v/>
      </c>
      <c r="R1604">
        <f>I1604*(1-Q1604)</f>
        <v/>
      </c>
      <c r="S1604">
        <f>R1604/R1603-1</f>
        <v/>
      </c>
      <c r="T1604">
        <f>MAX(T1603,R1604)</f>
        <v/>
      </c>
      <c r="U1604">
        <f>R1604/T1604-1</f>
        <v/>
      </c>
      <c r="V1604" t="n">
        <v>3.120807635789561</v>
      </c>
      <c r="W1604" s="5">
        <f>R1604-V1604</f>
        <v/>
      </c>
    </row>
    <row r="1605">
      <c r="A1605" s="3" t="n">
        <v>40799</v>
      </c>
      <c r="B1605">
        <f>Prices!B1605</f>
        <v/>
      </c>
      <c r="C1605">
        <f>Prices!C1605</f>
        <v/>
      </c>
      <c r="D1605">
        <f>Prices!D1605</f>
        <v/>
      </c>
      <c r="E1605">
        <f>Prices!E1605</f>
        <v/>
      </c>
      <c r="F1605">
        <f>Prices!F1605</f>
        <v/>
      </c>
      <c r="G1605">
        <f>IF(AND(1603&gt;=16,TEXT(A1605,"yyyy-mm")&lt;&gt;TEXT(A1606,"yyyy-mm")),1,0)</f>
        <v/>
      </c>
      <c r="H1605">
        <f>IF(OR(H1604=1,G1605=1),1,0)</f>
        <v/>
      </c>
      <c r="I1605">
        <f>IF(H1604=0,1,SUMPRODUCT(J1604:N1604,B1605:F1605)+O1604*(1+0.00023125256064071564))</f>
        <v/>
      </c>
      <c r="J1605">
        <f>IF(G1605=1,0.2*R1605/B1605,J1604)</f>
        <v/>
      </c>
      <c r="K1605">
        <f>IF(G1605=1,0.2*R1605/C1605,K1604)</f>
        <v/>
      </c>
      <c r="L1605">
        <f>IF(G1605=1,0.2*R1605/D1605,L1604)</f>
        <v/>
      </c>
      <c r="M1605">
        <f>IF(G1605=1,0.2*R1605/E1605,M1604)</f>
        <v/>
      </c>
      <c r="N1605">
        <f>IF(G1605=1,0.2*R1605/F1605,N1604)</f>
        <v/>
      </c>
      <c r="O1605">
        <f>IF(G1605=1,R1605*(1-1.0),IF(H1604=0,1,O1604*(1+0.00023125256064071564)))</f>
        <v/>
      </c>
      <c r="P1605">
        <f>IF(G1605=1,IF(H1604=0,1,ABS(0.2-J1604*B1605/I1605)+ABS(0.2-K1604*C1605/I1605)+ABS(0.2-L1604*D1605/I1605)+ABS(0.2-M1604*E1605/I1605)+ABS(0.2-N1604*F1605/I1605)),0)</f>
        <v/>
      </c>
      <c r="Q1605">
        <f>P1605*0.0015</f>
        <v/>
      </c>
      <c r="R1605">
        <f>I1605*(1-Q1605)</f>
        <v/>
      </c>
      <c r="S1605">
        <f>R1605/R1604-1</f>
        <v/>
      </c>
      <c r="T1605">
        <f>MAX(T1604,R1605)</f>
        <v/>
      </c>
      <c r="U1605">
        <f>R1605/T1605-1</f>
        <v/>
      </c>
      <c r="V1605" t="n">
        <v>3.118795542849203</v>
      </c>
      <c r="W1605" s="5">
        <f>R1605-V1605</f>
        <v/>
      </c>
    </row>
    <row r="1606">
      <c r="A1606" s="3" t="n">
        <v>40800</v>
      </c>
      <c r="B1606">
        <f>Prices!B1606</f>
        <v/>
      </c>
      <c r="C1606">
        <f>Prices!C1606</f>
        <v/>
      </c>
      <c r="D1606">
        <f>Prices!D1606</f>
        <v/>
      </c>
      <c r="E1606">
        <f>Prices!E1606</f>
        <v/>
      </c>
      <c r="F1606">
        <f>Prices!F1606</f>
        <v/>
      </c>
      <c r="G1606">
        <f>IF(AND(1604&gt;=16,TEXT(A1606,"yyyy-mm")&lt;&gt;TEXT(A1607,"yyyy-mm")),1,0)</f>
        <v/>
      </c>
      <c r="H1606">
        <f>IF(OR(H1605=1,G1606=1),1,0)</f>
        <v/>
      </c>
      <c r="I1606">
        <f>IF(H1605=0,1,SUMPRODUCT(J1605:N1605,B1606:F1606)+O1605*(1+0.00023125256064071564))</f>
        <v/>
      </c>
      <c r="J1606">
        <f>IF(G1606=1,0.2*R1606/B1606,J1605)</f>
        <v/>
      </c>
      <c r="K1606">
        <f>IF(G1606=1,0.2*R1606/C1606,K1605)</f>
        <v/>
      </c>
      <c r="L1606">
        <f>IF(G1606=1,0.2*R1606/D1606,L1605)</f>
        <v/>
      </c>
      <c r="M1606">
        <f>IF(G1606=1,0.2*R1606/E1606,M1605)</f>
        <v/>
      </c>
      <c r="N1606">
        <f>IF(G1606=1,0.2*R1606/F1606,N1605)</f>
        <v/>
      </c>
      <c r="O1606">
        <f>IF(G1606=1,R1606*(1-1.0),IF(H1605=0,1,O1605*(1+0.00023125256064071564)))</f>
        <v/>
      </c>
      <c r="P1606">
        <f>IF(G1606=1,IF(H1605=0,1,ABS(0.2-J1605*B1606/I1606)+ABS(0.2-K1605*C1606/I1606)+ABS(0.2-L1605*D1606/I1606)+ABS(0.2-M1605*E1606/I1606)+ABS(0.2-N1605*F1606/I1606)),0)</f>
        <v/>
      </c>
      <c r="Q1606">
        <f>P1606*0.0015</f>
        <v/>
      </c>
      <c r="R1606">
        <f>I1606*(1-Q1606)</f>
        <v/>
      </c>
      <c r="S1606">
        <f>R1606/R1605-1</f>
        <v/>
      </c>
      <c r="T1606">
        <f>MAX(T1605,R1606)</f>
        <v/>
      </c>
      <c r="U1606">
        <f>R1606/T1606-1</f>
        <v/>
      </c>
      <c r="V1606" t="n">
        <v>3.140547721821457</v>
      </c>
      <c r="W1606" s="5">
        <f>R1606-V1606</f>
        <v/>
      </c>
    </row>
    <row r="1607">
      <c r="A1607" s="3" t="n">
        <v>40801</v>
      </c>
      <c r="B1607">
        <f>Prices!B1607</f>
        <v/>
      </c>
      <c r="C1607">
        <f>Prices!C1607</f>
        <v/>
      </c>
      <c r="D1607">
        <f>Prices!D1607</f>
        <v/>
      </c>
      <c r="E1607">
        <f>Prices!E1607</f>
        <v/>
      </c>
      <c r="F1607">
        <f>Prices!F1607</f>
        <v/>
      </c>
      <c r="G1607">
        <f>IF(AND(1605&gt;=16,TEXT(A1607,"yyyy-mm")&lt;&gt;TEXT(A1608,"yyyy-mm")),1,0)</f>
        <v/>
      </c>
      <c r="H1607">
        <f>IF(OR(H1606=1,G1607=1),1,0)</f>
        <v/>
      </c>
      <c r="I1607">
        <f>IF(H1606=0,1,SUMPRODUCT(J1606:N1606,B1607:F1607)+O1606*(1+0.00023125256064071564))</f>
        <v/>
      </c>
      <c r="J1607">
        <f>IF(G1607=1,0.2*R1607/B1607,J1606)</f>
        <v/>
      </c>
      <c r="K1607">
        <f>IF(G1607=1,0.2*R1607/C1607,K1606)</f>
        <v/>
      </c>
      <c r="L1607">
        <f>IF(G1607=1,0.2*R1607/D1607,L1606)</f>
        <v/>
      </c>
      <c r="M1607">
        <f>IF(G1607=1,0.2*R1607/E1607,M1606)</f>
        <v/>
      </c>
      <c r="N1607">
        <f>IF(G1607=1,0.2*R1607/F1607,N1606)</f>
        <v/>
      </c>
      <c r="O1607">
        <f>IF(G1607=1,R1607*(1-1.0),IF(H1606=0,1,O1606*(1+0.00023125256064071564)))</f>
        <v/>
      </c>
      <c r="P1607">
        <f>IF(G1607=1,IF(H1606=0,1,ABS(0.2-J1606*B1607/I1607)+ABS(0.2-K1606*C1607/I1607)+ABS(0.2-L1606*D1607/I1607)+ABS(0.2-M1606*E1607/I1607)+ABS(0.2-N1606*F1607/I1607)),0)</f>
        <v/>
      </c>
      <c r="Q1607">
        <f>P1607*0.0015</f>
        <v/>
      </c>
      <c r="R1607">
        <f>I1607*(1-Q1607)</f>
        <v/>
      </c>
      <c r="S1607">
        <f>R1607/R1606-1</f>
        <v/>
      </c>
      <c r="T1607">
        <f>MAX(T1606,R1607)</f>
        <v/>
      </c>
      <c r="U1607">
        <f>R1607/T1607-1</f>
        <v/>
      </c>
      <c r="V1607" t="n">
        <v>3.169778524127758</v>
      </c>
      <c r="W1607" s="5">
        <f>R1607-V1607</f>
        <v/>
      </c>
    </row>
    <row r="1608">
      <c r="A1608" s="3" t="n">
        <v>40802</v>
      </c>
      <c r="B1608">
        <f>Prices!B1608</f>
        <v/>
      </c>
      <c r="C1608">
        <f>Prices!C1608</f>
        <v/>
      </c>
      <c r="D1608">
        <f>Prices!D1608</f>
        <v/>
      </c>
      <c r="E1608">
        <f>Prices!E1608</f>
        <v/>
      </c>
      <c r="F1608">
        <f>Prices!F1608</f>
        <v/>
      </c>
      <c r="G1608">
        <f>IF(AND(1606&gt;=16,TEXT(A1608,"yyyy-mm")&lt;&gt;TEXT(A1609,"yyyy-mm")),1,0)</f>
        <v/>
      </c>
      <c r="H1608">
        <f>IF(OR(H1607=1,G1608=1),1,0)</f>
        <v/>
      </c>
      <c r="I1608">
        <f>IF(H1607=0,1,SUMPRODUCT(J1607:N1607,B1608:F1608)+O1607*(1+0.00023125256064071564))</f>
        <v/>
      </c>
      <c r="J1608">
        <f>IF(G1608=1,0.2*R1608/B1608,J1607)</f>
        <v/>
      </c>
      <c r="K1608">
        <f>IF(G1608=1,0.2*R1608/C1608,K1607)</f>
        <v/>
      </c>
      <c r="L1608">
        <f>IF(G1608=1,0.2*R1608/D1608,L1607)</f>
        <v/>
      </c>
      <c r="M1608">
        <f>IF(G1608=1,0.2*R1608/E1608,M1607)</f>
        <v/>
      </c>
      <c r="N1608">
        <f>IF(G1608=1,0.2*R1608/F1608,N1607)</f>
        <v/>
      </c>
      <c r="O1608">
        <f>IF(G1608=1,R1608*(1-1.0),IF(H1607=0,1,O1607*(1+0.00023125256064071564)))</f>
        <v/>
      </c>
      <c r="P1608">
        <f>IF(G1608=1,IF(H1607=0,1,ABS(0.2-J1607*B1608/I1608)+ABS(0.2-K1607*C1608/I1608)+ABS(0.2-L1607*D1608/I1608)+ABS(0.2-M1607*E1608/I1608)+ABS(0.2-N1607*F1608/I1608)),0)</f>
        <v/>
      </c>
      <c r="Q1608">
        <f>P1608*0.0015</f>
        <v/>
      </c>
      <c r="R1608">
        <f>I1608*(1-Q1608)</f>
        <v/>
      </c>
      <c r="S1608">
        <f>R1608/R1607-1</f>
        <v/>
      </c>
      <c r="T1608">
        <f>MAX(T1607,R1608)</f>
        <v/>
      </c>
      <c r="U1608">
        <f>R1608/T1608-1</f>
        <v/>
      </c>
      <c r="V1608" t="n">
        <v>3.168885654817258</v>
      </c>
      <c r="W1608" s="5">
        <f>R1608-V1608</f>
        <v/>
      </c>
    </row>
    <row r="1609">
      <c r="A1609" s="3" t="n">
        <v>40805</v>
      </c>
      <c r="B1609">
        <f>Prices!B1609</f>
        <v/>
      </c>
      <c r="C1609">
        <f>Prices!C1609</f>
        <v/>
      </c>
      <c r="D1609">
        <f>Prices!D1609</f>
        <v/>
      </c>
      <c r="E1609">
        <f>Prices!E1609</f>
        <v/>
      </c>
      <c r="F1609">
        <f>Prices!F1609</f>
        <v/>
      </c>
      <c r="G1609">
        <f>IF(AND(1607&gt;=16,TEXT(A1609,"yyyy-mm")&lt;&gt;TEXT(A1610,"yyyy-mm")),1,0)</f>
        <v/>
      </c>
      <c r="H1609">
        <f>IF(OR(H1608=1,G1609=1),1,0)</f>
        <v/>
      </c>
      <c r="I1609">
        <f>IF(H1608=0,1,SUMPRODUCT(J1608:N1608,B1609:F1609)+O1608*(1+0.00023125256064071564))</f>
        <v/>
      </c>
      <c r="J1609">
        <f>IF(G1609=1,0.2*R1609/B1609,J1608)</f>
        <v/>
      </c>
      <c r="K1609">
        <f>IF(G1609=1,0.2*R1609/C1609,K1608)</f>
        <v/>
      </c>
      <c r="L1609">
        <f>IF(G1609=1,0.2*R1609/D1609,L1608)</f>
        <v/>
      </c>
      <c r="M1609">
        <f>IF(G1609=1,0.2*R1609/E1609,M1608)</f>
        <v/>
      </c>
      <c r="N1609">
        <f>IF(G1609=1,0.2*R1609/F1609,N1608)</f>
        <v/>
      </c>
      <c r="O1609">
        <f>IF(G1609=1,R1609*(1-1.0),IF(H1608=0,1,O1608*(1+0.00023125256064071564)))</f>
        <v/>
      </c>
      <c r="P1609">
        <f>IF(G1609=1,IF(H1608=0,1,ABS(0.2-J1608*B1609/I1609)+ABS(0.2-K1608*C1609/I1609)+ABS(0.2-L1608*D1609/I1609)+ABS(0.2-M1608*E1609/I1609)+ABS(0.2-N1608*F1609/I1609)),0)</f>
        <v/>
      </c>
      <c r="Q1609">
        <f>P1609*0.0015</f>
        <v/>
      </c>
      <c r="R1609">
        <f>I1609*(1-Q1609)</f>
        <v/>
      </c>
      <c r="S1609">
        <f>R1609/R1608-1</f>
        <v/>
      </c>
      <c r="T1609">
        <f>MAX(T1608,R1609)</f>
        <v/>
      </c>
      <c r="U1609">
        <f>R1609/T1609-1</f>
        <v/>
      </c>
      <c r="V1609" t="n">
        <v>3.154065515945307</v>
      </c>
      <c r="W1609" s="5">
        <f>R1609-V1609</f>
        <v/>
      </c>
    </row>
    <row r="1610">
      <c r="A1610" s="3" t="n">
        <v>40806</v>
      </c>
      <c r="B1610">
        <f>Prices!B1610</f>
        <v/>
      </c>
      <c r="C1610">
        <f>Prices!C1610</f>
        <v/>
      </c>
      <c r="D1610">
        <f>Prices!D1610</f>
        <v/>
      </c>
      <c r="E1610">
        <f>Prices!E1610</f>
        <v/>
      </c>
      <c r="F1610">
        <f>Prices!F1610</f>
        <v/>
      </c>
      <c r="G1610">
        <f>IF(AND(1608&gt;=16,TEXT(A1610,"yyyy-mm")&lt;&gt;TEXT(A1611,"yyyy-mm")),1,0)</f>
        <v/>
      </c>
      <c r="H1610">
        <f>IF(OR(H1609=1,G1610=1),1,0)</f>
        <v/>
      </c>
      <c r="I1610">
        <f>IF(H1609=0,1,SUMPRODUCT(J1609:N1609,B1610:F1610)+O1609*(1+0.00023125256064071564))</f>
        <v/>
      </c>
      <c r="J1610">
        <f>IF(G1610=1,0.2*R1610/B1610,J1609)</f>
        <v/>
      </c>
      <c r="K1610">
        <f>IF(G1610=1,0.2*R1610/C1610,K1609)</f>
        <v/>
      </c>
      <c r="L1610">
        <f>IF(G1610=1,0.2*R1610/D1610,L1609)</f>
        <v/>
      </c>
      <c r="M1610">
        <f>IF(G1610=1,0.2*R1610/E1610,M1609)</f>
        <v/>
      </c>
      <c r="N1610">
        <f>IF(G1610=1,0.2*R1610/F1610,N1609)</f>
        <v/>
      </c>
      <c r="O1610">
        <f>IF(G1610=1,R1610*(1-1.0),IF(H1609=0,1,O1609*(1+0.00023125256064071564)))</f>
        <v/>
      </c>
      <c r="P1610">
        <f>IF(G1610=1,IF(H1609=0,1,ABS(0.2-J1609*B1610/I1610)+ABS(0.2-K1609*C1610/I1610)+ABS(0.2-L1609*D1610/I1610)+ABS(0.2-M1609*E1610/I1610)+ABS(0.2-N1609*F1610/I1610)),0)</f>
        <v/>
      </c>
      <c r="Q1610">
        <f>P1610*0.0015</f>
        <v/>
      </c>
      <c r="R1610">
        <f>I1610*(1-Q1610)</f>
        <v/>
      </c>
      <c r="S1610">
        <f>R1610/R1609-1</f>
        <v/>
      </c>
      <c r="T1610">
        <f>MAX(T1609,R1610)</f>
        <v/>
      </c>
      <c r="U1610">
        <f>R1610/T1610-1</f>
        <v/>
      </c>
      <c r="V1610" t="n">
        <v>3.199178671571161</v>
      </c>
      <c r="W1610" s="5">
        <f>R1610-V1610</f>
        <v/>
      </c>
    </row>
    <row r="1611">
      <c r="A1611" s="3" t="n">
        <v>40807</v>
      </c>
      <c r="B1611">
        <f>Prices!B1611</f>
        <v/>
      </c>
      <c r="C1611">
        <f>Prices!C1611</f>
        <v/>
      </c>
      <c r="D1611">
        <f>Prices!D1611</f>
        <v/>
      </c>
      <c r="E1611">
        <f>Prices!E1611</f>
        <v/>
      </c>
      <c r="F1611">
        <f>Prices!F1611</f>
        <v/>
      </c>
      <c r="G1611">
        <f>IF(AND(1609&gt;=16,TEXT(A1611,"yyyy-mm")&lt;&gt;TEXT(A1612,"yyyy-mm")),1,0)</f>
        <v/>
      </c>
      <c r="H1611">
        <f>IF(OR(H1610=1,G1611=1),1,0)</f>
        <v/>
      </c>
      <c r="I1611">
        <f>IF(H1610=0,1,SUMPRODUCT(J1610:N1610,B1611:F1611)+O1610*(1+0.00023125256064071564))</f>
        <v/>
      </c>
      <c r="J1611">
        <f>IF(G1611=1,0.2*R1611/B1611,J1610)</f>
        <v/>
      </c>
      <c r="K1611">
        <f>IF(G1611=1,0.2*R1611/C1611,K1610)</f>
        <v/>
      </c>
      <c r="L1611">
        <f>IF(G1611=1,0.2*R1611/D1611,L1610)</f>
        <v/>
      </c>
      <c r="M1611">
        <f>IF(G1611=1,0.2*R1611/E1611,M1610)</f>
        <v/>
      </c>
      <c r="N1611">
        <f>IF(G1611=1,0.2*R1611/F1611,N1610)</f>
        <v/>
      </c>
      <c r="O1611">
        <f>IF(G1611=1,R1611*(1-1.0),IF(H1610=0,1,O1610*(1+0.00023125256064071564)))</f>
        <v/>
      </c>
      <c r="P1611">
        <f>IF(G1611=1,IF(H1610=0,1,ABS(0.2-J1610*B1611/I1611)+ABS(0.2-K1610*C1611/I1611)+ABS(0.2-L1610*D1611/I1611)+ABS(0.2-M1610*E1611/I1611)+ABS(0.2-N1610*F1611/I1611)),0)</f>
        <v/>
      </c>
      <c r="Q1611">
        <f>P1611*0.0015</f>
        <v/>
      </c>
      <c r="R1611">
        <f>I1611*(1-Q1611)</f>
        <v/>
      </c>
      <c r="S1611">
        <f>R1611/R1610-1</f>
        <v/>
      </c>
      <c r="T1611">
        <f>MAX(T1610,R1611)</f>
        <v/>
      </c>
      <c r="U1611">
        <f>R1611/T1611-1</f>
        <v/>
      </c>
      <c r="V1611" t="n">
        <v>3.216084943035331</v>
      </c>
      <c r="W1611" s="5">
        <f>R1611-V1611</f>
        <v/>
      </c>
    </row>
    <row r="1612">
      <c r="A1612" s="3" t="n">
        <v>40808</v>
      </c>
      <c r="B1612">
        <f>Prices!B1612</f>
        <v/>
      </c>
      <c r="C1612">
        <f>Prices!C1612</f>
        <v/>
      </c>
      <c r="D1612">
        <f>Prices!D1612</f>
        <v/>
      </c>
      <c r="E1612">
        <f>Prices!E1612</f>
        <v/>
      </c>
      <c r="F1612">
        <f>Prices!F1612</f>
        <v/>
      </c>
      <c r="G1612">
        <f>IF(AND(1610&gt;=16,TEXT(A1612,"yyyy-mm")&lt;&gt;TEXT(A1613,"yyyy-mm")),1,0)</f>
        <v/>
      </c>
      <c r="H1612">
        <f>IF(OR(H1611=1,G1612=1),1,0)</f>
        <v/>
      </c>
      <c r="I1612">
        <f>IF(H1611=0,1,SUMPRODUCT(J1611:N1611,B1612:F1612)+O1611*(1+0.00023125256064071564))</f>
        <v/>
      </c>
      <c r="J1612">
        <f>IF(G1612=1,0.2*R1612/B1612,J1611)</f>
        <v/>
      </c>
      <c r="K1612">
        <f>IF(G1612=1,0.2*R1612/C1612,K1611)</f>
        <v/>
      </c>
      <c r="L1612">
        <f>IF(G1612=1,0.2*R1612/D1612,L1611)</f>
        <v/>
      </c>
      <c r="M1612">
        <f>IF(G1612=1,0.2*R1612/E1612,M1611)</f>
        <v/>
      </c>
      <c r="N1612">
        <f>IF(G1612=1,0.2*R1612/F1612,N1611)</f>
        <v/>
      </c>
      <c r="O1612">
        <f>IF(G1612=1,R1612*(1-1.0),IF(H1611=0,1,O1611*(1+0.00023125256064071564)))</f>
        <v/>
      </c>
      <c r="P1612">
        <f>IF(G1612=1,IF(H1611=0,1,ABS(0.2-J1611*B1612/I1612)+ABS(0.2-K1611*C1612/I1612)+ABS(0.2-L1611*D1612/I1612)+ABS(0.2-M1611*E1612/I1612)+ABS(0.2-N1611*F1612/I1612)),0)</f>
        <v/>
      </c>
      <c r="Q1612">
        <f>P1612*0.0015</f>
        <v/>
      </c>
      <c r="R1612">
        <f>I1612*(1-Q1612)</f>
        <v/>
      </c>
      <c r="S1612">
        <f>R1612/R1611-1</f>
        <v/>
      </c>
      <c r="T1612">
        <f>MAX(T1611,R1612)</f>
        <v/>
      </c>
      <c r="U1612">
        <f>R1612/T1612-1</f>
        <v/>
      </c>
      <c r="V1612" t="n">
        <v>3.111875446487181</v>
      </c>
      <c r="W1612" s="5">
        <f>R1612-V1612</f>
        <v/>
      </c>
    </row>
    <row r="1613">
      <c r="A1613" s="3" t="n">
        <v>40809</v>
      </c>
      <c r="B1613">
        <f>Prices!B1613</f>
        <v/>
      </c>
      <c r="C1613">
        <f>Prices!C1613</f>
        <v/>
      </c>
      <c r="D1613">
        <f>Prices!D1613</f>
        <v/>
      </c>
      <c r="E1613">
        <f>Prices!E1613</f>
        <v/>
      </c>
      <c r="F1613">
        <f>Prices!F1613</f>
        <v/>
      </c>
      <c r="G1613">
        <f>IF(AND(1611&gt;=16,TEXT(A1613,"yyyy-mm")&lt;&gt;TEXT(A1614,"yyyy-mm")),1,0)</f>
        <v/>
      </c>
      <c r="H1613">
        <f>IF(OR(H1612=1,G1613=1),1,0)</f>
        <v/>
      </c>
      <c r="I1613">
        <f>IF(H1612=0,1,SUMPRODUCT(J1612:N1612,B1613:F1613)+O1612*(1+0.00023125256064071564))</f>
        <v/>
      </c>
      <c r="J1613">
        <f>IF(G1613=1,0.2*R1613/B1613,J1612)</f>
        <v/>
      </c>
      <c r="K1613">
        <f>IF(G1613=1,0.2*R1613/C1613,K1612)</f>
        <v/>
      </c>
      <c r="L1613">
        <f>IF(G1613=1,0.2*R1613/D1613,L1612)</f>
        <v/>
      </c>
      <c r="M1613">
        <f>IF(G1613=1,0.2*R1613/E1613,M1612)</f>
        <v/>
      </c>
      <c r="N1613">
        <f>IF(G1613=1,0.2*R1613/F1613,N1612)</f>
        <v/>
      </c>
      <c r="O1613">
        <f>IF(G1613=1,R1613*(1-1.0),IF(H1612=0,1,O1612*(1+0.00023125256064071564)))</f>
        <v/>
      </c>
      <c r="P1613">
        <f>IF(G1613=1,IF(H1612=0,1,ABS(0.2-J1612*B1613/I1613)+ABS(0.2-K1612*C1613/I1613)+ABS(0.2-L1612*D1613/I1613)+ABS(0.2-M1612*E1613/I1613)+ABS(0.2-N1612*F1613/I1613)),0)</f>
        <v/>
      </c>
      <c r="Q1613">
        <f>P1613*0.0015</f>
        <v/>
      </c>
      <c r="R1613">
        <f>I1613*(1-Q1613)</f>
        <v/>
      </c>
      <c r="S1613">
        <f>R1613/R1612-1</f>
        <v/>
      </c>
      <c r="T1613">
        <f>MAX(T1612,R1613)</f>
        <v/>
      </c>
      <c r="U1613">
        <f>R1613/T1613-1</f>
        <v/>
      </c>
      <c r="V1613" t="n">
        <v>3.088486016226474</v>
      </c>
      <c r="W1613" s="5">
        <f>R1613-V1613</f>
        <v/>
      </c>
    </row>
    <row r="1614">
      <c r="A1614" s="3" t="n">
        <v>40812</v>
      </c>
      <c r="B1614">
        <f>Prices!B1614</f>
        <v/>
      </c>
      <c r="C1614">
        <f>Prices!C1614</f>
        <v/>
      </c>
      <c r="D1614">
        <f>Prices!D1614</f>
        <v/>
      </c>
      <c r="E1614">
        <f>Prices!E1614</f>
        <v/>
      </c>
      <c r="F1614">
        <f>Prices!F1614</f>
        <v/>
      </c>
      <c r="G1614">
        <f>IF(AND(1612&gt;=16,TEXT(A1614,"yyyy-mm")&lt;&gt;TEXT(A1615,"yyyy-mm")),1,0)</f>
        <v/>
      </c>
      <c r="H1614">
        <f>IF(OR(H1613=1,G1614=1),1,0)</f>
        <v/>
      </c>
      <c r="I1614">
        <f>IF(H1613=0,1,SUMPRODUCT(J1613:N1613,B1614:F1614)+O1613*(1+0.00023125256064071564))</f>
        <v/>
      </c>
      <c r="J1614">
        <f>IF(G1614=1,0.2*R1614/B1614,J1613)</f>
        <v/>
      </c>
      <c r="K1614">
        <f>IF(G1614=1,0.2*R1614/C1614,K1613)</f>
        <v/>
      </c>
      <c r="L1614">
        <f>IF(G1614=1,0.2*R1614/D1614,L1613)</f>
        <v/>
      </c>
      <c r="M1614">
        <f>IF(G1614=1,0.2*R1614/E1614,M1613)</f>
        <v/>
      </c>
      <c r="N1614">
        <f>IF(G1614=1,0.2*R1614/F1614,N1613)</f>
        <v/>
      </c>
      <c r="O1614">
        <f>IF(G1614=1,R1614*(1-1.0),IF(H1613=0,1,O1613*(1+0.00023125256064071564)))</f>
        <v/>
      </c>
      <c r="P1614">
        <f>IF(G1614=1,IF(H1613=0,1,ABS(0.2-J1613*B1614/I1614)+ABS(0.2-K1613*C1614/I1614)+ABS(0.2-L1613*D1614/I1614)+ABS(0.2-M1613*E1614/I1614)+ABS(0.2-N1613*F1614/I1614)),0)</f>
        <v/>
      </c>
      <c r="Q1614">
        <f>P1614*0.0015</f>
        <v/>
      </c>
      <c r="R1614">
        <f>I1614*(1-Q1614)</f>
        <v/>
      </c>
      <c r="S1614">
        <f>R1614/R1613-1</f>
        <v/>
      </c>
      <c r="T1614">
        <f>MAX(T1613,R1614)</f>
        <v/>
      </c>
      <c r="U1614">
        <f>R1614/T1614-1</f>
        <v/>
      </c>
      <c r="V1614" t="n">
        <v>3.049202577827084</v>
      </c>
      <c r="W1614" s="5">
        <f>R1614-V1614</f>
        <v/>
      </c>
    </row>
    <row r="1615">
      <c r="A1615" s="3" t="n">
        <v>40813</v>
      </c>
      <c r="B1615">
        <f>Prices!B1615</f>
        <v/>
      </c>
      <c r="C1615">
        <f>Prices!C1615</f>
        <v/>
      </c>
      <c r="D1615">
        <f>Prices!D1615</f>
        <v/>
      </c>
      <c r="E1615">
        <f>Prices!E1615</f>
        <v/>
      </c>
      <c r="F1615">
        <f>Prices!F1615</f>
        <v/>
      </c>
      <c r="G1615">
        <f>IF(AND(1613&gt;=16,TEXT(A1615,"yyyy-mm")&lt;&gt;TEXT(A1616,"yyyy-mm")),1,0)</f>
        <v/>
      </c>
      <c r="H1615">
        <f>IF(OR(H1614=1,G1615=1),1,0)</f>
        <v/>
      </c>
      <c r="I1615">
        <f>IF(H1614=0,1,SUMPRODUCT(J1614:N1614,B1615:F1615)+O1614*(1+0.00023125256064071564))</f>
        <v/>
      </c>
      <c r="J1615">
        <f>IF(G1615=1,0.2*R1615/B1615,J1614)</f>
        <v/>
      </c>
      <c r="K1615">
        <f>IF(G1615=1,0.2*R1615/C1615,K1614)</f>
        <v/>
      </c>
      <c r="L1615">
        <f>IF(G1615=1,0.2*R1615/D1615,L1614)</f>
        <v/>
      </c>
      <c r="M1615">
        <f>IF(G1615=1,0.2*R1615/E1615,M1614)</f>
        <v/>
      </c>
      <c r="N1615">
        <f>IF(G1615=1,0.2*R1615/F1615,N1614)</f>
        <v/>
      </c>
      <c r="O1615">
        <f>IF(G1615=1,R1615*(1-1.0),IF(H1614=0,1,O1614*(1+0.00023125256064071564)))</f>
        <v/>
      </c>
      <c r="P1615">
        <f>IF(G1615=1,IF(H1614=0,1,ABS(0.2-J1614*B1615/I1615)+ABS(0.2-K1614*C1615/I1615)+ABS(0.2-L1614*D1615/I1615)+ABS(0.2-M1614*E1615/I1615)+ABS(0.2-N1614*F1615/I1615)),0)</f>
        <v/>
      </c>
      <c r="Q1615">
        <f>P1615*0.0015</f>
        <v/>
      </c>
      <c r="R1615">
        <f>I1615*(1-Q1615)</f>
        <v/>
      </c>
      <c r="S1615">
        <f>R1615/R1614-1</f>
        <v/>
      </c>
      <c r="T1615">
        <f>MAX(T1614,R1615)</f>
        <v/>
      </c>
      <c r="U1615">
        <f>R1615/T1615-1</f>
        <v/>
      </c>
      <c r="V1615" t="n">
        <v>3.108696388820429</v>
      </c>
      <c r="W1615" s="5">
        <f>R1615-V1615</f>
        <v/>
      </c>
    </row>
    <row r="1616">
      <c r="A1616" s="3" t="n">
        <v>40814</v>
      </c>
      <c r="B1616">
        <f>Prices!B1616</f>
        <v/>
      </c>
      <c r="C1616">
        <f>Prices!C1616</f>
        <v/>
      </c>
      <c r="D1616">
        <f>Prices!D1616</f>
        <v/>
      </c>
      <c r="E1616">
        <f>Prices!E1616</f>
        <v/>
      </c>
      <c r="F1616">
        <f>Prices!F1616</f>
        <v/>
      </c>
      <c r="G1616">
        <f>IF(AND(1614&gt;=16,TEXT(A1616,"yyyy-mm")&lt;&gt;TEXT(A1617,"yyyy-mm")),1,0)</f>
        <v/>
      </c>
      <c r="H1616">
        <f>IF(OR(H1615=1,G1616=1),1,0)</f>
        <v/>
      </c>
      <c r="I1616">
        <f>IF(H1615=0,1,SUMPRODUCT(J1615:N1615,B1616:F1616)+O1615*(1+0.00023125256064071564))</f>
        <v/>
      </c>
      <c r="J1616">
        <f>IF(G1616=1,0.2*R1616/B1616,J1615)</f>
        <v/>
      </c>
      <c r="K1616">
        <f>IF(G1616=1,0.2*R1616/C1616,K1615)</f>
        <v/>
      </c>
      <c r="L1616">
        <f>IF(G1616=1,0.2*R1616/D1616,L1615)</f>
        <v/>
      </c>
      <c r="M1616">
        <f>IF(G1616=1,0.2*R1616/E1616,M1615)</f>
        <v/>
      </c>
      <c r="N1616">
        <f>IF(G1616=1,0.2*R1616/F1616,N1615)</f>
        <v/>
      </c>
      <c r="O1616">
        <f>IF(G1616=1,R1616*(1-1.0),IF(H1615=0,1,O1615*(1+0.00023125256064071564)))</f>
        <v/>
      </c>
      <c r="P1616">
        <f>IF(G1616=1,IF(H1615=0,1,ABS(0.2-J1615*B1616/I1616)+ABS(0.2-K1615*C1616/I1616)+ABS(0.2-L1615*D1616/I1616)+ABS(0.2-M1615*E1616/I1616)+ABS(0.2-N1615*F1616/I1616)),0)</f>
        <v/>
      </c>
      <c r="Q1616">
        <f>P1616*0.0015</f>
        <v/>
      </c>
      <c r="R1616">
        <f>I1616*(1-Q1616)</f>
        <v/>
      </c>
      <c r="S1616">
        <f>R1616/R1615-1</f>
        <v/>
      </c>
      <c r="T1616">
        <f>MAX(T1615,R1616)</f>
        <v/>
      </c>
      <c r="U1616">
        <f>R1616/T1616-1</f>
        <v/>
      </c>
      <c r="V1616" t="n">
        <v>3.088129829078809</v>
      </c>
      <c r="W1616" s="5">
        <f>R1616-V1616</f>
        <v/>
      </c>
    </row>
    <row r="1617">
      <c r="A1617" s="3" t="n">
        <v>40815</v>
      </c>
      <c r="B1617">
        <f>Prices!B1617</f>
        <v/>
      </c>
      <c r="C1617">
        <f>Prices!C1617</f>
        <v/>
      </c>
      <c r="D1617">
        <f>Prices!D1617</f>
        <v/>
      </c>
      <c r="E1617">
        <f>Prices!E1617</f>
        <v/>
      </c>
      <c r="F1617">
        <f>Prices!F1617</f>
        <v/>
      </c>
      <c r="G1617">
        <f>IF(AND(1615&gt;=16,TEXT(A1617,"yyyy-mm")&lt;&gt;TEXT(A1618,"yyyy-mm")),1,0)</f>
        <v/>
      </c>
      <c r="H1617">
        <f>IF(OR(H1616=1,G1617=1),1,0)</f>
        <v/>
      </c>
      <c r="I1617">
        <f>IF(H1616=0,1,SUMPRODUCT(J1616:N1616,B1617:F1617)+O1616*(1+0.00023125256064071564))</f>
        <v/>
      </c>
      <c r="J1617">
        <f>IF(G1617=1,0.2*R1617/B1617,J1616)</f>
        <v/>
      </c>
      <c r="K1617">
        <f>IF(G1617=1,0.2*R1617/C1617,K1616)</f>
        <v/>
      </c>
      <c r="L1617">
        <f>IF(G1617=1,0.2*R1617/D1617,L1616)</f>
        <v/>
      </c>
      <c r="M1617">
        <f>IF(G1617=1,0.2*R1617/E1617,M1616)</f>
        <v/>
      </c>
      <c r="N1617">
        <f>IF(G1617=1,0.2*R1617/F1617,N1616)</f>
        <v/>
      </c>
      <c r="O1617">
        <f>IF(G1617=1,R1617*(1-1.0),IF(H1616=0,1,O1616*(1+0.00023125256064071564)))</f>
        <v/>
      </c>
      <c r="P1617">
        <f>IF(G1617=1,IF(H1616=0,1,ABS(0.2-J1616*B1617/I1617)+ABS(0.2-K1616*C1617/I1617)+ABS(0.2-L1616*D1617/I1617)+ABS(0.2-M1616*E1617/I1617)+ABS(0.2-N1616*F1617/I1617)),0)</f>
        <v/>
      </c>
      <c r="Q1617">
        <f>P1617*0.0015</f>
        <v/>
      </c>
      <c r="R1617">
        <f>I1617*(1-Q1617)</f>
        <v/>
      </c>
      <c r="S1617">
        <f>R1617/R1616-1</f>
        <v/>
      </c>
      <c r="T1617">
        <f>MAX(T1616,R1617)</f>
        <v/>
      </c>
      <c r="U1617">
        <f>R1617/T1617-1</f>
        <v/>
      </c>
      <c r="V1617" t="n">
        <v>3.0973965250525</v>
      </c>
      <c r="W1617" s="5">
        <f>R1617-V1617</f>
        <v/>
      </c>
    </row>
    <row r="1618">
      <c r="A1618" s="3" t="n">
        <v>40816</v>
      </c>
      <c r="B1618">
        <f>Prices!B1618</f>
        <v/>
      </c>
      <c r="C1618">
        <f>Prices!C1618</f>
        <v/>
      </c>
      <c r="D1618">
        <f>Prices!D1618</f>
        <v/>
      </c>
      <c r="E1618">
        <f>Prices!E1618</f>
        <v/>
      </c>
      <c r="F1618">
        <f>Prices!F1618</f>
        <v/>
      </c>
      <c r="G1618">
        <f>IF(AND(1616&gt;=16,TEXT(A1618,"yyyy-mm")&lt;&gt;TEXT(A1619,"yyyy-mm")),1,0)</f>
        <v/>
      </c>
      <c r="H1618">
        <f>IF(OR(H1617=1,G1618=1),1,0)</f>
        <v/>
      </c>
      <c r="I1618">
        <f>IF(H1617=0,1,SUMPRODUCT(J1617:N1617,B1618:F1618)+O1617*(1+0.00023125256064071564))</f>
        <v/>
      </c>
      <c r="J1618">
        <f>IF(G1618=1,0.2*R1618/B1618,J1617)</f>
        <v/>
      </c>
      <c r="K1618">
        <f>IF(G1618=1,0.2*R1618/C1618,K1617)</f>
        <v/>
      </c>
      <c r="L1618">
        <f>IF(G1618=1,0.2*R1618/D1618,L1617)</f>
        <v/>
      </c>
      <c r="M1618">
        <f>IF(G1618=1,0.2*R1618/E1618,M1617)</f>
        <v/>
      </c>
      <c r="N1618">
        <f>IF(G1618=1,0.2*R1618/F1618,N1617)</f>
        <v/>
      </c>
      <c r="O1618">
        <f>IF(G1618=1,R1618*(1-1.0),IF(H1617=0,1,O1617*(1+0.00023125256064071564)))</f>
        <v/>
      </c>
      <c r="P1618">
        <f>IF(G1618=1,IF(H1617=0,1,ABS(0.2-J1617*B1618/I1618)+ABS(0.2-K1617*C1618/I1618)+ABS(0.2-L1617*D1618/I1618)+ABS(0.2-M1617*E1618/I1618)+ABS(0.2-N1617*F1618/I1618)),0)</f>
        <v/>
      </c>
      <c r="Q1618">
        <f>P1618*0.0015</f>
        <v/>
      </c>
      <c r="R1618">
        <f>I1618*(1-Q1618)</f>
        <v/>
      </c>
      <c r="S1618">
        <f>R1618/R1617-1</f>
        <v/>
      </c>
      <c r="T1618">
        <f>MAX(T1617,R1618)</f>
        <v/>
      </c>
      <c r="U1618">
        <f>R1618/T1618-1</f>
        <v/>
      </c>
      <c r="V1618" t="n">
        <v>3.073369120681802</v>
      </c>
      <c r="W1618" s="5">
        <f>R1618-V1618</f>
        <v/>
      </c>
    </row>
    <row r="1619">
      <c r="A1619" s="3" t="n">
        <v>40819</v>
      </c>
      <c r="B1619">
        <f>Prices!B1619</f>
        <v/>
      </c>
      <c r="C1619">
        <f>Prices!C1619</f>
        <v/>
      </c>
      <c r="D1619">
        <f>Prices!D1619</f>
        <v/>
      </c>
      <c r="E1619">
        <f>Prices!E1619</f>
        <v/>
      </c>
      <c r="F1619">
        <f>Prices!F1619</f>
        <v/>
      </c>
      <c r="G1619">
        <f>IF(AND(1617&gt;=16,TEXT(A1619,"yyyy-mm")&lt;&gt;TEXT(A1620,"yyyy-mm")),1,0)</f>
        <v/>
      </c>
      <c r="H1619">
        <f>IF(OR(H1618=1,G1619=1),1,0)</f>
        <v/>
      </c>
      <c r="I1619">
        <f>IF(H1618=0,1,SUMPRODUCT(J1618:N1618,B1619:F1619)+O1618*(1+0.00023125256064071564))</f>
        <v/>
      </c>
      <c r="J1619">
        <f>IF(G1619=1,0.2*R1619/B1619,J1618)</f>
        <v/>
      </c>
      <c r="K1619">
        <f>IF(G1619=1,0.2*R1619/C1619,K1618)</f>
        <v/>
      </c>
      <c r="L1619">
        <f>IF(G1619=1,0.2*R1619/D1619,L1618)</f>
        <v/>
      </c>
      <c r="M1619">
        <f>IF(G1619=1,0.2*R1619/E1619,M1618)</f>
        <v/>
      </c>
      <c r="N1619">
        <f>IF(G1619=1,0.2*R1619/F1619,N1618)</f>
        <v/>
      </c>
      <c r="O1619">
        <f>IF(G1619=1,R1619*(1-1.0),IF(H1618=0,1,O1618*(1+0.00023125256064071564)))</f>
        <v/>
      </c>
      <c r="P1619">
        <f>IF(G1619=1,IF(H1618=0,1,ABS(0.2-J1618*B1619/I1619)+ABS(0.2-K1618*C1619/I1619)+ABS(0.2-L1618*D1619/I1619)+ABS(0.2-M1618*E1619/I1619)+ABS(0.2-N1618*F1619/I1619)),0)</f>
        <v/>
      </c>
      <c r="Q1619">
        <f>P1619*0.0015</f>
        <v/>
      </c>
      <c r="R1619">
        <f>I1619*(1-Q1619)</f>
        <v/>
      </c>
      <c r="S1619">
        <f>R1619/R1618-1</f>
        <v/>
      </c>
      <c r="T1619">
        <f>MAX(T1618,R1619)</f>
        <v/>
      </c>
      <c r="U1619">
        <f>R1619/T1619-1</f>
        <v/>
      </c>
      <c r="V1619" t="n">
        <v>3.030940828110723</v>
      </c>
      <c r="W1619" s="5">
        <f>R1619-V1619</f>
        <v/>
      </c>
    </row>
    <row r="1620">
      <c r="A1620" s="3" t="n">
        <v>40820</v>
      </c>
      <c r="B1620">
        <f>Prices!B1620</f>
        <v/>
      </c>
      <c r="C1620">
        <f>Prices!C1620</f>
        <v/>
      </c>
      <c r="D1620">
        <f>Prices!D1620</f>
        <v/>
      </c>
      <c r="E1620">
        <f>Prices!E1620</f>
        <v/>
      </c>
      <c r="F1620">
        <f>Prices!F1620</f>
        <v/>
      </c>
      <c r="G1620">
        <f>IF(AND(1618&gt;=16,TEXT(A1620,"yyyy-mm")&lt;&gt;TEXT(A1621,"yyyy-mm")),1,0)</f>
        <v/>
      </c>
      <c r="H1620">
        <f>IF(OR(H1619=1,G1620=1),1,0)</f>
        <v/>
      </c>
      <c r="I1620">
        <f>IF(H1619=0,1,SUMPRODUCT(J1619:N1619,B1620:F1620)+O1619*(1+0.00023125256064071564))</f>
        <v/>
      </c>
      <c r="J1620">
        <f>IF(G1620=1,0.2*R1620/B1620,J1619)</f>
        <v/>
      </c>
      <c r="K1620">
        <f>IF(G1620=1,0.2*R1620/C1620,K1619)</f>
        <v/>
      </c>
      <c r="L1620">
        <f>IF(G1620=1,0.2*R1620/D1620,L1619)</f>
        <v/>
      </c>
      <c r="M1620">
        <f>IF(G1620=1,0.2*R1620/E1620,M1619)</f>
        <v/>
      </c>
      <c r="N1620">
        <f>IF(G1620=1,0.2*R1620/F1620,N1619)</f>
        <v/>
      </c>
      <c r="O1620">
        <f>IF(G1620=1,R1620*(1-1.0),IF(H1619=0,1,O1619*(1+0.00023125256064071564)))</f>
        <v/>
      </c>
      <c r="P1620">
        <f>IF(G1620=1,IF(H1619=0,1,ABS(0.2-J1619*B1620/I1620)+ABS(0.2-K1619*C1620/I1620)+ABS(0.2-L1619*D1620/I1620)+ABS(0.2-M1619*E1620/I1620)+ABS(0.2-N1619*F1620/I1620)),0)</f>
        <v/>
      </c>
      <c r="Q1620">
        <f>P1620*0.0015</f>
        <v/>
      </c>
      <c r="R1620">
        <f>I1620*(1-Q1620)</f>
        <v/>
      </c>
      <c r="S1620">
        <f>R1620/R1619-1</f>
        <v/>
      </c>
      <c r="T1620">
        <f>MAX(T1619,R1620)</f>
        <v/>
      </c>
      <c r="U1620">
        <f>R1620/T1620-1</f>
        <v/>
      </c>
      <c r="V1620" t="n">
        <v>2.996762006896156</v>
      </c>
      <c r="W1620" s="5">
        <f>R1620-V1620</f>
        <v/>
      </c>
    </row>
    <row r="1621">
      <c r="A1621" s="3" t="n">
        <v>40821</v>
      </c>
      <c r="B1621">
        <f>Prices!B1621</f>
        <v/>
      </c>
      <c r="C1621">
        <f>Prices!C1621</f>
        <v/>
      </c>
      <c r="D1621">
        <f>Prices!D1621</f>
        <v/>
      </c>
      <c r="E1621">
        <f>Prices!E1621</f>
        <v/>
      </c>
      <c r="F1621">
        <f>Prices!F1621</f>
        <v/>
      </c>
      <c r="G1621">
        <f>IF(AND(1619&gt;=16,TEXT(A1621,"yyyy-mm")&lt;&gt;TEXT(A1622,"yyyy-mm")),1,0)</f>
        <v/>
      </c>
      <c r="H1621">
        <f>IF(OR(H1620=1,G1621=1),1,0)</f>
        <v/>
      </c>
      <c r="I1621">
        <f>IF(H1620=0,1,SUMPRODUCT(J1620:N1620,B1621:F1621)+O1620*(1+0.00023125256064071564))</f>
        <v/>
      </c>
      <c r="J1621">
        <f>IF(G1621=1,0.2*R1621/B1621,J1620)</f>
        <v/>
      </c>
      <c r="K1621">
        <f>IF(G1621=1,0.2*R1621/C1621,K1620)</f>
        <v/>
      </c>
      <c r="L1621">
        <f>IF(G1621=1,0.2*R1621/D1621,L1620)</f>
        <v/>
      </c>
      <c r="M1621">
        <f>IF(G1621=1,0.2*R1621/E1621,M1620)</f>
        <v/>
      </c>
      <c r="N1621">
        <f>IF(G1621=1,0.2*R1621/F1621,N1620)</f>
        <v/>
      </c>
      <c r="O1621">
        <f>IF(G1621=1,R1621*(1-1.0),IF(H1620=0,1,O1620*(1+0.00023125256064071564)))</f>
        <v/>
      </c>
      <c r="P1621">
        <f>IF(G1621=1,IF(H1620=0,1,ABS(0.2-J1620*B1621/I1621)+ABS(0.2-K1620*C1621/I1621)+ABS(0.2-L1620*D1621/I1621)+ABS(0.2-M1620*E1621/I1621)+ABS(0.2-N1620*F1621/I1621)),0)</f>
        <v/>
      </c>
      <c r="Q1621">
        <f>P1621*0.0015</f>
        <v/>
      </c>
      <c r="R1621">
        <f>I1621*(1-Q1621)</f>
        <v/>
      </c>
      <c r="S1621">
        <f>R1621/R1620-1</f>
        <v/>
      </c>
      <c r="T1621">
        <f>MAX(T1620,R1621)</f>
        <v/>
      </c>
      <c r="U1621">
        <f>R1621/T1621-1</f>
        <v/>
      </c>
      <c r="V1621" t="n">
        <v>2.968993506721579</v>
      </c>
      <c r="W1621" s="5">
        <f>R1621-V1621</f>
        <v/>
      </c>
    </row>
    <row r="1622">
      <c r="A1622" s="3" t="n">
        <v>40823</v>
      </c>
      <c r="B1622">
        <f>Prices!B1622</f>
        <v/>
      </c>
      <c r="C1622">
        <f>Prices!C1622</f>
        <v/>
      </c>
      <c r="D1622">
        <f>Prices!D1622</f>
        <v/>
      </c>
      <c r="E1622">
        <f>Prices!E1622</f>
        <v/>
      </c>
      <c r="F1622">
        <f>Prices!F1622</f>
        <v/>
      </c>
      <c r="G1622">
        <f>IF(AND(1620&gt;=16,TEXT(A1622,"yyyy-mm")&lt;&gt;TEXT(A1623,"yyyy-mm")),1,0)</f>
        <v/>
      </c>
      <c r="H1622">
        <f>IF(OR(H1621=1,G1622=1),1,0)</f>
        <v/>
      </c>
      <c r="I1622">
        <f>IF(H1621=0,1,SUMPRODUCT(J1621:N1621,B1622:F1622)+O1621*(1+0.00023125256064071564))</f>
        <v/>
      </c>
      <c r="J1622">
        <f>IF(G1622=1,0.2*R1622/B1622,J1621)</f>
        <v/>
      </c>
      <c r="K1622">
        <f>IF(G1622=1,0.2*R1622/C1622,K1621)</f>
        <v/>
      </c>
      <c r="L1622">
        <f>IF(G1622=1,0.2*R1622/D1622,L1621)</f>
        <v/>
      </c>
      <c r="M1622">
        <f>IF(G1622=1,0.2*R1622/E1622,M1621)</f>
        <v/>
      </c>
      <c r="N1622">
        <f>IF(G1622=1,0.2*R1622/F1622,N1621)</f>
        <v/>
      </c>
      <c r="O1622">
        <f>IF(G1622=1,R1622*(1-1.0),IF(H1621=0,1,O1621*(1+0.00023125256064071564)))</f>
        <v/>
      </c>
      <c r="P1622">
        <f>IF(G1622=1,IF(H1621=0,1,ABS(0.2-J1621*B1622/I1622)+ABS(0.2-K1621*C1622/I1622)+ABS(0.2-L1621*D1622/I1622)+ABS(0.2-M1621*E1622/I1622)+ABS(0.2-N1621*F1622/I1622)),0)</f>
        <v/>
      </c>
      <c r="Q1622">
        <f>P1622*0.0015</f>
        <v/>
      </c>
      <c r="R1622">
        <f>I1622*(1-Q1622)</f>
        <v/>
      </c>
      <c r="S1622">
        <f>R1622/R1621-1</f>
        <v/>
      </c>
      <c r="T1622">
        <f>MAX(T1621,R1622)</f>
        <v/>
      </c>
      <c r="U1622">
        <f>R1622/T1622-1</f>
        <v/>
      </c>
      <c r="V1622" t="n">
        <v>3.02052882262092</v>
      </c>
      <c r="W1622" s="5">
        <f>R1622-V1622</f>
        <v/>
      </c>
    </row>
    <row r="1623">
      <c r="A1623" s="3" t="n">
        <v>40826</v>
      </c>
      <c r="B1623">
        <f>Prices!B1623</f>
        <v/>
      </c>
      <c r="C1623">
        <f>Prices!C1623</f>
        <v/>
      </c>
      <c r="D1623">
        <f>Prices!D1623</f>
        <v/>
      </c>
      <c r="E1623">
        <f>Prices!E1623</f>
        <v/>
      </c>
      <c r="F1623">
        <f>Prices!F1623</f>
        <v/>
      </c>
      <c r="G1623">
        <f>IF(AND(1621&gt;=16,TEXT(A1623,"yyyy-mm")&lt;&gt;TEXT(A1624,"yyyy-mm")),1,0)</f>
        <v/>
      </c>
      <c r="H1623">
        <f>IF(OR(H1622=1,G1623=1),1,0)</f>
        <v/>
      </c>
      <c r="I1623">
        <f>IF(H1622=0,1,SUMPRODUCT(J1622:N1622,B1623:F1623)+O1622*(1+0.00023125256064071564))</f>
        <v/>
      </c>
      <c r="J1623">
        <f>IF(G1623=1,0.2*R1623/B1623,J1622)</f>
        <v/>
      </c>
      <c r="K1623">
        <f>IF(G1623=1,0.2*R1623/C1623,K1622)</f>
        <v/>
      </c>
      <c r="L1623">
        <f>IF(G1623=1,0.2*R1623/D1623,L1622)</f>
        <v/>
      </c>
      <c r="M1623">
        <f>IF(G1623=1,0.2*R1623/E1623,M1622)</f>
        <v/>
      </c>
      <c r="N1623">
        <f>IF(G1623=1,0.2*R1623/F1623,N1622)</f>
        <v/>
      </c>
      <c r="O1623">
        <f>IF(G1623=1,R1623*(1-1.0),IF(H1622=0,1,O1622*(1+0.00023125256064071564)))</f>
        <v/>
      </c>
      <c r="P1623">
        <f>IF(G1623=1,IF(H1622=0,1,ABS(0.2-J1622*B1623/I1623)+ABS(0.2-K1622*C1623/I1623)+ABS(0.2-L1622*D1623/I1623)+ABS(0.2-M1622*E1623/I1623)+ABS(0.2-N1622*F1623/I1623)),0)</f>
        <v/>
      </c>
      <c r="Q1623">
        <f>P1623*0.0015</f>
        <v/>
      </c>
      <c r="R1623">
        <f>I1623*(1-Q1623)</f>
        <v/>
      </c>
      <c r="S1623">
        <f>R1623/R1622-1</f>
        <v/>
      </c>
      <c r="T1623">
        <f>MAX(T1622,R1623)</f>
        <v/>
      </c>
      <c r="U1623">
        <f>R1623/T1623-1</f>
        <v/>
      </c>
      <c r="V1623" t="n">
        <v>3.068232529669159</v>
      </c>
      <c r="W1623" s="5">
        <f>R1623-V1623</f>
        <v/>
      </c>
    </row>
    <row r="1624">
      <c r="A1624" s="3" t="n">
        <v>40827</v>
      </c>
      <c r="B1624">
        <f>Prices!B1624</f>
        <v/>
      </c>
      <c r="C1624">
        <f>Prices!C1624</f>
        <v/>
      </c>
      <c r="D1624">
        <f>Prices!D1624</f>
        <v/>
      </c>
      <c r="E1624">
        <f>Prices!E1624</f>
        <v/>
      </c>
      <c r="F1624">
        <f>Prices!F1624</f>
        <v/>
      </c>
      <c r="G1624">
        <f>IF(AND(1622&gt;=16,TEXT(A1624,"yyyy-mm")&lt;&gt;TEXT(A1625,"yyyy-mm")),1,0)</f>
        <v/>
      </c>
      <c r="H1624">
        <f>IF(OR(H1623=1,G1624=1),1,0)</f>
        <v/>
      </c>
      <c r="I1624">
        <f>IF(H1623=0,1,SUMPRODUCT(J1623:N1623,B1624:F1624)+O1623*(1+0.00023125256064071564))</f>
        <v/>
      </c>
      <c r="J1624">
        <f>IF(G1624=1,0.2*R1624/B1624,J1623)</f>
        <v/>
      </c>
      <c r="K1624">
        <f>IF(G1624=1,0.2*R1624/C1624,K1623)</f>
        <v/>
      </c>
      <c r="L1624">
        <f>IF(G1624=1,0.2*R1624/D1624,L1623)</f>
        <v/>
      </c>
      <c r="M1624">
        <f>IF(G1624=1,0.2*R1624/E1624,M1623)</f>
        <v/>
      </c>
      <c r="N1624">
        <f>IF(G1624=1,0.2*R1624/F1624,N1623)</f>
        <v/>
      </c>
      <c r="O1624">
        <f>IF(G1624=1,R1624*(1-1.0),IF(H1623=0,1,O1623*(1+0.00023125256064071564)))</f>
        <v/>
      </c>
      <c r="P1624">
        <f>IF(G1624=1,IF(H1623=0,1,ABS(0.2-J1623*B1624/I1624)+ABS(0.2-K1623*C1624/I1624)+ABS(0.2-L1623*D1624/I1624)+ABS(0.2-M1623*E1624/I1624)+ABS(0.2-N1623*F1624/I1624)),0)</f>
        <v/>
      </c>
      <c r="Q1624">
        <f>P1624*0.0015</f>
        <v/>
      </c>
      <c r="R1624">
        <f>I1624*(1-Q1624)</f>
        <v/>
      </c>
      <c r="S1624">
        <f>R1624/R1623-1</f>
        <v/>
      </c>
      <c r="T1624">
        <f>MAX(T1623,R1624)</f>
        <v/>
      </c>
      <c r="U1624">
        <f>R1624/T1624-1</f>
        <v/>
      </c>
      <c r="V1624" t="n">
        <v>3.084493162560193</v>
      </c>
      <c r="W1624" s="5">
        <f>R1624-V1624</f>
        <v/>
      </c>
    </row>
    <row r="1625">
      <c r="A1625" s="3" t="n">
        <v>40828</v>
      </c>
      <c r="B1625">
        <f>Prices!B1625</f>
        <v/>
      </c>
      <c r="C1625">
        <f>Prices!C1625</f>
        <v/>
      </c>
      <c r="D1625">
        <f>Prices!D1625</f>
        <v/>
      </c>
      <c r="E1625">
        <f>Prices!E1625</f>
        <v/>
      </c>
      <c r="F1625">
        <f>Prices!F1625</f>
        <v/>
      </c>
      <c r="G1625">
        <f>IF(AND(1623&gt;=16,TEXT(A1625,"yyyy-mm")&lt;&gt;TEXT(A1626,"yyyy-mm")),1,0)</f>
        <v/>
      </c>
      <c r="H1625">
        <f>IF(OR(H1624=1,G1625=1),1,0)</f>
        <v/>
      </c>
      <c r="I1625">
        <f>IF(H1624=0,1,SUMPRODUCT(J1624:N1624,B1625:F1625)+O1624*(1+0.00023125256064071564))</f>
        <v/>
      </c>
      <c r="J1625">
        <f>IF(G1625=1,0.2*R1625/B1625,J1624)</f>
        <v/>
      </c>
      <c r="K1625">
        <f>IF(G1625=1,0.2*R1625/C1625,K1624)</f>
        <v/>
      </c>
      <c r="L1625">
        <f>IF(G1625=1,0.2*R1625/D1625,L1624)</f>
        <v/>
      </c>
      <c r="M1625">
        <f>IF(G1625=1,0.2*R1625/E1625,M1624)</f>
        <v/>
      </c>
      <c r="N1625">
        <f>IF(G1625=1,0.2*R1625/F1625,N1624)</f>
        <v/>
      </c>
      <c r="O1625">
        <f>IF(G1625=1,R1625*(1-1.0),IF(H1624=0,1,O1624*(1+0.00023125256064071564)))</f>
        <v/>
      </c>
      <c r="P1625">
        <f>IF(G1625=1,IF(H1624=0,1,ABS(0.2-J1624*B1625/I1625)+ABS(0.2-K1624*C1625/I1625)+ABS(0.2-L1624*D1625/I1625)+ABS(0.2-M1624*E1625/I1625)+ABS(0.2-N1624*F1625/I1625)),0)</f>
        <v/>
      </c>
      <c r="Q1625">
        <f>P1625*0.0015</f>
        <v/>
      </c>
      <c r="R1625">
        <f>I1625*(1-Q1625)</f>
        <v/>
      </c>
      <c r="S1625">
        <f>R1625/R1624-1</f>
        <v/>
      </c>
      <c r="T1625">
        <f>MAX(T1624,R1625)</f>
        <v/>
      </c>
      <c r="U1625">
        <f>R1625/T1625-1</f>
        <v/>
      </c>
      <c r="V1625" t="n">
        <v>3.139220364960199</v>
      </c>
      <c r="W1625" s="5">
        <f>R1625-V1625</f>
        <v/>
      </c>
    </row>
    <row r="1626">
      <c r="A1626" s="3" t="n">
        <v>40829</v>
      </c>
      <c r="B1626">
        <f>Prices!B1626</f>
        <v/>
      </c>
      <c r="C1626">
        <f>Prices!C1626</f>
        <v/>
      </c>
      <c r="D1626">
        <f>Prices!D1626</f>
        <v/>
      </c>
      <c r="E1626">
        <f>Prices!E1626</f>
        <v/>
      </c>
      <c r="F1626">
        <f>Prices!F1626</f>
        <v/>
      </c>
      <c r="G1626">
        <f>IF(AND(1624&gt;=16,TEXT(A1626,"yyyy-mm")&lt;&gt;TEXT(A1627,"yyyy-mm")),1,0)</f>
        <v/>
      </c>
      <c r="H1626">
        <f>IF(OR(H1625=1,G1626=1),1,0)</f>
        <v/>
      </c>
      <c r="I1626">
        <f>IF(H1625=0,1,SUMPRODUCT(J1625:N1625,B1626:F1626)+O1625*(1+0.00023125256064071564))</f>
        <v/>
      </c>
      <c r="J1626">
        <f>IF(G1626=1,0.2*R1626/B1626,J1625)</f>
        <v/>
      </c>
      <c r="K1626">
        <f>IF(G1626=1,0.2*R1626/C1626,K1625)</f>
        <v/>
      </c>
      <c r="L1626">
        <f>IF(G1626=1,0.2*R1626/D1626,L1625)</f>
        <v/>
      </c>
      <c r="M1626">
        <f>IF(G1626=1,0.2*R1626/E1626,M1625)</f>
        <v/>
      </c>
      <c r="N1626">
        <f>IF(G1626=1,0.2*R1626/F1626,N1625)</f>
        <v/>
      </c>
      <c r="O1626">
        <f>IF(G1626=1,R1626*(1-1.0),IF(H1625=0,1,O1625*(1+0.00023125256064071564)))</f>
        <v/>
      </c>
      <c r="P1626">
        <f>IF(G1626=1,IF(H1625=0,1,ABS(0.2-J1625*B1626/I1626)+ABS(0.2-K1625*C1626/I1626)+ABS(0.2-L1625*D1626/I1626)+ABS(0.2-M1625*E1626/I1626)+ABS(0.2-N1625*F1626/I1626)),0)</f>
        <v/>
      </c>
      <c r="Q1626">
        <f>P1626*0.0015</f>
        <v/>
      </c>
      <c r="R1626">
        <f>I1626*(1-Q1626)</f>
        <v/>
      </c>
      <c r="S1626">
        <f>R1626/R1625-1</f>
        <v/>
      </c>
      <c r="T1626">
        <f>MAX(T1625,R1626)</f>
        <v/>
      </c>
      <c r="U1626">
        <f>R1626/T1626-1</f>
        <v/>
      </c>
      <c r="V1626" t="n">
        <v>3.12338894944043</v>
      </c>
      <c r="W1626" s="5">
        <f>R1626-V1626</f>
        <v/>
      </c>
    </row>
    <row r="1627">
      <c r="A1627" s="3" t="n">
        <v>40830</v>
      </c>
      <c r="B1627">
        <f>Prices!B1627</f>
        <v/>
      </c>
      <c r="C1627">
        <f>Prices!C1627</f>
        <v/>
      </c>
      <c r="D1627">
        <f>Prices!D1627</f>
        <v/>
      </c>
      <c r="E1627">
        <f>Prices!E1627</f>
        <v/>
      </c>
      <c r="F1627">
        <f>Prices!F1627</f>
        <v/>
      </c>
      <c r="G1627">
        <f>IF(AND(1625&gt;=16,TEXT(A1627,"yyyy-mm")&lt;&gt;TEXT(A1628,"yyyy-mm")),1,0)</f>
        <v/>
      </c>
      <c r="H1627">
        <f>IF(OR(H1626=1,G1627=1),1,0)</f>
        <v/>
      </c>
      <c r="I1627">
        <f>IF(H1626=0,1,SUMPRODUCT(J1626:N1626,B1627:F1627)+O1626*(1+0.00023125256064071564))</f>
        <v/>
      </c>
      <c r="J1627">
        <f>IF(G1627=1,0.2*R1627/B1627,J1626)</f>
        <v/>
      </c>
      <c r="K1627">
        <f>IF(G1627=1,0.2*R1627/C1627,K1626)</f>
        <v/>
      </c>
      <c r="L1627">
        <f>IF(G1627=1,0.2*R1627/D1627,L1626)</f>
        <v/>
      </c>
      <c r="M1627">
        <f>IF(G1627=1,0.2*R1627/E1627,M1626)</f>
        <v/>
      </c>
      <c r="N1627">
        <f>IF(G1627=1,0.2*R1627/F1627,N1626)</f>
        <v/>
      </c>
      <c r="O1627">
        <f>IF(G1627=1,R1627*(1-1.0),IF(H1626=0,1,O1626*(1+0.00023125256064071564)))</f>
        <v/>
      </c>
      <c r="P1627">
        <f>IF(G1627=1,IF(H1626=0,1,ABS(0.2-J1626*B1627/I1627)+ABS(0.2-K1626*C1627/I1627)+ABS(0.2-L1626*D1627/I1627)+ABS(0.2-M1626*E1627/I1627)+ABS(0.2-N1626*F1627/I1627)),0)</f>
        <v/>
      </c>
      <c r="Q1627">
        <f>P1627*0.0015</f>
        <v/>
      </c>
      <c r="R1627">
        <f>I1627*(1-Q1627)</f>
        <v/>
      </c>
      <c r="S1627">
        <f>R1627/R1626-1</f>
        <v/>
      </c>
      <c r="T1627">
        <f>MAX(T1626,R1627)</f>
        <v/>
      </c>
      <c r="U1627">
        <f>R1627/T1627-1</f>
        <v/>
      </c>
      <c r="V1627" t="n">
        <v>3.144054105485477</v>
      </c>
      <c r="W1627" s="5">
        <f>R1627-V1627</f>
        <v/>
      </c>
    </row>
    <row r="1628">
      <c r="A1628" s="3" t="n">
        <v>40833</v>
      </c>
      <c r="B1628">
        <f>Prices!B1628</f>
        <v/>
      </c>
      <c r="C1628">
        <f>Prices!C1628</f>
        <v/>
      </c>
      <c r="D1628">
        <f>Prices!D1628</f>
        <v/>
      </c>
      <c r="E1628">
        <f>Prices!E1628</f>
        <v/>
      </c>
      <c r="F1628">
        <f>Prices!F1628</f>
        <v/>
      </c>
      <c r="G1628">
        <f>IF(AND(1626&gt;=16,TEXT(A1628,"yyyy-mm")&lt;&gt;TEXT(A1629,"yyyy-mm")),1,0)</f>
        <v/>
      </c>
      <c r="H1628">
        <f>IF(OR(H1627=1,G1628=1),1,0)</f>
        <v/>
      </c>
      <c r="I1628">
        <f>IF(H1627=0,1,SUMPRODUCT(J1627:N1627,B1628:F1628)+O1627*(1+0.00023125256064071564))</f>
        <v/>
      </c>
      <c r="J1628">
        <f>IF(G1628=1,0.2*R1628/B1628,J1627)</f>
        <v/>
      </c>
      <c r="K1628">
        <f>IF(G1628=1,0.2*R1628/C1628,K1627)</f>
        <v/>
      </c>
      <c r="L1628">
        <f>IF(G1628=1,0.2*R1628/D1628,L1627)</f>
        <v/>
      </c>
      <c r="M1628">
        <f>IF(G1628=1,0.2*R1628/E1628,M1627)</f>
        <v/>
      </c>
      <c r="N1628">
        <f>IF(G1628=1,0.2*R1628/F1628,N1627)</f>
        <v/>
      </c>
      <c r="O1628">
        <f>IF(G1628=1,R1628*(1-1.0),IF(H1627=0,1,O1627*(1+0.00023125256064071564)))</f>
        <v/>
      </c>
      <c r="P1628">
        <f>IF(G1628=1,IF(H1627=0,1,ABS(0.2-J1627*B1628/I1628)+ABS(0.2-K1627*C1628/I1628)+ABS(0.2-L1627*D1628/I1628)+ABS(0.2-M1627*E1628/I1628)+ABS(0.2-N1627*F1628/I1628)),0)</f>
        <v/>
      </c>
      <c r="Q1628">
        <f>P1628*0.0015</f>
        <v/>
      </c>
      <c r="R1628">
        <f>I1628*(1-Q1628)</f>
        <v/>
      </c>
      <c r="S1628">
        <f>R1628/R1627-1</f>
        <v/>
      </c>
      <c r="T1628">
        <f>MAX(T1627,R1628)</f>
        <v/>
      </c>
      <c r="U1628">
        <f>R1628/T1628-1</f>
        <v/>
      </c>
      <c r="V1628" t="n">
        <v>3.145556910967726</v>
      </c>
      <c r="W1628" s="5">
        <f>R1628-V1628</f>
        <v/>
      </c>
    </row>
    <row r="1629">
      <c r="A1629" s="3" t="n">
        <v>40834</v>
      </c>
      <c r="B1629">
        <f>Prices!B1629</f>
        <v/>
      </c>
      <c r="C1629">
        <f>Prices!C1629</f>
        <v/>
      </c>
      <c r="D1629">
        <f>Prices!D1629</f>
        <v/>
      </c>
      <c r="E1629">
        <f>Prices!E1629</f>
        <v/>
      </c>
      <c r="F1629">
        <f>Prices!F1629</f>
        <v/>
      </c>
      <c r="G1629">
        <f>IF(AND(1627&gt;=16,TEXT(A1629,"yyyy-mm")&lt;&gt;TEXT(A1630,"yyyy-mm")),1,0)</f>
        <v/>
      </c>
      <c r="H1629">
        <f>IF(OR(H1628=1,G1629=1),1,0)</f>
        <v/>
      </c>
      <c r="I1629">
        <f>IF(H1628=0,1,SUMPRODUCT(J1628:N1628,B1629:F1629)+O1628*(1+0.00023125256064071564))</f>
        <v/>
      </c>
      <c r="J1629">
        <f>IF(G1629=1,0.2*R1629/B1629,J1628)</f>
        <v/>
      </c>
      <c r="K1629">
        <f>IF(G1629=1,0.2*R1629/C1629,K1628)</f>
        <v/>
      </c>
      <c r="L1629">
        <f>IF(G1629=1,0.2*R1629/D1629,L1628)</f>
        <v/>
      </c>
      <c r="M1629">
        <f>IF(G1629=1,0.2*R1629/E1629,M1628)</f>
        <v/>
      </c>
      <c r="N1629">
        <f>IF(G1629=1,0.2*R1629/F1629,N1628)</f>
        <v/>
      </c>
      <c r="O1629">
        <f>IF(G1629=1,R1629*(1-1.0),IF(H1628=0,1,O1628*(1+0.00023125256064071564)))</f>
        <v/>
      </c>
      <c r="P1629">
        <f>IF(G1629=1,IF(H1628=0,1,ABS(0.2-J1628*B1629/I1629)+ABS(0.2-K1628*C1629/I1629)+ABS(0.2-L1628*D1629/I1629)+ABS(0.2-M1628*E1629/I1629)+ABS(0.2-N1628*F1629/I1629)),0)</f>
        <v/>
      </c>
      <c r="Q1629">
        <f>P1629*0.0015</f>
        <v/>
      </c>
      <c r="R1629">
        <f>I1629*(1-Q1629)</f>
        <v/>
      </c>
      <c r="S1629">
        <f>R1629/R1628-1</f>
        <v/>
      </c>
      <c r="T1629">
        <f>MAX(T1628,R1629)</f>
        <v/>
      </c>
      <c r="U1629">
        <f>R1629/T1629-1</f>
        <v/>
      </c>
      <c r="V1629" t="n">
        <v>3.103168330459694</v>
      </c>
      <c r="W1629" s="5">
        <f>R1629-V1629</f>
        <v/>
      </c>
    </row>
    <row r="1630">
      <c r="A1630" s="3" t="n">
        <v>40835</v>
      </c>
      <c r="B1630">
        <f>Prices!B1630</f>
        <v/>
      </c>
      <c r="C1630">
        <f>Prices!C1630</f>
        <v/>
      </c>
      <c r="D1630">
        <f>Prices!D1630</f>
        <v/>
      </c>
      <c r="E1630">
        <f>Prices!E1630</f>
        <v/>
      </c>
      <c r="F1630">
        <f>Prices!F1630</f>
        <v/>
      </c>
      <c r="G1630">
        <f>IF(AND(1628&gt;=16,TEXT(A1630,"yyyy-mm")&lt;&gt;TEXT(A1631,"yyyy-mm")),1,0)</f>
        <v/>
      </c>
      <c r="H1630">
        <f>IF(OR(H1629=1,G1630=1),1,0)</f>
        <v/>
      </c>
      <c r="I1630">
        <f>IF(H1629=0,1,SUMPRODUCT(J1629:N1629,B1630:F1630)+O1629*(1+0.00023125256064071564))</f>
        <v/>
      </c>
      <c r="J1630">
        <f>IF(G1630=1,0.2*R1630/B1630,J1629)</f>
        <v/>
      </c>
      <c r="K1630">
        <f>IF(G1630=1,0.2*R1630/C1630,K1629)</f>
        <v/>
      </c>
      <c r="L1630">
        <f>IF(G1630=1,0.2*R1630/D1630,L1629)</f>
        <v/>
      </c>
      <c r="M1630">
        <f>IF(G1630=1,0.2*R1630/E1630,M1629)</f>
        <v/>
      </c>
      <c r="N1630">
        <f>IF(G1630=1,0.2*R1630/F1630,N1629)</f>
        <v/>
      </c>
      <c r="O1630">
        <f>IF(G1630=1,R1630*(1-1.0),IF(H1629=0,1,O1629*(1+0.00023125256064071564)))</f>
        <v/>
      </c>
      <c r="P1630">
        <f>IF(G1630=1,IF(H1629=0,1,ABS(0.2-J1629*B1630/I1630)+ABS(0.2-K1629*C1630/I1630)+ABS(0.2-L1629*D1630/I1630)+ABS(0.2-M1629*E1630/I1630)+ABS(0.2-N1629*F1630/I1630)),0)</f>
        <v/>
      </c>
      <c r="Q1630">
        <f>P1630*0.0015</f>
        <v/>
      </c>
      <c r="R1630">
        <f>I1630*(1-Q1630)</f>
        <v/>
      </c>
      <c r="S1630">
        <f>R1630/R1629-1</f>
        <v/>
      </c>
      <c r="T1630">
        <f>MAX(T1629,R1630)</f>
        <v/>
      </c>
      <c r="U1630">
        <f>R1630/T1630-1</f>
        <v/>
      </c>
      <c r="V1630" t="n">
        <v>3.146981560358185</v>
      </c>
      <c r="W1630" s="5">
        <f>R1630-V1630</f>
        <v/>
      </c>
    </row>
    <row r="1631">
      <c r="A1631" s="3" t="n">
        <v>40836</v>
      </c>
      <c r="B1631">
        <f>Prices!B1631</f>
        <v/>
      </c>
      <c r="C1631">
        <f>Prices!C1631</f>
        <v/>
      </c>
      <c r="D1631">
        <f>Prices!D1631</f>
        <v/>
      </c>
      <c r="E1631">
        <f>Prices!E1631</f>
        <v/>
      </c>
      <c r="F1631">
        <f>Prices!F1631</f>
        <v/>
      </c>
      <c r="G1631">
        <f>IF(AND(1629&gt;=16,TEXT(A1631,"yyyy-mm")&lt;&gt;TEXT(A1632,"yyyy-mm")),1,0)</f>
        <v/>
      </c>
      <c r="H1631">
        <f>IF(OR(H1630=1,G1631=1),1,0)</f>
        <v/>
      </c>
      <c r="I1631">
        <f>IF(H1630=0,1,SUMPRODUCT(J1630:N1630,B1631:F1631)+O1630*(1+0.00023125256064071564))</f>
        <v/>
      </c>
      <c r="J1631">
        <f>IF(G1631=1,0.2*R1631/B1631,J1630)</f>
        <v/>
      </c>
      <c r="K1631">
        <f>IF(G1631=1,0.2*R1631/C1631,K1630)</f>
        <v/>
      </c>
      <c r="L1631">
        <f>IF(G1631=1,0.2*R1631/D1631,L1630)</f>
        <v/>
      </c>
      <c r="M1631">
        <f>IF(G1631=1,0.2*R1631/E1631,M1630)</f>
        <v/>
      </c>
      <c r="N1631">
        <f>IF(G1631=1,0.2*R1631/F1631,N1630)</f>
        <v/>
      </c>
      <c r="O1631">
        <f>IF(G1631=1,R1631*(1-1.0),IF(H1630=0,1,O1630*(1+0.00023125256064071564)))</f>
        <v/>
      </c>
      <c r="P1631">
        <f>IF(G1631=1,IF(H1630=0,1,ABS(0.2-J1630*B1631/I1631)+ABS(0.2-K1630*C1631/I1631)+ABS(0.2-L1630*D1631/I1631)+ABS(0.2-M1630*E1631/I1631)+ABS(0.2-N1630*F1631/I1631)),0)</f>
        <v/>
      </c>
      <c r="Q1631">
        <f>P1631*0.0015</f>
        <v/>
      </c>
      <c r="R1631">
        <f>I1631*(1-Q1631)</f>
        <v/>
      </c>
      <c r="S1631">
        <f>R1631/R1630-1</f>
        <v/>
      </c>
      <c r="T1631">
        <f>MAX(T1630,R1631)</f>
        <v/>
      </c>
      <c r="U1631">
        <f>R1631/T1631-1</f>
        <v/>
      </c>
      <c r="V1631" t="n">
        <v>3.121878353842166</v>
      </c>
      <c r="W1631" s="5">
        <f>R1631-V1631</f>
        <v/>
      </c>
    </row>
    <row r="1632">
      <c r="A1632" s="3" t="n">
        <v>40837</v>
      </c>
      <c r="B1632">
        <f>Prices!B1632</f>
        <v/>
      </c>
      <c r="C1632">
        <f>Prices!C1632</f>
        <v/>
      </c>
      <c r="D1632">
        <f>Prices!D1632</f>
        <v/>
      </c>
      <c r="E1632">
        <f>Prices!E1632</f>
        <v/>
      </c>
      <c r="F1632">
        <f>Prices!F1632</f>
        <v/>
      </c>
      <c r="G1632">
        <f>IF(AND(1630&gt;=16,TEXT(A1632,"yyyy-mm")&lt;&gt;TEXT(A1633,"yyyy-mm")),1,0)</f>
        <v/>
      </c>
      <c r="H1632">
        <f>IF(OR(H1631=1,G1632=1),1,0)</f>
        <v/>
      </c>
      <c r="I1632">
        <f>IF(H1631=0,1,SUMPRODUCT(J1631:N1631,B1632:F1632)+O1631*(1+0.00023125256064071564))</f>
        <v/>
      </c>
      <c r="J1632">
        <f>IF(G1632=1,0.2*R1632/B1632,J1631)</f>
        <v/>
      </c>
      <c r="K1632">
        <f>IF(G1632=1,0.2*R1632/C1632,K1631)</f>
        <v/>
      </c>
      <c r="L1632">
        <f>IF(G1632=1,0.2*R1632/D1632,L1631)</f>
        <v/>
      </c>
      <c r="M1632">
        <f>IF(G1632=1,0.2*R1632/E1632,M1631)</f>
        <v/>
      </c>
      <c r="N1632">
        <f>IF(G1632=1,0.2*R1632/F1632,N1631)</f>
        <v/>
      </c>
      <c r="O1632">
        <f>IF(G1632=1,R1632*(1-1.0),IF(H1631=0,1,O1631*(1+0.00023125256064071564)))</f>
        <v/>
      </c>
      <c r="P1632">
        <f>IF(G1632=1,IF(H1631=0,1,ABS(0.2-J1631*B1632/I1632)+ABS(0.2-K1631*C1632/I1632)+ABS(0.2-L1631*D1632/I1632)+ABS(0.2-M1631*E1632/I1632)+ABS(0.2-N1631*F1632/I1632)),0)</f>
        <v/>
      </c>
      <c r="Q1632">
        <f>P1632*0.0015</f>
        <v/>
      </c>
      <c r="R1632">
        <f>I1632*(1-Q1632)</f>
        <v/>
      </c>
      <c r="S1632">
        <f>R1632/R1631-1</f>
        <v/>
      </c>
      <c r="T1632">
        <f>MAX(T1631,R1632)</f>
        <v/>
      </c>
      <c r="U1632">
        <f>R1632/T1632-1</f>
        <v/>
      </c>
      <c r="V1632" t="n">
        <v>3.108189258670172</v>
      </c>
      <c r="W1632" s="5">
        <f>R1632-V1632</f>
        <v/>
      </c>
    </row>
    <row r="1633">
      <c r="A1633" s="3" t="n">
        <v>40840</v>
      </c>
      <c r="B1633">
        <f>Prices!B1633</f>
        <v/>
      </c>
      <c r="C1633">
        <f>Prices!C1633</f>
        <v/>
      </c>
      <c r="D1633">
        <f>Prices!D1633</f>
        <v/>
      </c>
      <c r="E1633">
        <f>Prices!E1633</f>
        <v/>
      </c>
      <c r="F1633">
        <f>Prices!F1633</f>
        <v/>
      </c>
      <c r="G1633">
        <f>IF(AND(1631&gt;=16,TEXT(A1633,"yyyy-mm")&lt;&gt;TEXT(A1634,"yyyy-mm")),1,0)</f>
        <v/>
      </c>
      <c r="H1633">
        <f>IF(OR(H1632=1,G1633=1),1,0)</f>
        <v/>
      </c>
      <c r="I1633">
        <f>IF(H1632=0,1,SUMPRODUCT(J1632:N1632,B1633:F1633)+O1632*(1+0.00023125256064071564))</f>
        <v/>
      </c>
      <c r="J1633">
        <f>IF(G1633=1,0.2*R1633/B1633,J1632)</f>
        <v/>
      </c>
      <c r="K1633">
        <f>IF(G1633=1,0.2*R1633/C1633,K1632)</f>
        <v/>
      </c>
      <c r="L1633">
        <f>IF(G1633=1,0.2*R1633/D1633,L1632)</f>
        <v/>
      </c>
      <c r="M1633">
        <f>IF(G1633=1,0.2*R1633/E1633,M1632)</f>
        <v/>
      </c>
      <c r="N1633">
        <f>IF(G1633=1,0.2*R1633/F1633,N1632)</f>
        <v/>
      </c>
      <c r="O1633">
        <f>IF(G1633=1,R1633*(1-1.0),IF(H1632=0,1,O1632*(1+0.00023125256064071564)))</f>
        <v/>
      </c>
      <c r="P1633">
        <f>IF(G1633=1,IF(H1632=0,1,ABS(0.2-J1632*B1633/I1633)+ABS(0.2-K1632*C1633/I1633)+ABS(0.2-L1632*D1633/I1633)+ABS(0.2-M1632*E1633/I1633)+ABS(0.2-N1632*F1633/I1633)),0)</f>
        <v/>
      </c>
      <c r="Q1633">
        <f>P1633*0.0015</f>
        <v/>
      </c>
      <c r="R1633">
        <f>I1633*(1-Q1633)</f>
        <v/>
      </c>
      <c r="S1633">
        <f>R1633/R1632-1</f>
        <v/>
      </c>
      <c r="T1633">
        <f>MAX(T1632,R1633)</f>
        <v/>
      </c>
      <c r="U1633">
        <f>R1633/T1633-1</f>
        <v/>
      </c>
      <c r="V1633" t="n">
        <v>3.11505271725342</v>
      </c>
      <c r="W1633" s="5">
        <f>R1633-V1633</f>
        <v/>
      </c>
    </row>
    <row r="1634">
      <c r="A1634" s="3" t="n">
        <v>40841</v>
      </c>
      <c r="B1634">
        <f>Prices!B1634</f>
        <v/>
      </c>
      <c r="C1634">
        <f>Prices!C1634</f>
        <v/>
      </c>
      <c r="D1634">
        <f>Prices!D1634</f>
        <v/>
      </c>
      <c r="E1634">
        <f>Prices!E1634</f>
        <v/>
      </c>
      <c r="F1634">
        <f>Prices!F1634</f>
        <v/>
      </c>
      <c r="G1634">
        <f>IF(AND(1632&gt;=16,TEXT(A1634,"yyyy-mm")&lt;&gt;TEXT(A1635,"yyyy-mm")),1,0)</f>
        <v/>
      </c>
      <c r="H1634">
        <f>IF(OR(H1633=1,G1634=1),1,0)</f>
        <v/>
      </c>
      <c r="I1634">
        <f>IF(H1633=0,1,SUMPRODUCT(J1633:N1633,B1634:F1634)+O1633*(1+0.00023125256064071564))</f>
        <v/>
      </c>
      <c r="J1634">
        <f>IF(G1634=1,0.2*R1634/B1634,J1633)</f>
        <v/>
      </c>
      <c r="K1634">
        <f>IF(G1634=1,0.2*R1634/C1634,K1633)</f>
        <v/>
      </c>
      <c r="L1634">
        <f>IF(G1634=1,0.2*R1634/D1634,L1633)</f>
        <v/>
      </c>
      <c r="M1634">
        <f>IF(G1634=1,0.2*R1634/E1634,M1633)</f>
        <v/>
      </c>
      <c r="N1634">
        <f>IF(G1634=1,0.2*R1634/F1634,N1633)</f>
        <v/>
      </c>
      <c r="O1634">
        <f>IF(G1634=1,R1634*(1-1.0),IF(H1633=0,1,O1633*(1+0.00023125256064071564)))</f>
        <v/>
      </c>
      <c r="P1634">
        <f>IF(G1634=1,IF(H1633=0,1,ABS(0.2-J1633*B1634/I1634)+ABS(0.2-K1633*C1634/I1634)+ABS(0.2-L1633*D1634/I1634)+ABS(0.2-M1633*E1634/I1634)+ABS(0.2-N1633*F1634/I1634)),0)</f>
        <v/>
      </c>
      <c r="Q1634">
        <f>P1634*0.0015</f>
        <v/>
      </c>
      <c r="R1634">
        <f>I1634*(1-Q1634)</f>
        <v/>
      </c>
      <c r="S1634">
        <f>R1634/R1633-1</f>
        <v/>
      </c>
      <c r="T1634">
        <f>MAX(T1633,R1634)</f>
        <v/>
      </c>
      <c r="U1634">
        <f>R1634/T1634-1</f>
        <v/>
      </c>
      <c r="V1634" t="n">
        <v>3.131004214768452</v>
      </c>
      <c r="W1634" s="5">
        <f>R1634-V1634</f>
        <v/>
      </c>
    </row>
    <row r="1635">
      <c r="A1635" s="3" t="n">
        <v>40842</v>
      </c>
      <c r="B1635">
        <f>Prices!B1635</f>
        <v/>
      </c>
      <c r="C1635">
        <f>Prices!C1635</f>
        <v/>
      </c>
      <c r="D1635">
        <f>Prices!D1635</f>
        <v/>
      </c>
      <c r="E1635">
        <f>Prices!E1635</f>
        <v/>
      </c>
      <c r="F1635">
        <f>Prices!F1635</f>
        <v/>
      </c>
      <c r="G1635">
        <f>IF(AND(1633&gt;=16,TEXT(A1635,"yyyy-mm")&lt;&gt;TEXT(A1636,"yyyy-mm")),1,0)</f>
        <v/>
      </c>
      <c r="H1635">
        <f>IF(OR(H1634=1,G1635=1),1,0)</f>
        <v/>
      </c>
      <c r="I1635">
        <f>IF(H1634=0,1,SUMPRODUCT(J1634:N1634,B1635:F1635)+O1634*(1+0.00023125256064071564))</f>
        <v/>
      </c>
      <c r="J1635">
        <f>IF(G1635=1,0.2*R1635/B1635,J1634)</f>
        <v/>
      </c>
      <c r="K1635">
        <f>IF(G1635=1,0.2*R1635/C1635,K1634)</f>
        <v/>
      </c>
      <c r="L1635">
        <f>IF(G1635=1,0.2*R1635/D1635,L1634)</f>
        <v/>
      </c>
      <c r="M1635">
        <f>IF(G1635=1,0.2*R1635/E1635,M1634)</f>
        <v/>
      </c>
      <c r="N1635">
        <f>IF(G1635=1,0.2*R1635/F1635,N1634)</f>
        <v/>
      </c>
      <c r="O1635">
        <f>IF(G1635=1,R1635*(1-1.0),IF(H1634=0,1,O1634*(1+0.00023125256064071564)))</f>
        <v/>
      </c>
      <c r="P1635">
        <f>IF(G1635=1,IF(H1634=0,1,ABS(0.2-J1634*B1635/I1635)+ABS(0.2-K1634*C1635/I1635)+ABS(0.2-L1634*D1635/I1635)+ABS(0.2-M1634*E1635/I1635)+ABS(0.2-N1634*F1635/I1635)),0)</f>
        <v/>
      </c>
      <c r="Q1635">
        <f>P1635*0.0015</f>
        <v/>
      </c>
      <c r="R1635">
        <f>I1635*(1-Q1635)</f>
        <v/>
      </c>
      <c r="S1635">
        <f>R1635/R1634-1</f>
        <v/>
      </c>
      <c r="T1635">
        <f>MAX(T1634,R1635)</f>
        <v/>
      </c>
      <c r="U1635">
        <f>R1635/T1635-1</f>
        <v/>
      </c>
      <c r="V1635" t="n">
        <v>3.153522748325506</v>
      </c>
      <c r="W1635" s="5">
        <f>R1635-V1635</f>
        <v/>
      </c>
    </row>
    <row r="1636">
      <c r="A1636" s="3" t="n">
        <v>40844</v>
      </c>
      <c r="B1636">
        <f>Prices!B1636</f>
        <v/>
      </c>
      <c r="C1636">
        <f>Prices!C1636</f>
        <v/>
      </c>
      <c r="D1636">
        <f>Prices!D1636</f>
        <v/>
      </c>
      <c r="E1636">
        <f>Prices!E1636</f>
        <v/>
      </c>
      <c r="F1636">
        <f>Prices!F1636</f>
        <v/>
      </c>
      <c r="G1636">
        <f>IF(AND(1634&gt;=16,TEXT(A1636,"yyyy-mm")&lt;&gt;TEXT(A1637,"yyyy-mm")),1,0)</f>
        <v/>
      </c>
      <c r="H1636">
        <f>IF(OR(H1635=1,G1636=1),1,0)</f>
        <v/>
      </c>
      <c r="I1636">
        <f>IF(H1635=0,1,SUMPRODUCT(J1635:N1635,B1636:F1636)+O1635*(1+0.00023125256064071564))</f>
        <v/>
      </c>
      <c r="J1636">
        <f>IF(G1636=1,0.2*R1636/B1636,J1635)</f>
        <v/>
      </c>
      <c r="K1636">
        <f>IF(G1636=1,0.2*R1636/C1636,K1635)</f>
        <v/>
      </c>
      <c r="L1636">
        <f>IF(G1636=1,0.2*R1636/D1636,L1635)</f>
        <v/>
      </c>
      <c r="M1636">
        <f>IF(G1636=1,0.2*R1636/E1636,M1635)</f>
        <v/>
      </c>
      <c r="N1636">
        <f>IF(G1636=1,0.2*R1636/F1636,N1635)</f>
        <v/>
      </c>
      <c r="O1636">
        <f>IF(G1636=1,R1636*(1-1.0),IF(H1635=0,1,O1635*(1+0.00023125256064071564)))</f>
        <v/>
      </c>
      <c r="P1636">
        <f>IF(G1636=1,IF(H1635=0,1,ABS(0.2-J1635*B1636/I1636)+ABS(0.2-K1635*C1636/I1636)+ABS(0.2-L1635*D1636/I1636)+ABS(0.2-M1635*E1636/I1636)+ABS(0.2-N1635*F1636/I1636)),0)</f>
        <v/>
      </c>
      <c r="Q1636">
        <f>P1636*0.0015</f>
        <v/>
      </c>
      <c r="R1636">
        <f>I1636*(1-Q1636)</f>
        <v/>
      </c>
      <c r="S1636">
        <f>R1636/R1635-1</f>
        <v/>
      </c>
      <c r="T1636">
        <f>MAX(T1635,R1636)</f>
        <v/>
      </c>
      <c r="U1636">
        <f>R1636/T1636-1</f>
        <v/>
      </c>
      <c r="V1636" t="n">
        <v>3.196727655165096</v>
      </c>
      <c r="W1636" s="5">
        <f>R1636-V1636</f>
        <v/>
      </c>
    </row>
    <row r="1637">
      <c r="A1637" s="3" t="n">
        <v>40847</v>
      </c>
      <c r="B1637">
        <f>Prices!B1637</f>
        <v/>
      </c>
      <c r="C1637">
        <f>Prices!C1637</f>
        <v/>
      </c>
      <c r="D1637">
        <f>Prices!D1637</f>
        <v/>
      </c>
      <c r="E1637">
        <f>Prices!E1637</f>
        <v/>
      </c>
      <c r="F1637">
        <f>Prices!F1637</f>
        <v/>
      </c>
      <c r="G1637">
        <f>IF(AND(1635&gt;=16,TEXT(A1637,"yyyy-mm")&lt;&gt;TEXT(A1638,"yyyy-mm")),1,0)</f>
        <v/>
      </c>
      <c r="H1637">
        <f>IF(OR(H1636=1,G1637=1),1,0)</f>
        <v/>
      </c>
      <c r="I1637">
        <f>IF(H1636=0,1,SUMPRODUCT(J1636:N1636,B1637:F1637)+O1636*(1+0.00023125256064071564))</f>
        <v/>
      </c>
      <c r="J1637">
        <f>IF(G1637=1,0.2*R1637/B1637,J1636)</f>
        <v/>
      </c>
      <c r="K1637">
        <f>IF(G1637=1,0.2*R1637/C1637,K1636)</f>
        <v/>
      </c>
      <c r="L1637">
        <f>IF(G1637=1,0.2*R1637/D1637,L1636)</f>
        <v/>
      </c>
      <c r="M1637">
        <f>IF(G1637=1,0.2*R1637/E1637,M1636)</f>
        <v/>
      </c>
      <c r="N1637">
        <f>IF(G1637=1,0.2*R1637/F1637,N1636)</f>
        <v/>
      </c>
      <c r="O1637">
        <f>IF(G1637=1,R1637*(1-1.0),IF(H1636=0,1,O1636*(1+0.00023125256064071564)))</f>
        <v/>
      </c>
      <c r="P1637">
        <f>IF(G1637=1,IF(H1636=0,1,ABS(0.2-J1636*B1637/I1637)+ABS(0.2-K1636*C1637/I1637)+ABS(0.2-L1636*D1637/I1637)+ABS(0.2-M1636*E1637/I1637)+ABS(0.2-N1636*F1637/I1637)),0)</f>
        <v/>
      </c>
      <c r="Q1637">
        <f>P1637*0.0015</f>
        <v/>
      </c>
      <c r="R1637">
        <f>I1637*(1-Q1637)</f>
        <v/>
      </c>
      <c r="S1637">
        <f>R1637/R1636-1</f>
        <v/>
      </c>
      <c r="T1637">
        <f>MAX(T1636,R1637)</f>
        <v/>
      </c>
      <c r="U1637">
        <f>R1637/T1637-1</f>
        <v/>
      </c>
      <c r="V1637" t="n">
        <v>3.201762694395771</v>
      </c>
      <c r="W1637" s="5">
        <f>R1637-V1637</f>
        <v/>
      </c>
    </row>
    <row r="1638">
      <c r="A1638" s="3" t="n">
        <v>40848</v>
      </c>
      <c r="B1638">
        <f>Prices!B1638</f>
        <v/>
      </c>
      <c r="C1638">
        <f>Prices!C1638</f>
        <v/>
      </c>
      <c r="D1638">
        <f>Prices!D1638</f>
        <v/>
      </c>
      <c r="E1638">
        <f>Prices!E1638</f>
        <v/>
      </c>
      <c r="F1638">
        <f>Prices!F1638</f>
        <v/>
      </c>
      <c r="G1638">
        <f>IF(AND(1636&gt;=16,TEXT(A1638,"yyyy-mm")&lt;&gt;TEXT(A1639,"yyyy-mm")),1,0)</f>
        <v/>
      </c>
      <c r="H1638">
        <f>IF(OR(H1637=1,G1638=1),1,0)</f>
        <v/>
      </c>
      <c r="I1638">
        <f>IF(H1637=0,1,SUMPRODUCT(J1637:N1637,B1638:F1638)+O1637*(1+0.00023125256064071564))</f>
        <v/>
      </c>
      <c r="J1638">
        <f>IF(G1638=1,0.2*R1638/B1638,J1637)</f>
        <v/>
      </c>
      <c r="K1638">
        <f>IF(G1638=1,0.2*R1638/C1638,K1637)</f>
        <v/>
      </c>
      <c r="L1638">
        <f>IF(G1638=1,0.2*R1638/D1638,L1637)</f>
        <v/>
      </c>
      <c r="M1638">
        <f>IF(G1638=1,0.2*R1638/E1638,M1637)</f>
        <v/>
      </c>
      <c r="N1638">
        <f>IF(G1638=1,0.2*R1638/F1638,N1637)</f>
        <v/>
      </c>
      <c r="O1638">
        <f>IF(G1638=1,R1638*(1-1.0),IF(H1637=0,1,O1637*(1+0.00023125256064071564)))</f>
        <v/>
      </c>
      <c r="P1638">
        <f>IF(G1638=1,IF(H1637=0,1,ABS(0.2-J1637*B1638/I1638)+ABS(0.2-K1637*C1638/I1638)+ABS(0.2-L1637*D1638/I1638)+ABS(0.2-M1637*E1638/I1638)+ABS(0.2-N1637*F1638/I1638)),0)</f>
        <v/>
      </c>
      <c r="Q1638">
        <f>P1638*0.0015</f>
        <v/>
      </c>
      <c r="R1638">
        <f>I1638*(1-Q1638)</f>
        <v/>
      </c>
      <c r="S1638">
        <f>R1638/R1637-1</f>
        <v/>
      </c>
      <c r="T1638">
        <f>MAX(T1637,R1638)</f>
        <v/>
      </c>
      <c r="U1638">
        <f>R1638/T1638-1</f>
        <v/>
      </c>
      <c r="V1638" t="n">
        <v>3.188756421019439</v>
      </c>
      <c r="W1638" s="5">
        <f>R1638-V1638</f>
        <v/>
      </c>
    </row>
    <row r="1639">
      <c r="A1639" s="3" t="n">
        <v>40849</v>
      </c>
      <c r="B1639">
        <f>Prices!B1639</f>
        <v/>
      </c>
      <c r="C1639">
        <f>Prices!C1639</f>
        <v/>
      </c>
      <c r="D1639">
        <f>Prices!D1639</f>
        <v/>
      </c>
      <c r="E1639">
        <f>Prices!E1639</f>
        <v/>
      </c>
      <c r="F1639">
        <f>Prices!F1639</f>
        <v/>
      </c>
      <c r="G1639">
        <f>IF(AND(1637&gt;=16,TEXT(A1639,"yyyy-mm")&lt;&gt;TEXT(A1640,"yyyy-mm")),1,0)</f>
        <v/>
      </c>
      <c r="H1639">
        <f>IF(OR(H1638=1,G1639=1),1,0)</f>
        <v/>
      </c>
      <c r="I1639">
        <f>IF(H1638=0,1,SUMPRODUCT(J1638:N1638,B1639:F1639)+O1638*(1+0.00023125256064071564))</f>
        <v/>
      </c>
      <c r="J1639">
        <f>IF(G1639=1,0.2*R1639/B1639,J1638)</f>
        <v/>
      </c>
      <c r="K1639">
        <f>IF(G1639=1,0.2*R1639/C1639,K1638)</f>
        <v/>
      </c>
      <c r="L1639">
        <f>IF(G1639=1,0.2*R1639/D1639,L1638)</f>
        <v/>
      </c>
      <c r="M1639">
        <f>IF(G1639=1,0.2*R1639/E1639,M1638)</f>
        <v/>
      </c>
      <c r="N1639">
        <f>IF(G1639=1,0.2*R1639/F1639,N1638)</f>
        <v/>
      </c>
      <c r="O1639">
        <f>IF(G1639=1,R1639*(1-1.0),IF(H1638=0,1,O1638*(1+0.00023125256064071564)))</f>
        <v/>
      </c>
      <c r="P1639">
        <f>IF(G1639=1,IF(H1638=0,1,ABS(0.2-J1638*B1639/I1639)+ABS(0.2-K1638*C1639/I1639)+ABS(0.2-L1638*D1639/I1639)+ABS(0.2-M1638*E1639/I1639)+ABS(0.2-N1638*F1639/I1639)),0)</f>
        <v/>
      </c>
      <c r="Q1639">
        <f>P1639*0.0015</f>
        <v/>
      </c>
      <c r="R1639">
        <f>I1639*(1-Q1639)</f>
        <v/>
      </c>
      <c r="S1639">
        <f>R1639/R1638-1</f>
        <v/>
      </c>
      <c r="T1639">
        <f>MAX(T1638,R1639)</f>
        <v/>
      </c>
      <c r="U1639">
        <f>R1639/T1639-1</f>
        <v/>
      </c>
      <c r="V1639" t="n">
        <v>3.190139376239183</v>
      </c>
      <c r="W1639" s="5">
        <f>R1639-V1639</f>
        <v/>
      </c>
    </row>
    <row r="1640">
      <c r="A1640" s="3" t="n">
        <v>40850</v>
      </c>
      <c r="B1640">
        <f>Prices!B1640</f>
        <v/>
      </c>
      <c r="C1640">
        <f>Prices!C1640</f>
        <v/>
      </c>
      <c r="D1640">
        <f>Prices!D1640</f>
        <v/>
      </c>
      <c r="E1640">
        <f>Prices!E1640</f>
        <v/>
      </c>
      <c r="F1640">
        <f>Prices!F1640</f>
        <v/>
      </c>
      <c r="G1640">
        <f>IF(AND(1638&gt;=16,TEXT(A1640,"yyyy-mm")&lt;&gt;TEXT(A1641,"yyyy-mm")),1,0)</f>
        <v/>
      </c>
      <c r="H1640">
        <f>IF(OR(H1639=1,G1640=1),1,0)</f>
        <v/>
      </c>
      <c r="I1640">
        <f>IF(H1639=0,1,SUMPRODUCT(J1639:N1639,B1640:F1640)+O1639*(1+0.00023125256064071564))</f>
        <v/>
      </c>
      <c r="J1640">
        <f>IF(G1640=1,0.2*R1640/B1640,J1639)</f>
        <v/>
      </c>
      <c r="K1640">
        <f>IF(G1640=1,0.2*R1640/C1640,K1639)</f>
        <v/>
      </c>
      <c r="L1640">
        <f>IF(G1640=1,0.2*R1640/D1640,L1639)</f>
        <v/>
      </c>
      <c r="M1640">
        <f>IF(G1640=1,0.2*R1640/E1640,M1639)</f>
        <v/>
      </c>
      <c r="N1640">
        <f>IF(G1640=1,0.2*R1640/F1640,N1639)</f>
        <v/>
      </c>
      <c r="O1640">
        <f>IF(G1640=1,R1640*(1-1.0),IF(H1639=0,1,O1639*(1+0.00023125256064071564)))</f>
        <v/>
      </c>
      <c r="P1640">
        <f>IF(G1640=1,IF(H1639=0,1,ABS(0.2-J1639*B1640/I1640)+ABS(0.2-K1639*C1640/I1640)+ABS(0.2-L1639*D1640/I1640)+ABS(0.2-M1639*E1640/I1640)+ABS(0.2-N1639*F1640/I1640)),0)</f>
        <v/>
      </c>
      <c r="Q1640">
        <f>P1640*0.0015</f>
        <v/>
      </c>
      <c r="R1640">
        <f>I1640*(1-Q1640)</f>
        <v/>
      </c>
      <c r="S1640">
        <f>R1640/R1639-1</f>
        <v/>
      </c>
      <c r="T1640">
        <f>MAX(T1639,R1640)</f>
        <v/>
      </c>
      <c r="U1640">
        <f>R1640/T1640-1</f>
        <v/>
      </c>
      <c r="V1640" t="n">
        <v>3.192796622665353</v>
      </c>
      <c r="W1640" s="5">
        <f>R1640-V1640</f>
        <v/>
      </c>
    </row>
    <row r="1641">
      <c r="A1641" s="3" t="n">
        <v>40851</v>
      </c>
      <c r="B1641">
        <f>Prices!B1641</f>
        <v/>
      </c>
      <c r="C1641">
        <f>Prices!C1641</f>
        <v/>
      </c>
      <c r="D1641">
        <f>Prices!D1641</f>
        <v/>
      </c>
      <c r="E1641">
        <f>Prices!E1641</f>
        <v/>
      </c>
      <c r="F1641">
        <f>Prices!F1641</f>
        <v/>
      </c>
      <c r="G1641">
        <f>IF(AND(1639&gt;=16,TEXT(A1641,"yyyy-mm")&lt;&gt;TEXT(A1642,"yyyy-mm")),1,0)</f>
        <v/>
      </c>
      <c r="H1641">
        <f>IF(OR(H1640=1,G1641=1),1,0)</f>
        <v/>
      </c>
      <c r="I1641">
        <f>IF(H1640=0,1,SUMPRODUCT(J1640:N1640,B1641:F1641)+O1640*(1+0.00023125256064071564))</f>
        <v/>
      </c>
      <c r="J1641">
        <f>IF(G1641=1,0.2*R1641/B1641,J1640)</f>
        <v/>
      </c>
      <c r="K1641">
        <f>IF(G1641=1,0.2*R1641/C1641,K1640)</f>
        <v/>
      </c>
      <c r="L1641">
        <f>IF(G1641=1,0.2*R1641/D1641,L1640)</f>
        <v/>
      </c>
      <c r="M1641">
        <f>IF(G1641=1,0.2*R1641/E1641,M1640)</f>
        <v/>
      </c>
      <c r="N1641">
        <f>IF(G1641=1,0.2*R1641/F1641,N1640)</f>
        <v/>
      </c>
      <c r="O1641">
        <f>IF(G1641=1,R1641*(1-1.0),IF(H1640=0,1,O1640*(1+0.00023125256064071564)))</f>
        <v/>
      </c>
      <c r="P1641">
        <f>IF(G1641=1,IF(H1640=0,1,ABS(0.2-J1640*B1641/I1641)+ABS(0.2-K1640*C1641/I1641)+ABS(0.2-L1640*D1641/I1641)+ABS(0.2-M1640*E1641/I1641)+ABS(0.2-N1640*F1641/I1641)),0)</f>
        <v/>
      </c>
      <c r="Q1641">
        <f>P1641*0.0015</f>
        <v/>
      </c>
      <c r="R1641">
        <f>I1641*(1-Q1641)</f>
        <v/>
      </c>
      <c r="S1641">
        <f>R1641/R1640-1</f>
        <v/>
      </c>
      <c r="T1641">
        <f>MAX(T1640,R1641)</f>
        <v/>
      </c>
      <c r="U1641">
        <f>R1641/T1641-1</f>
        <v/>
      </c>
      <c r="V1641" t="n">
        <v>3.214070879312479</v>
      </c>
      <c r="W1641" s="5">
        <f>R1641-V1641</f>
        <v/>
      </c>
    </row>
    <row r="1642">
      <c r="A1642" s="3" t="n">
        <v>40855</v>
      </c>
      <c r="B1642">
        <f>Prices!B1642</f>
        <v/>
      </c>
      <c r="C1642">
        <f>Prices!C1642</f>
        <v/>
      </c>
      <c r="D1642">
        <f>Prices!D1642</f>
        <v/>
      </c>
      <c r="E1642">
        <f>Prices!E1642</f>
        <v/>
      </c>
      <c r="F1642">
        <f>Prices!F1642</f>
        <v/>
      </c>
      <c r="G1642">
        <f>IF(AND(1640&gt;=16,TEXT(A1642,"yyyy-mm")&lt;&gt;TEXT(A1643,"yyyy-mm")),1,0)</f>
        <v/>
      </c>
      <c r="H1642">
        <f>IF(OR(H1641=1,G1642=1),1,0)</f>
        <v/>
      </c>
      <c r="I1642">
        <f>IF(H1641=0,1,SUMPRODUCT(J1641:N1641,B1642:F1642)+O1641*(1+0.00023125256064071564))</f>
        <v/>
      </c>
      <c r="J1642">
        <f>IF(G1642=1,0.2*R1642/B1642,J1641)</f>
        <v/>
      </c>
      <c r="K1642">
        <f>IF(G1642=1,0.2*R1642/C1642,K1641)</f>
        <v/>
      </c>
      <c r="L1642">
        <f>IF(G1642=1,0.2*R1642/D1642,L1641)</f>
        <v/>
      </c>
      <c r="M1642">
        <f>IF(G1642=1,0.2*R1642/E1642,M1641)</f>
        <v/>
      </c>
      <c r="N1642">
        <f>IF(G1642=1,0.2*R1642/F1642,N1641)</f>
        <v/>
      </c>
      <c r="O1642">
        <f>IF(G1642=1,R1642*(1-1.0),IF(H1641=0,1,O1641*(1+0.00023125256064071564)))</f>
        <v/>
      </c>
      <c r="P1642">
        <f>IF(G1642=1,IF(H1641=0,1,ABS(0.2-J1641*B1642/I1642)+ABS(0.2-K1641*C1642/I1642)+ABS(0.2-L1641*D1642/I1642)+ABS(0.2-M1641*E1642/I1642)+ABS(0.2-N1641*F1642/I1642)),0)</f>
        <v/>
      </c>
      <c r="Q1642">
        <f>P1642*0.0015</f>
        <v/>
      </c>
      <c r="R1642">
        <f>I1642*(1-Q1642)</f>
        <v/>
      </c>
      <c r="S1642">
        <f>R1642/R1641-1</f>
        <v/>
      </c>
      <c r="T1642">
        <f>MAX(T1641,R1642)</f>
        <v/>
      </c>
      <c r="U1642">
        <f>R1642/T1642-1</f>
        <v/>
      </c>
      <c r="V1642" t="n">
        <v>3.21063769487767</v>
      </c>
      <c r="W1642" s="5">
        <f>R1642-V1642</f>
        <v/>
      </c>
    </row>
    <row r="1643">
      <c r="A1643" s="3" t="n">
        <v>40856</v>
      </c>
      <c r="B1643">
        <f>Prices!B1643</f>
        <v/>
      </c>
      <c r="C1643">
        <f>Prices!C1643</f>
        <v/>
      </c>
      <c r="D1643">
        <f>Prices!D1643</f>
        <v/>
      </c>
      <c r="E1643">
        <f>Prices!E1643</f>
        <v/>
      </c>
      <c r="F1643">
        <f>Prices!F1643</f>
        <v/>
      </c>
      <c r="G1643">
        <f>IF(AND(1641&gt;=16,TEXT(A1643,"yyyy-mm")&lt;&gt;TEXT(A1644,"yyyy-mm")),1,0)</f>
        <v/>
      </c>
      <c r="H1643">
        <f>IF(OR(H1642=1,G1643=1),1,0)</f>
        <v/>
      </c>
      <c r="I1643">
        <f>IF(H1642=0,1,SUMPRODUCT(J1642:N1642,B1643:F1643)+O1642*(1+0.00023125256064071564))</f>
        <v/>
      </c>
      <c r="J1643">
        <f>IF(G1643=1,0.2*R1643/B1643,J1642)</f>
        <v/>
      </c>
      <c r="K1643">
        <f>IF(G1643=1,0.2*R1643/C1643,K1642)</f>
        <v/>
      </c>
      <c r="L1643">
        <f>IF(G1643=1,0.2*R1643/D1643,L1642)</f>
        <v/>
      </c>
      <c r="M1643">
        <f>IF(G1643=1,0.2*R1643/E1643,M1642)</f>
        <v/>
      </c>
      <c r="N1643">
        <f>IF(G1643=1,0.2*R1643/F1643,N1642)</f>
        <v/>
      </c>
      <c r="O1643">
        <f>IF(G1643=1,R1643*(1-1.0),IF(H1642=0,1,O1642*(1+0.00023125256064071564)))</f>
        <v/>
      </c>
      <c r="P1643">
        <f>IF(G1643=1,IF(H1642=0,1,ABS(0.2-J1642*B1643/I1643)+ABS(0.2-K1642*C1643/I1643)+ABS(0.2-L1642*D1643/I1643)+ABS(0.2-M1642*E1643/I1643)+ABS(0.2-N1642*F1643/I1643)),0)</f>
        <v/>
      </c>
      <c r="Q1643">
        <f>P1643*0.0015</f>
        <v/>
      </c>
      <c r="R1643">
        <f>I1643*(1-Q1643)</f>
        <v/>
      </c>
      <c r="S1643">
        <f>R1643/R1642-1</f>
        <v/>
      </c>
      <c r="T1643">
        <f>MAX(T1642,R1643)</f>
        <v/>
      </c>
      <c r="U1643">
        <f>R1643/T1643-1</f>
        <v/>
      </c>
      <c r="V1643" t="n">
        <v>3.169925407750581</v>
      </c>
      <c r="W1643" s="5">
        <f>R1643-V1643</f>
        <v/>
      </c>
    </row>
    <row r="1644">
      <c r="A1644" s="3" t="n">
        <v>40858</v>
      </c>
      <c r="B1644">
        <f>Prices!B1644</f>
        <v/>
      </c>
      <c r="C1644">
        <f>Prices!C1644</f>
        <v/>
      </c>
      <c r="D1644">
        <f>Prices!D1644</f>
        <v/>
      </c>
      <c r="E1644">
        <f>Prices!E1644</f>
        <v/>
      </c>
      <c r="F1644">
        <f>Prices!F1644</f>
        <v/>
      </c>
      <c r="G1644">
        <f>IF(AND(1642&gt;=16,TEXT(A1644,"yyyy-mm")&lt;&gt;TEXT(A1645,"yyyy-mm")),1,0)</f>
        <v/>
      </c>
      <c r="H1644">
        <f>IF(OR(H1643=1,G1644=1),1,0)</f>
        <v/>
      </c>
      <c r="I1644">
        <f>IF(H1643=0,1,SUMPRODUCT(J1643:N1643,B1644:F1644)+O1643*(1+0.00023125256064071564))</f>
        <v/>
      </c>
      <c r="J1644">
        <f>IF(G1644=1,0.2*R1644/B1644,J1643)</f>
        <v/>
      </c>
      <c r="K1644">
        <f>IF(G1644=1,0.2*R1644/C1644,K1643)</f>
        <v/>
      </c>
      <c r="L1644">
        <f>IF(G1644=1,0.2*R1644/D1644,L1643)</f>
        <v/>
      </c>
      <c r="M1644">
        <f>IF(G1644=1,0.2*R1644/E1644,M1643)</f>
        <v/>
      </c>
      <c r="N1644">
        <f>IF(G1644=1,0.2*R1644/F1644,N1643)</f>
        <v/>
      </c>
      <c r="O1644">
        <f>IF(G1644=1,R1644*(1-1.0),IF(H1643=0,1,O1643*(1+0.00023125256064071564)))</f>
        <v/>
      </c>
      <c r="P1644">
        <f>IF(G1644=1,IF(H1643=0,1,ABS(0.2-J1643*B1644/I1644)+ABS(0.2-K1643*C1644/I1644)+ABS(0.2-L1643*D1644/I1644)+ABS(0.2-M1643*E1644/I1644)+ABS(0.2-N1643*F1644/I1644)),0)</f>
        <v/>
      </c>
      <c r="Q1644">
        <f>P1644*0.0015</f>
        <v/>
      </c>
      <c r="R1644">
        <f>I1644*(1-Q1644)</f>
        <v/>
      </c>
      <c r="S1644">
        <f>R1644/R1643-1</f>
        <v/>
      </c>
      <c r="T1644">
        <f>MAX(T1643,R1644)</f>
        <v/>
      </c>
      <c r="U1644">
        <f>R1644/T1644-1</f>
        <v/>
      </c>
      <c r="V1644" t="n">
        <v>3.143698160236878</v>
      </c>
      <c r="W1644" s="5">
        <f>R1644-V1644</f>
        <v/>
      </c>
    </row>
    <row r="1645">
      <c r="A1645" s="3" t="n">
        <v>40861</v>
      </c>
      <c r="B1645">
        <f>Prices!B1645</f>
        <v/>
      </c>
      <c r="C1645">
        <f>Prices!C1645</f>
        <v/>
      </c>
      <c r="D1645">
        <f>Prices!D1645</f>
        <v/>
      </c>
      <c r="E1645">
        <f>Prices!E1645</f>
        <v/>
      </c>
      <c r="F1645">
        <f>Prices!F1645</f>
        <v/>
      </c>
      <c r="G1645">
        <f>IF(AND(1643&gt;=16,TEXT(A1645,"yyyy-mm")&lt;&gt;TEXT(A1646,"yyyy-mm")),1,0)</f>
        <v/>
      </c>
      <c r="H1645">
        <f>IF(OR(H1644=1,G1645=1),1,0)</f>
        <v/>
      </c>
      <c r="I1645">
        <f>IF(H1644=0,1,SUMPRODUCT(J1644:N1644,B1645:F1645)+O1644*(1+0.00023125256064071564))</f>
        <v/>
      </c>
      <c r="J1645">
        <f>IF(G1645=1,0.2*R1645/B1645,J1644)</f>
        <v/>
      </c>
      <c r="K1645">
        <f>IF(G1645=1,0.2*R1645/C1645,K1644)</f>
        <v/>
      </c>
      <c r="L1645">
        <f>IF(G1645=1,0.2*R1645/D1645,L1644)</f>
        <v/>
      </c>
      <c r="M1645">
        <f>IF(G1645=1,0.2*R1645/E1645,M1644)</f>
        <v/>
      </c>
      <c r="N1645">
        <f>IF(G1645=1,0.2*R1645/F1645,N1644)</f>
        <v/>
      </c>
      <c r="O1645">
        <f>IF(G1645=1,R1645*(1-1.0),IF(H1644=0,1,O1644*(1+0.00023125256064071564)))</f>
        <v/>
      </c>
      <c r="P1645">
        <f>IF(G1645=1,IF(H1644=0,1,ABS(0.2-J1644*B1645/I1645)+ABS(0.2-K1644*C1645/I1645)+ABS(0.2-L1644*D1645/I1645)+ABS(0.2-M1644*E1645/I1645)+ABS(0.2-N1644*F1645/I1645)),0)</f>
        <v/>
      </c>
      <c r="Q1645">
        <f>P1645*0.0015</f>
        <v/>
      </c>
      <c r="R1645">
        <f>I1645*(1-Q1645)</f>
        <v/>
      </c>
      <c r="S1645">
        <f>R1645/R1644-1</f>
        <v/>
      </c>
      <c r="T1645">
        <f>MAX(T1644,R1645)</f>
        <v/>
      </c>
      <c r="U1645">
        <f>R1645/T1645-1</f>
        <v/>
      </c>
      <c r="V1645" t="n">
        <v>3.115332959375012</v>
      </c>
      <c r="W1645" s="5">
        <f>R1645-V1645</f>
        <v/>
      </c>
    </row>
    <row r="1646">
      <c r="A1646" s="3" t="n">
        <v>40862</v>
      </c>
      <c r="B1646">
        <f>Prices!B1646</f>
        <v/>
      </c>
      <c r="C1646">
        <f>Prices!C1646</f>
        <v/>
      </c>
      <c r="D1646">
        <f>Prices!D1646</f>
        <v/>
      </c>
      <c r="E1646">
        <f>Prices!E1646</f>
        <v/>
      </c>
      <c r="F1646">
        <f>Prices!F1646</f>
        <v/>
      </c>
      <c r="G1646">
        <f>IF(AND(1644&gt;=16,TEXT(A1646,"yyyy-mm")&lt;&gt;TEXT(A1647,"yyyy-mm")),1,0)</f>
        <v/>
      </c>
      <c r="H1646">
        <f>IF(OR(H1645=1,G1646=1),1,0)</f>
        <v/>
      </c>
      <c r="I1646">
        <f>IF(H1645=0,1,SUMPRODUCT(J1645:N1645,B1646:F1646)+O1645*(1+0.00023125256064071564))</f>
        <v/>
      </c>
      <c r="J1646">
        <f>IF(G1646=1,0.2*R1646/B1646,J1645)</f>
        <v/>
      </c>
      <c r="K1646">
        <f>IF(G1646=1,0.2*R1646/C1646,K1645)</f>
        <v/>
      </c>
      <c r="L1646">
        <f>IF(G1646=1,0.2*R1646/D1646,L1645)</f>
        <v/>
      </c>
      <c r="M1646">
        <f>IF(G1646=1,0.2*R1646/E1646,M1645)</f>
        <v/>
      </c>
      <c r="N1646">
        <f>IF(G1646=1,0.2*R1646/F1646,N1645)</f>
        <v/>
      </c>
      <c r="O1646">
        <f>IF(G1646=1,R1646*(1-1.0),IF(H1645=0,1,O1645*(1+0.00023125256064071564)))</f>
        <v/>
      </c>
      <c r="P1646">
        <f>IF(G1646=1,IF(H1645=0,1,ABS(0.2-J1645*B1646/I1646)+ABS(0.2-K1645*C1646/I1646)+ABS(0.2-L1645*D1646/I1646)+ABS(0.2-M1645*E1646/I1646)+ABS(0.2-N1645*F1646/I1646)),0)</f>
        <v/>
      </c>
      <c r="Q1646">
        <f>P1646*0.0015</f>
        <v/>
      </c>
      <c r="R1646">
        <f>I1646*(1-Q1646)</f>
        <v/>
      </c>
      <c r="S1646">
        <f>R1646/R1645-1</f>
        <v/>
      </c>
      <c r="T1646">
        <f>MAX(T1645,R1646)</f>
        <v/>
      </c>
      <c r="U1646">
        <f>R1646/T1646-1</f>
        <v/>
      </c>
      <c r="V1646" t="n">
        <v>3.051683486614991</v>
      </c>
      <c r="W1646" s="5">
        <f>R1646-V1646</f>
        <v/>
      </c>
    </row>
    <row r="1647">
      <c r="A1647" s="3" t="n">
        <v>40863</v>
      </c>
      <c r="B1647">
        <f>Prices!B1647</f>
        <v/>
      </c>
      <c r="C1647">
        <f>Prices!C1647</f>
        <v/>
      </c>
      <c r="D1647">
        <f>Prices!D1647</f>
        <v/>
      </c>
      <c r="E1647">
        <f>Prices!E1647</f>
        <v/>
      </c>
      <c r="F1647">
        <f>Prices!F1647</f>
        <v/>
      </c>
      <c r="G1647">
        <f>IF(AND(1645&gt;=16,TEXT(A1647,"yyyy-mm")&lt;&gt;TEXT(A1648,"yyyy-mm")),1,0)</f>
        <v/>
      </c>
      <c r="H1647">
        <f>IF(OR(H1646=1,G1647=1),1,0)</f>
        <v/>
      </c>
      <c r="I1647">
        <f>IF(H1646=0,1,SUMPRODUCT(J1646:N1646,B1647:F1647)+O1646*(1+0.00023125256064071564))</f>
        <v/>
      </c>
      <c r="J1647">
        <f>IF(G1647=1,0.2*R1647/B1647,J1646)</f>
        <v/>
      </c>
      <c r="K1647">
        <f>IF(G1647=1,0.2*R1647/C1647,K1646)</f>
        <v/>
      </c>
      <c r="L1647">
        <f>IF(G1647=1,0.2*R1647/D1647,L1646)</f>
        <v/>
      </c>
      <c r="M1647">
        <f>IF(G1647=1,0.2*R1647/E1647,M1646)</f>
        <v/>
      </c>
      <c r="N1647">
        <f>IF(G1647=1,0.2*R1647/F1647,N1646)</f>
        <v/>
      </c>
      <c r="O1647">
        <f>IF(G1647=1,R1647*(1-1.0),IF(H1646=0,1,O1646*(1+0.00023125256064071564)))</f>
        <v/>
      </c>
      <c r="P1647">
        <f>IF(G1647=1,IF(H1646=0,1,ABS(0.2-J1646*B1647/I1647)+ABS(0.2-K1646*C1647/I1647)+ABS(0.2-L1646*D1647/I1647)+ABS(0.2-M1646*E1647/I1647)+ABS(0.2-N1646*F1647/I1647)),0)</f>
        <v/>
      </c>
      <c r="Q1647">
        <f>P1647*0.0015</f>
        <v/>
      </c>
      <c r="R1647">
        <f>I1647*(1-Q1647)</f>
        <v/>
      </c>
      <c r="S1647">
        <f>R1647/R1646-1</f>
        <v/>
      </c>
      <c r="T1647">
        <f>MAX(T1646,R1647)</f>
        <v/>
      </c>
      <c r="U1647">
        <f>R1647/T1647-1</f>
        <v/>
      </c>
      <c r="V1647" t="n">
        <v>3.027109753342956</v>
      </c>
      <c r="W1647" s="5">
        <f>R1647-V1647</f>
        <v/>
      </c>
    </row>
    <row r="1648">
      <c r="A1648" s="3" t="n">
        <v>40864</v>
      </c>
      <c r="B1648">
        <f>Prices!B1648</f>
        <v/>
      </c>
      <c r="C1648">
        <f>Prices!C1648</f>
        <v/>
      </c>
      <c r="D1648">
        <f>Prices!D1648</f>
        <v/>
      </c>
      <c r="E1648">
        <f>Prices!E1648</f>
        <v/>
      </c>
      <c r="F1648">
        <f>Prices!F1648</f>
        <v/>
      </c>
      <c r="G1648">
        <f>IF(AND(1646&gt;=16,TEXT(A1648,"yyyy-mm")&lt;&gt;TEXT(A1649,"yyyy-mm")),1,0)</f>
        <v/>
      </c>
      <c r="H1648">
        <f>IF(OR(H1647=1,G1648=1),1,0)</f>
        <v/>
      </c>
      <c r="I1648">
        <f>IF(H1647=0,1,SUMPRODUCT(J1647:N1647,B1648:F1648)+O1647*(1+0.00023125256064071564))</f>
        <v/>
      </c>
      <c r="J1648">
        <f>IF(G1648=1,0.2*R1648/B1648,J1647)</f>
        <v/>
      </c>
      <c r="K1648">
        <f>IF(G1648=1,0.2*R1648/C1648,K1647)</f>
        <v/>
      </c>
      <c r="L1648">
        <f>IF(G1648=1,0.2*R1648/D1648,L1647)</f>
        <v/>
      </c>
      <c r="M1648">
        <f>IF(G1648=1,0.2*R1648/E1648,M1647)</f>
        <v/>
      </c>
      <c r="N1648">
        <f>IF(G1648=1,0.2*R1648/F1648,N1647)</f>
        <v/>
      </c>
      <c r="O1648">
        <f>IF(G1648=1,R1648*(1-1.0),IF(H1647=0,1,O1647*(1+0.00023125256064071564)))</f>
        <v/>
      </c>
      <c r="P1648">
        <f>IF(G1648=1,IF(H1647=0,1,ABS(0.2-J1647*B1648/I1648)+ABS(0.2-K1647*C1648/I1648)+ABS(0.2-L1647*D1648/I1648)+ABS(0.2-M1647*E1648/I1648)+ABS(0.2-N1647*F1648/I1648)),0)</f>
        <v/>
      </c>
      <c r="Q1648">
        <f>P1648*0.0015</f>
        <v/>
      </c>
      <c r="R1648">
        <f>I1648*(1-Q1648)</f>
        <v/>
      </c>
      <c r="S1648">
        <f>R1648/R1647-1</f>
        <v/>
      </c>
      <c r="T1648">
        <f>MAX(T1647,R1648)</f>
        <v/>
      </c>
      <c r="U1648">
        <f>R1648/T1648-1</f>
        <v/>
      </c>
      <c r="V1648" t="n">
        <v>2.982452385634361</v>
      </c>
      <c r="W1648" s="5">
        <f>R1648-V1648</f>
        <v/>
      </c>
    </row>
    <row r="1649">
      <c r="A1649" s="3" t="n">
        <v>40865</v>
      </c>
      <c r="B1649">
        <f>Prices!B1649</f>
        <v/>
      </c>
      <c r="C1649">
        <f>Prices!C1649</f>
        <v/>
      </c>
      <c r="D1649">
        <f>Prices!D1649</f>
        <v/>
      </c>
      <c r="E1649">
        <f>Prices!E1649</f>
        <v/>
      </c>
      <c r="F1649">
        <f>Prices!F1649</f>
        <v/>
      </c>
      <c r="G1649">
        <f>IF(AND(1647&gt;=16,TEXT(A1649,"yyyy-mm")&lt;&gt;TEXT(A1650,"yyyy-mm")),1,0)</f>
        <v/>
      </c>
      <c r="H1649">
        <f>IF(OR(H1648=1,G1649=1),1,0)</f>
        <v/>
      </c>
      <c r="I1649">
        <f>IF(H1648=0,1,SUMPRODUCT(J1648:N1648,B1649:F1649)+O1648*(1+0.00023125256064071564))</f>
        <v/>
      </c>
      <c r="J1649">
        <f>IF(G1649=1,0.2*R1649/B1649,J1648)</f>
        <v/>
      </c>
      <c r="K1649">
        <f>IF(G1649=1,0.2*R1649/C1649,K1648)</f>
        <v/>
      </c>
      <c r="L1649">
        <f>IF(G1649=1,0.2*R1649/D1649,L1648)</f>
        <v/>
      </c>
      <c r="M1649">
        <f>IF(G1649=1,0.2*R1649/E1649,M1648)</f>
        <v/>
      </c>
      <c r="N1649">
        <f>IF(G1649=1,0.2*R1649/F1649,N1648)</f>
        <v/>
      </c>
      <c r="O1649">
        <f>IF(G1649=1,R1649*(1-1.0),IF(H1648=0,1,O1648*(1+0.00023125256064071564)))</f>
        <v/>
      </c>
      <c r="P1649">
        <f>IF(G1649=1,IF(H1648=0,1,ABS(0.2-J1648*B1649/I1649)+ABS(0.2-K1648*C1649/I1649)+ABS(0.2-L1648*D1649/I1649)+ABS(0.2-M1648*E1649/I1649)+ABS(0.2-N1648*F1649/I1649)),0)</f>
        <v/>
      </c>
      <c r="Q1649">
        <f>P1649*0.0015</f>
        <v/>
      </c>
      <c r="R1649">
        <f>I1649*(1-Q1649)</f>
        <v/>
      </c>
      <c r="S1649">
        <f>R1649/R1648-1</f>
        <v/>
      </c>
      <c r="T1649">
        <f>MAX(T1648,R1649)</f>
        <v/>
      </c>
      <c r="U1649">
        <f>R1649/T1649-1</f>
        <v/>
      </c>
      <c r="V1649" t="n">
        <v>2.976133894364991</v>
      </c>
      <c r="W1649" s="5">
        <f>R1649-V1649</f>
        <v/>
      </c>
    </row>
    <row r="1650">
      <c r="A1650" s="3" t="n">
        <v>40868</v>
      </c>
      <c r="B1650">
        <f>Prices!B1650</f>
        <v/>
      </c>
      <c r="C1650">
        <f>Prices!C1650</f>
        <v/>
      </c>
      <c r="D1650">
        <f>Prices!D1650</f>
        <v/>
      </c>
      <c r="E1650">
        <f>Prices!E1650</f>
        <v/>
      </c>
      <c r="F1650">
        <f>Prices!F1650</f>
        <v/>
      </c>
      <c r="G1650">
        <f>IF(AND(1648&gt;=16,TEXT(A1650,"yyyy-mm")&lt;&gt;TEXT(A1651,"yyyy-mm")),1,0)</f>
        <v/>
      </c>
      <c r="H1650">
        <f>IF(OR(H1649=1,G1650=1),1,0)</f>
        <v/>
      </c>
      <c r="I1650">
        <f>IF(H1649=0,1,SUMPRODUCT(J1649:N1649,B1650:F1650)+O1649*(1+0.00023125256064071564))</f>
        <v/>
      </c>
      <c r="J1650">
        <f>IF(G1650=1,0.2*R1650/B1650,J1649)</f>
        <v/>
      </c>
      <c r="K1650">
        <f>IF(G1650=1,0.2*R1650/C1650,K1649)</f>
        <v/>
      </c>
      <c r="L1650">
        <f>IF(G1650=1,0.2*R1650/D1650,L1649)</f>
        <v/>
      </c>
      <c r="M1650">
        <f>IF(G1650=1,0.2*R1650/E1650,M1649)</f>
        <v/>
      </c>
      <c r="N1650">
        <f>IF(G1650=1,0.2*R1650/F1650,N1649)</f>
        <v/>
      </c>
      <c r="O1650">
        <f>IF(G1650=1,R1650*(1-1.0),IF(H1649=0,1,O1649*(1+0.00023125256064071564)))</f>
        <v/>
      </c>
      <c r="P1650">
        <f>IF(G1650=1,IF(H1649=0,1,ABS(0.2-J1649*B1650/I1650)+ABS(0.2-K1649*C1650/I1650)+ABS(0.2-L1649*D1650/I1650)+ABS(0.2-M1649*E1650/I1650)+ABS(0.2-N1649*F1650/I1650)),0)</f>
        <v/>
      </c>
      <c r="Q1650">
        <f>P1650*0.0015</f>
        <v/>
      </c>
      <c r="R1650">
        <f>I1650*(1-Q1650)</f>
        <v/>
      </c>
      <c r="S1650">
        <f>R1650/R1649-1</f>
        <v/>
      </c>
      <c r="T1650">
        <f>MAX(T1649,R1650)</f>
        <v/>
      </c>
      <c r="U1650">
        <f>R1650/T1650-1</f>
        <v/>
      </c>
      <c r="V1650" t="n">
        <v>2.913252742915734</v>
      </c>
      <c r="W1650" s="5">
        <f>R1650-V1650</f>
        <v/>
      </c>
    </row>
    <row r="1651">
      <c r="A1651" s="3" t="n">
        <v>40869</v>
      </c>
      <c r="B1651">
        <f>Prices!B1651</f>
        <v/>
      </c>
      <c r="C1651">
        <f>Prices!C1651</f>
        <v/>
      </c>
      <c r="D1651">
        <f>Prices!D1651</f>
        <v/>
      </c>
      <c r="E1651">
        <f>Prices!E1651</f>
        <v/>
      </c>
      <c r="F1651">
        <f>Prices!F1651</f>
        <v/>
      </c>
      <c r="G1651">
        <f>IF(AND(1649&gt;=16,TEXT(A1651,"yyyy-mm")&lt;&gt;TEXT(A1652,"yyyy-mm")),1,0)</f>
        <v/>
      </c>
      <c r="H1651">
        <f>IF(OR(H1650=1,G1651=1),1,0)</f>
        <v/>
      </c>
      <c r="I1651">
        <f>IF(H1650=0,1,SUMPRODUCT(J1650:N1650,B1651:F1651)+O1650*(1+0.00023125256064071564))</f>
        <v/>
      </c>
      <c r="J1651">
        <f>IF(G1651=1,0.2*R1651/B1651,J1650)</f>
        <v/>
      </c>
      <c r="K1651">
        <f>IF(G1651=1,0.2*R1651/C1651,K1650)</f>
        <v/>
      </c>
      <c r="L1651">
        <f>IF(G1651=1,0.2*R1651/D1651,L1650)</f>
        <v/>
      </c>
      <c r="M1651">
        <f>IF(G1651=1,0.2*R1651/E1651,M1650)</f>
        <v/>
      </c>
      <c r="N1651">
        <f>IF(G1651=1,0.2*R1651/F1651,N1650)</f>
        <v/>
      </c>
      <c r="O1651">
        <f>IF(G1651=1,R1651*(1-1.0),IF(H1650=0,1,O1650*(1+0.00023125256064071564)))</f>
        <v/>
      </c>
      <c r="P1651">
        <f>IF(G1651=1,IF(H1650=0,1,ABS(0.2-J1650*B1651/I1651)+ABS(0.2-K1650*C1651/I1651)+ABS(0.2-L1650*D1651/I1651)+ABS(0.2-M1650*E1651/I1651)+ABS(0.2-N1650*F1651/I1651)),0)</f>
        <v/>
      </c>
      <c r="Q1651">
        <f>P1651*0.0015</f>
        <v/>
      </c>
      <c r="R1651">
        <f>I1651*(1-Q1651)</f>
        <v/>
      </c>
      <c r="S1651">
        <f>R1651/R1650-1</f>
        <v/>
      </c>
      <c r="T1651">
        <f>MAX(T1650,R1651)</f>
        <v/>
      </c>
      <c r="U1651">
        <f>R1651/T1651-1</f>
        <v/>
      </c>
      <c r="V1651" t="n">
        <v>2.916337076196035</v>
      </c>
      <c r="W1651" s="5">
        <f>R1651-V1651</f>
        <v/>
      </c>
    </row>
    <row r="1652">
      <c r="A1652" s="3" t="n">
        <v>40870</v>
      </c>
      <c r="B1652">
        <f>Prices!B1652</f>
        <v/>
      </c>
      <c r="C1652">
        <f>Prices!C1652</f>
        <v/>
      </c>
      <c r="D1652">
        <f>Prices!D1652</f>
        <v/>
      </c>
      <c r="E1652">
        <f>Prices!E1652</f>
        <v/>
      </c>
      <c r="F1652">
        <f>Prices!F1652</f>
        <v/>
      </c>
      <c r="G1652">
        <f>IF(AND(1650&gt;=16,TEXT(A1652,"yyyy-mm")&lt;&gt;TEXT(A1653,"yyyy-mm")),1,0)</f>
        <v/>
      </c>
      <c r="H1652">
        <f>IF(OR(H1651=1,G1652=1),1,0)</f>
        <v/>
      </c>
      <c r="I1652">
        <f>IF(H1651=0,1,SUMPRODUCT(J1651:N1651,B1652:F1652)+O1651*(1+0.00023125256064071564))</f>
        <v/>
      </c>
      <c r="J1652">
        <f>IF(G1652=1,0.2*R1652/B1652,J1651)</f>
        <v/>
      </c>
      <c r="K1652">
        <f>IF(G1652=1,0.2*R1652/C1652,K1651)</f>
        <v/>
      </c>
      <c r="L1652">
        <f>IF(G1652=1,0.2*R1652/D1652,L1651)</f>
        <v/>
      </c>
      <c r="M1652">
        <f>IF(G1652=1,0.2*R1652/E1652,M1651)</f>
        <v/>
      </c>
      <c r="N1652">
        <f>IF(G1652=1,0.2*R1652/F1652,N1651)</f>
        <v/>
      </c>
      <c r="O1652">
        <f>IF(G1652=1,R1652*(1-1.0),IF(H1651=0,1,O1651*(1+0.00023125256064071564)))</f>
        <v/>
      </c>
      <c r="P1652">
        <f>IF(G1652=1,IF(H1651=0,1,ABS(0.2-J1651*B1652/I1652)+ABS(0.2-K1651*C1652/I1652)+ABS(0.2-L1651*D1652/I1652)+ABS(0.2-M1651*E1652/I1652)+ABS(0.2-N1651*F1652/I1652)),0)</f>
        <v/>
      </c>
      <c r="Q1652">
        <f>P1652*0.0015</f>
        <v/>
      </c>
      <c r="R1652">
        <f>I1652*(1-Q1652)</f>
        <v/>
      </c>
      <c r="S1652">
        <f>R1652/R1651-1</f>
        <v/>
      </c>
      <c r="T1652">
        <f>MAX(T1651,R1652)</f>
        <v/>
      </c>
      <c r="U1652">
        <f>R1652/T1652-1</f>
        <v/>
      </c>
      <c r="V1652" t="n">
        <v>2.865433031270496</v>
      </c>
      <c r="W1652" s="5">
        <f>R1652-V1652</f>
        <v/>
      </c>
    </row>
    <row r="1653">
      <c r="A1653" s="3" t="n">
        <v>40871</v>
      </c>
      <c r="B1653">
        <f>Prices!B1653</f>
        <v/>
      </c>
      <c r="C1653">
        <f>Prices!C1653</f>
        <v/>
      </c>
      <c r="D1653">
        <f>Prices!D1653</f>
        <v/>
      </c>
      <c r="E1653">
        <f>Prices!E1653</f>
        <v/>
      </c>
      <c r="F1653">
        <f>Prices!F1653</f>
        <v/>
      </c>
      <c r="G1653">
        <f>IF(AND(1651&gt;=16,TEXT(A1653,"yyyy-mm")&lt;&gt;TEXT(A1654,"yyyy-mm")),1,0)</f>
        <v/>
      </c>
      <c r="H1653">
        <f>IF(OR(H1652=1,G1653=1),1,0)</f>
        <v/>
      </c>
      <c r="I1653">
        <f>IF(H1652=0,1,SUMPRODUCT(J1652:N1652,B1653:F1653)+O1652*(1+0.00023125256064071564))</f>
        <v/>
      </c>
      <c r="J1653">
        <f>IF(G1653=1,0.2*R1653/B1653,J1652)</f>
        <v/>
      </c>
      <c r="K1653">
        <f>IF(G1653=1,0.2*R1653/C1653,K1652)</f>
        <v/>
      </c>
      <c r="L1653">
        <f>IF(G1653=1,0.2*R1653/D1653,L1652)</f>
        <v/>
      </c>
      <c r="M1653">
        <f>IF(G1653=1,0.2*R1653/E1653,M1652)</f>
        <v/>
      </c>
      <c r="N1653">
        <f>IF(G1653=1,0.2*R1653/F1653,N1652)</f>
        <v/>
      </c>
      <c r="O1653">
        <f>IF(G1653=1,R1653*(1-1.0),IF(H1652=0,1,O1652*(1+0.00023125256064071564)))</f>
        <v/>
      </c>
      <c r="P1653">
        <f>IF(G1653=1,IF(H1652=0,1,ABS(0.2-J1652*B1653/I1653)+ABS(0.2-K1652*C1653/I1653)+ABS(0.2-L1652*D1653/I1653)+ABS(0.2-M1652*E1653/I1653)+ABS(0.2-N1652*F1653/I1653)),0)</f>
        <v/>
      </c>
      <c r="Q1653">
        <f>P1653*0.0015</f>
        <v/>
      </c>
      <c r="R1653">
        <f>I1653*(1-Q1653)</f>
        <v/>
      </c>
      <c r="S1653">
        <f>R1653/R1652-1</f>
        <v/>
      </c>
      <c r="T1653">
        <f>MAX(T1652,R1653)</f>
        <v/>
      </c>
      <c r="U1653">
        <f>R1653/T1653-1</f>
        <v/>
      </c>
      <c r="V1653" t="n">
        <v>2.901108539101203</v>
      </c>
      <c r="W1653" s="5">
        <f>R1653-V1653</f>
        <v/>
      </c>
    </row>
    <row r="1654">
      <c r="A1654" s="3" t="n">
        <v>40872</v>
      </c>
      <c r="B1654">
        <f>Prices!B1654</f>
        <v/>
      </c>
      <c r="C1654">
        <f>Prices!C1654</f>
        <v/>
      </c>
      <c r="D1654">
        <f>Prices!D1654</f>
        <v/>
      </c>
      <c r="E1654">
        <f>Prices!E1654</f>
        <v/>
      </c>
      <c r="F1654">
        <f>Prices!F1654</f>
        <v/>
      </c>
      <c r="G1654">
        <f>IF(AND(1652&gt;=16,TEXT(A1654,"yyyy-mm")&lt;&gt;TEXT(A1655,"yyyy-mm")),1,0)</f>
        <v/>
      </c>
      <c r="H1654">
        <f>IF(OR(H1653=1,G1654=1),1,0)</f>
        <v/>
      </c>
      <c r="I1654">
        <f>IF(H1653=0,1,SUMPRODUCT(J1653:N1653,B1654:F1654)+O1653*(1+0.00023125256064071564))</f>
        <v/>
      </c>
      <c r="J1654">
        <f>IF(G1654=1,0.2*R1654/B1654,J1653)</f>
        <v/>
      </c>
      <c r="K1654">
        <f>IF(G1654=1,0.2*R1654/C1654,K1653)</f>
        <v/>
      </c>
      <c r="L1654">
        <f>IF(G1654=1,0.2*R1654/D1654,L1653)</f>
        <v/>
      </c>
      <c r="M1654">
        <f>IF(G1654=1,0.2*R1654/E1654,M1653)</f>
        <v/>
      </c>
      <c r="N1654">
        <f>IF(G1654=1,0.2*R1654/F1654,N1653)</f>
        <v/>
      </c>
      <c r="O1654">
        <f>IF(G1654=1,R1654*(1-1.0),IF(H1653=0,1,O1653*(1+0.00023125256064071564)))</f>
        <v/>
      </c>
      <c r="P1654">
        <f>IF(G1654=1,IF(H1653=0,1,ABS(0.2-J1653*B1654/I1654)+ABS(0.2-K1653*C1654/I1654)+ABS(0.2-L1653*D1654/I1654)+ABS(0.2-M1653*E1654/I1654)+ABS(0.2-N1653*F1654/I1654)),0)</f>
        <v/>
      </c>
      <c r="Q1654">
        <f>P1654*0.0015</f>
        <v/>
      </c>
      <c r="R1654">
        <f>I1654*(1-Q1654)</f>
        <v/>
      </c>
      <c r="S1654">
        <f>R1654/R1653-1</f>
        <v/>
      </c>
      <c r="T1654">
        <f>MAX(T1653,R1654)</f>
        <v/>
      </c>
      <c r="U1654">
        <f>R1654/T1654-1</f>
        <v/>
      </c>
      <c r="V1654" t="n">
        <v>2.901175439902812</v>
      </c>
      <c r="W1654" s="5">
        <f>R1654-V1654</f>
        <v/>
      </c>
    </row>
    <row r="1655">
      <c r="A1655" s="3" t="n">
        <v>40875</v>
      </c>
      <c r="B1655">
        <f>Prices!B1655</f>
        <v/>
      </c>
      <c r="C1655">
        <f>Prices!C1655</f>
        <v/>
      </c>
      <c r="D1655">
        <f>Prices!D1655</f>
        <v/>
      </c>
      <c r="E1655">
        <f>Prices!E1655</f>
        <v/>
      </c>
      <c r="F1655">
        <f>Prices!F1655</f>
        <v/>
      </c>
      <c r="G1655">
        <f>IF(AND(1653&gt;=16,TEXT(A1655,"yyyy-mm")&lt;&gt;TEXT(A1656,"yyyy-mm")),1,0)</f>
        <v/>
      </c>
      <c r="H1655">
        <f>IF(OR(H1654=1,G1655=1),1,0)</f>
        <v/>
      </c>
      <c r="I1655">
        <f>IF(H1654=0,1,SUMPRODUCT(J1654:N1654,B1655:F1655)+O1654*(1+0.00023125256064071564))</f>
        <v/>
      </c>
      <c r="J1655">
        <f>IF(G1655=1,0.2*R1655/B1655,J1654)</f>
        <v/>
      </c>
      <c r="K1655">
        <f>IF(G1655=1,0.2*R1655/C1655,K1654)</f>
        <v/>
      </c>
      <c r="L1655">
        <f>IF(G1655=1,0.2*R1655/D1655,L1654)</f>
        <v/>
      </c>
      <c r="M1655">
        <f>IF(G1655=1,0.2*R1655/E1655,M1654)</f>
        <v/>
      </c>
      <c r="N1655">
        <f>IF(G1655=1,0.2*R1655/F1655,N1654)</f>
        <v/>
      </c>
      <c r="O1655">
        <f>IF(G1655=1,R1655*(1-1.0),IF(H1654=0,1,O1654*(1+0.00023125256064071564)))</f>
        <v/>
      </c>
      <c r="P1655">
        <f>IF(G1655=1,IF(H1654=0,1,ABS(0.2-J1654*B1655/I1655)+ABS(0.2-K1654*C1655/I1655)+ABS(0.2-L1654*D1655/I1655)+ABS(0.2-M1654*E1655/I1655)+ABS(0.2-N1654*F1655/I1655)),0)</f>
        <v/>
      </c>
      <c r="Q1655">
        <f>P1655*0.0015</f>
        <v/>
      </c>
      <c r="R1655">
        <f>I1655*(1-Q1655)</f>
        <v/>
      </c>
      <c r="S1655">
        <f>R1655/R1654-1</f>
        <v/>
      </c>
      <c r="T1655">
        <f>MAX(T1654,R1655)</f>
        <v/>
      </c>
      <c r="U1655">
        <f>R1655/T1655-1</f>
        <v/>
      </c>
      <c r="V1655" t="n">
        <v>2.955399679326969</v>
      </c>
      <c r="W1655" s="5">
        <f>R1655-V1655</f>
        <v/>
      </c>
    </row>
    <row r="1656">
      <c r="A1656" s="3" t="n">
        <v>40876</v>
      </c>
      <c r="B1656">
        <f>Prices!B1656</f>
        <v/>
      </c>
      <c r="C1656">
        <f>Prices!C1656</f>
        <v/>
      </c>
      <c r="D1656">
        <f>Prices!D1656</f>
        <v/>
      </c>
      <c r="E1656">
        <f>Prices!E1656</f>
        <v/>
      </c>
      <c r="F1656">
        <f>Prices!F1656</f>
        <v/>
      </c>
      <c r="G1656">
        <f>IF(AND(1654&gt;=16,TEXT(A1656,"yyyy-mm")&lt;&gt;TEXT(A1657,"yyyy-mm")),1,0)</f>
        <v/>
      </c>
      <c r="H1656">
        <f>IF(OR(H1655=1,G1656=1),1,0)</f>
        <v/>
      </c>
      <c r="I1656">
        <f>IF(H1655=0,1,SUMPRODUCT(J1655:N1655,B1656:F1656)+O1655*(1+0.00023125256064071564))</f>
        <v/>
      </c>
      <c r="J1656">
        <f>IF(G1656=1,0.2*R1656/B1656,J1655)</f>
        <v/>
      </c>
      <c r="K1656">
        <f>IF(G1656=1,0.2*R1656/C1656,K1655)</f>
        <v/>
      </c>
      <c r="L1656">
        <f>IF(G1656=1,0.2*R1656/D1656,L1655)</f>
        <v/>
      </c>
      <c r="M1656">
        <f>IF(G1656=1,0.2*R1656/E1656,M1655)</f>
        <v/>
      </c>
      <c r="N1656">
        <f>IF(G1656=1,0.2*R1656/F1656,N1655)</f>
        <v/>
      </c>
      <c r="O1656">
        <f>IF(G1656=1,R1656*(1-1.0),IF(H1655=0,1,O1655*(1+0.00023125256064071564)))</f>
        <v/>
      </c>
      <c r="P1656">
        <f>IF(G1656=1,IF(H1655=0,1,ABS(0.2-J1655*B1656/I1656)+ABS(0.2-K1655*C1656/I1656)+ABS(0.2-L1655*D1656/I1656)+ABS(0.2-M1655*E1656/I1656)+ABS(0.2-N1655*F1656/I1656)),0)</f>
        <v/>
      </c>
      <c r="Q1656">
        <f>P1656*0.0015</f>
        <v/>
      </c>
      <c r="R1656">
        <f>I1656*(1-Q1656)</f>
        <v/>
      </c>
      <c r="S1656">
        <f>R1656/R1655-1</f>
        <v/>
      </c>
      <c r="T1656">
        <f>MAX(T1655,R1656)</f>
        <v/>
      </c>
      <c r="U1656">
        <f>R1656/T1656-1</f>
        <v/>
      </c>
      <c r="V1656" t="n">
        <v>2.93808510383239</v>
      </c>
      <c r="W1656" s="5">
        <f>R1656-V1656</f>
        <v/>
      </c>
    </row>
    <row r="1657">
      <c r="A1657" s="3" t="n">
        <v>40877</v>
      </c>
      <c r="B1657">
        <f>Prices!B1657</f>
        <v/>
      </c>
      <c r="C1657">
        <f>Prices!C1657</f>
        <v/>
      </c>
      <c r="D1657">
        <f>Prices!D1657</f>
        <v/>
      </c>
      <c r="E1657">
        <f>Prices!E1657</f>
        <v/>
      </c>
      <c r="F1657">
        <f>Prices!F1657</f>
        <v/>
      </c>
      <c r="G1657">
        <f>IF(AND(1655&gt;=16,TEXT(A1657,"yyyy-mm")&lt;&gt;TEXT(A1658,"yyyy-mm")),1,0)</f>
        <v/>
      </c>
      <c r="H1657">
        <f>IF(OR(H1656=1,G1657=1),1,0)</f>
        <v/>
      </c>
      <c r="I1657">
        <f>IF(H1656=0,1,SUMPRODUCT(J1656:N1656,B1657:F1657)+O1656*(1+0.00023125256064071564))</f>
        <v/>
      </c>
      <c r="J1657">
        <f>IF(G1657=1,0.2*R1657/B1657,J1656)</f>
        <v/>
      </c>
      <c r="K1657">
        <f>IF(G1657=1,0.2*R1657/C1657,K1656)</f>
        <v/>
      </c>
      <c r="L1657">
        <f>IF(G1657=1,0.2*R1657/D1657,L1656)</f>
        <v/>
      </c>
      <c r="M1657">
        <f>IF(G1657=1,0.2*R1657/E1657,M1656)</f>
        <v/>
      </c>
      <c r="N1657">
        <f>IF(G1657=1,0.2*R1657/F1657,N1656)</f>
        <v/>
      </c>
      <c r="O1657">
        <f>IF(G1657=1,R1657*(1-1.0),IF(H1656=0,1,O1656*(1+0.00023125256064071564)))</f>
        <v/>
      </c>
      <c r="P1657">
        <f>IF(G1657=1,IF(H1656=0,1,ABS(0.2-J1656*B1657/I1657)+ABS(0.2-K1656*C1657/I1657)+ABS(0.2-L1656*D1657/I1657)+ABS(0.2-M1656*E1657/I1657)+ABS(0.2-N1656*F1657/I1657)),0)</f>
        <v/>
      </c>
      <c r="Q1657">
        <f>P1657*0.0015</f>
        <v/>
      </c>
      <c r="R1657">
        <f>I1657*(1-Q1657)</f>
        <v/>
      </c>
      <c r="S1657">
        <f>R1657/R1656-1</f>
        <v/>
      </c>
      <c r="T1657">
        <f>MAX(T1656,R1657)</f>
        <v/>
      </c>
      <c r="U1657">
        <f>R1657/T1657-1</f>
        <v/>
      </c>
      <c r="V1657" t="n">
        <v>2.934317469631638</v>
      </c>
      <c r="W1657" s="5">
        <f>R1657-V1657</f>
        <v/>
      </c>
    </row>
    <row r="1658">
      <c r="A1658" s="3" t="n">
        <v>40878</v>
      </c>
      <c r="B1658">
        <f>Prices!B1658</f>
        <v/>
      </c>
      <c r="C1658">
        <f>Prices!C1658</f>
        <v/>
      </c>
      <c r="D1658">
        <f>Prices!D1658</f>
        <v/>
      </c>
      <c r="E1658">
        <f>Prices!E1658</f>
        <v/>
      </c>
      <c r="F1658">
        <f>Prices!F1658</f>
        <v/>
      </c>
      <c r="G1658">
        <f>IF(AND(1656&gt;=16,TEXT(A1658,"yyyy-mm")&lt;&gt;TEXT(A1659,"yyyy-mm")),1,0)</f>
        <v/>
      </c>
      <c r="H1658">
        <f>IF(OR(H1657=1,G1658=1),1,0)</f>
        <v/>
      </c>
      <c r="I1658">
        <f>IF(H1657=0,1,SUMPRODUCT(J1657:N1657,B1658:F1658)+O1657*(1+0.00023125256064071564))</f>
        <v/>
      </c>
      <c r="J1658">
        <f>IF(G1658=1,0.2*R1658/B1658,J1657)</f>
        <v/>
      </c>
      <c r="K1658">
        <f>IF(G1658=1,0.2*R1658/C1658,K1657)</f>
        <v/>
      </c>
      <c r="L1658">
        <f>IF(G1658=1,0.2*R1658/D1658,L1657)</f>
        <v/>
      </c>
      <c r="M1658">
        <f>IF(G1658=1,0.2*R1658/E1658,M1657)</f>
        <v/>
      </c>
      <c r="N1658">
        <f>IF(G1658=1,0.2*R1658/F1658,N1657)</f>
        <v/>
      </c>
      <c r="O1658">
        <f>IF(G1658=1,R1658*(1-1.0),IF(H1657=0,1,O1657*(1+0.00023125256064071564)))</f>
        <v/>
      </c>
      <c r="P1658">
        <f>IF(G1658=1,IF(H1657=0,1,ABS(0.2-J1657*B1658/I1658)+ABS(0.2-K1657*C1658/I1658)+ABS(0.2-L1657*D1658/I1658)+ABS(0.2-M1657*E1658/I1658)+ABS(0.2-N1657*F1658/I1658)),0)</f>
        <v/>
      </c>
      <c r="Q1658">
        <f>P1658*0.0015</f>
        <v/>
      </c>
      <c r="R1658">
        <f>I1658*(1-Q1658)</f>
        <v/>
      </c>
      <c r="S1658">
        <f>R1658/R1657-1</f>
        <v/>
      </c>
      <c r="T1658">
        <f>MAX(T1657,R1658)</f>
        <v/>
      </c>
      <c r="U1658">
        <f>R1658/T1658-1</f>
        <v/>
      </c>
      <c r="V1658" t="n">
        <v>2.957851251912158</v>
      </c>
      <c r="W1658" s="5">
        <f>R1658-V1658</f>
        <v/>
      </c>
    </row>
    <row r="1659">
      <c r="A1659" s="3" t="n">
        <v>40879</v>
      </c>
      <c r="B1659">
        <f>Prices!B1659</f>
        <v/>
      </c>
      <c r="C1659">
        <f>Prices!C1659</f>
        <v/>
      </c>
      <c r="D1659">
        <f>Prices!D1659</f>
        <v/>
      </c>
      <c r="E1659">
        <f>Prices!E1659</f>
        <v/>
      </c>
      <c r="F1659">
        <f>Prices!F1659</f>
        <v/>
      </c>
      <c r="G1659">
        <f>IF(AND(1657&gt;=16,TEXT(A1659,"yyyy-mm")&lt;&gt;TEXT(A1660,"yyyy-mm")),1,0)</f>
        <v/>
      </c>
      <c r="H1659">
        <f>IF(OR(H1658=1,G1659=1),1,0)</f>
        <v/>
      </c>
      <c r="I1659">
        <f>IF(H1658=0,1,SUMPRODUCT(J1658:N1658,B1659:F1659)+O1658*(1+0.00023125256064071564))</f>
        <v/>
      </c>
      <c r="J1659">
        <f>IF(G1659=1,0.2*R1659/B1659,J1658)</f>
        <v/>
      </c>
      <c r="K1659">
        <f>IF(G1659=1,0.2*R1659/C1659,K1658)</f>
        <v/>
      </c>
      <c r="L1659">
        <f>IF(G1659=1,0.2*R1659/D1659,L1658)</f>
        <v/>
      </c>
      <c r="M1659">
        <f>IF(G1659=1,0.2*R1659/E1659,M1658)</f>
        <v/>
      </c>
      <c r="N1659">
        <f>IF(G1659=1,0.2*R1659/F1659,N1658)</f>
        <v/>
      </c>
      <c r="O1659">
        <f>IF(G1659=1,R1659*(1-1.0),IF(H1658=0,1,O1658*(1+0.00023125256064071564)))</f>
        <v/>
      </c>
      <c r="P1659">
        <f>IF(G1659=1,IF(H1658=0,1,ABS(0.2-J1658*B1659/I1659)+ABS(0.2-K1658*C1659/I1659)+ABS(0.2-L1658*D1659/I1659)+ABS(0.2-M1658*E1659/I1659)+ABS(0.2-N1658*F1659/I1659)),0)</f>
        <v/>
      </c>
      <c r="Q1659">
        <f>P1659*0.0015</f>
        <v/>
      </c>
      <c r="R1659">
        <f>I1659*(1-Q1659)</f>
        <v/>
      </c>
      <c r="S1659">
        <f>R1659/R1658-1</f>
        <v/>
      </c>
      <c r="T1659">
        <f>MAX(T1658,R1659)</f>
        <v/>
      </c>
      <c r="U1659">
        <f>R1659/T1659-1</f>
        <v/>
      </c>
      <c r="V1659" t="n">
        <v>3.01124279662434</v>
      </c>
      <c r="W1659" s="5">
        <f>R1659-V1659</f>
        <v/>
      </c>
    </row>
    <row r="1660">
      <c r="A1660" s="3" t="n">
        <v>40882</v>
      </c>
      <c r="B1660">
        <f>Prices!B1660</f>
        <v/>
      </c>
      <c r="C1660">
        <f>Prices!C1660</f>
        <v/>
      </c>
      <c r="D1660">
        <f>Prices!D1660</f>
        <v/>
      </c>
      <c r="E1660">
        <f>Prices!E1660</f>
        <v/>
      </c>
      <c r="F1660">
        <f>Prices!F1660</f>
        <v/>
      </c>
      <c r="G1660">
        <f>IF(AND(1658&gt;=16,TEXT(A1660,"yyyy-mm")&lt;&gt;TEXT(A1661,"yyyy-mm")),1,0)</f>
        <v/>
      </c>
      <c r="H1660">
        <f>IF(OR(H1659=1,G1660=1),1,0)</f>
        <v/>
      </c>
      <c r="I1660">
        <f>IF(H1659=0,1,SUMPRODUCT(J1659:N1659,B1660:F1660)+O1659*(1+0.00023125256064071564))</f>
        <v/>
      </c>
      <c r="J1660">
        <f>IF(G1660=1,0.2*R1660/B1660,J1659)</f>
        <v/>
      </c>
      <c r="K1660">
        <f>IF(G1660=1,0.2*R1660/C1660,K1659)</f>
        <v/>
      </c>
      <c r="L1660">
        <f>IF(G1660=1,0.2*R1660/D1660,L1659)</f>
        <v/>
      </c>
      <c r="M1660">
        <f>IF(G1660=1,0.2*R1660/E1660,M1659)</f>
        <v/>
      </c>
      <c r="N1660">
        <f>IF(G1660=1,0.2*R1660/F1660,N1659)</f>
        <v/>
      </c>
      <c r="O1660">
        <f>IF(G1660=1,R1660*(1-1.0),IF(H1659=0,1,O1659*(1+0.00023125256064071564)))</f>
        <v/>
      </c>
      <c r="P1660">
        <f>IF(G1660=1,IF(H1659=0,1,ABS(0.2-J1659*B1660/I1660)+ABS(0.2-K1659*C1660/I1660)+ABS(0.2-L1659*D1660/I1660)+ABS(0.2-M1659*E1660/I1660)+ABS(0.2-N1659*F1660/I1660)),0)</f>
        <v/>
      </c>
      <c r="Q1660">
        <f>P1660*0.0015</f>
        <v/>
      </c>
      <c r="R1660">
        <f>I1660*(1-Q1660)</f>
        <v/>
      </c>
      <c r="S1660">
        <f>R1660/R1659-1</f>
        <v/>
      </c>
      <c r="T1660">
        <f>MAX(T1659,R1660)</f>
        <v/>
      </c>
      <c r="U1660">
        <f>R1660/T1660-1</f>
        <v/>
      </c>
      <c r="V1660" t="n">
        <v>3.010300480913209</v>
      </c>
      <c r="W1660" s="5">
        <f>R1660-V1660</f>
        <v/>
      </c>
    </row>
    <row r="1661">
      <c r="A1661" s="3" t="n">
        <v>40884</v>
      </c>
      <c r="B1661">
        <f>Prices!B1661</f>
        <v/>
      </c>
      <c r="C1661">
        <f>Prices!C1661</f>
        <v/>
      </c>
      <c r="D1661">
        <f>Prices!D1661</f>
        <v/>
      </c>
      <c r="E1661">
        <f>Prices!E1661</f>
        <v/>
      </c>
      <c r="F1661">
        <f>Prices!F1661</f>
        <v/>
      </c>
      <c r="G1661">
        <f>IF(AND(1659&gt;=16,TEXT(A1661,"yyyy-mm")&lt;&gt;TEXT(A1662,"yyyy-mm")),1,0)</f>
        <v/>
      </c>
      <c r="H1661">
        <f>IF(OR(H1660=1,G1661=1),1,0)</f>
        <v/>
      </c>
      <c r="I1661">
        <f>IF(H1660=0,1,SUMPRODUCT(J1660:N1660,B1661:F1661)+O1660*(1+0.00023125256064071564))</f>
        <v/>
      </c>
      <c r="J1661">
        <f>IF(G1661=1,0.2*R1661/B1661,J1660)</f>
        <v/>
      </c>
      <c r="K1661">
        <f>IF(G1661=1,0.2*R1661/C1661,K1660)</f>
        <v/>
      </c>
      <c r="L1661">
        <f>IF(G1661=1,0.2*R1661/D1661,L1660)</f>
        <v/>
      </c>
      <c r="M1661">
        <f>IF(G1661=1,0.2*R1661/E1661,M1660)</f>
        <v/>
      </c>
      <c r="N1661">
        <f>IF(G1661=1,0.2*R1661/F1661,N1660)</f>
        <v/>
      </c>
      <c r="O1661">
        <f>IF(G1661=1,R1661*(1-1.0),IF(H1660=0,1,O1660*(1+0.00023125256064071564)))</f>
        <v/>
      </c>
      <c r="P1661">
        <f>IF(G1661=1,IF(H1660=0,1,ABS(0.2-J1660*B1661/I1661)+ABS(0.2-K1660*C1661/I1661)+ABS(0.2-L1660*D1661/I1661)+ABS(0.2-M1660*E1661/I1661)+ABS(0.2-N1660*F1661/I1661)),0)</f>
        <v/>
      </c>
      <c r="Q1661">
        <f>P1661*0.0015</f>
        <v/>
      </c>
      <c r="R1661">
        <f>I1661*(1-Q1661)</f>
        <v/>
      </c>
      <c r="S1661">
        <f>R1661/R1660-1</f>
        <v/>
      </c>
      <c r="T1661">
        <f>MAX(T1660,R1661)</f>
        <v/>
      </c>
      <c r="U1661">
        <f>R1661/T1661-1</f>
        <v/>
      </c>
      <c r="V1661" t="n">
        <v>3.00638313181411</v>
      </c>
      <c r="W1661" s="5">
        <f>R1661-V1661</f>
        <v/>
      </c>
    </row>
    <row r="1662">
      <c r="A1662" s="3" t="n">
        <v>40885</v>
      </c>
      <c r="B1662">
        <f>Prices!B1662</f>
        <v/>
      </c>
      <c r="C1662">
        <f>Prices!C1662</f>
        <v/>
      </c>
      <c r="D1662">
        <f>Prices!D1662</f>
        <v/>
      </c>
      <c r="E1662">
        <f>Prices!E1662</f>
        <v/>
      </c>
      <c r="F1662">
        <f>Prices!F1662</f>
        <v/>
      </c>
      <c r="G1662">
        <f>IF(AND(1660&gt;=16,TEXT(A1662,"yyyy-mm")&lt;&gt;TEXT(A1663,"yyyy-mm")),1,0)</f>
        <v/>
      </c>
      <c r="H1662">
        <f>IF(OR(H1661=1,G1662=1),1,0)</f>
        <v/>
      </c>
      <c r="I1662">
        <f>IF(H1661=0,1,SUMPRODUCT(J1661:N1661,B1662:F1662)+O1661*(1+0.00023125256064071564))</f>
        <v/>
      </c>
      <c r="J1662">
        <f>IF(G1662=1,0.2*R1662/B1662,J1661)</f>
        <v/>
      </c>
      <c r="K1662">
        <f>IF(G1662=1,0.2*R1662/C1662,K1661)</f>
        <v/>
      </c>
      <c r="L1662">
        <f>IF(G1662=1,0.2*R1662/D1662,L1661)</f>
        <v/>
      </c>
      <c r="M1662">
        <f>IF(G1662=1,0.2*R1662/E1662,M1661)</f>
        <v/>
      </c>
      <c r="N1662">
        <f>IF(G1662=1,0.2*R1662/F1662,N1661)</f>
        <v/>
      </c>
      <c r="O1662">
        <f>IF(G1662=1,R1662*(1-1.0),IF(H1661=0,1,O1661*(1+0.00023125256064071564)))</f>
        <v/>
      </c>
      <c r="P1662">
        <f>IF(G1662=1,IF(H1661=0,1,ABS(0.2-J1661*B1662/I1662)+ABS(0.2-K1661*C1662/I1662)+ABS(0.2-L1661*D1662/I1662)+ABS(0.2-M1661*E1662/I1662)+ABS(0.2-N1661*F1662/I1662)),0)</f>
        <v/>
      </c>
      <c r="Q1662">
        <f>P1662*0.0015</f>
        <v/>
      </c>
      <c r="R1662">
        <f>I1662*(1-Q1662)</f>
        <v/>
      </c>
      <c r="S1662">
        <f>R1662/R1661-1</f>
        <v/>
      </c>
      <c r="T1662">
        <f>MAX(T1661,R1662)</f>
        <v/>
      </c>
      <c r="U1662">
        <f>R1662/T1662-1</f>
        <v/>
      </c>
      <c r="V1662" t="n">
        <v>2.953716375105301</v>
      </c>
      <c r="W1662" s="5">
        <f>R1662-V1662</f>
        <v/>
      </c>
    </row>
    <row r="1663">
      <c r="A1663" s="3" t="n">
        <v>40886</v>
      </c>
      <c r="B1663">
        <f>Prices!B1663</f>
        <v/>
      </c>
      <c r="C1663">
        <f>Prices!C1663</f>
        <v/>
      </c>
      <c r="D1663">
        <f>Prices!D1663</f>
        <v/>
      </c>
      <c r="E1663">
        <f>Prices!E1663</f>
        <v/>
      </c>
      <c r="F1663">
        <f>Prices!F1663</f>
        <v/>
      </c>
      <c r="G1663">
        <f>IF(AND(1661&gt;=16,TEXT(A1663,"yyyy-mm")&lt;&gt;TEXT(A1664,"yyyy-mm")),1,0)</f>
        <v/>
      </c>
      <c r="H1663">
        <f>IF(OR(H1662=1,G1663=1),1,0)</f>
        <v/>
      </c>
      <c r="I1663">
        <f>IF(H1662=0,1,SUMPRODUCT(J1662:N1662,B1663:F1663)+O1662*(1+0.00023125256064071564))</f>
        <v/>
      </c>
      <c r="J1663">
        <f>IF(G1663=1,0.2*R1663/B1663,J1662)</f>
        <v/>
      </c>
      <c r="K1663">
        <f>IF(G1663=1,0.2*R1663/C1663,K1662)</f>
        <v/>
      </c>
      <c r="L1663">
        <f>IF(G1663=1,0.2*R1663/D1663,L1662)</f>
        <v/>
      </c>
      <c r="M1663">
        <f>IF(G1663=1,0.2*R1663/E1663,M1662)</f>
        <v/>
      </c>
      <c r="N1663">
        <f>IF(G1663=1,0.2*R1663/F1663,N1662)</f>
        <v/>
      </c>
      <c r="O1663">
        <f>IF(G1663=1,R1663*(1-1.0),IF(H1662=0,1,O1662*(1+0.00023125256064071564)))</f>
        <v/>
      </c>
      <c r="P1663">
        <f>IF(G1663=1,IF(H1662=0,1,ABS(0.2-J1662*B1663/I1663)+ABS(0.2-K1662*C1663/I1663)+ABS(0.2-L1662*D1663/I1663)+ABS(0.2-M1662*E1663/I1663)+ABS(0.2-N1662*F1663/I1663)),0)</f>
        <v/>
      </c>
      <c r="Q1663">
        <f>P1663*0.0015</f>
        <v/>
      </c>
      <c r="R1663">
        <f>I1663*(1-Q1663)</f>
        <v/>
      </c>
      <c r="S1663">
        <f>R1663/R1662-1</f>
        <v/>
      </c>
      <c r="T1663">
        <f>MAX(T1662,R1663)</f>
        <v/>
      </c>
      <c r="U1663">
        <f>R1663/T1663-1</f>
        <v/>
      </c>
      <c r="V1663" t="n">
        <v>2.923046262696589</v>
      </c>
      <c r="W1663" s="5">
        <f>R1663-V1663</f>
        <v/>
      </c>
    </row>
    <row r="1664">
      <c r="A1664" s="3" t="n">
        <v>40889</v>
      </c>
      <c r="B1664">
        <f>Prices!B1664</f>
        <v/>
      </c>
      <c r="C1664">
        <f>Prices!C1664</f>
        <v/>
      </c>
      <c r="D1664">
        <f>Prices!D1664</f>
        <v/>
      </c>
      <c r="E1664">
        <f>Prices!E1664</f>
        <v/>
      </c>
      <c r="F1664">
        <f>Prices!F1664</f>
        <v/>
      </c>
      <c r="G1664">
        <f>IF(AND(1662&gt;=16,TEXT(A1664,"yyyy-mm")&lt;&gt;TEXT(A1665,"yyyy-mm")),1,0)</f>
        <v/>
      </c>
      <c r="H1664">
        <f>IF(OR(H1663=1,G1664=1),1,0)</f>
        <v/>
      </c>
      <c r="I1664">
        <f>IF(H1663=0,1,SUMPRODUCT(J1663:N1663,B1664:F1664)+O1663*(1+0.00023125256064071564))</f>
        <v/>
      </c>
      <c r="J1664">
        <f>IF(G1664=1,0.2*R1664/B1664,J1663)</f>
        <v/>
      </c>
      <c r="K1664">
        <f>IF(G1664=1,0.2*R1664/C1664,K1663)</f>
        <v/>
      </c>
      <c r="L1664">
        <f>IF(G1664=1,0.2*R1664/D1664,L1663)</f>
        <v/>
      </c>
      <c r="M1664">
        <f>IF(G1664=1,0.2*R1664/E1664,M1663)</f>
        <v/>
      </c>
      <c r="N1664">
        <f>IF(G1664=1,0.2*R1664/F1664,N1663)</f>
        <v/>
      </c>
      <c r="O1664">
        <f>IF(G1664=1,R1664*(1-1.0),IF(H1663=0,1,O1663*(1+0.00023125256064071564)))</f>
        <v/>
      </c>
      <c r="P1664">
        <f>IF(G1664=1,IF(H1663=0,1,ABS(0.2-J1663*B1664/I1664)+ABS(0.2-K1663*C1664/I1664)+ABS(0.2-L1663*D1664/I1664)+ABS(0.2-M1663*E1664/I1664)+ABS(0.2-N1663*F1664/I1664)),0)</f>
        <v/>
      </c>
      <c r="Q1664">
        <f>P1664*0.0015</f>
        <v/>
      </c>
      <c r="R1664">
        <f>I1664*(1-Q1664)</f>
        <v/>
      </c>
      <c r="S1664">
        <f>R1664/R1663-1</f>
        <v/>
      </c>
      <c r="T1664">
        <f>MAX(T1663,R1664)</f>
        <v/>
      </c>
      <c r="U1664">
        <f>R1664/T1664-1</f>
        <v/>
      </c>
      <c r="V1664" t="n">
        <v>2.870126109349561</v>
      </c>
      <c r="W1664" s="5">
        <f>R1664-V1664</f>
        <v/>
      </c>
    </row>
    <row r="1665">
      <c r="A1665" s="3" t="n">
        <v>40890</v>
      </c>
      <c r="B1665">
        <f>Prices!B1665</f>
        <v/>
      </c>
      <c r="C1665">
        <f>Prices!C1665</f>
        <v/>
      </c>
      <c r="D1665">
        <f>Prices!D1665</f>
        <v/>
      </c>
      <c r="E1665">
        <f>Prices!E1665</f>
        <v/>
      </c>
      <c r="F1665">
        <f>Prices!F1665</f>
        <v/>
      </c>
      <c r="G1665">
        <f>IF(AND(1663&gt;=16,TEXT(A1665,"yyyy-mm")&lt;&gt;TEXT(A1666,"yyyy-mm")),1,0)</f>
        <v/>
      </c>
      <c r="H1665">
        <f>IF(OR(H1664=1,G1665=1),1,0)</f>
        <v/>
      </c>
      <c r="I1665">
        <f>IF(H1664=0,1,SUMPRODUCT(J1664:N1664,B1665:F1665)+O1664*(1+0.00023125256064071564))</f>
        <v/>
      </c>
      <c r="J1665">
        <f>IF(G1665=1,0.2*R1665/B1665,J1664)</f>
        <v/>
      </c>
      <c r="K1665">
        <f>IF(G1665=1,0.2*R1665/C1665,K1664)</f>
        <v/>
      </c>
      <c r="L1665">
        <f>IF(G1665=1,0.2*R1665/D1665,L1664)</f>
        <v/>
      </c>
      <c r="M1665">
        <f>IF(G1665=1,0.2*R1665/E1665,M1664)</f>
        <v/>
      </c>
      <c r="N1665">
        <f>IF(G1665=1,0.2*R1665/F1665,N1664)</f>
        <v/>
      </c>
      <c r="O1665">
        <f>IF(G1665=1,R1665*(1-1.0),IF(H1664=0,1,O1664*(1+0.00023125256064071564)))</f>
        <v/>
      </c>
      <c r="P1665">
        <f>IF(G1665=1,IF(H1664=0,1,ABS(0.2-J1664*B1665/I1665)+ABS(0.2-K1664*C1665/I1665)+ABS(0.2-L1664*D1665/I1665)+ABS(0.2-M1664*E1665/I1665)+ABS(0.2-N1664*F1665/I1665)),0)</f>
        <v/>
      </c>
      <c r="Q1665">
        <f>P1665*0.0015</f>
        <v/>
      </c>
      <c r="R1665">
        <f>I1665*(1-Q1665)</f>
        <v/>
      </c>
      <c r="S1665">
        <f>R1665/R1664-1</f>
        <v/>
      </c>
      <c r="T1665">
        <f>MAX(T1664,R1665)</f>
        <v/>
      </c>
      <c r="U1665">
        <f>R1665/T1665-1</f>
        <v/>
      </c>
      <c r="V1665" t="n">
        <v>2.876403161206794</v>
      </c>
      <c r="W1665" s="5">
        <f>R1665-V1665</f>
        <v/>
      </c>
    </row>
    <row r="1666">
      <c r="A1666" s="3" t="n">
        <v>40891</v>
      </c>
      <c r="B1666">
        <f>Prices!B1666</f>
        <v/>
      </c>
      <c r="C1666">
        <f>Prices!C1666</f>
        <v/>
      </c>
      <c r="D1666">
        <f>Prices!D1666</f>
        <v/>
      </c>
      <c r="E1666">
        <f>Prices!E1666</f>
        <v/>
      </c>
      <c r="F1666">
        <f>Prices!F1666</f>
        <v/>
      </c>
      <c r="G1666">
        <f>IF(AND(1664&gt;=16,TEXT(A1666,"yyyy-mm")&lt;&gt;TEXT(A1667,"yyyy-mm")),1,0)</f>
        <v/>
      </c>
      <c r="H1666">
        <f>IF(OR(H1665=1,G1666=1),1,0)</f>
        <v/>
      </c>
      <c r="I1666">
        <f>IF(H1665=0,1,SUMPRODUCT(J1665:N1665,B1666:F1666)+O1665*(1+0.00023125256064071564))</f>
        <v/>
      </c>
      <c r="J1666">
        <f>IF(G1666=1,0.2*R1666/B1666,J1665)</f>
        <v/>
      </c>
      <c r="K1666">
        <f>IF(G1666=1,0.2*R1666/C1666,K1665)</f>
        <v/>
      </c>
      <c r="L1666">
        <f>IF(G1666=1,0.2*R1666/D1666,L1665)</f>
        <v/>
      </c>
      <c r="M1666">
        <f>IF(G1666=1,0.2*R1666/E1666,M1665)</f>
        <v/>
      </c>
      <c r="N1666">
        <f>IF(G1666=1,0.2*R1666/F1666,N1665)</f>
        <v/>
      </c>
      <c r="O1666">
        <f>IF(G1666=1,R1666*(1-1.0),IF(H1665=0,1,O1665*(1+0.00023125256064071564)))</f>
        <v/>
      </c>
      <c r="P1666">
        <f>IF(G1666=1,IF(H1665=0,1,ABS(0.2-J1665*B1666/I1666)+ABS(0.2-K1665*C1666/I1666)+ABS(0.2-L1665*D1666/I1666)+ABS(0.2-M1665*E1666/I1666)+ABS(0.2-N1665*F1666/I1666)),0)</f>
        <v/>
      </c>
      <c r="Q1666">
        <f>P1666*0.0015</f>
        <v/>
      </c>
      <c r="R1666">
        <f>I1666*(1-Q1666)</f>
        <v/>
      </c>
      <c r="S1666">
        <f>R1666/R1665-1</f>
        <v/>
      </c>
      <c r="T1666">
        <f>MAX(T1665,R1666)</f>
        <v/>
      </c>
      <c r="U1666">
        <f>R1666/T1666-1</f>
        <v/>
      </c>
      <c r="V1666" t="n">
        <v>2.852929967288969</v>
      </c>
      <c r="W1666" s="5">
        <f>R1666-V1666</f>
        <v/>
      </c>
    </row>
    <row r="1667">
      <c r="A1667" s="3" t="n">
        <v>40892</v>
      </c>
      <c r="B1667">
        <f>Prices!B1667</f>
        <v/>
      </c>
      <c r="C1667">
        <f>Prices!C1667</f>
        <v/>
      </c>
      <c r="D1667">
        <f>Prices!D1667</f>
        <v/>
      </c>
      <c r="E1667">
        <f>Prices!E1667</f>
        <v/>
      </c>
      <c r="F1667">
        <f>Prices!F1667</f>
        <v/>
      </c>
      <c r="G1667">
        <f>IF(AND(1665&gt;=16,TEXT(A1667,"yyyy-mm")&lt;&gt;TEXT(A1668,"yyyy-mm")),1,0)</f>
        <v/>
      </c>
      <c r="H1667">
        <f>IF(OR(H1666=1,G1667=1),1,0)</f>
        <v/>
      </c>
      <c r="I1667">
        <f>IF(H1666=0,1,SUMPRODUCT(J1666:N1666,B1667:F1667)+O1666*(1+0.00023125256064071564))</f>
        <v/>
      </c>
      <c r="J1667">
        <f>IF(G1667=1,0.2*R1667/B1667,J1666)</f>
        <v/>
      </c>
      <c r="K1667">
        <f>IF(G1667=1,0.2*R1667/C1667,K1666)</f>
        <v/>
      </c>
      <c r="L1667">
        <f>IF(G1667=1,0.2*R1667/D1667,L1666)</f>
        <v/>
      </c>
      <c r="M1667">
        <f>IF(G1667=1,0.2*R1667/E1667,M1666)</f>
        <v/>
      </c>
      <c r="N1667">
        <f>IF(G1667=1,0.2*R1667/F1667,N1666)</f>
        <v/>
      </c>
      <c r="O1667">
        <f>IF(G1667=1,R1667*(1-1.0),IF(H1666=0,1,O1666*(1+0.00023125256064071564)))</f>
        <v/>
      </c>
      <c r="P1667">
        <f>IF(G1667=1,IF(H1666=0,1,ABS(0.2-J1666*B1667/I1667)+ABS(0.2-K1666*C1667/I1667)+ABS(0.2-L1666*D1667/I1667)+ABS(0.2-M1666*E1667/I1667)+ABS(0.2-N1666*F1667/I1667)),0)</f>
        <v/>
      </c>
      <c r="Q1667">
        <f>P1667*0.0015</f>
        <v/>
      </c>
      <c r="R1667">
        <f>I1667*(1-Q1667)</f>
        <v/>
      </c>
      <c r="S1667">
        <f>R1667/R1666-1</f>
        <v/>
      </c>
      <c r="T1667">
        <f>MAX(T1666,R1667)</f>
        <v/>
      </c>
      <c r="U1667">
        <f>R1667/T1667-1</f>
        <v/>
      </c>
      <c r="V1667" t="n">
        <v>2.839117860109091</v>
      </c>
      <c r="W1667" s="5">
        <f>R1667-V1667</f>
        <v/>
      </c>
    </row>
    <row r="1668">
      <c r="A1668" s="3" t="n">
        <v>40893</v>
      </c>
      <c r="B1668">
        <f>Prices!B1668</f>
        <v/>
      </c>
      <c r="C1668">
        <f>Prices!C1668</f>
        <v/>
      </c>
      <c r="D1668">
        <f>Prices!D1668</f>
        <v/>
      </c>
      <c r="E1668">
        <f>Prices!E1668</f>
        <v/>
      </c>
      <c r="F1668">
        <f>Prices!F1668</f>
        <v/>
      </c>
      <c r="G1668">
        <f>IF(AND(1666&gt;=16,TEXT(A1668,"yyyy-mm")&lt;&gt;TEXT(A1669,"yyyy-mm")),1,0)</f>
        <v/>
      </c>
      <c r="H1668">
        <f>IF(OR(H1667=1,G1668=1),1,0)</f>
        <v/>
      </c>
      <c r="I1668">
        <f>IF(H1667=0,1,SUMPRODUCT(J1667:N1667,B1668:F1668)+O1667*(1+0.00023125256064071564))</f>
        <v/>
      </c>
      <c r="J1668">
        <f>IF(G1668=1,0.2*R1668/B1668,J1667)</f>
        <v/>
      </c>
      <c r="K1668">
        <f>IF(G1668=1,0.2*R1668/C1668,K1667)</f>
        <v/>
      </c>
      <c r="L1668">
        <f>IF(G1668=1,0.2*R1668/D1668,L1667)</f>
        <v/>
      </c>
      <c r="M1668">
        <f>IF(G1668=1,0.2*R1668/E1668,M1667)</f>
        <v/>
      </c>
      <c r="N1668">
        <f>IF(G1668=1,0.2*R1668/F1668,N1667)</f>
        <v/>
      </c>
      <c r="O1668">
        <f>IF(G1668=1,R1668*(1-1.0),IF(H1667=0,1,O1667*(1+0.00023125256064071564)))</f>
        <v/>
      </c>
      <c r="P1668">
        <f>IF(G1668=1,IF(H1667=0,1,ABS(0.2-J1667*B1668/I1668)+ABS(0.2-K1667*C1668/I1668)+ABS(0.2-L1667*D1668/I1668)+ABS(0.2-M1667*E1668/I1668)+ABS(0.2-N1667*F1668/I1668)),0)</f>
        <v/>
      </c>
      <c r="Q1668">
        <f>P1668*0.0015</f>
        <v/>
      </c>
      <c r="R1668">
        <f>I1668*(1-Q1668)</f>
        <v/>
      </c>
      <c r="S1668">
        <f>R1668/R1667-1</f>
        <v/>
      </c>
      <c r="T1668">
        <f>MAX(T1667,R1668)</f>
        <v/>
      </c>
      <c r="U1668">
        <f>R1668/T1668-1</f>
        <v/>
      </c>
      <c r="V1668" t="n">
        <v>2.782930970110987</v>
      </c>
      <c r="W1668" s="5">
        <f>R1668-V1668</f>
        <v/>
      </c>
    </row>
    <row r="1669">
      <c r="A1669" s="3" t="n">
        <v>40896</v>
      </c>
      <c r="B1669">
        <f>Prices!B1669</f>
        <v/>
      </c>
      <c r="C1669">
        <f>Prices!C1669</f>
        <v/>
      </c>
      <c r="D1669">
        <f>Prices!D1669</f>
        <v/>
      </c>
      <c r="E1669">
        <f>Prices!E1669</f>
        <v/>
      </c>
      <c r="F1669">
        <f>Prices!F1669</f>
        <v/>
      </c>
      <c r="G1669">
        <f>IF(AND(1667&gt;=16,TEXT(A1669,"yyyy-mm")&lt;&gt;TEXT(A1670,"yyyy-mm")),1,0)</f>
        <v/>
      </c>
      <c r="H1669">
        <f>IF(OR(H1668=1,G1669=1),1,0)</f>
        <v/>
      </c>
      <c r="I1669">
        <f>IF(H1668=0,1,SUMPRODUCT(J1668:N1668,B1669:F1669)+O1668*(1+0.00023125256064071564))</f>
        <v/>
      </c>
      <c r="J1669">
        <f>IF(G1669=1,0.2*R1669/B1669,J1668)</f>
        <v/>
      </c>
      <c r="K1669">
        <f>IF(G1669=1,0.2*R1669/C1669,K1668)</f>
        <v/>
      </c>
      <c r="L1669">
        <f>IF(G1669=1,0.2*R1669/D1669,L1668)</f>
        <v/>
      </c>
      <c r="M1669">
        <f>IF(G1669=1,0.2*R1669/E1669,M1668)</f>
        <v/>
      </c>
      <c r="N1669">
        <f>IF(G1669=1,0.2*R1669/F1669,N1668)</f>
        <v/>
      </c>
      <c r="O1669">
        <f>IF(G1669=1,R1669*(1-1.0),IF(H1668=0,1,O1668*(1+0.00023125256064071564)))</f>
        <v/>
      </c>
      <c r="P1669">
        <f>IF(G1669=1,IF(H1668=0,1,ABS(0.2-J1668*B1669/I1669)+ABS(0.2-K1668*C1669/I1669)+ABS(0.2-L1668*D1669/I1669)+ABS(0.2-M1668*E1669/I1669)+ABS(0.2-N1668*F1669/I1669)),0)</f>
        <v/>
      </c>
      <c r="Q1669">
        <f>P1669*0.0015</f>
        <v/>
      </c>
      <c r="R1669">
        <f>I1669*(1-Q1669)</f>
        <v/>
      </c>
      <c r="S1669">
        <f>R1669/R1668-1</f>
        <v/>
      </c>
      <c r="T1669">
        <f>MAX(T1668,R1669)</f>
        <v/>
      </c>
      <c r="U1669">
        <f>R1669/T1669-1</f>
        <v/>
      </c>
      <c r="V1669" t="n">
        <v>2.742188917461471</v>
      </c>
      <c r="W1669" s="5">
        <f>R1669-V1669</f>
        <v/>
      </c>
    </row>
    <row r="1670">
      <c r="A1670" s="3" t="n">
        <v>40897</v>
      </c>
      <c r="B1670">
        <f>Prices!B1670</f>
        <v/>
      </c>
      <c r="C1670">
        <f>Prices!C1670</f>
        <v/>
      </c>
      <c r="D1670">
        <f>Prices!D1670</f>
        <v/>
      </c>
      <c r="E1670">
        <f>Prices!E1670</f>
        <v/>
      </c>
      <c r="F1670">
        <f>Prices!F1670</f>
        <v/>
      </c>
      <c r="G1670">
        <f>IF(AND(1668&gt;=16,TEXT(A1670,"yyyy-mm")&lt;&gt;TEXT(A1671,"yyyy-mm")),1,0)</f>
        <v/>
      </c>
      <c r="H1670">
        <f>IF(OR(H1669=1,G1670=1),1,0)</f>
        <v/>
      </c>
      <c r="I1670">
        <f>IF(H1669=0,1,SUMPRODUCT(J1669:N1669,B1670:F1670)+O1669*(1+0.00023125256064071564))</f>
        <v/>
      </c>
      <c r="J1670">
        <f>IF(G1670=1,0.2*R1670/B1670,J1669)</f>
        <v/>
      </c>
      <c r="K1670">
        <f>IF(G1670=1,0.2*R1670/C1670,K1669)</f>
        <v/>
      </c>
      <c r="L1670">
        <f>IF(G1670=1,0.2*R1670/D1670,L1669)</f>
        <v/>
      </c>
      <c r="M1670">
        <f>IF(G1670=1,0.2*R1670/E1670,M1669)</f>
        <v/>
      </c>
      <c r="N1670">
        <f>IF(G1670=1,0.2*R1670/F1670,N1669)</f>
        <v/>
      </c>
      <c r="O1670">
        <f>IF(G1670=1,R1670*(1-1.0),IF(H1669=0,1,O1669*(1+0.00023125256064071564)))</f>
        <v/>
      </c>
      <c r="P1670">
        <f>IF(G1670=1,IF(H1669=0,1,ABS(0.2-J1669*B1670/I1670)+ABS(0.2-K1669*C1670/I1670)+ABS(0.2-L1669*D1670/I1670)+ABS(0.2-M1669*E1670/I1670)+ABS(0.2-N1669*F1670/I1670)),0)</f>
        <v/>
      </c>
      <c r="Q1670">
        <f>P1670*0.0015</f>
        <v/>
      </c>
      <c r="R1670">
        <f>I1670*(1-Q1670)</f>
        <v/>
      </c>
      <c r="S1670">
        <f>R1670/R1669-1</f>
        <v/>
      </c>
      <c r="T1670">
        <f>MAX(T1669,R1670)</f>
        <v/>
      </c>
      <c r="U1670">
        <f>R1670/T1670-1</f>
        <v/>
      </c>
      <c r="V1670" t="n">
        <v>2.692714365348367</v>
      </c>
      <c r="W1670" s="5">
        <f>R1670-V1670</f>
        <v/>
      </c>
    </row>
    <row r="1671">
      <c r="A1671" s="3" t="n">
        <v>40898</v>
      </c>
      <c r="B1671">
        <f>Prices!B1671</f>
        <v/>
      </c>
      <c r="C1671">
        <f>Prices!C1671</f>
        <v/>
      </c>
      <c r="D1671">
        <f>Prices!D1671</f>
        <v/>
      </c>
      <c r="E1671">
        <f>Prices!E1671</f>
        <v/>
      </c>
      <c r="F1671">
        <f>Prices!F1671</f>
        <v/>
      </c>
      <c r="G1671">
        <f>IF(AND(1669&gt;=16,TEXT(A1671,"yyyy-mm")&lt;&gt;TEXT(A1672,"yyyy-mm")),1,0)</f>
        <v/>
      </c>
      <c r="H1671">
        <f>IF(OR(H1670=1,G1671=1),1,0)</f>
        <v/>
      </c>
      <c r="I1671">
        <f>IF(H1670=0,1,SUMPRODUCT(J1670:N1670,B1671:F1671)+O1670*(1+0.00023125256064071564))</f>
        <v/>
      </c>
      <c r="J1671">
        <f>IF(G1671=1,0.2*R1671/B1671,J1670)</f>
        <v/>
      </c>
      <c r="K1671">
        <f>IF(G1671=1,0.2*R1671/C1671,K1670)</f>
        <v/>
      </c>
      <c r="L1671">
        <f>IF(G1671=1,0.2*R1671/D1671,L1670)</f>
        <v/>
      </c>
      <c r="M1671">
        <f>IF(G1671=1,0.2*R1671/E1671,M1670)</f>
        <v/>
      </c>
      <c r="N1671">
        <f>IF(G1671=1,0.2*R1671/F1671,N1670)</f>
        <v/>
      </c>
      <c r="O1671">
        <f>IF(G1671=1,R1671*(1-1.0),IF(H1670=0,1,O1670*(1+0.00023125256064071564)))</f>
        <v/>
      </c>
      <c r="P1671">
        <f>IF(G1671=1,IF(H1670=0,1,ABS(0.2-J1670*B1671/I1671)+ABS(0.2-K1670*C1671/I1671)+ABS(0.2-L1670*D1671/I1671)+ABS(0.2-M1670*E1671/I1671)+ABS(0.2-N1670*F1671/I1671)),0)</f>
        <v/>
      </c>
      <c r="Q1671">
        <f>P1671*0.0015</f>
        <v/>
      </c>
      <c r="R1671">
        <f>I1671*(1-Q1671)</f>
        <v/>
      </c>
      <c r="S1671">
        <f>R1671/R1670-1</f>
        <v/>
      </c>
      <c r="T1671">
        <f>MAX(T1670,R1671)</f>
        <v/>
      </c>
      <c r="U1671">
        <f>R1671/T1671-1</f>
        <v/>
      </c>
      <c r="V1671" t="n">
        <v>2.744974274475647</v>
      </c>
      <c r="W1671" s="5">
        <f>R1671-V1671</f>
        <v/>
      </c>
    </row>
    <row r="1672">
      <c r="A1672" s="3" t="n">
        <v>40899</v>
      </c>
      <c r="B1672">
        <f>Prices!B1672</f>
        <v/>
      </c>
      <c r="C1672">
        <f>Prices!C1672</f>
        <v/>
      </c>
      <c r="D1672">
        <f>Prices!D1672</f>
        <v/>
      </c>
      <c r="E1672">
        <f>Prices!E1672</f>
        <v/>
      </c>
      <c r="F1672">
        <f>Prices!F1672</f>
        <v/>
      </c>
      <c r="G1672">
        <f>IF(AND(1670&gt;=16,TEXT(A1672,"yyyy-mm")&lt;&gt;TEXT(A1673,"yyyy-mm")),1,0)</f>
        <v/>
      </c>
      <c r="H1672">
        <f>IF(OR(H1671=1,G1672=1),1,0)</f>
        <v/>
      </c>
      <c r="I1672">
        <f>IF(H1671=0,1,SUMPRODUCT(J1671:N1671,B1672:F1672)+O1671*(1+0.00023125256064071564))</f>
        <v/>
      </c>
      <c r="J1672">
        <f>IF(G1672=1,0.2*R1672/B1672,J1671)</f>
        <v/>
      </c>
      <c r="K1672">
        <f>IF(G1672=1,0.2*R1672/C1672,K1671)</f>
        <v/>
      </c>
      <c r="L1672">
        <f>IF(G1672=1,0.2*R1672/D1672,L1671)</f>
        <v/>
      </c>
      <c r="M1672">
        <f>IF(G1672=1,0.2*R1672/E1672,M1671)</f>
        <v/>
      </c>
      <c r="N1672">
        <f>IF(G1672=1,0.2*R1672/F1672,N1671)</f>
        <v/>
      </c>
      <c r="O1672">
        <f>IF(G1672=1,R1672*(1-1.0),IF(H1671=0,1,O1671*(1+0.00023125256064071564)))</f>
        <v/>
      </c>
      <c r="P1672">
        <f>IF(G1672=1,IF(H1671=0,1,ABS(0.2-J1671*B1672/I1672)+ABS(0.2-K1671*C1672/I1672)+ABS(0.2-L1671*D1672/I1672)+ABS(0.2-M1671*E1672/I1672)+ABS(0.2-N1671*F1672/I1672)),0)</f>
        <v/>
      </c>
      <c r="Q1672">
        <f>P1672*0.0015</f>
        <v/>
      </c>
      <c r="R1672">
        <f>I1672*(1-Q1672)</f>
        <v/>
      </c>
      <c r="S1672">
        <f>R1672/R1671-1</f>
        <v/>
      </c>
      <c r="T1672">
        <f>MAX(T1671,R1672)</f>
        <v/>
      </c>
      <c r="U1672">
        <f>R1672/T1672-1</f>
        <v/>
      </c>
      <c r="V1672" t="n">
        <v>2.772296313367689</v>
      </c>
      <c r="W1672" s="5">
        <f>R1672-V1672</f>
        <v/>
      </c>
    </row>
    <row r="1673">
      <c r="A1673" s="3" t="n">
        <v>40900</v>
      </c>
      <c r="B1673">
        <f>Prices!B1673</f>
        <v/>
      </c>
      <c r="C1673">
        <f>Prices!C1673</f>
        <v/>
      </c>
      <c r="D1673">
        <f>Prices!D1673</f>
        <v/>
      </c>
      <c r="E1673">
        <f>Prices!E1673</f>
        <v/>
      </c>
      <c r="F1673">
        <f>Prices!F1673</f>
        <v/>
      </c>
      <c r="G1673">
        <f>IF(AND(1671&gt;=16,TEXT(A1673,"yyyy-mm")&lt;&gt;TEXT(A1674,"yyyy-mm")),1,0)</f>
        <v/>
      </c>
      <c r="H1673">
        <f>IF(OR(H1672=1,G1673=1),1,0)</f>
        <v/>
      </c>
      <c r="I1673">
        <f>IF(H1672=0,1,SUMPRODUCT(J1672:N1672,B1673:F1673)+O1672*(1+0.00023125256064071564))</f>
        <v/>
      </c>
      <c r="J1673">
        <f>IF(G1673=1,0.2*R1673/B1673,J1672)</f>
        <v/>
      </c>
      <c r="K1673">
        <f>IF(G1673=1,0.2*R1673/C1673,K1672)</f>
        <v/>
      </c>
      <c r="L1673">
        <f>IF(G1673=1,0.2*R1673/D1673,L1672)</f>
        <v/>
      </c>
      <c r="M1673">
        <f>IF(G1673=1,0.2*R1673/E1673,M1672)</f>
        <v/>
      </c>
      <c r="N1673">
        <f>IF(G1673=1,0.2*R1673/F1673,N1672)</f>
        <v/>
      </c>
      <c r="O1673">
        <f>IF(G1673=1,R1673*(1-1.0),IF(H1672=0,1,O1672*(1+0.00023125256064071564)))</f>
        <v/>
      </c>
      <c r="P1673">
        <f>IF(G1673=1,IF(H1672=0,1,ABS(0.2-J1672*B1673/I1673)+ABS(0.2-K1672*C1673/I1673)+ABS(0.2-L1672*D1673/I1673)+ABS(0.2-M1672*E1673/I1673)+ABS(0.2-N1672*F1673/I1673)),0)</f>
        <v/>
      </c>
      <c r="Q1673">
        <f>P1673*0.0015</f>
        <v/>
      </c>
      <c r="R1673">
        <f>I1673*(1-Q1673)</f>
        <v/>
      </c>
      <c r="S1673">
        <f>R1673/R1672-1</f>
        <v/>
      </c>
      <c r="T1673">
        <f>MAX(T1672,R1673)</f>
        <v/>
      </c>
      <c r="U1673">
        <f>R1673/T1673-1</f>
        <v/>
      </c>
      <c r="V1673" t="n">
        <v>2.759120812851541</v>
      </c>
      <c r="W1673" s="5">
        <f>R1673-V1673</f>
        <v/>
      </c>
    </row>
    <row r="1674">
      <c r="A1674" s="3" t="n">
        <v>40903</v>
      </c>
      <c r="B1674">
        <f>Prices!B1674</f>
        <v/>
      </c>
      <c r="C1674">
        <f>Prices!C1674</f>
        <v/>
      </c>
      <c r="D1674">
        <f>Prices!D1674</f>
        <v/>
      </c>
      <c r="E1674">
        <f>Prices!E1674</f>
        <v/>
      </c>
      <c r="F1674">
        <f>Prices!F1674</f>
        <v/>
      </c>
      <c r="G1674">
        <f>IF(AND(1672&gt;=16,TEXT(A1674,"yyyy-mm")&lt;&gt;TEXT(A1675,"yyyy-mm")),1,0)</f>
        <v/>
      </c>
      <c r="H1674">
        <f>IF(OR(H1673=1,G1674=1),1,0)</f>
        <v/>
      </c>
      <c r="I1674">
        <f>IF(H1673=0,1,SUMPRODUCT(J1673:N1673,B1674:F1674)+O1673*(1+0.00023125256064071564))</f>
        <v/>
      </c>
      <c r="J1674">
        <f>IF(G1674=1,0.2*R1674/B1674,J1673)</f>
        <v/>
      </c>
      <c r="K1674">
        <f>IF(G1674=1,0.2*R1674/C1674,K1673)</f>
        <v/>
      </c>
      <c r="L1674">
        <f>IF(G1674=1,0.2*R1674/D1674,L1673)</f>
        <v/>
      </c>
      <c r="M1674">
        <f>IF(G1674=1,0.2*R1674/E1674,M1673)</f>
        <v/>
      </c>
      <c r="N1674">
        <f>IF(G1674=1,0.2*R1674/F1674,N1673)</f>
        <v/>
      </c>
      <c r="O1674">
        <f>IF(G1674=1,R1674*(1-1.0),IF(H1673=0,1,O1673*(1+0.00023125256064071564)))</f>
        <v/>
      </c>
      <c r="P1674">
        <f>IF(G1674=1,IF(H1673=0,1,ABS(0.2-J1673*B1674/I1674)+ABS(0.2-K1673*C1674/I1674)+ABS(0.2-L1673*D1674/I1674)+ABS(0.2-M1673*E1674/I1674)+ABS(0.2-N1673*F1674/I1674)),0)</f>
        <v/>
      </c>
      <c r="Q1674">
        <f>P1674*0.0015</f>
        <v/>
      </c>
      <c r="R1674">
        <f>I1674*(1-Q1674)</f>
        <v/>
      </c>
      <c r="S1674">
        <f>R1674/R1673-1</f>
        <v/>
      </c>
      <c r="T1674">
        <f>MAX(T1673,R1674)</f>
        <v/>
      </c>
      <c r="U1674">
        <f>R1674/T1674-1</f>
        <v/>
      </c>
      <c r="V1674" t="n">
        <v>2.783083701606828</v>
      </c>
      <c r="W1674" s="5">
        <f>R1674-V1674</f>
        <v/>
      </c>
    </row>
    <row r="1675">
      <c r="A1675" s="3" t="n">
        <v>40904</v>
      </c>
      <c r="B1675">
        <f>Prices!B1675</f>
        <v/>
      </c>
      <c r="C1675">
        <f>Prices!C1675</f>
        <v/>
      </c>
      <c r="D1675">
        <f>Prices!D1675</f>
        <v/>
      </c>
      <c r="E1675">
        <f>Prices!E1675</f>
        <v/>
      </c>
      <c r="F1675">
        <f>Prices!F1675</f>
        <v/>
      </c>
      <c r="G1675">
        <f>IF(AND(1673&gt;=16,TEXT(A1675,"yyyy-mm")&lt;&gt;TEXT(A1676,"yyyy-mm")),1,0)</f>
        <v/>
      </c>
      <c r="H1675">
        <f>IF(OR(H1674=1,G1675=1),1,0)</f>
        <v/>
      </c>
      <c r="I1675">
        <f>IF(H1674=0,1,SUMPRODUCT(J1674:N1674,B1675:F1675)+O1674*(1+0.00023125256064071564))</f>
        <v/>
      </c>
      <c r="J1675">
        <f>IF(G1675=1,0.2*R1675/B1675,J1674)</f>
        <v/>
      </c>
      <c r="K1675">
        <f>IF(G1675=1,0.2*R1675/C1675,K1674)</f>
        <v/>
      </c>
      <c r="L1675">
        <f>IF(G1675=1,0.2*R1675/D1675,L1674)</f>
        <v/>
      </c>
      <c r="M1675">
        <f>IF(G1675=1,0.2*R1675/E1675,M1674)</f>
        <v/>
      </c>
      <c r="N1675">
        <f>IF(G1675=1,0.2*R1675/F1675,N1674)</f>
        <v/>
      </c>
      <c r="O1675">
        <f>IF(G1675=1,R1675*(1-1.0),IF(H1674=0,1,O1674*(1+0.00023125256064071564)))</f>
        <v/>
      </c>
      <c r="P1675">
        <f>IF(G1675=1,IF(H1674=0,1,ABS(0.2-J1674*B1675/I1675)+ABS(0.2-K1674*C1675/I1675)+ABS(0.2-L1674*D1675/I1675)+ABS(0.2-M1674*E1675/I1675)+ABS(0.2-N1674*F1675/I1675)),0)</f>
        <v/>
      </c>
      <c r="Q1675">
        <f>P1675*0.0015</f>
        <v/>
      </c>
      <c r="R1675">
        <f>I1675*(1-Q1675)</f>
        <v/>
      </c>
      <c r="S1675">
        <f>R1675/R1674-1</f>
        <v/>
      </c>
      <c r="T1675">
        <f>MAX(T1674,R1675)</f>
        <v/>
      </c>
      <c r="U1675">
        <f>R1675/T1675-1</f>
        <v/>
      </c>
      <c r="V1675" t="n">
        <v>2.764766695871935</v>
      </c>
      <c r="W1675" s="5">
        <f>R1675-V1675</f>
        <v/>
      </c>
    </row>
    <row r="1676">
      <c r="A1676" s="3" t="n">
        <v>40905</v>
      </c>
      <c r="B1676">
        <f>Prices!B1676</f>
        <v/>
      </c>
      <c r="C1676">
        <f>Prices!C1676</f>
        <v/>
      </c>
      <c r="D1676">
        <f>Prices!D1676</f>
        <v/>
      </c>
      <c r="E1676">
        <f>Prices!E1676</f>
        <v/>
      </c>
      <c r="F1676">
        <f>Prices!F1676</f>
        <v/>
      </c>
      <c r="G1676">
        <f>IF(AND(1674&gt;=16,TEXT(A1676,"yyyy-mm")&lt;&gt;TEXT(A1677,"yyyy-mm")),1,0)</f>
        <v/>
      </c>
      <c r="H1676">
        <f>IF(OR(H1675=1,G1676=1),1,0)</f>
        <v/>
      </c>
      <c r="I1676">
        <f>IF(H1675=0,1,SUMPRODUCT(J1675:N1675,B1676:F1676)+O1675*(1+0.00023125256064071564))</f>
        <v/>
      </c>
      <c r="J1676">
        <f>IF(G1676=1,0.2*R1676/B1676,J1675)</f>
        <v/>
      </c>
      <c r="K1676">
        <f>IF(G1676=1,0.2*R1676/C1676,K1675)</f>
        <v/>
      </c>
      <c r="L1676">
        <f>IF(G1676=1,0.2*R1676/D1676,L1675)</f>
        <v/>
      </c>
      <c r="M1676">
        <f>IF(G1676=1,0.2*R1676/E1676,M1675)</f>
        <v/>
      </c>
      <c r="N1676">
        <f>IF(G1676=1,0.2*R1676/F1676,N1675)</f>
        <v/>
      </c>
      <c r="O1676">
        <f>IF(G1676=1,R1676*(1-1.0),IF(H1675=0,1,O1675*(1+0.00023125256064071564)))</f>
        <v/>
      </c>
      <c r="P1676">
        <f>IF(G1676=1,IF(H1675=0,1,ABS(0.2-J1675*B1676/I1676)+ABS(0.2-K1675*C1676/I1676)+ABS(0.2-L1675*D1676/I1676)+ABS(0.2-M1675*E1676/I1676)+ABS(0.2-N1675*F1676/I1676)),0)</f>
        <v/>
      </c>
      <c r="Q1676">
        <f>P1676*0.0015</f>
        <v/>
      </c>
      <c r="R1676">
        <f>I1676*(1-Q1676)</f>
        <v/>
      </c>
      <c r="S1676">
        <f>R1676/R1675-1</f>
        <v/>
      </c>
      <c r="T1676">
        <f>MAX(T1675,R1676)</f>
        <v/>
      </c>
      <c r="U1676">
        <f>R1676/T1676-1</f>
        <v/>
      </c>
      <c r="V1676" t="n">
        <v>2.735843512469855</v>
      </c>
      <c r="W1676" s="5">
        <f>R1676-V1676</f>
        <v/>
      </c>
    </row>
    <row r="1677">
      <c r="A1677" s="3" t="n">
        <v>40906</v>
      </c>
      <c r="B1677">
        <f>Prices!B1677</f>
        <v/>
      </c>
      <c r="C1677">
        <f>Prices!C1677</f>
        <v/>
      </c>
      <c r="D1677">
        <f>Prices!D1677</f>
        <v/>
      </c>
      <c r="E1677">
        <f>Prices!E1677</f>
        <v/>
      </c>
      <c r="F1677">
        <f>Prices!F1677</f>
        <v/>
      </c>
      <c r="G1677">
        <f>IF(AND(1675&gt;=16,TEXT(A1677,"yyyy-mm")&lt;&gt;TEXT(A1678,"yyyy-mm")),1,0)</f>
        <v/>
      </c>
      <c r="H1677">
        <f>IF(OR(H1676=1,G1677=1),1,0)</f>
        <v/>
      </c>
      <c r="I1677">
        <f>IF(H1676=0,1,SUMPRODUCT(J1676:N1676,B1677:F1677)+O1676*(1+0.00023125256064071564))</f>
        <v/>
      </c>
      <c r="J1677">
        <f>IF(G1677=1,0.2*R1677/B1677,J1676)</f>
        <v/>
      </c>
      <c r="K1677">
        <f>IF(G1677=1,0.2*R1677/C1677,K1676)</f>
        <v/>
      </c>
      <c r="L1677">
        <f>IF(G1677=1,0.2*R1677/D1677,L1676)</f>
        <v/>
      </c>
      <c r="M1677">
        <f>IF(G1677=1,0.2*R1677/E1677,M1676)</f>
        <v/>
      </c>
      <c r="N1677">
        <f>IF(G1677=1,0.2*R1677/F1677,N1676)</f>
        <v/>
      </c>
      <c r="O1677">
        <f>IF(G1677=1,R1677*(1-1.0),IF(H1676=0,1,O1676*(1+0.00023125256064071564)))</f>
        <v/>
      </c>
      <c r="P1677">
        <f>IF(G1677=1,IF(H1676=0,1,ABS(0.2-J1676*B1677/I1677)+ABS(0.2-K1676*C1677/I1677)+ABS(0.2-L1676*D1677/I1677)+ABS(0.2-M1676*E1677/I1677)+ABS(0.2-N1676*F1677/I1677)),0)</f>
        <v/>
      </c>
      <c r="Q1677">
        <f>P1677*0.0015</f>
        <v/>
      </c>
      <c r="R1677">
        <f>I1677*(1-Q1677)</f>
        <v/>
      </c>
      <c r="S1677">
        <f>R1677/R1676-1</f>
        <v/>
      </c>
      <c r="T1677">
        <f>MAX(T1676,R1677)</f>
        <v/>
      </c>
      <c r="U1677">
        <f>R1677/T1677-1</f>
        <v/>
      </c>
      <c r="V1677" t="n">
        <v>2.718923601258596</v>
      </c>
      <c r="W1677" s="5">
        <f>R1677-V1677</f>
        <v/>
      </c>
    </row>
    <row r="1678">
      <c r="A1678" s="3" t="n">
        <v>40907</v>
      </c>
      <c r="B1678">
        <f>Prices!B1678</f>
        <v/>
      </c>
      <c r="C1678">
        <f>Prices!C1678</f>
        <v/>
      </c>
      <c r="D1678">
        <f>Prices!D1678</f>
        <v/>
      </c>
      <c r="E1678">
        <f>Prices!E1678</f>
        <v/>
      </c>
      <c r="F1678">
        <f>Prices!F1678</f>
        <v/>
      </c>
      <c r="G1678">
        <f>IF(AND(1676&gt;=16,TEXT(A1678,"yyyy-mm")&lt;&gt;TEXT(A1679,"yyyy-mm")),1,0)</f>
        <v/>
      </c>
      <c r="H1678">
        <f>IF(OR(H1677=1,G1678=1),1,0)</f>
        <v/>
      </c>
      <c r="I1678">
        <f>IF(H1677=0,1,SUMPRODUCT(J1677:N1677,B1678:F1678)+O1677*(1+0.00023125256064071564))</f>
        <v/>
      </c>
      <c r="J1678">
        <f>IF(G1678=1,0.2*R1678/B1678,J1677)</f>
        <v/>
      </c>
      <c r="K1678">
        <f>IF(G1678=1,0.2*R1678/C1678,K1677)</f>
        <v/>
      </c>
      <c r="L1678">
        <f>IF(G1678=1,0.2*R1678/D1678,L1677)</f>
        <v/>
      </c>
      <c r="M1678">
        <f>IF(G1678=1,0.2*R1678/E1678,M1677)</f>
        <v/>
      </c>
      <c r="N1678">
        <f>IF(G1678=1,0.2*R1678/F1678,N1677)</f>
        <v/>
      </c>
      <c r="O1678">
        <f>IF(G1678=1,R1678*(1-1.0),IF(H1677=0,1,O1677*(1+0.00023125256064071564)))</f>
        <v/>
      </c>
      <c r="P1678">
        <f>IF(G1678=1,IF(H1677=0,1,ABS(0.2-J1677*B1678/I1678)+ABS(0.2-K1677*C1678/I1678)+ABS(0.2-L1677*D1678/I1678)+ABS(0.2-M1677*E1678/I1678)+ABS(0.2-N1677*F1678/I1678)),0)</f>
        <v/>
      </c>
      <c r="Q1678">
        <f>P1678*0.0015</f>
        <v/>
      </c>
      <c r="R1678">
        <f>I1678*(1-Q1678)</f>
        <v/>
      </c>
      <c r="S1678">
        <f>R1678/R1677-1</f>
        <v/>
      </c>
      <c r="T1678">
        <f>MAX(T1677,R1678)</f>
        <v/>
      </c>
      <c r="U1678">
        <f>R1678/T1678-1</f>
        <v/>
      </c>
      <c r="V1678" t="n">
        <v>2.715325897429836</v>
      </c>
      <c r="W1678" s="5">
        <f>R1678-V1678</f>
        <v/>
      </c>
    </row>
    <row r="1679">
      <c r="A1679" s="3" t="n">
        <v>40910</v>
      </c>
      <c r="B1679">
        <f>Prices!B1679</f>
        <v/>
      </c>
      <c r="C1679">
        <f>Prices!C1679</f>
        <v/>
      </c>
      <c r="D1679">
        <f>Prices!D1679</f>
        <v/>
      </c>
      <c r="E1679">
        <f>Prices!E1679</f>
        <v/>
      </c>
      <c r="F1679">
        <f>Prices!F1679</f>
        <v/>
      </c>
      <c r="G1679">
        <f>IF(AND(1677&gt;=16,TEXT(A1679,"yyyy-mm")&lt;&gt;TEXT(A1680,"yyyy-mm")),1,0)</f>
        <v/>
      </c>
      <c r="H1679">
        <f>IF(OR(H1678=1,G1679=1),1,0)</f>
        <v/>
      </c>
      <c r="I1679">
        <f>IF(H1678=0,1,SUMPRODUCT(J1678:N1678,B1679:F1679)+O1678*(1+0.00023125256064071564))</f>
        <v/>
      </c>
      <c r="J1679">
        <f>IF(G1679=1,0.2*R1679/B1679,J1678)</f>
        <v/>
      </c>
      <c r="K1679">
        <f>IF(G1679=1,0.2*R1679/C1679,K1678)</f>
        <v/>
      </c>
      <c r="L1679">
        <f>IF(G1679=1,0.2*R1679/D1679,L1678)</f>
        <v/>
      </c>
      <c r="M1679">
        <f>IF(G1679=1,0.2*R1679/E1679,M1678)</f>
        <v/>
      </c>
      <c r="N1679">
        <f>IF(G1679=1,0.2*R1679/F1679,N1678)</f>
        <v/>
      </c>
      <c r="O1679">
        <f>IF(G1679=1,R1679*(1-1.0),IF(H1678=0,1,O1678*(1+0.00023125256064071564)))</f>
        <v/>
      </c>
      <c r="P1679">
        <f>IF(G1679=1,IF(H1678=0,1,ABS(0.2-J1678*B1679/I1679)+ABS(0.2-K1678*C1679/I1679)+ABS(0.2-L1678*D1679/I1679)+ABS(0.2-M1678*E1679/I1679)+ABS(0.2-N1678*F1679/I1679)),0)</f>
        <v/>
      </c>
      <c r="Q1679">
        <f>P1679*0.0015</f>
        <v/>
      </c>
      <c r="R1679">
        <f>I1679*(1-Q1679)</f>
        <v/>
      </c>
      <c r="S1679">
        <f>R1679/R1678-1</f>
        <v/>
      </c>
      <c r="T1679">
        <f>MAX(T1678,R1679)</f>
        <v/>
      </c>
      <c r="U1679">
        <f>R1679/T1679-1</f>
        <v/>
      </c>
      <c r="V1679" t="n">
        <v>2.712892151923435</v>
      </c>
      <c r="W1679" s="5">
        <f>R1679-V1679</f>
        <v/>
      </c>
    </row>
    <row r="1680">
      <c r="A1680" s="3" t="n">
        <v>40911</v>
      </c>
      <c r="B1680">
        <f>Prices!B1680</f>
        <v/>
      </c>
      <c r="C1680">
        <f>Prices!C1680</f>
        <v/>
      </c>
      <c r="D1680">
        <f>Prices!D1680</f>
        <v/>
      </c>
      <c r="E1680">
        <f>Prices!E1680</f>
        <v/>
      </c>
      <c r="F1680">
        <f>Prices!F1680</f>
        <v/>
      </c>
      <c r="G1680">
        <f>IF(AND(1678&gt;=16,TEXT(A1680,"yyyy-mm")&lt;&gt;TEXT(A1681,"yyyy-mm")),1,0)</f>
        <v/>
      </c>
      <c r="H1680">
        <f>IF(OR(H1679=1,G1680=1),1,0)</f>
        <v/>
      </c>
      <c r="I1680">
        <f>IF(H1679=0,1,SUMPRODUCT(J1679:N1679,B1680:F1680)+O1679*(1+0.00023125256064071564))</f>
        <v/>
      </c>
      <c r="J1680">
        <f>IF(G1680=1,0.2*R1680/B1680,J1679)</f>
        <v/>
      </c>
      <c r="K1680">
        <f>IF(G1680=1,0.2*R1680/C1680,K1679)</f>
        <v/>
      </c>
      <c r="L1680">
        <f>IF(G1680=1,0.2*R1680/D1680,L1679)</f>
        <v/>
      </c>
      <c r="M1680">
        <f>IF(G1680=1,0.2*R1680/E1680,M1679)</f>
        <v/>
      </c>
      <c r="N1680">
        <f>IF(G1680=1,0.2*R1680/F1680,N1679)</f>
        <v/>
      </c>
      <c r="O1680">
        <f>IF(G1680=1,R1680*(1-1.0),IF(H1679=0,1,O1679*(1+0.00023125256064071564)))</f>
        <v/>
      </c>
      <c r="P1680">
        <f>IF(G1680=1,IF(H1679=0,1,ABS(0.2-J1679*B1680/I1680)+ABS(0.2-K1679*C1680/I1680)+ABS(0.2-L1679*D1680/I1680)+ABS(0.2-M1679*E1680/I1680)+ABS(0.2-N1679*F1680/I1680)),0)</f>
        <v/>
      </c>
      <c r="Q1680">
        <f>P1680*0.0015</f>
        <v/>
      </c>
      <c r="R1680">
        <f>I1680*(1-Q1680)</f>
        <v/>
      </c>
      <c r="S1680">
        <f>R1680/R1679-1</f>
        <v/>
      </c>
      <c r="T1680">
        <f>MAX(T1679,R1680)</f>
        <v/>
      </c>
      <c r="U1680">
        <f>R1680/T1680-1</f>
        <v/>
      </c>
      <c r="V1680" t="n">
        <v>2.780208690381684</v>
      </c>
      <c r="W1680" s="5">
        <f>R1680-V1680</f>
        <v/>
      </c>
    </row>
    <row r="1681">
      <c r="A1681" s="3" t="n">
        <v>40912</v>
      </c>
      <c r="B1681">
        <f>Prices!B1681</f>
        <v/>
      </c>
      <c r="C1681">
        <f>Prices!C1681</f>
        <v/>
      </c>
      <c r="D1681">
        <f>Prices!D1681</f>
        <v/>
      </c>
      <c r="E1681">
        <f>Prices!E1681</f>
        <v/>
      </c>
      <c r="F1681">
        <f>Prices!F1681</f>
        <v/>
      </c>
      <c r="G1681">
        <f>IF(AND(1679&gt;=16,TEXT(A1681,"yyyy-mm")&lt;&gt;TEXT(A1682,"yyyy-mm")),1,0)</f>
        <v/>
      </c>
      <c r="H1681">
        <f>IF(OR(H1680=1,G1681=1),1,0)</f>
        <v/>
      </c>
      <c r="I1681">
        <f>IF(H1680=0,1,SUMPRODUCT(J1680:N1680,B1681:F1681)+O1680*(1+0.00023125256064071564))</f>
        <v/>
      </c>
      <c r="J1681">
        <f>IF(G1681=1,0.2*R1681/B1681,J1680)</f>
        <v/>
      </c>
      <c r="K1681">
        <f>IF(G1681=1,0.2*R1681/C1681,K1680)</f>
        <v/>
      </c>
      <c r="L1681">
        <f>IF(G1681=1,0.2*R1681/D1681,L1680)</f>
        <v/>
      </c>
      <c r="M1681">
        <f>IF(G1681=1,0.2*R1681/E1681,M1680)</f>
        <v/>
      </c>
      <c r="N1681">
        <f>IF(G1681=1,0.2*R1681/F1681,N1680)</f>
        <v/>
      </c>
      <c r="O1681">
        <f>IF(G1681=1,R1681*(1-1.0),IF(H1680=0,1,O1680*(1+0.00023125256064071564)))</f>
        <v/>
      </c>
      <c r="P1681">
        <f>IF(G1681=1,IF(H1680=0,1,ABS(0.2-J1680*B1681/I1681)+ABS(0.2-K1680*C1681/I1681)+ABS(0.2-L1680*D1681/I1681)+ABS(0.2-M1680*E1681/I1681)+ABS(0.2-N1680*F1681/I1681)),0)</f>
        <v/>
      </c>
      <c r="Q1681">
        <f>P1681*0.0015</f>
        <v/>
      </c>
      <c r="R1681">
        <f>I1681*(1-Q1681)</f>
        <v/>
      </c>
      <c r="S1681">
        <f>R1681/R1680-1</f>
        <v/>
      </c>
      <c r="T1681">
        <f>MAX(T1680,R1681)</f>
        <v/>
      </c>
      <c r="U1681">
        <f>R1681/T1681-1</f>
        <v/>
      </c>
      <c r="V1681" t="n">
        <v>2.775950999366282</v>
      </c>
      <c r="W1681" s="5">
        <f>R1681-V1681</f>
        <v/>
      </c>
    </row>
    <row r="1682">
      <c r="A1682" s="3" t="n">
        <v>40913</v>
      </c>
      <c r="B1682">
        <f>Prices!B1682</f>
        <v/>
      </c>
      <c r="C1682">
        <f>Prices!C1682</f>
        <v/>
      </c>
      <c r="D1682">
        <f>Prices!D1682</f>
        <v/>
      </c>
      <c r="E1682">
        <f>Prices!E1682</f>
        <v/>
      </c>
      <c r="F1682">
        <f>Prices!F1682</f>
        <v/>
      </c>
      <c r="G1682">
        <f>IF(AND(1680&gt;=16,TEXT(A1682,"yyyy-mm")&lt;&gt;TEXT(A1683,"yyyy-mm")),1,0)</f>
        <v/>
      </c>
      <c r="H1682">
        <f>IF(OR(H1681=1,G1682=1),1,0)</f>
        <v/>
      </c>
      <c r="I1682">
        <f>IF(H1681=0,1,SUMPRODUCT(J1681:N1681,B1682:F1682)+O1681*(1+0.00023125256064071564))</f>
        <v/>
      </c>
      <c r="J1682">
        <f>IF(G1682=1,0.2*R1682/B1682,J1681)</f>
        <v/>
      </c>
      <c r="K1682">
        <f>IF(G1682=1,0.2*R1682/C1682,K1681)</f>
        <v/>
      </c>
      <c r="L1682">
        <f>IF(G1682=1,0.2*R1682/D1682,L1681)</f>
        <v/>
      </c>
      <c r="M1682">
        <f>IF(G1682=1,0.2*R1682/E1682,M1681)</f>
        <v/>
      </c>
      <c r="N1682">
        <f>IF(G1682=1,0.2*R1682/F1682,N1681)</f>
        <v/>
      </c>
      <c r="O1682">
        <f>IF(G1682=1,R1682*(1-1.0),IF(H1681=0,1,O1681*(1+0.00023125256064071564)))</f>
        <v/>
      </c>
      <c r="P1682">
        <f>IF(G1682=1,IF(H1681=0,1,ABS(0.2-J1681*B1682/I1682)+ABS(0.2-K1681*C1682/I1682)+ABS(0.2-L1681*D1682/I1682)+ABS(0.2-M1681*E1682/I1682)+ABS(0.2-N1681*F1682/I1682)),0)</f>
        <v/>
      </c>
      <c r="Q1682">
        <f>P1682*0.0015</f>
        <v/>
      </c>
      <c r="R1682">
        <f>I1682*(1-Q1682)</f>
        <v/>
      </c>
      <c r="S1682">
        <f>R1682/R1681-1</f>
        <v/>
      </c>
      <c r="T1682">
        <f>MAX(T1681,R1682)</f>
        <v/>
      </c>
      <c r="U1682">
        <f>R1682/T1682-1</f>
        <v/>
      </c>
      <c r="V1682" t="n">
        <v>2.781565704102335</v>
      </c>
      <c r="W1682" s="5">
        <f>R1682-V1682</f>
        <v/>
      </c>
    </row>
    <row r="1683">
      <c r="A1683" s="3" t="n">
        <v>40914</v>
      </c>
      <c r="B1683">
        <f>Prices!B1683</f>
        <v/>
      </c>
      <c r="C1683">
        <f>Prices!C1683</f>
        <v/>
      </c>
      <c r="D1683">
        <f>Prices!D1683</f>
        <v/>
      </c>
      <c r="E1683">
        <f>Prices!E1683</f>
        <v/>
      </c>
      <c r="F1683">
        <f>Prices!F1683</f>
        <v/>
      </c>
      <c r="G1683">
        <f>IF(AND(1681&gt;=16,TEXT(A1683,"yyyy-mm")&lt;&gt;TEXT(A1684,"yyyy-mm")),1,0)</f>
        <v/>
      </c>
      <c r="H1683">
        <f>IF(OR(H1682=1,G1683=1),1,0)</f>
        <v/>
      </c>
      <c r="I1683">
        <f>IF(H1682=0,1,SUMPRODUCT(J1682:N1682,B1683:F1683)+O1682*(1+0.00023125256064071564))</f>
        <v/>
      </c>
      <c r="J1683">
        <f>IF(G1683=1,0.2*R1683/B1683,J1682)</f>
        <v/>
      </c>
      <c r="K1683">
        <f>IF(G1683=1,0.2*R1683/C1683,K1682)</f>
        <v/>
      </c>
      <c r="L1683">
        <f>IF(G1683=1,0.2*R1683/D1683,L1682)</f>
        <v/>
      </c>
      <c r="M1683">
        <f>IF(G1683=1,0.2*R1683/E1683,M1682)</f>
        <v/>
      </c>
      <c r="N1683">
        <f>IF(G1683=1,0.2*R1683/F1683,N1682)</f>
        <v/>
      </c>
      <c r="O1683">
        <f>IF(G1683=1,R1683*(1-1.0),IF(H1682=0,1,O1682*(1+0.00023125256064071564)))</f>
        <v/>
      </c>
      <c r="P1683">
        <f>IF(G1683=1,IF(H1682=0,1,ABS(0.2-J1682*B1683/I1683)+ABS(0.2-K1682*C1683/I1683)+ABS(0.2-L1682*D1683/I1683)+ABS(0.2-M1682*E1683/I1683)+ABS(0.2-N1682*F1683/I1683)),0)</f>
        <v/>
      </c>
      <c r="Q1683">
        <f>P1683*0.0015</f>
        <v/>
      </c>
      <c r="R1683">
        <f>I1683*(1-Q1683)</f>
        <v/>
      </c>
      <c r="S1683">
        <f>R1683/R1682-1</f>
        <v/>
      </c>
      <c r="T1683">
        <f>MAX(T1682,R1683)</f>
        <v/>
      </c>
      <c r="U1683">
        <f>R1683/T1683-1</f>
        <v/>
      </c>
      <c r="V1683" t="n">
        <v>2.778450071314312</v>
      </c>
      <c r="W1683" s="5">
        <f>R1683-V1683</f>
        <v/>
      </c>
    </row>
    <row r="1684">
      <c r="A1684" s="3" t="n">
        <v>40915</v>
      </c>
      <c r="B1684">
        <f>Prices!B1684</f>
        <v/>
      </c>
      <c r="C1684">
        <f>Prices!C1684</f>
        <v/>
      </c>
      <c r="D1684">
        <f>Prices!D1684</f>
        <v/>
      </c>
      <c r="E1684">
        <f>Prices!E1684</f>
        <v/>
      </c>
      <c r="F1684">
        <f>Prices!F1684</f>
        <v/>
      </c>
      <c r="G1684">
        <f>IF(AND(1682&gt;=16,TEXT(A1684,"yyyy-mm")&lt;&gt;TEXT(A1685,"yyyy-mm")),1,0)</f>
        <v/>
      </c>
      <c r="H1684">
        <f>IF(OR(H1683=1,G1684=1),1,0)</f>
        <v/>
      </c>
      <c r="I1684">
        <f>IF(H1683=0,1,SUMPRODUCT(J1683:N1683,B1684:F1684)+O1683*(1+0.00023125256064071564))</f>
        <v/>
      </c>
      <c r="J1684">
        <f>IF(G1684=1,0.2*R1684/B1684,J1683)</f>
        <v/>
      </c>
      <c r="K1684">
        <f>IF(G1684=1,0.2*R1684/C1684,K1683)</f>
        <v/>
      </c>
      <c r="L1684">
        <f>IF(G1684=1,0.2*R1684/D1684,L1683)</f>
        <v/>
      </c>
      <c r="M1684">
        <f>IF(G1684=1,0.2*R1684/E1684,M1683)</f>
        <v/>
      </c>
      <c r="N1684">
        <f>IF(G1684=1,0.2*R1684/F1684,N1683)</f>
        <v/>
      </c>
      <c r="O1684">
        <f>IF(G1684=1,R1684*(1-1.0),IF(H1683=0,1,O1683*(1+0.00023125256064071564)))</f>
        <v/>
      </c>
      <c r="P1684">
        <f>IF(G1684=1,IF(H1683=0,1,ABS(0.2-J1683*B1684/I1684)+ABS(0.2-K1683*C1684/I1684)+ABS(0.2-L1683*D1684/I1684)+ABS(0.2-M1683*E1684/I1684)+ABS(0.2-N1683*F1684/I1684)),0)</f>
        <v/>
      </c>
      <c r="Q1684">
        <f>P1684*0.0015</f>
        <v/>
      </c>
      <c r="R1684">
        <f>I1684*(1-Q1684)</f>
        <v/>
      </c>
      <c r="S1684">
        <f>R1684/R1683-1</f>
        <v/>
      </c>
      <c r="T1684">
        <f>MAX(T1683,R1684)</f>
        <v/>
      </c>
      <c r="U1684">
        <f>R1684/T1684-1</f>
        <v/>
      </c>
      <c r="V1684" t="n">
        <v>2.788189252160026</v>
      </c>
      <c r="W1684" s="5">
        <f>R1684-V1684</f>
        <v/>
      </c>
    </row>
    <row r="1685">
      <c r="A1685" s="3" t="n">
        <v>40917</v>
      </c>
      <c r="B1685">
        <f>Prices!B1685</f>
        <v/>
      </c>
      <c r="C1685">
        <f>Prices!C1685</f>
        <v/>
      </c>
      <c r="D1685">
        <f>Prices!D1685</f>
        <v/>
      </c>
      <c r="E1685">
        <f>Prices!E1685</f>
        <v/>
      </c>
      <c r="F1685">
        <f>Prices!F1685</f>
        <v/>
      </c>
      <c r="G1685">
        <f>IF(AND(1683&gt;=16,TEXT(A1685,"yyyy-mm")&lt;&gt;TEXT(A1686,"yyyy-mm")),1,0)</f>
        <v/>
      </c>
      <c r="H1685">
        <f>IF(OR(H1684=1,G1685=1),1,0)</f>
        <v/>
      </c>
      <c r="I1685">
        <f>IF(H1684=0,1,SUMPRODUCT(J1684:N1684,B1685:F1685)+O1684*(1+0.00023125256064071564))</f>
        <v/>
      </c>
      <c r="J1685">
        <f>IF(G1685=1,0.2*R1685/B1685,J1684)</f>
        <v/>
      </c>
      <c r="K1685">
        <f>IF(G1685=1,0.2*R1685/C1685,K1684)</f>
        <v/>
      </c>
      <c r="L1685">
        <f>IF(G1685=1,0.2*R1685/D1685,L1684)</f>
        <v/>
      </c>
      <c r="M1685">
        <f>IF(G1685=1,0.2*R1685/E1685,M1684)</f>
        <v/>
      </c>
      <c r="N1685">
        <f>IF(G1685=1,0.2*R1685/F1685,N1684)</f>
        <v/>
      </c>
      <c r="O1685">
        <f>IF(G1685=1,R1685*(1-1.0),IF(H1684=0,1,O1684*(1+0.00023125256064071564)))</f>
        <v/>
      </c>
      <c r="P1685">
        <f>IF(G1685=1,IF(H1684=0,1,ABS(0.2-J1684*B1685/I1685)+ABS(0.2-K1684*C1685/I1685)+ABS(0.2-L1684*D1685/I1685)+ABS(0.2-M1684*E1685/I1685)+ABS(0.2-N1684*F1685/I1685)),0)</f>
        <v/>
      </c>
      <c r="Q1685">
        <f>P1685*0.0015</f>
        <v/>
      </c>
      <c r="R1685">
        <f>I1685*(1-Q1685)</f>
        <v/>
      </c>
      <c r="S1685">
        <f>R1685/R1684-1</f>
        <v/>
      </c>
      <c r="T1685">
        <f>MAX(T1684,R1685)</f>
        <v/>
      </c>
      <c r="U1685">
        <f>R1685/T1685-1</f>
        <v/>
      </c>
      <c r="V1685" t="n">
        <v>2.798981452370074</v>
      </c>
      <c r="W1685" s="5">
        <f>R1685-V1685</f>
        <v/>
      </c>
    </row>
    <row r="1686">
      <c r="A1686" s="3" t="n">
        <v>40918</v>
      </c>
      <c r="B1686">
        <f>Prices!B1686</f>
        <v/>
      </c>
      <c r="C1686">
        <f>Prices!C1686</f>
        <v/>
      </c>
      <c r="D1686">
        <f>Prices!D1686</f>
        <v/>
      </c>
      <c r="E1686">
        <f>Prices!E1686</f>
        <v/>
      </c>
      <c r="F1686">
        <f>Prices!F1686</f>
        <v/>
      </c>
      <c r="G1686">
        <f>IF(AND(1684&gt;=16,TEXT(A1686,"yyyy-mm")&lt;&gt;TEXT(A1687,"yyyy-mm")),1,0)</f>
        <v/>
      </c>
      <c r="H1686">
        <f>IF(OR(H1685=1,G1686=1),1,0)</f>
        <v/>
      </c>
      <c r="I1686">
        <f>IF(H1685=0,1,SUMPRODUCT(J1685:N1685,B1686:F1686)+O1685*(1+0.00023125256064071564))</f>
        <v/>
      </c>
      <c r="J1686">
        <f>IF(G1686=1,0.2*R1686/B1686,J1685)</f>
        <v/>
      </c>
      <c r="K1686">
        <f>IF(G1686=1,0.2*R1686/C1686,K1685)</f>
        <v/>
      </c>
      <c r="L1686">
        <f>IF(G1686=1,0.2*R1686/D1686,L1685)</f>
        <v/>
      </c>
      <c r="M1686">
        <f>IF(G1686=1,0.2*R1686/E1686,M1685)</f>
        <v/>
      </c>
      <c r="N1686">
        <f>IF(G1686=1,0.2*R1686/F1686,N1685)</f>
        <v/>
      </c>
      <c r="O1686">
        <f>IF(G1686=1,R1686*(1-1.0),IF(H1685=0,1,O1685*(1+0.00023125256064071564)))</f>
        <v/>
      </c>
      <c r="P1686">
        <f>IF(G1686=1,IF(H1685=0,1,ABS(0.2-J1685*B1686/I1686)+ABS(0.2-K1685*C1686/I1686)+ABS(0.2-L1685*D1686/I1686)+ABS(0.2-M1685*E1686/I1686)+ABS(0.2-N1685*F1686/I1686)),0)</f>
        <v/>
      </c>
      <c r="Q1686">
        <f>P1686*0.0015</f>
        <v/>
      </c>
      <c r="R1686">
        <f>I1686*(1-Q1686)</f>
        <v/>
      </c>
      <c r="S1686">
        <f>R1686/R1685-1</f>
        <v/>
      </c>
      <c r="T1686">
        <f>MAX(T1685,R1686)</f>
        <v/>
      </c>
      <c r="U1686">
        <f>R1686/T1686-1</f>
        <v/>
      </c>
      <c r="V1686" t="n">
        <v>2.85161093129689</v>
      </c>
      <c r="W1686" s="5">
        <f>R1686-V1686</f>
        <v/>
      </c>
    </row>
    <row r="1687">
      <c r="A1687" s="3" t="n">
        <v>40919</v>
      </c>
      <c r="B1687">
        <f>Prices!B1687</f>
        <v/>
      </c>
      <c r="C1687">
        <f>Prices!C1687</f>
        <v/>
      </c>
      <c r="D1687">
        <f>Prices!D1687</f>
        <v/>
      </c>
      <c r="E1687">
        <f>Prices!E1687</f>
        <v/>
      </c>
      <c r="F1687">
        <f>Prices!F1687</f>
        <v/>
      </c>
      <c r="G1687">
        <f>IF(AND(1685&gt;=16,TEXT(A1687,"yyyy-mm")&lt;&gt;TEXT(A1688,"yyyy-mm")),1,0)</f>
        <v/>
      </c>
      <c r="H1687">
        <f>IF(OR(H1686=1,G1687=1),1,0)</f>
        <v/>
      </c>
      <c r="I1687">
        <f>IF(H1686=0,1,SUMPRODUCT(J1686:N1686,B1687:F1687)+O1686*(1+0.00023125256064071564))</f>
        <v/>
      </c>
      <c r="J1687">
        <f>IF(G1687=1,0.2*R1687/B1687,J1686)</f>
        <v/>
      </c>
      <c r="K1687">
        <f>IF(G1687=1,0.2*R1687/C1687,K1686)</f>
        <v/>
      </c>
      <c r="L1687">
        <f>IF(G1687=1,0.2*R1687/D1687,L1686)</f>
        <v/>
      </c>
      <c r="M1687">
        <f>IF(G1687=1,0.2*R1687/E1687,M1686)</f>
        <v/>
      </c>
      <c r="N1687">
        <f>IF(G1687=1,0.2*R1687/F1687,N1686)</f>
        <v/>
      </c>
      <c r="O1687">
        <f>IF(G1687=1,R1687*(1-1.0),IF(H1686=0,1,O1686*(1+0.00023125256064071564)))</f>
        <v/>
      </c>
      <c r="P1687">
        <f>IF(G1687=1,IF(H1686=0,1,ABS(0.2-J1686*B1687/I1687)+ABS(0.2-K1686*C1687/I1687)+ABS(0.2-L1686*D1687/I1687)+ABS(0.2-M1686*E1687/I1687)+ABS(0.2-N1686*F1687/I1687)),0)</f>
        <v/>
      </c>
      <c r="Q1687">
        <f>P1687*0.0015</f>
        <v/>
      </c>
      <c r="R1687">
        <f>I1687*(1-Q1687)</f>
        <v/>
      </c>
      <c r="S1687">
        <f>R1687/R1686-1</f>
        <v/>
      </c>
      <c r="T1687">
        <f>MAX(T1686,R1687)</f>
        <v/>
      </c>
      <c r="U1687">
        <f>R1687/T1687-1</f>
        <v/>
      </c>
      <c r="V1687" t="n">
        <v>2.866986677163817</v>
      </c>
      <c r="W1687" s="5">
        <f>R1687-V1687</f>
        <v/>
      </c>
    </row>
    <row r="1688">
      <c r="A1688" s="3" t="n">
        <v>40920</v>
      </c>
      <c r="B1688">
        <f>Prices!B1688</f>
        <v/>
      </c>
      <c r="C1688">
        <f>Prices!C1688</f>
        <v/>
      </c>
      <c r="D1688">
        <f>Prices!D1688</f>
        <v/>
      </c>
      <c r="E1688">
        <f>Prices!E1688</f>
        <v/>
      </c>
      <c r="F1688">
        <f>Prices!F1688</f>
        <v/>
      </c>
      <c r="G1688">
        <f>IF(AND(1686&gt;=16,TEXT(A1688,"yyyy-mm")&lt;&gt;TEXT(A1689,"yyyy-mm")),1,0)</f>
        <v/>
      </c>
      <c r="H1688">
        <f>IF(OR(H1687=1,G1688=1),1,0)</f>
        <v/>
      </c>
      <c r="I1688">
        <f>IF(H1687=0,1,SUMPRODUCT(J1687:N1687,B1688:F1688)+O1687*(1+0.00023125256064071564))</f>
        <v/>
      </c>
      <c r="J1688">
        <f>IF(G1688=1,0.2*R1688/B1688,J1687)</f>
        <v/>
      </c>
      <c r="K1688">
        <f>IF(G1688=1,0.2*R1688/C1688,K1687)</f>
        <v/>
      </c>
      <c r="L1688">
        <f>IF(G1688=1,0.2*R1688/D1688,L1687)</f>
        <v/>
      </c>
      <c r="M1688">
        <f>IF(G1688=1,0.2*R1688/E1688,M1687)</f>
        <v/>
      </c>
      <c r="N1688">
        <f>IF(G1688=1,0.2*R1688/F1688,N1687)</f>
        <v/>
      </c>
      <c r="O1688">
        <f>IF(G1688=1,R1688*(1-1.0),IF(H1687=0,1,O1687*(1+0.00023125256064071564)))</f>
        <v/>
      </c>
      <c r="P1688">
        <f>IF(G1688=1,IF(H1687=0,1,ABS(0.2-J1687*B1688/I1688)+ABS(0.2-K1687*C1688/I1688)+ABS(0.2-L1687*D1688/I1688)+ABS(0.2-M1687*E1688/I1688)+ABS(0.2-N1687*F1688/I1688)),0)</f>
        <v/>
      </c>
      <c r="Q1688">
        <f>P1688*0.0015</f>
        <v/>
      </c>
      <c r="R1688">
        <f>I1688*(1-Q1688)</f>
        <v/>
      </c>
      <c r="S1688">
        <f>R1688/R1687-1</f>
        <v/>
      </c>
      <c r="T1688">
        <f>MAX(T1687,R1688)</f>
        <v/>
      </c>
      <c r="U1688">
        <f>R1688/T1688-1</f>
        <v/>
      </c>
      <c r="V1688" t="n">
        <v>2.870327928154079</v>
      </c>
      <c r="W1688" s="5">
        <f>R1688-V1688</f>
        <v/>
      </c>
    </row>
    <row r="1689">
      <c r="A1689" s="3" t="n">
        <v>40921</v>
      </c>
      <c r="B1689">
        <f>Prices!B1689</f>
        <v/>
      </c>
      <c r="C1689">
        <f>Prices!C1689</f>
        <v/>
      </c>
      <c r="D1689">
        <f>Prices!D1689</f>
        <v/>
      </c>
      <c r="E1689">
        <f>Prices!E1689</f>
        <v/>
      </c>
      <c r="F1689">
        <f>Prices!F1689</f>
        <v/>
      </c>
      <c r="G1689">
        <f>IF(AND(1687&gt;=16,TEXT(A1689,"yyyy-mm")&lt;&gt;TEXT(A1690,"yyyy-mm")),1,0)</f>
        <v/>
      </c>
      <c r="H1689">
        <f>IF(OR(H1688=1,G1689=1),1,0)</f>
        <v/>
      </c>
      <c r="I1689">
        <f>IF(H1688=0,1,SUMPRODUCT(J1688:N1688,B1689:F1689)+O1688*(1+0.00023125256064071564))</f>
        <v/>
      </c>
      <c r="J1689">
        <f>IF(G1689=1,0.2*R1689/B1689,J1688)</f>
        <v/>
      </c>
      <c r="K1689">
        <f>IF(G1689=1,0.2*R1689/C1689,K1688)</f>
        <v/>
      </c>
      <c r="L1689">
        <f>IF(G1689=1,0.2*R1689/D1689,L1688)</f>
        <v/>
      </c>
      <c r="M1689">
        <f>IF(G1689=1,0.2*R1689/E1689,M1688)</f>
        <v/>
      </c>
      <c r="N1689">
        <f>IF(G1689=1,0.2*R1689/F1689,N1688)</f>
        <v/>
      </c>
      <c r="O1689">
        <f>IF(G1689=1,R1689*(1-1.0),IF(H1688=0,1,O1688*(1+0.00023125256064071564)))</f>
        <v/>
      </c>
      <c r="P1689">
        <f>IF(G1689=1,IF(H1688=0,1,ABS(0.2-J1688*B1689/I1689)+ABS(0.2-K1688*C1689/I1689)+ABS(0.2-L1688*D1689/I1689)+ABS(0.2-M1688*E1689/I1689)+ABS(0.2-N1688*F1689/I1689)),0)</f>
        <v/>
      </c>
      <c r="Q1689">
        <f>P1689*0.0015</f>
        <v/>
      </c>
      <c r="R1689">
        <f>I1689*(1-Q1689)</f>
        <v/>
      </c>
      <c r="S1689">
        <f>R1689/R1688-1</f>
        <v/>
      </c>
      <c r="T1689">
        <f>MAX(T1688,R1689)</f>
        <v/>
      </c>
      <c r="U1689">
        <f>R1689/T1689-1</f>
        <v/>
      </c>
      <c r="V1689" t="n">
        <v>2.887027181761574</v>
      </c>
      <c r="W1689" s="5">
        <f>R1689-V1689</f>
        <v/>
      </c>
    </row>
    <row r="1690">
      <c r="A1690" s="3" t="n">
        <v>40924</v>
      </c>
      <c r="B1690">
        <f>Prices!B1690</f>
        <v/>
      </c>
      <c r="C1690">
        <f>Prices!C1690</f>
        <v/>
      </c>
      <c r="D1690">
        <f>Prices!D1690</f>
        <v/>
      </c>
      <c r="E1690">
        <f>Prices!E1690</f>
        <v/>
      </c>
      <c r="F1690">
        <f>Prices!F1690</f>
        <v/>
      </c>
      <c r="G1690">
        <f>IF(AND(1688&gt;=16,TEXT(A1690,"yyyy-mm")&lt;&gt;TEXT(A1691,"yyyy-mm")),1,0)</f>
        <v/>
      </c>
      <c r="H1690">
        <f>IF(OR(H1689=1,G1690=1),1,0)</f>
        <v/>
      </c>
      <c r="I1690">
        <f>IF(H1689=0,1,SUMPRODUCT(J1689:N1689,B1690:F1690)+O1689*(1+0.00023125256064071564))</f>
        <v/>
      </c>
      <c r="J1690">
        <f>IF(G1690=1,0.2*R1690/B1690,J1689)</f>
        <v/>
      </c>
      <c r="K1690">
        <f>IF(G1690=1,0.2*R1690/C1690,K1689)</f>
        <v/>
      </c>
      <c r="L1690">
        <f>IF(G1690=1,0.2*R1690/D1690,L1689)</f>
        <v/>
      </c>
      <c r="M1690">
        <f>IF(G1690=1,0.2*R1690/E1690,M1689)</f>
        <v/>
      </c>
      <c r="N1690">
        <f>IF(G1690=1,0.2*R1690/F1690,N1689)</f>
        <v/>
      </c>
      <c r="O1690">
        <f>IF(G1690=1,R1690*(1-1.0),IF(H1689=0,1,O1689*(1+0.00023125256064071564)))</f>
        <v/>
      </c>
      <c r="P1690">
        <f>IF(G1690=1,IF(H1689=0,1,ABS(0.2-J1689*B1690/I1690)+ABS(0.2-K1689*C1690/I1690)+ABS(0.2-L1689*D1690/I1690)+ABS(0.2-M1689*E1690/I1690)+ABS(0.2-N1689*F1690/I1690)),0)</f>
        <v/>
      </c>
      <c r="Q1690">
        <f>P1690*0.0015</f>
        <v/>
      </c>
      <c r="R1690">
        <f>I1690*(1-Q1690)</f>
        <v/>
      </c>
      <c r="S1690">
        <f>R1690/R1689-1</f>
        <v/>
      </c>
      <c r="T1690">
        <f>MAX(T1689,R1690)</f>
        <v/>
      </c>
      <c r="U1690">
        <f>R1690/T1690-1</f>
        <v/>
      </c>
      <c r="V1690" t="n">
        <v>2.891303769010005</v>
      </c>
      <c r="W1690" s="5">
        <f>R1690-V1690</f>
        <v/>
      </c>
    </row>
    <row r="1691">
      <c r="A1691" s="3" t="n">
        <v>40925</v>
      </c>
      <c r="B1691">
        <f>Prices!B1691</f>
        <v/>
      </c>
      <c r="C1691">
        <f>Prices!C1691</f>
        <v/>
      </c>
      <c r="D1691">
        <f>Prices!D1691</f>
        <v/>
      </c>
      <c r="E1691">
        <f>Prices!E1691</f>
        <v/>
      </c>
      <c r="F1691">
        <f>Prices!F1691</f>
        <v/>
      </c>
      <c r="G1691">
        <f>IF(AND(1689&gt;=16,TEXT(A1691,"yyyy-mm")&lt;&gt;TEXT(A1692,"yyyy-mm")),1,0)</f>
        <v/>
      </c>
      <c r="H1691">
        <f>IF(OR(H1690=1,G1691=1),1,0)</f>
        <v/>
      </c>
      <c r="I1691">
        <f>IF(H1690=0,1,SUMPRODUCT(J1690:N1690,B1691:F1691)+O1690*(1+0.00023125256064071564))</f>
        <v/>
      </c>
      <c r="J1691">
        <f>IF(G1691=1,0.2*R1691/B1691,J1690)</f>
        <v/>
      </c>
      <c r="K1691">
        <f>IF(G1691=1,0.2*R1691/C1691,K1690)</f>
        <v/>
      </c>
      <c r="L1691">
        <f>IF(G1691=1,0.2*R1691/D1691,L1690)</f>
        <v/>
      </c>
      <c r="M1691">
        <f>IF(G1691=1,0.2*R1691/E1691,M1690)</f>
        <v/>
      </c>
      <c r="N1691">
        <f>IF(G1691=1,0.2*R1691/F1691,N1690)</f>
        <v/>
      </c>
      <c r="O1691">
        <f>IF(G1691=1,R1691*(1-1.0),IF(H1690=0,1,O1690*(1+0.00023125256064071564)))</f>
        <v/>
      </c>
      <c r="P1691">
        <f>IF(G1691=1,IF(H1690=0,1,ABS(0.2-J1690*B1691/I1691)+ABS(0.2-K1690*C1691/I1691)+ABS(0.2-L1690*D1691/I1691)+ABS(0.2-M1690*E1691/I1691)+ABS(0.2-N1690*F1691/I1691)),0)</f>
        <v/>
      </c>
      <c r="Q1691">
        <f>P1691*0.0015</f>
        <v/>
      </c>
      <c r="R1691">
        <f>I1691*(1-Q1691)</f>
        <v/>
      </c>
      <c r="S1691">
        <f>R1691/R1690-1</f>
        <v/>
      </c>
      <c r="T1691">
        <f>MAX(T1690,R1691)</f>
        <v/>
      </c>
      <c r="U1691">
        <f>R1691/T1691-1</f>
        <v/>
      </c>
      <c r="V1691" t="n">
        <v>2.933720401711292</v>
      </c>
      <c r="W1691" s="5">
        <f>R1691-V1691</f>
        <v/>
      </c>
    </row>
    <row r="1692">
      <c r="A1692" s="3" t="n">
        <v>40926</v>
      </c>
      <c r="B1692">
        <f>Prices!B1692</f>
        <v/>
      </c>
      <c r="C1692">
        <f>Prices!C1692</f>
        <v/>
      </c>
      <c r="D1692">
        <f>Prices!D1692</f>
        <v/>
      </c>
      <c r="E1692">
        <f>Prices!E1692</f>
        <v/>
      </c>
      <c r="F1692">
        <f>Prices!F1692</f>
        <v/>
      </c>
      <c r="G1692">
        <f>IF(AND(1690&gt;=16,TEXT(A1692,"yyyy-mm")&lt;&gt;TEXT(A1693,"yyyy-mm")),1,0)</f>
        <v/>
      </c>
      <c r="H1692">
        <f>IF(OR(H1691=1,G1692=1),1,0)</f>
        <v/>
      </c>
      <c r="I1692">
        <f>IF(H1691=0,1,SUMPRODUCT(J1691:N1691,B1692:F1692)+O1691*(1+0.00023125256064071564))</f>
        <v/>
      </c>
      <c r="J1692">
        <f>IF(G1692=1,0.2*R1692/B1692,J1691)</f>
        <v/>
      </c>
      <c r="K1692">
        <f>IF(G1692=1,0.2*R1692/C1692,K1691)</f>
        <v/>
      </c>
      <c r="L1692">
        <f>IF(G1692=1,0.2*R1692/D1692,L1691)</f>
        <v/>
      </c>
      <c r="M1692">
        <f>IF(G1692=1,0.2*R1692/E1692,M1691)</f>
        <v/>
      </c>
      <c r="N1692">
        <f>IF(G1692=1,0.2*R1692/F1692,N1691)</f>
        <v/>
      </c>
      <c r="O1692">
        <f>IF(G1692=1,R1692*(1-1.0),IF(H1691=0,1,O1691*(1+0.00023125256064071564)))</f>
        <v/>
      </c>
      <c r="P1692">
        <f>IF(G1692=1,IF(H1691=0,1,ABS(0.2-J1691*B1692/I1692)+ABS(0.2-K1691*C1692/I1692)+ABS(0.2-L1691*D1692/I1692)+ABS(0.2-M1691*E1692/I1692)+ABS(0.2-N1691*F1692/I1692)),0)</f>
        <v/>
      </c>
      <c r="Q1692">
        <f>P1692*0.0015</f>
        <v/>
      </c>
      <c r="R1692">
        <f>I1692*(1-Q1692)</f>
        <v/>
      </c>
      <c r="S1692">
        <f>R1692/R1691-1</f>
        <v/>
      </c>
      <c r="T1692">
        <f>MAX(T1691,R1692)</f>
        <v/>
      </c>
      <c r="U1692">
        <f>R1692/T1692-1</f>
        <v/>
      </c>
      <c r="V1692" t="n">
        <v>2.906476883710047</v>
      </c>
      <c r="W1692" s="5">
        <f>R1692-V1692</f>
        <v/>
      </c>
    </row>
    <row r="1693">
      <c r="A1693" s="3" t="n">
        <v>40927</v>
      </c>
      <c r="B1693">
        <f>Prices!B1693</f>
        <v/>
      </c>
      <c r="C1693">
        <f>Prices!C1693</f>
        <v/>
      </c>
      <c r="D1693">
        <f>Prices!D1693</f>
        <v/>
      </c>
      <c r="E1693">
        <f>Prices!E1693</f>
        <v/>
      </c>
      <c r="F1693">
        <f>Prices!F1693</f>
        <v/>
      </c>
      <c r="G1693">
        <f>IF(AND(1691&gt;=16,TEXT(A1693,"yyyy-mm")&lt;&gt;TEXT(A1694,"yyyy-mm")),1,0)</f>
        <v/>
      </c>
      <c r="H1693">
        <f>IF(OR(H1692=1,G1693=1),1,0)</f>
        <v/>
      </c>
      <c r="I1693">
        <f>IF(H1692=0,1,SUMPRODUCT(J1692:N1692,B1693:F1693)+O1692*(1+0.00023125256064071564))</f>
        <v/>
      </c>
      <c r="J1693">
        <f>IF(G1693=1,0.2*R1693/B1693,J1692)</f>
        <v/>
      </c>
      <c r="K1693">
        <f>IF(G1693=1,0.2*R1693/C1693,K1692)</f>
        <v/>
      </c>
      <c r="L1693">
        <f>IF(G1693=1,0.2*R1693/D1693,L1692)</f>
        <v/>
      </c>
      <c r="M1693">
        <f>IF(G1693=1,0.2*R1693/E1693,M1692)</f>
        <v/>
      </c>
      <c r="N1693">
        <f>IF(G1693=1,0.2*R1693/F1693,N1692)</f>
        <v/>
      </c>
      <c r="O1693">
        <f>IF(G1693=1,R1693*(1-1.0),IF(H1692=0,1,O1692*(1+0.00023125256064071564)))</f>
        <v/>
      </c>
      <c r="P1693">
        <f>IF(G1693=1,IF(H1692=0,1,ABS(0.2-J1692*B1693/I1693)+ABS(0.2-K1692*C1693/I1693)+ABS(0.2-L1692*D1693/I1693)+ABS(0.2-M1692*E1693/I1693)+ABS(0.2-N1692*F1693/I1693)),0)</f>
        <v/>
      </c>
      <c r="Q1693">
        <f>P1693*0.0015</f>
        <v/>
      </c>
      <c r="R1693">
        <f>I1693*(1-Q1693)</f>
        <v/>
      </c>
      <c r="S1693">
        <f>R1693/R1692-1</f>
        <v/>
      </c>
      <c r="T1693">
        <f>MAX(T1692,R1693)</f>
        <v/>
      </c>
      <c r="U1693">
        <f>R1693/T1693-1</f>
        <v/>
      </c>
      <c r="V1693" t="n">
        <v>2.932063105354089</v>
      </c>
      <c r="W1693" s="5">
        <f>R1693-V1693</f>
        <v/>
      </c>
    </row>
    <row r="1694">
      <c r="A1694" s="3" t="n">
        <v>40928</v>
      </c>
      <c r="B1694">
        <f>Prices!B1694</f>
        <v/>
      </c>
      <c r="C1694">
        <f>Prices!C1694</f>
        <v/>
      </c>
      <c r="D1694">
        <f>Prices!D1694</f>
        <v/>
      </c>
      <c r="E1694">
        <f>Prices!E1694</f>
        <v/>
      </c>
      <c r="F1694">
        <f>Prices!F1694</f>
        <v/>
      </c>
      <c r="G1694">
        <f>IF(AND(1692&gt;=16,TEXT(A1694,"yyyy-mm")&lt;&gt;TEXT(A1695,"yyyy-mm")),1,0)</f>
        <v/>
      </c>
      <c r="H1694">
        <f>IF(OR(H1693=1,G1694=1),1,0)</f>
        <v/>
      </c>
      <c r="I1694">
        <f>IF(H1693=0,1,SUMPRODUCT(J1693:N1693,B1694:F1694)+O1693*(1+0.00023125256064071564))</f>
        <v/>
      </c>
      <c r="J1694">
        <f>IF(G1694=1,0.2*R1694/B1694,J1693)</f>
        <v/>
      </c>
      <c r="K1694">
        <f>IF(G1694=1,0.2*R1694/C1694,K1693)</f>
        <v/>
      </c>
      <c r="L1694">
        <f>IF(G1694=1,0.2*R1694/D1694,L1693)</f>
        <v/>
      </c>
      <c r="M1694">
        <f>IF(G1694=1,0.2*R1694/E1694,M1693)</f>
        <v/>
      </c>
      <c r="N1694">
        <f>IF(G1694=1,0.2*R1694/F1694,N1693)</f>
        <v/>
      </c>
      <c r="O1694">
        <f>IF(G1694=1,R1694*(1-1.0),IF(H1693=0,1,O1693*(1+0.00023125256064071564)))</f>
        <v/>
      </c>
      <c r="P1694">
        <f>IF(G1694=1,IF(H1693=0,1,ABS(0.2-J1693*B1694/I1694)+ABS(0.2-K1693*C1694/I1694)+ABS(0.2-L1693*D1694/I1694)+ABS(0.2-M1693*E1694/I1694)+ABS(0.2-N1693*F1694/I1694)),0)</f>
        <v/>
      </c>
      <c r="Q1694">
        <f>P1694*0.0015</f>
        <v/>
      </c>
      <c r="R1694">
        <f>I1694*(1-Q1694)</f>
        <v/>
      </c>
      <c r="S1694">
        <f>R1694/R1693-1</f>
        <v/>
      </c>
      <c r="T1694">
        <f>MAX(T1693,R1694)</f>
        <v/>
      </c>
      <c r="U1694">
        <f>R1694/T1694-1</f>
        <v/>
      </c>
      <c r="V1694" t="n">
        <v>2.94558055085197</v>
      </c>
      <c r="W1694" s="5">
        <f>R1694-V1694</f>
        <v/>
      </c>
    </row>
    <row r="1695">
      <c r="A1695" s="3" t="n">
        <v>40931</v>
      </c>
      <c r="B1695">
        <f>Prices!B1695</f>
        <v/>
      </c>
      <c r="C1695">
        <f>Prices!C1695</f>
        <v/>
      </c>
      <c r="D1695">
        <f>Prices!D1695</f>
        <v/>
      </c>
      <c r="E1695">
        <f>Prices!E1695</f>
        <v/>
      </c>
      <c r="F1695">
        <f>Prices!F1695</f>
        <v/>
      </c>
      <c r="G1695">
        <f>IF(AND(1693&gt;=16,TEXT(A1695,"yyyy-mm")&lt;&gt;TEXT(A1696,"yyyy-mm")),1,0)</f>
        <v/>
      </c>
      <c r="H1695">
        <f>IF(OR(H1694=1,G1695=1),1,0)</f>
        <v/>
      </c>
      <c r="I1695">
        <f>IF(H1694=0,1,SUMPRODUCT(J1694:N1694,B1695:F1695)+O1694*(1+0.00023125256064071564))</f>
        <v/>
      </c>
      <c r="J1695">
        <f>IF(G1695=1,0.2*R1695/B1695,J1694)</f>
        <v/>
      </c>
      <c r="K1695">
        <f>IF(G1695=1,0.2*R1695/C1695,K1694)</f>
        <v/>
      </c>
      <c r="L1695">
        <f>IF(G1695=1,0.2*R1695/D1695,L1694)</f>
        <v/>
      </c>
      <c r="M1695">
        <f>IF(G1695=1,0.2*R1695/E1695,M1694)</f>
        <v/>
      </c>
      <c r="N1695">
        <f>IF(G1695=1,0.2*R1695/F1695,N1694)</f>
        <v/>
      </c>
      <c r="O1695">
        <f>IF(G1695=1,R1695*(1-1.0),IF(H1694=0,1,O1694*(1+0.00023125256064071564)))</f>
        <v/>
      </c>
      <c r="P1695">
        <f>IF(G1695=1,IF(H1694=0,1,ABS(0.2-J1694*B1695/I1695)+ABS(0.2-K1694*C1695/I1695)+ABS(0.2-L1694*D1695/I1695)+ABS(0.2-M1694*E1695/I1695)+ABS(0.2-N1694*F1695/I1695)),0)</f>
        <v/>
      </c>
      <c r="Q1695">
        <f>P1695*0.0015</f>
        <v/>
      </c>
      <c r="R1695">
        <f>I1695*(1-Q1695)</f>
        <v/>
      </c>
      <c r="S1695">
        <f>R1695/R1694-1</f>
        <v/>
      </c>
      <c r="T1695">
        <f>MAX(T1694,R1695)</f>
        <v/>
      </c>
      <c r="U1695">
        <f>R1695/T1695-1</f>
        <v/>
      </c>
      <c r="V1695" t="n">
        <v>2.95610587311044</v>
      </c>
      <c r="W1695" s="5">
        <f>R1695-V1695</f>
        <v/>
      </c>
    </row>
    <row r="1696">
      <c r="A1696" s="3" t="n">
        <v>40932</v>
      </c>
      <c r="B1696">
        <f>Prices!B1696</f>
        <v/>
      </c>
      <c r="C1696">
        <f>Prices!C1696</f>
        <v/>
      </c>
      <c r="D1696">
        <f>Prices!D1696</f>
        <v/>
      </c>
      <c r="E1696">
        <f>Prices!E1696</f>
        <v/>
      </c>
      <c r="F1696">
        <f>Prices!F1696</f>
        <v/>
      </c>
      <c r="G1696">
        <f>IF(AND(1694&gt;=16,TEXT(A1696,"yyyy-mm")&lt;&gt;TEXT(A1697,"yyyy-mm")),1,0)</f>
        <v/>
      </c>
      <c r="H1696">
        <f>IF(OR(H1695=1,G1696=1),1,0)</f>
        <v/>
      </c>
      <c r="I1696">
        <f>IF(H1695=0,1,SUMPRODUCT(J1695:N1695,B1696:F1696)+O1695*(1+0.00023125256064071564))</f>
        <v/>
      </c>
      <c r="J1696">
        <f>IF(G1696=1,0.2*R1696/B1696,J1695)</f>
        <v/>
      </c>
      <c r="K1696">
        <f>IF(G1696=1,0.2*R1696/C1696,K1695)</f>
        <v/>
      </c>
      <c r="L1696">
        <f>IF(G1696=1,0.2*R1696/D1696,L1695)</f>
        <v/>
      </c>
      <c r="M1696">
        <f>IF(G1696=1,0.2*R1696/E1696,M1695)</f>
        <v/>
      </c>
      <c r="N1696">
        <f>IF(G1696=1,0.2*R1696/F1696,N1695)</f>
        <v/>
      </c>
      <c r="O1696">
        <f>IF(G1696=1,R1696*(1-1.0),IF(H1695=0,1,O1695*(1+0.00023125256064071564)))</f>
        <v/>
      </c>
      <c r="P1696">
        <f>IF(G1696=1,IF(H1695=0,1,ABS(0.2-J1695*B1696/I1696)+ABS(0.2-K1695*C1696/I1696)+ABS(0.2-L1695*D1696/I1696)+ABS(0.2-M1695*E1696/I1696)+ABS(0.2-N1695*F1696/I1696)),0)</f>
        <v/>
      </c>
      <c r="Q1696">
        <f>P1696*0.0015</f>
        <v/>
      </c>
      <c r="R1696">
        <f>I1696*(1-Q1696)</f>
        <v/>
      </c>
      <c r="S1696">
        <f>R1696/R1695-1</f>
        <v/>
      </c>
      <c r="T1696">
        <f>MAX(T1695,R1696)</f>
        <v/>
      </c>
      <c r="U1696">
        <f>R1696/T1696-1</f>
        <v/>
      </c>
      <c r="V1696" t="n">
        <v>2.998125768730431</v>
      </c>
      <c r="W1696" s="5">
        <f>R1696-V1696</f>
        <v/>
      </c>
    </row>
    <row r="1697">
      <c r="A1697" s="3" t="n">
        <v>40933</v>
      </c>
      <c r="B1697">
        <f>Prices!B1697</f>
        <v/>
      </c>
      <c r="C1697">
        <f>Prices!C1697</f>
        <v/>
      </c>
      <c r="D1697">
        <f>Prices!D1697</f>
        <v/>
      </c>
      <c r="E1697">
        <f>Prices!E1697</f>
        <v/>
      </c>
      <c r="F1697">
        <f>Prices!F1697</f>
        <v/>
      </c>
      <c r="G1697">
        <f>IF(AND(1695&gt;=16,TEXT(A1697,"yyyy-mm")&lt;&gt;TEXT(A1698,"yyyy-mm")),1,0)</f>
        <v/>
      </c>
      <c r="H1697">
        <f>IF(OR(H1696=1,G1697=1),1,0)</f>
        <v/>
      </c>
      <c r="I1697">
        <f>IF(H1696=0,1,SUMPRODUCT(J1696:N1696,B1697:F1697)+O1696*(1+0.00023125256064071564))</f>
        <v/>
      </c>
      <c r="J1697">
        <f>IF(G1697=1,0.2*R1697/B1697,J1696)</f>
        <v/>
      </c>
      <c r="K1697">
        <f>IF(G1697=1,0.2*R1697/C1697,K1696)</f>
        <v/>
      </c>
      <c r="L1697">
        <f>IF(G1697=1,0.2*R1697/D1697,L1696)</f>
        <v/>
      </c>
      <c r="M1697">
        <f>IF(G1697=1,0.2*R1697/E1697,M1696)</f>
        <v/>
      </c>
      <c r="N1697">
        <f>IF(G1697=1,0.2*R1697/F1697,N1696)</f>
        <v/>
      </c>
      <c r="O1697">
        <f>IF(G1697=1,R1697*(1-1.0),IF(H1696=0,1,O1696*(1+0.00023125256064071564)))</f>
        <v/>
      </c>
      <c r="P1697">
        <f>IF(G1697=1,IF(H1696=0,1,ABS(0.2-J1696*B1697/I1697)+ABS(0.2-K1696*C1697/I1697)+ABS(0.2-L1696*D1697/I1697)+ABS(0.2-M1696*E1697/I1697)+ABS(0.2-N1696*F1697/I1697)),0)</f>
        <v/>
      </c>
      <c r="Q1697">
        <f>P1697*0.0015</f>
        <v/>
      </c>
      <c r="R1697">
        <f>I1697*(1-Q1697)</f>
        <v/>
      </c>
      <c r="S1697">
        <f>R1697/R1696-1</f>
        <v/>
      </c>
      <c r="T1697">
        <f>MAX(T1696,R1697)</f>
        <v/>
      </c>
      <c r="U1697">
        <f>R1697/T1697-1</f>
        <v/>
      </c>
      <c r="V1697" t="n">
        <v>3.035938722581931</v>
      </c>
      <c r="W1697" s="5">
        <f>R1697-V1697</f>
        <v/>
      </c>
    </row>
    <row r="1698">
      <c r="A1698" s="3" t="n">
        <v>40935</v>
      </c>
      <c r="B1698">
        <f>Prices!B1698</f>
        <v/>
      </c>
      <c r="C1698">
        <f>Prices!C1698</f>
        <v/>
      </c>
      <c r="D1698">
        <f>Prices!D1698</f>
        <v/>
      </c>
      <c r="E1698">
        <f>Prices!E1698</f>
        <v/>
      </c>
      <c r="F1698">
        <f>Prices!F1698</f>
        <v/>
      </c>
      <c r="G1698">
        <f>IF(AND(1696&gt;=16,TEXT(A1698,"yyyy-mm")&lt;&gt;TEXT(A1699,"yyyy-mm")),1,0)</f>
        <v/>
      </c>
      <c r="H1698">
        <f>IF(OR(H1697=1,G1698=1),1,0)</f>
        <v/>
      </c>
      <c r="I1698">
        <f>IF(H1697=0,1,SUMPRODUCT(J1697:N1697,B1698:F1698)+O1697*(1+0.00023125256064071564))</f>
        <v/>
      </c>
      <c r="J1698">
        <f>IF(G1698=1,0.2*R1698/B1698,J1697)</f>
        <v/>
      </c>
      <c r="K1698">
        <f>IF(G1698=1,0.2*R1698/C1698,K1697)</f>
        <v/>
      </c>
      <c r="L1698">
        <f>IF(G1698=1,0.2*R1698/D1698,L1697)</f>
        <v/>
      </c>
      <c r="M1698">
        <f>IF(G1698=1,0.2*R1698/E1698,M1697)</f>
        <v/>
      </c>
      <c r="N1698">
        <f>IF(G1698=1,0.2*R1698/F1698,N1697)</f>
        <v/>
      </c>
      <c r="O1698">
        <f>IF(G1698=1,R1698*(1-1.0),IF(H1697=0,1,O1697*(1+0.00023125256064071564)))</f>
        <v/>
      </c>
      <c r="P1698">
        <f>IF(G1698=1,IF(H1697=0,1,ABS(0.2-J1697*B1698/I1698)+ABS(0.2-K1697*C1698/I1698)+ABS(0.2-L1697*D1698/I1698)+ABS(0.2-M1697*E1698/I1698)+ABS(0.2-N1697*F1698/I1698)),0)</f>
        <v/>
      </c>
      <c r="Q1698">
        <f>P1698*0.0015</f>
        <v/>
      </c>
      <c r="R1698">
        <f>I1698*(1-Q1698)</f>
        <v/>
      </c>
      <c r="S1698">
        <f>R1698/R1697-1</f>
        <v/>
      </c>
      <c r="T1698">
        <f>MAX(T1697,R1698)</f>
        <v/>
      </c>
      <c r="U1698">
        <f>R1698/T1698-1</f>
        <v/>
      </c>
      <c r="V1698" t="n">
        <v>3.051520751627822</v>
      </c>
      <c r="W1698" s="5">
        <f>R1698-V1698</f>
        <v/>
      </c>
    </row>
    <row r="1699">
      <c r="A1699" s="3" t="n">
        <v>40938</v>
      </c>
      <c r="B1699">
        <f>Prices!B1699</f>
        <v/>
      </c>
      <c r="C1699">
        <f>Prices!C1699</f>
        <v/>
      </c>
      <c r="D1699">
        <f>Prices!D1699</f>
        <v/>
      </c>
      <c r="E1699">
        <f>Prices!E1699</f>
        <v/>
      </c>
      <c r="F1699">
        <f>Prices!F1699</f>
        <v/>
      </c>
      <c r="G1699">
        <f>IF(AND(1697&gt;=16,TEXT(A1699,"yyyy-mm")&lt;&gt;TEXT(A1700,"yyyy-mm")),1,0)</f>
        <v/>
      </c>
      <c r="H1699">
        <f>IF(OR(H1698=1,G1699=1),1,0)</f>
        <v/>
      </c>
      <c r="I1699">
        <f>IF(H1698=0,1,SUMPRODUCT(J1698:N1698,B1699:F1699)+O1698*(1+0.00023125256064071564))</f>
        <v/>
      </c>
      <c r="J1699">
        <f>IF(G1699=1,0.2*R1699/B1699,J1698)</f>
        <v/>
      </c>
      <c r="K1699">
        <f>IF(G1699=1,0.2*R1699/C1699,K1698)</f>
        <v/>
      </c>
      <c r="L1699">
        <f>IF(G1699=1,0.2*R1699/D1699,L1698)</f>
        <v/>
      </c>
      <c r="M1699">
        <f>IF(G1699=1,0.2*R1699/E1699,M1698)</f>
        <v/>
      </c>
      <c r="N1699">
        <f>IF(G1699=1,0.2*R1699/F1699,N1698)</f>
        <v/>
      </c>
      <c r="O1699">
        <f>IF(G1699=1,R1699*(1-1.0),IF(H1698=0,1,O1698*(1+0.00023125256064071564)))</f>
        <v/>
      </c>
      <c r="P1699">
        <f>IF(G1699=1,IF(H1698=0,1,ABS(0.2-J1698*B1699/I1699)+ABS(0.2-K1698*C1699/I1699)+ABS(0.2-L1698*D1699/I1699)+ABS(0.2-M1698*E1699/I1699)+ABS(0.2-N1698*F1699/I1699)),0)</f>
        <v/>
      </c>
      <c r="Q1699">
        <f>P1699*0.0015</f>
        <v/>
      </c>
      <c r="R1699">
        <f>I1699*(1-Q1699)</f>
        <v/>
      </c>
      <c r="S1699">
        <f>R1699/R1698-1</f>
        <v/>
      </c>
      <c r="T1699">
        <f>MAX(T1698,R1699)</f>
        <v/>
      </c>
      <c r="U1699">
        <f>R1699/T1699-1</f>
        <v/>
      </c>
      <c r="V1699" t="n">
        <v>2.99924295295957</v>
      </c>
      <c r="W1699" s="5">
        <f>R1699-V1699</f>
        <v/>
      </c>
    </row>
    <row r="1700">
      <c r="A1700" s="3" t="n">
        <v>40939</v>
      </c>
      <c r="B1700">
        <f>Prices!B1700</f>
        <v/>
      </c>
      <c r="C1700">
        <f>Prices!C1700</f>
        <v/>
      </c>
      <c r="D1700">
        <f>Prices!D1700</f>
        <v/>
      </c>
      <c r="E1700">
        <f>Prices!E1700</f>
        <v/>
      </c>
      <c r="F1700">
        <f>Prices!F1700</f>
        <v/>
      </c>
      <c r="G1700">
        <f>IF(AND(1698&gt;=16,TEXT(A1700,"yyyy-mm")&lt;&gt;TEXT(A1701,"yyyy-mm")),1,0)</f>
        <v/>
      </c>
      <c r="H1700">
        <f>IF(OR(H1699=1,G1700=1),1,0)</f>
        <v/>
      </c>
      <c r="I1700">
        <f>IF(H1699=0,1,SUMPRODUCT(J1699:N1699,B1700:F1700)+O1699*(1+0.00023125256064071564))</f>
        <v/>
      </c>
      <c r="J1700">
        <f>IF(G1700=1,0.2*R1700/B1700,J1699)</f>
        <v/>
      </c>
      <c r="K1700">
        <f>IF(G1700=1,0.2*R1700/C1700,K1699)</f>
        <v/>
      </c>
      <c r="L1700">
        <f>IF(G1700=1,0.2*R1700/D1700,L1699)</f>
        <v/>
      </c>
      <c r="M1700">
        <f>IF(G1700=1,0.2*R1700/E1700,M1699)</f>
        <v/>
      </c>
      <c r="N1700">
        <f>IF(G1700=1,0.2*R1700/F1700,N1699)</f>
        <v/>
      </c>
      <c r="O1700">
        <f>IF(G1700=1,R1700*(1-1.0),IF(H1699=0,1,O1699*(1+0.00023125256064071564)))</f>
        <v/>
      </c>
      <c r="P1700">
        <f>IF(G1700=1,IF(H1699=0,1,ABS(0.2-J1699*B1700/I1700)+ABS(0.2-K1699*C1700/I1700)+ABS(0.2-L1699*D1700/I1700)+ABS(0.2-M1699*E1700/I1700)+ABS(0.2-N1699*F1700/I1700)),0)</f>
        <v/>
      </c>
      <c r="Q1700">
        <f>P1700*0.0015</f>
        <v/>
      </c>
      <c r="R1700">
        <f>I1700*(1-Q1700)</f>
        <v/>
      </c>
      <c r="S1700">
        <f>R1700/R1699-1</f>
        <v/>
      </c>
      <c r="T1700">
        <f>MAX(T1699,R1700)</f>
        <v/>
      </c>
      <c r="U1700">
        <f>R1700/T1700-1</f>
        <v/>
      </c>
      <c r="V1700" t="n">
        <v>3.061403470804464</v>
      </c>
      <c r="W1700" s="5">
        <f>R1700-V1700</f>
        <v/>
      </c>
    </row>
    <row r="1701">
      <c r="A1701" s="3" t="n">
        <v>40940</v>
      </c>
      <c r="B1701">
        <f>Prices!B1701</f>
        <v/>
      </c>
      <c r="C1701">
        <f>Prices!C1701</f>
        <v/>
      </c>
      <c r="D1701">
        <f>Prices!D1701</f>
        <v/>
      </c>
      <c r="E1701">
        <f>Prices!E1701</f>
        <v/>
      </c>
      <c r="F1701">
        <f>Prices!F1701</f>
        <v/>
      </c>
      <c r="G1701">
        <f>IF(AND(1699&gt;=16,TEXT(A1701,"yyyy-mm")&lt;&gt;TEXT(A1702,"yyyy-mm")),1,0)</f>
        <v/>
      </c>
      <c r="H1701">
        <f>IF(OR(H1700=1,G1701=1),1,0)</f>
        <v/>
      </c>
      <c r="I1701">
        <f>IF(H1700=0,1,SUMPRODUCT(J1700:N1700,B1701:F1701)+O1700*(1+0.00023125256064071564))</f>
        <v/>
      </c>
      <c r="J1701">
        <f>IF(G1701=1,0.2*R1701/B1701,J1700)</f>
        <v/>
      </c>
      <c r="K1701">
        <f>IF(G1701=1,0.2*R1701/C1701,K1700)</f>
        <v/>
      </c>
      <c r="L1701">
        <f>IF(G1701=1,0.2*R1701/D1701,L1700)</f>
        <v/>
      </c>
      <c r="M1701">
        <f>IF(G1701=1,0.2*R1701/E1701,M1700)</f>
        <v/>
      </c>
      <c r="N1701">
        <f>IF(G1701=1,0.2*R1701/F1701,N1700)</f>
        <v/>
      </c>
      <c r="O1701">
        <f>IF(G1701=1,R1701*(1-1.0),IF(H1700=0,1,O1700*(1+0.00023125256064071564)))</f>
        <v/>
      </c>
      <c r="P1701">
        <f>IF(G1701=1,IF(H1700=0,1,ABS(0.2-J1700*B1701/I1701)+ABS(0.2-K1700*C1701/I1701)+ABS(0.2-L1700*D1701/I1701)+ABS(0.2-M1700*E1701/I1701)+ABS(0.2-N1700*F1701/I1701)),0)</f>
        <v/>
      </c>
      <c r="Q1701">
        <f>P1701*0.0015</f>
        <v/>
      </c>
      <c r="R1701">
        <f>I1701*(1-Q1701)</f>
        <v/>
      </c>
      <c r="S1701">
        <f>R1701/R1700-1</f>
        <v/>
      </c>
      <c r="T1701">
        <f>MAX(T1700,R1701)</f>
        <v/>
      </c>
      <c r="U1701">
        <f>R1701/T1701-1</f>
        <v/>
      </c>
      <c r="V1701" t="n">
        <v>3.084126974326226</v>
      </c>
      <c r="W1701" s="5">
        <f>R1701-V1701</f>
        <v/>
      </c>
    </row>
    <row r="1702">
      <c r="A1702" s="3" t="n">
        <v>40941</v>
      </c>
      <c r="B1702">
        <f>Prices!B1702</f>
        <v/>
      </c>
      <c r="C1702">
        <f>Prices!C1702</f>
        <v/>
      </c>
      <c r="D1702">
        <f>Prices!D1702</f>
        <v/>
      </c>
      <c r="E1702">
        <f>Prices!E1702</f>
        <v/>
      </c>
      <c r="F1702">
        <f>Prices!F1702</f>
        <v/>
      </c>
      <c r="G1702">
        <f>IF(AND(1700&gt;=16,TEXT(A1702,"yyyy-mm")&lt;&gt;TEXT(A1703,"yyyy-mm")),1,0)</f>
        <v/>
      </c>
      <c r="H1702">
        <f>IF(OR(H1701=1,G1702=1),1,0)</f>
        <v/>
      </c>
      <c r="I1702">
        <f>IF(H1701=0,1,SUMPRODUCT(J1701:N1701,B1702:F1702)+O1701*(1+0.00023125256064071564))</f>
        <v/>
      </c>
      <c r="J1702">
        <f>IF(G1702=1,0.2*R1702/B1702,J1701)</f>
        <v/>
      </c>
      <c r="K1702">
        <f>IF(G1702=1,0.2*R1702/C1702,K1701)</f>
        <v/>
      </c>
      <c r="L1702">
        <f>IF(G1702=1,0.2*R1702/D1702,L1701)</f>
        <v/>
      </c>
      <c r="M1702">
        <f>IF(G1702=1,0.2*R1702/E1702,M1701)</f>
        <v/>
      </c>
      <c r="N1702">
        <f>IF(G1702=1,0.2*R1702/F1702,N1701)</f>
        <v/>
      </c>
      <c r="O1702">
        <f>IF(G1702=1,R1702*(1-1.0),IF(H1701=0,1,O1701*(1+0.00023125256064071564)))</f>
        <v/>
      </c>
      <c r="P1702">
        <f>IF(G1702=1,IF(H1701=0,1,ABS(0.2-J1701*B1702/I1702)+ABS(0.2-K1701*C1702/I1702)+ABS(0.2-L1701*D1702/I1702)+ABS(0.2-M1701*E1702/I1702)+ABS(0.2-N1701*F1702/I1702)),0)</f>
        <v/>
      </c>
      <c r="Q1702">
        <f>P1702*0.0015</f>
        <v/>
      </c>
      <c r="R1702">
        <f>I1702*(1-Q1702)</f>
        <v/>
      </c>
      <c r="S1702">
        <f>R1702/R1701-1</f>
        <v/>
      </c>
      <c r="T1702">
        <f>MAX(T1701,R1702)</f>
        <v/>
      </c>
      <c r="U1702">
        <f>R1702/T1702-1</f>
        <v/>
      </c>
      <c r="V1702" t="n">
        <v>3.110990705629596</v>
      </c>
      <c r="W1702" s="5">
        <f>R1702-V1702</f>
        <v/>
      </c>
    </row>
    <row r="1703">
      <c r="A1703" s="3" t="n">
        <v>40942</v>
      </c>
      <c r="B1703">
        <f>Prices!B1703</f>
        <v/>
      </c>
      <c r="C1703">
        <f>Prices!C1703</f>
        <v/>
      </c>
      <c r="D1703">
        <f>Prices!D1703</f>
        <v/>
      </c>
      <c r="E1703">
        <f>Prices!E1703</f>
        <v/>
      </c>
      <c r="F1703">
        <f>Prices!F1703</f>
        <v/>
      </c>
      <c r="G1703">
        <f>IF(AND(1701&gt;=16,TEXT(A1703,"yyyy-mm")&lt;&gt;TEXT(A1704,"yyyy-mm")),1,0)</f>
        <v/>
      </c>
      <c r="H1703">
        <f>IF(OR(H1702=1,G1703=1),1,0)</f>
        <v/>
      </c>
      <c r="I1703">
        <f>IF(H1702=0,1,SUMPRODUCT(J1702:N1702,B1703:F1703)+O1702*(1+0.00023125256064071564))</f>
        <v/>
      </c>
      <c r="J1703">
        <f>IF(G1703=1,0.2*R1703/B1703,J1702)</f>
        <v/>
      </c>
      <c r="K1703">
        <f>IF(G1703=1,0.2*R1703/C1703,K1702)</f>
        <v/>
      </c>
      <c r="L1703">
        <f>IF(G1703=1,0.2*R1703/D1703,L1702)</f>
        <v/>
      </c>
      <c r="M1703">
        <f>IF(G1703=1,0.2*R1703/E1703,M1702)</f>
        <v/>
      </c>
      <c r="N1703">
        <f>IF(G1703=1,0.2*R1703/F1703,N1702)</f>
        <v/>
      </c>
      <c r="O1703">
        <f>IF(G1703=1,R1703*(1-1.0),IF(H1702=0,1,O1702*(1+0.00023125256064071564)))</f>
        <v/>
      </c>
      <c r="P1703">
        <f>IF(G1703=1,IF(H1702=0,1,ABS(0.2-J1702*B1703/I1703)+ABS(0.2-K1702*C1703/I1703)+ABS(0.2-L1702*D1703/I1703)+ABS(0.2-M1702*E1703/I1703)+ABS(0.2-N1702*F1703/I1703)),0)</f>
        <v/>
      </c>
      <c r="Q1703">
        <f>P1703*0.0015</f>
        <v/>
      </c>
      <c r="R1703">
        <f>I1703*(1-Q1703)</f>
        <v/>
      </c>
      <c r="S1703">
        <f>R1703/R1702-1</f>
        <v/>
      </c>
      <c r="T1703">
        <f>MAX(T1702,R1703)</f>
        <v/>
      </c>
      <c r="U1703">
        <f>R1703/T1703-1</f>
        <v/>
      </c>
      <c r="V1703" t="n">
        <v>3.144894231820795</v>
      </c>
      <c r="W1703" s="5">
        <f>R1703-V1703</f>
        <v/>
      </c>
    </row>
    <row r="1704">
      <c r="A1704" s="3" t="n">
        <v>40945</v>
      </c>
      <c r="B1704">
        <f>Prices!B1704</f>
        <v/>
      </c>
      <c r="C1704">
        <f>Prices!C1704</f>
        <v/>
      </c>
      <c r="D1704">
        <f>Prices!D1704</f>
        <v/>
      </c>
      <c r="E1704">
        <f>Prices!E1704</f>
        <v/>
      </c>
      <c r="F1704">
        <f>Prices!F1704</f>
        <v/>
      </c>
      <c r="G1704">
        <f>IF(AND(1702&gt;=16,TEXT(A1704,"yyyy-mm")&lt;&gt;TEXT(A1705,"yyyy-mm")),1,0)</f>
        <v/>
      </c>
      <c r="H1704">
        <f>IF(OR(H1703=1,G1704=1),1,0)</f>
        <v/>
      </c>
      <c r="I1704">
        <f>IF(H1703=0,1,SUMPRODUCT(J1703:N1703,B1704:F1704)+O1703*(1+0.00023125256064071564))</f>
        <v/>
      </c>
      <c r="J1704">
        <f>IF(G1704=1,0.2*R1704/B1704,J1703)</f>
        <v/>
      </c>
      <c r="K1704">
        <f>IF(G1704=1,0.2*R1704/C1704,K1703)</f>
        <v/>
      </c>
      <c r="L1704">
        <f>IF(G1704=1,0.2*R1704/D1704,L1703)</f>
        <v/>
      </c>
      <c r="M1704">
        <f>IF(G1704=1,0.2*R1704/E1704,M1703)</f>
        <v/>
      </c>
      <c r="N1704">
        <f>IF(G1704=1,0.2*R1704/F1704,N1703)</f>
        <v/>
      </c>
      <c r="O1704">
        <f>IF(G1704=1,R1704*(1-1.0),IF(H1703=0,1,O1703*(1+0.00023125256064071564)))</f>
        <v/>
      </c>
      <c r="P1704">
        <f>IF(G1704=1,IF(H1703=0,1,ABS(0.2-J1703*B1704/I1704)+ABS(0.2-K1703*C1704/I1704)+ABS(0.2-L1703*D1704/I1704)+ABS(0.2-M1703*E1704/I1704)+ABS(0.2-N1703*F1704/I1704)),0)</f>
        <v/>
      </c>
      <c r="Q1704">
        <f>P1704*0.0015</f>
        <v/>
      </c>
      <c r="R1704">
        <f>I1704*(1-Q1704)</f>
        <v/>
      </c>
      <c r="S1704">
        <f>R1704/R1703-1</f>
        <v/>
      </c>
      <c r="T1704">
        <f>MAX(T1703,R1704)</f>
        <v/>
      </c>
      <c r="U1704">
        <f>R1704/T1704-1</f>
        <v/>
      </c>
      <c r="V1704" t="n">
        <v>3.168658589507413</v>
      </c>
      <c r="W1704" s="5">
        <f>R1704-V1704</f>
        <v/>
      </c>
    </row>
    <row r="1705">
      <c r="A1705" s="3" t="n">
        <v>40946</v>
      </c>
      <c r="B1705">
        <f>Prices!B1705</f>
        <v/>
      </c>
      <c r="C1705">
        <f>Prices!C1705</f>
        <v/>
      </c>
      <c r="D1705">
        <f>Prices!D1705</f>
        <v/>
      </c>
      <c r="E1705">
        <f>Prices!E1705</f>
        <v/>
      </c>
      <c r="F1705">
        <f>Prices!F1705</f>
        <v/>
      </c>
      <c r="G1705">
        <f>IF(AND(1703&gt;=16,TEXT(A1705,"yyyy-mm")&lt;&gt;TEXT(A1706,"yyyy-mm")),1,0)</f>
        <v/>
      </c>
      <c r="H1705">
        <f>IF(OR(H1704=1,G1705=1),1,0)</f>
        <v/>
      </c>
      <c r="I1705">
        <f>IF(H1704=0,1,SUMPRODUCT(J1704:N1704,B1705:F1705)+O1704*(1+0.00023125256064071564))</f>
        <v/>
      </c>
      <c r="J1705">
        <f>IF(G1705=1,0.2*R1705/B1705,J1704)</f>
        <v/>
      </c>
      <c r="K1705">
        <f>IF(G1705=1,0.2*R1705/C1705,K1704)</f>
        <v/>
      </c>
      <c r="L1705">
        <f>IF(G1705=1,0.2*R1705/D1705,L1704)</f>
        <v/>
      </c>
      <c r="M1705">
        <f>IF(G1705=1,0.2*R1705/E1705,M1704)</f>
        <v/>
      </c>
      <c r="N1705">
        <f>IF(G1705=1,0.2*R1705/F1705,N1704)</f>
        <v/>
      </c>
      <c r="O1705">
        <f>IF(G1705=1,R1705*(1-1.0),IF(H1704=0,1,O1704*(1+0.00023125256064071564)))</f>
        <v/>
      </c>
      <c r="P1705">
        <f>IF(G1705=1,IF(H1704=0,1,ABS(0.2-J1704*B1705/I1705)+ABS(0.2-K1704*C1705/I1705)+ABS(0.2-L1704*D1705/I1705)+ABS(0.2-M1704*E1705/I1705)+ABS(0.2-N1704*F1705/I1705)),0)</f>
        <v/>
      </c>
      <c r="Q1705">
        <f>P1705*0.0015</f>
        <v/>
      </c>
      <c r="R1705">
        <f>I1705*(1-Q1705)</f>
        <v/>
      </c>
      <c r="S1705">
        <f>R1705/R1704-1</f>
        <v/>
      </c>
      <c r="T1705">
        <f>MAX(T1704,R1705)</f>
        <v/>
      </c>
      <c r="U1705">
        <f>R1705/T1705-1</f>
        <v/>
      </c>
      <c r="V1705" t="n">
        <v>3.145608763910971</v>
      </c>
      <c r="W1705" s="5">
        <f>R1705-V1705</f>
        <v/>
      </c>
    </row>
    <row r="1706">
      <c r="A1706" s="3" t="n">
        <v>40947</v>
      </c>
      <c r="B1706">
        <f>Prices!B1706</f>
        <v/>
      </c>
      <c r="C1706">
        <f>Prices!C1706</f>
        <v/>
      </c>
      <c r="D1706">
        <f>Prices!D1706</f>
        <v/>
      </c>
      <c r="E1706">
        <f>Prices!E1706</f>
        <v/>
      </c>
      <c r="F1706">
        <f>Prices!F1706</f>
        <v/>
      </c>
      <c r="G1706">
        <f>IF(AND(1704&gt;=16,TEXT(A1706,"yyyy-mm")&lt;&gt;TEXT(A1707,"yyyy-mm")),1,0)</f>
        <v/>
      </c>
      <c r="H1706">
        <f>IF(OR(H1705=1,G1706=1),1,0)</f>
        <v/>
      </c>
      <c r="I1706">
        <f>IF(H1705=0,1,SUMPRODUCT(J1705:N1705,B1706:F1706)+O1705*(1+0.00023125256064071564))</f>
        <v/>
      </c>
      <c r="J1706">
        <f>IF(G1706=1,0.2*R1706/B1706,J1705)</f>
        <v/>
      </c>
      <c r="K1706">
        <f>IF(G1706=1,0.2*R1706/C1706,K1705)</f>
        <v/>
      </c>
      <c r="L1706">
        <f>IF(G1706=1,0.2*R1706/D1706,L1705)</f>
        <v/>
      </c>
      <c r="M1706">
        <f>IF(G1706=1,0.2*R1706/E1706,M1705)</f>
        <v/>
      </c>
      <c r="N1706">
        <f>IF(G1706=1,0.2*R1706/F1706,N1705)</f>
        <v/>
      </c>
      <c r="O1706">
        <f>IF(G1706=1,R1706*(1-1.0),IF(H1705=0,1,O1705*(1+0.00023125256064071564)))</f>
        <v/>
      </c>
      <c r="P1706">
        <f>IF(G1706=1,IF(H1705=0,1,ABS(0.2-J1705*B1706/I1706)+ABS(0.2-K1705*C1706/I1706)+ABS(0.2-L1705*D1706/I1706)+ABS(0.2-M1705*E1706/I1706)+ABS(0.2-N1705*F1706/I1706)),0)</f>
        <v/>
      </c>
      <c r="Q1706">
        <f>P1706*0.0015</f>
        <v/>
      </c>
      <c r="R1706">
        <f>I1706*(1-Q1706)</f>
        <v/>
      </c>
      <c r="S1706">
        <f>R1706/R1705-1</f>
        <v/>
      </c>
      <c r="T1706">
        <f>MAX(T1705,R1706)</f>
        <v/>
      </c>
      <c r="U1706">
        <f>R1706/T1706-1</f>
        <v/>
      </c>
      <c r="V1706" t="n">
        <v>3.178599469832303</v>
      </c>
      <c r="W1706" s="5">
        <f>R1706-V1706</f>
        <v/>
      </c>
    </row>
    <row r="1707">
      <c r="A1707" s="3" t="n">
        <v>40948</v>
      </c>
      <c r="B1707">
        <f>Prices!B1707</f>
        <v/>
      </c>
      <c r="C1707">
        <f>Prices!C1707</f>
        <v/>
      </c>
      <c r="D1707">
        <f>Prices!D1707</f>
        <v/>
      </c>
      <c r="E1707">
        <f>Prices!E1707</f>
        <v/>
      </c>
      <c r="F1707">
        <f>Prices!F1707</f>
        <v/>
      </c>
      <c r="G1707">
        <f>IF(AND(1705&gt;=16,TEXT(A1707,"yyyy-mm")&lt;&gt;TEXT(A1708,"yyyy-mm")),1,0)</f>
        <v/>
      </c>
      <c r="H1707">
        <f>IF(OR(H1706=1,G1707=1),1,0)</f>
        <v/>
      </c>
      <c r="I1707">
        <f>IF(H1706=0,1,SUMPRODUCT(J1706:N1706,B1707:F1707)+O1706*(1+0.00023125256064071564))</f>
        <v/>
      </c>
      <c r="J1707">
        <f>IF(G1707=1,0.2*R1707/B1707,J1706)</f>
        <v/>
      </c>
      <c r="K1707">
        <f>IF(G1707=1,0.2*R1707/C1707,K1706)</f>
        <v/>
      </c>
      <c r="L1707">
        <f>IF(G1707=1,0.2*R1707/D1707,L1706)</f>
        <v/>
      </c>
      <c r="M1707">
        <f>IF(G1707=1,0.2*R1707/E1707,M1706)</f>
        <v/>
      </c>
      <c r="N1707">
        <f>IF(G1707=1,0.2*R1707/F1707,N1706)</f>
        <v/>
      </c>
      <c r="O1707">
        <f>IF(G1707=1,R1707*(1-1.0),IF(H1706=0,1,O1706*(1+0.00023125256064071564)))</f>
        <v/>
      </c>
      <c r="P1707">
        <f>IF(G1707=1,IF(H1706=0,1,ABS(0.2-J1706*B1707/I1707)+ABS(0.2-K1706*C1707/I1707)+ABS(0.2-L1706*D1707/I1707)+ABS(0.2-M1706*E1707/I1707)+ABS(0.2-N1706*F1707/I1707)),0)</f>
        <v/>
      </c>
      <c r="Q1707">
        <f>P1707*0.0015</f>
        <v/>
      </c>
      <c r="R1707">
        <f>I1707*(1-Q1707)</f>
        <v/>
      </c>
      <c r="S1707">
        <f>R1707/R1706-1</f>
        <v/>
      </c>
      <c r="T1707">
        <f>MAX(T1706,R1707)</f>
        <v/>
      </c>
      <c r="U1707">
        <f>R1707/T1707-1</f>
        <v/>
      </c>
      <c r="V1707" t="n">
        <v>3.210884042520638</v>
      </c>
      <c r="W1707" s="5">
        <f>R1707-V1707</f>
        <v/>
      </c>
    </row>
    <row r="1708">
      <c r="A1708" s="3" t="n">
        <v>40949</v>
      </c>
      <c r="B1708">
        <f>Prices!B1708</f>
        <v/>
      </c>
      <c r="C1708">
        <f>Prices!C1708</f>
        <v/>
      </c>
      <c r="D1708">
        <f>Prices!D1708</f>
        <v/>
      </c>
      <c r="E1708">
        <f>Prices!E1708</f>
        <v/>
      </c>
      <c r="F1708">
        <f>Prices!F1708</f>
        <v/>
      </c>
      <c r="G1708">
        <f>IF(AND(1706&gt;=16,TEXT(A1708,"yyyy-mm")&lt;&gt;TEXT(A1709,"yyyy-mm")),1,0)</f>
        <v/>
      </c>
      <c r="H1708">
        <f>IF(OR(H1707=1,G1708=1),1,0)</f>
        <v/>
      </c>
      <c r="I1708">
        <f>IF(H1707=0,1,SUMPRODUCT(J1707:N1707,B1708:F1708)+O1707*(1+0.00023125256064071564))</f>
        <v/>
      </c>
      <c r="J1708">
        <f>IF(G1708=1,0.2*R1708/B1708,J1707)</f>
        <v/>
      </c>
      <c r="K1708">
        <f>IF(G1708=1,0.2*R1708/C1708,K1707)</f>
        <v/>
      </c>
      <c r="L1708">
        <f>IF(G1708=1,0.2*R1708/D1708,L1707)</f>
        <v/>
      </c>
      <c r="M1708">
        <f>IF(G1708=1,0.2*R1708/E1708,M1707)</f>
        <v/>
      </c>
      <c r="N1708">
        <f>IF(G1708=1,0.2*R1708/F1708,N1707)</f>
        <v/>
      </c>
      <c r="O1708">
        <f>IF(G1708=1,R1708*(1-1.0),IF(H1707=0,1,O1707*(1+0.00023125256064071564)))</f>
        <v/>
      </c>
      <c r="P1708">
        <f>IF(G1708=1,IF(H1707=0,1,ABS(0.2-J1707*B1708/I1708)+ABS(0.2-K1707*C1708/I1708)+ABS(0.2-L1707*D1708/I1708)+ABS(0.2-M1707*E1708/I1708)+ABS(0.2-N1707*F1708/I1708)),0)</f>
        <v/>
      </c>
      <c r="Q1708">
        <f>P1708*0.0015</f>
        <v/>
      </c>
      <c r="R1708">
        <f>I1708*(1-Q1708)</f>
        <v/>
      </c>
      <c r="S1708">
        <f>R1708/R1707-1</f>
        <v/>
      </c>
      <c r="T1708">
        <f>MAX(T1707,R1708)</f>
        <v/>
      </c>
      <c r="U1708">
        <f>R1708/T1708-1</f>
        <v/>
      </c>
      <c r="V1708" t="n">
        <v>3.213817332044688</v>
      </c>
      <c r="W1708" s="5">
        <f>R1708-V1708</f>
        <v/>
      </c>
    </row>
    <row r="1709">
      <c r="A1709" s="3" t="n">
        <v>40952</v>
      </c>
      <c r="B1709">
        <f>Prices!B1709</f>
        <v/>
      </c>
      <c r="C1709">
        <f>Prices!C1709</f>
        <v/>
      </c>
      <c r="D1709">
        <f>Prices!D1709</f>
        <v/>
      </c>
      <c r="E1709">
        <f>Prices!E1709</f>
        <v/>
      </c>
      <c r="F1709">
        <f>Prices!F1709</f>
        <v/>
      </c>
      <c r="G1709">
        <f>IF(AND(1707&gt;=16,TEXT(A1709,"yyyy-mm")&lt;&gt;TEXT(A1710,"yyyy-mm")),1,0)</f>
        <v/>
      </c>
      <c r="H1709">
        <f>IF(OR(H1708=1,G1709=1),1,0)</f>
        <v/>
      </c>
      <c r="I1709">
        <f>IF(H1708=0,1,SUMPRODUCT(J1708:N1708,B1709:F1709)+O1708*(1+0.00023125256064071564))</f>
        <v/>
      </c>
      <c r="J1709">
        <f>IF(G1709=1,0.2*R1709/B1709,J1708)</f>
        <v/>
      </c>
      <c r="K1709">
        <f>IF(G1709=1,0.2*R1709/C1709,K1708)</f>
        <v/>
      </c>
      <c r="L1709">
        <f>IF(G1709=1,0.2*R1709/D1709,L1708)</f>
        <v/>
      </c>
      <c r="M1709">
        <f>IF(G1709=1,0.2*R1709/E1709,M1708)</f>
        <v/>
      </c>
      <c r="N1709">
        <f>IF(G1709=1,0.2*R1709/F1709,N1708)</f>
        <v/>
      </c>
      <c r="O1709">
        <f>IF(G1709=1,R1709*(1-1.0),IF(H1708=0,1,O1708*(1+0.00023125256064071564)))</f>
        <v/>
      </c>
      <c r="P1709">
        <f>IF(G1709=1,IF(H1708=0,1,ABS(0.2-J1708*B1709/I1709)+ABS(0.2-K1708*C1709/I1709)+ABS(0.2-L1708*D1709/I1709)+ABS(0.2-M1708*E1709/I1709)+ABS(0.2-N1708*F1709/I1709)),0)</f>
        <v/>
      </c>
      <c r="Q1709">
        <f>P1709*0.0015</f>
        <v/>
      </c>
      <c r="R1709">
        <f>I1709*(1-Q1709)</f>
        <v/>
      </c>
      <c r="S1709">
        <f>R1709/R1708-1</f>
        <v/>
      </c>
      <c r="T1709">
        <f>MAX(T1708,R1709)</f>
        <v/>
      </c>
      <c r="U1709">
        <f>R1709/T1709-1</f>
        <v/>
      </c>
      <c r="V1709" t="n">
        <v>3.226789232574872</v>
      </c>
      <c r="W1709" s="5">
        <f>R1709-V1709</f>
        <v/>
      </c>
    </row>
    <row r="1710">
      <c r="A1710" s="3" t="n">
        <v>40953</v>
      </c>
      <c r="B1710">
        <f>Prices!B1710</f>
        <v/>
      </c>
      <c r="C1710">
        <f>Prices!C1710</f>
        <v/>
      </c>
      <c r="D1710">
        <f>Prices!D1710</f>
        <v/>
      </c>
      <c r="E1710">
        <f>Prices!E1710</f>
        <v/>
      </c>
      <c r="F1710">
        <f>Prices!F1710</f>
        <v/>
      </c>
      <c r="G1710">
        <f>IF(AND(1708&gt;=16,TEXT(A1710,"yyyy-mm")&lt;&gt;TEXT(A1711,"yyyy-mm")),1,0)</f>
        <v/>
      </c>
      <c r="H1710">
        <f>IF(OR(H1709=1,G1710=1),1,0)</f>
        <v/>
      </c>
      <c r="I1710">
        <f>IF(H1709=0,1,SUMPRODUCT(J1709:N1709,B1710:F1710)+O1709*(1+0.00023125256064071564))</f>
        <v/>
      </c>
      <c r="J1710">
        <f>IF(G1710=1,0.2*R1710/B1710,J1709)</f>
        <v/>
      </c>
      <c r="K1710">
        <f>IF(G1710=1,0.2*R1710/C1710,K1709)</f>
        <v/>
      </c>
      <c r="L1710">
        <f>IF(G1710=1,0.2*R1710/D1710,L1709)</f>
        <v/>
      </c>
      <c r="M1710">
        <f>IF(G1710=1,0.2*R1710/E1710,M1709)</f>
        <v/>
      </c>
      <c r="N1710">
        <f>IF(G1710=1,0.2*R1710/F1710,N1709)</f>
        <v/>
      </c>
      <c r="O1710">
        <f>IF(G1710=1,R1710*(1-1.0),IF(H1709=0,1,O1709*(1+0.00023125256064071564)))</f>
        <v/>
      </c>
      <c r="P1710">
        <f>IF(G1710=1,IF(H1709=0,1,ABS(0.2-J1709*B1710/I1710)+ABS(0.2-K1709*C1710/I1710)+ABS(0.2-L1709*D1710/I1710)+ABS(0.2-M1709*E1710/I1710)+ABS(0.2-N1709*F1710/I1710)),0)</f>
        <v/>
      </c>
      <c r="Q1710">
        <f>P1710*0.0015</f>
        <v/>
      </c>
      <c r="R1710">
        <f>I1710*(1-Q1710)</f>
        <v/>
      </c>
      <c r="S1710">
        <f>R1710/R1709-1</f>
        <v/>
      </c>
      <c r="T1710">
        <f>MAX(T1709,R1710)</f>
        <v/>
      </c>
      <c r="U1710">
        <f>R1710/T1710-1</f>
        <v/>
      </c>
      <c r="V1710" t="n">
        <v>3.250122771465307</v>
      </c>
      <c r="W1710" s="5">
        <f>R1710-V1710</f>
        <v/>
      </c>
    </row>
    <row r="1711">
      <c r="A1711" s="3" t="n">
        <v>40954</v>
      </c>
      <c r="B1711">
        <f>Prices!B1711</f>
        <v/>
      </c>
      <c r="C1711">
        <f>Prices!C1711</f>
        <v/>
      </c>
      <c r="D1711">
        <f>Prices!D1711</f>
        <v/>
      </c>
      <c r="E1711">
        <f>Prices!E1711</f>
        <v/>
      </c>
      <c r="F1711">
        <f>Prices!F1711</f>
        <v/>
      </c>
      <c r="G1711">
        <f>IF(AND(1709&gt;=16,TEXT(A1711,"yyyy-mm")&lt;&gt;TEXT(A1712,"yyyy-mm")),1,0)</f>
        <v/>
      </c>
      <c r="H1711">
        <f>IF(OR(H1710=1,G1711=1),1,0)</f>
        <v/>
      </c>
      <c r="I1711">
        <f>IF(H1710=0,1,SUMPRODUCT(J1710:N1710,B1711:F1711)+O1710*(1+0.00023125256064071564))</f>
        <v/>
      </c>
      <c r="J1711">
        <f>IF(G1711=1,0.2*R1711/B1711,J1710)</f>
        <v/>
      </c>
      <c r="K1711">
        <f>IF(G1711=1,0.2*R1711/C1711,K1710)</f>
        <v/>
      </c>
      <c r="L1711">
        <f>IF(G1711=1,0.2*R1711/D1711,L1710)</f>
        <v/>
      </c>
      <c r="M1711">
        <f>IF(G1711=1,0.2*R1711/E1711,M1710)</f>
        <v/>
      </c>
      <c r="N1711">
        <f>IF(G1711=1,0.2*R1711/F1711,N1710)</f>
        <v/>
      </c>
      <c r="O1711">
        <f>IF(G1711=1,R1711*(1-1.0),IF(H1710=0,1,O1710*(1+0.00023125256064071564)))</f>
        <v/>
      </c>
      <c r="P1711">
        <f>IF(G1711=1,IF(H1710=0,1,ABS(0.2-J1710*B1711/I1711)+ABS(0.2-K1710*C1711/I1711)+ABS(0.2-L1710*D1711/I1711)+ABS(0.2-M1710*E1711/I1711)+ABS(0.2-N1710*F1711/I1711)),0)</f>
        <v/>
      </c>
      <c r="Q1711">
        <f>P1711*0.0015</f>
        <v/>
      </c>
      <c r="R1711">
        <f>I1711*(1-Q1711)</f>
        <v/>
      </c>
      <c r="S1711">
        <f>R1711/R1710-1</f>
        <v/>
      </c>
      <c r="T1711">
        <f>MAX(T1710,R1711)</f>
        <v/>
      </c>
      <c r="U1711">
        <f>R1711/T1711-1</f>
        <v/>
      </c>
      <c r="V1711" t="n">
        <v>3.304855043626296</v>
      </c>
      <c r="W1711" s="5">
        <f>R1711-V1711</f>
        <v/>
      </c>
    </row>
    <row r="1712">
      <c r="A1712" s="3" t="n">
        <v>40955</v>
      </c>
      <c r="B1712">
        <f>Prices!B1712</f>
        <v/>
      </c>
      <c r="C1712">
        <f>Prices!C1712</f>
        <v/>
      </c>
      <c r="D1712">
        <f>Prices!D1712</f>
        <v/>
      </c>
      <c r="E1712">
        <f>Prices!E1712</f>
        <v/>
      </c>
      <c r="F1712">
        <f>Prices!F1712</f>
        <v/>
      </c>
      <c r="G1712">
        <f>IF(AND(1710&gt;=16,TEXT(A1712,"yyyy-mm")&lt;&gt;TEXT(A1713,"yyyy-mm")),1,0)</f>
        <v/>
      </c>
      <c r="H1712">
        <f>IF(OR(H1711=1,G1712=1),1,0)</f>
        <v/>
      </c>
      <c r="I1712">
        <f>IF(H1711=0,1,SUMPRODUCT(J1711:N1711,B1712:F1712)+O1711*(1+0.00023125256064071564))</f>
        <v/>
      </c>
      <c r="J1712">
        <f>IF(G1712=1,0.2*R1712/B1712,J1711)</f>
        <v/>
      </c>
      <c r="K1712">
        <f>IF(G1712=1,0.2*R1712/C1712,K1711)</f>
        <v/>
      </c>
      <c r="L1712">
        <f>IF(G1712=1,0.2*R1712/D1712,L1711)</f>
        <v/>
      </c>
      <c r="M1712">
        <f>IF(G1712=1,0.2*R1712/E1712,M1711)</f>
        <v/>
      </c>
      <c r="N1712">
        <f>IF(G1712=1,0.2*R1712/F1712,N1711)</f>
        <v/>
      </c>
      <c r="O1712">
        <f>IF(G1712=1,R1712*(1-1.0),IF(H1711=0,1,O1711*(1+0.00023125256064071564)))</f>
        <v/>
      </c>
      <c r="P1712">
        <f>IF(G1712=1,IF(H1711=0,1,ABS(0.2-J1711*B1712/I1712)+ABS(0.2-K1711*C1712/I1712)+ABS(0.2-L1711*D1712/I1712)+ABS(0.2-M1711*E1712/I1712)+ABS(0.2-N1711*F1712/I1712)),0)</f>
        <v/>
      </c>
      <c r="Q1712">
        <f>P1712*0.0015</f>
        <v/>
      </c>
      <c r="R1712">
        <f>I1712*(1-Q1712)</f>
        <v/>
      </c>
      <c r="S1712">
        <f>R1712/R1711-1</f>
        <v/>
      </c>
      <c r="T1712">
        <f>MAX(T1711,R1712)</f>
        <v/>
      </c>
      <c r="U1712">
        <f>R1712/T1712-1</f>
        <v/>
      </c>
      <c r="V1712" t="n">
        <v>3.314567986338341</v>
      </c>
      <c r="W1712" s="5">
        <f>R1712-V1712</f>
        <v/>
      </c>
    </row>
    <row r="1713">
      <c r="A1713" s="3" t="n">
        <v>40956</v>
      </c>
      <c r="B1713">
        <f>Prices!B1713</f>
        <v/>
      </c>
      <c r="C1713">
        <f>Prices!C1713</f>
        <v/>
      </c>
      <c r="D1713">
        <f>Prices!D1713</f>
        <v/>
      </c>
      <c r="E1713">
        <f>Prices!E1713</f>
        <v/>
      </c>
      <c r="F1713">
        <f>Prices!F1713</f>
        <v/>
      </c>
      <c r="G1713">
        <f>IF(AND(1711&gt;=16,TEXT(A1713,"yyyy-mm")&lt;&gt;TEXT(A1714,"yyyy-mm")),1,0)</f>
        <v/>
      </c>
      <c r="H1713">
        <f>IF(OR(H1712=1,G1713=1),1,0)</f>
        <v/>
      </c>
      <c r="I1713">
        <f>IF(H1712=0,1,SUMPRODUCT(J1712:N1712,B1713:F1713)+O1712*(1+0.00023125256064071564))</f>
        <v/>
      </c>
      <c r="J1713">
        <f>IF(G1713=1,0.2*R1713/B1713,J1712)</f>
        <v/>
      </c>
      <c r="K1713">
        <f>IF(G1713=1,0.2*R1713/C1713,K1712)</f>
        <v/>
      </c>
      <c r="L1713">
        <f>IF(G1713=1,0.2*R1713/D1713,L1712)</f>
        <v/>
      </c>
      <c r="M1713">
        <f>IF(G1713=1,0.2*R1713/E1713,M1712)</f>
        <v/>
      </c>
      <c r="N1713">
        <f>IF(G1713=1,0.2*R1713/F1713,N1712)</f>
        <v/>
      </c>
      <c r="O1713">
        <f>IF(G1713=1,R1713*(1-1.0),IF(H1712=0,1,O1712*(1+0.00023125256064071564)))</f>
        <v/>
      </c>
      <c r="P1713">
        <f>IF(G1713=1,IF(H1712=0,1,ABS(0.2-J1712*B1713/I1713)+ABS(0.2-K1712*C1713/I1713)+ABS(0.2-L1712*D1713/I1713)+ABS(0.2-M1712*E1713/I1713)+ABS(0.2-N1712*F1713/I1713)),0)</f>
        <v/>
      </c>
      <c r="Q1713">
        <f>P1713*0.0015</f>
        <v/>
      </c>
      <c r="R1713">
        <f>I1713*(1-Q1713)</f>
        <v/>
      </c>
      <c r="S1713">
        <f>R1713/R1712-1</f>
        <v/>
      </c>
      <c r="T1713">
        <f>MAX(T1712,R1713)</f>
        <v/>
      </c>
      <c r="U1713">
        <f>R1713/T1713-1</f>
        <v/>
      </c>
      <c r="V1713" t="n">
        <v>3.32761559664764</v>
      </c>
      <c r="W1713" s="5">
        <f>R1713-V1713</f>
        <v/>
      </c>
    </row>
    <row r="1714">
      <c r="A1714" s="3" t="n">
        <v>40960</v>
      </c>
      <c r="B1714">
        <f>Prices!B1714</f>
        <v/>
      </c>
      <c r="C1714">
        <f>Prices!C1714</f>
        <v/>
      </c>
      <c r="D1714">
        <f>Prices!D1714</f>
        <v/>
      </c>
      <c r="E1714">
        <f>Prices!E1714</f>
        <v/>
      </c>
      <c r="F1714">
        <f>Prices!F1714</f>
        <v/>
      </c>
      <c r="G1714">
        <f>IF(AND(1712&gt;=16,TEXT(A1714,"yyyy-mm")&lt;&gt;TEXT(A1715,"yyyy-mm")),1,0)</f>
        <v/>
      </c>
      <c r="H1714">
        <f>IF(OR(H1713=1,G1714=1),1,0)</f>
        <v/>
      </c>
      <c r="I1714">
        <f>IF(H1713=0,1,SUMPRODUCT(J1713:N1713,B1714:F1714)+O1713*(1+0.00023125256064071564))</f>
        <v/>
      </c>
      <c r="J1714">
        <f>IF(G1714=1,0.2*R1714/B1714,J1713)</f>
        <v/>
      </c>
      <c r="K1714">
        <f>IF(G1714=1,0.2*R1714/C1714,K1713)</f>
        <v/>
      </c>
      <c r="L1714">
        <f>IF(G1714=1,0.2*R1714/D1714,L1713)</f>
        <v/>
      </c>
      <c r="M1714">
        <f>IF(G1714=1,0.2*R1714/E1714,M1713)</f>
        <v/>
      </c>
      <c r="N1714">
        <f>IF(G1714=1,0.2*R1714/F1714,N1713)</f>
        <v/>
      </c>
      <c r="O1714">
        <f>IF(G1714=1,R1714*(1-1.0),IF(H1713=0,1,O1713*(1+0.00023125256064071564)))</f>
        <v/>
      </c>
      <c r="P1714">
        <f>IF(G1714=1,IF(H1713=0,1,ABS(0.2-J1713*B1714/I1714)+ABS(0.2-K1713*C1714/I1714)+ABS(0.2-L1713*D1714/I1714)+ABS(0.2-M1713*E1714/I1714)+ABS(0.2-N1713*F1714/I1714)),0)</f>
        <v/>
      </c>
      <c r="Q1714">
        <f>P1714*0.0015</f>
        <v/>
      </c>
      <c r="R1714">
        <f>I1714*(1-Q1714)</f>
        <v/>
      </c>
      <c r="S1714">
        <f>R1714/R1713-1</f>
        <v/>
      </c>
      <c r="T1714">
        <f>MAX(T1713,R1714)</f>
        <v/>
      </c>
      <c r="U1714">
        <f>R1714/T1714-1</f>
        <v/>
      </c>
      <c r="V1714" t="n">
        <v>3.348476587208701</v>
      </c>
      <c r="W1714" s="5">
        <f>R1714-V1714</f>
        <v/>
      </c>
    </row>
    <row r="1715">
      <c r="A1715" s="3" t="n">
        <v>40961</v>
      </c>
      <c r="B1715">
        <f>Prices!B1715</f>
        <v/>
      </c>
      <c r="C1715">
        <f>Prices!C1715</f>
        <v/>
      </c>
      <c r="D1715">
        <f>Prices!D1715</f>
        <v/>
      </c>
      <c r="E1715">
        <f>Prices!E1715</f>
        <v/>
      </c>
      <c r="F1715">
        <f>Prices!F1715</f>
        <v/>
      </c>
      <c r="G1715">
        <f>IF(AND(1713&gt;=16,TEXT(A1715,"yyyy-mm")&lt;&gt;TEXT(A1716,"yyyy-mm")),1,0)</f>
        <v/>
      </c>
      <c r="H1715">
        <f>IF(OR(H1714=1,G1715=1),1,0)</f>
        <v/>
      </c>
      <c r="I1715">
        <f>IF(H1714=0,1,SUMPRODUCT(J1714:N1714,B1715:F1715)+O1714*(1+0.00023125256064071564))</f>
        <v/>
      </c>
      <c r="J1715">
        <f>IF(G1715=1,0.2*R1715/B1715,J1714)</f>
        <v/>
      </c>
      <c r="K1715">
        <f>IF(G1715=1,0.2*R1715/C1715,K1714)</f>
        <v/>
      </c>
      <c r="L1715">
        <f>IF(G1715=1,0.2*R1715/D1715,L1714)</f>
        <v/>
      </c>
      <c r="M1715">
        <f>IF(G1715=1,0.2*R1715/E1715,M1714)</f>
        <v/>
      </c>
      <c r="N1715">
        <f>IF(G1715=1,0.2*R1715/F1715,N1714)</f>
        <v/>
      </c>
      <c r="O1715">
        <f>IF(G1715=1,R1715*(1-1.0),IF(H1714=0,1,O1714*(1+0.00023125256064071564)))</f>
        <v/>
      </c>
      <c r="P1715">
        <f>IF(G1715=1,IF(H1714=0,1,ABS(0.2-J1714*B1715/I1715)+ABS(0.2-K1714*C1715/I1715)+ABS(0.2-L1714*D1715/I1715)+ABS(0.2-M1714*E1715/I1715)+ABS(0.2-N1714*F1715/I1715)),0)</f>
        <v/>
      </c>
      <c r="Q1715">
        <f>P1715*0.0015</f>
        <v/>
      </c>
      <c r="R1715">
        <f>I1715*(1-Q1715)</f>
        <v/>
      </c>
      <c r="S1715">
        <f>R1715/R1714-1</f>
        <v/>
      </c>
      <c r="T1715">
        <f>MAX(T1714,R1715)</f>
        <v/>
      </c>
      <c r="U1715">
        <f>R1715/T1715-1</f>
        <v/>
      </c>
      <c r="V1715" t="n">
        <v>3.266252809229251</v>
      </c>
      <c r="W1715" s="5">
        <f>R1715-V1715</f>
        <v/>
      </c>
    </row>
    <row r="1716">
      <c r="A1716" s="3" t="n">
        <v>40962</v>
      </c>
      <c r="B1716">
        <f>Prices!B1716</f>
        <v/>
      </c>
      <c r="C1716">
        <f>Prices!C1716</f>
        <v/>
      </c>
      <c r="D1716">
        <f>Prices!D1716</f>
        <v/>
      </c>
      <c r="E1716">
        <f>Prices!E1716</f>
        <v/>
      </c>
      <c r="F1716">
        <f>Prices!F1716</f>
        <v/>
      </c>
      <c r="G1716">
        <f>IF(AND(1714&gt;=16,TEXT(A1716,"yyyy-mm")&lt;&gt;TEXT(A1717,"yyyy-mm")),1,0)</f>
        <v/>
      </c>
      <c r="H1716">
        <f>IF(OR(H1715=1,G1716=1),1,0)</f>
        <v/>
      </c>
      <c r="I1716">
        <f>IF(H1715=0,1,SUMPRODUCT(J1715:N1715,B1716:F1716)+O1715*(1+0.00023125256064071564))</f>
        <v/>
      </c>
      <c r="J1716">
        <f>IF(G1716=1,0.2*R1716/B1716,J1715)</f>
        <v/>
      </c>
      <c r="K1716">
        <f>IF(G1716=1,0.2*R1716/C1716,K1715)</f>
        <v/>
      </c>
      <c r="L1716">
        <f>IF(G1716=1,0.2*R1716/D1716,L1715)</f>
        <v/>
      </c>
      <c r="M1716">
        <f>IF(G1716=1,0.2*R1716/E1716,M1715)</f>
        <v/>
      </c>
      <c r="N1716">
        <f>IF(G1716=1,0.2*R1716/F1716,N1715)</f>
        <v/>
      </c>
      <c r="O1716">
        <f>IF(G1716=1,R1716*(1-1.0),IF(H1715=0,1,O1715*(1+0.00023125256064071564)))</f>
        <v/>
      </c>
      <c r="P1716">
        <f>IF(G1716=1,IF(H1715=0,1,ABS(0.2-J1715*B1716/I1716)+ABS(0.2-K1715*C1716/I1716)+ABS(0.2-L1715*D1716/I1716)+ABS(0.2-M1715*E1716/I1716)+ABS(0.2-N1715*F1716/I1716)),0)</f>
        <v/>
      </c>
      <c r="Q1716">
        <f>P1716*0.0015</f>
        <v/>
      </c>
      <c r="R1716">
        <f>I1716*(1-Q1716)</f>
        <v/>
      </c>
      <c r="S1716">
        <f>R1716/R1715-1</f>
        <v/>
      </c>
      <c r="T1716">
        <f>MAX(T1715,R1716)</f>
        <v/>
      </c>
      <c r="U1716">
        <f>R1716/T1716-1</f>
        <v/>
      </c>
      <c r="V1716" t="n">
        <v>3.258069737477238</v>
      </c>
      <c r="W1716" s="5">
        <f>R1716-V1716</f>
        <v/>
      </c>
    </row>
    <row r="1717">
      <c r="A1717" s="3" t="n">
        <v>40963</v>
      </c>
      <c r="B1717">
        <f>Prices!B1717</f>
        <v/>
      </c>
      <c r="C1717">
        <f>Prices!C1717</f>
        <v/>
      </c>
      <c r="D1717">
        <f>Prices!D1717</f>
        <v/>
      </c>
      <c r="E1717">
        <f>Prices!E1717</f>
        <v/>
      </c>
      <c r="F1717">
        <f>Prices!F1717</f>
        <v/>
      </c>
      <c r="G1717">
        <f>IF(AND(1715&gt;=16,TEXT(A1717,"yyyy-mm")&lt;&gt;TEXT(A1718,"yyyy-mm")),1,0)</f>
        <v/>
      </c>
      <c r="H1717">
        <f>IF(OR(H1716=1,G1717=1),1,0)</f>
        <v/>
      </c>
      <c r="I1717">
        <f>IF(H1716=0,1,SUMPRODUCT(J1716:N1716,B1717:F1717)+O1716*(1+0.00023125256064071564))</f>
        <v/>
      </c>
      <c r="J1717">
        <f>IF(G1717=1,0.2*R1717/B1717,J1716)</f>
        <v/>
      </c>
      <c r="K1717">
        <f>IF(G1717=1,0.2*R1717/C1717,K1716)</f>
        <v/>
      </c>
      <c r="L1717">
        <f>IF(G1717=1,0.2*R1717/D1717,L1716)</f>
        <v/>
      </c>
      <c r="M1717">
        <f>IF(G1717=1,0.2*R1717/E1717,M1716)</f>
        <v/>
      </c>
      <c r="N1717">
        <f>IF(G1717=1,0.2*R1717/F1717,N1716)</f>
        <v/>
      </c>
      <c r="O1717">
        <f>IF(G1717=1,R1717*(1-1.0),IF(H1716=0,1,O1716*(1+0.00023125256064071564)))</f>
        <v/>
      </c>
      <c r="P1717">
        <f>IF(G1717=1,IF(H1716=0,1,ABS(0.2-J1716*B1717/I1717)+ABS(0.2-K1716*C1717/I1717)+ABS(0.2-L1716*D1717/I1717)+ABS(0.2-M1716*E1717/I1717)+ABS(0.2-N1716*F1717/I1717)),0)</f>
        <v/>
      </c>
      <c r="Q1717">
        <f>P1717*0.0015</f>
        <v/>
      </c>
      <c r="R1717">
        <f>I1717*(1-Q1717)</f>
        <v/>
      </c>
      <c r="S1717">
        <f>R1717/R1716-1</f>
        <v/>
      </c>
      <c r="T1717">
        <f>MAX(T1716,R1717)</f>
        <v/>
      </c>
      <c r="U1717">
        <f>R1717/T1717-1</f>
        <v/>
      </c>
      <c r="V1717" t="n">
        <v>3.240147042507431</v>
      </c>
      <c r="W1717" s="5">
        <f>R1717-V1717</f>
        <v/>
      </c>
    </row>
    <row r="1718">
      <c r="A1718" s="3" t="n">
        <v>40966</v>
      </c>
      <c r="B1718">
        <f>Prices!B1718</f>
        <v/>
      </c>
      <c r="C1718">
        <f>Prices!C1718</f>
        <v/>
      </c>
      <c r="D1718">
        <f>Prices!D1718</f>
        <v/>
      </c>
      <c r="E1718">
        <f>Prices!E1718</f>
        <v/>
      </c>
      <c r="F1718">
        <f>Prices!F1718</f>
        <v/>
      </c>
      <c r="G1718">
        <f>IF(AND(1716&gt;=16,TEXT(A1718,"yyyy-mm")&lt;&gt;TEXT(A1719,"yyyy-mm")),1,0)</f>
        <v/>
      </c>
      <c r="H1718">
        <f>IF(OR(H1717=1,G1718=1),1,0)</f>
        <v/>
      </c>
      <c r="I1718">
        <f>IF(H1717=0,1,SUMPRODUCT(J1717:N1717,B1718:F1718)+O1717*(1+0.00023125256064071564))</f>
        <v/>
      </c>
      <c r="J1718">
        <f>IF(G1718=1,0.2*R1718/B1718,J1717)</f>
        <v/>
      </c>
      <c r="K1718">
        <f>IF(G1718=1,0.2*R1718/C1718,K1717)</f>
        <v/>
      </c>
      <c r="L1718">
        <f>IF(G1718=1,0.2*R1718/D1718,L1717)</f>
        <v/>
      </c>
      <c r="M1718">
        <f>IF(G1718=1,0.2*R1718/E1718,M1717)</f>
        <v/>
      </c>
      <c r="N1718">
        <f>IF(G1718=1,0.2*R1718/F1718,N1717)</f>
        <v/>
      </c>
      <c r="O1718">
        <f>IF(G1718=1,R1718*(1-1.0),IF(H1717=0,1,O1717*(1+0.00023125256064071564)))</f>
        <v/>
      </c>
      <c r="P1718">
        <f>IF(G1718=1,IF(H1717=0,1,ABS(0.2-J1717*B1718/I1718)+ABS(0.2-K1717*C1718/I1718)+ABS(0.2-L1717*D1718/I1718)+ABS(0.2-M1717*E1718/I1718)+ABS(0.2-N1717*F1718/I1718)),0)</f>
        <v/>
      </c>
      <c r="Q1718">
        <f>P1718*0.0015</f>
        <v/>
      </c>
      <c r="R1718">
        <f>I1718*(1-Q1718)</f>
        <v/>
      </c>
      <c r="S1718">
        <f>R1718/R1717-1</f>
        <v/>
      </c>
      <c r="T1718">
        <f>MAX(T1717,R1718)</f>
        <v/>
      </c>
      <c r="U1718">
        <f>R1718/T1718-1</f>
        <v/>
      </c>
      <c r="V1718" t="n">
        <v>3.166221306487914</v>
      </c>
      <c r="W1718" s="5">
        <f>R1718-V1718</f>
        <v/>
      </c>
    </row>
    <row r="1719">
      <c r="A1719" s="3" t="n">
        <v>40967</v>
      </c>
      <c r="B1719">
        <f>Prices!B1719</f>
        <v/>
      </c>
      <c r="C1719">
        <f>Prices!C1719</f>
        <v/>
      </c>
      <c r="D1719">
        <f>Prices!D1719</f>
        <v/>
      </c>
      <c r="E1719">
        <f>Prices!E1719</f>
        <v/>
      </c>
      <c r="F1719">
        <f>Prices!F1719</f>
        <v/>
      </c>
      <c r="G1719">
        <f>IF(AND(1717&gt;=16,TEXT(A1719,"yyyy-mm")&lt;&gt;TEXT(A1720,"yyyy-mm")),1,0)</f>
        <v/>
      </c>
      <c r="H1719">
        <f>IF(OR(H1718=1,G1719=1),1,0)</f>
        <v/>
      </c>
      <c r="I1719">
        <f>IF(H1718=0,1,SUMPRODUCT(J1718:N1718,B1719:F1719)+O1718*(1+0.00023125256064071564))</f>
        <v/>
      </c>
      <c r="J1719">
        <f>IF(G1719=1,0.2*R1719/B1719,J1718)</f>
        <v/>
      </c>
      <c r="K1719">
        <f>IF(G1719=1,0.2*R1719/C1719,K1718)</f>
        <v/>
      </c>
      <c r="L1719">
        <f>IF(G1719=1,0.2*R1719/D1719,L1718)</f>
        <v/>
      </c>
      <c r="M1719">
        <f>IF(G1719=1,0.2*R1719/E1719,M1718)</f>
        <v/>
      </c>
      <c r="N1719">
        <f>IF(G1719=1,0.2*R1719/F1719,N1718)</f>
        <v/>
      </c>
      <c r="O1719">
        <f>IF(G1719=1,R1719*(1-1.0),IF(H1718=0,1,O1718*(1+0.00023125256064071564)))</f>
        <v/>
      </c>
      <c r="P1719">
        <f>IF(G1719=1,IF(H1718=0,1,ABS(0.2-J1718*B1719/I1719)+ABS(0.2-K1718*C1719/I1719)+ABS(0.2-L1718*D1719/I1719)+ABS(0.2-M1718*E1719/I1719)+ABS(0.2-N1718*F1719/I1719)),0)</f>
        <v/>
      </c>
      <c r="Q1719">
        <f>P1719*0.0015</f>
        <v/>
      </c>
      <c r="R1719">
        <f>I1719*(1-Q1719)</f>
        <v/>
      </c>
      <c r="S1719">
        <f>R1719/R1718-1</f>
        <v/>
      </c>
      <c r="T1719">
        <f>MAX(T1718,R1719)</f>
        <v/>
      </c>
      <c r="U1719">
        <f>R1719/T1719-1</f>
        <v/>
      </c>
      <c r="V1719" t="n">
        <v>3.24868175630011</v>
      </c>
      <c r="W1719" s="5">
        <f>R1719-V1719</f>
        <v/>
      </c>
    </row>
    <row r="1720">
      <c r="A1720" s="3" t="n">
        <v>40968</v>
      </c>
      <c r="B1720">
        <f>Prices!B1720</f>
        <v/>
      </c>
      <c r="C1720">
        <f>Prices!C1720</f>
        <v/>
      </c>
      <c r="D1720">
        <f>Prices!D1720</f>
        <v/>
      </c>
      <c r="E1720">
        <f>Prices!E1720</f>
        <v/>
      </c>
      <c r="F1720">
        <f>Prices!F1720</f>
        <v/>
      </c>
      <c r="G1720">
        <f>IF(AND(1718&gt;=16,TEXT(A1720,"yyyy-mm")&lt;&gt;TEXT(A1721,"yyyy-mm")),1,0)</f>
        <v/>
      </c>
      <c r="H1720">
        <f>IF(OR(H1719=1,G1720=1),1,0)</f>
        <v/>
      </c>
      <c r="I1720">
        <f>IF(H1719=0,1,SUMPRODUCT(J1719:N1719,B1720:F1720)+O1719*(1+0.00023125256064071564))</f>
        <v/>
      </c>
      <c r="J1720">
        <f>IF(G1720=1,0.2*R1720/B1720,J1719)</f>
        <v/>
      </c>
      <c r="K1720">
        <f>IF(G1720=1,0.2*R1720/C1720,K1719)</f>
        <v/>
      </c>
      <c r="L1720">
        <f>IF(G1720=1,0.2*R1720/D1720,L1719)</f>
        <v/>
      </c>
      <c r="M1720">
        <f>IF(G1720=1,0.2*R1720/E1720,M1719)</f>
        <v/>
      </c>
      <c r="N1720">
        <f>IF(G1720=1,0.2*R1720/F1720,N1719)</f>
        <v/>
      </c>
      <c r="O1720">
        <f>IF(G1720=1,R1720*(1-1.0),IF(H1719=0,1,O1719*(1+0.00023125256064071564)))</f>
        <v/>
      </c>
      <c r="P1720">
        <f>IF(G1720=1,IF(H1719=0,1,ABS(0.2-J1719*B1720/I1720)+ABS(0.2-K1719*C1720/I1720)+ABS(0.2-L1719*D1720/I1720)+ABS(0.2-M1719*E1720/I1720)+ABS(0.2-N1719*F1720/I1720)),0)</f>
        <v/>
      </c>
      <c r="Q1720">
        <f>P1720*0.0015</f>
        <v/>
      </c>
      <c r="R1720">
        <f>I1720*(1-Q1720)</f>
        <v/>
      </c>
      <c r="S1720">
        <f>R1720/R1719-1</f>
        <v/>
      </c>
      <c r="T1720">
        <f>MAX(T1719,R1720)</f>
        <v/>
      </c>
      <c r="U1720">
        <f>R1720/T1720-1</f>
        <v/>
      </c>
      <c r="V1720" t="n">
        <v>3.271243113960701</v>
      </c>
      <c r="W1720" s="5">
        <f>R1720-V1720</f>
        <v/>
      </c>
    </row>
    <row r="1721">
      <c r="A1721" s="3" t="n">
        <v>40969</v>
      </c>
      <c r="B1721">
        <f>Prices!B1721</f>
        <v/>
      </c>
      <c r="C1721">
        <f>Prices!C1721</f>
        <v/>
      </c>
      <c r="D1721">
        <f>Prices!D1721</f>
        <v/>
      </c>
      <c r="E1721">
        <f>Prices!E1721</f>
        <v/>
      </c>
      <c r="F1721">
        <f>Prices!F1721</f>
        <v/>
      </c>
      <c r="G1721">
        <f>IF(AND(1719&gt;=16,TEXT(A1721,"yyyy-mm")&lt;&gt;TEXT(A1722,"yyyy-mm")),1,0)</f>
        <v/>
      </c>
      <c r="H1721">
        <f>IF(OR(H1720=1,G1721=1),1,0)</f>
        <v/>
      </c>
      <c r="I1721">
        <f>IF(H1720=0,1,SUMPRODUCT(J1720:N1720,B1721:F1721)+O1720*(1+0.00023125256064071564))</f>
        <v/>
      </c>
      <c r="J1721">
        <f>IF(G1721=1,0.2*R1721/B1721,J1720)</f>
        <v/>
      </c>
      <c r="K1721">
        <f>IF(G1721=1,0.2*R1721/C1721,K1720)</f>
        <v/>
      </c>
      <c r="L1721">
        <f>IF(G1721=1,0.2*R1721/D1721,L1720)</f>
        <v/>
      </c>
      <c r="M1721">
        <f>IF(G1721=1,0.2*R1721/E1721,M1720)</f>
        <v/>
      </c>
      <c r="N1721">
        <f>IF(G1721=1,0.2*R1721/F1721,N1720)</f>
        <v/>
      </c>
      <c r="O1721">
        <f>IF(G1721=1,R1721*(1-1.0),IF(H1720=0,1,O1720*(1+0.00023125256064071564)))</f>
        <v/>
      </c>
      <c r="P1721">
        <f>IF(G1721=1,IF(H1720=0,1,ABS(0.2-J1720*B1721/I1721)+ABS(0.2-K1720*C1721/I1721)+ABS(0.2-L1720*D1721/I1721)+ABS(0.2-M1720*E1721/I1721)+ABS(0.2-N1720*F1721/I1721)),0)</f>
        <v/>
      </c>
      <c r="Q1721">
        <f>P1721*0.0015</f>
        <v/>
      </c>
      <c r="R1721">
        <f>I1721*(1-Q1721)</f>
        <v/>
      </c>
      <c r="S1721">
        <f>R1721/R1720-1</f>
        <v/>
      </c>
      <c r="T1721">
        <f>MAX(T1720,R1721)</f>
        <v/>
      </c>
      <c r="U1721">
        <f>R1721/T1721-1</f>
        <v/>
      </c>
      <c r="V1721" t="n">
        <v>3.25152758646929</v>
      </c>
      <c r="W1721" s="5">
        <f>R1721-V1721</f>
        <v/>
      </c>
    </row>
    <row r="1722">
      <c r="A1722" s="3" t="n">
        <v>40970</v>
      </c>
      <c r="B1722">
        <f>Prices!B1722</f>
        <v/>
      </c>
      <c r="C1722">
        <f>Prices!C1722</f>
        <v/>
      </c>
      <c r="D1722">
        <f>Prices!D1722</f>
        <v/>
      </c>
      <c r="E1722">
        <f>Prices!E1722</f>
        <v/>
      </c>
      <c r="F1722">
        <f>Prices!F1722</f>
        <v/>
      </c>
      <c r="G1722">
        <f>IF(AND(1720&gt;=16,TEXT(A1722,"yyyy-mm")&lt;&gt;TEXT(A1723,"yyyy-mm")),1,0)</f>
        <v/>
      </c>
      <c r="H1722">
        <f>IF(OR(H1721=1,G1722=1),1,0)</f>
        <v/>
      </c>
      <c r="I1722">
        <f>IF(H1721=0,1,SUMPRODUCT(J1721:N1721,B1722:F1722)+O1721*(1+0.00023125256064071564))</f>
        <v/>
      </c>
      <c r="J1722">
        <f>IF(G1722=1,0.2*R1722/B1722,J1721)</f>
        <v/>
      </c>
      <c r="K1722">
        <f>IF(G1722=1,0.2*R1722/C1722,K1721)</f>
        <v/>
      </c>
      <c r="L1722">
        <f>IF(G1722=1,0.2*R1722/D1722,L1721)</f>
        <v/>
      </c>
      <c r="M1722">
        <f>IF(G1722=1,0.2*R1722/E1722,M1721)</f>
        <v/>
      </c>
      <c r="N1722">
        <f>IF(G1722=1,0.2*R1722/F1722,N1721)</f>
        <v/>
      </c>
      <c r="O1722">
        <f>IF(G1722=1,R1722*(1-1.0),IF(H1721=0,1,O1721*(1+0.00023125256064071564)))</f>
        <v/>
      </c>
      <c r="P1722">
        <f>IF(G1722=1,IF(H1721=0,1,ABS(0.2-J1721*B1722/I1722)+ABS(0.2-K1721*C1722/I1722)+ABS(0.2-L1721*D1722/I1722)+ABS(0.2-M1721*E1722/I1722)+ABS(0.2-N1721*F1722/I1722)),0)</f>
        <v/>
      </c>
      <c r="Q1722">
        <f>P1722*0.0015</f>
        <v/>
      </c>
      <c r="R1722">
        <f>I1722*(1-Q1722)</f>
        <v/>
      </c>
      <c r="S1722">
        <f>R1722/R1721-1</f>
        <v/>
      </c>
      <c r="T1722">
        <f>MAX(T1721,R1722)</f>
        <v/>
      </c>
      <c r="U1722">
        <f>R1722/T1722-1</f>
        <v/>
      </c>
      <c r="V1722" t="n">
        <v>3.250829106235139</v>
      </c>
      <c r="W1722" s="5">
        <f>R1722-V1722</f>
        <v/>
      </c>
    </row>
    <row r="1723">
      <c r="A1723" s="3" t="n">
        <v>40971</v>
      </c>
      <c r="B1723">
        <f>Prices!B1723</f>
        <v/>
      </c>
      <c r="C1723">
        <f>Prices!C1723</f>
        <v/>
      </c>
      <c r="D1723">
        <f>Prices!D1723</f>
        <v/>
      </c>
      <c r="E1723">
        <f>Prices!E1723</f>
        <v/>
      </c>
      <c r="F1723">
        <f>Prices!F1723</f>
        <v/>
      </c>
      <c r="G1723">
        <f>IF(AND(1721&gt;=16,TEXT(A1723,"yyyy-mm")&lt;&gt;TEXT(A1724,"yyyy-mm")),1,0)</f>
        <v/>
      </c>
      <c r="H1723">
        <f>IF(OR(H1722=1,G1723=1),1,0)</f>
        <v/>
      </c>
      <c r="I1723">
        <f>IF(H1722=0,1,SUMPRODUCT(J1722:N1722,B1723:F1723)+O1722*(1+0.00023125256064071564))</f>
        <v/>
      </c>
      <c r="J1723">
        <f>IF(G1723=1,0.2*R1723/B1723,J1722)</f>
        <v/>
      </c>
      <c r="K1723">
        <f>IF(G1723=1,0.2*R1723/C1723,K1722)</f>
        <v/>
      </c>
      <c r="L1723">
        <f>IF(G1723=1,0.2*R1723/D1723,L1722)</f>
        <v/>
      </c>
      <c r="M1723">
        <f>IF(G1723=1,0.2*R1723/E1723,M1722)</f>
        <v/>
      </c>
      <c r="N1723">
        <f>IF(G1723=1,0.2*R1723/F1723,N1722)</f>
        <v/>
      </c>
      <c r="O1723">
        <f>IF(G1723=1,R1723*(1-1.0),IF(H1722=0,1,O1722*(1+0.00023125256064071564)))</f>
        <v/>
      </c>
      <c r="P1723">
        <f>IF(G1723=1,IF(H1722=0,1,ABS(0.2-J1722*B1723/I1723)+ABS(0.2-K1722*C1723/I1723)+ABS(0.2-L1722*D1723/I1723)+ABS(0.2-M1722*E1723/I1723)+ABS(0.2-N1722*F1723/I1723)),0)</f>
        <v/>
      </c>
      <c r="Q1723">
        <f>P1723*0.0015</f>
        <v/>
      </c>
      <c r="R1723">
        <f>I1723*(1-Q1723)</f>
        <v/>
      </c>
      <c r="S1723">
        <f>R1723/R1722-1</f>
        <v/>
      </c>
      <c r="T1723">
        <f>MAX(T1722,R1723)</f>
        <v/>
      </c>
      <c r="U1723">
        <f>R1723/T1723-1</f>
        <v/>
      </c>
      <c r="V1723" t="n">
        <v>3.252229435926092</v>
      </c>
      <c r="W1723" s="5">
        <f>R1723-V1723</f>
        <v/>
      </c>
    </row>
    <row r="1724">
      <c r="A1724" s="3" t="n">
        <v>40973</v>
      </c>
      <c r="B1724">
        <f>Prices!B1724</f>
        <v/>
      </c>
      <c r="C1724">
        <f>Prices!C1724</f>
        <v/>
      </c>
      <c r="D1724">
        <f>Prices!D1724</f>
        <v/>
      </c>
      <c r="E1724">
        <f>Prices!E1724</f>
        <v/>
      </c>
      <c r="F1724">
        <f>Prices!F1724</f>
        <v/>
      </c>
      <c r="G1724">
        <f>IF(AND(1722&gt;=16,TEXT(A1724,"yyyy-mm")&lt;&gt;TEXT(A1725,"yyyy-mm")),1,0)</f>
        <v/>
      </c>
      <c r="H1724">
        <f>IF(OR(H1723=1,G1724=1),1,0)</f>
        <v/>
      </c>
      <c r="I1724">
        <f>IF(H1723=0,1,SUMPRODUCT(J1723:N1723,B1724:F1724)+O1723*(1+0.00023125256064071564))</f>
        <v/>
      </c>
      <c r="J1724">
        <f>IF(G1724=1,0.2*R1724/B1724,J1723)</f>
        <v/>
      </c>
      <c r="K1724">
        <f>IF(G1724=1,0.2*R1724/C1724,K1723)</f>
        <v/>
      </c>
      <c r="L1724">
        <f>IF(G1724=1,0.2*R1724/D1724,L1723)</f>
        <v/>
      </c>
      <c r="M1724">
        <f>IF(G1724=1,0.2*R1724/E1724,M1723)</f>
        <v/>
      </c>
      <c r="N1724">
        <f>IF(G1724=1,0.2*R1724/F1724,N1723)</f>
        <v/>
      </c>
      <c r="O1724">
        <f>IF(G1724=1,R1724*(1-1.0),IF(H1723=0,1,O1723*(1+0.00023125256064071564)))</f>
        <v/>
      </c>
      <c r="P1724">
        <f>IF(G1724=1,IF(H1723=0,1,ABS(0.2-J1723*B1724/I1724)+ABS(0.2-K1723*C1724/I1724)+ABS(0.2-L1723*D1724/I1724)+ABS(0.2-M1723*E1724/I1724)+ABS(0.2-N1723*F1724/I1724)),0)</f>
        <v/>
      </c>
      <c r="Q1724">
        <f>P1724*0.0015</f>
        <v/>
      </c>
      <c r="R1724">
        <f>I1724*(1-Q1724)</f>
        <v/>
      </c>
      <c r="S1724">
        <f>R1724/R1723-1</f>
        <v/>
      </c>
      <c r="T1724">
        <f>MAX(T1723,R1724)</f>
        <v/>
      </c>
      <c r="U1724">
        <f>R1724/T1724-1</f>
        <v/>
      </c>
      <c r="V1724" t="n">
        <v>3.219898965262692</v>
      </c>
      <c r="W1724" s="5">
        <f>R1724-V1724</f>
        <v/>
      </c>
    </row>
    <row r="1725">
      <c r="A1725" s="3" t="n">
        <v>40974</v>
      </c>
      <c r="B1725">
        <f>Prices!B1725</f>
        <v/>
      </c>
      <c r="C1725">
        <f>Prices!C1725</f>
        <v/>
      </c>
      <c r="D1725">
        <f>Prices!D1725</f>
        <v/>
      </c>
      <c r="E1725">
        <f>Prices!E1725</f>
        <v/>
      </c>
      <c r="F1725">
        <f>Prices!F1725</f>
        <v/>
      </c>
      <c r="G1725">
        <f>IF(AND(1723&gt;=16,TEXT(A1725,"yyyy-mm")&lt;&gt;TEXT(A1726,"yyyy-mm")),1,0)</f>
        <v/>
      </c>
      <c r="H1725">
        <f>IF(OR(H1724=1,G1725=1),1,0)</f>
        <v/>
      </c>
      <c r="I1725">
        <f>IF(H1724=0,1,SUMPRODUCT(J1724:N1724,B1725:F1725)+O1724*(1+0.00023125256064071564))</f>
        <v/>
      </c>
      <c r="J1725">
        <f>IF(G1725=1,0.2*R1725/B1725,J1724)</f>
        <v/>
      </c>
      <c r="K1725">
        <f>IF(G1725=1,0.2*R1725/C1725,K1724)</f>
        <v/>
      </c>
      <c r="L1725">
        <f>IF(G1725=1,0.2*R1725/D1725,L1724)</f>
        <v/>
      </c>
      <c r="M1725">
        <f>IF(G1725=1,0.2*R1725/E1725,M1724)</f>
        <v/>
      </c>
      <c r="N1725">
        <f>IF(G1725=1,0.2*R1725/F1725,N1724)</f>
        <v/>
      </c>
      <c r="O1725">
        <f>IF(G1725=1,R1725*(1-1.0),IF(H1724=0,1,O1724*(1+0.00023125256064071564)))</f>
        <v/>
      </c>
      <c r="P1725">
        <f>IF(G1725=1,IF(H1724=0,1,ABS(0.2-J1724*B1725/I1725)+ABS(0.2-K1724*C1725/I1725)+ABS(0.2-L1724*D1725/I1725)+ABS(0.2-M1724*E1725/I1725)+ABS(0.2-N1724*F1725/I1725)),0)</f>
        <v/>
      </c>
      <c r="Q1725">
        <f>P1725*0.0015</f>
        <v/>
      </c>
      <c r="R1725">
        <f>I1725*(1-Q1725)</f>
        <v/>
      </c>
      <c r="S1725">
        <f>R1725/R1724-1</f>
        <v/>
      </c>
      <c r="T1725">
        <f>MAX(T1724,R1725)</f>
        <v/>
      </c>
      <c r="U1725">
        <f>R1725/T1725-1</f>
        <v/>
      </c>
      <c r="V1725" t="n">
        <v>3.191863080874391</v>
      </c>
      <c r="W1725" s="5">
        <f>R1725-V1725</f>
        <v/>
      </c>
    </row>
    <row r="1726">
      <c r="A1726" s="3" t="n">
        <v>40975</v>
      </c>
      <c r="B1726">
        <f>Prices!B1726</f>
        <v/>
      </c>
      <c r="C1726">
        <f>Prices!C1726</f>
        <v/>
      </c>
      <c r="D1726">
        <f>Prices!D1726</f>
        <v/>
      </c>
      <c r="E1726">
        <f>Prices!E1726</f>
        <v/>
      </c>
      <c r="F1726">
        <f>Prices!F1726</f>
        <v/>
      </c>
      <c r="G1726">
        <f>IF(AND(1724&gt;=16,TEXT(A1726,"yyyy-mm")&lt;&gt;TEXT(A1727,"yyyy-mm")),1,0)</f>
        <v/>
      </c>
      <c r="H1726">
        <f>IF(OR(H1725=1,G1726=1),1,0)</f>
        <v/>
      </c>
      <c r="I1726">
        <f>IF(H1725=0,1,SUMPRODUCT(J1725:N1725,B1726:F1726)+O1725*(1+0.00023125256064071564))</f>
        <v/>
      </c>
      <c r="J1726">
        <f>IF(G1726=1,0.2*R1726/B1726,J1725)</f>
        <v/>
      </c>
      <c r="K1726">
        <f>IF(G1726=1,0.2*R1726/C1726,K1725)</f>
        <v/>
      </c>
      <c r="L1726">
        <f>IF(G1726=1,0.2*R1726/D1726,L1725)</f>
        <v/>
      </c>
      <c r="M1726">
        <f>IF(G1726=1,0.2*R1726/E1726,M1725)</f>
        <v/>
      </c>
      <c r="N1726">
        <f>IF(G1726=1,0.2*R1726/F1726,N1725)</f>
        <v/>
      </c>
      <c r="O1726">
        <f>IF(G1726=1,R1726*(1-1.0),IF(H1725=0,1,O1725*(1+0.00023125256064071564)))</f>
        <v/>
      </c>
      <c r="P1726">
        <f>IF(G1726=1,IF(H1725=0,1,ABS(0.2-J1725*B1726/I1726)+ABS(0.2-K1725*C1726/I1726)+ABS(0.2-L1725*D1726/I1726)+ABS(0.2-M1725*E1726/I1726)+ABS(0.2-N1725*F1726/I1726)),0)</f>
        <v/>
      </c>
      <c r="Q1726">
        <f>P1726*0.0015</f>
        <v/>
      </c>
      <c r="R1726">
        <f>I1726*(1-Q1726)</f>
        <v/>
      </c>
      <c r="S1726">
        <f>R1726/R1725-1</f>
        <v/>
      </c>
      <c r="T1726">
        <f>MAX(T1725,R1726)</f>
        <v/>
      </c>
      <c r="U1726">
        <f>R1726/T1726-1</f>
        <v/>
      </c>
      <c r="V1726" t="n">
        <v>3.194667464746337</v>
      </c>
      <c r="W1726" s="5">
        <f>R1726-V1726</f>
        <v/>
      </c>
    </row>
    <row r="1727">
      <c r="A1727" s="3" t="n">
        <v>40977</v>
      </c>
      <c r="B1727">
        <f>Prices!B1727</f>
        <v/>
      </c>
      <c r="C1727">
        <f>Prices!C1727</f>
        <v/>
      </c>
      <c r="D1727">
        <f>Prices!D1727</f>
        <v/>
      </c>
      <c r="E1727">
        <f>Prices!E1727</f>
        <v/>
      </c>
      <c r="F1727">
        <f>Prices!F1727</f>
        <v/>
      </c>
      <c r="G1727">
        <f>IF(AND(1725&gt;=16,TEXT(A1727,"yyyy-mm")&lt;&gt;TEXT(A1728,"yyyy-mm")),1,0)</f>
        <v/>
      </c>
      <c r="H1727">
        <f>IF(OR(H1726=1,G1727=1),1,0)</f>
        <v/>
      </c>
      <c r="I1727">
        <f>IF(H1726=0,1,SUMPRODUCT(J1726:N1726,B1727:F1727)+O1726*(1+0.00023125256064071564))</f>
        <v/>
      </c>
      <c r="J1727">
        <f>IF(G1727=1,0.2*R1727/B1727,J1726)</f>
        <v/>
      </c>
      <c r="K1727">
        <f>IF(G1727=1,0.2*R1727/C1727,K1726)</f>
        <v/>
      </c>
      <c r="L1727">
        <f>IF(G1727=1,0.2*R1727/D1727,L1726)</f>
        <v/>
      </c>
      <c r="M1727">
        <f>IF(G1727=1,0.2*R1727/E1727,M1726)</f>
        <v/>
      </c>
      <c r="N1727">
        <f>IF(G1727=1,0.2*R1727/F1727,N1726)</f>
        <v/>
      </c>
      <c r="O1727">
        <f>IF(G1727=1,R1727*(1-1.0),IF(H1726=0,1,O1726*(1+0.00023125256064071564)))</f>
        <v/>
      </c>
      <c r="P1727">
        <f>IF(G1727=1,IF(H1726=0,1,ABS(0.2-J1726*B1727/I1727)+ABS(0.2-K1726*C1727/I1727)+ABS(0.2-L1726*D1727/I1727)+ABS(0.2-M1726*E1727/I1727)+ABS(0.2-N1726*F1727/I1727)),0)</f>
        <v/>
      </c>
      <c r="Q1727">
        <f>P1727*0.0015</f>
        <v/>
      </c>
      <c r="R1727">
        <f>I1727*(1-Q1727)</f>
        <v/>
      </c>
      <c r="S1727">
        <f>R1727/R1726-1</f>
        <v/>
      </c>
      <c r="T1727">
        <f>MAX(T1726,R1727)</f>
        <v/>
      </c>
      <c r="U1727">
        <f>R1727/T1727-1</f>
        <v/>
      </c>
      <c r="V1727" t="n">
        <v>3.25843685891697</v>
      </c>
      <c r="W1727" s="5">
        <f>R1727-V1727</f>
        <v/>
      </c>
    </row>
    <row r="1728">
      <c r="A1728" s="3" t="n">
        <v>40980</v>
      </c>
      <c r="B1728">
        <f>Prices!B1728</f>
        <v/>
      </c>
      <c r="C1728">
        <f>Prices!C1728</f>
        <v/>
      </c>
      <c r="D1728">
        <f>Prices!D1728</f>
        <v/>
      </c>
      <c r="E1728">
        <f>Prices!E1728</f>
        <v/>
      </c>
      <c r="F1728">
        <f>Prices!F1728</f>
        <v/>
      </c>
      <c r="G1728">
        <f>IF(AND(1726&gt;=16,TEXT(A1728,"yyyy-mm")&lt;&gt;TEXT(A1729,"yyyy-mm")),1,0)</f>
        <v/>
      </c>
      <c r="H1728">
        <f>IF(OR(H1727=1,G1728=1),1,0)</f>
        <v/>
      </c>
      <c r="I1728">
        <f>IF(H1727=0,1,SUMPRODUCT(J1727:N1727,B1728:F1728)+O1727*(1+0.00023125256064071564))</f>
        <v/>
      </c>
      <c r="J1728">
        <f>IF(G1728=1,0.2*R1728/B1728,J1727)</f>
        <v/>
      </c>
      <c r="K1728">
        <f>IF(G1728=1,0.2*R1728/C1728,K1727)</f>
        <v/>
      </c>
      <c r="L1728">
        <f>IF(G1728=1,0.2*R1728/D1728,L1727)</f>
        <v/>
      </c>
      <c r="M1728">
        <f>IF(G1728=1,0.2*R1728/E1728,M1727)</f>
        <v/>
      </c>
      <c r="N1728">
        <f>IF(G1728=1,0.2*R1728/F1728,N1727)</f>
        <v/>
      </c>
      <c r="O1728">
        <f>IF(G1728=1,R1728*(1-1.0),IF(H1727=0,1,O1727*(1+0.00023125256064071564)))</f>
        <v/>
      </c>
      <c r="P1728">
        <f>IF(G1728=1,IF(H1727=0,1,ABS(0.2-J1727*B1728/I1728)+ABS(0.2-K1727*C1728/I1728)+ABS(0.2-L1727*D1728/I1728)+ABS(0.2-M1727*E1728/I1728)+ABS(0.2-N1727*F1728/I1728)),0)</f>
        <v/>
      </c>
      <c r="Q1728">
        <f>P1728*0.0015</f>
        <v/>
      </c>
      <c r="R1728">
        <f>I1728*(1-Q1728)</f>
        <v/>
      </c>
      <c r="S1728">
        <f>R1728/R1727-1</f>
        <v/>
      </c>
      <c r="T1728">
        <f>MAX(T1727,R1728)</f>
        <v/>
      </c>
      <c r="U1728">
        <f>R1728/T1728-1</f>
        <v/>
      </c>
      <c r="V1728" t="n">
        <v>3.286535147116501</v>
      </c>
      <c r="W1728" s="5">
        <f>R1728-V1728</f>
        <v/>
      </c>
    </row>
    <row r="1729">
      <c r="A1729" s="3" t="n">
        <v>40981</v>
      </c>
      <c r="B1729">
        <f>Prices!B1729</f>
        <v/>
      </c>
      <c r="C1729">
        <f>Prices!C1729</f>
        <v/>
      </c>
      <c r="D1729">
        <f>Prices!D1729</f>
        <v/>
      </c>
      <c r="E1729">
        <f>Prices!E1729</f>
        <v/>
      </c>
      <c r="F1729">
        <f>Prices!F1729</f>
        <v/>
      </c>
      <c r="G1729">
        <f>IF(AND(1727&gt;=16,TEXT(A1729,"yyyy-mm")&lt;&gt;TEXT(A1730,"yyyy-mm")),1,0)</f>
        <v/>
      </c>
      <c r="H1729">
        <f>IF(OR(H1728=1,G1729=1),1,0)</f>
        <v/>
      </c>
      <c r="I1729">
        <f>IF(H1728=0,1,SUMPRODUCT(J1728:N1728,B1729:F1729)+O1728*(1+0.00023125256064071564))</f>
        <v/>
      </c>
      <c r="J1729">
        <f>IF(G1729=1,0.2*R1729/B1729,J1728)</f>
        <v/>
      </c>
      <c r="K1729">
        <f>IF(G1729=1,0.2*R1729/C1729,K1728)</f>
        <v/>
      </c>
      <c r="L1729">
        <f>IF(G1729=1,0.2*R1729/D1729,L1728)</f>
        <v/>
      </c>
      <c r="M1729">
        <f>IF(G1729=1,0.2*R1729/E1729,M1728)</f>
        <v/>
      </c>
      <c r="N1729">
        <f>IF(G1729=1,0.2*R1729/F1729,N1728)</f>
        <v/>
      </c>
      <c r="O1729">
        <f>IF(G1729=1,R1729*(1-1.0),IF(H1728=0,1,O1728*(1+0.00023125256064071564)))</f>
        <v/>
      </c>
      <c r="P1729">
        <f>IF(G1729=1,IF(H1728=0,1,ABS(0.2-J1728*B1729/I1729)+ABS(0.2-K1728*C1729/I1729)+ABS(0.2-L1728*D1729/I1729)+ABS(0.2-M1728*E1729/I1729)+ABS(0.2-N1728*F1729/I1729)),0)</f>
        <v/>
      </c>
      <c r="Q1729">
        <f>P1729*0.0015</f>
        <v/>
      </c>
      <c r="R1729">
        <f>I1729*(1-Q1729)</f>
        <v/>
      </c>
      <c r="S1729">
        <f>R1729/R1728-1</f>
        <v/>
      </c>
      <c r="T1729">
        <f>MAX(T1728,R1729)</f>
        <v/>
      </c>
      <c r="U1729">
        <f>R1729/T1729-1</f>
        <v/>
      </c>
      <c r="V1729" t="n">
        <v>3.320740819466769</v>
      </c>
      <c r="W1729" s="5">
        <f>R1729-V1729</f>
        <v/>
      </c>
    </row>
    <row r="1730">
      <c r="A1730" s="3" t="n">
        <v>40982</v>
      </c>
      <c r="B1730">
        <f>Prices!B1730</f>
        <v/>
      </c>
      <c r="C1730">
        <f>Prices!C1730</f>
        <v/>
      </c>
      <c r="D1730">
        <f>Prices!D1730</f>
        <v/>
      </c>
      <c r="E1730">
        <f>Prices!E1730</f>
        <v/>
      </c>
      <c r="F1730">
        <f>Prices!F1730</f>
        <v/>
      </c>
      <c r="G1730">
        <f>IF(AND(1728&gt;=16,TEXT(A1730,"yyyy-mm")&lt;&gt;TEXT(A1731,"yyyy-mm")),1,0)</f>
        <v/>
      </c>
      <c r="H1730">
        <f>IF(OR(H1729=1,G1730=1),1,0)</f>
        <v/>
      </c>
      <c r="I1730">
        <f>IF(H1729=0,1,SUMPRODUCT(J1729:N1729,B1730:F1730)+O1729*(1+0.00023125256064071564))</f>
        <v/>
      </c>
      <c r="J1730">
        <f>IF(G1730=1,0.2*R1730/B1730,J1729)</f>
        <v/>
      </c>
      <c r="K1730">
        <f>IF(G1730=1,0.2*R1730/C1730,K1729)</f>
        <v/>
      </c>
      <c r="L1730">
        <f>IF(G1730=1,0.2*R1730/D1730,L1729)</f>
        <v/>
      </c>
      <c r="M1730">
        <f>IF(G1730=1,0.2*R1730/E1730,M1729)</f>
        <v/>
      </c>
      <c r="N1730">
        <f>IF(G1730=1,0.2*R1730/F1730,N1729)</f>
        <v/>
      </c>
      <c r="O1730">
        <f>IF(G1730=1,R1730*(1-1.0),IF(H1729=0,1,O1729*(1+0.00023125256064071564)))</f>
        <v/>
      </c>
      <c r="P1730">
        <f>IF(G1730=1,IF(H1729=0,1,ABS(0.2-J1729*B1730/I1730)+ABS(0.2-K1729*C1730/I1730)+ABS(0.2-L1729*D1730/I1730)+ABS(0.2-M1729*E1730/I1730)+ABS(0.2-N1729*F1730/I1730)),0)</f>
        <v/>
      </c>
      <c r="Q1730">
        <f>P1730*0.0015</f>
        <v/>
      </c>
      <c r="R1730">
        <f>I1730*(1-Q1730)</f>
        <v/>
      </c>
      <c r="S1730">
        <f>R1730/R1729-1</f>
        <v/>
      </c>
      <c r="T1730">
        <f>MAX(T1729,R1730)</f>
        <v/>
      </c>
      <c r="U1730">
        <f>R1730/T1730-1</f>
        <v/>
      </c>
      <c r="V1730" t="n">
        <v>3.331287495250443</v>
      </c>
      <c r="W1730" s="5">
        <f>R1730-V1730</f>
        <v/>
      </c>
    </row>
    <row r="1731">
      <c r="A1731" s="3" t="n">
        <v>40983</v>
      </c>
      <c r="B1731">
        <f>Prices!B1731</f>
        <v/>
      </c>
      <c r="C1731">
        <f>Prices!C1731</f>
        <v/>
      </c>
      <c r="D1731">
        <f>Prices!D1731</f>
        <v/>
      </c>
      <c r="E1731">
        <f>Prices!E1731</f>
        <v/>
      </c>
      <c r="F1731">
        <f>Prices!F1731</f>
        <v/>
      </c>
      <c r="G1731">
        <f>IF(AND(1729&gt;=16,TEXT(A1731,"yyyy-mm")&lt;&gt;TEXT(A1732,"yyyy-mm")),1,0)</f>
        <v/>
      </c>
      <c r="H1731">
        <f>IF(OR(H1730=1,G1731=1),1,0)</f>
        <v/>
      </c>
      <c r="I1731">
        <f>IF(H1730=0,1,SUMPRODUCT(J1730:N1730,B1731:F1731)+O1730*(1+0.00023125256064071564))</f>
        <v/>
      </c>
      <c r="J1731">
        <f>IF(G1731=1,0.2*R1731/B1731,J1730)</f>
        <v/>
      </c>
      <c r="K1731">
        <f>IF(G1731=1,0.2*R1731/C1731,K1730)</f>
        <v/>
      </c>
      <c r="L1731">
        <f>IF(G1731=1,0.2*R1731/D1731,L1730)</f>
        <v/>
      </c>
      <c r="M1731">
        <f>IF(G1731=1,0.2*R1731/E1731,M1730)</f>
        <v/>
      </c>
      <c r="N1731">
        <f>IF(G1731=1,0.2*R1731/F1731,N1730)</f>
        <v/>
      </c>
      <c r="O1731">
        <f>IF(G1731=1,R1731*(1-1.0),IF(H1730=0,1,O1730*(1+0.00023125256064071564)))</f>
        <v/>
      </c>
      <c r="P1731">
        <f>IF(G1731=1,IF(H1730=0,1,ABS(0.2-J1730*B1731/I1731)+ABS(0.2-K1730*C1731/I1731)+ABS(0.2-L1730*D1731/I1731)+ABS(0.2-M1730*E1731/I1731)+ABS(0.2-N1730*F1731/I1731)),0)</f>
        <v/>
      </c>
      <c r="Q1731">
        <f>P1731*0.0015</f>
        <v/>
      </c>
      <c r="R1731">
        <f>I1731*(1-Q1731)</f>
        <v/>
      </c>
      <c r="S1731">
        <f>R1731/R1730-1</f>
        <v/>
      </c>
      <c r="T1731">
        <f>MAX(T1730,R1731)</f>
        <v/>
      </c>
      <c r="U1731">
        <f>R1731/T1731-1</f>
        <v/>
      </c>
      <c r="V1731" t="n">
        <v>3.283450049107618</v>
      </c>
      <c r="W1731" s="5">
        <f>R1731-V1731</f>
        <v/>
      </c>
    </row>
    <row r="1732">
      <c r="A1732" s="3" t="n">
        <v>40984</v>
      </c>
      <c r="B1732">
        <f>Prices!B1732</f>
        <v/>
      </c>
      <c r="C1732">
        <f>Prices!C1732</f>
        <v/>
      </c>
      <c r="D1732">
        <f>Prices!D1732</f>
        <v/>
      </c>
      <c r="E1732">
        <f>Prices!E1732</f>
        <v/>
      </c>
      <c r="F1732">
        <f>Prices!F1732</f>
        <v/>
      </c>
      <c r="G1732">
        <f>IF(AND(1730&gt;=16,TEXT(A1732,"yyyy-mm")&lt;&gt;TEXT(A1733,"yyyy-mm")),1,0)</f>
        <v/>
      </c>
      <c r="H1732">
        <f>IF(OR(H1731=1,G1732=1),1,0)</f>
        <v/>
      </c>
      <c r="I1732">
        <f>IF(H1731=0,1,SUMPRODUCT(J1731:N1731,B1732:F1732)+O1731*(1+0.00023125256064071564))</f>
        <v/>
      </c>
      <c r="J1732">
        <f>IF(G1732=1,0.2*R1732/B1732,J1731)</f>
        <v/>
      </c>
      <c r="K1732">
        <f>IF(G1732=1,0.2*R1732/C1732,K1731)</f>
        <v/>
      </c>
      <c r="L1732">
        <f>IF(G1732=1,0.2*R1732/D1732,L1731)</f>
        <v/>
      </c>
      <c r="M1732">
        <f>IF(G1732=1,0.2*R1732/E1732,M1731)</f>
        <v/>
      </c>
      <c r="N1732">
        <f>IF(G1732=1,0.2*R1732/F1732,N1731)</f>
        <v/>
      </c>
      <c r="O1732">
        <f>IF(G1732=1,R1732*(1-1.0),IF(H1731=0,1,O1731*(1+0.00023125256064071564)))</f>
        <v/>
      </c>
      <c r="P1732">
        <f>IF(G1732=1,IF(H1731=0,1,ABS(0.2-J1731*B1732/I1732)+ABS(0.2-K1731*C1732/I1732)+ABS(0.2-L1731*D1732/I1732)+ABS(0.2-M1731*E1732/I1732)+ABS(0.2-N1731*F1732/I1732)),0)</f>
        <v/>
      </c>
      <c r="Q1732">
        <f>P1732*0.0015</f>
        <v/>
      </c>
      <c r="R1732">
        <f>I1732*(1-Q1732)</f>
        <v/>
      </c>
      <c r="S1732">
        <f>R1732/R1731-1</f>
        <v/>
      </c>
      <c r="T1732">
        <f>MAX(T1731,R1732)</f>
        <v/>
      </c>
      <c r="U1732">
        <f>R1732/T1732-1</f>
        <v/>
      </c>
      <c r="V1732" t="n">
        <v>3.255916424827925</v>
      </c>
      <c r="W1732" s="5">
        <f>R1732-V1732</f>
        <v/>
      </c>
    </row>
    <row r="1733">
      <c r="A1733" s="3" t="n">
        <v>40987</v>
      </c>
      <c r="B1733">
        <f>Prices!B1733</f>
        <v/>
      </c>
      <c r="C1733">
        <f>Prices!C1733</f>
        <v/>
      </c>
      <c r="D1733">
        <f>Prices!D1733</f>
        <v/>
      </c>
      <c r="E1733">
        <f>Prices!E1733</f>
        <v/>
      </c>
      <c r="F1733">
        <f>Prices!F1733</f>
        <v/>
      </c>
      <c r="G1733">
        <f>IF(AND(1731&gt;=16,TEXT(A1733,"yyyy-mm")&lt;&gt;TEXT(A1734,"yyyy-mm")),1,0)</f>
        <v/>
      </c>
      <c r="H1733">
        <f>IF(OR(H1732=1,G1733=1),1,0)</f>
        <v/>
      </c>
      <c r="I1733">
        <f>IF(H1732=0,1,SUMPRODUCT(J1732:N1732,B1733:F1733)+O1732*(1+0.00023125256064071564))</f>
        <v/>
      </c>
      <c r="J1733">
        <f>IF(G1733=1,0.2*R1733/B1733,J1732)</f>
        <v/>
      </c>
      <c r="K1733">
        <f>IF(G1733=1,0.2*R1733/C1733,K1732)</f>
        <v/>
      </c>
      <c r="L1733">
        <f>IF(G1733=1,0.2*R1733/D1733,L1732)</f>
        <v/>
      </c>
      <c r="M1733">
        <f>IF(G1733=1,0.2*R1733/E1733,M1732)</f>
        <v/>
      </c>
      <c r="N1733">
        <f>IF(G1733=1,0.2*R1733/F1733,N1732)</f>
        <v/>
      </c>
      <c r="O1733">
        <f>IF(G1733=1,R1733*(1-1.0),IF(H1732=0,1,O1732*(1+0.00023125256064071564)))</f>
        <v/>
      </c>
      <c r="P1733">
        <f>IF(G1733=1,IF(H1732=0,1,ABS(0.2-J1732*B1733/I1733)+ABS(0.2-K1732*C1733/I1733)+ABS(0.2-L1732*D1733/I1733)+ABS(0.2-M1732*E1733/I1733)+ABS(0.2-N1732*F1733/I1733)),0)</f>
        <v/>
      </c>
      <c r="Q1733">
        <f>P1733*0.0015</f>
        <v/>
      </c>
      <c r="R1733">
        <f>I1733*(1-Q1733)</f>
        <v/>
      </c>
      <c r="S1733">
        <f>R1733/R1732-1</f>
        <v/>
      </c>
      <c r="T1733">
        <f>MAX(T1732,R1733)</f>
        <v/>
      </c>
      <c r="U1733">
        <f>R1733/T1733-1</f>
        <v/>
      </c>
      <c r="V1733" t="n">
        <v>3.226485466289129</v>
      </c>
      <c r="W1733" s="5">
        <f>R1733-V1733</f>
        <v/>
      </c>
    </row>
    <row r="1734">
      <c r="A1734" s="3" t="n">
        <v>40988</v>
      </c>
      <c r="B1734">
        <f>Prices!B1734</f>
        <v/>
      </c>
      <c r="C1734">
        <f>Prices!C1734</f>
        <v/>
      </c>
      <c r="D1734">
        <f>Prices!D1734</f>
        <v/>
      </c>
      <c r="E1734">
        <f>Prices!E1734</f>
        <v/>
      </c>
      <c r="F1734">
        <f>Prices!F1734</f>
        <v/>
      </c>
      <c r="G1734">
        <f>IF(AND(1732&gt;=16,TEXT(A1734,"yyyy-mm")&lt;&gt;TEXT(A1735,"yyyy-mm")),1,0)</f>
        <v/>
      </c>
      <c r="H1734">
        <f>IF(OR(H1733=1,G1734=1),1,0)</f>
        <v/>
      </c>
      <c r="I1734">
        <f>IF(H1733=0,1,SUMPRODUCT(J1733:N1733,B1734:F1734)+O1733*(1+0.00023125256064071564))</f>
        <v/>
      </c>
      <c r="J1734">
        <f>IF(G1734=1,0.2*R1734/B1734,J1733)</f>
        <v/>
      </c>
      <c r="K1734">
        <f>IF(G1734=1,0.2*R1734/C1734,K1733)</f>
        <v/>
      </c>
      <c r="L1734">
        <f>IF(G1734=1,0.2*R1734/D1734,L1733)</f>
        <v/>
      </c>
      <c r="M1734">
        <f>IF(G1734=1,0.2*R1734/E1734,M1733)</f>
        <v/>
      </c>
      <c r="N1734">
        <f>IF(G1734=1,0.2*R1734/F1734,N1733)</f>
        <v/>
      </c>
      <c r="O1734">
        <f>IF(G1734=1,R1734*(1-1.0),IF(H1733=0,1,O1733*(1+0.00023125256064071564)))</f>
        <v/>
      </c>
      <c r="P1734">
        <f>IF(G1734=1,IF(H1733=0,1,ABS(0.2-J1733*B1734/I1734)+ABS(0.2-K1733*C1734/I1734)+ABS(0.2-L1733*D1734/I1734)+ABS(0.2-M1733*E1734/I1734)+ABS(0.2-N1733*F1734/I1734)),0)</f>
        <v/>
      </c>
      <c r="Q1734">
        <f>P1734*0.0015</f>
        <v/>
      </c>
      <c r="R1734">
        <f>I1734*(1-Q1734)</f>
        <v/>
      </c>
      <c r="S1734">
        <f>R1734/R1733-1</f>
        <v/>
      </c>
      <c r="T1734">
        <f>MAX(T1733,R1734)</f>
        <v/>
      </c>
      <c r="U1734">
        <f>R1734/T1734-1</f>
        <v/>
      </c>
      <c r="V1734" t="n">
        <v>3.251399805881762</v>
      </c>
      <c r="W1734" s="5">
        <f>R1734-V1734</f>
        <v/>
      </c>
    </row>
    <row r="1735">
      <c r="A1735" s="3" t="n">
        <v>40989</v>
      </c>
      <c r="B1735">
        <f>Prices!B1735</f>
        <v/>
      </c>
      <c r="C1735">
        <f>Prices!C1735</f>
        <v/>
      </c>
      <c r="D1735">
        <f>Prices!D1735</f>
        <v/>
      </c>
      <c r="E1735">
        <f>Prices!E1735</f>
        <v/>
      </c>
      <c r="F1735">
        <f>Prices!F1735</f>
        <v/>
      </c>
      <c r="G1735">
        <f>IF(AND(1733&gt;=16,TEXT(A1735,"yyyy-mm")&lt;&gt;TEXT(A1736,"yyyy-mm")),1,0)</f>
        <v/>
      </c>
      <c r="H1735">
        <f>IF(OR(H1734=1,G1735=1),1,0)</f>
        <v/>
      </c>
      <c r="I1735">
        <f>IF(H1734=0,1,SUMPRODUCT(J1734:N1734,B1735:F1735)+O1734*(1+0.00023125256064071564))</f>
        <v/>
      </c>
      <c r="J1735">
        <f>IF(G1735=1,0.2*R1735/B1735,J1734)</f>
        <v/>
      </c>
      <c r="K1735">
        <f>IF(G1735=1,0.2*R1735/C1735,K1734)</f>
        <v/>
      </c>
      <c r="L1735">
        <f>IF(G1735=1,0.2*R1735/D1735,L1734)</f>
        <v/>
      </c>
      <c r="M1735">
        <f>IF(G1735=1,0.2*R1735/E1735,M1734)</f>
        <v/>
      </c>
      <c r="N1735">
        <f>IF(G1735=1,0.2*R1735/F1735,N1734)</f>
        <v/>
      </c>
      <c r="O1735">
        <f>IF(G1735=1,R1735*(1-1.0),IF(H1734=0,1,O1734*(1+0.00023125256064071564)))</f>
        <v/>
      </c>
      <c r="P1735">
        <f>IF(G1735=1,IF(H1734=0,1,ABS(0.2-J1734*B1735/I1735)+ABS(0.2-K1734*C1735/I1735)+ABS(0.2-L1734*D1735/I1735)+ABS(0.2-M1734*E1735/I1735)+ABS(0.2-N1734*F1735/I1735)),0)</f>
        <v/>
      </c>
      <c r="Q1735">
        <f>P1735*0.0015</f>
        <v/>
      </c>
      <c r="R1735">
        <f>I1735*(1-Q1735)</f>
        <v/>
      </c>
      <c r="S1735">
        <f>R1735/R1734-1</f>
        <v/>
      </c>
      <c r="T1735">
        <f>MAX(T1734,R1735)</f>
        <v/>
      </c>
      <c r="U1735">
        <f>R1735/T1735-1</f>
        <v/>
      </c>
      <c r="V1735" t="n">
        <v>3.308613237294445</v>
      </c>
      <c r="W1735" s="5">
        <f>R1735-V1735</f>
        <v/>
      </c>
    </row>
    <row r="1736">
      <c r="A1736" s="3" t="n">
        <v>40990</v>
      </c>
      <c r="B1736">
        <f>Prices!B1736</f>
        <v/>
      </c>
      <c r="C1736">
        <f>Prices!C1736</f>
        <v/>
      </c>
      <c r="D1736">
        <f>Prices!D1736</f>
        <v/>
      </c>
      <c r="E1736">
        <f>Prices!E1736</f>
        <v/>
      </c>
      <c r="F1736">
        <f>Prices!F1736</f>
        <v/>
      </c>
      <c r="G1736">
        <f>IF(AND(1734&gt;=16,TEXT(A1736,"yyyy-mm")&lt;&gt;TEXT(A1737,"yyyy-mm")),1,0)</f>
        <v/>
      </c>
      <c r="H1736">
        <f>IF(OR(H1735=1,G1736=1),1,0)</f>
        <v/>
      </c>
      <c r="I1736">
        <f>IF(H1735=0,1,SUMPRODUCT(J1735:N1735,B1736:F1736)+O1735*(1+0.00023125256064071564))</f>
        <v/>
      </c>
      <c r="J1736">
        <f>IF(G1736=1,0.2*R1736/B1736,J1735)</f>
        <v/>
      </c>
      <c r="K1736">
        <f>IF(G1736=1,0.2*R1736/C1736,K1735)</f>
        <v/>
      </c>
      <c r="L1736">
        <f>IF(G1736=1,0.2*R1736/D1736,L1735)</f>
        <v/>
      </c>
      <c r="M1736">
        <f>IF(G1736=1,0.2*R1736/E1736,M1735)</f>
        <v/>
      </c>
      <c r="N1736">
        <f>IF(G1736=1,0.2*R1736/F1736,N1735)</f>
        <v/>
      </c>
      <c r="O1736">
        <f>IF(G1736=1,R1736*(1-1.0),IF(H1735=0,1,O1735*(1+0.00023125256064071564)))</f>
        <v/>
      </c>
      <c r="P1736">
        <f>IF(G1736=1,IF(H1735=0,1,ABS(0.2-J1735*B1736/I1736)+ABS(0.2-K1735*C1736/I1736)+ABS(0.2-L1735*D1736/I1736)+ABS(0.2-M1735*E1736/I1736)+ABS(0.2-N1735*F1736/I1736)),0)</f>
        <v/>
      </c>
      <c r="Q1736">
        <f>P1736*0.0015</f>
        <v/>
      </c>
      <c r="R1736">
        <f>I1736*(1-Q1736)</f>
        <v/>
      </c>
      <c r="S1736">
        <f>R1736/R1735-1</f>
        <v/>
      </c>
      <c r="T1736">
        <f>MAX(T1735,R1736)</f>
        <v/>
      </c>
      <c r="U1736">
        <f>R1736/T1736-1</f>
        <v/>
      </c>
      <c r="V1736" t="n">
        <v>3.236920326105745</v>
      </c>
      <c r="W1736" s="5">
        <f>R1736-V1736</f>
        <v/>
      </c>
    </row>
    <row r="1737">
      <c r="A1737" s="3" t="n">
        <v>40991</v>
      </c>
      <c r="B1737">
        <f>Prices!B1737</f>
        <v/>
      </c>
      <c r="C1737">
        <f>Prices!C1737</f>
        <v/>
      </c>
      <c r="D1737">
        <f>Prices!D1737</f>
        <v/>
      </c>
      <c r="E1737">
        <f>Prices!E1737</f>
        <v/>
      </c>
      <c r="F1737">
        <f>Prices!F1737</f>
        <v/>
      </c>
      <c r="G1737">
        <f>IF(AND(1735&gt;=16,TEXT(A1737,"yyyy-mm")&lt;&gt;TEXT(A1738,"yyyy-mm")),1,0)</f>
        <v/>
      </c>
      <c r="H1737">
        <f>IF(OR(H1736=1,G1737=1),1,0)</f>
        <v/>
      </c>
      <c r="I1737">
        <f>IF(H1736=0,1,SUMPRODUCT(J1736:N1736,B1737:F1737)+O1736*(1+0.00023125256064071564))</f>
        <v/>
      </c>
      <c r="J1737">
        <f>IF(G1737=1,0.2*R1737/B1737,J1736)</f>
        <v/>
      </c>
      <c r="K1737">
        <f>IF(G1737=1,0.2*R1737/C1737,K1736)</f>
        <v/>
      </c>
      <c r="L1737">
        <f>IF(G1737=1,0.2*R1737/D1737,L1736)</f>
        <v/>
      </c>
      <c r="M1737">
        <f>IF(G1737=1,0.2*R1737/E1737,M1736)</f>
        <v/>
      </c>
      <c r="N1737">
        <f>IF(G1737=1,0.2*R1737/F1737,N1736)</f>
        <v/>
      </c>
      <c r="O1737">
        <f>IF(G1737=1,R1737*(1-1.0),IF(H1736=0,1,O1736*(1+0.00023125256064071564)))</f>
        <v/>
      </c>
      <c r="P1737">
        <f>IF(G1737=1,IF(H1736=0,1,ABS(0.2-J1736*B1737/I1737)+ABS(0.2-K1736*C1737/I1737)+ABS(0.2-L1736*D1737/I1737)+ABS(0.2-M1736*E1737/I1737)+ABS(0.2-N1736*F1737/I1737)),0)</f>
        <v/>
      </c>
      <c r="Q1737">
        <f>P1737*0.0015</f>
        <v/>
      </c>
      <c r="R1737">
        <f>I1737*(1-Q1737)</f>
        <v/>
      </c>
      <c r="S1737">
        <f>R1737/R1736-1</f>
        <v/>
      </c>
      <c r="T1737">
        <f>MAX(T1736,R1737)</f>
        <v/>
      </c>
      <c r="U1737">
        <f>R1737/T1737-1</f>
        <v/>
      </c>
      <c r="V1737" t="n">
        <v>3.266794051738035</v>
      </c>
      <c r="W1737" s="5">
        <f>R1737-V1737</f>
        <v/>
      </c>
    </row>
    <row r="1738">
      <c r="A1738" s="3" t="n">
        <v>40994</v>
      </c>
      <c r="B1738">
        <f>Prices!B1738</f>
        <v/>
      </c>
      <c r="C1738">
        <f>Prices!C1738</f>
        <v/>
      </c>
      <c r="D1738">
        <f>Prices!D1738</f>
        <v/>
      </c>
      <c r="E1738">
        <f>Prices!E1738</f>
        <v/>
      </c>
      <c r="F1738">
        <f>Prices!F1738</f>
        <v/>
      </c>
      <c r="G1738">
        <f>IF(AND(1736&gt;=16,TEXT(A1738,"yyyy-mm")&lt;&gt;TEXT(A1739,"yyyy-mm")),1,0)</f>
        <v/>
      </c>
      <c r="H1738">
        <f>IF(OR(H1737=1,G1738=1),1,0)</f>
        <v/>
      </c>
      <c r="I1738">
        <f>IF(H1737=0,1,SUMPRODUCT(J1737:N1737,B1738:F1738)+O1737*(1+0.00023125256064071564))</f>
        <v/>
      </c>
      <c r="J1738">
        <f>IF(G1738=1,0.2*R1738/B1738,J1737)</f>
        <v/>
      </c>
      <c r="K1738">
        <f>IF(G1738=1,0.2*R1738/C1738,K1737)</f>
        <v/>
      </c>
      <c r="L1738">
        <f>IF(G1738=1,0.2*R1738/D1738,L1737)</f>
        <v/>
      </c>
      <c r="M1738">
        <f>IF(G1738=1,0.2*R1738/E1738,M1737)</f>
        <v/>
      </c>
      <c r="N1738">
        <f>IF(G1738=1,0.2*R1738/F1738,N1737)</f>
        <v/>
      </c>
      <c r="O1738">
        <f>IF(G1738=1,R1738*(1-1.0),IF(H1737=0,1,O1737*(1+0.00023125256064071564)))</f>
        <v/>
      </c>
      <c r="P1738">
        <f>IF(G1738=1,IF(H1737=0,1,ABS(0.2-J1737*B1738/I1738)+ABS(0.2-K1737*C1738/I1738)+ABS(0.2-L1737*D1738/I1738)+ABS(0.2-M1737*E1738/I1738)+ABS(0.2-N1737*F1738/I1738)),0)</f>
        <v/>
      </c>
      <c r="Q1738">
        <f>P1738*0.0015</f>
        <v/>
      </c>
      <c r="R1738">
        <f>I1738*(1-Q1738)</f>
        <v/>
      </c>
      <c r="S1738">
        <f>R1738/R1737-1</f>
        <v/>
      </c>
      <c r="T1738">
        <f>MAX(T1737,R1738)</f>
        <v/>
      </c>
      <c r="U1738">
        <f>R1738/T1738-1</f>
        <v/>
      </c>
      <c r="V1738" t="n">
        <v>3.222335157953324</v>
      </c>
      <c r="W1738" s="5">
        <f>R1738-V1738</f>
        <v/>
      </c>
    </row>
    <row r="1739">
      <c r="A1739" s="3" t="n">
        <v>40995</v>
      </c>
      <c r="B1739">
        <f>Prices!B1739</f>
        <v/>
      </c>
      <c r="C1739">
        <f>Prices!C1739</f>
        <v/>
      </c>
      <c r="D1739">
        <f>Prices!D1739</f>
        <v/>
      </c>
      <c r="E1739">
        <f>Prices!E1739</f>
        <v/>
      </c>
      <c r="F1739">
        <f>Prices!F1739</f>
        <v/>
      </c>
      <c r="G1739">
        <f>IF(AND(1737&gt;=16,TEXT(A1739,"yyyy-mm")&lt;&gt;TEXT(A1740,"yyyy-mm")),1,0)</f>
        <v/>
      </c>
      <c r="H1739">
        <f>IF(OR(H1738=1,G1739=1),1,0)</f>
        <v/>
      </c>
      <c r="I1739">
        <f>IF(H1738=0,1,SUMPRODUCT(J1738:N1738,B1739:F1739)+O1738*(1+0.00023125256064071564))</f>
        <v/>
      </c>
      <c r="J1739">
        <f>IF(G1739=1,0.2*R1739/B1739,J1738)</f>
        <v/>
      </c>
      <c r="K1739">
        <f>IF(G1739=1,0.2*R1739/C1739,K1738)</f>
        <v/>
      </c>
      <c r="L1739">
        <f>IF(G1739=1,0.2*R1739/D1739,L1738)</f>
        <v/>
      </c>
      <c r="M1739">
        <f>IF(G1739=1,0.2*R1739/E1739,M1738)</f>
        <v/>
      </c>
      <c r="N1739">
        <f>IF(G1739=1,0.2*R1739/F1739,N1738)</f>
        <v/>
      </c>
      <c r="O1739">
        <f>IF(G1739=1,R1739*(1-1.0),IF(H1738=0,1,O1738*(1+0.00023125256064071564)))</f>
        <v/>
      </c>
      <c r="P1739">
        <f>IF(G1739=1,IF(H1738=0,1,ABS(0.2-J1738*B1739/I1739)+ABS(0.2-K1738*C1739/I1739)+ABS(0.2-L1738*D1739/I1739)+ABS(0.2-M1738*E1739/I1739)+ABS(0.2-N1738*F1739/I1739)),0)</f>
        <v/>
      </c>
      <c r="Q1739">
        <f>P1739*0.0015</f>
        <v/>
      </c>
      <c r="R1739">
        <f>I1739*(1-Q1739)</f>
        <v/>
      </c>
      <c r="S1739">
        <f>R1739/R1738-1</f>
        <v/>
      </c>
      <c r="T1739">
        <f>MAX(T1738,R1739)</f>
        <v/>
      </c>
      <c r="U1739">
        <f>R1739/T1739-1</f>
        <v/>
      </c>
      <c r="V1739" t="n">
        <v>3.237636298387772</v>
      </c>
      <c r="W1739" s="5">
        <f>R1739-V1739</f>
        <v/>
      </c>
    </row>
    <row r="1740">
      <c r="A1740" s="3" t="n">
        <v>40996</v>
      </c>
      <c r="B1740">
        <f>Prices!B1740</f>
        <v/>
      </c>
      <c r="C1740">
        <f>Prices!C1740</f>
        <v/>
      </c>
      <c r="D1740">
        <f>Prices!D1740</f>
        <v/>
      </c>
      <c r="E1740">
        <f>Prices!E1740</f>
        <v/>
      </c>
      <c r="F1740">
        <f>Prices!F1740</f>
        <v/>
      </c>
      <c r="G1740">
        <f>IF(AND(1738&gt;=16,TEXT(A1740,"yyyy-mm")&lt;&gt;TEXT(A1741,"yyyy-mm")),1,0)</f>
        <v/>
      </c>
      <c r="H1740">
        <f>IF(OR(H1739=1,G1740=1),1,0)</f>
        <v/>
      </c>
      <c r="I1740">
        <f>IF(H1739=0,1,SUMPRODUCT(J1739:N1739,B1740:F1740)+O1739*(1+0.00023125256064071564))</f>
        <v/>
      </c>
      <c r="J1740">
        <f>IF(G1740=1,0.2*R1740/B1740,J1739)</f>
        <v/>
      </c>
      <c r="K1740">
        <f>IF(G1740=1,0.2*R1740/C1740,K1739)</f>
        <v/>
      </c>
      <c r="L1740">
        <f>IF(G1740=1,0.2*R1740/D1740,L1739)</f>
        <v/>
      </c>
      <c r="M1740">
        <f>IF(G1740=1,0.2*R1740/E1740,M1739)</f>
        <v/>
      </c>
      <c r="N1740">
        <f>IF(G1740=1,0.2*R1740/F1740,N1739)</f>
        <v/>
      </c>
      <c r="O1740">
        <f>IF(G1740=1,R1740*(1-1.0),IF(H1739=0,1,O1739*(1+0.00023125256064071564)))</f>
        <v/>
      </c>
      <c r="P1740">
        <f>IF(G1740=1,IF(H1739=0,1,ABS(0.2-J1739*B1740/I1740)+ABS(0.2-K1739*C1740/I1740)+ABS(0.2-L1739*D1740/I1740)+ABS(0.2-M1739*E1740/I1740)+ABS(0.2-N1739*F1740/I1740)),0)</f>
        <v/>
      </c>
      <c r="Q1740">
        <f>P1740*0.0015</f>
        <v/>
      </c>
      <c r="R1740">
        <f>I1740*(1-Q1740)</f>
        <v/>
      </c>
      <c r="S1740">
        <f>R1740/R1739-1</f>
        <v/>
      </c>
      <c r="T1740">
        <f>MAX(T1739,R1740)</f>
        <v/>
      </c>
      <c r="U1740">
        <f>R1740/T1740-1</f>
        <v/>
      </c>
      <c r="V1740" t="n">
        <v>3.206822790459129</v>
      </c>
      <c r="W1740" s="5">
        <f>R1740-V1740</f>
        <v/>
      </c>
    </row>
    <row r="1741">
      <c r="A1741" s="3" t="n">
        <v>40997</v>
      </c>
      <c r="B1741">
        <f>Prices!B1741</f>
        <v/>
      </c>
      <c r="C1741">
        <f>Prices!C1741</f>
        <v/>
      </c>
      <c r="D1741">
        <f>Prices!D1741</f>
        <v/>
      </c>
      <c r="E1741">
        <f>Prices!E1741</f>
        <v/>
      </c>
      <c r="F1741">
        <f>Prices!F1741</f>
        <v/>
      </c>
      <c r="G1741">
        <f>IF(AND(1739&gt;=16,TEXT(A1741,"yyyy-mm")&lt;&gt;TEXT(A1742,"yyyy-mm")),1,0)</f>
        <v/>
      </c>
      <c r="H1741">
        <f>IF(OR(H1740=1,G1741=1),1,0)</f>
        <v/>
      </c>
      <c r="I1741">
        <f>IF(H1740=0,1,SUMPRODUCT(J1740:N1740,B1741:F1741)+O1740*(1+0.00023125256064071564))</f>
        <v/>
      </c>
      <c r="J1741">
        <f>IF(G1741=1,0.2*R1741/B1741,J1740)</f>
        <v/>
      </c>
      <c r="K1741">
        <f>IF(G1741=1,0.2*R1741/C1741,K1740)</f>
        <v/>
      </c>
      <c r="L1741">
        <f>IF(G1741=1,0.2*R1741/D1741,L1740)</f>
        <v/>
      </c>
      <c r="M1741">
        <f>IF(G1741=1,0.2*R1741/E1741,M1740)</f>
        <v/>
      </c>
      <c r="N1741">
        <f>IF(G1741=1,0.2*R1741/F1741,N1740)</f>
        <v/>
      </c>
      <c r="O1741">
        <f>IF(G1741=1,R1741*(1-1.0),IF(H1740=0,1,O1740*(1+0.00023125256064071564)))</f>
        <v/>
      </c>
      <c r="P1741">
        <f>IF(G1741=1,IF(H1740=0,1,ABS(0.2-J1740*B1741/I1741)+ABS(0.2-K1740*C1741/I1741)+ABS(0.2-L1740*D1741/I1741)+ABS(0.2-M1740*E1741/I1741)+ABS(0.2-N1740*F1741/I1741)),0)</f>
        <v/>
      </c>
      <c r="Q1741">
        <f>P1741*0.0015</f>
        <v/>
      </c>
      <c r="R1741">
        <f>I1741*(1-Q1741)</f>
        <v/>
      </c>
      <c r="S1741">
        <f>R1741/R1740-1</f>
        <v/>
      </c>
      <c r="T1741">
        <f>MAX(T1740,R1741)</f>
        <v/>
      </c>
      <c r="U1741">
        <f>R1741/T1741-1</f>
        <v/>
      </c>
      <c r="V1741" t="n">
        <v>3.211831820274929</v>
      </c>
      <c r="W1741" s="5">
        <f>R1741-V1741</f>
        <v/>
      </c>
    </row>
    <row r="1742">
      <c r="A1742" s="3" t="n">
        <v>40998</v>
      </c>
      <c r="B1742">
        <f>Prices!B1742</f>
        <v/>
      </c>
      <c r="C1742">
        <f>Prices!C1742</f>
        <v/>
      </c>
      <c r="D1742">
        <f>Prices!D1742</f>
        <v/>
      </c>
      <c r="E1742">
        <f>Prices!E1742</f>
        <v/>
      </c>
      <c r="F1742">
        <f>Prices!F1742</f>
        <v/>
      </c>
      <c r="G1742">
        <f>IF(AND(1740&gt;=16,TEXT(A1742,"yyyy-mm")&lt;&gt;TEXT(A1743,"yyyy-mm")),1,0)</f>
        <v/>
      </c>
      <c r="H1742">
        <f>IF(OR(H1741=1,G1742=1),1,0)</f>
        <v/>
      </c>
      <c r="I1742">
        <f>IF(H1741=0,1,SUMPRODUCT(J1741:N1741,B1742:F1742)+O1741*(1+0.00023125256064071564))</f>
        <v/>
      </c>
      <c r="J1742">
        <f>IF(G1742=1,0.2*R1742/B1742,J1741)</f>
        <v/>
      </c>
      <c r="K1742">
        <f>IF(G1742=1,0.2*R1742/C1742,K1741)</f>
        <v/>
      </c>
      <c r="L1742">
        <f>IF(G1742=1,0.2*R1742/D1742,L1741)</f>
        <v/>
      </c>
      <c r="M1742">
        <f>IF(G1742=1,0.2*R1742/E1742,M1741)</f>
        <v/>
      </c>
      <c r="N1742">
        <f>IF(G1742=1,0.2*R1742/F1742,N1741)</f>
        <v/>
      </c>
      <c r="O1742">
        <f>IF(G1742=1,R1742*(1-1.0),IF(H1741=0,1,O1741*(1+0.00023125256064071564)))</f>
        <v/>
      </c>
      <c r="P1742">
        <f>IF(G1742=1,IF(H1741=0,1,ABS(0.2-J1741*B1742/I1742)+ABS(0.2-K1741*C1742/I1742)+ABS(0.2-L1741*D1742/I1742)+ABS(0.2-M1741*E1742/I1742)+ABS(0.2-N1741*F1742/I1742)),0)</f>
        <v/>
      </c>
      <c r="Q1742">
        <f>P1742*0.0015</f>
        <v/>
      </c>
      <c r="R1742">
        <f>I1742*(1-Q1742)</f>
        <v/>
      </c>
      <c r="S1742">
        <f>R1742/R1741-1</f>
        <v/>
      </c>
      <c r="T1742">
        <f>MAX(T1741,R1742)</f>
        <v/>
      </c>
      <c r="U1742">
        <f>R1742/T1742-1</f>
        <v/>
      </c>
      <c r="V1742" t="n">
        <v>3.286649200723109</v>
      </c>
      <c r="W1742" s="5">
        <f>R1742-V1742</f>
        <v/>
      </c>
    </row>
    <row r="1743">
      <c r="A1743" s="3" t="n">
        <v>41001</v>
      </c>
      <c r="B1743">
        <f>Prices!B1743</f>
        <v/>
      </c>
      <c r="C1743">
        <f>Prices!C1743</f>
        <v/>
      </c>
      <c r="D1743">
        <f>Prices!D1743</f>
        <v/>
      </c>
      <c r="E1743">
        <f>Prices!E1743</f>
        <v/>
      </c>
      <c r="F1743">
        <f>Prices!F1743</f>
        <v/>
      </c>
      <c r="G1743">
        <f>IF(AND(1741&gt;=16,TEXT(A1743,"yyyy-mm")&lt;&gt;TEXT(A1744,"yyyy-mm")),1,0)</f>
        <v/>
      </c>
      <c r="H1743">
        <f>IF(OR(H1742=1,G1743=1),1,0)</f>
        <v/>
      </c>
      <c r="I1743">
        <f>IF(H1742=0,1,SUMPRODUCT(J1742:N1742,B1743:F1743)+O1742*(1+0.00023125256064071564))</f>
        <v/>
      </c>
      <c r="J1743">
        <f>IF(G1743=1,0.2*R1743/B1743,J1742)</f>
        <v/>
      </c>
      <c r="K1743">
        <f>IF(G1743=1,0.2*R1743/C1743,K1742)</f>
        <v/>
      </c>
      <c r="L1743">
        <f>IF(G1743=1,0.2*R1743/D1743,L1742)</f>
        <v/>
      </c>
      <c r="M1743">
        <f>IF(G1743=1,0.2*R1743/E1743,M1742)</f>
        <v/>
      </c>
      <c r="N1743">
        <f>IF(G1743=1,0.2*R1743/F1743,N1742)</f>
        <v/>
      </c>
      <c r="O1743">
        <f>IF(G1743=1,R1743*(1-1.0),IF(H1742=0,1,O1742*(1+0.00023125256064071564)))</f>
        <v/>
      </c>
      <c r="P1743">
        <f>IF(G1743=1,IF(H1742=0,1,ABS(0.2-J1742*B1743/I1743)+ABS(0.2-K1742*C1743/I1743)+ABS(0.2-L1742*D1743/I1743)+ABS(0.2-M1742*E1743/I1743)+ABS(0.2-N1742*F1743/I1743)),0)</f>
        <v/>
      </c>
      <c r="Q1743">
        <f>P1743*0.0015</f>
        <v/>
      </c>
      <c r="R1743">
        <f>I1743*(1-Q1743)</f>
        <v/>
      </c>
      <c r="S1743">
        <f>R1743/R1742-1</f>
        <v/>
      </c>
      <c r="T1743">
        <f>MAX(T1742,R1743)</f>
        <v/>
      </c>
      <c r="U1743">
        <f>R1743/T1743-1</f>
        <v/>
      </c>
      <c r="V1743" t="n">
        <v>3.313613129222583</v>
      </c>
      <c r="W1743" s="5">
        <f>R1743-V1743</f>
        <v/>
      </c>
    </row>
    <row r="1744">
      <c r="A1744" s="3" t="n">
        <v>41002</v>
      </c>
      <c r="B1744">
        <f>Prices!B1744</f>
        <v/>
      </c>
      <c r="C1744">
        <f>Prices!C1744</f>
        <v/>
      </c>
      <c r="D1744">
        <f>Prices!D1744</f>
        <v/>
      </c>
      <c r="E1744">
        <f>Prices!E1744</f>
        <v/>
      </c>
      <c r="F1744">
        <f>Prices!F1744</f>
        <v/>
      </c>
      <c r="G1744">
        <f>IF(AND(1742&gt;=16,TEXT(A1744,"yyyy-mm")&lt;&gt;TEXT(A1745,"yyyy-mm")),1,0)</f>
        <v/>
      </c>
      <c r="H1744">
        <f>IF(OR(H1743=1,G1744=1),1,0)</f>
        <v/>
      </c>
      <c r="I1744">
        <f>IF(H1743=0,1,SUMPRODUCT(J1743:N1743,B1744:F1744)+O1743*(1+0.00023125256064071564))</f>
        <v/>
      </c>
      <c r="J1744">
        <f>IF(G1744=1,0.2*R1744/B1744,J1743)</f>
        <v/>
      </c>
      <c r="K1744">
        <f>IF(G1744=1,0.2*R1744/C1744,K1743)</f>
        <v/>
      </c>
      <c r="L1744">
        <f>IF(G1744=1,0.2*R1744/D1744,L1743)</f>
        <v/>
      </c>
      <c r="M1744">
        <f>IF(G1744=1,0.2*R1744/E1744,M1743)</f>
        <v/>
      </c>
      <c r="N1744">
        <f>IF(G1744=1,0.2*R1744/F1744,N1743)</f>
        <v/>
      </c>
      <c r="O1744">
        <f>IF(G1744=1,R1744*(1-1.0),IF(H1743=0,1,O1743*(1+0.00023125256064071564)))</f>
        <v/>
      </c>
      <c r="P1744">
        <f>IF(G1744=1,IF(H1743=0,1,ABS(0.2-J1743*B1744/I1744)+ABS(0.2-K1743*C1744/I1744)+ABS(0.2-L1743*D1744/I1744)+ABS(0.2-M1743*E1744/I1744)+ABS(0.2-N1743*F1744/I1744)),0)</f>
        <v/>
      </c>
      <c r="Q1744">
        <f>P1744*0.0015</f>
        <v/>
      </c>
      <c r="R1744">
        <f>I1744*(1-Q1744)</f>
        <v/>
      </c>
      <c r="S1744">
        <f>R1744/R1743-1</f>
        <v/>
      </c>
      <c r="T1744">
        <f>MAX(T1743,R1744)</f>
        <v/>
      </c>
      <c r="U1744">
        <f>R1744/T1744-1</f>
        <v/>
      </c>
      <c r="V1744" t="n">
        <v>3.335789353818529</v>
      </c>
      <c r="W1744" s="5">
        <f>R1744-V1744</f>
        <v/>
      </c>
    </row>
    <row r="1745">
      <c r="A1745" s="3" t="n">
        <v>41003</v>
      </c>
      <c r="B1745">
        <f>Prices!B1745</f>
        <v/>
      </c>
      <c r="C1745">
        <f>Prices!C1745</f>
        <v/>
      </c>
      <c r="D1745">
        <f>Prices!D1745</f>
        <v/>
      </c>
      <c r="E1745">
        <f>Prices!E1745</f>
        <v/>
      </c>
      <c r="F1745">
        <f>Prices!F1745</f>
        <v/>
      </c>
      <c r="G1745">
        <f>IF(AND(1743&gt;=16,TEXT(A1745,"yyyy-mm")&lt;&gt;TEXT(A1746,"yyyy-mm")),1,0)</f>
        <v/>
      </c>
      <c r="H1745">
        <f>IF(OR(H1744=1,G1745=1),1,0)</f>
        <v/>
      </c>
      <c r="I1745">
        <f>IF(H1744=0,1,SUMPRODUCT(J1744:N1744,B1745:F1745)+O1744*(1+0.00023125256064071564))</f>
        <v/>
      </c>
      <c r="J1745">
        <f>IF(G1745=1,0.2*R1745/B1745,J1744)</f>
        <v/>
      </c>
      <c r="K1745">
        <f>IF(G1745=1,0.2*R1745/C1745,K1744)</f>
        <v/>
      </c>
      <c r="L1745">
        <f>IF(G1745=1,0.2*R1745/D1745,L1744)</f>
        <v/>
      </c>
      <c r="M1745">
        <f>IF(G1745=1,0.2*R1745/E1745,M1744)</f>
        <v/>
      </c>
      <c r="N1745">
        <f>IF(G1745=1,0.2*R1745/F1745,N1744)</f>
        <v/>
      </c>
      <c r="O1745">
        <f>IF(G1745=1,R1745*(1-1.0),IF(H1744=0,1,O1744*(1+0.00023125256064071564)))</f>
        <v/>
      </c>
      <c r="P1745">
        <f>IF(G1745=1,IF(H1744=0,1,ABS(0.2-J1744*B1745/I1745)+ABS(0.2-K1744*C1745/I1745)+ABS(0.2-L1744*D1745/I1745)+ABS(0.2-M1744*E1745/I1745)+ABS(0.2-N1744*F1745/I1745)),0)</f>
        <v/>
      </c>
      <c r="Q1745">
        <f>P1745*0.0015</f>
        <v/>
      </c>
      <c r="R1745">
        <f>I1745*(1-Q1745)</f>
        <v/>
      </c>
      <c r="S1745">
        <f>R1745/R1744-1</f>
        <v/>
      </c>
      <c r="T1745">
        <f>MAX(T1744,R1745)</f>
        <v/>
      </c>
      <c r="U1745">
        <f>R1745/T1745-1</f>
        <v/>
      </c>
      <c r="V1745" t="n">
        <v>3.330885280659635</v>
      </c>
      <c r="W1745" s="5">
        <f>R1745-V1745</f>
        <v/>
      </c>
    </row>
    <row r="1746">
      <c r="A1746" s="3" t="n">
        <v>41008</v>
      </c>
      <c r="B1746">
        <f>Prices!B1746</f>
        <v/>
      </c>
      <c r="C1746">
        <f>Prices!C1746</f>
        <v/>
      </c>
      <c r="D1746">
        <f>Prices!D1746</f>
        <v/>
      </c>
      <c r="E1746">
        <f>Prices!E1746</f>
        <v/>
      </c>
      <c r="F1746">
        <f>Prices!F1746</f>
        <v/>
      </c>
      <c r="G1746">
        <f>IF(AND(1744&gt;=16,TEXT(A1746,"yyyy-mm")&lt;&gt;TEXT(A1747,"yyyy-mm")),1,0)</f>
        <v/>
      </c>
      <c r="H1746">
        <f>IF(OR(H1745=1,G1746=1),1,0)</f>
        <v/>
      </c>
      <c r="I1746">
        <f>IF(H1745=0,1,SUMPRODUCT(J1745:N1745,B1746:F1746)+O1745*(1+0.00023125256064071564))</f>
        <v/>
      </c>
      <c r="J1746">
        <f>IF(G1746=1,0.2*R1746/B1746,J1745)</f>
        <v/>
      </c>
      <c r="K1746">
        <f>IF(G1746=1,0.2*R1746/C1746,K1745)</f>
        <v/>
      </c>
      <c r="L1746">
        <f>IF(G1746=1,0.2*R1746/D1746,L1745)</f>
        <v/>
      </c>
      <c r="M1746">
        <f>IF(G1746=1,0.2*R1746/E1746,M1745)</f>
        <v/>
      </c>
      <c r="N1746">
        <f>IF(G1746=1,0.2*R1746/F1746,N1745)</f>
        <v/>
      </c>
      <c r="O1746">
        <f>IF(G1746=1,R1746*(1-1.0),IF(H1745=0,1,O1745*(1+0.00023125256064071564)))</f>
        <v/>
      </c>
      <c r="P1746">
        <f>IF(G1746=1,IF(H1745=0,1,ABS(0.2-J1745*B1746/I1746)+ABS(0.2-K1745*C1746/I1746)+ABS(0.2-L1745*D1746/I1746)+ABS(0.2-M1745*E1746/I1746)+ABS(0.2-N1745*F1746/I1746)),0)</f>
        <v/>
      </c>
      <c r="Q1746">
        <f>P1746*0.0015</f>
        <v/>
      </c>
      <c r="R1746">
        <f>I1746*(1-Q1746)</f>
        <v/>
      </c>
      <c r="S1746">
        <f>R1746/R1745-1</f>
        <v/>
      </c>
      <c r="T1746">
        <f>MAX(T1745,R1746)</f>
        <v/>
      </c>
      <c r="U1746">
        <f>R1746/T1746-1</f>
        <v/>
      </c>
      <c r="V1746" t="n">
        <v>3.28456130188012</v>
      </c>
      <c r="W1746" s="5">
        <f>R1746-V1746</f>
        <v/>
      </c>
    </row>
    <row r="1747">
      <c r="A1747" s="3" t="n">
        <v>41009</v>
      </c>
      <c r="B1747">
        <f>Prices!B1747</f>
        <v/>
      </c>
      <c r="C1747">
        <f>Prices!C1747</f>
        <v/>
      </c>
      <c r="D1747">
        <f>Prices!D1747</f>
        <v/>
      </c>
      <c r="E1747">
        <f>Prices!E1747</f>
        <v/>
      </c>
      <c r="F1747">
        <f>Prices!F1747</f>
        <v/>
      </c>
      <c r="G1747">
        <f>IF(AND(1745&gt;=16,TEXT(A1747,"yyyy-mm")&lt;&gt;TEXT(A1748,"yyyy-mm")),1,0)</f>
        <v/>
      </c>
      <c r="H1747">
        <f>IF(OR(H1746=1,G1747=1),1,0)</f>
        <v/>
      </c>
      <c r="I1747">
        <f>IF(H1746=0,1,SUMPRODUCT(J1746:N1746,B1747:F1747)+O1746*(1+0.00023125256064071564))</f>
        <v/>
      </c>
      <c r="J1747">
        <f>IF(G1747=1,0.2*R1747/B1747,J1746)</f>
        <v/>
      </c>
      <c r="K1747">
        <f>IF(G1747=1,0.2*R1747/C1747,K1746)</f>
        <v/>
      </c>
      <c r="L1747">
        <f>IF(G1747=1,0.2*R1747/D1747,L1746)</f>
        <v/>
      </c>
      <c r="M1747">
        <f>IF(G1747=1,0.2*R1747/E1747,M1746)</f>
        <v/>
      </c>
      <c r="N1747">
        <f>IF(G1747=1,0.2*R1747/F1747,N1746)</f>
        <v/>
      </c>
      <c r="O1747">
        <f>IF(G1747=1,R1747*(1-1.0),IF(H1746=0,1,O1746*(1+0.00023125256064071564)))</f>
        <v/>
      </c>
      <c r="P1747">
        <f>IF(G1747=1,IF(H1746=0,1,ABS(0.2-J1746*B1747/I1747)+ABS(0.2-K1746*C1747/I1747)+ABS(0.2-L1746*D1747/I1747)+ABS(0.2-M1746*E1747/I1747)+ABS(0.2-N1746*F1747/I1747)),0)</f>
        <v/>
      </c>
      <c r="Q1747">
        <f>P1747*0.0015</f>
        <v/>
      </c>
      <c r="R1747">
        <f>I1747*(1-Q1747)</f>
        <v/>
      </c>
      <c r="S1747">
        <f>R1747/R1746-1</f>
        <v/>
      </c>
      <c r="T1747">
        <f>MAX(T1746,R1747)</f>
        <v/>
      </c>
      <c r="U1747">
        <f>R1747/T1747-1</f>
        <v/>
      </c>
      <c r="V1747" t="n">
        <v>3.282718549672393</v>
      </c>
      <c r="W1747" s="5">
        <f>R1747-V1747</f>
        <v/>
      </c>
    </row>
    <row r="1748">
      <c r="A1748" s="3" t="n">
        <v>41010</v>
      </c>
      <c r="B1748">
        <f>Prices!B1748</f>
        <v/>
      </c>
      <c r="C1748">
        <f>Prices!C1748</f>
        <v/>
      </c>
      <c r="D1748">
        <f>Prices!D1748</f>
        <v/>
      </c>
      <c r="E1748">
        <f>Prices!E1748</f>
        <v/>
      </c>
      <c r="F1748">
        <f>Prices!F1748</f>
        <v/>
      </c>
      <c r="G1748">
        <f>IF(AND(1746&gt;=16,TEXT(A1748,"yyyy-mm")&lt;&gt;TEXT(A1749,"yyyy-mm")),1,0)</f>
        <v/>
      </c>
      <c r="H1748">
        <f>IF(OR(H1747=1,G1748=1),1,0)</f>
        <v/>
      </c>
      <c r="I1748">
        <f>IF(H1747=0,1,SUMPRODUCT(J1747:N1747,B1748:F1748)+O1747*(1+0.00023125256064071564))</f>
        <v/>
      </c>
      <c r="J1748">
        <f>IF(G1748=1,0.2*R1748/B1748,J1747)</f>
        <v/>
      </c>
      <c r="K1748">
        <f>IF(G1748=1,0.2*R1748/C1748,K1747)</f>
        <v/>
      </c>
      <c r="L1748">
        <f>IF(G1748=1,0.2*R1748/D1748,L1747)</f>
        <v/>
      </c>
      <c r="M1748">
        <f>IF(G1748=1,0.2*R1748/E1748,M1747)</f>
        <v/>
      </c>
      <c r="N1748">
        <f>IF(G1748=1,0.2*R1748/F1748,N1747)</f>
        <v/>
      </c>
      <c r="O1748">
        <f>IF(G1748=1,R1748*(1-1.0),IF(H1747=0,1,O1747*(1+0.00023125256064071564)))</f>
        <v/>
      </c>
      <c r="P1748">
        <f>IF(G1748=1,IF(H1747=0,1,ABS(0.2-J1747*B1748/I1748)+ABS(0.2-K1747*C1748/I1748)+ABS(0.2-L1747*D1748/I1748)+ABS(0.2-M1747*E1748/I1748)+ABS(0.2-N1747*F1748/I1748)),0)</f>
        <v/>
      </c>
      <c r="Q1748">
        <f>P1748*0.0015</f>
        <v/>
      </c>
      <c r="R1748">
        <f>I1748*(1-Q1748)</f>
        <v/>
      </c>
      <c r="S1748">
        <f>R1748/R1747-1</f>
        <v/>
      </c>
      <c r="T1748">
        <f>MAX(T1747,R1748)</f>
        <v/>
      </c>
      <c r="U1748">
        <f>R1748/T1748-1</f>
        <v/>
      </c>
      <c r="V1748" t="n">
        <v>3.269425791065781</v>
      </c>
      <c r="W1748" s="5">
        <f>R1748-V1748</f>
        <v/>
      </c>
    </row>
    <row r="1749">
      <c r="A1749" s="3" t="n">
        <v>41011</v>
      </c>
      <c r="B1749">
        <f>Prices!B1749</f>
        <v/>
      </c>
      <c r="C1749">
        <f>Prices!C1749</f>
        <v/>
      </c>
      <c r="D1749">
        <f>Prices!D1749</f>
        <v/>
      </c>
      <c r="E1749">
        <f>Prices!E1749</f>
        <v/>
      </c>
      <c r="F1749">
        <f>Prices!F1749</f>
        <v/>
      </c>
      <c r="G1749">
        <f>IF(AND(1747&gt;=16,TEXT(A1749,"yyyy-mm")&lt;&gt;TEXT(A1750,"yyyy-mm")),1,0)</f>
        <v/>
      </c>
      <c r="H1749">
        <f>IF(OR(H1748=1,G1749=1),1,0)</f>
        <v/>
      </c>
      <c r="I1749">
        <f>IF(H1748=0,1,SUMPRODUCT(J1748:N1748,B1749:F1749)+O1748*(1+0.00023125256064071564))</f>
        <v/>
      </c>
      <c r="J1749">
        <f>IF(G1749=1,0.2*R1749/B1749,J1748)</f>
        <v/>
      </c>
      <c r="K1749">
        <f>IF(G1749=1,0.2*R1749/C1749,K1748)</f>
        <v/>
      </c>
      <c r="L1749">
        <f>IF(G1749=1,0.2*R1749/D1749,L1748)</f>
        <v/>
      </c>
      <c r="M1749">
        <f>IF(G1749=1,0.2*R1749/E1749,M1748)</f>
        <v/>
      </c>
      <c r="N1749">
        <f>IF(G1749=1,0.2*R1749/F1749,N1748)</f>
        <v/>
      </c>
      <c r="O1749">
        <f>IF(G1749=1,R1749*(1-1.0),IF(H1748=0,1,O1748*(1+0.00023125256064071564)))</f>
        <v/>
      </c>
      <c r="P1749">
        <f>IF(G1749=1,IF(H1748=0,1,ABS(0.2-J1748*B1749/I1749)+ABS(0.2-K1748*C1749/I1749)+ABS(0.2-L1748*D1749/I1749)+ABS(0.2-M1748*E1749/I1749)+ABS(0.2-N1748*F1749/I1749)),0)</f>
        <v/>
      </c>
      <c r="Q1749">
        <f>P1749*0.0015</f>
        <v/>
      </c>
      <c r="R1749">
        <f>I1749*(1-Q1749)</f>
        <v/>
      </c>
      <c r="S1749">
        <f>R1749/R1748-1</f>
        <v/>
      </c>
      <c r="T1749">
        <f>MAX(T1748,R1749)</f>
        <v/>
      </c>
      <c r="U1749">
        <f>R1749/T1749-1</f>
        <v/>
      </c>
      <c r="V1749" t="n">
        <v>3.29685909398728</v>
      </c>
      <c r="W1749" s="5">
        <f>R1749-V1749</f>
        <v/>
      </c>
    </row>
    <row r="1750">
      <c r="A1750" s="3" t="n">
        <v>41012</v>
      </c>
      <c r="B1750">
        <f>Prices!B1750</f>
        <v/>
      </c>
      <c r="C1750">
        <f>Prices!C1750</f>
        <v/>
      </c>
      <c r="D1750">
        <f>Prices!D1750</f>
        <v/>
      </c>
      <c r="E1750">
        <f>Prices!E1750</f>
        <v/>
      </c>
      <c r="F1750">
        <f>Prices!F1750</f>
        <v/>
      </c>
      <c r="G1750">
        <f>IF(AND(1748&gt;=16,TEXT(A1750,"yyyy-mm")&lt;&gt;TEXT(A1751,"yyyy-mm")),1,0)</f>
        <v/>
      </c>
      <c r="H1750">
        <f>IF(OR(H1749=1,G1750=1),1,0)</f>
        <v/>
      </c>
      <c r="I1750">
        <f>IF(H1749=0,1,SUMPRODUCT(J1749:N1749,B1750:F1750)+O1749*(1+0.00023125256064071564))</f>
        <v/>
      </c>
      <c r="J1750">
        <f>IF(G1750=1,0.2*R1750/B1750,J1749)</f>
        <v/>
      </c>
      <c r="K1750">
        <f>IF(G1750=1,0.2*R1750/C1750,K1749)</f>
        <v/>
      </c>
      <c r="L1750">
        <f>IF(G1750=1,0.2*R1750/D1750,L1749)</f>
        <v/>
      </c>
      <c r="M1750">
        <f>IF(G1750=1,0.2*R1750/E1750,M1749)</f>
        <v/>
      </c>
      <c r="N1750">
        <f>IF(G1750=1,0.2*R1750/F1750,N1749)</f>
        <v/>
      </c>
      <c r="O1750">
        <f>IF(G1750=1,R1750*(1-1.0),IF(H1749=0,1,O1749*(1+0.00023125256064071564)))</f>
        <v/>
      </c>
      <c r="P1750">
        <f>IF(G1750=1,IF(H1749=0,1,ABS(0.2-J1749*B1750/I1750)+ABS(0.2-K1749*C1750/I1750)+ABS(0.2-L1749*D1750/I1750)+ABS(0.2-M1749*E1750/I1750)+ABS(0.2-N1749*F1750/I1750)),0)</f>
        <v/>
      </c>
      <c r="Q1750">
        <f>P1750*0.0015</f>
        <v/>
      </c>
      <c r="R1750">
        <f>I1750*(1-Q1750)</f>
        <v/>
      </c>
      <c r="S1750">
        <f>R1750/R1749-1</f>
        <v/>
      </c>
      <c r="T1750">
        <f>MAX(T1749,R1750)</f>
        <v/>
      </c>
      <c r="U1750">
        <f>R1750/T1750-1</f>
        <v/>
      </c>
      <c r="V1750" t="n">
        <v>3.275810861321518</v>
      </c>
      <c r="W1750" s="5">
        <f>R1750-V1750</f>
        <v/>
      </c>
    </row>
    <row r="1751">
      <c r="A1751" s="3" t="n">
        <v>41015</v>
      </c>
      <c r="B1751">
        <f>Prices!B1751</f>
        <v/>
      </c>
      <c r="C1751">
        <f>Prices!C1751</f>
        <v/>
      </c>
      <c r="D1751">
        <f>Prices!D1751</f>
        <v/>
      </c>
      <c r="E1751">
        <f>Prices!E1751</f>
        <v/>
      </c>
      <c r="F1751">
        <f>Prices!F1751</f>
        <v/>
      </c>
      <c r="G1751">
        <f>IF(AND(1749&gt;=16,TEXT(A1751,"yyyy-mm")&lt;&gt;TEXT(A1752,"yyyy-mm")),1,0)</f>
        <v/>
      </c>
      <c r="H1751">
        <f>IF(OR(H1750=1,G1751=1),1,0)</f>
        <v/>
      </c>
      <c r="I1751">
        <f>IF(H1750=0,1,SUMPRODUCT(J1750:N1750,B1751:F1751)+O1750*(1+0.00023125256064071564))</f>
        <v/>
      </c>
      <c r="J1751">
        <f>IF(G1751=1,0.2*R1751/B1751,J1750)</f>
        <v/>
      </c>
      <c r="K1751">
        <f>IF(G1751=1,0.2*R1751/C1751,K1750)</f>
        <v/>
      </c>
      <c r="L1751">
        <f>IF(G1751=1,0.2*R1751/D1751,L1750)</f>
        <v/>
      </c>
      <c r="M1751">
        <f>IF(G1751=1,0.2*R1751/E1751,M1750)</f>
        <v/>
      </c>
      <c r="N1751">
        <f>IF(G1751=1,0.2*R1751/F1751,N1750)</f>
        <v/>
      </c>
      <c r="O1751">
        <f>IF(G1751=1,R1751*(1-1.0),IF(H1750=0,1,O1750*(1+0.00023125256064071564)))</f>
        <v/>
      </c>
      <c r="P1751">
        <f>IF(G1751=1,IF(H1750=0,1,ABS(0.2-J1750*B1751/I1751)+ABS(0.2-K1750*C1751/I1751)+ABS(0.2-L1750*D1751/I1751)+ABS(0.2-M1750*E1751/I1751)+ABS(0.2-N1750*F1751/I1751)),0)</f>
        <v/>
      </c>
      <c r="Q1751">
        <f>P1751*0.0015</f>
        <v/>
      </c>
      <c r="R1751">
        <f>I1751*(1-Q1751)</f>
        <v/>
      </c>
      <c r="S1751">
        <f>R1751/R1750-1</f>
        <v/>
      </c>
      <c r="T1751">
        <f>MAX(T1750,R1751)</f>
        <v/>
      </c>
      <c r="U1751">
        <f>R1751/T1751-1</f>
        <v/>
      </c>
      <c r="V1751" t="n">
        <v>3.297366541744175</v>
      </c>
      <c r="W1751" s="5">
        <f>R1751-V1751</f>
        <v/>
      </c>
    </row>
    <row r="1752">
      <c r="A1752" s="3" t="n">
        <v>41016</v>
      </c>
      <c r="B1752">
        <f>Prices!B1752</f>
        <v/>
      </c>
      <c r="C1752">
        <f>Prices!C1752</f>
        <v/>
      </c>
      <c r="D1752">
        <f>Prices!D1752</f>
        <v/>
      </c>
      <c r="E1752">
        <f>Prices!E1752</f>
        <v/>
      </c>
      <c r="F1752">
        <f>Prices!F1752</f>
        <v/>
      </c>
      <c r="G1752">
        <f>IF(AND(1750&gt;=16,TEXT(A1752,"yyyy-mm")&lt;&gt;TEXT(A1753,"yyyy-mm")),1,0)</f>
        <v/>
      </c>
      <c r="H1752">
        <f>IF(OR(H1751=1,G1752=1),1,0)</f>
        <v/>
      </c>
      <c r="I1752">
        <f>IF(H1751=0,1,SUMPRODUCT(J1751:N1751,B1752:F1752)+O1751*(1+0.00023125256064071564))</f>
        <v/>
      </c>
      <c r="J1752">
        <f>IF(G1752=1,0.2*R1752/B1752,J1751)</f>
        <v/>
      </c>
      <c r="K1752">
        <f>IF(G1752=1,0.2*R1752/C1752,K1751)</f>
        <v/>
      </c>
      <c r="L1752">
        <f>IF(G1752=1,0.2*R1752/D1752,L1751)</f>
        <v/>
      </c>
      <c r="M1752">
        <f>IF(G1752=1,0.2*R1752/E1752,M1751)</f>
        <v/>
      </c>
      <c r="N1752">
        <f>IF(G1752=1,0.2*R1752/F1752,N1751)</f>
        <v/>
      </c>
      <c r="O1752">
        <f>IF(G1752=1,R1752*(1-1.0),IF(H1751=0,1,O1751*(1+0.00023125256064071564)))</f>
        <v/>
      </c>
      <c r="P1752">
        <f>IF(G1752=1,IF(H1751=0,1,ABS(0.2-J1751*B1752/I1752)+ABS(0.2-K1751*C1752/I1752)+ABS(0.2-L1751*D1752/I1752)+ABS(0.2-M1751*E1752/I1752)+ABS(0.2-N1751*F1752/I1752)),0)</f>
        <v/>
      </c>
      <c r="Q1752">
        <f>P1752*0.0015</f>
        <v/>
      </c>
      <c r="R1752">
        <f>I1752*(1-Q1752)</f>
        <v/>
      </c>
      <c r="S1752">
        <f>R1752/R1751-1</f>
        <v/>
      </c>
      <c r="T1752">
        <f>MAX(T1751,R1752)</f>
        <v/>
      </c>
      <c r="U1752">
        <f>R1752/T1752-1</f>
        <v/>
      </c>
      <c r="V1752" t="n">
        <v>3.320518216314217</v>
      </c>
      <c r="W1752" s="5">
        <f>R1752-V1752</f>
        <v/>
      </c>
    </row>
    <row r="1753">
      <c r="A1753" s="3" t="n">
        <v>41017</v>
      </c>
      <c r="B1753">
        <f>Prices!B1753</f>
        <v/>
      </c>
      <c r="C1753">
        <f>Prices!C1753</f>
        <v/>
      </c>
      <c r="D1753">
        <f>Prices!D1753</f>
        <v/>
      </c>
      <c r="E1753">
        <f>Prices!E1753</f>
        <v/>
      </c>
      <c r="F1753">
        <f>Prices!F1753</f>
        <v/>
      </c>
      <c r="G1753">
        <f>IF(AND(1751&gt;=16,TEXT(A1753,"yyyy-mm")&lt;&gt;TEXT(A1754,"yyyy-mm")),1,0)</f>
        <v/>
      </c>
      <c r="H1753">
        <f>IF(OR(H1752=1,G1753=1),1,0)</f>
        <v/>
      </c>
      <c r="I1753">
        <f>IF(H1752=0,1,SUMPRODUCT(J1752:N1752,B1753:F1753)+O1752*(1+0.00023125256064071564))</f>
        <v/>
      </c>
      <c r="J1753">
        <f>IF(G1753=1,0.2*R1753/B1753,J1752)</f>
        <v/>
      </c>
      <c r="K1753">
        <f>IF(G1753=1,0.2*R1753/C1753,K1752)</f>
        <v/>
      </c>
      <c r="L1753">
        <f>IF(G1753=1,0.2*R1753/D1753,L1752)</f>
        <v/>
      </c>
      <c r="M1753">
        <f>IF(G1753=1,0.2*R1753/E1753,M1752)</f>
        <v/>
      </c>
      <c r="N1753">
        <f>IF(G1753=1,0.2*R1753/F1753,N1752)</f>
        <v/>
      </c>
      <c r="O1753">
        <f>IF(G1753=1,R1753*(1-1.0),IF(H1752=0,1,O1752*(1+0.00023125256064071564)))</f>
        <v/>
      </c>
      <c r="P1753">
        <f>IF(G1753=1,IF(H1752=0,1,ABS(0.2-J1752*B1753/I1753)+ABS(0.2-K1752*C1753/I1753)+ABS(0.2-L1752*D1753/I1753)+ABS(0.2-M1752*E1753/I1753)+ABS(0.2-N1752*F1753/I1753)),0)</f>
        <v/>
      </c>
      <c r="Q1753">
        <f>P1753*0.0015</f>
        <v/>
      </c>
      <c r="R1753">
        <f>I1753*(1-Q1753)</f>
        <v/>
      </c>
      <c r="S1753">
        <f>R1753/R1752-1</f>
        <v/>
      </c>
      <c r="T1753">
        <f>MAX(T1752,R1753)</f>
        <v/>
      </c>
      <c r="U1753">
        <f>R1753/T1753-1</f>
        <v/>
      </c>
      <c r="V1753" t="n">
        <v>3.333972256603441</v>
      </c>
      <c r="W1753" s="5">
        <f>R1753-V1753</f>
        <v/>
      </c>
    </row>
    <row r="1754">
      <c r="A1754" s="3" t="n">
        <v>41018</v>
      </c>
      <c r="B1754">
        <f>Prices!B1754</f>
        <v/>
      </c>
      <c r="C1754">
        <f>Prices!C1754</f>
        <v/>
      </c>
      <c r="D1754">
        <f>Prices!D1754</f>
        <v/>
      </c>
      <c r="E1754">
        <f>Prices!E1754</f>
        <v/>
      </c>
      <c r="F1754">
        <f>Prices!F1754</f>
        <v/>
      </c>
      <c r="G1754">
        <f>IF(AND(1752&gt;=16,TEXT(A1754,"yyyy-mm")&lt;&gt;TEXT(A1755,"yyyy-mm")),1,0)</f>
        <v/>
      </c>
      <c r="H1754">
        <f>IF(OR(H1753=1,G1754=1),1,0)</f>
        <v/>
      </c>
      <c r="I1754">
        <f>IF(H1753=0,1,SUMPRODUCT(J1753:N1753,B1754:F1754)+O1753*(1+0.00023125256064071564))</f>
        <v/>
      </c>
      <c r="J1754">
        <f>IF(G1754=1,0.2*R1754/B1754,J1753)</f>
        <v/>
      </c>
      <c r="K1754">
        <f>IF(G1754=1,0.2*R1754/C1754,K1753)</f>
        <v/>
      </c>
      <c r="L1754">
        <f>IF(G1754=1,0.2*R1754/D1754,L1753)</f>
        <v/>
      </c>
      <c r="M1754">
        <f>IF(G1754=1,0.2*R1754/E1754,M1753)</f>
        <v/>
      </c>
      <c r="N1754">
        <f>IF(G1754=1,0.2*R1754/F1754,N1753)</f>
        <v/>
      </c>
      <c r="O1754">
        <f>IF(G1754=1,R1754*(1-1.0),IF(H1753=0,1,O1753*(1+0.00023125256064071564)))</f>
        <v/>
      </c>
      <c r="P1754">
        <f>IF(G1754=1,IF(H1753=0,1,ABS(0.2-J1753*B1754/I1754)+ABS(0.2-K1753*C1754/I1754)+ABS(0.2-L1753*D1754/I1754)+ABS(0.2-M1753*E1754/I1754)+ABS(0.2-N1753*F1754/I1754)),0)</f>
        <v/>
      </c>
      <c r="Q1754">
        <f>P1754*0.0015</f>
        <v/>
      </c>
      <c r="R1754">
        <f>I1754*(1-Q1754)</f>
        <v/>
      </c>
      <c r="S1754">
        <f>R1754/R1753-1</f>
        <v/>
      </c>
      <c r="T1754">
        <f>MAX(T1753,R1754)</f>
        <v/>
      </c>
      <c r="U1754">
        <f>R1754/T1754-1</f>
        <v/>
      </c>
      <c r="V1754" t="n">
        <v>3.342114159315235</v>
      </c>
      <c r="W1754" s="5">
        <f>R1754-V1754</f>
        <v/>
      </c>
    </row>
    <row r="1755">
      <c r="A1755" s="3" t="n">
        <v>41019</v>
      </c>
      <c r="B1755">
        <f>Prices!B1755</f>
        <v/>
      </c>
      <c r="C1755">
        <f>Prices!C1755</f>
        <v/>
      </c>
      <c r="D1755">
        <f>Prices!D1755</f>
        <v/>
      </c>
      <c r="E1755">
        <f>Prices!E1755</f>
        <v/>
      </c>
      <c r="F1755">
        <f>Prices!F1755</f>
        <v/>
      </c>
      <c r="G1755">
        <f>IF(AND(1753&gt;=16,TEXT(A1755,"yyyy-mm")&lt;&gt;TEXT(A1756,"yyyy-mm")),1,0)</f>
        <v/>
      </c>
      <c r="H1755">
        <f>IF(OR(H1754=1,G1755=1),1,0)</f>
        <v/>
      </c>
      <c r="I1755">
        <f>IF(H1754=0,1,SUMPRODUCT(J1754:N1754,B1755:F1755)+O1754*(1+0.00023125256064071564))</f>
        <v/>
      </c>
      <c r="J1755">
        <f>IF(G1755=1,0.2*R1755/B1755,J1754)</f>
        <v/>
      </c>
      <c r="K1755">
        <f>IF(G1755=1,0.2*R1755/C1755,K1754)</f>
        <v/>
      </c>
      <c r="L1755">
        <f>IF(G1755=1,0.2*R1755/D1755,L1754)</f>
        <v/>
      </c>
      <c r="M1755">
        <f>IF(G1755=1,0.2*R1755/E1755,M1754)</f>
        <v/>
      </c>
      <c r="N1755">
        <f>IF(G1755=1,0.2*R1755/F1755,N1754)</f>
        <v/>
      </c>
      <c r="O1755">
        <f>IF(G1755=1,R1755*(1-1.0),IF(H1754=0,1,O1754*(1+0.00023125256064071564)))</f>
        <v/>
      </c>
      <c r="P1755">
        <f>IF(G1755=1,IF(H1754=0,1,ABS(0.2-J1754*B1755/I1755)+ABS(0.2-K1754*C1755/I1755)+ABS(0.2-L1754*D1755/I1755)+ABS(0.2-M1754*E1755/I1755)+ABS(0.2-N1754*F1755/I1755)),0)</f>
        <v/>
      </c>
      <c r="Q1755">
        <f>P1755*0.0015</f>
        <v/>
      </c>
      <c r="R1755">
        <f>I1755*(1-Q1755)</f>
        <v/>
      </c>
      <c r="S1755">
        <f>R1755/R1754-1</f>
        <v/>
      </c>
      <c r="T1755">
        <f>MAX(T1754,R1755)</f>
        <v/>
      </c>
      <c r="U1755">
        <f>R1755/T1755-1</f>
        <v/>
      </c>
      <c r="V1755" t="n">
        <v>3.318330474760982</v>
      </c>
      <c r="W1755" s="5">
        <f>R1755-V1755</f>
        <v/>
      </c>
    </row>
    <row r="1756">
      <c r="A1756" s="3" t="n">
        <v>41022</v>
      </c>
      <c r="B1756">
        <f>Prices!B1756</f>
        <v/>
      </c>
      <c r="C1756">
        <f>Prices!C1756</f>
        <v/>
      </c>
      <c r="D1756">
        <f>Prices!D1756</f>
        <v/>
      </c>
      <c r="E1756">
        <f>Prices!E1756</f>
        <v/>
      </c>
      <c r="F1756">
        <f>Prices!F1756</f>
        <v/>
      </c>
      <c r="G1756">
        <f>IF(AND(1754&gt;=16,TEXT(A1756,"yyyy-mm")&lt;&gt;TEXT(A1757,"yyyy-mm")),1,0)</f>
        <v/>
      </c>
      <c r="H1756">
        <f>IF(OR(H1755=1,G1756=1),1,0)</f>
        <v/>
      </c>
      <c r="I1756">
        <f>IF(H1755=0,1,SUMPRODUCT(J1755:N1755,B1756:F1756)+O1755*(1+0.00023125256064071564))</f>
        <v/>
      </c>
      <c r="J1756">
        <f>IF(G1756=1,0.2*R1756/B1756,J1755)</f>
        <v/>
      </c>
      <c r="K1756">
        <f>IF(G1756=1,0.2*R1756/C1756,K1755)</f>
        <v/>
      </c>
      <c r="L1756">
        <f>IF(G1756=1,0.2*R1756/D1756,L1755)</f>
        <v/>
      </c>
      <c r="M1756">
        <f>IF(G1756=1,0.2*R1756/E1756,M1755)</f>
        <v/>
      </c>
      <c r="N1756">
        <f>IF(G1756=1,0.2*R1756/F1756,N1755)</f>
        <v/>
      </c>
      <c r="O1756">
        <f>IF(G1756=1,R1756*(1-1.0),IF(H1755=0,1,O1755*(1+0.00023125256064071564)))</f>
        <v/>
      </c>
      <c r="P1756">
        <f>IF(G1756=1,IF(H1755=0,1,ABS(0.2-J1755*B1756/I1756)+ABS(0.2-K1755*C1756/I1756)+ABS(0.2-L1755*D1756/I1756)+ABS(0.2-M1755*E1756/I1756)+ABS(0.2-N1755*F1756/I1756)),0)</f>
        <v/>
      </c>
      <c r="Q1756">
        <f>P1756*0.0015</f>
        <v/>
      </c>
      <c r="R1756">
        <f>I1756*(1-Q1756)</f>
        <v/>
      </c>
      <c r="S1756">
        <f>R1756/R1755-1</f>
        <v/>
      </c>
      <c r="T1756">
        <f>MAX(T1755,R1756)</f>
        <v/>
      </c>
      <c r="U1756">
        <f>R1756/T1756-1</f>
        <v/>
      </c>
      <c r="V1756" t="n">
        <v>3.266841414445856</v>
      </c>
      <c r="W1756" s="5">
        <f>R1756-V1756</f>
        <v/>
      </c>
    </row>
    <row r="1757">
      <c r="A1757" s="3" t="n">
        <v>41023</v>
      </c>
      <c r="B1757">
        <f>Prices!B1757</f>
        <v/>
      </c>
      <c r="C1757">
        <f>Prices!C1757</f>
        <v/>
      </c>
      <c r="D1757">
        <f>Prices!D1757</f>
        <v/>
      </c>
      <c r="E1757">
        <f>Prices!E1757</f>
        <v/>
      </c>
      <c r="F1757">
        <f>Prices!F1757</f>
        <v/>
      </c>
      <c r="G1757">
        <f>IF(AND(1755&gt;=16,TEXT(A1757,"yyyy-mm")&lt;&gt;TEXT(A1758,"yyyy-mm")),1,0)</f>
        <v/>
      </c>
      <c r="H1757">
        <f>IF(OR(H1756=1,G1757=1),1,0)</f>
        <v/>
      </c>
      <c r="I1757">
        <f>IF(H1756=0,1,SUMPRODUCT(J1756:N1756,B1757:F1757)+O1756*(1+0.00023125256064071564))</f>
        <v/>
      </c>
      <c r="J1757">
        <f>IF(G1757=1,0.2*R1757/B1757,J1756)</f>
        <v/>
      </c>
      <c r="K1757">
        <f>IF(G1757=1,0.2*R1757/C1757,K1756)</f>
        <v/>
      </c>
      <c r="L1757">
        <f>IF(G1757=1,0.2*R1757/D1757,L1756)</f>
        <v/>
      </c>
      <c r="M1757">
        <f>IF(G1757=1,0.2*R1757/E1757,M1756)</f>
        <v/>
      </c>
      <c r="N1757">
        <f>IF(G1757=1,0.2*R1757/F1757,N1756)</f>
        <v/>
      </c>
      <c r="O1757">
        <f>IF(G1757=1,R1757*(1-1.0),IF(H1756=0,1,O1756*(1+0.00023125256064071564)))</f>
        <v/>
      </c>
      <c r="P1757">
        <f>IF(G1757=1,IF(H1756=0,1,ABS(0.2-J1756*B1757/I1757)+ABS(0.2-K1756*C1757/I1757)+ABS(0.2-L1756*D1757/I1757)+ABS(0.2-M1756*E1757/I1757)+ABS(0.2-N1756*F1757/I1757)),0)</f>
        <v/>
      </c>
      <c r="Q1757">
        <f>P1757*0.0015</f>
        <v/>
      </c>
      <c r="R1757">
        <f>I1757*(1-Q1757)</f>
        <v/>
      </c>
      <c r="S1757">
        <f>R1757/R1756-1</f>
        <v/>
      </c>
      <c r="T1757">
        <f>MAX(T1756,R1757)</f>
        <v/>
      </c>
      <c r="U1757">
        <f>R1757/T1757-1</f>
        <v/>
      </c>
      <c r="V1757" t="n">
        <v>3.273112194921774</v>
      </c>
      <c r="W1757" s="5">
        <f>R1757-V1757</f>
        <v/>
      </c>
    </row>
    <row r="1758">
      <c r="A1758" s="3" t="n">
        <v>41024</v>
      </c>
      <c r="B1758">
        <f>Prices!B1758</f>
        <v/>
      </c>
      <c r="C1758">
        <f>Prices!C1758</f>
        <v/>
      </c>
      <c r="D1758">
        <f>Prices!D1758</f>
        <v/>
      </c>
      <c r="E1758">
        <f>Prices!E1758</f>
        <v/>
      </c>
      <c r="F1758">
        <f>Prices!F1758</f>
        <v/>
      </c>
      <c r="G1758">
        <f>IF(AND(1756&gt;=16,TEXT(A1758,"yyyy-mm")&lt;&gt;TEXT(A1759,"yyyy-mm")),1,0)</f>
        <v/>
      </c>
      <c r="H1758">
        <f>IF(OR(H1757=1,G1758=1),1,0)</f>
        <v/>
      </c>
      <c r="I1758">
        <f>IF(H1757=0,1,SUMPRODUCT(J1757:N1757,B1758:F1758)+O1757*(1+0.00023125256064071564))</f>
        <v/>
      </c>
      <c r="J1758">
        <f>IF(G1758=1,0.2*R1758/B1758,J1757)</f>
        <v/>
      </c>
      <c r="K1758">
        <f>IF(G1758=1,0.2*R1758/C1758,K1757)</f>
        <v/>
      </c>
      <c r="L1758">
        <f>IF(G1758=1,0.2*R1758/D1758,L1757)</f>
        <v/>
      </c>
      <c r="M1758">
        <f>IF(G1758=1,0.2*R1758/E1758,M1757)</f>
        <v/>
      </c>
      <c r="N1758">
        <f>IF(G1758=1,0.2*R1758/F1758,N1757)</f>
        <v/>
      </c>
      <c r="O1758">
        <f>IF(G1758=1,R1758*(1-1.0),IF(H1757=0,1,O1757*(1+0.00023125256064071564)))</f>
        <v/>
      </c>
      <c r="P1758">
        <f>IF(G1758=1,IF(H1757=0,1,ABS(0.2-J1757*B1758/I1758)+ABS(0.2-K1757*C1758/I1758)+ABS(0.2-L1757*D1758/I1758)+ABS(0.2-M1757*E1758/I1758)+ABS(0.2-N1757*F1758/I1758)),0)</f>
        <v/>
      </c>
      <c r="Q1758">
        <f>P1758*0.0015</f>
        <v/>
      </c>
      <c r="R1758">
        <f>I1758*(1-Q1758)</f>
        <v/>
      </c>
      <c r="S1758">
        <f>R1758/R1757-1</f>
        <v/>
      </c>
      <c r="T1758">
        <f>MAX(T1757,R1758)</f>
        <v/>
      </c>
      <c r="U1758">
        <f>R1758/T1758-1</f>
        <v/>
      </c>
      <c r="V1758" t="n">
        <v>3.261521789287248</v>
      </c>
      <c r="W1758" s="5">
        <f>R1758-V1758</f>
        <v/>
      </c>
    </row>
    <row r="1759">
      <c r="A1759" s="3" t="n">
        <v>41025</v>
      </c>
      <c r="B1759">
        <f>Prices!B1759</f>
        <v/>
      </c>
      <c r="C1759">
        <f>Prices!C1759</f>
        <v/>
      </c>
      <c r="D1759">
        <f>Prices!D1759</f>
        <v/>
      </c>
      <c r="E1759">
        <f>Prices!E1759</f>
        <v/>
      </c>
      <c r="F1759">
        <f>Prices!F1759</f>
        <v/>
      </c>
      <c r="G1759">
        <f>IF(AND(1757&gt;=16,TEXT(A1759,"yyyy-mm")&lt;&gt;TEXT(A1760,"yyyy-mm")),1,0)</f>
        <v/>
      </c>
      <c r="H1759">
        <f>IF(OR(H1758=1,G1759=1),1,0)</f>
        <v/>
      </c>
      <c r="I1759">
        <f>IF(H1758=0,1,SUMPRODUCT(J1758:N1758,B1759:F1759)+O1758*(1+0.00023125256064071564))</f>
        <v/>
      </c>
      <c r="J1759">
        <f>IF(G1759=1,0.2*R1759/B1759,J1758)</f>
        <v/>
      </c>
      <c r="K1759">
        <f>IF(G1759=1,0.2*R1759/C1759,K1758)</f>
        <v/>
      </c>
      <c r="L1759">
        <f>IF(G1759=1,0.2*R1759/D1759,L1758)</f>
        <v/>
      </c>
      <c r="M1759">
        <f>IF(G1759=1,0.2*R1759/E1759,M1758)</f>
        <v/>
      </c>
      <c r="N1759">
        <f>IF(G1759=1,0.2*R1759/F1759,N1758)</f>
        <v/>
      </c>
      <c r="O1759">
        <f>IF(G1759=1,R1759*(1-1.0),IF(H1758=0,1,O1758*(1+0.00023125256064071564)))</f>
        <v/>
      </c>
      <c r="P1759">
        <f>IF(G1759=1,IF(H1758=0,1,ABS(0.2-J1758*B1759/I1759)+ABS(0.2-K1758*C1759/I1759)+ABS(0.2-L1758*D1759/I1759)+ABS(0.2-M1758*E1759/I1759)+ABS(0.2-N1758*F1759/I1759)),0)</f>
        <v/>
      </c>
      <c r="Q1759">
        <f>P1759*0.0015</f>
        <v/>
      </c>
      <c r="R1759">
        <f>I1759*(1-Q1759)</f>
        <v/>
      </c>
      <c r="S1759">
        <f>R1759/R1758-1</f>
        <v/>
      </c>
      <c r="T1759">
        <f>MAX(T1758,R1759)</f>
        <v/>
      </c>
      <c r="U1759">
        <f>R1759/T1759-1</f>
        <v/>
      </c>
      <c r="V1759" t="n">
        <v>3.240141202386559</v>
      </c>
      <c r="W1759" s="5">
        <f>R1759-V1759</f>
        <v/>
      </c>
    </row>
    <row r="1760">
      <c r="A1760" s="3" t="n">
        <v>41026</v>
      </c>
      <c r="B1760">
        <f>Prices!B1760</f>
        <v/>
      </c>
      <c r="C1760">
        <f>Prices!C1760</f>
        <v/>
      </c>
      <c r="D1760">
        <f>Prices!D1760</f>
        <v/>
      </c>
      <c r="E1760">
        <f>Prices!E1760</f>
        <v/>
      </c>
      <c r="F1760">
        <f>Prices!F1760</f>
        <v/>
      </c>
      <c r="G1760">
        <f>IF(AND(1758&gt;=16,TEXT(A1760,"yyyy-mm")&lt;&gt;TEXT(A1761,"yyyy-mm")),1,0)</f>
        <v/>
      </c>
      <c r="H1760">
        <f>IF(OR(H1759=1,G1760=1),1,0)</f>
        <v/>
      </c>
      <c r="I1760">
        <f>IF(H1759=0,1,SUMPRODUCT(J1759:N1759,B1760:F1760)+O1759*(1+0.00023125256064071564))</f>
        <v/>
      </c>
      <c r="J1760">
        <f>IF(G1760=1,0.2*R1760/B1760,J1759)</f>
        <v/>
      </c>
      <c r="K1760">
        <f>IF(G1760=1,0.2*R1760/C1760,K1759)</f>
        <v/>
      </c>
      <c r="L1760">
        <f>IF(G1760=1,0.2*R1760/D1760,L1759)</f>
        <v/>
      </c>
      <c r="M1760">
        <f>IF(G1760=1,0.2*R1760/E1760,M1759)</f>
        <v/>
      </c>
      <c r="N1760">
        <f>IF(G1760=1,0.2*R1760/F1760,N1759)</f>
        <v/>
      </c>
      <c r="O1760">
        <f>IF(G1760=1,R1760*(1-1.0),IF(H1759=0,1,O1759*(1+0.00023125256064071564)))</f>
        <v/>
      </c>
      <c r="P1760">
        <f>IF(G1760=1,IF(H1759=0,1,ABS(0.2-J1759*B1760/I1760)+ABS(0.2-K1759*C1760/I1760)+ABS(0.2-L1759*D1760/I1760)+ABS(0.2-M1759*E1760/I1760)+ABS(0.2-N1759*F1760/I1760)),0)</f>
        <v/>
      </c>
      <c r="Q1760">
        <f>P1760*0.0015</f>
        <v/>
      </c>
      <c r="R1760">
        <f>I1760*(1-Q1760)</f>
        <v/>
      </c>
      <c r="S1760">
        <f>R1760/R1759-1</f>
        <v/>
      </c>
      <c r="T1760">
        <f>MAX(T1759,R1760)</f>
        <v/>
      </c>
      <c r="U1760">
        <f>R1760/T1760-1</f>
        <v/>
      </c>
      <c r="V1760" t="n">
        <v>3.243240496343902</v>
      </c>
      <c r="W1760" s="5">
        <f>R1760-V1760</f>
        <v/>
      </c>
    </row>
    <row r="1761">
      <c r="A1761" s="3" t="n">
        <v>41027</v>
      </c>
      <c r="B1761">
        <f>Prices!B1761</f>
        <v/>
      </c>
      <c r="C1761">
        <f>Prices!C1761</f>
        <v/>
      </c>
      <c r="D1761">
        <f>Prices!D1761</f>
        <v/>
      </c>
      <c r="E1761">
        <f>Prices!E1761</f>
        <v/>
      </c>
      <c r="F1761">
        <f>Prices!F1761</f>
        <v/>
      </c>
      <c r="G1761">
        <f>IF(AND(1759&gt;=16,TEXT(A1761,"yyyy-mm")&lt;&gt;TEXT(A1762,"yyyy-mm")),1,0)</f>
        <v/>
      </c>
      <c r="H1761">
        <f>IF(OR(H1760=1,G1761=1),1,0)</f>
        <v/>
      </c>
      <c r="I1761">
        <f>IF(H1760=0,1,SUMPRODUCT(J1760:N1760,B1761:F1761)+O1760*(1+0.00023125256064071564))</f>
        <v/>
      </c>
      <c r="J1761">
        <f>IF(G1761=1,0.2*R1761/B1761,J1760)</f>
        <v/>
      </c>
      <c r="K1761">
        <f>IF(G1761=1,0.2*R1761/C1761,K1760)</f>
        <v/>
      </c>
      <c r="L1761">
        <f>IF(G1761=1,0.2*R1761/D1761,L1760)</f>
        <v/>
      </c>
      <c r="M1761">
        <f>IF(G1761=1,0.2*R1761/E1761,M1760)</f>
        <v/>
      </c>
      <c r="N1761">
        <f>IF(G1761=1,0.2*R1761/F1761,N1760)</f>
        <v/>
      </c>
      <c r="O1761">
        <f>IF(G1761=1,R1761*(1-1.0),IF(H1760=0,1,O1760*(1+0.00023125256064071564)))</f>
        <v/>
      </c>
      <c r="P1761">
        <f>IF(G1761=1,IF(H1760=0,1,ABS(0.2-J1760*B1761/I1761)+ABS(0.2-K1760*C1761/I1761)+ABS(0.2-L1760*D1761/I1761)+ABS(0.2-M1760*E1761/I1761)+ABS(0.2-N1760*F1761/I1761)),0)</f>
        <v/>
      </c>
      <c r="Q1761">
        <f>P1761*0.0015</f>
        <v/>
      </c>
      <c r="R1761">
        <f>I1761*(1-Q1761)</f>
        <v/>
      </c>
      <c r="S1761">
        <f>R1761/R1760-1</f>
        <v/>
      </c>
      <c r="T1761">
        <f>MAX(T1760,R1761)</f>
        <v/>
      </c>
      <c r="U1761">
        <f>R1761/T1761-1</f>
        <v/>
      </c>
      <c r="V1761" t="n">
        <v>3.253838498227333</v>
      </c>
      <c r="W1761" s="5">
        <f>R1761-V1761</f>
        <v/>
      </c>
    </row>
    <row r="1762">
      <c r="A1762" s="3" t="n">
        <v>41029</v>
      </c>
      <c r="B1762">
        <f>Prices!B1762</f>
        <v/>
      </c>
      <c r="C1762">
        <f>Prices!C1762</f>
        <v/>
      </c>
      <c r="D1762">
        <f>Prices!D1762</f>
        <v/>
      </c>
      <c r="E1762">
        <f>Prices!E1762</f>
        <v/>
      </c>
      <c r="F1762">
        <f>Prices!F1762</f>
        <v/>
      </c>
      <c r="G1762">
        <f>IF(AND(1760&gt;=16,TEXT(A1762,"yyyy-mm")&lt;&gt;TEXT(A1763,"yyyy-mm")),1,0)</f>
        <v/>
      </c>
      <c r="H1762">
        <f>IF(OR(H1761=1,G1762=1),1,0)</f>
        <v/>
      </c>
      <c r="I1762">
        <f>IF(H1761=0,1,SUMPRODUCT(J1761:N1761,B1762:F1762)+O1761*(1+0.00023125256064071564))</f>
        <v/>
      </c>
      <c r="J1762">
        <f>IF(G1762=1,0.2*R1762/B1762,J1761)</f>
        <v/>
      </c>
      <c r="K1762">
        <f>IF(G1762=1,0.2*R1762/C1762,K1761)</f>
        <v/>
      </c>
      <c r="L1762">
        <f>IF(G1762=1,0.2*R1762/D1762,L1761)</f>
        <v/>
      </c>
      <c r="M1762">
        <f>IF(G1762=1,0.2*R1762/E1762,M1761)</f>
        <v/>
      </c>
      <c r="N1762">
        <f>IF(G1762=1,0.2*R1762/F1762,N1761)</f>
        <v/>
      </c>
      <c r="O1762">
        <f>IF(G1762=1,R1762*(1-1.0),IF(H1761=0,1,O1761*(1+0.00023125256064071564)))</f>
        <v/>
      </c>
      <c r="P1762">
        <f>IF(G1762=1,IF(H1761=0,1,ABS(0.2-J1761*B1762/I1762)+ABS(0.2-K1761*C1762/I1762)+ABS(0.2-L1761*D1762/I1762)+ABS(0.2-M1761*E1762/I1762)+ABS(0.2-N1761*F1762/I1762)),0)</f>
        <v/>
      </c>
      <c r="Q1762">
        <f>P1762*0.0015</f>
        <v/>
      </c>
      <c r="R1762">
        <f>I1762*(1-Q1762)</f>
        <v/>
      </c>
      <c r="S1762">
        <f>R1762/R1761-1</f>
        <v/>
      </c>
      <c r="T1762">
        <f>MAX(T1761,R1762)</f>
        <v/>
      </c>
      <c r="U1762">
        <f>R1762/T1762-1</f>
        <v/>
      </c>
      <c r="V1762" t="n">
        <v>3.278227385205218</v>
      </c>
      <c r="W1762" s="5">
        <f>R1762-V1762</f>
        <v/>
      </c>
    </row>
    <row r="1763">
      <c r="A1763" s="3" t="n">
        <v>41031</v>
      </c>
      <c r="B1763">
        <f>Prices!B1763</f>
        <v/>
      </c>
      <c r="C1763">
        <f>Prices!C1763</f>
        <v/>
      </c>
      <c r="D1763">
        <f>Prices!D1763</f>
        <v/>
      </c>
      <c r="E1763">
        <f>Prices!E1763</f>
        <v/>
      </c>
      <c r="F1763">
        <f>Prices!F1763</f>
        <v/>
      </c>
      <c r="G1763">
        <f>IF(AND(1761&gt;=16,TEXT(A1763,"yyyy-mm")&lt;&gt;TEXT(A1764,"yyyy-mm")),1,0)</f>
        <v/>
      </c>
      <c r="H1763">
        <f>IF(OR(H1762=1,G1763=1),1,0)</f>
        <v/>
      </c>
      <c r="I1763">
        <f>IF(H1762=0,1,SUMPRODUCT(J1762:N1762,B1763:F1763)+O1762*(1+0.00023125256064071564))</f>
        <v/>
      </c>
      <c r="J1763">
        <f>IF(G1763=1,0.2*R1763/B1763,J1762)</f>
        <v/>
      </c>
      <c r="K1763">
        <f>IF(G1763=1,0.2*R1763/C1763,K1762)</f>
        <v/>
      </c>
      <c r="L1763">
        <f>IF(G1763=1,0.2*R1763/D1763,L1762)</f>
        <v/>
      </c>
      <c r="M1763">
        <f>IF(G1763=1,0.2*R1763/E1763,M1762)</f>
        <v/>
      </c>
      <c r="N1763">
        <f>IF(G1763=1,0.2*R1763/F1763,N1762)</f>
        <v/>
      </c>
      <c r="O1763">
        <f>IF(G1763=1,R1763*(1-1.0),IF(H1762=0,1,O1762*(1+0.00023125256064071564)))</f>
        <v/>
      </c>
      <c r="P1763">
        <f>IF(G1763=1,IF(H1762=0,1,ABS(0.2-J1762*B1763/I1763)+ABS(0.2-K1762*C1763/I1763)+ABS(0.2-L1762*D1763/I1763)+ABS(0.2-M1762*E1763/I1763)+ABS(0.2-N1762*F1763/I1763)),0)</f>
        <v/>
      </c>
      <c r="Q1763">
        <f>P1763*0.0015</f>
        <v/>
      </c>
      <c r="R1763">
        <f>I1763*(1-Q1763)</f>
        <v/>
      </c>
      <c r="S1763">
        <f>R1763/R1762-1</f>
        <v/>
      </c>
      <c r="T1763">
        <f>MAX(T1762,R1763)</f>
        <v/>
      </c>
      <c r="U1763">
        <f>R1763/T1763-1</f>
        <v/>
      </c>
      <c r="V1763" t="n">
        <v>3.27259619814464</v>
      </c>
      <c r="W1763" s="5">
        <f>R1763-V1763</f>
        <v/>
      </c>
    </row>
    <row r="1764">
      <c r="A1764" s="3" t="n">
        <v>41032</v>
      </c>
      <c r="B1764">
        <f>Prices!B1764</f>
        <v/>
      </c>
      <c r="C1764">
        <f>Prices!C1764</f>
        <v/>
      </c>
      <c r="D1764">
        <f>Prices!D1764</f>
        <v/>
      </c>
      <c r="E1764">
        <f>Prices!E1764</f>
        <v/>
      </c>
      <c r="F1764">
        <f>Prices!F1764</f>
        <v/>
      </c>
      <c r="G1764">
        <f>IF(AND(1762&gt;=16,TEXT(A1764,"yyyy-mm")&lt;&gt;TEXT(A1765,"yyyy-mm")),1,0)</f>
        <v/>
      </c>
      <c r="H1764">
        <f>IF(OR(H1763=1,G1764=1),1,0)</f>
        <v/>
      </c>
      <c r="I1764">
        <f>IF(H1763=0,1,SUMPRODUCT(J1763:N1763,B1764:F1764)+O1763*(1+0.00023125256064071564))</f>
        <v/>
      </c>
      <c r="J1764">
        <f>IF(G1764=1,0.2*R1764/B1764,J1763)</f>
        <v/>
      </c>
      <c r="K1764">
        <f>IF(G1764=1,0.2*R1764/C1764,K1763)</f>
        <v/>
      </c>
      <c r="L1764">
        <f>IF(G1764=1,0.2*R1764/D1764,L1763)</f>
        <v/>
      </c>
      <c r="M1764">
        <f>IF(G1764=1,0.2*R1764/E1764,M1763)</f>
        <v/>
      </c>
      <c r="N1764">
        <f>IF(G1764=1,0.2*R1764/F1764,N1763)</f>
        <v/>
      </c>
      <c r="O1764">
        <f>IF(G1764=1,R1764*(1-1.0),IF(H1763=0,1,O1763*(1+0.00023125256064071564)))</f>
        <v/>
      </c>
      <c r="P1764">
        <f>IF(G1764=1,IF(H1763=0,1,ABS(0.2-J1763*B1764/I1764)+ABS(0.2-K1763*C1764/I1764)+ABS(0.2-L1763*D1764/I1764)+ABS(0.2-M1763*E1764/I1764)+ABS(0.2-N1763*F1764/I1764)),0)</f>
        <v/>
      </c>
      <c r="Q1764">
        <f>P1764*0.0015</f>
        <v/>
      </c>
      <c r="R1764">
        <f>I1764*(1-Q1764)</f>
        <v/>
      </c>
      <c r="S1764">
        <f>R1764/R1763-1</f>
        <v/>
      </c>
      <c r="T1764">
        <f>MAX(T1763,R1764)</f>
        <v/>
      </c>
      <c r="U1764">
        <f>R1764/T1764-1</f>
        <v/>
      </c>
      <c r="V1764" t="n">
        <v>3.247958515003793</v>
      </c>
      <c r="W1764" s="5">
        <f>R1764-V1764</f>
        <v/>
      </c>
    </row>
    <row r="1765">
      <c r="A1765" s="3" t="n">
        <v>41033</v>
      </c>
      <c r="B1765">
        <f>Prices!B1765</f>
        <v/>
      </c>
      <c r="C1765">
        <f>Prices!C1765</f>
        <v/>
      </c>
      <c r="D1765">
        <f>Prices!D1765</f>
        <v/>
      </c>
      <c r="E1765">
        <f>Prices!E1765</f>
        <v/>
      </c>
      <c r="F1765">
        <f>Prices!F1765</f>
        <v/>
      </c>
      <c r="G1765">
        <f>IF(AND(1763&gt;=16,TEXT(A1765,"yyyy-mm")&lt;&gt;TEXT(A1766,"yyyy-mm")),1,0)</f>
        <v/>
      </c>
      <c r="H1765">
        <f>IF(OR(H1764=1,G1765=1),1,0)</f>
        <v/>
      </c>
      <c r="I1765">
        <f>IF(H1764=0,1,SUMPRODUCT(J1764:N1764,B1765:F1765)+O1764*(1+0.00023125256064071564))</f>
        <v/>
      </c>
      <c r="J1765">
        <f>IF(G1765=1,0.2*R1765/B1765,J1764)</f>
        <v/>
      </c>
      <c r="K1765">
        <f>IF(G1765=1,0.2*R1765/C1765,K1764)</f>
        <v/>
      </c>
      <c r="L1765">
        <f>IF(G1765=1,0.2*R1765/D1765,L1764)</f>
        <v/>
      </c>
      <c r="M1765">
        <f>IF(G1765=1,0.2*R1765/E1765,M1764)</f>
        <v/>
      </c>
      <c r="N1765">
        <f>IF(G1765=1,0.2*R1765/F1765,N1764)</f>
        <v/>
      </c>
      <c r="O1765">
        <f>IF(G1765=1,R1765*(1-1.0),IF(H1764=0,1,O1764*(1+0.00023125256064071564)))</f>
        <v/>
      </c>
      <c r="P1765">
        <f>IF(G1765=1,IF(H1764=0,1,ABS(0.2-J1764*B1765/I1765)+ABS(0.2-K1764*C1765/I1765)+ABS(0.2-L1764*D1765/I1765)+ABS(0.2-M1764*E1765/I1765)+ABS(0.2-N1764*F1765/I1765)),0)</f>
        <v/>
      </c>
      <c r="Q1765">
        <f>P1765*0.0015</f>
        <v/>
      </c>
      <c r="R1765">
        <f>I1765*(1-Q1765)</f>
        <v/>
      </c>
      <c r="S1765">
        <f>R1765/R1764-1</f>
        <v/>
      </c>
      <c r="T1765">
        <f>MAX(T1764,R1765)</f>
        <v/>
      </c>
      <c r="U1765">
        <f>R1765/T1765-1</f>
        <v/>
      </c>
      <c r="V1765" t="n">
        <v>3.193197989463266</v>
      </c>
      <c r="W1765" s="5">
        <f>R1765-V1765</f>
        <v/>
      </c>
    </row>
    <row r="1766">
      <c r="A1766" s="3" t="n">
        <v>41036</v>
      </c>
      <c r="B1766">
        <f>Prices!B1766</f>
        <v/>
      </c>
      <c r="C1766">
        <f>Prices!C1766</f>
        <v/>
      </c>
      <c r="D1766">
        <f>Prices!D1766</f>
        <v/>
      </c>
      <c r="E1766">
        <f>Prices!E1766</f>
        <v/>
      </c>
      <c r="F1766">
        <f>Prices!F1766</f>
        <v/>
      </c>
      <c r="G1766">
        <f>IF(AND(1764&gt;=16,TEXT(A1766,"yyyy-mm")&lt;&gt;TEXT(A1767,"yyyy-mm")),1,0)</f>
        <v/>
      </c>
      <c r="H1766">
        <f>IF(OR(H1765=1,G1766=1),1,0)</f>
        <v/>
      </c>
      <c r="I1766">
        <f>IF(H1765=0,1,SUMPRODUCT(J1765:N1765,B1766:F1766)+O1765*(1+0.00023125256064071564))</f>
        <v/>
      </c>
      <c r="J1766">
        <f>IF(G1766=1,0.2*R1766/B1766,J1765)</f>
        <v/>
      </c>
      <c r="K1766">
        <f>IF(G1766=1,0.2*R1766/C1766,K1765)</f>
        <v/>
      </c>
      <c r="L1766">
        <f>IF(G1766=1,0.2*R1766/D1766,L1765)</f>
        <v/>
      </c>
      <c r="M1766">
        <f>IF(G1766=1,0.2*R1766/E1766,M1765)</f>
        <v/>
      </c>
      <c r="N1766">
        <f>IF(G1766=1,0.2*R1766/F1766,N1765)</f>
        <v/>
      </c>
      <c r="O1766">
        <f>IF(G1766=1,R1766*(1-1.0),IF(H1765=0,1,O1765*(1+0.00023125256064071564)))</f>
        <v/>
      </c>
      <c r="P1766">
        <f>IF(G1766=1,IF(H1765=0,1,ABS(0.2-J1765*B1766/I1766)+ABS(0.2-K1765*C1766/I1766)+ABS(0.2-L1765*D1766/I1766)+ABS(0.2-M1765*E1766/I1766)+ABS(0.2-N1765*F1766/I1766)),0)</f>
        <v/>
      </c>
      <c r="Q1766">
        <f>P1766*0.0015</f>
        <v/>
      </c>
      <c r="R1766">
        <f>I1766*(1-Q1766)</f>
        <v/>
      </c>
      <c r="S1766">
        <f>R1766/R1765-1</f>
        <v/>
      </c>
      <c r="T1766">
        <f>MAX(T1765,R1766)</f>
        <v/>
      </c>
      <c r="U1766">
        <f>R1766/T1766-1</f>
        <v/>
      </c>
      <c r="V1766" t="n">
        <v>3.214661644469205</v>
      </c>
      <c r="W1766" s="5">
        <f>R1766-V1766</f>
        <v/>
      </c>
    </row>
    <row r="1767">
      <c r="A1767" s="3" t="n">
        <v>41037</v>
      </c>
      <c r="B1767">
        <f>Prices!B1767</f>
        <v/>
      </c>
      <c r="C1767">
        <f>Prices!C1767</f>
        <v/>
      </c>
      <c r="D1767">
        <f>Prices!D1767</f>
        <v/>
      </c>
      <c r="E1767">
        <f>Prices!E1767</f>
        <v/>
      </c>
      <c r="F1767">
        <f>Prices!F1767</f>
        <v/>
      </c>
      <c r="G1767">
        <f>IF(AND(1765&gt;=16,TEXT(A1767,"yyyy-mm")&lt;&gt;TEXT(A1768,"yyyy-mm")),1,0)</f>
        <v/>
      </c>
      <c r="H1767">
        <f>IF(OR(H1766=1,G1767=1),1,0)</f>
        <v/>
      </c>
      <c r="I1767">
        <f>IF(H1766=0,1,SUMPRODUCT(J1766:N1766,B1767:F1767)+O1766*(1+0.00023125256064071564))</f>
        <v/>
      </c>
      <c r="J1767">
        <f>IF(G1767=1,0.2*R1767/B1767,J1766)</f>
        <v/>
      </c>
      <c r="K1767">
        <f>IF(G1767=1,0.2*R1767/C1767,K1766)</f>
        <v/>
      </c>
      <c r="L1767">
        <f>IF(G1767=1,0.2*R1767/D1767,L1766)</f>
        <v/>
      </c>
      <c r="M1767">
        <f>IF(G1767=1,0.2*R1767/E1767,M1766)</f>
        <v/>
      </c>
      <c r="N1767">
        <f>IF(G1767=1,0.2*R1767/F1767,N1766)</f>
        <v/>
      </c>
      <c r="O1767">
        <f>IF(G1767=1,R1767*(1-1.0),IF(H1766=0,1,O1766*(1+0.00023125256064071564)))</f>
        <v/>
      </c>
      <c r="P1767">
        <f>IF(G1767=1,IF(H1766=0,1,ABS(0.2-J1766*B1767/I1767)+ABS(0.2-K1766*C1767/I1767)+ABS(0.2-L1766*D1767/I1767)+ABS(0.2-M1766*E1767/I1767)+ABS(0.2-N1766*F1767/I1767)),0)</f>
        <v/>
      </c>
      <c r="Q1767">
        <f>P1767*0.0015</f>
        <v/>
      </c>
      <c r="R1767">
        <f>I1767*(1-Q1767)</f>
        <v/>
      </c>
      <c r="S1767">
        <f>R1767/R1766-1</f>
        <v/>
      </c>
      <c r="T1767">
        <f>MAX(T1766,R1767)</f>
        <v/>
      </c>
      <c r="U1767">
        <f>R1767/T1767-1</f>
        <v/>
      </c>
      <c r="V1767" t="n">
        <v>3.164624114995247</v>
      </c>
      <c r="W1767" s="5">
        <f>R1767-V1767</f>
        <v/>
      </c>
    </row>
    <row r="1768">
      <c r="A1768" s="3" t="n">
        <v>41038</v>
      </c>
      <c r="B1768">
        <f>Prices!B1768</f>
        <v/>
      </c>
      <c r="C1768">
        <f>Prices!C1768</f>
        <v/>
      </c>
      <c r="D1768">
        <f>Prices!D1768</f>
        <v/>
      </c>
      <c r="E1768">
        <f>Prices!E1768</f>
        <v/>
      </c>
      <c r="F1768">
        <f>Prices!F1768</f>
        <v/>
      </c>
      <c r="G1768">
        <f>IF(AND(1766&gt;=16,TEXT(A1768,"yyyy-mm")&lt;&gt;TEXT(A1769,"yyyy-mm")),1,0)</f>
        <v/>
      </c>
      <c r="H1768">
        <f>IF(OR(H1767=1,G1768=1),1,0)</f>
        <v/>
      </c>
      <c r="I1768">
        <f>IF(H1767=0,1,SUMPRODUCT(J1767:N1767,B1768:F1768)+O1767*(1+0.00023125256064071564))</f>
        <v/>
      </c>
      <c r="J1768">
        <f>IF(G1768=1,0.2*R1768/B1768,J1767)</f>
        <v/>
      </c>
      <c r="K1768">
        <f>IF(G1768=1,0.2*R1768/C1768,K1767)</f>
        <v/>
      </c>
      <c r="L1768">
        <f>IF(G1768=1,0.2*R1768/D1768,L1767)</f>
        <v/>
      </c>
      <c r="M1768">
        <f>IF(G1768=1,0.2*R1768/E1768,M1767)</f>
        <v/>
      </c>
      <c r="N1768">
        <f>IF(G1768=1,0.2*R1768/F1768,N1767)</f>
        <v/>
      </c>
      <c r="O1768">
        <f>IF(G1768=1,R1768*(1-1.0),IF(H1767=0,1,O1767*(1+0.00023125256064071564)))</f>
        <v/>
      </c>
      <c r="P1768">
        <f>IF(G1768=1,IF(H1767=0,1,ABS(0.2-J1767*B1768/I1768)+ABS(0.2-K1767*C1768/I1768)+ABS(0.2-L1767*D1768/I1768)+ABS(0.2-M1767*E1768/I1768)+ABS(0.2-N1767*F1768/I1768)),0)</f>
        <v/>
      </c>
      <c r="Q1768">
        <f>P1768*0.0015</f>
        <v/>
      </c>
      <c r="R1768">
        <f>I1768*(1-Q1768)</f>
        <v/>
      </c>
      <c r="S1768">
        <f>R1768/R1767-1</f>
        <v/>
      </c>
      <c r="T1768">
        <f>MAX(T1767,R1768)</f>
        <v/>
      </c>
      <c r="U1768">
        <f>R1768/T1768-1</f>
        <v/>
      </c>
      <c r="V1768" t="n">
        <v>3.140823600677918</v>
      </c>
      <c r="W1768" s="5">
        <f>R1768-V1768</f>
        <v/>
      </c>
    </row>
    <row r="1769">
      <c r="A1769" s="3" t="n">
        <v>41039</v>
      </c>
      <c r="B1769">
        <f>Prices!B1769</f>
        <v/>
      </c>
      <c r="C1769">
        <f>Prices!C1769</f>
        <v/>
      </c>
      <c r="D1769">
        <f>Prices!D1769</f>
        <v/>
      </c>
      <c r="E1769">
        <f>Prices!E1769</f>
        <v/>
      </c>
      <c r="F1769">
        <f>Prices!F1769</f>
        <v/>
      </c>
      <c r="G1769">
        <f>IF(AND(1767&gt;=16,TEXT(A1769,"yyyy-mm")&lt;&gt;TEXT(A1770,"yyyy-mm")),1,0)</f>
        <v/>
      </c>
      <c r="H1769">
        <f>IF(OR(H1768=1,G1769=1),1,0)</f>
        <v/>
      </c>
      <c r="I1769">
        <f>IF(H1768=0,1,SUMPRODUCT(J1768:N1768,B1769:F1769)+O1768*(1+0.00023125256064071564))</f>
        <v/>
      </c>
      <c r="J1769">
        <f>IF(G1769=1,0.2*R1769/B1769,J1768)</f>
        <v/>
      </c>
      <c r="K1769">
        <f>IF(G1769=1,0.2*R1769/C1769,K1768)</f>
        <v/>
      </c>
      <c r="L1769">
        <f>IF(G1769=1,0.2*R1769/D1769,L1768)</f>
        <v/>
      </c>
      <c r="M1769">
        <f>IF(G1769=1,0.2*R1769/E1769,M1768)</f>
        <v/>
      </c>
      <c r="N1769">
        <f>IF(G1769=1,0.2*R1769/F1769,N1768)</f>
        <v/>
      </c>
      <c r="O1769">
        <f>IF(G1769=1,R1769*(1-1.0),IF(H1768=0,1,O1768*(1+0.00023125256064071564)))</f>
        <v/>
      </c>
      <c r="P1769">
        <f>IF(G1769=1,IF(H1768=0,1,ABS(0.2-J1768*B1769/I1769)+ABS(0.2-K1768*C1769/I1769)+ABS(0.2-L1768*D1769/I1769)+ABS(0.2-M1768*E1769/I1769)+ABS(0.2-N1768*F1769/I1769)),0)</f>
        <v/>
      </c>
      <c r="Q1769">
        <f>P1769*0.0015</f>
        <v/>
      </c>
      <c r="R1769">
        <f>I1769*(1-Q1769)</f>
        <v/>
      </c>
      <c r="S1769">
        <f>R1769/R1768-1</f>
        <v/>
      </c>
      <c r="T1769">
        <f>MAX(T1768,R1769)</f>
        <v/>
      </c>
      <c r="U1769">
        <f>R1769/T1769-1</f>
        <v/>
      </c>
      <c r="V1769" t="n">
        <v>3.143962258749676</v>
      </c>
      <c r="W1769" s="5">
        <f>R1769-V1769</f>
        <v/>
      </c>
    </row>
    <row r="1770">
      <c r="A1770" s="3" t="n">
        <v>41040</v>
      </c>
      <c r="B1770">
        <f>Prices!B1770</f>
        <v/>
      </c>
      <c r="C1770">
        <f>Prices!C1770</f>
        <v/>
      </c>
      <c r="D1770">
        <f>Prices!D1770</f>
        <v/>
      </c>
      <c r="E1770">
        <f>Prices!E1770</f>
        <v/>
      </c>
      <c r="F1770">
        <f>Prices!F1770</f>
        <v/>
      </c>
      <c r="G1770">
        <f>IF(AND(1768&gt;=16,TEXT(A1770,"yyyy-mm")&lt;&gt;TEXT(A1771,"yyyy-mm")),1,0)</f>
        <v/>
      </c>
      <c r="H1770">
        <f>IF(OR(H1769=1,G1770=1),1,0)</f>
        <v/>
      </c>
      <c r="I1770">
        <f>IF(H1769=0,1,SUMPRODUCT(J1769:N1769,B1770:F1770)+O1769*(1+0.00023125256064071564))</f>
        <v/>
      </c>
      <c r="J1770">
        <f>IF(G1770=1,0.2*R1770/B1770,J1769)</f>
        <v/>
      </c>
      <c r="K1770">
        <f>IF(G1770=1,0.2*R1770/C1770,K1769)</f>
        <v/>
      </c>
      <c r="L1770">
        <f>IF(G1770=1,0.2*R1770/D1770,L1769)</f>
        <v/>
      </c>
      <c r="M1770">
        <f>IF(G1770=1,0.2*R1770/E1770,M1769)</f>
        <v/>
      </c>
      <c r="N1770">
        <f>IF(G1770=1,0.2*R1770/F1770,N1769)</f>
        <v/>
      </c>
      <c r="O1770">
        <f>IF(G1770=1,R1770*(1-1.0),IF(H1769=0,1,O1769*(1+0.00023125256064071564)))</f>
        <v/>
      </c>
      <c r="P1770">
        <f>IF(G1770=1,IF(H1769=0,1,ABS(0.2-J1769*B1770/I1770)+ABS(0.2-K1769*C1770/I1770)+ABS(0.2-L1769*D1770/I1770)+ABS(0.2-M1769*E1770/I1770)+ABS(0.2-N1769*F1770/I1770)),0)</f>
        <v/>
      </c>
      <c r="Q1770">
        <f>P1770*0.0015</f>
        <v/>
      </c>
      <c r="R1770">
        <f>I1770*(1-Q1770)</f>
        <v/>
      </c>
      <c r="S1770">
        <f>R1770/R1769-1</f>
        <v/>
      </c>
      <c r="T1770">
        <f>MAX(T1769,R1770)</f>
        <v/>
      </c>
      <c r="U1770">
        <f>R1770/T1770-1</f>
        <v/>
      </c>
      <c r="V1770" t="n">
        <v>3.121216523720764</v>
      </c>
      <c r="W1770" s="5">
        <f>R1770-V1770</f>
        <v/>
      </c>
    </row>
    <row r="1771">
      <c r="A1771" s="3" t="n">
        <v>41043</v>
      </c>
      <c r="B1771">
        <f>Prices!B1771</f>
        <v/>
      </c>
      <c r="C1771">
        <f>Prices!C1771</f>
        <v/>
      </c>
      <c r="D1771">
        <f>Prices!D1771</f>
        <v/>
      </c>
      <c r="E1771">
        <f>Prices!E1771</f>
        <v/>
      </c>
      <c r="F1771">
        <f>Prices!F1771</f>
        <v/>
      </c>
      <c r="G1771">
        <f>IF(AND(1769&gt;=16,TEXT(A1771,"yyyy-mm")&lt;&gt;TEXT(A1772,"yyyy-mm")),1,0)</f>
        <v/>
      </c>
      <c r="H1771">
        <f>IF(OR(H1770=1,G1771=1),1,0)</f>
        <v/>
      </c>
      <c r="I1771">
        <f>IF(H1770=0,1,SUMPRODUCT(J1770:N1770,B1771:F1771)+O1770*(1+0.00023125256064071564))</f>
        <v/>
      </c>
      <c r="J1771">
        <f>IF(G1771=1,0.2*R1771/B1771,J1770)</f>
        <v/>
      </c>
      <c r="K1771">
        <f>IF(G1771=1,0.2*R1771/C1771,K1770)</f>
        <v/>
      </c>
      <c r="L1771">
        <f>IF(G1771=1,0.2*R1771/D1771,L1770)</f>
        <v/>
      </c>
      <c r="M1771">
        <f>IF(G1771=1,0.2*R1771/E1771,M1770)</f>
        <v/>
      </c>
      <c r="N1771">
        <f>IF(G1771=1,0.2*R1771/F1771,N1770)</f>
        <v/>
      </c>
      <c r="O1771">
        <f>IF(G1771=1,R1771*(1-1.0),IF(H1770=0,1,O1770*(1+0.00023125256064071564)))</f>
        <v/>
      </c>
      <c r="P1771">
        <f>IF(G1771=1,IF(H1770=0,1,ABS(0.2-J1770*B1771/I1771)+ABS(0.2-K1770*C1771/I1771)+ABS(0.2-L1770*D1771/I1771)+ABS(0.2-M1770*E1771/I1771)+ABS(0.2-N1770*F1771/I1771)),0)</f>
        <v/>
      </c>
      <c r="Q1771">
        <f>P1771*0.0015</f>
        <v/>
      </c>
      <c r="R1771">
        <f>I1771*(1-Q1771)</f>
        <v/>
      </c>
      <c r="S1771">
        <f>R1771/R1770-1</f>
        <v/>
      </c>
      <c r="T1771">
        <f>MAX(T1770,R1771)</f>
        <v/>
      </c>
      <c r="U1771">
        <f>R1771/T1771-1</f>
        <v/>
      </c>
      <c r="V1771" t="n">
        <v>3.101896883548367</v>
      </c>
      <c r="W1771" s="5">
        <f>R1771-V1771</f>
        <v/>
      </c>
    </row>
    <row r="1772">
      <c r="A1772" s="3" t="n">
        <v>41044</v>
      </c>
      <c r="B1772">
        <f>Prices!B1772</f>
        <v/>
      </c>
      <c r="C1772">
        <f>Prices!C1772</f>
        <v/>
      </c>
      <c r="D1772">
        <f>Prices!D1772</f>
        <v/>
      </c>
      <c r="E1772">
        <f>Prices!E1772</f>
        <v/>
      </c>
      <c r="F1772">
        <f>Prices!F1772</f>
        <v/>
      </c>
      <c r="G1772">
        <f>IF(AND(1770&gt;=16,TEXT(A1772,"yyyy-mm")&lt;&gt;TEXT(A1773,"yyyy-mm")),1,0)</f>
        <v/>
      </c>
      <c r="H1772">
        <f>IF(OR(H1771=1,G1772=1),1,0)</f>
        <v/>
      </c>
      <c r="I1772">
        <f>IF(H1771=0,1,SUMPRODUCT(J1771:N1771,B1772:F1772)+O1771*(1+0.00023125256064071564))</f>
        <v/>
      </c>
      <c r="J1772">
        <f>IF(G1772=1,0.2*R1772/B1772,J1771)</f>
        <v/>
      </c>
      <c r="K1772">
        <f>IF(G1772=1,0.2*R1772/C1772,K1771)</f>
        <v/>
      </c>
      <c r="L1772">
        <f>IF(G1772=1,0.2*R1772/D1772,L1771)</f>
        <v/>
      </c>
      <c r="M1772">
        <f>IF(G1772=1,0.2*R1772/E1772,M1771)</f>
        <v/>
      </c>
      <c r="N1772">
        <f>IF(G1772=1,0.2*R1772/F1772,N1771)</f>
        <v/>
      </c>
      <c r="O1772">
        <f>IF(G1772=1,R1772*(1-1.0),IF(H1771=0,1,O1771*(1+0.00023125256064071564)))</f>
        <v/>
      </c>
      <c r="P1772">
        <f>IF(G1772=1,IF(H1771=0,1,ABS(0.2-J1771*B1772/I1772)+ABS(0.2-K1771*C1772/I1772)+ABS(0.2-L1771*D1772/I1772)+ABS(0.2-M1771*E1772/I1772)+ABS(0.2-N1771*F1772/I1772)),0)</f>
        <v/>
      </c>
      <c r="Q1772">
        <f>P1772*0.0015</f>
        <v/>
      </c>
      <c r="R1772">
        <f>I1772*(1-Q1772)</f>
        <v/>
      </c>
      <c r="S1772">
        <f>R1772/R1771-1</f>
        <v/>
      </c>
      <c r="T1772">
        <f>MAX(T1771,R1772)</f>
        <v/>
      </c>
      <c r="U1772">
        <f>R1772/T1772-1</f>
        <v/>
      </c>
      <c r="V1772" t="n">
        <v>3.116737134379071</v>
      </c>
      <c r="W1772" s="5">
        <f>R1772-V1772</f>
        <v/>
      </c>
    </row>
    <row r="1773">
      <c r="A1773" s="3" t="n">
        <v>41045</v>
      </c>
      <c r="B1773">
        <f>Prices!B1773</f>
        <v/>
      </c>
      <c r="C1773">
        <f>Prices!C1773</f>
        <v/>
      </c>
      <c r="D1773">
        <f>Prices!D1773</f>
        <v/>
      </c>
      <c r="E1773">
        <f>Prices!E1773</f>
        <v/>
      </c>
      <c r="F1773">
        <f>Prices!F1773</f>
        <v/>
      </c>
      <c r="G1773">
        <f>IF(AND(1771&gt;=16,TEXT(A1773,"yyyy-mm")&lt;&gt;TEXT(A1774,"yyyy-mm")),1,0)</f>
        <v/>
      </c>
      <c r="H1773">
        <f>IF(OR(H1772=1,G1773=1),1,0)</f>
        <v/>
      </c>
      <c r="I1773">
        <f>IF(H1772=0,1,SUMPRODUCT(J1772:N1772,B1773:F1773)+O1772*(1+0.00023125256064071564))</f>
        <v/>
      </c>
      <c r="J1773">
        <f>IF(G1773=1,0.2*R1773/B1773,J1772)</f>
        <v/>
      </c>
      <c r="K1773">
        <f>IF(G1773=1,0.2*R1773/C1773,K1772)</f>
        <v/>
      </c>
      <c r="L1773">
        <f>IF(G1773=1,0.2*R1773/D1773,L1772)</f>
        <v/>
      </c>
      <c r="M1773">
        <f>IF(G1773=1,0.2*R1773/E1773,M1772)</f>
        <v/>
      </c>
      <c r="N1773">
        <f>IF(G1773=1,0.2*R1773/F1773,N1772)</f>
        <v/>
      </c>
      <c r="O1773">
        <f>IF(G1773=1,R1773*(1-1.0),IF(H1772=0,1,O1772*(1+0.00023125256064071564)))</f>
        <v/>
      </c>
      <c r="P1773">
        <f>IF(G1773=1,IF(H1772=0,1,ABS(0.2-J1772*B1773/I1773)+ABS(0.2-K1772*C1773/I1773)+ABS(0.2-L1772*D1773/I1773)+ABS(0.2-M1772*E1773/I1773)+ABS(0.2-N1772*F1773/I1773)),0)</f>
        <v/>
      </c>
      <c r="Q1773">
        <f>P1773*0.0015</f>
        <v/>
      </c>
      <c r="R1773">
        <f>I1773*(1-Q1773)</f>
        <v/>
      </c>
      <c r="S1773">
        <f>R1773/R1772-1</f>
        <v/>
      </c>
      <c r="T1773">
        <f>MAX(T1772,R1773)</f>
        <v/>
      </c>
      <c r="U1773">
        <f>R1773/T1773-1</f>
        <v/>
      </c>
      <c r="V1773" t="n">
        <v>3.084972742958899</v>
      </c>
      <c r="W1773" s="5">
        <f>R1773-V1773</f>
        <v/>
      </c>
    </row>
    <row r="1774">
      <c r="A1774" s="3" t="n">
        <v>41046</v>
      </c>
      <c r="B1774">
        <f>Prices!B1774</f>
        <v/>
      </c>
      <c r="C1774">
        <f>Prices!C1774</f>
        <v/>
      </c>
      <c r="D1774">
        <f>Prices!D1774</f>
        <v/>
      </c>
      <c r="E1774">
        <f>Prices!E1774</f>
        <v/>
      </c>
      <c r="F1774">
        <f>Prices!F1774</f>
        <v/>
      </c>
      <c r="G1774">
        <f>IF(AND(1772&gt;=16,TEXT(A1774,"yyyy-mm")&lt;&gt;TEXT(A1775,"yyyy-mm")),1,0)</f>
        <v/>
      </c>
      <c r="H1774">
        <f>IF(OR(H1773=1,G1774=1),1,0)</f>
        <v/>
      </c>
      <c r="I1774">
        <f>IF(H1773=0,1,SUMPRODUCT(J1773:N1773,B1774:F1774)+O1773*(1+0.00023125256064071564))</f>
        <v/>
      </c>
      <c r="J1774">
        <f>IF(G1774=1,0.2*R1774/B1774,J1773)</f>
        <v/>
      </c>
      <c r="K1774">
        <f>IF(G1774=1,0.2*R1774/C1774,K1773)</f>
        <v/>
      </c>
      <c r="L1774">
        <f>IF(G1774=1,0.2*R1774/D1774,L1773)</f>
        <v/>
      </c>
      <c r="M1774">
        <f>IF(G1774=1,0.2*R1774/E1774,M1773)</f>
        <v/>
      </c>
      <c r="N1774">
        <f>IF(G1774=1,0.2*R1774/F1774,N1773)</f>
        <v/>
      </c>
      <c r="O1774">
        <f>IF(G1774=1,R1774*(1-1.0),IF(H1773=0,1,O1773*(1+0.00023125256064071564)))</f>
        <v/>
      </c>
      <c r="P1774">
        <f>IF(G1774=1,IF(H1773=0,1,ABS(0.2-J1773*B1774/I1774)+ABS(0.2-K1773*C1774/I1774)+ABS(0.2-L1773*D1774/I1774)+ABS(0.2-M1773*E1774/I1774)+ABS(0.2-N1773*F1774/I1774)),0)</f>
        <v/>
      </c>
      <c r="Q1774">
        <f>P1774*0.0015</f>
        <v/>
      </c>
      <c r="R1774">
        <f>I1774*(1-Q1774)</f>
        <v/>
      </c>
      <c r="S1774">
        <f>R1774/R1773-1</f>
        <v/>
      </c>
      <c r="T1774">
        <f>MAX(T1773,R1774)</f>
        <v/>
      </c>
      <c r="U1774">
        <f>R1774/T1774-1</f>
        <v/>
      </c>
      <c r="V1774" t="n">
        <v>3.086939090444559</v>
      </c>
      <c r="W1774" s="5">
        <f>R1774-V1774</f>
        <v/>
      </c>
    </row>
    <row r="1775">
      <c r="A1775" s="3" t="n">
        <v>41047</v>
      </c>
      <c r="B1775">
        <f>Prices!B1775</f>
        <v/>
      </c>
      <c r="C1775">
        <f>Prices!C1775</f>
        <v/>
      </c>
      <c r="D1775">
        <f>Prices!D1775</f>
        <v/>
      </c>
      <c r="E1775">
        <f>Prices!E1775</f>
        <v/>
      </c>
      <c r="F1775">
        <f>Prices!F1775</f>
        <v/>
      </c>
      <c r="G1775">
        <f>IF(AND(1773&gt;=16,TEXT(A1775,"yyyy-mm")&lt;&gt;TEXT(A1776,"yyyy-mm")),1,0)</f>
        <v/>
      </c>
      <c r="H1775">
        <f>IF(OR(H1774=1,G1775=1),1,0)</f>
        <v/>
      </c>
      <c r="I1775">
        <f>IF(H1774=0,1,SUMPRODUCT(J1774:N1774,B1775:F1775)+O1774*(1+0.00023125256064071564))</f>
        <v/>
      </c>
      <c r="J1775">
        <f>IF(G1775=1,0.2*R1775/B1775,J1774)</f>
        <v/>
      </c>
      <c r="K1775">
        <f>IF(G1775=1,0.2*R1775/C1775,K1774)</f>
        <v/>
      </c>
      <c r="L1775">
        <f>IF(G1775=1,0.2*R1775/D1775,L1774)</f>
        <v/>
      </c>
      <c r="M1775">
        <f>IF(G1775=1,0.2*R1775/E1775,M1774)</f>
        <v/>
      </c>
      <c r="N1775">
        <f>IF(G1775=1,0.2*R1775/F1775,N1774)</f>
        <v/>
      </c>
      <c r="O1775">
        <f>IF(G1775=1,R1775*(1-1.0),IF(H1774=0,1,O1774*(1+0.00023125256064071564)))</f>
        <v/>
      </c>
      <c r="P1775">
        <f>IF(G1775=1,IF(H1774=0,1,ABS(0.2-J1774*B1775/I1775)+ABS(0.2-K1774*C1775/I1775)+ABS(0.2-L1774*D1775/I1775)+ABS(0.2-M1774*E1775/I1775)+ABS(0.2-N1774*F1775/I1775)),0)</f>
        <v/>
      </c>
      <c r="Q1775">
        <f>P1775*0.0015</f>
        <v/>
      </c>
      <c r="R1775">
        <f>I1775*(1-Q1775)</f>
        <v/>
      </c>
      <c r="S1775">
        <f>R1775/R1774-1</f>
        <v/>
      </c>
      <c r="T1775">
        <f>MAX(T1774,R1775)</f>
        <v/>
      </c>
      <c r="U1775">
        <f>R1775/T1775-1</f>
        <v/>
      </c>
      <c r="V1775" t="n">
        <v>3.083253029451033</v>
      </c>
      <c r="W1775" s="5">
        <f>R1775-V1775</f>
        <v/>
      </c>
    </row>
    <row r="1776">
      <c r="A1776" s="3" t="n">
        <v>41050</v>
      </c>
      <c r="B1776">
        <f>Prices!B1776</f>
        <v/>
      </c>
      <c r="C1776">
        <f>Prices!C1776</f>
        <v/>
      </c>
      <c r="D1776">
        <f>Prices!D1776</f>
        <v/>
      </c>
      <c r="E1776">
        <f>Prices!E1776</f>
        <v/>
      </c>
      <c r="F1776">
        <f>Prices!F1776</f>
        <v/>
      </c>
      <c r="G1776">
        <f>IF(AND(1774&gt;=16,TEXT(A1776,"yyyy-mm")&lt;&gt;TEXT(A1777,"yyyy-mm")),1,0)</f>
        <v/>
      </c>
      <c r="H1776">
        <f>IF(OR(H1775=1,G1776=1),1,0)</f>
        <v/>
      </c>
      <c r="I1776">
        <f>IF(H1775=0,1,SUMPRODUCT(J1775:N1775,B1776:F1776)+O1775*(1+0.00023125256064071564))</f>
        <v/>
      </c>
      <c r="J1776">
        <f>IF(G1776=1,0.2*R1776/B1776,J1775)</f>
        <v/>
      </c>
      <c r="K1776">
        <f>IF(G1776=1,0.2*R1776/C1776,K1775)</f>
        <v/>
      </c>
      <c r="L1776">
        <f>IF(G1776=1,0.2*R1776/D1776,L1775)</f>
        <v/>
      </c>
      <c r="M1776">
        <f>IF(G1776=1,0.2*R1776/E1776,M1775)</f>
        <v/>
      </c>
      <c r="N1776">
        <f>IF(G1776=1,0.2*R1776/F1776,N1775)</f>
        <v/>
      </c>
      <c r="O1776">
        <f>IF(G1776=1,R1776*(1-1.0),IF(H1775=0,1,O1775*(1+0.00023125256064071564)))</f>
        <v/>
      </c>
      <c r="P1776">
        <f>IF(G1776=1,IF(H1775=0,1,ABS(0.2-J1775*B1776/I1776)+ABS(0.2-K1775*C1776/I1776)+ABS(0.2-L1775*D1776/I1776)+ABS(0.2-M1775*E1776/I1776)+ABS(0.2-N1775*F1776/I1776)),0)</f>
        <v/>
      </c>
      <c r="Q1776">
        <f>P1776*0.0015</f>
        <v/>
      </c>
      <c r="R1776">
        <f>I1776*(1-Q1776)</f>
        <v/>
      </c>
      <c r="S1776">
        <f>R1776/R1775-1</f>
        <v/>
      </c>
      <c r="T1776">
        <f>MAX(T1775,R1776)</f>
        <v/>
      </c>
      <c r="U1776">
        <f>R1776/T1776-1</f>
        <v/>
      </c>
      <c r="V1776" t="n">
        <v>3.095221471940392</v>
      </c>
      <c r="W1776" s="5">
        <f>R1776-V1776</f>
        <v/>
      </c>
    </row>
    <row r="1777">
      <c r="A1777" s="3" t="n">
        <v>41051</v>
      </c>
      <c r="B1777">
        <f>Prices!B1777</f>
        <v/>
      </c>
      <c r="C1777">
        <f>Prices!C1777</f>
        <v/>
      </c>
      <c r="D1777">
        <f>Prices!D1777</f>
        <v/>
      </c>
      <c r="E1777">
        <f>Prices!E1777</f>
        <v/>
      </c>
      <c r="F1777">
        <f>Prices!F1777</f>
        <v/>
      </c>
      <c r="G1777">
        <f>IF(AND(1775&gt;=16,TEXT(A1777,"yyyy-mm")&lt;&gt;TEXT(A1778,"yyyy-mm")),1,0)</f>
        <v/>
      </c>
      <c r="H1777">
        <f>IF(OR(H1776=1,G1777=1),1,0)</f>
        <v/>
      </c>
      <c r="I1777">
        <f>IF(H1776=0,1,SUMPRODUCT(J1776:N1776,B1777:F1777)+O1776*(1+0.00023125256064071564))</f>
        <v/>
      </c>
      <c r="J1777">
        <f>IF(G1777=1,0.2*R1777/B1777,J1776)</f>
        <v/>
      </c>
      <c r="K1777">
        <f>IF(G1777=1,0.2*R1777/C1777,K1776)</f>
        <v/>
      </c>
      <c r="L1777">
        <f>IF(G1777=1,0.2*R1777/D1777,L1776)</f>
        <v/>
      </c>
      <c r="M1777">
        <f>IF(G1777=1,0.2*R1777/E1777,M1776)</f>
        <v/>
      </c>
      <c r="N1777">
        <f>IF(G1777=1,0.2*R1777/F1777,N1776)</f>
        <v/>
      </c>
      <c r="O1777">
        <f>IF(G1777=1,R1777*(1-1.0),IF(H1776=0,1,O1776*(1+0.00023125256064071564)))</f>
        <v/>
      </c>
      <c r="P1777">
        <f>IF(G1777=1,IF(H1776=0,1,ABS(0.2-J1776*B1777/I1777)+ABS(0.2-K1776*C1777/I1777)+ABS(0.2-L1776*D1777/I1777)+ABS(0.2-M1776*E1777/I1777)+ABS(0.2-N1776*F1777/I1777)),0)</f>
        <v/>
      </c>
      <c r="Q1777">
        <f>P1777*0.0015</f>
        <v/>
      </c>
      <c r="R1777">
        <f>I1777*(1-Q1777)</f>
        <v/>
      </c>
      <c r="S1777">
        <f>R1777/R1776-1</f>
        <v/>
      </c>
      <c r="T1777">
        <f>MAX(T1776,R1777)</f>
        <v/>
      </c>
      <c r="U1777">
        <f>R1777/T1777-1</f>
        <v/>
      </c>
      <c r="V1777" t="n">
        <v>3.071341090247848</v>
      </c>
      <c r="W1777" s="5">
        <f>R1777-V1777</f>
        <v/>
      </c>
    </row>
    <row r="1778">
      <c r="A1778" s="3" t="n">
        <v>41052</v>
      </c>
      <c r="B1778">
        <f>Prices!B1778</f>
        <v/>
      </c>
      <c r="C1778">
        <f>Prices!C1778</f>
        <v/>
      </c>
      <c r="D1778">
        <f>Prices!D1778</f>
        <v/>
      </c>
      <c r="E1778">
        <f>Prices!E1778</f>
        <v/>
      </c>
      <c r="F1778">
        <f>Prices!F1778</f>
        <v/>
      </c>
      <c r="G1778">
        <f>IF(AND(1776&gt;=16,TEXT(A1778,"yyyy-mm")&lt;&gt;TEXT(A1779,"yyyy-mm")),1,0)</f>
        <v/>
      </c>
      <c r="H1778">
        <f>IF(OR(H1777=1,G1778=1),1,0)</f>
        <v/>
      </c>
      <c r="I1778">
        <f>IF(H1777=0,1,SUMPRODUCT(J1777:N1777,B1778:F1778)+O1777*(1+0.00023125256064071564))</f>
        <v/>
      </c>
      <c r="J1778">
        <f>IF(G1778=1,0.2*R1778/B1778,J1777)</f>
        <v/>
      </c>
      <c r="K1778">
        <f>IF(G1778=1,0.2*R1778/C1778,K1777)</f>
        <v/>
      </c>
      <c r="L1778">
        <f>IF(G1778=1,0.2*R1778/D1778,L1777)</f>
        <v/>
      </c>
      <c r="M1778">
        <f>IF(G1778=1,0.2*R1778/E1778,M1777)</f>
        <v/>
      </c>
      <c r="N1778">
        <f>IF(G1778=1,0.2*R1778/F1778,N1777)</f>
        <v/>
      </c>
      <c r="O1778">
        <f>IF(G1778=1,R1778*(1-1.0),IF(H1777=0,1,O1777*(1+0.00023125256064071564)))</f>
        <v/>
      </c>
      <c r="P1778">
        <f>IF(G1778=1,IF(H1777=0,1,ABS(0.2-J1777*B1778/I1778)+ABS(0.2-K1777*C1778/I1778)+ABS(0.2-L1777*D1778/I1778)+ABS(0.2-M1777*E1778/I1778)+ABS(0.2-N1777*F1778/I1778)),0)</f>
        <v/>
      </c>
      <c r="Q1778">
        <f>P1778*0.0015</f>
        <v/>
      </c>
      <c r="R1778">
        <f>I1778*(1-Q1778)</f>
        <v/>
      </c>
      <c r="S1778">
        <f>R1778/R1777-1</f>
        <v/>
      </c>
      <c r="T1778">
        <f>MAX(T1777,R1778)</f>
        <v/>
      </c>
      <c r="U1778">
        <f>R1778/T1778-1</f>
        <v/>
      </c>
      <c r="V1778" t="n">
        <v>3.062324450021893</v>
      </c>
      <c r="W1778" s="5">
        <f>R1778-V1778</f>
        <v/>
      </c>
    </row>
    <row r="1779">
      <c r="A1779" s="3" t="n">
        <v>41053</v>
      </c>
      <c r="B1779">
        <f>Prices!B1779</f>
        <v/>
      </c>
      <c r="C1779">
        <f>Prices!C1779</f>
        <v/>
      </c>
      <c r="D1779">
        <f>Prices!D1779</f>
        <v/>
      </c>
      <c r="E1779">
        <f>Prices!E1779</f>
        <v/>
      </c>
      <c r="F1779">
        <f>Prices!F1779</f>
        <v/>
      </c>
      <c r="G1779">
        <f>IF(AND(1777&gt;=16,TEXT(A1779,"yyyy-mm")&lt;&gt;TEXT(A1780,"yyyy-mm")),1,0)</f>
        <v/>
      </c>
      <c r="H1779">
        <f>IF(OR(H1778=1,G1779=1),1,0)</f>
        <v/>
      </c>
      <c r="I1779">
        <f>IF(H1778=0,1,SUMPRODUCT(J1778:N1778,B1779:F1779)+O1778*(1+0.00023125256064071564))</f>
        <v/>
      </c>
      <c r="J1779">
        <f>IF(G1779=1,0.2*R1779/B1779,J1778)</f>
        <v/>
      </c>
      <c r="K1779">
        <f>IF(G1779=1,0.2*R1779/C1779,K1778)</f>
        <v/>
      </c>
      <c r="L1779">
        <f>IF(G1779=1,0.2*R1779/D1779,L1778)</f>
        <v/>
      </c>
      <c r="M1779">
        <f>IF(G1779=1,0.2*R1779/E1779,M1778)</f>
        <v/>
      </c>
      <c r="N1779">
        <f>IF(G1779=1,0.2*R1779/F1779,N1778)</f>
        <v/>
      </c>
      <c r="O1779">
        <f>IF(G1779=1,R1779*(1-1.0),IF(H1778=0,1,O1778*(1+0.00023125256064071564)))</f>
        <v/>
      </c>
      <c r="P1779">
        <f>IF(G1779=1,IF(H1778=0,1,ABS(0.2-J1778*B1779/I1779)+ABS(0.2-K1778*C1779/I1779)+ABS(0.2-L1778*D1779/I1779)+ABS(0.2-M1778*E1779/I1779)+ABS(0.2-N1778*F1779/I1779)),0)</f>
        <v/>
      </c>
      <c r="Q1779">
        <f>P1779*0.0015</f>
        <v/>
      </c>
      <c r="R1779">
        <f>I1779*(1-Q1779)</f>
        <v/>
      </c>
      <c r="S1779">
        <f>R1779/R1778-1</f>
        <v/>
      </c>
      <c r="T1779">
        <f>MAX(T1778,R1779)</f>
        <v/>
      </c>
      <c r="U1779">
        <f>R1779/T1779-1</f>
        <v/>
      </c>
      <c r="V1779" t="n">
        <v>3.091539072697496</v>
      </c>
      <c r="W1779" s="5">
        <f>R1779-V1779</f>
        <v/>
      </c>
    </row>
    <row r="1780">
      <c r="A1780" s="3" t="n">
        <v>41054</v>
      </c>
      <c r="B1780">
        <f>Prices!B1780</f>
        <v/>
      </c>
      <c r="C1780">
        <f>Prices!C1780</f>
        <v/>
      </c>
      <c r="D1780">
        <f>Prices!D1780</f>
        <v/>
      </c>
      <c r="E1780">
        <f>Prices!E1780</f>
        <v/>
      </c>
      <c r="F1780">
        <f>Prices!F1780</f>
        <v/>
      </c>
      <c r="G1780">
        <f>IF(AND(1778&gt;=16,TEXT(A1780,"yyyy-mm")&lt;&gt;TEXT(A1781,"yyyy-mm")),1,0)</f>
        <v/>
      </c>
      <c r="H1780">
        <f>IF(OR(H1779=1,G1780=1),1,0)</f>
        <v/>
      </c>
      <c r="I1780">
        <f>IF(H1779=0,1,SUMPRODUCT(J1779:N1779,B1780:F1780)+O1779*(1+0.00023125256064071564))</f>
        <v/>
      </c>
      <c r="J1780">
        <f>IF(G1780=1,0.2*R1780/B1780,J1779)</f>
        <v/>
      </c>
      <c r="K1780">
        <f>IF(G1780=1,0.2*R1780/C1780,K1779)</f>
        <v/>
      </c>
      <c r="L1780">
        <f>IF(G1780=1,0.2*R1780/D1780,L1779)</f>
        <v/>
      </c>
      <c r="M1780">
        <f>IF(G1780=1,0.2*R1780/E1780,M1779)</f>
        <v/>
      </c>
      <c r="N1780">
        <f>IF(G1780=1,0.2*R1780/F1780,N1779)</f>
        <v/>
      </c>
      <c r="O1780">
        <f>IF(G1780=1,R1780*(1-1.0),IF(H1779=0,1,O1779*(1+0.00023125256064071564)))</f>
        <v/>
      </c>
      <c r="P1780">
        <f>IF(G1780=1,IF(H1779=0,1,ABS(0.2-J1779*B1780/I1780)+ABS(0.2-K1779*C1780/I1780)+ABS(0.2-L1779*D1780/I1780)+ABS(0.2-M1779*E1780/I1780)+ABS(0.2-N1779*F1780/I1780)),0)</f>
        <v/>
      </c>
      <c r="Q1780">
        <f>P1780*0.0015</f>
        <v/>
      </c>
      <c r="R1780">
        <f>I1780*(1-Q1780)</f>
        <v/>
      </c>
      <c r="S1780">
        <f>R1780/R1779-1</f>
        <v/>
      </c>
      <c r="T1780">
        <f>MAX(T1779,R1780)</f>
        <v/>
      </c>
      <c r="U1780">
        <f>R1780/T1780-1</f>
        <v/>
      </c>
      <c r="V1780" t="n">
        <v>3.099174247811993</v>
      </c>
      <c r="W1780" s="5">
        <f>R1780-V1780</f>
        <v/>
      </c>
    </row>
    <row r="1781">
      <c r="A1781" s="3" t="n">
        <v>41057</v>
      </c>
      <c r="B1781">
        <f>Prices!B1781</f>
        <v/>
      </c>
      <c r="C1781">
        <f>Prices!C1781</f>
        <v/>
      </c>
      <c r="D1781">
        <f>Prices!D1781</f>
        <v/>
      </c>
      <c r="E1781">
        <f>Prices!E1781</f>
        <v/>
      </c>
      <c r="F1781">
        <f>Prices!F1781</f>
        <v/>
      </c>
      <c r="G1781">
        <f>IF(AND(1779&gt;=16,TEXT(A1781,"yyyy-mm")&lt;&gt;TEXT(A1782,"yyyy-mm")),1,0)</f>
        <v/>
      </c>
      <c r="H1781">
        <f>IF(OR(H1780=1,G1781=1),1,0)</f>
        <v/>
      </c>
      <c r="I1781">
        <f>IF(H1780=0,1,SUMPRODUCT(J1780:N1780,B1781:F1781)+O1780*(1+0.00023125256064071564))</f>
        <v/>
      </c>
      <c r="J1781">
        <f>IF(G1781=1,0.2*R1781/B1781,J1780)</f>
        <v/>
      </c>
      <c r="K1781">
        <f>IF(G1781=1,0.2*R1781/C1781,K1780)</f>
        <v/>
      </c>
      <c r="L1781">
        <f>IF(G1781=1,0.2*R1781/D1781,L1780)</f>
        <v/>
      </c>
      <c r="M1781">
        <f>IF(G1781=1,0.2*R1781/E1781,M1780)</f>
        <v/>
      </c>
      <c r="N1781">
        <f>IF(G1781=1,0.2*R1781/F1781,N1780)</f>
        <v/>
      </c>
      <c r="O1781">
        <f>IF(G1781=1,R1781*(1-1.0),IF(H1780=0,1,O1780*(1+0.00023125256064071564)))</f>
        <v/>
      </c>
      <c r="P1781">
        <f>IF(G1781=1,IF(H1780=0,1,ABS(0.2-J1780*B1781/I1781)+ABS(0.2-K1780*C1781/I1781)+ABS(0.2-L1780*D1781/I1781)+ABS(0.2-M1780*E1781/I1781)+ABS(0.2-N1780*F1781/I1781)),0)</f>
        <v/>
      </c>
      <c r="Q1781">
        <f>P1781*0.0015</f>
        <v/>
      </c>
      <c r="R1781">
        <f>I1781*(1-Q1781)</f>
        <v/>
      </c>
      <c r="S1781">
        <f>R1781/R1780-1</f>
        <v/>
      </c>
      <c r="T1781">
        <f>MAX(T1780,R1781)</f>
        <v/>
      </c>
      <c r="U1781">
        <f>R1781/T1781-1</f>
        <v/>
      </c>
      <c r="V1781" t="n">
        <v>3.144008077931341</v>
      </c>
      <c r="W1781" s="5">
        <f>R1781-V1781</f>
        <v/>
      </c>
    </row>
    <row r="1782">
      <c r="A1782" s="3" t="n">
        <v>41058</v>
      </c>
      <c r="B1782">
        <f>Prices!B1782</f>
        <v/>
      </c>
      <c r="C1782">
        <f>Prices!C1782</f>
        <v/>
      </c>
      <c r="D1782">
        <f>Prices!D1782</f>
        <v/>
      </c>
      <c r="E1782">
        <f>Prices!E1782</f>
        <v/>
      </c>
      <c r="F1782">
        <f>Prices!F1782</f>
        <v/>
      </c>
      <c r="G1782">
        <f>IF(AND(1780&gt;=16,TEXT(A1782,"yyyy-mm")&lt;&gt;TEXT(A1783,"yyyy-mm")),1,0)</f>
        <v/>
      </c>
      <c r="H1782">
        <f>IF(OR(H1781=1,G1782=1),1,0)</f>
        <v/>
      </c>
      <c r="I1782">
        <f>IF(H1781=0,1,SUMPRODUCT(J1781:N1781,B1782:F1782)+O1781*(1+0.00023125256064071564))</f>
        <v/>
      </c>
      <c r="J1782">
        <f>IF(G1782=1,0.2*R1782/B1782,J1781)</f>
        <v/>
      </c>
      <c r="K1782">
        <f>IF(G1782=1,0.2*R1782/C1782,K1781)</f>
        <v/>
      </c>
      <c r="L1782">
        <f>IF(G1782=1,0.2*R1782/D1782,L1781)</f>
        <v/>
      </c>
      <c r="M1782">
        <f>IF(G1782=1,0.2*R1782/E1782,M1781)</f>
        <v/>
      </c>
      <c r="N1782">
        <f>IF(G1782=1,0.2*R1782/F1782,N1781)</f>
        <v/>
      </c>
      <c r="O1782">
        <f>IF(G1782=1,R1782*(1-1.0),IF(H1781=0,1,O1781*(1+0.00023125256064071564)))</f>
        <v/>
      </c>
      <c r="P1782">
        <f>IF(G1782=1,IF(H1781=0,1,ABS(0.2-J1781*B1782/I1782)+ABS(0.2-K1781*C1782/I1782)+ABS(0.2-L1781*D1782/I1782)+ABS(0.2-M1781*E1782/I1782)+ABS(0.2-N1781*F1782/I1782)),0)</f>
        <v/>
      </c>
      <c r="Q1782">
        <f>P1782*0.0015</f>
        <v/>
      </c>
      <c r="R1782">
        <f>I1782*(1-Q1782)</f>
        <v/>
      </c>
      <c r="S1782">
        <f>R1782/R1781-1</f>
        <v/>
      </c>
      <c r="T1782">
        <f>MAX(T1781,R1782)</f>
        <v/>
      </c>
      <c r="U1782">
        <f>R1782/T1782-1</f>
        <v/>
      </c>
      <c r="V1782" t="n">
        <v>3.134023355402587</v>
      </c>
      <c r="W1782" s="5">
        <f>R1782-V1782</f>
        <v/>
      </c>
    </row>
    <row r="1783">
      <c r="A1783" s="3" t="n">
        <v>41059</v>
      </c>
      <c r="B1783">
        <f>Prices!B1783</f>
        <v/>
      </c>
      <c r="C1783">
        <f>Prices!C1783</f>
        <v/>
      </c>
      <c r="D1783">
        <f>Prices!D1783</f>
        <v/>
      </c>
      <c r="E1783">
        <f>Prices!E1783</f>
        <v/>
      </c>
      <c r="F1783">
        <f>Prices!F1783</f>
        <v/>
      </c>
      <c r="G1783">
        <f>IF(AND(1781&gt;=16,TEXT(A1783,"yyyy-mm")&lt;&gt;TEXT(A1784,"yyyy-mm")),1,0)</f>
        <v/>
      </c>
      <c r="H1783">
        <f>IF(OR(H1782=1,G1783=1),1,0)</f>
        <v/>
      </c>
      <c r="I1783">
        <f>IF(H1782=0,1,SUMPRODUCT(J1782:N1782,B1783:F1783)+O1782*(1+0.00023125256064071564))</f>
        <v/>
      </c>
      <c r="J1783">
        <f>IF(G1783=1,0.2*R1783/B1783,J1782)</f>
        <v/>
      </c>
      <c r="K1783">
        <f>IF(G1783=1,0.2*R1783/C1783,K1782)</f>
        <v/>
      </c>
      <c r="L1783">
        <f>IF(G1783=1,0.2*R1783/D1783,L1782)</f>
        <v/>
      </c>
      <c r="M1783">
        <f>IF(G1783=1,0.2*R1783/E1783,M1782)</f>
        <v/>
      </c>
      <c r="N1783">
        <f>IF(G1783=1,0.2*R1783/F1783,N1782)</f>
        <v/>
      </c>
      <c r="O1783">
        <f>IF(G1783=1,R1783*(1-1.0),IF(H1782=0,1,O1782*(1+0.00023125256064071564)))</f>
        <v/>
      </c>
      <c r="P1783">
        <f>IF(G1783=1,IF(H1782=0,1,ABS(0.2-J1782*B1783/I1783)+ABS(0.2-K1782*C1783/I1783)+ABS(0.2-L1782*D1783/I1783)+ABS(0.2-M1782*E1783/I1783)+ABS(0.2-N1782*F1783/I1783)),0)</f>
        <v/>
      </c>
      <c r="Q1783">
        <f>P1783*0.0015</f>
        <v/>
      </c>
      <c r="R1783">
        <f>I1783*(1-Q1783)</f>
        <v/>
      </c>
      <c r="S1783">
        <f>R1783/R1782-1</f>
        <v/>
      </c>
      <c r="T1783">
        <f>MAX(T1782,R1783)</f>
        <v/>
      </c>
      <c r="U1783">
        <f>R1783/T1783-1</f>
        <v/>
      </c>
      <c r="V1783" t="n">
        <v>3.096142235457481</v>
      </c>
      <c r="W1783" s="5">
        <f>R1783-V1783</f>
        <v/>
      </c>
    </row>
    <row r="1784">
      <c r="A1784" s="3" t="n">
        <v>41060</v>
      </c>
      <c r="B1784">
        <f>Prices!B1784</f>
        <v/>
      </c>
      <c r="C1784">
        <f>Prices!C1784</f>
        <v/>
      </c>
      <c r="D1784">
        <f>Prices!D1784</f>
        <v/>
      </c>
      <c r="E1784">
        <f>Prices!E1784</f>
        <v/>
      </c>
      <c r="F1784">
        <f>Prices!F1784</f>
        <v/>
      </c>
      <c r="G1784">
        <f>IF(AND(1782&gt;=16,TEXT(A1784,"yyyy-mm")&lt;&gt;TEXT(A1785,"yyyy-mm")),1,0)</f>
        <v/>
      </c>
      <c r="H1784">
        <f>IF(OR(H1783=1,G1784=1),1,0)</f>
        <v/>
      </c>
      <c r="I1784">
        <f>IF(H1783=0,1,SUMPRODUCT(J1783:N1783,B1784:F1784)+O1783*(1+0.00023125256064071564))</f>
        <v/>
      </c>
      <c r="J1784">
        <f>IF(G1784=1,0.2*R1784/B1784,J1783)</f>
        <v/>
      </c>
      <c r="K1784">
        <f>IF(G1784=1,0.2*R1784/C1784,K1783)</f>
        <v/>
      </c>
      <c r="L1784">
        <f>IF(G1784=1,0.2*R1784/D1784,L1783)</f>
        <v/>
      </c>
      <c r="M1784">
        <f>IF(G1784=1,0.2*R1784/E1784,M1783)</f>
        <v/>
      </c>
      <c r="N1784">
        <f>IF(G1784=1,0.2*R1784/F1784,N1783)</f>
        <v/>
      </c>
      <c r="O1784">
        <f>IF(G1784=1,R1784*(1-1.0),IF(H1783=0,1,O1783*(1+0.00023125256064071564)))</f>
        <v/>
      </c>
      <c r="P1784">
        <f>IF(G1784=1,IF(H1783=0,1,ABS(0.2-J1783*B1784/I1784)+ABS(0.2-K1783*C1784/I1784)+ABS(0.2-L1783*D1784/I1784)+ABS(0.2-M1783*E1784/I1784)+ABS(0.2-N1783*F1784/I1784)),0)</f>
        <v/>
      </c>
      <c r="Q1784">
        <f>P1784*0.0015</f>
        <v/>
      </c>
      <c r="R1784">
        <f>I1784*(1-Q1784)</f>
        <v/>
      </c>
      <c r="S1784">
        <f>R1784/R1783-1</f>
        <v/>
      </c>
      <c r="T1784">
        <f>MAX(T1783,R1784)</f>
        <v/>
      </c>
      <c r="U1784">
        <f>R1784/T1784-1</f>
        <v/>
      </c>
      <c r="V1784" t="n">
        <v>3.101683743636007</v>
      </c>
      <c r="W1784" s="5">
        <f>R1784-V1784</f>
        <v/>
      </c>
    </row>
    <row r="1785">
      <c r="A1785" s="3" t="n">
        <v>41061</v>
      </c>
      <c r="B1785">
        <f>Prices!B1785</f>
        <v/>
      </c>
      <c r="C1785">
        <f>Prices!C1785</f>
        <v/>
      </c>
      <c r="D1785">
        <f>Prices!D1785</f>
        <v/>
      </c>
      <c r="E1785">
        <f>Prices!E1785</f>
        <v/>
      </c>
      <c r="F1785">
        <f>Prices!F1785</f>
        <v/>
      </c>
      <c r="G1785">
        <f>IF(AND(1783&gt;=16,TEXT(A1785,"yyyy-mm")&lt;&gt;TEXT(A1786,"yyyy-mm")),1,0)</f>
        <v/>
      </c>
      <c r="H1785">
        <f>IF(OR(H1784=1,G1785=1),1,0)</f>
        <v/>
      </c>
      <c r="I1785">
        <f>IF(H1784=0,1,SUMPRODUCT(J1784:N1784,B1785:F1785)+O1784*(1+0.00023125256064071564))</f>
        <v/>
      </c>
      <c r="J1785">
        <f>IF(G1785=1,0.2*R1785/B1785,J1784)</f>
        <v/>
      </c>
      <c r="K1785">
        <f>IF(G1785=1,0.2*R1785/C1785,K1784)</f>
        <v/>
      </c>
      <c r="L1785">
        <f>IF(G1785=1,0.2*R1785/D1785,L1784)</f>
        <v/>
      </c>
      <c r="M1785">
        <f>IF(G1785=1,0.2*R1785/E1785,M1784)</f>
        <v/>
      </c>
      <c r="N1785">
        <f>IF(G1785=1,0.2*R1785/F1785,N1784)</f>
        <v/>
      </c>
      <c r="O1785">
        <f>IF(G1785=1,R1785*(1-1.0),IF(H1784=0,1,O1784*(1+0.00023125256064071564)))</f>
        <v/>
      </c>
      <c r="P1785">
        <f>IF(G1785=1,IF(H1784=0,1,ABS(0.2-J1784*B1785/I1785)+ABS(0.2-K1784*C1785/I1785)+ABS(0.2-L1784*D1785/I1785)+ABS(0.2-M1784*E1785/I1785)+ABS(0.2-N1784*F1785/I1785)),0)</f>
        <v/>
      </c>
      <c r="Q1785">
        <f>P1785*0.0015</f>
        <v/>
      </c>
      <c r="R1785">
        <f>I1785*(1-Q1785)</f>
        <v/>
      </c>
      <c r="S1785">
        <f>R1785/R1784-1</f>
        <v/>
      </c>
      <c r="T1785">
        <f>MAX(T1784,R1785)</f>
        <v/>
      </c>
      <c r="U1785">
        <f>R1785/T1785-1</f>
        <v/>
      </c>
      <c r="V1785" t="n">
        <v>3.056052390610618</v>
      </c>
      <c r="W1785" s="5">
        <f>R1785-V1785</f>
        <v/>
      </c>
    </row>
    <row r="1786">
      <c r="A1786" s="3" t="n">
        <v>41064</v>
      </c>
      <c r="B1786">
        <f>Prices!B1786</f>
        <v/>
      </c>
      <c r="C1786">
        <f>Prices!C1786</f>
        <v/>
      </c>
      <c r="D1786">
        <f>Prices!D1786</f>
        <v/>
      </c>
      <c r="E1786">
        <f>Prices!E1786</f>
        <v/>
      </c>
      <c r="F1786">
        <f>Prices!F1786</f>
        <v/>
      </c>
      <c r="G1786">
        <f>IF(AND(1784&gt;=16,TEXT(A1786,"yyyy-mm")&lt;&gt;TEXT(A1787,"yyyy-mm")),1,0)</f>
        <v/>
      </c>
      <c r="H1786">
        <f>IF(OR(H1785=1,G1786=1),1,0)</f>
        <v/>
      </c>
      <c r="I1786">
        <f>IF(H1785=0,1,SUMPRODUCT(J1785:N1785,B1786:F1786)+O1785*(1+0.00023125256064071564))</f>
        <v/>
      </c>
      <c r="J1786">
        <f>IF(G1786=1,0.2*R1786/B1786,J1785)</f>
        <v/>
      </c>
      <c r="K1786">
        <f>IF(G1786=1,0.2*R1786/C1786,K1785)</f>
        <v/>
      </c>
      <c r="L1786">
        <f>IF(G1786=1,0.2*R1786/D1786,L1785)</f>
        <v/>
      </c>
      <c r="M1786">
        <f>IF(G1786=1,0.2*R1786/E1786,M1785)</f>
        <v/>
      </c>
      <c r="N1786">
        <f>IF(G1786=1,0.2*R1786/F1786,N1785)</f>
        <v/>
      </c>
      <c r="O1786">
        <f>IF(G1786=1,R1786*(1-1.0),IF(H1785=0,1,O1785*(1+0.00023125256064071564)))</f>
        <v/>
      </c>
      <c r="P1786">
        <f>IF(G1786=1,IF(H1785=0,1,ABS(0.2-J1785*B1786/I1786)+ABS(0.2-K1785*C1786/I1786)+ABS(0.2-L1785*D1786/I1786)+ABS(0.2-M1785*E1786/I1786)+ABS(0.2-N1785*F1786/I1786)),0)</f>
        <v/>
      </c>
      <c r="Q1786">
        <f>P1786*0.0015</f>
        <v/>
      </c>
      <c r="R1786">
        <f>I1786*(1-Q1786)</f>
        <v/>
      </c>
      <c r="S1786">
        <f>R1786/R1785-1</f>
        <v/>
      </c>
      <c r="T1786">
        <f>MAX(T1785,R1786)</f>
        <v/>
      </c>
      <c r="U1786">
        <f>R1786/T1786-1</f>
        <v/>
      </c>
      <c r="V1786" t="n">
        <v>3.040310914308669</v>
      </c>
      <c r="W1786" s="5">
        <f>R1786-V1786</f>
        <v/>
      </c>
    </row>
    <row r="1787">
      <c r="A1787" s="3" t="n">
        <v>41065</v>
      </c>
      <c r="B1787">
        <f>Prices!B1787</f>
        <v/>
      </c>
      <c r="C1787">
        <f>Prices!C1787</f>
        <v/>
      </c>
      <c r="D1787">
        <f>Prices!D1787</f>
        <v/>
      </c>
      <c r="E1787">
        <f>Prices!E1787</f>
        <v/>
      </c>
      <c r="F1787">
        <f>Prices!F1787</f>
        <v/>
      </c>
      <c r="G1787">
        <f>IF(AND(1785&gt;=16,TEXT(A1787,"yyyy-mm")&lt;&gt;TEXT(A1788,"yyyy-mm")),1,0)</f>
        <v/>
      </c>
      <c r="H1787">
        <f>IF(OR(H1786=1,G1787=1),1,0)</f>
        <v/>
      </c>
      <c r="I1787">
        <f>IF(H1786=0,1,SUMPRODUCT(J1786:N1786,B1787:F1787)+O1786*(1+0.00023125256064071564))</f>
        <v/>
      </c>
      <c r="J1787">
        <f>IF(G1787=1,0.2*R1787/B1787,J1786)</f>
        <v/>
      </c>
      <c r="K1787">
        <f>IF(G1787=1,0.2*R1787/C1787,K1786)</f>
        <v/>
      </c>
      <c r="L1787">
        <f>IF(G1787=1,0.2*R1787/D1787,L1786)</f>
        <v/>
      </c>
      <c r="M1787">
        <f>IF(G1787=1,0.2*R1787/E1787,M1786)</f>
        <v/>
      </c>
      <c r="N1787">
        <f>IF(G1787=1,0.2*R1787/F1787,N1786)</f>
        <v/>
      </c>
      <c r="O1787">
        <f>IF(G1787=1,R1787*(1-1.0),IF(H1786=0,1,O1786*(1+0.00023125256064071564)))</f>
        <v/>
      </c>
      <c r="P1787">
        <f>IF(G1787=1,IF(H1786=0,1,ABS(0.2-J1786*B1787/I1787)+ABS(0.2-K1786*C1787/I1787)+ABS(0.2-L1786*D1787/I1787)+ABS(0.2-M1786*E1787/I1787)+ABS(0.2-N1786*F1787/I1787)),0)</f>
        <v/>
      </c>
      <c r="Q1787">
        <f>P1787*0.0015</f>
        <v/>
      </c>
      <c r="R1787">
        <f>I1787*(1-Q1787)</f>
        <v/>
      </c>
      <c r="S1787">
        <f>R1787/R1786-1</f>
        <v/>
      </c>
      <c r="T1787">
        <f>MAX(T1786,R1787)</f>
        <v/>
      </c>
      <c r="U1787">
        <f>R1787/T1787-1</f>
        <v/>
      </c>
      <c r="V1787" t="n">
        <v>3.042566754027506</v>
      </c>
      <c r="W1787" s="5">
        <f>R1787-V1787</f>
        <v/>
      </c>
    </row>
    <row r="1788">
      <c r="A1788" s="3" t="n">
        <v>41066</v>
      </c>
      <c r="B1788">
        <f>Prices!B1788</f>
        <v/>
      </c>
      <c r="C1788">
        <f>Prices!C1788</f>
        <v/>
      </c>
      <c r="D1788">
        <f>Prices!D1788</f>
        <v/>
      </c>
      <c r="E1788">
        <f>Prices!E1788</f>
        <v/>
      </c>
      <c r="F1788">
        <f>Prices!F1788</f>
        <v/>
      </c>
      <c r="G1788">
        <f>IF(AND(1786&gt;=16,TEXT(A1788,"yyyy-mm")&lt;&gt;TEXT(A1789,"yyyy-mm")),1,0)</f>
        <v/>
      </c>
      <c r="H1788">
        <f>IF(OR(H1787=1,G1788=1),1,0)</f>
        <v/>
      </c>
      <c r="I1788">
        <f>IF(H1787=0,1,SUMPRODUCT(J1787:N1787,B1788:F1788)+O1787*(1+0.00023125256064071564))</f>
        <v/>
      </c>
      <c r="J1788">
        <f>IF(G1788=1,0.2*R1788/B1788,J1787)</f>
        <v/>
      </c>
      <c r="K1788">
        <f>IF(G1788=1,0.2*R1788/C1788,K1787)</f>
        <v/>
      </c>
      <c r="L1788">
        <f>IF(G1788=1,0.2*R1788/D1788,L1787)</f>
        <v/>
      </c>
      <c r="M1788">
        <f>IF(G1788=1,0.2*R1788/E1788,M1787)</f>
        <v/>
      </c>
      <c r="N1788">
        <f>IF(G1788=1,0.2*R1788/F1788,N1787)</f>
        <v/>
      </c>
      <c r="O1788">
        <f>IF(G1788=1,R1788*(1-1.0),IF(H1787=0,1,O1787*(1+0.00023125256064071564)))</f>
        <v/>
      </c>
      <c r="P1788">
        <f>IF(G1788=1,IF(H1787=0,1,ABS(0.2-J1787*B1788/I1788)+ABS(0.2-K1787*C1788/I1788)+ABS(0.2-L1787*D1788/I1788)+ABS(0.2-M1787*E1788/I1788)+ABS(0.2-N1787*F1788/I1788)),0)</f>
        <v/>
      </c>
      <c r="Q1788">
        <f>P1788*0.0015</f>
        <v/>
      </c>
      <c r="R1788">
        <f>I1788*(1-Q1788)</f>
        <v/>
      </c>
      <c r="S1788">
        <f>R1788/R1787-1</f>
        <v/>
      </c>
      <c r="T1788">
        <f>MAX(T1787,R1788)</f>
        <v/>
      </c>
      <c r="U1788">
        <f>R1788/T1788-1</f>
        <v/>
      </c>
      <c r="V1788" t="n">
        <v>3.107823768426305</v>
      </c>
      <c r="W1788" s="5">
        <f>R1788-V1788</f>
        <v/>
      </c>
    </row>
    <row r="1789">
      <c r="A1789" s="3" t="n">
        <v>41067</v>
      </c>
      <c r="B1789">
        <f>Prices!B1789</f>
        <v/>
      </c>
      <c r="C1789">
        <f>Prices!C1789</f>
        <v/>
      </c>
      <c r="D1789">
        <f>Prices!D1789</f>
        <v/>
      </c>
      <c r="E1789">
        <f>Prices!E1789</f>
        <v/>
      </c>
      <c r="F1789">
        <f>Prices!F1789</f>
        <v/>
      </c>
      <c r="G1789">
        <f>IF(AND(1787&gt;=16,TEXT(A1789,"yyyy-mm")&lt;&gt;TEXT(A1790,"yyyy-mm")),1,0)</f>
        <v/>
      </c>
      <c r="H1789">
        <f>IF(OR(H1788=1,G1789=1),1,0)</f>
        <v/>
      </c>
      <c r="I1789">
        <f>IF(H1788=0,1,SUMPRODUCT(J1788:N1788,B1789:F1789)+O1788*(1+0.00023125256064071564))</f>
        <v/>
      </c>
      <c r="J1789">
        <f>IF(G1789=1,0.2*R1789/B1789,J1788)</f>
        <v/>
      </c>
      <c r="K1789">
        <f>IF(G1789=1,0.2*R1789/C1789,K1788)</f>
        <v/>
      </c>
      <c r="L1789">
        <f>IF(G1789=1,0.2*R1789/D1789,L1788)</f>
        <v/>
      </c>
      <c r="M1789">
        <f>IF(G1789=1,0.2*R1789/E1789,M1788)</f>
        <v/>
      </c>
      <c r="N1789">
        <f>IF(G1789=1,0.2*R1789/F1789,N1788)</f>
        <v/>
      </c>
      <c r="O1789">
        <f>IF(G1789=1,R1789*(1-1.0),IF(H1788=0,1,O1788*(1+0.00023125256064071564)))</f>
        <v/>
      </c>
      <c r="P1789">
        <f>IF(G1789=1,IF(H1788=0,1,ABS(0.2-J1788*B1789/I1789)+ABS(0.2-K1788*C1789/I1789)+ABS(0.2-L1788*D1789/I1789)+ABS(0.2-M1788*E1789/I1789)+ABS(0.2-N1788*F1789/I1789)),0)</f>
        <v/>
      </c>
      <c r="Q1789">
        <f>P1789*0.0015</f>
        <v/>
      </c>
      <c r="R1789">
        <f>I1789*(1-Q1789)</f>
        <v/>
      </c>
      <c r="S1789">
        <f>R1789/R1788-1</f>
        <v/>
      </c>
      <c r="T1789">
        <f>MAX(T1788,R1789)</f>
        <v/>
      </c>
      <c r="U1789">
        <f>R1789/T1789-1</f>
        <v/>
      </c>
      <c r="V1789" t="n">
        <v>3.11967008447665</v>
      </c>
      <c r="W1789" s="5">
        <f>R1789-V1789</f>
        <v/>
      </c>
    </row>
    <row r="1790">
      <c r="A1790" s="3" t="n">
        <v>41068</v>
      </c>
      <c r="B1790">
        <f>Prices!B1790</f>
        <v/>
      </c>
      <c r="C1790">
        <f>Prices!C1790</f>
        <v/>
      </c>
      <c r="D1790">
        <f>Prices!D1790</f>
        <v/>
      </c>
      <c r="E1790">
        <f>Prices!E1790</f>
        <v/>
      </c>
      <c r="F1790">
        <f>Prices!F1790</f>
        <v/>
      </c>
      <c r="G1790">
        <f>IF(AND(1788&gt;=16,TEXT(A1790,"yyyy-mm")&lt;&gt;TEXT(A1791,"yyyy-mm")),1,0)</f>
        <v/>
      </c>
      <c r="H1790">
        <f>IF(OR(H1789=1,G1790=1),1,0)</f>
        <v/>
      </c>
      <c r="I1790">
        <f>IF(H1789=0,1,SUMPRODUCT(J1789:N1789,B1790:F1790)+O1789*(1+0.00023125256064071564))</f>
        <v/>
      </c>
      <c r="J1790">
        <f>IF(G1790=1,0.2*R1790/B1790,J1789)</f>
        <v/>
      </c>
      <c r="K1790">
        <f>IF(G1790=1,0.2*R1790/C1790,K1789)</f>
        <v/>
      </c>
      <c r="L1790">
        <f>IF(G1790=1,0.2*R1790/D1790,L1789)</f>
        <v/>
      </c>
      <c r="M1790">
        <f>IF(G1790=1,0.2*R1790/E1790,M1789)</f>
        <v/>
      </c>
      <c r="N1790">
        <f>IF(G1790=1,0.2*R1790/F1790,N1789)</f>
        <v/>
      </c>
      <c r="O1790">
        <f>IF(G1790=1,R1790*(1-1.0),IF(H1789=0,1,O1789*(1+0.00023125256064071564)))</f>
        <v/>
      </c>
      <c r="P1790">
        <f>IF(G1790=1,IF(H1789=0,1,ABS(0.2-J1789*B1790/I1790)+ABS(0.2-K1789*C1790/I1790)+ABS(0.2-L1789*D1790/I1790)+ABS(0.2-M1789*E1790/I1790)+ABS(0.2-N1789*F1790/I1790)),0)</f>
        <v/>
      </c>
      <c r="Q1790">
        <f>P1790*0.0015</f>
        <v/>
      </c>
      <c r="R1790">
        <f>I1790*(1-Q1790)</f>
        <v/>
      </c>
      <c r="S1790">
        <f>R1790/R1789-1</f>
        <v/>
      </c>
      <c r="T1790">
        <f>MAX(T1789,R1790)</f>
        <v/>
      </c>
      <c r="U1790">
        <f>R1790/T1790-1</f>
        <v/>
      </c>
      <c r="V1790" t="n">
        <v>3.132090729008735</v>
      </c>
      <c r="W1790" s="5">
        <f>R1790-V1790</f>
        <v/>
      </c>
    </row>
    <row r="1791">
      <c r="A1791" s="3" t="n">
        <v>41071</v>
      </c>
      <c r="B1791">
        <f>Prices!B1791</f>
        <v/>
      </c>
      <c r="C1791">
        <f>Prices!C1791</f>
        <v/>
      </c>
      <c r="D1791">
        <f>Prices!D1791</f>
        <v/>
      </c>
      <c r="E1791">
        <f>Prices!E1791</f>
        <v/>
      </c>
      <c r="F1791">
        <f>Prices!F1791</f>
        <v/>
      </c>
      <c r="G1791">
        <f>IF(AND(1789&gt;=16,TEXT(A1791,"yyyy-mm")&lt;&gt;TEXT(A1792,"yyyy-mm")),1,0)</f>
        <v/>
      </c>
      <c r="H1791">
        <f>IF(OR(H1790=1,G1791=1),1,0)</f>
        <v/>
      </c>
      <c r="I1791">
        <f>IF(H1790=0,1,SUMPRODUCT(J1790:N1790,B1791:F1791)+O1790*(1+0.00023125256064071564))</f>
        <v/>
      </c>
      <c r="J1791">
        <f>IF(G1791=1,0.2*R1791/B1791,J1790)</f>
        <v/>
      </c>
      <c r="K1791">
        <f>IF(G1791=1,0.2*R1791/C1791,K1790)</f>
        <v/>
      </c>
      <c r="L1791">
        <f>IF(G1791=1,0.2*R1791/D1791,L1790)</f>
        <v/>
      </c>
      <c r="M1791">
        <f>IF(G1791=1,0.2*R1791/E1791,M1790)</f>
        <v/>
      </c>
      <c r="N1791">
        <f>IF(G1791=1,0.2*R1791/F1791,N1790)</f>
        <v/>
      </c>
      <c r="O1791">
        <f>IF(G1791=1,R1791*(1-1.0),IF(H1790=0,1,O1790*(1+0.00023125256064071564)))</f>
        <v/>
      </c>
      <c r="P1791">
        <f>IF(G1791=1,IF(H1790=0,1,ABS(0.2-J1790*B1791/I1791)+ABS(0.2-K1790*C1791/I1791)+ABS(0.2-L1790*D1791/I1791)+ABS(0.2-M1790*E1791/I1791)+ABS(0.2-N1790*F1791/I1791)),0)</f>
        <v/>
      </c>
      <c r="Q1791">
        <f>P1791*0.0015</f>
        <v/>
      </c>
      <c r="R1791">
        <f>I1791*(1-Q1791)</f>
        <v/>
      </c>
      <c r="S1791">
        <f>R1791/R1790-1</f>
        <v/>
      </c>
      <c r="T1791">
        <f>MAX(T1790,R1791)</f>
        <v/>
      </c>
      <c r="U1791">
        <f>R1791/T1791-1</f>
        <v/>
      </c>
      <c r="V1791" t="n">
        <v>3.124870390417609</v>
      </c>
      <c r="W1791" s="5">
        <f>R1791-V1791</f>
        <v/>
      </c>
    </row>
    <row r="1792">
      <c r="A1792" s="3" t="n">
        <v>41072</v>
      </c>
      <c r="B1792">
        <f>Prices!B1792</f>
        <v/>
      </c>
      <c r="C1792">
        <f>Prices!C1792</f>
        <v/>
      </c>
      <c r="D1792">
        <f>Prices!D1792</f>
        <v/>
      </c>
      <c r="E1792">
        <f>Prices!E1792</f>
        <v/>
      </c>
      <c r="F1792">
        <f>Prices!F1792</f>
        <v/>
      </c>
      <c r="G1792">
        <f>IF(AND(1790&gt;=16,TEXT(A1792,"yyyy-mm")&lt;&gt;TEXT(A1793,"yyyy-mm")),1,0)</f>
        <v/>
      </c>
      <c r="H1792">
        <f>IF(OR(H1791=1,G1792=1),1,0)</f>
        <v/>
      </c>
      <c r="I1792">
        <f>IF(H1791=0,1,SUMPRODUCT(J1791:N1791,B1792:F1792)+O1791*(1+0.00023125256064071564))</f>
        <v/>
      </c>
      <c r="J1792">
        <f>IF(G1792=1,0.2*R1792/B1792,J1791)</f>
        <v/>
      </c>
      <c r="K1792">
        <f>IF(G1792=1,0.2*R1792/C1792,K1791)</f>
        <v/>
      </c>
      <c r="L1792">
        <f>IF(G1792=1,0.2*R1792/D1792,L1791)</f>
        <v/>
      </c>
      <c r="M1792">
        <f>IF(G1792=1,0.2*R1792/E1792,M1791)</f>
        <v/>
      </c>
      <c r="N1792">
        <f>IF(G1792=1,0.2*R1792/F1792,N1791)</f>
        <v/>
      </c>
      <c r="O1792">
        <f>IF(G1792=1,R1792*(1-1.0),IF(H1791=0,1,O1791*(1+0.00023125256064071564)))</f>
        <v/>
      </c>
      <c r="P1792">
        <f>IF(G1792=1,IF(H1791=0,1,ABS(0.2-J1791*B1792/I1792)+ABS(0.2-K1791*C1792/I1792)+ABS(0.2-L1791*D1792/I1792)+ABS(0.2-M1791*E1792/I1792)+ABS(0.2-N1791*F1792/I1792)),0)</f>
        <v/>
      </c>
      <c r="Q1792">
        <f>P1792*0.0015</f>
        <v/>
      </c>
      <c r="R1792">
        <f>I1792*(1-Q1792)</f>
        <v/>
      </c>
      <c r="S1792">
        <f>R1792/R1791-1</f>
        <v/>
      </c>
      <c r="T1792">
        <f>MAX(T1791,R1792)</f>
        <v/>
      </c>
      <c r="U1792">
        <f>R1792/T1792-1</f>
        <v/>
      </c>
      <c r="V1792" t="n">
        <v>3.151027785159588</v>
      </c>
      <c r="W1792" s="5">
        <f>R1792-V1792</f>
        <v/>
      </c>
    </row>
    <row r="1793">
      <c r="A1793" s="3" t="n">
        <v>41073</v>
      </c>
      <c r="B1793">
        <f>Prices!B1793</f>
        <v/>
      </c>
      <c r="C1793">
        <f>Prices!C1793</f>
        <v/>
      </c>
      <c r="D1793">
        <f>Prices!D1793</f>
        <v/>
      </c>
      <c r="E1793">
        <f>Prices!E1793</f>
        <v/>
      </c>
      <c r="F1793">
        <f>Prices!F1793</f>
        <v/>
      </c>
      <c r="G1793">
        <f>IF(AND(1791&gt;=16,TEXT(A1793,"yyyy-mm")&lt;&gt;TEXT(A1794,"yyyy-mm")),1,0)</f>
        <v/>
      </c>
      <c r="H1793">
        <f>IF(OR(H1792=1,G1793=1),1,0)</f>
        <v/>
      </c>
      <c r="I1793">
        <f>IF(H1792=0,1,SUMPRODUCT(J1792:N1792,B1793:F1793)+O1792*(1+0.00023125256064071564))</f>
        <v/>
      </c>
      <c r="J1793">
        <f>IF(G1793=1,0.2*R1793/B1793,J1792)</f>
        <v/>
      </c>
      <c r="K1793">
        <f>IF(G1793=1,0.2*R1793/C1793,K1792)</f>
        <v/>
      </c>
      <c r="L1793">
        <f>IF(G1793=1,0.2*R1793/D1793,L1792)</f>
        <v/>
      </c>
      <c r="M1793">
        <f>IF(G1793=1,0.2*R1793/E1793,M1792)</f>
        <v/>
      </c>
      <c r="N1793">
        <f>IF(G1793=1,0.2*R1793/F1793,N1792)</f>
        <v/>
      </c>
      <c r="O1793">
        <f>IF(G1793=1,R1793*(1-1.0),IF(H1792=0,1,O1792*(1+0.00023125256064071564)))</f>
        <v/>
      </c>
      <c r="P1793">
        <f>IF(G1793=1,IF(H1792=0,1,ABS(0.2-J1792*B1793/I1793)+ABS(0.2-K1792*C1793/I1793)+ABS(0.2-L1792*D1793/I1793)+ABS(0.2-M1792*E1793/I1793)+ABS(0.2-N1792*F1793/I1793)),0)</f>
        <v/>
      </c>
      <c r="Q1793">
        <f>P1793*0.0015</f>
        <v/>
      </c>
      <c r="R1793">
        <f>I1793*(1-Q1793)</f>
        <v/>
      </c>
      <c r="S1793">
        <f>R1793/R1792-1</f>
        <v/>
      </c>
      <c r="T1793">
        <f>MAX(T1792,R1793)</f>
        <v/>
      </c>
      <c r="U1793">
        <f>R1793/T1793-1</f>
        <v/>
      </c>
      <c r="V1793" t="n">
        <v>3.156578830649003</v>
      </c>
      <c r="W1793" s="5">
        <f>R1793-V1793</f>
        <v/>
      </c>
    </row>
    <row r="1794">
      <c r="A1794" s="3" t="n">
        <v>41074</v>
      </c>
      <c r="B1794">
        <f>Prices!B1794</f>
        <v/>
      </c>
      <c r="C1794">
        <f>Prices!C1794</f>
        <v/>
      </c>
      <c r="D1794">
        <f>Prices!D1794</f>
        <v/>
      </c>
      <c r="E1794">
        <f>Prices!E1794</f>
        <v/>
      </c>
      <c r="F1794">
        <f>Prices!F1794</f>
        <v/>
      </c>
      <c r="G1794">
        <f>IF(AND(1792&gt;=16,TEXT(A1794,"yyyy-mm")&lt;&gt;TEXT(A1795,"yyyy-mm")),1,0)</f>
        <v/>
      </c>
      <c r="H1794">
        <f>IF(OR(H1793=1,G1794=1),1,0)</f>
        <v/>
      </c>
      <c r="I1794">
        <f>IF(H1793=0,1,SUMPRODUCT(J1793:N1793,B1794:F1794)+O1793*(1+0.00023125256064071564))</f>
        <v/>
      </c>
      <c r="J1794">
        <f>IF(G1794=1,0.2*R1794/B1794,J1793)</f>
        <v/>
      </c>
      <c r="K1794">
        <f>IF(G1794=1,0.2*R1794/C1794,K1793)</f>
        <v/>
      </c>
      <c r="L1794">
        <f>IF(G1794=1,0.2*R1794/D1794,L1793)</f>
        <v/>
      </c>
      <c r="M1794">
        <f>IF(G1794=1,0.2*R1794/E1794,M1793)</f>
        <v/>
      </c>
      <c r="N1794">
        <f>IF(G1794=1,0.2*R1794/F1794,N1793)</f>
        <v/>
      </c>
      <c r="O1794">
        <f>IF(G1794=1,R1794*(1-1.0),IF(H1793=0,1,O1793*(1+0.00023125256064071564)))</f>
        <v/>
      </c>
      <c r="P1794">
        <f>IF(G1794=1,IF(H1793=0,1,ABS(0.2-J1793*B1794/I1794)+ABS(0.2-K1793*C1794/I1794)+ABS(0.2-L1793*D1794/I1794)+ABS(0.2-M1793*E1794/I1794)+ABS(0.2-N1793*F1794/I1794)),0)</f>
        <v/>
      </c>
      <c r="Q1794">
        <f>P1794*0.0015</f>
        <v/>
      </c>
      <c r="R1794">
        <f>I1794*(1-Q1794)</f>
        <v/>
      </c>
      <c r="S1794">
        <f>R1794/R1793-1</f>
        <v/>
      </c>
      <c r="T1794">
        <f>MAX(T1793,R1794)</f>
        <v/>
      </c>
      <c r="U1794">
        <f>R1794/T1794-1</f>
        <v/>
      </c>
      <c r="V1794" t="n">
        <v>3.127288922411234</v>
      </c>
      <c r="W1794" s="5">
        <f>R1794-V1794</f>
        <v/>
      </c>
    </row>
    <row r="1795">
      <c r="A1795" s="3" t="n">
        <v>41075</v>
      </c>
      <c r="B1795">
        <f>Prices!B1795</f>
        <v/>
      </c>
      <c r="C1795">
        <f>Prices!C1795</f>
        <v/>
      </c>
      <c r="D1795">
        <f>Prices!D1795</f>
        <v/>
      </c>
      <c r="E1795">
        <f>Prices!E1795</f>
        <v/>
      </c>
      <c r="F1795">
        <f>Prices!F1795</f>
        <v/>
      </c>
      <c r="G1795">
        <f>IF(AND(1793&gt;=16,TEXT(A1795,"yyyy-mm")&lt;&gt;TEXT(A1796,"yyyy-mm")),1,0)</f>
        <v/>
      </c>
      <c r="H1795">
        <f>IF(OR(H1794=1,G1795=1),1,0)</f>
        <v/>
      </c>
      <c r="I1795">
        <f>IF(H1794=0,1,SUMPRODUCT(J1794:N1794,B1795:F1795)+O1794*(1+0.00023125256064071564))</f>
        <v/>
      </c>
      <c r="J1795">
        <f>IF(G1795=1,0.2*R1795/B1795,J1794)</f>
        <v/>
      </c>
      <c r="K1795">
        <f>IF(G1795=1,0.2*R1795/C1795,K1794)</f>
        <v/>
      </c>
      <c r="L1795">
        <f>IF(G1795=1,0.2*R1795/D1795,L1794)</f>
        <v/>
      </c>
      <c r="M1795">
        <f>IF(G1795=1,0.2*R1795/E1795,M1794)</f>
        <v/>
      </c>
      <c r="N1795">
        <f>IF(G1795=1,0.2*R1795/F1795,N1794)</f>
        <v/>
      </c>
      <c r="O1795">
        <f>IF(G1795=1,R1795*(1-1.0),IF(H1794=0,1,O1794*(1+0.00023125256064071564)))</f>
        <v/>
      </c>
      <c r="P1795">
        <f>IF(G1795=1,IF(H1794=0,1,ABS(0.2-J1794*B1795/I1795)+ABS(0.2-K1794*C1795/I1795)+ABS(0.2-L1794*D1795/I1795)+ABS(0.2-M1794*E1795/I1795)+ABS(0.2-N1794*F1795/I1795)),0)</f>
        <v/>
      </c>
      <c r="Q1795">
        <f>P1795*0.0015</f>
        <v/>
      </c>
      <c r="R1795">
        <f>I1795*(1-Q1795)</f>
        <v/>
      </c>
      <c r="S1795">
        <f>R1795/R1794-1</f>
        <v/>
      </c>
      <c r="T1795">
        <f>MAX(T1794,R1795)</f>
        <v/>
      </c>
      <c r="U1795">
        <f>R1795/T1795-1</f>
        <v/>
      </c>
      <c r="V1795" t="n">
        <v>3.159102074530636</v>
      </c>
      <c r="W1795" s="5">
        <f>R1795-V1795</f>
        <v/>
      </c>
    </row>
    <row r="1796">
      <c r="A1796" s="3" t="n">
        <v>41078</v>
      </c>
      <c r="B1796">
        <f>Prices!B1796</f>
        <v/>
      </c>
      <c r="C1796">
        <f>Prices!C1796</f>
        <v/>
      </c>
      <c r="D1796">
        <f>Prices!D1796</f>
        <v/>
      </c>
      <c r="E1796">
        <f>Prices!E1796</f>
        <v/>
      </c>
      <c r="F1796">
        <f>Prices!F1796</f>
        <v/>
      </c>
      <c r="G1796">
        <f>IF(AND(1794&gt;=16,TEXT(A1796,"yyyy-mm")&lt;&gt;TEXT(A1797,"yyyy-mm")),1,0)</f>
        <v/>
      </c>
      <c r="H1796">
        <f>IF(OR(H1795=1,G1796=1),1,0)</f>
        <v/>
      </c>
      <c r="I1796">
        <f>IF(H1795=0,1,SUMPRODUCT(J1795:N1795,B1796:F1796)+O1795*(1+0.00023125256064071564))</f>
        <v/>
      </c>
      <c r="J1796">
        <f>IF(G1796=1,0.2*R1796/B1796,J1795)</f>
        <v/>
      </c>
      <c r="K1796">
        <f>IF(G1796=1,0.2*R1796/C1796,K1795)</f>
        <v/>
      </c>
      <c r="L1796">
        <f>IF(G1796=1,0.2*R1796/D1796,L1795)</f>
        <v/>
      </c>
      <c r="M1796">
        <f>IF(G1796=1,0.2*R1796/E1796,M1795)</f>
        <v/>
      </c>
      <c r="N1796">
        <f>IF(G1796=1,0.2*R1796/F1796,N1795)</f>
        <v/>
      </c>
      <c r="O1796">
        <f>IF(G1796=1,R1796*(1-1.0),IF(H1795=0,1,O1795*(1+0.00023125256064071564)))</f>
        <v/>
      </c>
      <c r="P1796">
        <f>IF(G1796=1,IF(H1795=0,1,ABS(0.2-J1795*B1796/I1796)+ABS(0.2-K1795*C1796/I1796)+ABS(0.2-L1795*D1796/I1796)+ABS(0.2-M1795*E1796/I1796)+ABS(0.2-N1795*F1796/I1796)),0)</f>
        <v/>
      </c>
      <c r="Q1796">
        <f>P1796*0.0015</f>
        <v/>
      </c>
      <c r="R1796">
        <f>I1796*(1-Q1796)</f>
        <v/>
      </c>
      <c r="S1796">
        <f>R1796/R1795-1</f>
        <v/>
      </c>
      <c r="T1796">
        <f>MAX(T1795,R1796)</f>
        <v/>
      </c>
      <c r="U1796">
        <f>R1796/T1796-1</f>
        <v/>
      </c>
      <c r="V1796" t="n">
        <v>3.12389733350412</v>
      </c>
      <c r="W1796" s="5">
        <f>R1796-V1796</f>
        <v/>
      </c>
    </row>
    <row r="1797">
      <c r="A1797" s="3" t="n">
        <v>41079</v>
      </c>
      <c r="B1797">
        <f>Prices!B1797</f>
        <v/>
      </c>
      <c r="C1797">
        <f>Prices!C1797</f>
        <v/>
      </c>
      <c r="D1797">
        <f>Prices!D1797</f>
        <v/>
      </c>
      <c r="E1797">
        <f>Prices!E1797</f>
        <v/>
      </c>
      <c r="F1797">
        <f>Prices!F1797</f>
        <v/>
      </c>
      <c r="G1797">
        <f>IF(AND(1795&gt;=16,TEXT(A1797,"yyyy-mm")&lt;&gt;TEXT(A1798,"yyyy-mm")),1,0)</f>
        <v/>
      </c>
      <c r="H1797">
        <f>IF(OR(H1796=1,G1797=1),1,0)</f>
        <v/>
      </c>
      <c r="I1797">
        <f>IF(H1796=0,1,SUMPRODUCT(J1796:N1796,B1797:F1797)+O1796*(1+0.00023125256064071564))</f>
        <v/>
      </c>
      <c r="J1797">
        <f>IF(G1797=1,0.2*R1797/B1797,J1796)</f>
        <v/>
      </c>
      <c r="K1797">
        <f>IF(G1797=1,0.2*R1797/C1797,K1796)</f>
        <v/>
      </c>
      <c r="L1797">
        <f>IF(G1797=1,0.2*R1797/D1797,L1796)</f>
        <v/>
      </c>
      <c r="M1797">
        <f>IF(G1797=1,0.2*R1797/E1797,M1796)</f>
        <v/>
      </c>
      <c r="N1797">
        <f>IF(G1797=1,0.2*R1797/F1797,N1796)</f>
        <v/>
      </c>
      <c r="O1797">
        <f>IF(G1797=1,R1797*(1-1.0),IF(H1796=0,1,O1796*(1+0.00023125256064071564)))</f>
        <v/>
      </c>
      <c r="P1797">
        <f>IF(G1797=1,IF(H1796=0,1,ABS(0.2-J1796*B1797/I1797)+ABS(0.2-K1796*C1797/I1797)+ABS(0.2-L1796*D1797/I1797)+ABS(0.2-M1796*E1797/I1797)+ABS(0.2-N1796*F1797/I1797)),0)</f>
        <v/>
      </c>
      <c r="Q1797">
        <f>P1797*0.0015</f>
        <v/>
      </c>
      <c r="R1797">
        <f>I1797*(1-Q1797)</f>
        <v/>
      </c>
      <c r="S1797">
        <f>R1797/R1796-1</f>
        <v/>
      </c>
      <c r="T1797">
        <f>MAX(T1796,R1797)</f>
        <v/>
      </c>
      <c r="U1797">
        <f>R1797/T1797-1</f>
        <v/>
      </c>
      <c r="V1797" t="n">
        <v>3.141935969771056</v>
      </c>
      <c r="W1797" s="5">
        <f>R1797-V1797</f>
        <v/>
      </c>
    </row>
    <row r="1798">
      <c r="A1798" s="3" t="n">
        <v>41080</v>
      </c>
      <c r="B1798">
        <f>Prices!B1798</f>
        <v/>
      </c>
      <c r="C1798">
        <f>Prices!C1798</f>
        <v/>
      </c>
      <c r="D1798">
        <f>Prices!D1798</f>
        <v/>
      </c>
      <c r="E1798">
        <f>Prices!E1798</f>
        <v/>
      </c>
      <c r="F1798">
        <f>Prices!F1798</f>
        <v/>
      </c>
      <c r="G1798">
        <f>IF(AND(1796&gt;=16,TEXT(A1798,"yyyy-mm")&lt;&gt;TEXT(A1799,"yyyy-mm")),1,0)</f>
        <v/>
      </c>
      <c r="H1798">
        <f>IF(OR(H1797=1,G1798=1),1,0)</f>
        <v/>
      </c>
      <c r="I1798">
        <f>IF(H1797=0,1,SUMPRODUCT(J1797:N1797,B1798:F1798)+O1797*(1+0.00023125256064071564))</f>
        <v/>
      </c>
      <c r="J1798">
        <f>IF(G1798=1,0.2*R1798/B1798,J1797)</f>
        <v/>
      </c>
      <c r="K1798">
        <f>IF(G1798=1,0.2*R1798/C1798,K1797)</f>
        <v/>
      </c>
      <c r="L1798">
        <f>IF(G1798=1,0.2*R1798/D1798,L1797)</f>
        <v/>
      </c>
      <c r="M1798">
        <f>IF(G1798=1,0.2*R1798/E1798,M1797)</f>
        <v/>
      </c>
      <c r="N1798">
        <f>IF(G1798=1,0.2*R1798/F1798,N1797)</f>
        <v/>
      </c>
      <c r="O1798">
        <f>IF(G1798=1,R1798*(1-1.0),IF(H1797=0,1,O1797*(1+0.00023125256064071564)))</f>
        <v/>
      </c>
      <c r="P1798">
        <f>IF(G1798=1,IF(H1797=0,1,ABS(0.2-J1797*B1798/I1798)+ABS(0.2-K1797*C1798/I1798)+ABS(0.2-L1797*D1798/I1798)+ABS(0.2-M1797*E1798/I1798)+ABS(0.2-N1797*F1798/I1798)),0)</f>
        <v/>
      </c>
      <c r="Q1798">
        <f>P1798*0.0015</f>
        <v/>
      </c>
      <c r="R1798">
        <f>I1798*(1-Q1798)</f>
        <v/>
      </c>
      <c r="S1798">
        <f>R1798/R1797-1</f>
        <v/>
      </c>
      <c r="T1798">
        <f>MAX(T1797,R1798)</f>
        <v/>
      </c>
      <c r="U1798">
        <f>R1798/T1798-1</f>
        <v/>
      </c>
      <c r="V1798" t="n">
        <v>3.171857985261419</v>
      </c>
      <c r="W1798" s="5">
        <f>R1798-V1798</f>
        <v/>
      </c>
    </row>
    <row r="1799">
      <c r="A1799" s="3" t="n">
        <v>41081</v>
      </c>
      <c r="B1799">
        <f>Prices!B1799</f>
        <v/>
      </c>
      <c r="C1799">
        <f>Prices!C1799</f>
        <v/>
      </c>
      <c r="D1799">
        <f>Prices!D1799</f>
        <v/>
      </c>
      <c r="E1799">
        <f>Prices!E1799</f>
        <v/>
      </c>
      <c r="F1799">
        <f>Prices!F1799</f>
        <v/>
      </c>
      <c r="G1799">
        <f>IF(AND(1797&gt;=16,TEXT(A1799,"yyyy-mm")&lt;&gt;TEXT(A1800,"yyyy-mm")),1,0)</f>
        <v/>
      </c>
      <c r="H1799">
        <f>IF(OR(H1798=1,G1799=1),1,0)</f>
        <v/>
      </c>
      <c r="I1799">
        <f>IF(H1798=0,1,SUMPRODUCT(J1798:N1798,B1799:F1799)+O1798*(1+0.00023125256064071564))</f>
        <v/>
      </c>
      <c r="J1799">
        <f>IF(G1799=1,0.2*R1799/B1799,J1798)</f>
        <v/>
      </c>
      <c r="K1799">
        <f>IF(G1799=1,0.2*R1799/C1799,K1798)</f>
        <v/>
      </c>
      <c r="L1799">
        <f>IF(G1799=1,0.2*R1799/D1799,L1798)</f>
        <v/>
      </c>
      <c r="M1799">
        <f>IF(G1799=1,0.2*R1799/E1799,M1798)</f>
        <v/>
      </c>
      <c r="N1799">
        <f>IF(G1799=1,0.2*R1799/F1799,N1798)</f>
        <v/>
      </c>
      <c r="O1799">
        <f>IF(G1799=1,R1799*(1-1.0),IF(H1798=0,1,O1798*(1+0.00023125256064071564)))</f>
        <v/>
      </c>
      <c r="P1799">
        <f>IF(G1799=1,IF(H1798=0,1,ABS(0.2-J1798*B1799/I1799)+ABS(0.2-K1798*C1799/I1799)+ABS(0.2-L1798*D1799/I1799)+ABS(0.2-M1798*E1799/I1799)+ABS(0.2-N1798*F1799/I1799)),0)</f>
        <v/>
      </c>
      <c r="Q1799">
        <f>P1799*0.0015</f>
        <v/>
      </c>
      <c r="R1799">
        <f>I1799*(1-Q1799)</f>
        <v/>
      </c>
      <c r="S1799">
        <f>R1799/R1798-1</f>
        <v/>
      </c>
      <c r="T1799">
        <f>MAX(T1798,R1799)</f>
        <v/>
      </c>
      <c r="U1799">
        <f>R1799/T1799-1</f>
        <v/>
      </c>
      <c r="V1799" t="n">
        <v>3.197180885615028</v>
      </c>
      <c r="W1799" s="5">
        <f>R1799-V1799</f>
        <v/>
      </c>
    </row>
    <row r="1800">
      <c r="A1800" s="3" t="n">
        <v>41082</v>
      </c>
      <c r="B1800">
        <f>Prices!B1800</f>
        <v/>
      </c>
      <c r="C1800">
        <f>Prices!C1800</f>
        <v/>
      </c>
      <c r="D1800">
        <f>Prices!D1800</f>
        <v/>
      </c>
      <c r="E1800">
        <f>Prices!E1800</f>
        <v/>
      </c>
      <c r="F1800">
        <f>Prices!F1800</f>
        <v/>
      </c>
      <c r="G1800">
        <f>IF(AND(1798&gt;=16,TEXT(A1800,"yyyy-mm")&lt;&gt;TEXT(A1801,"yyyy-mm")),1,0)</f>
        <v/>
      </c>
      <c r="H1800">
        <f>IF(OR(H1799=1,G1800=1),1,0)</f>
        <v/>
      </c>
      <c r="I1800">
        <f>IF(H1799=0,1,SUMPRODUCT(J1799:N1799,B1800:F1800)+O1799*(1+0.00023125256064071564))</f>
        <v/>
      </c>
      <c r="J1800">
        <f>IF(G1800=1,0.2*R1800/B1800,J1799)</f>
        <v/>
      </c>
      <c r="K1800">
        <f>IF(G1800=1,0.2*R1800/C1800,K1799)</f>
        <v/>
      </c>
      <c r="L1800">
        <f>IF(G1800=1,0.2*R1800/D1800,L1799)</f>
        <v/>
      </c>
      <c r="M1800">
        <f>IF(G1800=1,0.2*R1800/E1800,M1799)</f>
        <v/>
      </c>
      <c r="N1800">
        <f>IF(G1800=1,0.2*R1800/F1800,N1799)</f>
        <v/>
      </c>
      <c r="O1800">
        <f>IF(G1800=1,R1800*(1-1.0),IF(H1799=0,1,O1799*(1+0.00023125256064071564)))</f>
        <v/>
      </c>
      <c r="P1800">
        <f>IF(G1800=1,IF(H1799=0,1,ABS(0.2-J1799*B1800/I1800)+ABS(0.2-K1799*C1800/I1800)+ABS(0.2-L1799*D1800/I1800)+ABS(0.2-M1799*E1800/I1800)+ABS(0.2-N1799*F1800/I1800)),0)</f>
        <v/>
      </c>
      <c r="Q1800">
        <f>P1800*0.0015</f>
        <v/>
      </c>
      <c r="R1800">
        <f>I1800*(1-Q1800)</f>
        <v/>
      </c>
      <c r="S1800">
        <f>R1800/R1799-1</f>
        <v/>
      </c>
      <c r="T1800">
        <f>MAX(T1799,R1800)</f>
        <v/>
      </c>
      <c r="U1800">
        <f>R1800/T1800-1</f>
        <v/>
      </c>
      <c r="V1800" t="n">
        <v>3.192010604856956</v>
      </c>
      <c r="W1800" s="5">
        <f>R1800-V1800</f>
        <v/>
      </c>
    </row>
    <row r="1801">
      <c r="A1801" s="3" t="n">
        <v>41085</v>
      </c>
      <c r="B1801">
        <f>Prices!B1801</f>
        <v/>
      </c>
      <c r="C1801">
        <f>Prices!C1801</f>
        <v/>
      </c>
      <c r="D1801">
        <f>Prices!D1801</f>
        <v/>
      </c>
      <c r="E1801">
        <f>Prices!E1801</f>
        <v/>
      </c>
      <c r="F1801">
        <f>Prices!F1801</f>
        <v/>
      </c>
      <c r="G1801">
        <f>IF(AND(1799&gt;=16,TEXT(A1801,"yyyy-mm")&lt;&gt;TEXT(A1802,"yyyy-mm")),1,0)</f>
        <v/>
      </c>
      <c r="H1801">
        <f>IF(OR(H1800=1,G1801=1),1,0)</f>
        <v/>
      </c>
      <c r="I1801">
        <f>IF(H1800=0,1,SUMPRODUCT(J1800:N1800,B1801:F1801)+O1800*(1+0.00023125256064071564))</f>
        <v/>
      </c>
      <c r="J1801">
        <f>IF(G1801=1,0.2*R1801/B1801,J1800)</f>
        <v/>
      </c>
      <c r="K1801">
        <f>IF(G1801=1,0.2*R1801/C1801,K1800)</f>
        <v/>
      </c>
      <c r="L1801">
        <f>IF(G1801=1,0.2*R1801/D1801,L1800)</f>
        <v/>
      </c>
      <c r="M1801">
        <f>IF(G1801=1,0.2*R1801/E1801,M1800)</f>
        <v/>
      </c>
      <c r="N1801">
        <f>IF(G1801=1,0.2*R1801/F1801,N1800)</f>
        <v/>
      </c>
      <c r="O1801">
        <f>IF(G1801=1,R1801*(1-1.0),IF(H1800=0,1,O1800*(1+0.00023125256064071564)))</f>
        <v/>
      </c>
      <c r="P1801">
        <f>IF(G1801=1,IF(H1800=0,1,ABS(0.2-J1800*B1801/I1801)+ABS(0.2-K1800*C1801/I1801)+ABS(0.2-L1800*D1801/I1801)+ABS(0.2-M1800*E1801/I1801)+ABS(0.2-N1800*F1801/I1801)),0)</f>
        <v/>
      </c>
      <c r="Q1801">
        <f>P1801*0.0015</f>
        <v/>
      </c>
      <c r="R1801">
        <f>I1801*(1-Q1801)</f>
        <v/>
      </c>
      <c r="S1801">
        <f>R1801/R1800-1</f>
        <v/>
      </c>
      <c r="T1801">
        <f>MAX(T1800,R1801)</f>
        <v/>
      </c>
      <c r="U1801">
        <f>R1801/T1801-1</f>
        <v/>
      </c>
      <c r="V1801" t="n">
        <v>3.181968306369104</v>
      </c>
      <c r="W1801" s="5">
        <f>R1801-V1801</f>
        <v/>
      </c>
    </row>
    <row r="1802">
      <c r="A1802" s="3" t="n">
        <v>41086</v>
      </c>
      <c r="B1802">
        <f>Prices!B1802</f>
        <v/>
      </c>
      <c r="C1802">
        <f>Prices!C1802</f>
        <v/>
      </c>
      <c r="D1802">
        <f>Prices!D1802</f>
        <v/>
      </c>
      <c r="E1802">
        <f>Prices!E1802</f>
        <v/>
      </c>
      <c r="F1802">
        <f>Prices!F1802</f>
        <v/>
      </c>
      <c r="G1802">
        <f>IF(AND(1800&gt;=16,TEXT(A1802,"yyyy-mm")&lt;&gt;TEXT(A1803,"yyyy-mm")),1,0)</f>
        <v/>
      </c>
      <c r="H1802">
        <f>IF(OR(H1801=1,G1802=1),1,0)</f>
        <v/>
      </c>
      <c r="I1802">
        <f>IF(H1801=0,1,SUMPRODUCT(J1801:N1801,B1802:F1802)+O1801*(1+0.00023125256064071564))</f>
        <v/>
      </c>
      <c r="J1802">
        <f>IF(G1802=1,0.2*R1802/B1802,J1801)</f>
        <v/>
      </c>
      <c r="K1802">
        <f>IF(G1802=1,0.2*R1802/C1802,K1801)</f>
        <v/>
      </c>
      <c r="L1802">
        <f>IF(G1802=1,0.2*R1802/D1802,L1801)</f>
        <v/>
      </c>
      <c r="M1802">
        <f>IF(G1802=1,0.2*R1802/E1802,M1801)</f>
        <v/>
      </c>
      <c r="N1802">
        <f>IF(G1802=1,0.2*R1802/F1802,N1801)</f>
        <v/>
      </c>
      <c r="O1802">
        <f>IF(G1802=1,R1802*(1-1.0),IF(H1801=0,1,O1801*(1+0.00023125256064071564)))</f>
        <v/>
      </c>
      <c r="P1802">
        <f>IF(G1802=1,IF(H1801=0,1,ABS(0.2-J1801*B1802/I1802)+ABS(0.2-K1801*C1802/I1802)+ABS(0.2-L1801*D1802/I1802)+ABS(0.2-M1801*E1802/I1802)+ABS(0.2-N1801*F1802/I1802)),0)</f>
        <v/>
      </c>
      <c r="Q1802">
        <f>P1802*0.0015</f>
        <v/>
      </c>
      <c r="R1802">
        <f>I1802*(1-Q1802)</f>
        <v/>
      </c>
      <c r="S1802">
        <f>R1802/R1801-1</f>
        <v/>
      </c>
      <c r="T1802">
        <f>MAX(T1801,R1802)</f>
        <v/>
      </c>
      <c r="U1802">
        <f>R1802/T1802-1</f>
        <v/>
      </c>
      <c r="V1802" t="n">
        <v>3.189362251310443</v>
      </c>
      <c r="W1802" s="5">
        <f>R1802-V1802</f>
        <v/>
      </c>
    </row>
    <row r="1803">
      <c r="A1803" s="3" t="n">
        <v>41087</v>
      </c>
      <c r="B1803">
        <f>Prices!B1803</f>
        <v/>
      </c>
      <c r="C1803">
        <f>Prices!C1803</f>
        <v/>
      </c>
      <c r="D1803">
        <f>Prices!D1803</f>
        <v/>
      </c>
      <c r="E1803">
        <f>Prices!E1803</f>
        <v/>
      </c>
      <c r="F1803">
        <f>Prices!F1803</f>
        <v/>
      </c>
      <c r="G1803">
        <f>IF(AND(1801&gt;=16,TEXT(A1803,"yyyy-mm")&lt;&gt;TEXT(A1804,"yyyy-mm")),1,0)</f>
        <v/>
      </c>
      <c r="H1803">
        <f>IF(OR(H1802=1,G1803=1),1,0)</f>
        <v/>
      </c>
      <c r="I1803">
        <f>IF(H1802=0,1,SUMPRODUCT(J1802:N1802,B1803:F1803)+O1802*(1+0.00023125256064071564))</f>
        <v/>
      </c>
      <c r="J1803">
        <f>IF(G1803=1,0.2*R1803/B1803,J1802)</f>
        <v/>
      </c>
      <c r="K1803">
        <f>IF(G1803=1,0.2*R1803/C1803,K1802)</f>
        <v/>
      </c>
      <c r="L1803">
        <f>IF(G1803=1,0.2*R1803/D1803,L1802)</f>
        <v/>
      </c>
      <c r="M1803">
        <f>IF(G1803=1,0.2*R1803/E1803,M1802)</f>
        <v/>
      </c>
      <c r="N1803">
        <f>IF(G1803=1,0.2*R1803/F1803,N1802)</f>
        <v/>
      </c>
      <c r="O1803">
        <f>IF(G1803=1,R1803*(1-1.0),IF(H1802=0,1,O1802*(1+0.00023125256064071564)))</f>
        <v/>
      </c>
      <c r="P1803">
        <f>IF(G1803=1,IF(H1802=0,1,ABS(0.2-J1802*B1803/I1803)+ABS(0.2-K1802*C1803/I1803)+ABS(0.2-L1802*D1803/I1803)+ABS(0.2-M1802*E1803/I1803)+ABS(0.2-N1802*F1803/I1803)),0)</f>
        <v/>
      </c>
      <c r="Q1803">
        <f>P1803*0.0015</f>
        <v/>
      </c>
      <c r="R1803">
        <f>I1803*(1-Q1803)</f>
        <v/>
      </c>
      <c r="S1803">
        <f>R1803/R1802-1</f>
        <v/>
      </c>
      <c r="T1803">
        <f>MAX(T1802,R1803)</f>
        <v/>
      </c>
      <c r="U1803">
        <f>R1803/T1803-1</f>
        <v/>
      </c>
      <c r="V1803" t="n">
        <v>3.197577197181821</v>
      </c>
      <c r="W1803" s="5">
        <f>R1803-V1803</f>
        <v/>
      </c>
    </row>
    <row r="1804">
      <c r="A1804" s="3" t="n">
        <v>41088</v>
      </c>
      <c r="B1804">
        <f>Prices!B1804</f>
        <v/>
      </c>
      <c r="C1804">
        <f>Prices!C1804</f>
        <v/>
      </c>
      <c r="D1804">
        <f>Prices!D1804</f>
        <v/>
      </c>
      <c r="E1804">
        <f>Prices!E1804</f>
        <v/>
      </c>
      <c r="F1804">
        <f>Prices!F1804</f>
        <v/>
      </c>
      <c r="G1804">
        <f>IF(AND(1802&gt;=16,TEXT(A1804,"yyyy-mm")&lt;&gt;TEXT(A1805,"yyyy-mm")),1,0)</f>
        <v/>
      </c>
      <c r="H1804">
        <f>IF(OR(H1803=1,G1804=1),1,0)</f>
        <v/>
      </c>
      <c r="I1804">
        <f>IF(H1803=0,1,SUMPRODUCT(J1803:N1803,B1804:F1804)+O1803*(1+0.00023125256064071564))</f>
        <v/>
      </c>
      <c r="J1804">
        <f>IF(G1804=1,0.2*R1804/B1804,J1803)</f>
        <v/>
      </c>
      <c r="K1804">
        <f>IF(G1804=1,0.2*R1804/C1804,K1803)</f>
        <v/>
      </c>
      <c r="L1804">
        <f>IF(G1804=1,0.2*R1804/D1804,L1803)</f>
        <v/>
      </c>
      <c r="M1804">
        <f>IF(G1804=1,0.2*R1804/E1804,M1803)</f>
        <v/>
      </c>
      <c r="N1804">
        <f>IF(G1804=1,0.2*R1804/F1804,N1803)</f>
        <v/>
      </c>
      <c r="O1804">
        <f>IF(G1804=1,R1804*(1-1.0),IF(H1803=0,1,O1803*(1+0.00023125256064071564)))</f>
        <v/>
      </c>
      <c r="P1804">
        <f>IF(G1804=1,IF(H1803=0,1,ABS(0.2-J1803*B1804/I1804)+ABS(0.2-K1803*C1804/I1804)+ABS(0.2-L1803*D1804/I1804)+ABS(0.2-M1803*E1804/I1804)+ABS(0.2-N1803*F1804/I1804)),0)</f>
        <v/>
      </c>
      <c r="Q1804">
        <f>P1804*0.0015</f>
        <v/>
      </c>
      <c r="R1804">
        <f>I1804*(1-Q1804)</f>
        <v/>
      </c>
      <c r="S1804">
        <f>R1804/R1803-1</f>
        <v/>
      </c>
      <c r="T1804">
        <f>MAX(T1803,R1804)</f>
        <v/>
      </c>
      <c r="U1804">
        <f>R1804/T1804-1</f>
        <v/>
      </c>
      <c r="V1804" t="n">
        <v>3.202613884225391</v>
      </c>
      <c r="W1804" s="5">
        <f>R1804-V1804</f>
        <v/>
      </c>
    </row>
    <row r="1805">
      <c r="A1805" s="3" t="n">
        <v>41089</v>
      </c>
      <c r="B1805">
        <f>Prices!B1805</f>
        <v/>
      </c>
      <c r="C1805">
        <f>Prices!C1805</f>
        <v/>
      </c>
      <c r="D1805">
        <f>Prices!D1805</f>
        <v/>
      </c>
      <c r="E1805">
        <f>Prices!E1805</f>
        <v/>
      </c>
      <c r="F1805">
        <f>Prices!F1805</f>
        <v/>
      </c>
      <c r="G1805">
        <f>IF(AND(1803&gt;=16,TEXT(A1805,"yyyy-mm")&lt;&gt;TEXT(A1806,"yyyy-mm")),1,0)</f>
        <v/>
      </c>
      <c r="H1805">
        <f>IF(OR(H1804=1,G1805=1),1,0)</f>
        <v/>
      </c>
      <c r="I1805">
        <f>IF(H1804=0,1,SUMPRODUCT(J1804:N1804,B1805:F1805)+O1804*(1+0.00023125256064071564))</f>
        <v/>
      </c>
      <c r="J1805">
        <f>IF(G1805=1,0.2*R1805/B1805,J1804)</f>
        <v/>
      </c>
      <c r="K1805">
        <f>IF(G1805=1,0.2*R1805/C1805,K1804)</f>
        <v/>
      </c>
      <c r="L1805">
        <f>IF(G1805=1,0.2*R1805/D1805,L1804)</f>
        <v/>
      </c>
      <c r="M1805">
        <f>IF(G1805=1,0.2*R1805/E1805,M1804)</f>
        <v/>
      </c>
      <c r="N1805">
        <f>IF(G1805=1,0.2*R1805/F1805,N1804)</f>
        <v/>
      </c>
      <c r="O1805">
        <f>IF(G1805=1,R1805*(1-1.0),IF(H1804=0,1,O1804*(1+0.00023125256064071564)))</f>
        <v/>
      </c>
      <c r="P1805">
        <f>IF(G1805=1,IF(H1804=0,1,ABS(0.2-J1804*B1805/I1805)+ABS(0.2-K1804*C1805/I1805)+ABS(0.2-L1804*D1805/I1805)+ABS(0.2-M1804*E1805/I1805)+ABS(0.2-N1804*F1805/I1805)),0)</f>
        <v/>
      </c>
      <c r="Q1805">
        <f>P1805*0.0015</f>
        <v/>
      </c>
      <c r="R1805">
        <f>I1805*(1-Q1805)</f>
        <v/>
      </c>
      <c r="S1805">
        <f>R1805/R1804-1</f>
        <v/>
      </c>
      <c r="T1805">
        <f>MAX(T1804,R1805)</f>
        <v/>
      </c>
      <c r="U1805">
        <f>R1805/T1805-1</f>
        <v/>
      </c>
      <c r="V1805" t="n">
        <v>3.26087162776034</v>
      </c>
      <c r="W1805" s="5">
        <f>R1805-V1805</f>
        <v/>
      </c>
    </row>
    <row r="1806">
      <c r="A1806" s="3" t="n">
        <v>41092</v>
      </c>
      <c r="B1806">
        <f>Prices!B1806</f>
        <v/>
      </c>
      <c r="C1806">
        <f>Prices!C1806</f>
        <v/>
      </c>
      <c r="D1806">
        <f>Prices!D1806</f>
        <v/>
      </c>
      <c r="E1806">
        <f>Prices!E1806</f>
        <v/>
      </c>
      <c r="F1806">
        <f>Prices!F1806</f>
        <v/>
      </c>
      <c r="G1806">
        <f>IF(AND(1804&gt;=16,TEXT(A1806,"yyyy-mm")&lt;&gt;TEXT(A1807,"yyyy-mm")),1,0)</f>
        <v/>
      </c>
      <c r="H1806">
        <f>IF(OR(H1805=1,G1806=1),1,0)</f>
        <v/>
      </c>
      <c r="I1806">
        <f>IF(H1805=0,1,SUMPRODUCT(J1805:N1805,B1806:F1806)+O1805*(1+0.00023125256064071564))</f>
        <v/>
      </c>
      <c r="J1806">
        <f>IF(G1806=1,0.2*R1806/B1806,J1805)</f>
        <v/>
      </c>
      <c r="K1806">
        <f>IF(G1806=1,0.2*R1806/C1806,K1805)</f>
        <v/>
      </c>
      <c r="L1806">
        <f>IF(G1806=1,0.2*R1806/D1806,L1805)</f>
        <v/>
      </c>
      <c r="M1806">
        <f>IF(G1806=1,0.2*R1806/E1806,M1805)</f>
        <v/>
      </c>
      <c r="N1806">
        <f>IF(G1806=1,0.2*R1806/F1806,N1805)</f>
        <v/>
      </c>
      <c r="O1806">
        <f>IF(G1806=1,R1806*(1-1.0),IF(H1805=0,1,O1805*(1+0.00023125256064071564)))</f>
        <v/>
      </c>
      <c r="P1806">
        <f>IF(G1806=1,IF(H1805=0,1,ABS(0.2-J1805*B1806/I1806)+ABS(0.2-K1805*C1806/I1806)+ABS(0.2-L1805*D1806/I1806)+ABS(0.2-M1805*E1806/I1806)+ABS(0.2-N1805*F1806/I1806)),0)</f>
        <v/>
      </c>
      <c r="Q1806">
        <f>P1806*0.0015</f>
        <v/>
      </c>
      <c r="R1806">
        <f>I1806*(1-Q1806)</f>
        <v/>
      </c>
      <c r="S1806">
        <f>R1806/R1805-1</f>
        <v/>
      </c>
      <c r="T1806">
        <f>MAX(T1805,R1806)</f>
        <v/>
      </c>
      <c r="U1806">
        <f>R1806/T1806-1</f>
        <v/>
      </c>
      <c r="V1806" t="n">
        <v>3.272920138154473</v>
      </c>
      <c r="W1806" s="5">
        <f>R1806-V1806</f>
        <v/>
      </c>
    </row>
    <row r="1807">
      <c r="A1807" s="3" t="n">
        <v>41093</v>
      </c>
      <c r="B1807">
        <f>Prices!B1807</f>
        <v/>
      </c>
      <c r="C1807">
        <f>Prices!C1807</f>
        <v/>
      </c>
      <c r="D1807">
        <f>Prices!D1807</f>
        <v/>
      </c>
      <c r="E1807">
        <f>Prices!E1807</f>
        <v/>
      </c>
      <c r="F1807">
        <f>Prices!F1807</f>
        <v/>
      </c>
      <c r="G1807">
        <f>IF(AND(1805&gt;=16,TEXT(A1807,"yyyy-mm")&lt;&gt;TEXT(A1808,"yyyy-mm")),1,0)</f>
        <v/>
      </c>
      <c r="H1807">
        <f>IF(OR(H1806=1,G1807=1),1,0)</f>
        <v/>
      </c>
      <c r="I1807">
        <f>IF(H1806=0,1,SUMPRODUCT(J1806:N1806,B1807:F1807)+O1806*(1+0.00023125256064071564))</f>
        <v/>
      </c>
      <c r="J1807">
        <f>IF(G1807=1,0.2*R1807/B1807,J1806)</f>
        <v/>
      </c>
      <c r="K1807">
        <f>IF(G1807=1,0.2*R1807/C1807,K1806)</f>
        <v/>
      </c>
      <c r="L1807">
        <f>IF(G1807=1,0.2*R1807/D1807,L1806)</f>
        <v/>
      </c>
      <c r="M1807">
        <f>IF(G1807=1,0.2*R1807/E1807,M1806)</f>
        <v/>
      </c>
      <c r="N1807">
        <f>IF(G1807=1,0.2*R1807/F1807,N1806)</f>
        <v/>
      </c>
      <c r="O1807">
        <f>IF(G1807=1,R1807*(1-1.0),IF(H1806=0,1,O1806*(1+0.00023125256064071564)))</f>
        <v/>
      </c>
      <c r="P1807">
        <f>IF(G1807=1,IF(H1806=0,1,ABS(0.2-J1806*B1807/I1807)+ABS(0.2-K1806*C1807/I1807)+ABS(0.2-L1806*D1807/I1807)+ABS(0.2-M1806*E1807/I1807)+ABS(0.2-N1806*F1807/I1807)),0)</f>
        <v/>
      </c>
      <c r="Q1807">
        <f>P1807*0.0015</f>
        <v/>
      </c>
      <c r="R1807">
        <f>I1807*(1-Q1807)</f>
        <v/>
      </c>
      <c r="S1807">
        <f>R1807/R1806-1</f>
        <v/>
      </c>
      <c r="T1807">
        <f>MAX(T1806,R1807)</f>
        <v/>
      </c>
      <c r="U1807">
        <f>R1807/T1807-1</f>
        <v/>
      </c>
      <c r="V1807" t="n">
        <v>3.286124722004233</v>
      </c>
      <c r="W1807" s="5">
        <f>R1807-V1807</f>
        <v/>
      </c>
    </row>
    <row r="1808">
      <c r="A1808" s="3" t="n">
        <v>41094</v>
      </c>
      <c r="B1808">
        <f>Prices!B1808</f>
        <v/>
      </c>
      <c r="C1808">
        <f>Prices!C1808</f>
        <v/>
      </c>
      <c r="D1808">
        <f>Prices!D1808</f>
        <v/>
      </c>
      <c r="E1808">
        <f>Prices!E1808</f>
        <v/>
      </c>
      <c r="F1808">
        <f>Prices!F1808</f>
        <v/>
      </c>
      <c r="G1808">
        <f>IF(AND(1806&gt;=16,TEXT(A1808,"yyyy-mm")&lt;&gt;TEXT(A1809,"yyyy-mm")),1,0)</f>
        <v/>
      </c>
      <c r="H1808">
        <f>IF(OR(H1807=1,G1808=1),1,0)</f>
        <v/>
      </c>
      <c r="I1808">
        <f>IF(H1807=0,1,SUMPRODUCT(J1807:N1807,B1808:F1808)+O1807*(1+0.00023125256064071564))</f>
        <v/>
      </c>
      <c r="J1808">
        <f>IF(G1808=1,0.2*R1808/B1808,J1807)</f>
        <v/>
      </c>
      <c r="K1808">
        <f>IF(G1808=1,0.2*R1808/C1808,K1807)</f>
        <v/>
      </c>
      <c r="L1808">
        <f>IF(G1808=1,0.2*R1808/D1808,L1807)</f>
        <v/>
      </c>
      <c r="M1808">
        <f>IF(G1808=1,0.2*R1808/E1808,M1807)</f>
        <v/>
      </c>
      <c r="N1808">
        <f>IF(G1808=1,0.2*R1808/F1808,N1807)</f>
        <v/>
      </c>
      <c r="O1808">
        <f>IF(G1808=1,R1808*(1-1.0),IF(H1807=0,1,O1807*(1+0.00023125256064071564)))</f>
        <v/>
      </c>
      <c r="P1808">
        <f>IF(G1808=1,IF(H1807=0,1,ABS(0.2-J1807*B1808/I1808)+ABS(0.2-K1807*C1808/I1808)+ABS(0.2-L1807*D1808/I1808)+ABS(0.2-M1807*E1808/I1808)+ABS(0.2-N1807*F1808/I1808)),0)</f>
        <v/>
      </c>
      <c r="Q1808">
        <f>P1808*0.0015</f>
        <v/>
      </c>
      <c r="R1808">
        <f>I1808*(1-Q1808)</f>
        <v/>
      </c>
      <c r="S1808">
        <f>R1808/R1807-1</f>
        <v/>
      </c>
      <c r="T1808">
        <f>MAX(T1807,R1808)</f>
        <v/>
      </c>
      <c r="U1808">
        <f>R1808/T1808-1</f>
        <v/>
      </c>
      <c r="V1808" t="n">
        <v>3.290521706975192</v>
      </c>
      <c r="W1808" s="5">
        <f>R1808-V1808</f>
        <v/>
      </c>
    </row>
    <row r="1809">
      <c r="A1809" s="3" t="n">
        <v>41095</v>
      </c>
      <c r="B1809">
        <f>Prices!B1809</f>
        <v/>
      </c>
      <c r="C1809">
        <f>Prices!C1809</f>
        <v/>
      </c>
      <c r="D1809">
        <f>Prices!D1809</f>
        <v/>
      </c>
      <c r="E1809">
        <f>Prices!E1809</f>
        <v/>
      </c>
      <c r="F1809">
        <f>Prices!F1809</f>
        <v/>
      </c>
      <c r="G1809">
        <f>IF(AND(1807&gt;=16,TEXT(A1809,"yyyy-mm")&lt;&gt;TEXT(A1810,"yyyy-mm")),1,0)</f>
        <v/>
      </c>
      <c r="H1809">
        <f>IF(OR(H1808=1,G1809=1),1,0)</f>
        <v/>
      </c>
      <c r="I1809">
        <f>IF(H1808=0,1,SUMPRODUCT(J1808:N1808,B1809:F1809)+O1808*(1+0.00023125256064071564))</f>
        <v/>
      </c>
      <c r="J1809">
        <f>IF(G1809=1,0.2*R1809/B1809,J1808)</f>
        <v/>
      </c>
      <c r="K1809">
        <f>IF(G1809=1,0.2*R1809/C1809,K1808)</f>
        <v/>
      </c>
      <c r="L1809">
        <f>IF(G1809=1,0.2*R1809/D1809,L1808)</f>
        <v/>
      </c>
      <c r="M1809">
        <f>IF(G1809=1,0.2*R1809/E1809,M1808)</f>
        <v/>
      </c>
      <c r="N1809">
        <f>IF(G1809=1,0.2*R1809/F1809,N1808)</f>
        <v/>
      </c>
      <c r="O1809">
        <f>IF(G1809=1,R1809*(1-1.0),IF(H1808=0,1,O1808*(1+0.00023125256064071564)))</f>
        <v/>
      </c>
      <c r="P1809">
        <f>IF(G1809=1,IF(H1808=0,1,ABS(0.2-J1808*B1809/I1809)+ABS(0.2-K1808*C1809/I1809)+ABS(0.2-L1808*D1809/I1809)+ABS(0.2-M1808*E1809/I1809)+ABS(0.2-N1808*F1809/I1809)),0)</f>
        <v/>
      </c>
      <c r="Q1809">
        <f>P1809*0.0015</f>
        <v/>
      </c>
      <c r="R1809">
        <f>I1809*(1-Q1809)</f>
        <v/>
      </c>
      <c r="S1809">
        <f>R1809/R1808-1</f>
        <v/>
      </c>
      <c r="T1809">
        <f>MAX(T1808,R1809)</f>
        <v/>
      </c>
      <c r="U1809">
        <f>R1809/T1809-1</f>
        <v/>
      </c>
      <c r="V1809" t="n">
        <v>3.311142875542666</v>
      </c>
      <c r="W1809" s="5">
        <f>R1809-V1809</f>
        <v/>
      </c>
    </row>
    <row r="1810">
      <c r="A1810" s="3" t="n">
        <v>41096</v>
      </c>
      <c r="B1810">
        <f>Prices!B1810</f>
        <v/>
      </c>
      <c r="C1810">
        <f>Prices!C1810</f>
        <v/>
      </c>
      <c r="D1810">
        <f>Prices!D1810</f>
        <v/>
      </c>
      <c r="E1810">
        <f>Prices!E1810</f>
        <v/>
      </c>
      <c r="F1810">
        <f>Prices!F1810</f>
        <v/>
      </c>
      <c r="G1810">
        <f>IF(AND(1808&gt;=16,TEXT(A1810,"yyyy-mm")&lt;&gt;TEXT(A1811,"yyyy-mm")),1,0)</f>
        <v/>
      </c>
      <c r="H1810">
        <f>IF(OR(H1809=1,G1810=1),1,0)</f>
        <v/>
      </c>
      <c r="I1810">
        <f>IF(H1809=0,1,SUMPRODUCT(J1809:N1809,B1810:F1810)+O1809*(1+0.00023125256064071564))</f>
        <v/>
      </c>
      <c r="J1810">
        <f>IF(G1810=1,0.2*R1810/B1810,J1809)</f>
        <v/>
      </c>
      <c r="K1810">
        <f>IF(G1810=1,0.2*R1810/C1810,K1809)</f>
        <v/>
      </c>
      <c r="L1810">
        <f>IF(G1810=1,0.2*R1810/D1810,L1809)</f>
        <v/>
      </c>
      <c r="M1810">
        <f>IF(G1810=1,0.2*R1810/E1810,M1809)</f>
        <v/>
      </c>
      <c r="N1810">
        <f>IF(G1810=1,0.2*R1810/F1810,N1809)</f>
        <v/>
      </c>
      <c r="O1810">
        <f>IF(G1810=1,R1810*(1-1.0),IF(H1809=0,1,O1809*(1+0.00023125256064071564)))</f>
        <v/>
      </c>
      <c r="P1810">
        <f>IF(G1810=1,IF(H1809=0,1,ABS(0.2-J1809*B1810/I1810)+ABS(0.2-K1809*C1810/I1810)+ABS(0.2-L1809*D1810/I1810)+ABS(0.2-M1809*E1810/I1810)+ABS(0.2-N1809*F1810/I1810)),0)</f>
        <v/>
      </c>
      <c r="Q1810">
        <f>P1810*0.0015</f>
        <v/>
      </c>
      <c r="R1810">
        <f>I1810*(1-Q1810)</f>
        <v/>
      </c>
      <c r="S1810">
        <f>R1810/R1809-1</f>
        <v/>
      </c>
      <c r="T1810">
        <f>MAX(T1809,R1810)</f>
        <v/>
      </c>
      <c r="U1810">
        <f>R1810/T1810-1</f>
        <v/>
      </c>
      <c r="V1810" t="n">
        <v>3.29164667630898</v>
      </c>
      <c r="W1810" s="5">
        <f>R1810-V1810</f>
        <v/>
      </c>
    </row>
    <row r="1811">
      <c r="A1811" s="3" t="n">
        <v>41099</v>
      </c>
      <c r="B1811">
        <f>Prices!B1811</f>
        <v/>
      </c>
      <c r="C1811">
        <f>Prices!C1811</f>
        <v/>
      </c>
      <c r="D1811">
        <f>Prices!D1811</f>
        <v/>
      </c>
      <c r="E1811">
        <f>Prices!E1811</f>
        <v/>
      </c>
      <c r="F1811">
        <f>Prices!F1811</f>
        <v/>
      </c>
      <c r="G1811">
        <f>IF(AND(1809&gt;=16,TEXT(A1811,"yyyy-mm")&lt;&gt;TEXT(A1812,"yyyy-mm")),1,0)</f>
        <v/>
      </c>
      <c r="H1811">
        <f>IF(OR(H1810=1,G1811=1),1,0)</f>
        <v/>
      </c>
      <c r="I1811">
        <f>IF(H1810=0,1,SUMPRODUCT(J1810:N1810,B1811:F1811)+O1810*(1+0.00023125256064071564))</f>
        <v/>
      </c>
      <c r="J1811">
        <f>IF(G1811=1,0.2*R1811/B1811,J1810)</f>
        <v/>
      </c>
      <c r="K1811">
        <f>IF(G1811=1,0.2*R1811/C1811,K1810)</f>
        <v/>
      </c>
      <c r="L1811">
        <f>IF(G1811=1,0.2*R1811/D1811,L1810)</f>
        <v/>
      </c>
      <c r="M1811">
        <f>IF(G1811=1,0.2*R1811/E1811,M1810)</f>
        <v/>
      </c>
      <c r="N1811">
        <f>IF(G1811=1,0.2*R1811/F1811,N1810)</f>
        <v/>
      </c>
      <c r="O1811">
        <f>IF(G1811=1,R1811*(1-1.0),IF(H1810=0,1,O1810*(1+0.00023125256064071564)))</f>
        <v/>
      </c>
      <c r="P1811">
        <f>IF(G1811=1,IF(H1810=0,1,ABS(0.2-J1810*B1811/I1811)+ABS(0.2-K1810*C1811/I1811)+ABS(0.2-L1810*D1811/I1811)+ABS(0.2-M1810*E1811/I1811)+ABS(0.2-N1810*F1811/I1811)),0)</f>
        <v/>
      </c>
      <c r="Q1811">
        <f>P1811*0.0015</f>
        <v/>
      </c>
      <c r="R1811">
        <f>I1811*(1-Q1811)</f>
        <v/>
      </c>
      <c r="S1811">
        <f>R1811/R1810-1</f>
        <v/>
      </c>
      <c r="T1811">
        <f>MAX(T1810,R1811)</f>
        <v/>
      </c>
      <c r="U1811">
        <f>R1811/T1811-1</f>
        <v/>
      </c>
      <c r="V1811" t="n">
        <v>3.260830759667007</v>
      </c>
      <c r="W1811" s="5">
        <f>R1811-V1811</f>
        <v/>
      </c>
    </row>
    <row r="1812">
      <c r="A1812" s="3" t="n">
        <v>41100</v>
      </c>
      <c r="B1812">
        <f>Prices!B1812</f>
        <v/>
      </c>
      <c r="C1812">
        <f>Prices!C1812</f>
        <v/>
      </c>
      <c r="D1812">
        <f>Prices!D1812</f>
        <v/>
      </c>
      <c r="E1812">
        <f>Prices!E1812</f>
        <v/>
      </c>
      <c r="F1812">
        <f>Prices!F1812</f>
        <v/>
      </c>
      <c r="G1812">
        <f>IF(AND(1810&gt;=16,TEXT(A1812,"yyyy-mm")&lt;&gt;TEXT(A1813,"yyyy-mm")),1,0)</f>
        <v/>
      </c>
      <c r="H1812">
        <f>IF(OR(H1811=1,G1812=1),1,0)</f>
        <v/>
      </c>
      <c r="I1812">
        <f>IF(H1811=0,1,SUMPRODUCT(J1811:N1811,B1812:F1812)+O1811*(1+0.00023125256064071564))</f>
        <v/>
      </c>
      <c r="J1812">
        <f>IF(G1812=1,0.2*R1812/B1812,J1811)</f>
        <v/>
      </c>
      <c r="K1812">
        <f>IF(G1812=1,0.2*R1812/C1812,K1811)</f>
        <v/>
      </c>
      <c r="L1812">
        <f>IF(G1812=1,0.2*R1812/D1812,L1811)</f>
        <v/>
      </c>
      <c r="M1812">
        <f>IF(G1812=1,0.2*R1812/E1812,M1811)</f>
        <v/>
      </c>
      <c r="N1812">
        <f>IF(G1812=1,0.2*R1812/F1812,N1811)</f>
        <v/>
      </c>
      <c r="O1812">
        <f>IF(G1812=1,R1812*(1-1.0),IF(H1811=0,1,O1811*(1+0.00023125256064071564)))</f>
        <v/>
      </c>
      <c r="P1812">
        <f>IF(G1812=1,IF(H1811=0,1,ABS(0.2-J1811*B1812/I1812)+ABS(0.2-K1811*C1812/I1812)+ABS(0.2-L1811*D1812/I1812)+ABS(0.2-M1811*E1812/I1812)+ABS(0.2-N1811*F1812/I1812)),0)</f>
        <v/>
      </c>
      <c r="Q1812">
        <f>P1812*0.0015</f>
        <v/>
      </c>
      <c r="R1812">
        <f>I1812*(1-Q1812)</f>
        <v/>
      </c>
      <c r="S1812">
        <f>R1812/R1811-1</f>
        <v/>
      </c>
      <c r="T1812">
        <f>MAX(T1811,R1812)</f>
        <v/>
      </c>
      <c r="U1812">
        <f>R1812/T1812-1</f>
        <v/>
      </c>
      <c r="V1812" t="n">
        <v>3.293742722466903</v>
      </c>
      <c r="W1812" s="5">
        <f>R1812-V1812</f>
        <v/>
      </c>
    </row>
    <row r="1813">
      <c r="A1813" s="3" t="n">
        <v>41101</v>
      </c>
      <c r="B1813">
        <f>Prices!B1813</f>
        <v/>
      </c>
      <c r="C1813">
        <f>Prices!C1813</f>
        <v/>
      </c>
      <c r="D1813">
        <f>Prices!D1813</f>
        <v/>
      </c>
      <c r="E1813">
        <f>Prices!E1813</f>
        <v/>
      </c>
      <c r="F1813">
        <f>Prices!F1813</f>
        <v/>
      </c>
      <c r="G1813">
        <f>IF(AND(1811&gt;=16,TEXT(A1813,"yyyy-mm")&lt;&gt;TEXT(A1814,"yyyy-mm")),1,0)</f>
        <v/>
      </c>
      <c r="H1813">
        <f>IF(OR(H1812=1,G1813=1),1,0)</f>
        <v/>
      </c>
      <c r="I1813">
        <f>IF(H1812=0,1,SUMPRODUCT(J1812:N1812,B1813:F1813)+O1812*(1+0.00023125256064071564))</f>
        <v/>
      </c>
      <c r="J1813">
        <f>IF(G1813=1,0.2*R1813/B1813,J1812)</f>
        <v/>
      </c>
      <c r="K1813">
        <f>IF(G1813=1,0.2*R1813/C1813,K1812)</f>
        <v/>
      </c>
      <c r="L1813">
        <f>IF(G1813=1,0.2*R1813/D1813,L1812)</f>
        <v/>
      </c>
      <c r="M1813">
        <f>IF(G1813=1,0.2*R1813/E1813,M1812)</f>
        <v/>
      </c>
      <c r="N1813">
        <f>IF(G1813=1,0.2*R1813/F1813,N1812)</f>
        <v/>
      </c>
      <c r="O1813">
        <f>IF(G1813=1,R1813*(1-1.0),IF(H1812=0,1,O1812*(1+0.00023125256064071564)))</f>
        <v/>
      </c>
      <c r="P1813">
        <f>IF(G1813=1,IF(H1812=0,1,ABS(0.2-J1812*B1813/I1813)+ABS(0.2-K1812*C1813/I1813)+ABS(0.2-L1812*D1813/I1813)+ABS(0.2-M1812*E1813/I1813)+ABS(0.2-N1812*F1813/I1813)),0)</f>
        <v/>
      </c>
      <c r="Q1813">
        <f>P1813*0.0015</f>
        <v/>
      </c>
      <c r="R1813">
        <f>I1813*(1-Q1813)</f>
        <v/>
      </c>
      <c r="S1813">
        <f>R1813/R1812-1</f>
        <v/>
      </c>
      <c r="T1813">
        <f>MAX(T1812,R1813)</f>
        <v/>
      </c>
      <c r="U1813">
        <f>R1813/T1813-1</f>
        <v/>
      </c>
      <c r="V1813" t="n">
        <v>3.279803749527997</v>
      </c>
      <c r="W1813" s="5">
        <f>R1813-V1813</f>
        <v/>
      </c>
    </row>
    <row r="1814">
      <c r="A1814" s="3" t="n">
        <v>41102</v>
      </c>
      <c r="B1814">
        <f>Prices!B1814</f>
        <v/>
      </c>
      <c r="C1814">
        <f>Prices!C1814</f>
        <v/>
      </c>
      <c r="D1814">
        <f>Prices!D1814</f>
        <v/>
      </c>
      <c r="E1814">
        <f>Prices!E1814</f>
        <v/>
      </c>
      <c r="F1814">
        <f>Prices!F1814</f>
        <v/>
      </c>
      <c r="G1814">
        <f>IF(AND(1812&gt;=16,TEXT(A1814,"yyyy-mm")&lt;&gt;TEXT(A1815,"yyyy-mm")),1,0)</f>
        <v/>
      </c>
      <c r="H1814">
        <f>IF(OR(H1813=1,G1814=1),1,0)</f>
        <v/>
      </c>
      <c r="I1814">
        <f>IF(H1813=0,1,SUMPRODUCT(J1813:N1813,B1814:F1814)+O1813*(1+0.00023125256064071564))</f>
        <v/>
      </c>
      <c r="J1814">
        <f>IF(G1814=1,0.2*R1814/B1814,J1813)</f>
        <v/>
      </c>
      <c r="K1814">
        <f>IF(G1814=1,0.2*R1814/C1814,K1813)</f>
        <v/>
      </c>
      <c r="L1814">
        <f>IF(G1814=1,0.2*R1814/D1814,L1813)</f>
        <v/>
      </c>
      <c r="M1814">
        <f>IF(G1814=1,0.2*R1814/E1814,M1813)</f>
        <v/>
      </c>
      <c r="N1814">
        <f>IF(G1814=1,0.2*R1814/F1814,N1813)</f>
        <v/>
      </c>
      <c r="O1814">
        <f>IF(G1814=1,R1814*(1-1.0),IF(H1813=0,1,O1813*(1+0.00023125256064071564)))</f>
        <v/>
      </c>
      <c r="P1814">
        <f>IF(G1814=1,IF(H1813=0,1,ABS(0.2-J1813*B1814/I1814)+ABS(0.2-K1813*C1814/I1814)+ABS(0.2-L1813*D1814/I1814)+ABS(0.2-M1813*E1814/I1814)+ABS(0.2-N1813*F1814/I1814)),0)</f>
        <v/>
      </c>
      <c r="Q1814">
        <f>P1814*0.0015</f>
        <v/>
      </c>
      <c r="R1814">
        <f>I1814*(1-Q1814)</f>
        <v/>
      </c>
      <c r="S1814">
        <f>R1814/R1813-1</f>
        <v/>
      </c>
      <c r="T1814">
        <f>MAX(T1813,R1814)</f>
        <v/>
      </c>
      <c r="U1814">
        <f>R1814/T1814-1</f>
        <v/>
      </c>
      <c r="V1814" t="n">
        <v>3.258968190907629</v>
      </c>
      <c r="W1814" s="5">
        <f>R1814-V1814</f>
        <v/>
      </c>
    </row>
    <row r="1815">
      <c r="A1815" s="3" t="n">
        <v>41103</v>
      </c>
      <c r="B1815">
        <f>Prices!B1815</f>
        <v/>
      </c>
      <c r="C1815">
        <f>Prices!C1815</f>
        <v/>
      </c>
      <c r="D1815">
        <f>Prices!D1815</f>
        <v/>
      </c>
      <c r="E1815">
        <f>Prices!E1815</f>
        <v/>
      </c>
      <c r="F1815">
        <f>Prices!F1815</f>
        <v/>
      </c>
      <c r="G1815">
        <f>IF(AND(1813&gt;=16,TEXT(A1815,"yyyy-mm")&lt;&gt;TEXT(A1816,"yyyy-mm")),1,0)</f>
        <v/>
      </c>
      <c r="H1815">
        <f>IF(OR(H1814=1,G1815=1),1,0)</f>
        <v/>
      </c>
      <c r="I1815">
        <f>IF(H1814=0,1,SUMPRODUCT(J1814:N1814,B1815:F1815)+O1814*(1+0.00023125256064071564))</f>
        <v/>
      </c>
      <c r="J1815">
        <f>IF(G1815=1,0.2*R1815/B1815,J1814)</f>
        <v/>
      </c>
      <c r="K1815">
        <f>IF(G1815=1,0.2*R1815/C1815,K1814)</f>
        <v/>
      </c>
      <c r="L1815">
        <f>IF(G1815=1,0.2*R1815/D1815,L1814)</f>
        <v/>
      </c>
      <c r="M1815">
        <f>IF(G1815=1,0.2*R1815/E1815,M1814)</f>
        <v/>
      </c>
      <c r="N1815">
        <f>IF(G1815=1,0.2*R1815/F1815,N1814)</f>
        <v/>
      </c>
      <c r="O1815">
        <f>IF(G1815=1,R1815*(1-1.0),IF(H1814=0,1,O1814*(1+0.00023125256064071564)))</f>
        <v/>
      </c>
      <c r="P1815">
        <f>IF(G1815=1,IF(H1814=0,1,ABS(0.2-J1814*B1815/I1815)+ABS(0.2-K1814*C1815/I1815)+ABS(0.2-L1814*D1815/I1815)+ABS(0.2-M1814*E1815/I1815)+ABS(0.2-N1814*F1815/I1815)),0)</f>
        <v/>
      </c>
      <c r="Q1815">
        <f>P1815*0.0015</f>
        <v/>
      </c>
      <c r="R1815">
        <f>I1815*(1-Q1815)</f>
        <v/>
      </c>
      <c r="S1815">
        <f>R1815/R1814-1</f>
        <v/>
      </c>
      <c r="T1815">
        <f>MAX(T1814,R1815)</f>
        <v/>
      </c>
      <c r="U1815">
        <f>R1815/T1815-1</f>
        <v/>
      </c>
      <c r="V1815" t="n">
        <v>3.252883271361745</v>
      </c>
      <c r="W1815" s="5">
        <f>R1815-V1815</f>
        <v/>
      </c>
    </row>
    <row r="1816">
      <c r="A1816" s="3" t="n">
        <v>41106</v>
      </c>
      <c r="B1816">
        <f>Prices!B1816</f>
        <v/>
      </c>
      <c r="C1816">
        <f>Prices!C1816</f>
        <v/>
      </c>
      <c r="D1816">
        <f>Prices!D1816</f>
        <v/>
      </c>
      <c r="E1816">
        <f>Prices!E1816</f>
        <v/>
      </c>
      <c r="F1816">
        <f>Prices!F1816</f>
        <v/>
      </c>
      <c r="G1816">
        <f>IF(AND(1814&gt;=16,TEXT(A1816,"yyyy-mm")&lt;&gt;TEXT(A1817,"yyyy-mm")),1,0)</f>
        <v/>
      </c>
      <c r="H1816">
        <f>IF(OR(H1815=1,G1816=1),1,0)</f>
        <v/>
      </c>
      <c r="I1816">
        <f>IF(H1815=0,1,SUMPRODUCT(J1815:N1815,B1816:F1816)+O1815*(1+0.00023125256064071564))</f>
        <v/>
      </c>
      <c r="J1816">
        <f>IF(G1816=1,0.2*R1816/B1816,J1815)</f>
        <v/>
      </c>
      <c r="K1816">
        <f>IF(G1816=1,0.2*R1816/C1816,K1815)</f>
        <v/>
      </c>
      <c r="L1816">
        <f>IF(G1816=1,0.2*R1816/D1816,L1815)</f>
        <v/>
      </c>
      <c r="M1816">
        <f>IF(G1816=1,0.2*R1816/E1816,M1815)</f>
        <v/>
      </c>
      <c r="N1816">
        <f>IF(G1816=1,0.2*R1816/F1816,N1815)</f>
        <v/>
      </c>
      <c r="O1816">
        <f>IF(G1816=1,R1816*(1-1.0),IF(H1815=0,1,O1815*(1+0.00023125256064071564)))</f>
        <v/>
      </c>
      <c r="P1816">
        <f>IF(G1816=1,IF(H1815=0,1,ABS(0.2-J1815*B1816/I1816)+ABS(0.2-K1815*C1816/I1816)+ABS(0.2-L1815*D1816/I1816)+ABS(0.2-M1815*E1816/I1816)+ABS(0.2-N1815*F1816/I1816)),0)</f>
        <v/>
      </c>
      <c r="Q1816">
        <f>P1816*0.0015</f>
        <v/>
      </c>
      <c r="R1816">
        <f>I1816*(1-Q1816)</f>
        <v/>
      </c>
      <c r="S1816">
        <f>R1816/R1815-1</f>
        <v/>
      </c>
      <c r="T1816">
        <f>MAX(T1815,R1816)</f>
        <v/>
      </c>
      <c r="U1816">
        <f>R1816/T1816-1</f>
        <v/>
      </c>
      <c r="V1816" t="n">
        <v>3.239137348082217</v>
      </c>
      <c r="W1816" s="5">
        <f>R1816-V1816</f>
        <v/>
      </c>
    </row>
    <row r="1817">
      <c r="A1817" s="3" t="n">
        <v>41107</v>
      </c>
      <c r="B1817">
        <f>Prices!B1817</f>
        <v/>
      </c>
      <c r="C1817">
        <f>Prices!C1817</f>
        <v/>
      </c>
      <c r="D1817">
        <f>Prices!D1817</f>
        <v/>
      </c>
      <c r="E1817">
        <f>Prices!E1817</f>
        <v/>
      </c>
      <c r="F1817">
        <f>Prices!F1817</f>
        <v/>
      </c>
      <c r="G1817">
        <f>IF(AND(1815&gt;=16,TEXT(A1817,"yyyy-mm")&lt;&gt;TEXT(A1818,"yyyy-mm")),1,0)</f>
        <v/>
      </c>
      <c r="H1817">
        <f>IF(OR(H1816=1,G1817=1),1,0)</f>
        <v/>
      </c>
      <c r="I1817">
        <f>IF(H1816=0,1,SUMPRODUCT(J1816:N1816,B1817:F1817)+O1816*(1+0.00023125256064071564))</f>
        <v/>
      </c>
      <c r="J1817">
        <f>IF(G1817=1,0.2*R1817/B1817,J1816)</f>
        <v/>
      </c>
      <c r="K1817">
        <f>IF(G1817=1,0.2*R1817/C1817,K1816)</f>
        <v/>
      </c>
      <c r="L1817">
        <f>IF(G1817=1,0.2*R1817/D1817,L1816)</f>
        <v/>
      </c>
      <c r="M1817">
        <f>IF(G1817=1,0.2*R1817/E1817,M1816)</f>
        <v/>
      </c>
      <c r="N1817">
        <f>IF(G1817=1,0.2*R1817/F1817,N1816)</f>
        <v/>
      </c>
      <c r="O1817">
        <f>IF(G1817=1,R1817*(1-1.0),IF(H1816=0,1,O1816*(1+0.00023125256064071564)))</f>
        <v/>
      </c>
      <c r="P1817">
        <f>IF(G1817=1,IF(H1816=0,1,ABS(0.2-J1816*B1817/I1817)+ABS(0.2-K1816*C1817/I1817)+ABS(0.2-L1816*D1817/I1817)+ABS(0.2-M1816*E1817/I1817)+ABS(0.2-N1816*F1817/I1817)),0)</f>
        <v/>
      </c>
      <c r="Q1817">
        <f>P1817*0.0015</f>
        <v/>
      </c>
      <c r="R1817">
        <f>I1817*(1-Q1817)</f>
        <v/>
      </c>
      <c r="S1817">
        <f>R1817/R1816-1</f>
        <v/>
      </c>
      <c r="T1817">
        <f>MAX(T1816,R1817)</f>
        <v/>
      </c>
      <c r="U1817">
        <f>R1817/T1817-1</f>
        <v/>
      </c>
      <c r="V1817" t="n">
        <v>3.225053193481458</v>
      </c>
      <c r="W1817" s="5">
        <f>R1817-V1817</f>
        <v/>
      </c>
    </row>
    <row r="1818">
      <c r="A1818" s="3" t="n">
        <v>41108</v>
      </c>
      <c r="B1818">
        <f>Prices!B1818</f>
        <v/>
      </c>
      <c r="C1818">
        <f>Prices!C1818</f>
        <v/>
      </c>
      <c r="D1818">
        <f>Prices!D1818</f>
        <v/>
      </c>
      <c r="E1818">
        <f>Prices!E1818</f>
        <v/>
      </c>
      <c r="F1818">
        <f>Prices!F1818</f>
        <v/>
      </c>
      <c r="G1818">
        <f>IF(AND(1816&gt;=16,TEXT(A1818,"yyyy-mm")&lt;&gt;TEXT(A1819,"yyyy-mm")),1,0)</f>
        <v/>
      </c>
      <c r="H1818">
        <f>IF(OR(H1817=1,G1818=1),1,0)</f>
        <v/>
      </c>
      <c r="I1818">
        <f>IF(H1817=0,1,SUMPRODUCT(J1817:N1817,B1818:F1818)+O1817*(1+0.00023125256064071564))</f>
        <v/>
      </c>
      <c r="J1818">
        <f>IF(G1818=1,0.2*R1818/B1818,J1817)</f>
        <v/>
      </c>
      <c r="K1818">
        <f>IF(G1818=1,0.2*R1818/C1818,K1817)</f>
        <v/>
      </c>
      <c r="L1818">
        <f>IF(G1818=1,0.2*R1818/D1818,L1817)</f>
        <v/>
      </c>
      <c r="M1818">
        <f>IF(G1818=1,0.2*R1818/E1818,M1817)</f>
        <v/>
      </c>
      <c r="N1818">
        <f>IF(G1818=1,0.2*R1818/F1818,N1817)</f>
        <v/>
      </c>
      <c r="O1818">
        <f>IF(G1818=1,R1818*(1-1.0),IF(H1817=0,1,O1817*(1+0.00023125256064071564)))</f>
        <v/>
      </c>
      <c r="P1818">
        <f>IF(G1818=1,IF(H1817=0,1,ABS(0.2-J1817*B1818/I1818)+ABS(0.2-K1817*C1818/I1818)+ABS(0.2-L1817*D1818/I1818)+ABS(0.2-M1817*E1818/I1818)+ABS(0.2-N1817*F1818/I1818)),0)</f>
        <v/>
      </c>
      <c r="Q1818">
        <f>P1818*0.0015</f>
        <v/>
      </c>
      <c r="R1818">
        <f>I1818*(1-Q1818)</f>
        <v/>
      </c>
      <c r="S1818">
        <f>R1818/R1817-1</f>
        <v/>
      </c>
      <c r="T1818">
        <f>MAX(T1817,R1818)</f>
        <v/>
      </c>
      <c r="U1818">
        <f>R1818/T1818-1</f>
        <v/>
      </c>
      <c r="V1818" t="n">
        <v>3.236047562733189</v>
      </c>
      <c r="W1818" s="5">
        <f>R1818-V1818</f>
        <v/>
      </c>
    </row>
    <row r="1819">
      <c r="A1819" s="3" t="n">
        <v>41109</v>
      </c>
      <c r="B1819">
        <f>Prices!B1819</f>
        <v/>
      </c>
      <c r="C1819">
        <f>Prices!C1819</f>
        <v/>
      </c>
      <c r="D1819">
        <f>Prices!D1819</f>
        <v/>
      </c>
      <c r="E1819">
        <f>Prices!E1819</f>
        <v/>
      </c>
      <c r="F1819">
        <f>Prices!F1819</f>
        <v/>
      </c>
      <c r="G1819">
        <f>IF(AND(1817&gt;=16,TEXT(A1819,"yyyy-mm")&lt;&gt;TEXT(A1820,"yyyy-mm")),1,0)</f>
        <v/>
      </c>
      <c r="H1819">
        <f>IF(OR(H1818=1,G1819=1),1,0)</f>
        <v/>
      </c>
      <c r="I1819">
        <f>IF(H1818=0,1,SUMPRODUCT(J1818:N1818,B1819:F1819)+O1818*(1+0.00023125256064071564))</f>
        <v/>
      </c>
      <c r="J1819">
        <f>IF(G1819=1,0.2*R1819/B1819,J1818)</f>
        <v/>
      </c>
      <c r="K1819">
        <f>IF(G1819=1,0.2*R1819/C1819,K1818)</f>
        <v/>
      </c>
      <c r="L1819">
        <f>IF(G1819=1,0.2*R1819/D1819,L1818)</f>
        <v/>
      </c>
      <c r="M1819">
        <f>IF(G1819=1,0.2*R1819/E1819,M1818)</f>
        <v/>
      </c>
      <c r="N1819">
        <f>IF(G1819=1,0.2*R1819/F1819,N1818)</f>
        <v/>
      </c>
      <c r="O1819">
        <f>IF(G1819=1,R1819*(1-1.0),IF(H1818=0,1,O1818*(1+0.00023125256064071564)))</f>
        <v/>
      </c>
      <c r="P1819">
        <f>IF(G1819=1,IF(H1818=0,1,ABS(0.2-J1818*B1819/I1819)+ABS(0.2-K1818*C1819/I1819)+ABS(0.2-L1818*D1819/I1819)+ABS(0.2-M1818*E1819/I1819)+ABS(0.2-N1818*F1819/I1819)),0)</f>
        <v/>
      </c>
      <c r="Q1819">
        <f>P1819*0.0015</f>
        <v/>
      </c>
      <c r="R1819">
        <f>I1819*(1-Q1819)</f>
        <v/>
      </c>
      <c r="S1819">
        <f>R1819/R1818-1</f>
        <v/>
      </c>
      <c r="T1819">
        <f>MAX(T1818,R1819)</f>
        <v/>
      </c>
      <c r="U1819">
        <f>R1819/T1819-1</f>
        <v/>
      </c>
      <c r="V1819" t="n">
        <v>3.246303013553677</v>
      </c>
      <c r="W1819" s="5">
        <f>R1819-V1819</f>
        <v/>
      </c>
    </row>
    <row r="1820">
      <c r="A1820" s="3" t="n">
        <v>41110</v>
      </c>
      <c r="B1820">
        <f>Prices!B1820</f>
        <v/>
      </c>
      <c r="C1820">
        <f>Prices!C1820</f>
        <v/>
      </c>
      <c r="D1820">
        <f>Prices!D1820</f>
        <v/>
      </c>
      <c r="E1820">
        <f>Prices!E1820</f>
        <v/>
      </c>
      <c r="F1820">
        <f>Prices!F1820</f>
        <v/>
      </c>
      <c r="G1820">
        <f>IF(AND(1818&gt;=16,TEXT(A1820,"yyyy-mm")&lt;&gt;TEXT(A1821,"yyyy-mm")),1,0)</f>
        <v/>
      </c>
      <c r="H1820">
        <f>IF(OR(H1819=1,G1820=1),1,0)</f>
        <v/>
      </c>
      <c r="I1820">
        <f>IF(H1819=0,1,SUMPRODUCT(J1819:N1819,B1820:F1820)+O1819*(1+0.00023125256064071564))</f>
        <v/>
      </c>
      <c r="J1820">
        <f>IF(G1820=1,0.2*R1820/B1820,J1819)</f>
        <v/>
      </c>
      <c r="K1820">
        <f>IF(G1820=1,0.2*R1820/C1820,K1819)</f>
        <v/>
      </c>
      <c r="L1820">
        <f>IF(G1820=1,0.2*R1820/D1820,L1819)</f>
        <v/>
      </c>
      <c r="M1820">
        <f>IF(G1820=1,0.2*R1820/E1820,M1819)</f>
        <v/>
      </c>
      <c r="N1820">
        <f>IF(G1820=1,0.2*R1820/F1820,N1819)</f>
        <v/>
      </c>
      <c r="O1820">
        <f>IF(G1820=1,R1820*(1-1.0),IF(H1819=0,1,O1819*(1+0.00023125256064071564)))</f>
        <v/>
      </c>
      <c r="P1820">
        <f>IF(G1820=1,IF(H1819=0,1,ABS(0.2-J1819*B1820/I1820)+ABS(0.2-K1819*C1820/I1820)+ABS(0.2-L1819*D1820/I1820)+ABS(0.2-M1819*E1820/I1820)+ABS(0.2-N1819*F1820/I1820)),0)</f>
        <v/>
      </c>
      <c r="Q1820">
        <f>P1820*0.0015</f>
        <v/>
      </c>
      <c r="R1820">
        <f>I1820*(1-Q1820)</f>
        <v/>
      </c>
      <c r="S1820">
        <f>R1820/R1819-1</f>
        <v/>
      </c>
      <c r="T1820">
        <f>MAX(T1819,R1820)</f>
        <v/>
      </c>
      <c r="U1820">
        <f>R1820/T1820-1</f>
        <v/>
      </c>
      <c r="V1820" t="n">
        <v>3.23726562884177</v>
      </c>
      <c r="W1820" s="5">
        <f>R1820-V1820</f>
        <v/>
      </c>
    </row>
    <row r="1821">
      <c r="A1821" s="3" t="n">
        <v>41113</v>
      </c>
      <c r="B1821">
        <f>Prices!B1821</f>
        <v/>
      </c>
      <c r="C1821">
        <f>Prices!C1821</f>
        <v/>
      </c>
      <c r="D1821">
        <f>Prices!D1821</f>
        <v/>
      </c>
      <c r="E1821">
        <f>Prices!E1821</f>
        <v/>
      </c>
      <c r="F1821">
        <f>Prices!F1821</f>
        <v/>
      </c>
      <c r="G1821">
        <f>IF(AND(1819&gt;=16,TEXT(A1821,"yyyy-mm")&lt;&gt;TEXT(A1822,"yyyy-mm")),1,0)</f>
        <v/>
      </c>
      <c r="H1821">
        <f>IF(OR(H1820=1,G1821=1),1,0)</f>
        <v/>
      </c>
      <c r="I1821">
        <f>IF(H1820=0,1,SUMPRODUCT(J1820:N1820,B1821:F1821)+O1820*(1+0.00023125256064071564))</f>
        <v/>
      </c>
      <c r="J1821">
        <f>IF(G1821=1,0.2*R1821/B1821,J1820)</f>
        <v/>
      </c>
      <c r="K1821">
        <f>IF(G1821=1,0.2*R1821/C1821,K1820)</f>
        <v/>
      </c>
      <c r="L1821">
        <f>IF(G1821=1,0.2*R1821/D1821,L1820)</f>
        <v/>
      </c>
      <c r="M1821">
        <f>IF(G1821=1,0.2*R1821/E1821,M1820)</f>
        <v/>
      </c>
      <c r="N1821">
        <f>IF(G1821=1,0.2*R1821/F1821,N1820)</f>
        <v/>
      </c>
      <c r="O1821">
        <f>IF(G1821=1,R1821*(1-1.0),IF(H1820=0,1,O1820*(1+0.00023125256064071564)))</f>
        <v/>
      </c>
      <c r="P1821">
        <f>IF(G1821=1,IF(H1820=0,1,ABS(0.2-J1820*B1821/I1821)+ABS(0.2-K1820*C1821/I1821)+ABS(0.2-L1820*D1821/I1821)+ABS(0.2-M1820*E1821/I1821)+ABS(0.2-N1820*F1821/I1821)),0)</f>
        <v/>
      </c>
      <c r="Q1821">
        <f>P1821*0.0015</f>
        <v/>
      </c>
      <c r="R1821">
        <f>I1821*(1-Q1821)</f>
        <v/>
      </c>
      <c r="S1821">
        <f>R1821/R1820-1</f>
        <v/>
      </c>
      <c r="T1821">
        <f>MAX(T1820,R1821)</f>
        <v/>
      </c>
      <c r="U1821">
        <f>R1821/T1821-1</f>
        <v/>
      </c>
      <c r="V1821" t="n">
        <v>3.193794210155417</v>
      </c>
      <c r="W1821" s="5">
        <f>R1821-V1821</f>
        <v/>
      </c>
    </row>
    <row r="1822">
      <c r="A1822" s="3" t="n">
        <v>41114</v>
      </c>
      <c r="B1822">
        <f>Prices!B1822</f>
        <v/>
      </c>
      <c r="C1822">
        <f>Prices!C1822</f>
        <v/>
      </c>
      <c r="D1822">
        <f>Prices!D1822</f>
        <v/>
      </c>
      <c r="E1822">
        <f>Prices!E1822</f>
        <v/>
      </c>
      <c r="F1822">
        <f>Prices!F1822</f>
        <v/>
      </c>
      <c r="G1822">
        <f>IF(AND(1820&gt;=16,TEXT(A1822,"yyyy-mm")&lt;&gt;TEXT(A1823,"yyyy-mm")),1,0)</f>
        <v/>
      </c>
      <c r="H1822">
        <f>IF(OR(H1821=1,G1822=1),1,0)</f>
        <v/>
      </c>
      <c r="I1822">
        <f>IF(H1821=0,1,SUMPRODUCT(J1821:N1821,B1822:F1822)+O1821*(1+0.00023125256064071564))</f>
        <v/>
      </c>
      <c r="J1822">
        <f>IF(G1822=1,0.2*R1822/B1822,J1821)</f>
        <v/>
      </c>
      <c r="K1822">
        <f>IF(G1822=1,0.2*R1822/C1822,K1821)</f>
        <v/>
      </c>
      <c r="L1822">
        <f>IF(G1822=1,0.2*R1822/D1822,L1821)</f>
        <v/>
      </c>
      <c r="M1822">
        <f>IF(G1822=1,0.2*R1822/E1822,M1821)</f>
        <v/>
      </c>
      <c r="N1822">
        <f>IF(G1822=1,0.2*R1822/F1822,N1821)</f>
        <v/>
      </c>
      <c r="O1822">
        <f>IF(G1822=1,R1822*(1-1.0),IF(H1821=0,1,O1821*(1+0.00023125256064071564)))</f>
        <v/>
      </c>
      <c r="P1822">
        <f>IF(G1822=1,IF(H1821=0,1,ABS(0.2-J1821*B1822/I1822)+ABS(0.2-K1821*C1822/I1822)+ABS(0.2-L1821*D1822/I1822)+ABS(0.2-M1821*E1822/I1822)+ABS(0.2-N1821*F1822/I1822)),0)</f>
        <v/>
      </c>
      <c r="Q1822">
        <f>P1822*0.0015</f>
        <v/>
      </c>
      <c r="R1822">
        <f>I1822*(1-Q1822)</f>
        <v/>
      </c>
      <c r="S1822">
        <f>R1822/R1821-1</f>
        <v/>
      </c>
      <c r="T1822">
        <f>MAX(T1821,R1822)</f>
        <v/>
      </c>
      <c r="U1822">
        <f>R1822/T1822-1</f>
        <v/>
      </c>
      <c r="V1822" t="n">
        <v>3.207287572152296</v>
      </c>
      <c r="W1822" s="5">
        <f>R1822-V1822</f>
        <v/>
      </c>
    </row>
    <row r="1823">
      <c r="A1823" s="3" t="n">
        <v>41115</v>
      </c>
      <c r="B1823">
        <f>Prices!B1823</f>
        <v/>
      </c>
      <c r="C1823">
        <f>Prices!C1823</f>
        <v/>
      </c>
      <c r="D1823">
        <f>Prices!D1823</f>
        <v/>
      </c>
      <c r="E1823">
        <f>Prices!E1823</f>
        <v/>
      </c>
      <c r="F1823">
        <f>Prices!F1823</f>
        <v/>
      </c>
      <c r="G1823">
        <f>IF(AND(1821&gt;=16,TEXT(A1823,"yyyy-mm")&lt;&gt;TEXT(A1824,"yyyy-mm")),1,0)</f>
        <v/>
      </c>
      <c r="H1823">
        <f>IF(OR(H1822=1,G1823=1),1,0)</f>
        <v/>
      </c>
      <c r="I1823">
        <f>IF(H1822=0,1,SUMPRODUCT(J1822:N1822,B1823:F1823)+O1822*(1+0.00023125256064071564))</f>
        <v/>
      </c>
      <c r="J1823">
        <f>IF(G1823=1,0.2*R1823/B1823,J1822)</f>
        <v/>
      </c>
      <c r="K1823">
        <f>IF(G1823=1,0.2*R1823/C1823,K1822)</f>
        <v/>
      </c>
      <c r="L1823">
        <f>IF(G1823=1,0.2*R1823/D1823,L1822)</f>
        <v/>
      </c>
      <c r="M1823">
        <f>IF(G1823=1,0.2*R1823/E1823,M1822)</f>
        <v/>
      </c>
      <c r="N1823">
        <f>IF(G1823=1,0.2*R1823/F1823,N1822)</f>
        <v/>
      </c>
      <c r="O1823">
        <f>IF(G1823=1,R1823*(1-1.0),IF(H1822=0,1,O1822*(1+0.00023125256064071564)))</f>
        <v/>
      </c>
      <c r="P1823">
        <f>IF(G1823=1,IF(H1822=0,1,ABS(0.2-J1822*B1823/I1823)+ABS(0.2-K1822*C1823/I1823)+ABS(0.2-L1822*D1823/I1823)+ABS(0.2-M1822*E1823/I1823)+ABS(0.2-N1822*F1823/I1823)),0)</f>
        <v/>
      </c>
      <c r="Q1823">
        <f>P1823*0.0015</f>
        <v/>
      </c>
      <c r="R1823">
        <f>I1823*(1-Q1823)</f>
        <v/>
      </c>
      <c r="S1823">
        <f>R1823/R1822-1</f>
        <v/>
      </c>
      <c r="T1823">
        <f>MAX(T1822,R1823)</f>
        <v/>
      </c>
      <c r="U1823">
        <f>R1823/T1823-1</f>
        <v/>
      </c>
      <c r="V1823" t="n">
        <v>3.194563929988738</v>
      </c>
      <c r="W1823" s="5">
        <f>R1823-V1823</f>
        <v/>
      </c>
    </row>
    <row r="1824">
      <c r="A1824" s="3" t="n">
        <v>41116</v>
      </c>
      <c r="B1824">
        <f>Prices!B1824</f>
        <v/>
      </c>
      <c r="C1824">
        <f>Prices!C1824</f>
        <v/>
      </c>
      <c r="D1824">
        <f>Prices!D1824</f>
        <v/>
      </c>
      <c r="E1824">
        <f>Prices!E1824</f>
        <v/>
      </c>
      <c r="F1824">
        <f>Prices!F1824</f>
        <v/>
      </c>
      <c r="G1824">
        <f>IF(AND(1822&gt;=16,TEXT(A1824,"yyyy-mm")&lt;&gt;TEXT(A1825,"yyyy-mm")),1,0)</f>
        <v/>
      </c>
      <c r="H1824">
        <f>IF(OR(H1823=1,G1824=1),1,0)</f>
        <v/>
      </c>
      <c r="I1824">
        <f>IF(H1823=0,1,SUMPRODUCT(J1823:N1823,B1824:F1824)+O1823*(1+0.00023125256064071564))</f>
        <v/>
      </c>
      <c r="J1824">
        <f>IF(G1824=1,0.2*R1824/B1824,J1823)</f>
        <v/>
      </c>
      <c r="K1824">
        <f>IF(G1824=1,0.2*R1824/C1824,K1823)</f>
        <v/>
      </c>
      <c r="L1824">
        <f>IF(G1824=1,0.2*R1824/D1824,L1823)</f>
        <v/>
      </c>
      <c r="M1824">
        <f>IF(G1824=1,0.2*R1824/E1824,M1823)</f>
        <v/>
      </c>
      <c r="N1824">
        <f>IF(G1824=1,0.2*R1824/F1824,N1823)</f>
        <v/>
      </c>
      <c r="O1824">
        <f>IF(G1824=1,R1824*(1-1.0),IF(H1823=0,1,O1823*(1+0.00023125256064071564)))</f>
        <v/>
      </c>
      <c r="P1824">
        <f>IF(G1824=1,IF(H1823=0,1,ABS(0.2-J1823*B1824/I1824)+ABS(0.2-K1823*C1824/I1824)+ABS(0.2-L1823*D1824/I1824)+ABS(0.2-M1823*E1824/I1824)+ABS(0.2-N1823*F1824/I1824)),0)</f>
        <v/>
      </c>
      <c r="Q1824">
        <f>P1824*0.0015</f>
        <v/>
      </c>
      <c r="R1824">
        <f>I1824*(1-Q1824)</f>
        <v/>
      </c>
      <c r="S1824">
        <f>R1824/R1823-1</f>
        <v/>
      </c>
      <c r="T1824">
        <f>MAX(T1823,R1824)</f>
        <v/>
      </c>
      <c r="U1824">
        <f>R1824/T1824-1</f>
        <v/>
      </c>
      <c r="V1824" t="n">
        <v>3.150059289515306</v>
      </c>
      <c r="W1824" s="5">
        <f>R1824-V1824</f>
        <v/>
      </c>
    </row>
    <row r="1825">
      <c r="A1825" s="3" t="n">
        <v>41117</v>
      </c>
      <c r="B1825">
        <f>Prices!B1825</f>
        <v/>
      </c>
      <c r="C1825">
        <f>Prices!C1825</f>
        <v/>
      </c>
      <c r="D1825">
        <f>Prices!D1825</f>
        <v/>
      </c>
      <c r="E1825">
        <f>Prices!E1825</f>
        <v/>
      </c>
      <c r="F1825">
        <f>Prices!F1825</f>
        <v/>
      </c>
      <c r="G1825">
        <f>IF(AND(1823&gt;=16,TEXT(A1825,"yyyy-mm")&lt;&gt;TEXT(A1826,"yyyy-mm")),1,0)</f>
        <v/>
      </c>
      <c r="H1825">
        <f>IF(OR(H1824=1,G1825=1),1,0)</f>
        <v/>
      </c>
      <c r="I1825">
        <f>IF(H1824=0,1,SUMPRODUCT(J1824:N1824,B1825:F1825)+O1824*(1+0.00023125256064071564))</f>
        <v/>
      </c>
      <c r="J1825">
        <f>IF(G1825=1,0.2*R1825/B1825,J1824)</f>
        <v/>
      </c>
      <c r="K1825">
        <f>IF(G1825=1,0.2*R1825/C1825,K1824)</f>
        <v/>
      </c>
      <c r="L1825">
        <f>IF(G1825=1,0.2*R1825/D1825,L1824)</f>
        <v/>
      </c>
      <c r="M1825">
        <f>IF(G1825=1,0.2*R1825/E1825,M1824)</f>
        <v/>
      </c>
      <c r="N1825">
        <f>IF(G1825=1,0.2*R1825/F1825,N1824)</f>
        <v/>
      </c>
      <c r="O1825">
        <f>IF(G1825=1,R1825*(1-1.0),IF(H1824=0,1,O1824*(1+0.00023125256064071564)))</f>
        <v/>
      </c>
      <c r="P1825">
        <f>IF(G1825=1,IF(H1824=0,1,ABS(0.2-J1824*B1825/I1825)+ABS(0.2-K1824*C1825/I1825)+ABS(0.2-L1824*D1825/I1825)+ABS(0.2-M1824*E1825/I1825)+ABS(0.2-N1824*F1825/I1825)),0)</f>
        <v/>
      </c>
      <c r="Q1825">
        <f>P1825*0.0015</f>
        <v/>
      </c>
      <c r="R1825">
        <f>I1825*(1-Q1825)</f>
        <v/>
      </c>
      <c r="S1825">
        <f>R1825/R1824-1</f>
        <v/>
      </c>
      <c r="T1825">
        <f>MAX(T1824,R1825)</f>
        <v/>
      </c>
      <c r="U1825">
        <f>R1825/T1825-1</f>
        <v/>
      </c>
      <c r="V1825" t="n">
        <v>3.149859911856798</v>
      </c>
      <c r="W1825" s="5">
        <f>R1825-V1825</f>
        <v/>
      </c>
    </row>
    <row r="1826">
      <c r="A1826" s="3" t="n">
        <v>41120</v>
      </c>
      <c r="B1826">
        <f>Prices!B1826</f>
        <v/>
      </c>
      <c r="C1826">
        <f>Prices!C1826</f>
        <v/>
      </c>
      <c r="D1826">
        <f>Prices!D1826</f>
        <v/>
      </c>
      <c r="E1826">
        <f>Prices!E1826</f>
        <v/>
      </c>
      <c r="F1826">
        <f>Prices!F1826</f>
        <v/>
      </c>
      <c r="G1826">
        <f>IF(AND(1824&gt;=16,TEXT(A1826,"yyyy-mm")&lt;&gt;TEXT(A1827,"yyyy-mm")),1,0)</f>
        <v/>
      </c>
      <c r="H1826">
        <f>IF(OR(H1825=1,G1826=1),1,0)</f>
        <v/>
      </c>
      <c r="I1826">
        <f>IF(H1825=0,1,SUMPRODUCT(J1825:N1825,B1826:F1826)+O1825*(1+0.00023125256064071564))</f>
        <v/>
      </c>
      <c r="J1826">
        <f>IF(G1826=1,0.2*R1826/B1826,J1825)</f>
        <v/>
      </c>
      <c r="K1826">
        <f>IF(G1826=1,0.2*R1826/C1826,K1825)</f>
        <v/>
      </c>
      <c r="L1826">
        <f>IF(G1826=1,0.2*R1826/D1826,L1825)</f>
        <v/>
      </c>
      <c r="M1826">
        <f>IF(G1826=1,0.2*R1826/E1826,M1825)</f>
        <v/>
      </c>
      <c r="N1826">
        <f>IF(G1826=1,0.2*R1826/F1826,N1825)</f>
        <v/>
      </c>
      <c r="O1826">
        <f>IF(G1826=1,R1826*(1-1.0),IF(H1825=0,1,O1825*(1+0.00023125256064071564)))</f>
        <v/>
      </c>
      <c r="P1826">
        <f>IF(G1826=1,IF(H1825=0,1,ABS(0.2-J1825*B1826/I1826)+ABS(0.2-K1825*C1826/I1826)+ABS(0.2-L1825*D1826/I1826)+ABS(0.2-M1825*E1826/I1826)+ABS(0.2-N1825*F1826/I1826)),0)</f>
        <v/>
      </c>
      <c r="Q1826">
        <f>P1826*0.0015</f>
        <v/>
      </c>
      <c r="R1826">
        <f>I1826*(1-Q1826)</f>
        <v/>
      </c>
      <c r="S1826">
        <f>R1826/R1825-1</f>
        <v/>
      </c>
      <c r="T1826">
        <f>MAX(T1825,R1826)</f>
        <v/>
      </c>
      <c r="U1826">
        <f>R1826/T1826-1</f>
        <v/>
      </c>
      <c r="V1826" t="n">
        <v>3.195618372545157</v>
      </c>
      <c r="W1826" s="5">
        <f>R1826-V1826</f>
        <v/>
      </c>
    </row>
    <row r="1827">
      <c r="A1827" s="3" t="n">
        <v>41121</v>
      </c>
      <c r="B1827">
        <f>Prices!B1827</f>
        <v/>
      </c>
      <c r="C1827">
        <f>Prices!C1827</f>
        <v/>
      </c>
      <c r="D1827">
        <f>Prices!D1827</f>
        <v/>
      </c>
      <c r="E1827">
        <f>Prices!E1827</f>
        <v/>
      </c>
      <c r="F1827">
        <f>Prices!F1827</f>
        <v/>
      </c>
      <c r="G1827">
        <f>IF(AND(1825&gt;=16,TEXT(A1827,"yyyy-mm")&lt;&gt;TEXT(A1828,"yyyy-mm")),1,0)</f>
        <v/>
      </c>
      <c r="H1827">
        <f>IF(OR(H1826=1,G1827=1),1,0)</f>
        <v/>
      </c>
      <c r="I1827">
        <f>IF(H1826=0,1,SUMPRODUCT(J1826:N1826,B1827:F1827)+O1826*(1+0.00023125256064071564))</f>
        <v/>
      </c>
      <c r="J1827">
        <f>IF(G1827=1,0.2*R1827/B1827,J1826)</f>
        <v/>
      </c>
      <c r="K1827">
        <f>IF(G1827=1,0.2*R1827/C1827,K1826)</f>
        <v/>
      </c>
      <c r="L1827">
        <f>IF(G1827=1,0.2*R1827/D1827,L1826)</f>
        <v/>
      </c>
      <c r="M1827">
        <f>IF(G1827=1,0.2*R1827/E1827,M1826)</f>
        <v/>
      </c>
      <c r="N1827">
        <f>IF(G1827=1,0.2*R1827/F1827,N1826)</f>
        <v/>
      </c>
      <c r="O1827">
        <f>IF(G1827=1,R1827*(1-1.0),IF(H1826=0,1,O1826*(1+0.00023125256064071564)))</f>
        <v/>
      </c>
      <c r="P1827">
        <f>IF(G1827=1,IF(H1826=0,1,ABS(0.2-J1826*B1827/I1827)+ABS(0.2-K1826*C1827/I1827)+ABS(0.2-L1826*D1827/I1827)+ABS(0.2-M1826*E1827/I1827)+ABS(0.2-N1826*F1827/I1827)),0)</f>
        <v/>
      </c>
      <c r="Q1827">
        <f>P1827*0.0015</f>
        <v/>
      </c>
      <c r="R1827">
        <f>I1827*(1-Q1827)</f>
        <v/>
      </c>
      <c r="S1827">
        <f>R1827/R1826-1</f>
        <v/>
      </c>
      <c r="T1827">
        <f>MAX(T1826,R1827)</f>
        <v/>
      </c>
      <c r="U1827">
        <f>R1827/T1827-1</f>
        <v/>
      </c>
      <c r="V1827" t="n">
        <v>3.206646154854425</v>
      </c>
      <c r="W1827" s="5">
        <f>R1827-V1827</f>
        <v/>
      </c>
    </row>
    <row r="1828">
      <c r="A1828" s="3" t="n">
        <v>41122</v>
      </c>
      <c r="B1828">
        <f>Prices!B1828</f>
        <v/>
      </c>
      <c r="C1828">
        <f>Prices!C1828</f>
        <v/>
      </c>
      <c r="D1828">
        <f>Prices!D1828</f>
        <v/>
      </c>
      <c r="E1828">
        <f>Prices!E1828</f>
        <v/>
      </c>
      <c r="F1828">
        <f>Prices!F1828</f>
        <v/>
      </c>
      <c r="G1828">
        <f>IF(AND(1826&gt;=16,TEXT(A1828,"yyyy-mm")&lt;&gt;TEXT(A1829,"yyyy-mm")),1,0)</f>
        <v/>
      </c>
      <c r="H1828">
        <f>IF(OR(H1827=1,G1828=1),1,0)</f>
        <v/>
      </c>
      <c r="I1828">
        <f>IF(H1827=0,1,SUMPRODUCT(J1827:N1827,B1828:F1828)+O1827*(1+0.00023125256064071564))</f>
        <v/>
      </c>
      <c r="J1828">
        <f>IF(G1828=1,0.2*R1828/B1828,J1827)</f>
        <v/>
      </c>
      <c r="K1828">
        <f>IF(G1828=1,0.2*R1828/C1828,K1827)</f>
        <v/>
      </c>
      <c r="L1828">
        <f>IF(G1828=1,0.2*R1828/D1828,L1827)</f>
        <v/>
      </c>
      <c r="M1828">
        <f>IF(G1828=1,0.2*R1828/E1828,M1827)</f>
        <v/>
      </c>
      <c r="N1828">
        <f>IF(G1828=1,0.2*R1828/F1828,N1827)</f>
        <v/>
      </c>
      <c r="O1828">
        <f>IF(G1828=1,R1828*(1-1.0),IF(H1827=0,1,O1827*(1+0.00023125256064071564)))</f>
        <v/>
      </c>
      <c r="P1828">
        <f>IF(G1828=1,IF(H1827=0,1,ABS(0.2-J1827*B1828/I1828)+ABS(0.2-K1827*C1828/I1828)+ABS(0.2-L1827*D1828/I1828)+ABS(0.2-M1827*E1828/I1828)+ABS(0.2-N1827*F1828/I1828)),0)</f>
        <v/>
      </c>
      <c r="Q1828">
        <f>P1828*0.0015</f>
        <v/>
      </c>
      <c r="R1828">
        <f>I1828*(1-Q1828)</f>
        <v/>
      </c>
      <c r="S1828">
        <f>R1828/R1827-1</f>
        <v/>
      </c>
      <c r="T1828">
        <f>MAX(T1827,R1828)</f>
        <v/>
      </c>
      <c r="U1828">
        <f>R1828/T1828-1</f>
        <v/>
      </c>
      <c r="V1828" t="n">
        <v>3.226248209228353</v>
      </c>
      <c r="W1828" s="5">
        <f>R1828-V1828</f>
        <v/>
      </c>
    </row>
    <row r="1829">
      <c r="A1829" s="3" t="n">
        <v>41123</v>
      </c>
      <c r="B1829">
        <f>Prices!B1829</f>
        <v/>
      </c>
      <c r="C1829">
        <f>Prices!C1829</f>
        <v/>
      </c>
      <c r="D1829">
        <f>Prices!D1829</f>
        <v/>
      </c>
      <c r="E1829">
        <f>Prices!E1829</f>
        <v/>
      </c>
      <c r="F1829">
        <f>Prices!F1829</f>
        <v/>
      </c>
      <c r="G1829">
        <f>IF(AND(1827&gt;=16,TEXT(A1829,"yyyy-mm")&lt;&gt;TEXT(A1830,"yyyy-mm")),1,0)</f>
        <v/>
      </c>
      <c r="H1829">
        <f>IF(OR(H1828=1,G1829=1),1,0)</f>
        <v/>
      </c>
      <c r="I1829">
        <f>IF(H1828=0,1,SUMPRODUCT(J1828:N1828,B1829:F1829)+O1828*(1+0.00023125256064071564))</f>
        <v/>
      </c>
      <c r="J1829">
        <f>IF(G1829=1,0.2*R1829/B1829,J1828)</f>
        <v/>
      </c>
      <c r="K1829">
        <f>IF(G1829=1,0.2*R1829/C1829,K1828)</f>
        <v/>
      </c>
      <c r="L1829">
        <f>IF(G1829=1,0.2*R1829/D1829,L1828)</f>
        <v/>
      </c>
      <c r="M1829">
        <f>IF(G1829=1,0.2*R1829/E1829,M1828)</f>
        <v/>
      </c>
      <c r="N1829">
        <f>IF(G1829=1,0.2*R1829/F1829,N1828)</f>
        <v/>
      </c>
      <c r="O1829">
        <f>IF(G1829=1,R1829*(1-1.0),IF(H1828=0,1,O1828*(1+0.00023125256064071564)))</f>
        <v/>
      </c>
      <c r="P1829">
        <f>IF(G1829=1,IF(H1828=0,1,ABS(0.2-J1828*B1829/I1829)+ABS(0.2-K1828*C1829/I1829)+ABS(0.2-L1828*D1829/I1829)+ABS(0.2-M1828*E1829/I1829)+ABS(0.2-N1828*F1829/I1829)),0)</f>
        <v/>
      </c>
      <c r="Q1829">
        <f>P1829*0.0015</f>
        <v/>
      </c>
      <c r="R1829">
        <f>I1829*(1-Q1829)</f>
        <v/>
      </c>
      <c r="S1829">
        <f>R1829/R1828-1</f>
        <v/>
      </c>
      <c r="T1829">
        <f>MAX(T1828,R1829)</f>
        <v/>
      </c>
      <c r="U1829">
        <f>R1829/T1829-1</f>
        <v/>
      </c>
      <c r="V1829" t="n">
        <v>3.233922893489205</v>
      </c>
      <c r="W1829" s="5">
        <f>R1829-V1829</f>
        <v/>
      </c>
    </row>
    <row r="1830">
      <c r="A1830" s="3" t="n">
        <v>41124</v>
      </c>
      <c r="B1830">
        <f>Prices!B1830</f>
        <v/>
      </c>
      <c r="C1830">
        <f>Prices!C1830</f>
        <v/>
      </c>
      <c r="D1830">
        <f>Prices!D1830</f>
        <v/>
      </c>
      <c r="E1830">
        <f>Prices!E1830</f>
        <v/>
      </c>
      <c r="F1830">
        <f>Prices!F1830</f>
        <v/>
      </c>
      <c r="G1830">
        <f>IF(AND(1828&gt;=16,TEXT(A1830,"yyyy-mm")&lt;&gt;TEXT(A1831,"yyyy-mm")),1,0)</f>
        <v/>
      </c>
      <c r="H1830">
        <f>IF(OR(H1829=1,G1830=1),1,0)</f>
        <v/>
      </c>
      <c r="I1830">
        <f>IF(H1829=0,1,SUMPRODUCT(J1829:N1829,B1830:F1830)+O1829*(1+0.00023125256064071564))</f>
        <v/>
      </c>
      <c r="J1830">
        <f>IF(G1830=1,0.2*R1830/B1830,J1829)</f>
        <v/>
      </c>
      <c r="K1830">
        <f>IF(G1830=1,0.2*R1830/C1830,K1829)</f>
        <v/>
      </c>
      <c r="L1830">
        <f>IF(G1830=1,0.2*R1830/D1830,L1829)</f>
        <v/>
      </c>
      <c r="M1830">
        <f>IF(G1830=1,0.2*R1830/E1830,M1829)</f>
        <v/>
      </c>
      <c r="N1830">
        <f>IF(G1830=1,0.2*R1830/F1830,N1829)</f>
        <v/>
      </c>
      <c r="O1830">
        <f>IF(G1830=1,R1830*(1-1.0),IF(H1829=0,1,O1829*(1+0.00023125256064071564)))</f>
        <v/>
      </c>
      <c r="P1830">
        <f>IF(G1830=1,IF(H1829=0,1,ABS(0.2-J1829*B1830/I1830)+ABS(0.2-K1829*C1830/I1830)+ABS(0.2-L1829*D1830/I1830)+ABS(0.2-M1829*E1830/I1830)+ABS(0.2-N1829*F1830/I1830)),0)</f>
        <v/>
      </c>
      <c r="Q1830">
        <f>P1830*0.0015</f>
        <v/>
      </c>
      <c r="R1830">
        <f>I1830*(1-Q1830)</f>
        <v/>
      </c>
      <c r="S1830">
        <f>R1830/R1829-1</f>
        <v/>
      </c>
      <c r="T1830">
        <f>MAX(T1829,R1830)</f>
        <v/>
      </c>
      <c r="U1830">
        <f>R1830/T1830-1</f>
        <v/>
      </c>
      <c r="V1830" t="n">
        <v>3.233362269082826</v>
      </c>
      <c r="W1830" s="5">
        <f>R1830-V1830</f>
        <v/>
      </c>
    </row>
    <row r="1831">
      <c r="A1831" s="3" t="n">
        <v>41127</v>
      </c>
      <c r="B1831">
        <f>Prices!B1831</f>
        <v/>
      </c>
      <c r="C1831">
        <f>Prices!C1831</f>
        <v/>
      </c>
      <c r="D1831">
        <f>Prices!D1831</f>
        <v/>
      </c>
      <c r="E1831">
        <f>Prices!E1831</f>
        <v/>
      </c>
      <c r="F1831">
        <f>Prices!F1831</f>
        <v/>
      </c>
      <c r="G1831">
        <f>IF(AND(1829&gt;=16,TEXT(A1831,"yyyy-mm")&lt;&gt;TEXT(A1832,"yyyy-mm")),1,0)</f>
        <v/>
      </c>
      <c r="H1831">
        <f>IF(OR(H1830=1,G1831=1),1,0)</f>
        <v/>
      </c>
      <c r="I1831">
        <f>IF(H1830=0,1,SUMPRODUCT(J1830:N1830,B1831:F1831)+O1830*(1+0.00023125256064071564))</f>
        <v/>
      </c>
      <c r="J1831">
        <f>IF(G1831=1,0.2*R1831/B1831,J1830)</f>
        <v/>
      </c>
      <c r="K1831">
        <f>IF(G1831=1,0.2*R1831/C1831,K1830)</f>
        <v/>
      </c>
      <c r="L1831">
        <f>IF(G1831=1,0.2*R1831/D1831,L1830)</f>
        <v/>
      </c>
      <c r="M1831">
        <f>IF(G1831=1,0.2*R1831/E1831,M1830)</f>
        <v/>
      </c>
      <c r="N1831">
        <f>IF(G1831=1,0.2*R1831/F1831,N1830)</f>
        <v/>
      </c>
      <c r="O1831">
        <f>IF(G1831=1,R1831*(1-1.0),IF(H1830=0,1,O1830*(1+0.00023125256064071564)))</f>
        <v/>
      </c>
      <c r="P1831">
        <f>IF(G1831=1,IF(H1830=0,1,ABS(0.2-J1830*B1831/I1831)+ABS(0.2-K1830*C1831/I1831)+ABS(0.2-L1830*D1831/I1831)+ABS(0.2-M1830*E1831/I1831)+ABS(0.2-N1830*F1831/I1831)),0)</f>
        <v/>
      </c>
      <c r="Q1831">
        <f>P1831*0.0015</f>
        <v/>
      </c>
      <c r="R1831">
        <f>I1831*(1-Q1831)</f>
        <v/>
      </c>
      <c r="S1831">
        <f>R1831/R1830-1</f>
        <v/>
      </c>
      <c r="T1831">
        <f>MAX(T1830,R1831)</f>
        <v/>
      </c>
      <c r="U1831">
        <f>R1831/T1831-1</f>
        <v/>
      </c>
      <c r="V1831" t="n">
        <v>3.248507453401972</v>
      </c>
      <c r="W1831" s="5">
        <f>R1831-V1831</f>
        <v/>
      </c>
    </row>
    <row r="1832">
      <c r="A1832" s="3" t="n">
        <v>41128</v>
      </c>
      <c r="B1832">
        <f>Prices!B1832</f>
        <v/>
      </c>
      <c r="C1832">
        <f>Prices!C1832</f>
        <v/>
      </c>
      <c r="D1832">
        <f>Prices!D1832</f>
        <v/>
      </c>
      <c r="E1832">
        <f>Prices!E1832</f>
        <v/>
      </c>
      <c r="F1832">
        <f>Prices!F1832</f>
        <v/>
      </c>
      <c r="G1832">
        <f>IF(AND(1830&gt;=16,TEXT(A1832,"yyyy-mm")&lt;&gt;TEXT(A1833,"yyyy-mm")),1,0)</f>
        <v/>
      </c>
      <c r="H1832">
        <f>IF(OR(H1831=1,G1832=1),1,0)</f>
        <v/>
      </c>
      <c r="I1832">
        <f>IF(H1831=0,1,SUMPRODUCT(J1831:N1831,B1832:F1832)+O1831*(1+0.00023125256064071564))</f>
        <v/>
      </c>
      <c r="J1832">
        <f>IF(G1832=1,0.2*R1832/B1832,J1831)</f>
        <v/>
      </c>
      <c r="K1832">
        <f>IF(G1832=1,0.2*R1832/C1832,K1831)</f>
        <v/>
      </c>
      <c r="L1832">
        <f>IF(G1832=1,0.2*R1832/D1832,L1831)</f>
        <v/>
      </c>
      <c r="M1832">
        <f>IF(G1832=1,0.2*R1832/E1832,M1831)</f>
        <v/>
      </c>
      <c r="N1832">
        <f>IF(G1832=1,0.2*R1832/F1832,N1831)</f>
        <v/>
      </c>
      <c r="O1832">
        <f>IF(G1832=1,R1832*(1-1.0),IF(H1831=0,1,O1831*(1+0.00023125256064071564)))</f>
        <v/>
      </c>
      <c r="P1832">
        <f>IF(G1832=1,IF(H1831=0,1,ABS(0.2-J1831*B1832/I1832)+ABS(0.2-K1831*C1832/I1832)+ABS(0.2-L1831*D1832/I1832)+ABS(0.2-M1831*E1832/I1832)+ABS(0.2-N1831*F1832/I1832)),0)</f>
        <v/>
      </c>
      <c r="Q1832">
        <f>P1832*0.0015</f>
        <v/>
      </c>
      <c r="R1832">
        <f>I1832*(1-Q1832)</f>
        <v/>
      </c>
      <c r="S1832">
        <f>R1832/R1831-1</f>
        <v/>
      </c>
      <c r="T1832">
        <f>MAX(T1831,R1832)</f>
        <v/>
      </c>
      <c r="U1832">
        <f>R1832/T1832-1</f>
        <v/>
      </c>
      <c r="V1832" t="n">
        <v>3.258895653943306</v>
      </c>
      <c r="W1832" s="5">
        <f>R1832-V1832</f>
        <v/>
      </c>
    </row>
    <row r="1833">
      <c r="A1833" s="3" t="n">
        <v>41129</v>
      </c>
      <c r="B1833">
        <f>Prices!B1833</f>
        <v/>
      </c>
      <c r="C1833">
        <f>Prices!C1833</f>
        <v/>
      </c>
      <c r="D1833">
        <f>Prices!D1833</f>
        <v/>
      </c>
      <c r="E1833">
        <f>Prices!E1833</f>
        <v/>
      </c>
      <c r="F1833">
        <f>Prices!F1833</f>
        <v/>
      </c>
      <c r="G1833">
        <f>IF(AND(1831&gt;=16,TEXT(A1833,"yyyy-mm")&lt;&gt;TEXT(A1834,"yyyy-mm")),1,0)</f>
        <v/>
      </c>
      <c r="H1833">
        <f>IF(OR(H1832=1,G1833=1),1,0)</f>
        <v/>
      </c>
      <c r="I1833">
        <f>IF(H1832=0,1,SUMPRODUCT(J1832:N1832,B1833:F1833)+O1832*(1+0.00023125256064071564))</f>
        <v/>
      </c>
      <c r="J1833">
        <f>IF(G1833=1,0.2*R1833/B1833,J1832)</f>
        <v/>
      </c>
      <c r="K1833">
        <f>IF(G1833=1,0.2*R1833/C1833,K1832)</f>
        <v/>
      </c>
      <c r="L1833">
        <f>IF(G1833=1,0.2*R1833/D1833,L1832)</f>
        <v/>
      </c>
      <c r="M1833">
        <f>IF(G1833=1,0.2*R1833/E1833,M1832)</f>
        <v/>
      </c>
      <c r="N1833">
        <f>IF(G1833=1,0.2*R1833/F1833,N1832)</f>
        <v/>
      </c>
      <c r="O1833">
        <f>IF(G1833=1,R1833*(1-1.0),IF(H1832=0,1,O1832*(1+0.00023125256064071564)))</f>
        <v/>
      </c>
      <c r="P1833">
        <f>IF(G1833=1,IF(H1832=0,1,ABS(0.2-J1832*B1833/I1833)+ABS(0.2-K1832*C1833/I1833)+ABS(0.2-L1832*D1833/I1833)+ABS(0.2-M1832*E1833/I1833)+ABS(0.2-N1832*F1833/I1833)),0)</f>
        <v/>
      </c>
      <c r="Q1833">
        <f>P1833*0.0015</f>
        <v/>
      </c>
      <c r="R1833">
        <f>I1833*(1-Q1833)</f>
        <v/>
      </c>
      <c r="S1833">
        <f>R1833/R1832-1</f>
        <v/>
      </c>
      <c r="T1833">
        <f>MAX(T1832,R1833)</f>
        <v/>
      </c>
      <c r="U1833">
        <f>R1833/T1833-1</f>
        <v/>
      </c>
      <c r="V1833" t="n">
        <v>3.261986195108223</v>
      </c>
      <c r="W1833" s="5">
        <f>R1833-V1833</f>
        <v/>
      </c>
    </row>
    <row r="1834">
      <c r="A1834" s="3" t="n">
        <v>41130</v>
      </c>
      <c r="B1834">
        <f>Prices!B1834</f>
        <v/>
      </c>
      <c r="C1834">
        <f>Prices!C1834</f>
        <v/>
      </c>
      <c r="D1834">
        <f>Prices!D1834</f>
        <v/>
      </c>
      <c r="E1834">
        <f>Prices!E1834</f>
        <v/>
      </c>
      <c r="F1834">
        <f>Prices!F1834</f>
        <v/>
      </c>
      <c r="G1834">
        <f>IF(AND(1832&gt;=16,TEXT(A1834,"yyyy-mm")&lt;&gt;TEXT(A1835,"yyyy-mm")),1,0)</f>
        <v/>
      </c>
      <c r="H1834">
        <f>IF(OR(H1833=1,G1834=1),1,0)</f>
        <v/>
      </c>
      <c r="I1834">
        <f>IF(H1833=0,1,SUMPRODUCT(J1833:N1833,B1834:F1834)+O1833*(1+0.00023125256064071564))</f>
        <v/>
      </c>
      <c r="J1834">
        <f>IF(G1834=1,0.2*R1834/B1834,J1833)</f>
        <v/>
      </c>
      <c r="K1834">
        <f>IF(G1834=1,0.2*R1834/C1834,K1833)</f>
        <v/>
      </c>
      <c r="L1834">
        <f>IF(G1834=1,0.2*R1834/D1834,L1833)</f>
        <v/>
      </c>
      <c r="M1834">
        <f>IF(G1834=1,0.2*R1834/E1834,M1833)</f>
        <v/>
      </c>
      <c r="N1834">
        <f>IF(G1834=1,0.2*R1834/F1834,N1833)</f>
        <v/>
      </c>
      <c r="O1834">
        <f>IF(G1834=1,R1834*(1-1.0),IF(H1833=0,1,O1833*(1+0.00023125256064071564)))</f>
        <v/>
      </c>
      <c r="P1834">
        <f>IF(G1834=1,IF(H1833=0,1,ABS(0.2-J1833*B1834/I1834)+ABS(0.2-K1833*C1834/I1834)+ABS(0.2-L1833*D1834/I1834)+ABS(0.2-M1833*E1834/I1834)+ABS(0.2-N1833*F1834/I1834)),0)</f>
        <v/>
      </c>
      <c r="Q1834">
        <f>P1834*0.0015</f>
        <v/>
      </c>
      <c r="R1834">
        <f>I1834*(1-Q1834)</f>
        <v/>
      </c>
      <c r="S1834">
        <f>R1834/R1833-1</f>
        <v/>
      </c>
      <c r="T1834">
        <f>MAX(T1833,R1834)</f>
        <v/>
      </c>
      <c r="U1834">
        <f>R1834/T1834-1</f>
        <v/>
      </c>
      <c r="V1834" t="n">
        <v>3.259802293810955</v>
      </c>
      <c r="W1834" s="5">
        <f>R1834-V1834</f>
        <v/>
      </c>
    </row>
    <row r="1835">
      <c r="A1835" s="3" t="n">
        <v>41131</v>
      </c>
      <c r="B1835">
        <f>Prices!B1835</f>
        <v/>
      </c>
      <c r="C1835">
        <f>Prices!C1835</f>
        <v/>
      </c>
      <c r="D1835">
        <f>Prices!D1835</f>
        <v/>
      </c>
      <c r="E1835">
        <f>Prices!E1835</f>
        <v/>
      </c>
      <c r="F1835">
        <f>Prices!F1835</f>
        <v/>
      </c>
      <c r="G1835">
        <f>IF(AND(1833&gt;=16,TEXT(A1835,"yyyy-mm")&lt;&gt;TEXT(A1836,"yyyy-mm")),1,0)</f>
        <v/>
      </c>
      <c r="H1835">
        <f>IF(OR(H1834=1,G1835=1),1,0)</f>
        <v/>
      </c>
      <c r="I1835">
        <f>IF(H1834=0,1,SUMPRODUCT(J1834:N1834,B1835:F1835)+O1834*(1+0.00023125256064071564))</f>
        <v/>
      </c>
      <c r="J1835">
        <f>IF(G1835=1,0.2*R1835/B1835,J1834)</f>
        <v/>
      </c>
      <c r="K1835">
        <f>IF(G1835=1,0.2*R1835/C1835,K1834)</f>
        <v/>
      </c>
      <c r="L1835">
        <f>IF(G1835=1,0.2*R1835/D1835,L1834)</f>
        <v/>
      </c>
      <c r="M1835">
        <f>IF(G1835=1,0.2*R1835/E1835,M1834)</f>
        <v/>
      </c>
      <c r="N1835">
        <f>IF(G1835=1,0.2*R1835/F1835,N1834)</f>
        <v/>
      </c>
      <c r="O1835">
        <f>IF(G1835=1,R1835*(1-1.0),IF(H1834=0,1,O1834*(1+0.00023125256064071564)))</f>
        <v/>
      </c>
      <c r="P1835">
        <f>IF(G1835=1,IF(H1834=0,1,ABS(0.2-J1834*B1835/I1835)+ABS(0.2-K1834*C1835/I1835)+ABS(0.2-L1834*D1835/I1835)+ABS(0.2-M1834*E1835/I1835)+ABS(0.2-N1834*F1835/I1835)),0)</f>
        <v/>
      </c>
      <c r="Q1835">
        <f>P1835*0.0015</f>
        <v/>
      </c>
      <c r="R1835">
        <f>I1835*(1-Q1835)</f>
        <v/>
      </c>
      <c r="S1835">
        <f>R1835/R1834-1</f>
        <v/>
      </c>
      <c r="T1835">
        <f>MAX(T1834,R1835)</f>
        <v/>
      </c>
      <c r="U1835">
        <f>R1835/T1835-1</f>
        <v/>
      </c>
      <c r="V1835" t="n">
        <v>3.262944228955842</v>
      </c>
      <c r="W1835" s="5">
        <f>R1835-V1835</f>
        <v/>
      </c>
    </row>
    <row r="1836">
      <c r="A1836" s="3" t="n">
        <v>41134</v>
      </c>
      <c r="B1836">
        <f>Prices!B1836</f>
        <v/>
      </c>
      <c r="C1836">
        <f>Prices!C1836</f>
        <v/>
      </c>
      <c r="D1836">
        <f>Prices!D1836</f>
        <v/>
      </c>
      <c r="E1836">
        <f>Prices!E1836</f>
        <v/>
      </c>
      <c r="F1836">
        <f>Prices!F1836</f>
        <v/>
      </c>
      <c r="G1836">
        <f>IF(AND(1834&gt;=16,TEXT(A1836,"yyyy-mm")&lt;&gt;TEXT(A1837,"yyyy-mm")),1,0)</f>
        <v/>
      </c>
      <c r="H1836">
        <f>IF(OR(H1835=1,G1836=1),1,0)</f>
        <v/>
      </c>
      <c r="I1836">
        <f>IF(H1835=0,1,SUMPRODUCT(J1835:N1835,B1836:F1836)+O1835*(1+0.00023125256064071564))</f>
        <v/>
      </c>
      <c r="J1836">
        <f>IF(G1836=1,0.2*R1836/B1836,J1835)</f>
        <v/>
      </c>
      <c r="K1836">
        <f>IF(G1836=1,0.2*R1836/C1836,K1835)</f>
        <v/>
      </c>
      <c r="L1836">
        <f>IF(G1836=1,0.2*R1836/D1836,L1835)</f>
        <v/>
      </c>
      <c r="M1836">
        <f>IF(G1836=1,0.2*R1836/E1836,M1835)</f>
        <v/>
      </c>
      <c r="N1836">
        <f>IF(G1836=1,0.2*R1836/F1836,N1835)</f>
        <v/>
      </c>
      <c r="O1836">
        <f>IF(G1836=1,R1836*(1-1.0),IF(H1835=0,1,O1835*(1+0.00023125256064071564)))</f>
        <v/>
      </c>
      <c r="P1836">
        <f>IF(G1836=1,IF(H1835=0,1,ABS(0.2-J1835*B1836/I1836)+ABS(0.2-K1835*C1836/I1836)+ABS(0.2-L1835*D1836/I1836)+ABS(0.2-M1835*E1836/I1836)+ABS(0.2-N1835*F1836/I1836)),0)</f>
        <v/>
      </c>
      <c r="Q1836">
        <f>P1836*0.0015</f>
        <v/>
      </c>
      <c r="R1836">
        <f>I1836*(1-Q1836)</f>
        <v/>
      </c>
      <c r="S1836">
        <f>R1836/R1835-1</f>
        <v/>
      </c>
      <c r="T1836">
        <f>MAX(T1835,R1836)</f>
        <v/>
      </c>
      <c r="U1836">
        <f>R1836/T1836-1</f>
        <v/>
      </c>
      <c r="V1836" t="n">
        <v>3.278325323516245</v>
      </c>
      <c r="W1836" s="5">
        <f>R1836-V1836</f>
        <v/>
      </c>
    </row>
    <row r="1837">
      <c r="A1837" s="3" t="n">
        <v>41135</v>
      </c>
      <c r="B1837">
        <f>Prices!B1837</f>
        <v/>
      </c>
      <c r="C1837">
        <f>Prices!C1837</f>
        <v/>
      </c>
      <c r="D1837">
        <f>Prices!D1837</f>
        <v/>
      </c>
      <c r="E1837">
        <f>Prices!E1837</f>
        <v/>
      </c>
      <c r="F1837">
        <f>Prices!F1837</f>
        <v/>
      </c>
      <c r="G1837">
        <f>IF(AND(1835&gt;=16,TEXT(A1837,"yyyy-mm")&lt;&gt;TEXT(A1838,"yyyy-mm")),1,0)</f>
        <v/>
      </c>
      <c r="H1837">
        <f>IF(OR(H1836=1,G1837=1),1,0)</f>
        <v/>
      </c>
      <c r="I1837">
        <f>IF(H1836=0,1,SUMPRODUCT(J1836:N1836,B1837:F1837)+O1836*(1+0.00023125256064071564))</f>
        <v/>
      </c>
      <c r="J1837">
        <f>IF(G1837=1,0.2*R1837/B1837,J1836)</f>
        <v/>
      </c>
      <c r="K1837">
        <f>IF(G1837=1,0.2*R1837/C1837,K1836)</f>
        <v/>
      </c>
      <c r="L1837">
        <f>IF(G1837=1,0.2*R1837/D1837,L1836)</f>
        <v/>
      </c>
      <c r="M1837">
        <f>IF(G1837=1,0.2*R1837/E1837,M1836)</f>
        <v/>
      </c>
      <c r="N1837">
        <f>IF(G1837=1,0.2*R1837/F1837,N1836)</f>
        <v/>
      </c>
      <c r="O1837">
        <f>IF(G1837=1,R1837*(1-1.0),IF(H1836=0,1,O1836*(1+0.00023125256064071564)))</f>
        <v/>
      </c>
      <c r="P1837">
        <f>IF(G1837=1,IF(H1836=0,1,ABS(0.2-J1836*B1837/I1837)+ABS(0.2-K1836*C1837/I1837)+ABS(0.2-L1836*D1837/I1837)+ABS(0.2-M1836*E1837/I1837)+ABS(0.2-N1836*F1837/I1837)),0)</f>
        <v/>
      </c>
      <c r="Q1837">
        <f>P1837*0.0015</f>
        <v/>
      </c>
      <c r="R1837">
        <f>I1837*(1-Q1837)</f>
        <v/>
      </c>
      <c r="S1837">
        <f>R1837/R1836-1</f>
        <v/>
      </c>
      <c r="T1837">
        <f>MAX(T1836,R1837)</f>
        <v/>
      </c>
      <c r="U1837">
        <f>R1837/T1837-1</f>
        <v/>
      </c>
      <c r="V1837" t="n">
        <v>3.292611456720424</v>
      </c>
      <c r="W1837" s="5">
        <f>R1837-V1837</f>
        <v/>
      </c>
    </row>
    <row r="1838">
      <c r="A1838" s="3" t="n">
        <v>41137</v>
      </c>
      <c r="B1838">
        <f>Prices!B1838</f>
        <v/>
      </c>
      <c r="C1838">
        <f>Prices!C1838</f>
        <v/>
      </c>
      <c r="D1838">
        <f>Prices!D1838</f>
        <v/>
      </c>
      <c r="E1838">
        <f>Prices!E1838</f>
        <v/>
      </c>
      <c r="F1838">
        <f>Prices!F1838</f>
        <v/>
      </c>
      <c r="G1838">
        <f>IF(AND(1836&gt;=16,TEXT(A1838,"yyyy-mm")&lt;&gt;TEXT(A1839,"yyyy-mm")),1,0)</f>
        <v/>
      </c>
      <c r="H1838">
        <f>IF(OR(H1837=1,G1838=1),1,0)</f>
        <v/>
      </c>
      <c r="I1838">
        <f>IF(H1837=0,1,SUMPRODUCT(J1837:N1837,B1838:F1838)+O1837*(1+0.00023125256064071564))</f>
        <v/>
      </c>
      <c r="J1838">
        <f>IF(G1838=1,0.2*R1838/B1838,J1837)</f>
        <v/>
      </c>
      <c r="K1838">
        <f>IF(G1838=1,0.2*R1838/C1838,K1837)</f>
        <v/>
      </c>
      <c r="L1838">
        <f>IF(G1838=1,0.2*R1838/D1838,L1837)</f>
        <v/>
      </c>
      <c r="M1838">
        <f>IF(G1838=1,0.2*R1838/E1838,M1837)</f>
        <v/>
      </c>
      <c r="N1838">
        <f>IF(G1838=1,0.2*R1838/F1838,N1837)</f>
        <v/>
      </c>
      <c r="O1838">
        <f>IF(G1838=1,R1838*(1-1.0),IF(H1837=0,1,O1837*(1+0.00023125256064071564)))</f>
        <v/>
      </c>
      <c r="P1838">
        <f>IF(G1838=1,IF(H1837=0,1,ABS(0.2-J1837*B1838/I1838)+ABS(0.2-K1837*C1838/I1838)+ABS(0.2-L1837*D1838/I1838)+ABS(0.2-M1837*E1838/I1838)+ABS(0.2-N1837*F1838/I1838)),0)</f>
        <v/>
      </c>
      <c r="Q1838">
        <f>P1838*0.0015</f>
        <v/>
      </c>
      <c r="R1838">
        <f>I1838*(1-Q1838)</f>
        <v/>
      </c>
      <c r="S1838">
        <f>R1838/R1837-1</f>
        <v/>
      </c>
      <c r="T1838">
        <f>MAX(T1837,R1838)</f>
        <v/>
      </c>
      <c r="U1838">
        <f>R1838/T1838-1</f>
        <v/>
      </c>
      <c r="V1838" t="n">
        <v>3.280196591726204</v>
      </c>
      <c r="W1838" s="5">
        <f>R1838-V1838</f>
        <v/>
      </c>
    </row>
    <row r="1839">
      <c r="A1839" s="3" t="n">
        <v>41138</v>
      </c>
      <c r="B1839">
        <f>Prices!B1839</f>
        <v/>
      </c>
      <c r="C1839">
        <f>Prices!C1839</f>
        <v/>
      </c>
      <c r="D1839">
        <f>Prices!D1839</f>
        <v/>
      </c>
      <c r="E1839">
        <f>Prices!E1839</f>
        <v/>
      </c>
      <c r="F1839">
        <f>Prices!F1839</f>
        <v/>
      </c>
      <c r="G1839">
        <f>IF(AND(1837&gt;=16,TEXT(A1839,"yyyy-mm")&lt;&gt;TEXT(A1840,"yyyy-mm")),1,0)</f>
        <v/>
      </c>
      <c r="H1839">
        <f>IF(OR(H1838=1,G1839=1),1,0)</f>
        <v/>
      </c>
      <c r="I1839">
        <f>IF(H1838=0,1,SUMPRODUCT(J1838:N1838,B1839:F1839)+O1838*(1+0.00023125256064071564))</f>
        <v/>
      </c>
      <c r="J1839">
        <f>IF(G1839=1,0.2*R1839/B1839,J1838)</f>
        <v/>
      </c>
      <c r="K1839">
        <f>IF(G1839=1,0.2*R1839/C1839,K1838)</f>
        <v/>
      </c>
      <c r="L1839">
        <f>IF(G1839=1,0.2*R1839/D1839,L1838)</f>
        <v/>
      </c>
      <c r="M1839">
        <f>IF(G1839=1,0.2*R1839/E1839,M1838)</f>
        <v/>
      </c>
      <c r="N1839">
        <f>IF(G1839=1,0.2*R1839/F1839,N1838)</f>
        <v/>
      </c>
      <c r="O1839">
        <f>IF(G1839=1,R1839*(1-1.0),IF(H1838=0,1,O1838*(1+0.00023125256064071564)))</f>
        <v/>
      </c>
      <c r="P1839">
        <f>IF(G1839=1,IF(H1838=0,1,ABS(0.2-J1838*B1839/I1839)+ABS(0.2-K1838*C1839/I1839)+ABS(0.2-L1838*D1839/I1839)+ABS(0.2-M1838*E1839/I1839)+ABS(0.2-N1838*F1839/I1839)),0)</f>
        <v/>
      </c>
      <c r="Q1839">
        <f>P1839*0.0015</f>
        <v/>
      </c>
      <c r="R1839">
        <f>I1839*(1-Q1839)</f>
        <v/>
      </c>
      <c r="S1839">
        <f>R1839/R1838-1</f>
        <v/>
      </c>
      <c r="T1839">
        <f>MAX(T1838,R1839)</f>
        <v/>
      </c>
      <c r="U1839">
        <f>R1839/T1839-1</f>
        <v/>
      </c>
      <c r="V1839" t="n">
        <v>3.286932017576764</v>
      </c>
      <c r="W1839" s="5">
        <f>R1839-V1839</f>
        <v/>
      </c>
    </row>
    <row r="1840">
      <c r="A1840" s="3" t="n">
        <v>41142</v>
      </c>
      <c r="B1840">
        <f>Prices!B1840</f>
        <v/>
      </c>
      <c r="C1840">
        <f>Prices!C1840</f>
        <v/>
      </c>
      <c r="D1840">
        <f>Prices!D1840</f>
        <v/>
      </c>
      <c r="E1840">
        <f>Prices!E1840</f>
        <v/>
      </c>
      <c r="F1840">
        <f>Prices!F1840</f>
        <v/>
      </c>
      <c r="G1840">
        <f>IF(AND(1838&gt;=16,TEXT(A1840,"yyyy-mm")&lt;&gt;TEXT(A1841,"yyyy-mm")),1,0)</f>
        <v/>
      </c>
      <c r="H1840">
        <f>IF(OR(H1839=1,G1840=1),1,0)</f>
        <v/>
      </c>
      <c r="I1840">
        <f>IF(H1839=0,1,SUMPRODUCT(J1839:N1839,B1840:F1840)+O1839*(1+0.00023125256064071564))</f>
        <v/>
      </c>
      <c r="J1840">
        <f>IF(G1840=1,0.2*R1840/B1840,J1839)</f>
        <v/>
      </c>
      <c r="K1840">
        <f>IF(G1840=1,0.2*R1840/C1840,K1839)</f>
        <v/>
      </c>
      <c r="L1840">
        <f>IF(G1840=1,0.2*R1840/D1840,L1839)</f>
        <v/>
      </c>
      <c r="M1840">
        <f>IF(G1840=1,0.2*R1840/E1840,M1839)</f>
        <v/>
      </c>
      <c r="N1840">
        <f>IF(G1840=1,0.2*R1840/F1840,N1839)</f>
        <v/>
      </c>
      <c r="O1840">
        <f>IF(G1840=1,R1840*(1-1.0),IF(H1839=0,1,O1839*(1+0.00023125256064071564)))</f>
        <v/>
      </c>
      <c r="P1840">
        <f>IF(G1840=1,IF(H1839=0,1,ABS(0.2-J1839*B1840/I1840)+ABS(0.2-K1839*C1840/I1840)+ABS(0.2-L1839*D1840/I1840)+ABS(0.2-M1839*E1840/I1840)+ABS(0.2-N1839*F1840/I1840)),0)</f>
        <v/>
      </c>
      <c r="Q1840">
        <f>P1840*0.0015</f>
        <v/>
      </c>
      <c r="R1840">
        <f>I1840*(1-Q1840)</f>
        <v/>
      </c>
      <c r="S1840">
        <f>R1840/R1839-1</f>
        <v/>
      </c>
      <c r="T1840">
        <f>MAX(T1839,R1840)</f>
        <v/>
      </c>
      <c r="U1840">
        <f>R1840/T1840-1</f>
        <v/>
      </c>
      <c r="V1840" t="n">
        <v>3.303446749482165</v>
      </c>
      <c r="W1840" s="5">
        <f>R1840-V1840</f>
        <v/>
      </c>
    </row>
    <row r="1841">
      <c r="A1841" s="3" t="n">
        <v>41143</v>
      </c>
      <c r="B1841">
        <f>Prices!B1841</f>
        <v/>
      </c>
      <c r="C1841">
        <f>Prices!C1841</f>
        <v/>
      </c>
      <c r="D1841">
        <f>Prices!D1841</f>
        <v/>
      </c>
      <c r="E1841">
        <f>Prices!E1841</f>
        <v/>
      </c>
      <c r="F1841">
        <f>Prices!F1841</f>
        <v/>
      </c>
      <c r="G1841">
        <f>IF(AND(1839&gt;=16,TEXT(A1841,"yyyy-mm")&lt;&gt;TEXT(A1842,"yyyy-mm")),1,0)</f>
        <v/>
      </c>
      <c r="H1841">
        <f>IF(OR(H1840=1,G1841=1),1,0)</f>
        <v/>
      </c>
      <c r="I1841">
        <f>IF(H1840=0,1,SUMPRODUCT(J1840:N1840,B1841:F1841)+O1840*(1+0.00023125256064071564))</f>
        <v/>
      </c>
      <c r="J1841">
        <f>IF(G1841=1,0.2*R1841/B1841,J1840)</f>
        <v/>
      </c>
      <c r="K1841">
        <f>IF(G1841=1,0.2*R1841/C1841,K1840)</f>
        <v/>
      </c>
      <c r="L1841">
        <f>IF(G1841=1,0.2*R1841/D1841,L1840)</f>
        <v/>
      </c>
      <c r="M1841">
        <f>IF(G1841=1,0.2*R1841/E1841,M1840)</f>
        <v/>
      </c>
      <c r="N1841">
        <f>IF(G1841=1,0.2*R1841/F1841,N1840)</f>
        <v/>
      </c>
      <c r="O1841">
        <f>IF(G1841=1,R1841*(1-1.0),IF(H1840=0,1,O1840*(1+0.00023125256064071564)))</f>
        <v/>
      </c>
      <c r="P1841">
        <f>IF(G1841=1,IF(H1840=0,1,ABS(0.2-J1840*B1841/I1841)+ABS(0.2-K1840*C1841/I1841)+ABS(0.2-L1840*D1841/I1841)+ABS(0.2-M1840*E1841/I1841)+ABS(0.2-N1840*F1841/I1841)),0)</f>
        <v/>
      </c>
      <c r="Q1841">
        <f>P1841*0.0015</f>
        <v/>
      </c>
      <c r="R1841">
        <f>I1841*(1-Q1841)</f>
        <v/>
      </c>
      <c r="S1841">
        <f>R1841/R1840-1</f>
        <v/>
      </c>
      <c r="T1841">
        <f>MAX(T1840,R1841)</f>
        <v/>
      </c>
      <c r="U1841">
        <f>R1841/T1841-1</f>
        <v/>
      </c>
      <c r="V1841" t="n">
        <v>3.298850266232467</v>
      </c>
      <c r="W1841" s="5">
        <f>R1841-V1841</f>
        <v/>
      </c>
    </row>
    <row r="1842">
      <c r="A1842" s="3" t="n">
        <v>41144</v>
      </c>
      <c r="B1842">
        <f>Prices!B1842</f>
        <v/>
      </c>
      <c r="C1842">
        <f>Prices!C1842</f>
        <v/>
      </c>
      <c r="D1842">
        <f>Prices!D1842</f>
        <v/>
      </c>
      <c r="E1842">
        <f>Prices!E1842</f>
        <v/>
      </c>
      <c r="F1842">
        <f>Prices!F1842</f>
        <v/>
      </c>
      <c r="G1842">
        <f>IF(AND(1840&gt;=16,TEXT(A1842,"yyyy-mm")&lt;&gt;TEXT(A1843,"yyyy-mm")),1,0)</f>
        <v/>
      </c>
      <c r="H1842">
        <f>IF(OR(H1841=1,G1842=1),1,0)</f>
        <v/>
      </c>
      <c r="I1842">
        <f>IF(H1841=0,1,SUMPRODUCT(J1841:N1841,B1842:F1842)+O1841*(1+0.00023125256064071564))</f>
        <v/>
      </c>
      <c r="J1842">
        <f>IF(G1842=1,0.2*R1842/B1842,J1841)</f>
        <v/>
      </c>
      <c r="K1842">
        <f>IF(G1842=1,0.2*R1842/C1842,K1841)</f>
        <v/>
      </c>
      <c r="L1842">
        <f>IF(G1842=1,0.2*R1842/D1842,L1841)</f>
        <v/>
      </c>
      <c r="M1842">
        <f>IF(G1842=1,0.2*R1842/E1842,M1841)</f>
        <v/>
      </c>
      <c r="N1842">
        <f>IF(G1842=1,0.2*R1842/F1842,N1841)</f>
        <v/>
      </c>
      <c r="O1842">
        <f>IF(G1842=1,R1842*(1-1.0),IF(H1841=0,1,O1841*(1+0.00023125256064071564)))</f>
        <v/>
      </c>
      <c r="P1842">
        <f>IF(G1842=1,IF(H1841=0,1,ABS(0.2-J1841*B1842/I1842)+ABS(0.2-K1841*C1842/I1842)+ABS(0.2-L1841*D1842/I1842)+ABS(0.2-M1841*E1842/I1842)+ABS(0.2-N1841*F1842/I1842)),0)</f>
        <v/>
      </c>
      <c r="Q1842">
        <f>P1842*0.0015</f>
        <v/>
      </c>
      <c r="R1842">
        <f>I1842*(1-Q1842)</f>
        <v/>
      </c>
      <c r="S1842">
        <f>R1842/R1841-1</f>
        <v/>
      </c>
      <c r="T1842">
        <f>MAX(T1841,R1842)</f>
        <v/>
      </c>
      <c r="U1842">
        <f>R1842/T1842-1</f>
        <v/>
      </c>
      <c r="V1842" t="n">
        <v>3.30558022629592</v>
      </c>
      <c r="W1842" s="5">
        <f>R1842-V1842</f>
        <v/>
      </c>
    </row>
    <row r="1843">
      <c r="A1843" s="3" t="n">
        <v>41145</v>
      </c>
      <c r="B1843">
        <f>Prices!B1843</f>
        <v/>
      </c>
      <c r="C1843">
        <f>Prices!C1843</f>
        <v/>
      </c>
      <c r="D1843">
        <f>Prices!D1843</f>
        <v/>
      </c>
      <c r="E1843">
        <f>Prices!E1843</f>
        <v/>
      </c>
      <c r="F1843">
        <f>Prices!F1843</f>
        <v/>
      </c>
      <c r="G1843">
        <f>IF(AND(1841&gt;=16,TEXT(A1843,"yyyy-mm")&lt;&gt;TEXT(A1844,"yyyy-mm")),1,0)</f>
        <v/>
      </c>
      <c r="H1843">
        <f>IF(OR(H1842=1,G1843=1),1,0)</f>
        <v/>
      </c>
      <c r="I1843">
        <f>IF(H1842=0,1,SUMPRODUCT(J1842:N1842,B1843:F1843)+O1842*(1+0.00023125256064071564))</f>
        <v/>
      </c>
      <c r="J1843">
        <f>IF(G1843=1,0.2*R1843/B1843,J1842)</f>
        <v/>
      </c>
      <c r="K1843">
        <f>IF(G1843=1,0.2*R1843/C1843,K1842)</f>
        <v/>
      </c>
      <c r="L1843">
        <f>IF(G1843=1,0.2*R1843/D1843,L1842)</f>
        <v/>
      </c>
      <c r="M1843">
        <f>IF(G1843=1,0.2*R1843/E1843,M1842)</f>
        <v/>
      </c>
      <c r="N1843">
        <f>IF(G1843=1,0.2*R1843/F1843,N1842)</f>
        <v/>
      </c>
      <c r="O1843">
        <f>IF(G1843=1,R1843*(1-1.0),IF(H1842=0,1,O1842*(1+0.00023125256064071564)))</f>
        <v/>
      </c>
      <c r="P1843">
        <f>IF(G1843=1,IF(H1842=0,1,ABS(0.2-J1842*B1843/I1843)+ABS(0.2-K1842*C1843/I1843)+ABS(0.2-L1842*D1843/I1843)+ABS(0.2-M1842*E1843/I1843)+ABS(0.2-N1842*F1843/I1843)),0)</f>
        <v/>
      </c>
      <c r="Q1843">
        <f>P1843*0.0015</f>
        <v/>
      </c>
      <c r="R1843">
        <f>I1843*(1-Q1843)</f>
        <v/>
      </c>
      <c r="S1843">
        <f>R1843/R1842-1</f>
        <v/>
      </c>
      <c r="T1843">
        <f>MAX(T1842,R1843)</f>
        <v/>
      </c>
      <c r="U1843">
        <f>R1843/T1843-1</f>
        <v/>
      </c>
      <c r="V1843" t="n">
        <v>3.293628688326976</v>
      </c>
      <c r="W1843" s="5">
        <f>R1843-V1843</f>
        <v/>
      </c>
    </row>
    <row r="1844">
      <c r="A1844" s="3" t="n">
        <v>41148</v>
      </c>
      <c r="B1844">
        <f>Prices!B1844</f>
        <v/>
      </c>
      <c r="C1844">
        <f>Prices!C1844</f>
        <v/>
      </c>
      <c r="D1844">
        <f>Prices!D1844</f>
        <v/>
      </c>
      <c r="E1844">
        <f>Prices!E1844</f>
        <v/>
      </c>
      <c r="F1844">
        <f>Prices!F1844</f>
        <v/>
      </c>
      <c r="G1844">
        <f>IF(AND(1842&gt;=16,TEXT(A1844,"yyyy-mm")&lt;&gt;TEXT(A1845,"yyyy-mm")),1,0)</f>
        <v/>
      </c>
      <c r="H1844">
        <f>IF(OR(H1843=1,G1844=1),1,0)</f>
        <v/>
      </c>
      <c r="I1844">
        <f>IF(H1843=0,1,SUMPRODUCT(J1843:N1843,B1844:F1844)+O1843*(1+0.00023125256064071564))</f>
        <v/>
      </c>
      <c r="J1844">
        <f>IF(G1844=1,0.2*R1844/B1844,J1843)</f>
        <v/>
      </c>
      <c r="K1844">
        <f>IF(G1844=1,0.2*R1844/C1844,K1843)</f>
        <v/>
      </c>
      <c r="L1844">
        <f>IF(G1844=1,0.2*R1844/D1844,L1843)</f>
        <v/>
      </c>
      <c r="M1844">
        <f>IF(G1844=1,0.2*R1844/E1844,M1843)</f>
        <v/>
      </c>
      <c r="N1844">
        <f>IF(G1844=1,0.2*R1844/F1844,N1843)</f>
        <v/>
      </c>
      <c r="O1844">
        <f>IF(G1844=1,R1844*(1-1.0),IF(H1843=0,1,O1843*(1+0.00023125256064071564)))</f>
        <v/>
      </c>
      <c r="P1844">
        <f>IF(G1844=1,IF(H1843=0,1,ABS(0.2-J1843*B1844/I1844)+ABS(0.2-K1843*C1844/I1844)+ABS(0.2-L1843*D1844/I1844)+ABS(0.2-M1843*E1844/I1844)+ABS(0.2-N1843*F1844/I1844)),0)</f>
        <v/>
      </c>
      <c r="Q1844">
        <f>P1844*0.0015</f>
        <v/>
      </c>
      <c r="R1844">
        <f>I1844*(1-Q1844)</f>
        <v/>
      </c>
      <c r="S1844">
        <f>R1844/R1843-1</f>
        <v/>
      </c>
      <c r="T1844">
        <f>MAX(T1843,R1844)</f>
        <v/>
      </c>
      <c r="U1844">
        <f>R1844/T1844-1</f>
        <v/>
      </c>
      <c r="V1844" t="n">
        <v>3.26919768190433</v>
      </c>
      <c r="W1844" s="5">
        <f>R1844-V1844</f>
        <v/>
      </c>
    </row>
    <row r="1845">
      <c r="A1845" s="3" t="n">
        <v>41149</v>
      </c>
      <c r="B1845">
        <f>Prices!B1845</f>
        <v/>
      </c>
      <c r="C1845">
        <f>Prices!C1845</f>
        <v/>
      </c>
      <c r="D1845">
        <f>Prices!D1845</f>
        <v/>
      </c>
      <c r="E1845">
        <f>Prices!E1845</f>
        <v/>
      </c>
      <c r="F1845">
        <f>Prices!F1845</f>
        <v/>
      </c>
      <c r="G1845">
        <f>IF(AND(1843&gt;=16,TEXT(A1845,"yyyy-mm")&lt;&gt;TEXT(A1846,"yyyy-mm")),1,0)</f>
        <v/>
      </c>
      <c r="H1845">
        <f>IF(OR(H1844=1,G1845=1),1,0)</f>
        <v/>
      </c>
      <c r="I1845">
        <f>IF(H1844=0,1,SUMPRODUCT(J1844:N1844,B1845:F1845)+O1844*(1+0.00023125256064071564))</f>
        <v/>
      </c>
      <c r="J1845">
        <f>IF(G1845=1,0.2*R1845/B1845,J1844)</f>
        <v/>
      </c>
      <c r="K1845">
        <f>IF(G1845=1,0.2*R1845/C1845,K1844)</f>
        <v/>
      </c>
      <c r="L1845">
        <f>IF(G1845=1,0.2*R1845/D1845,L1844)</f>
        <v/>
      </c>
      <c r="M1845">
        <f>IF(G1845=1,0.2*R1845/E1845,M1844)</f>
        <v/>
      </c>
      <c r="N1845">
        <f>IF(G1845=1,0.2*R1845/F1845,N1844)</f>
        <v/>
      </c>
      <c r="O1845">
        <f>IF(G1845=1,R1845*(1-1.0),IF(H1844=0,1,O1844*(1+0.00023125256064071564)))</f>
        <v/>
      </c>
      <c r="P1845">
        <f>IF(G1845=1,IF(H1844=0,1,ABS(0.2-J1844*B1845/I1845)+ABS(0.2-K1844*C1845/I1845)+ABS(0.2-L1844*D1845/I1845)+ABS(0.2-M1844*E1845/I1845)+ABS(0.2-N1844*F1845/I1845)),0)</f>
        <v/>
      </c>
      <c r="Q1845">
        <f>P1845*0.0015</f>
        <v/>
      </c>
      <c r="R1845">
        <f>I1845*(1-Q1845)</f>
        <v/>
      </c>
      <c r="S1845">
        <f>R1845/R1844-1</f>
        <v/>
      </c>
      <c r="T1845">
        <f>MAX(T1844,R1845)</f>
        <v/>
      </c>
      <c r="U1845">
        <f>R1845/T1845-1</f>
        <v/>
      </c>
      <c r="V1845" t="n">
        <v>3.248414863323661</v>
      </c>
      <c r="W1845" s="5">
        <f>R1845-V1845</f>
        <v/>
      </c>
    </row>
    <row r="1846">
      <c r="A1846" s="3" t="n">
        <v>41150</v>
      </c>
      <c r="B1846">
        <f>Prices!B1846</f>
        <v/>
      </c>
      <c r="C1846">
        <f>Prices!C1846</f>
        <v/>
      </c>
      <c r="D1846">
        <f>Prices!D1846</f>
        <v/>
      </c>
      <c r="E1846">
        <f>Prices!E1846</f>
        <v/>
      </c>
      <c r="F1846">
        <f>Prices!F1846</f>
        <v/>
      </c>
      <c r="G1846">
        <f>IF(AND(1844&gt;=16,TEXT(A1846,"yyyy-mm")&lt;&gt;TEXT(A1847,"yyyy-mm")),1,0)</f>
        <v/>
      </c>
      <c r="H1846">
        <f>IF(OR(H1845=1,G1846=1),1,0)</f>
        <v/>
      </c>
      <c r="I1846">
        <f>IF(H1845=0,1,SUMPRODUCT(J1845:N1845,B1846:F1846)+O1845*(1+0.00023125256064071564))</f>
        <v/>
      </c>
      <c r="J1846">
        <f>IF(G1846=1,0.2*R1846/B1846,J1845)</f>
        <v/>
      </c>
      <c r="K1846">
        <f>IF(G1846=1,0.2*R1846/C1846,K1845)</f>
        <v/>
      </c>
      <c r="L1846">
        <f>IF(G1846=1,0.2*R1846/D1846,L1845)</f>
        <v/>
      </c>
      <c r="M1846">
        <f>IF(G1846=1,0.2*R1846/E1846,M1845)</f>
        <v/>
      </c>
      <c r="N1846">
        <f>IF(G1846=1,0.2*R1846/F1846,N1845)</f>
        <v/>
      </c>
      <c r="O1846">
        <f>IF(G1846=1,R1846*(1-1.0),IF(H1845=0,1,O1845*(1+0.00023125256064071564)))</f>
        <v/>
      </c>
      <c r="P1846">
        <f>IF(G1846=1,IF(H1845=0,1,ABS(0.2-J1845*B1846/I1846)+ABS(0.2-K1845*C1846/I1846)+ABS(0.2-L1845*D1846/I1846)+ABS(0.2-M1845*E1846/I1846)+ABS(0.2-N1845*F1846/I1846)),0)</f>
        <v/>
      </c>
      <c r="Q1846">
        <f>P1846*0.0015</f>
        <v/>
      </c>
      <c r="R1846">
        <f>I1846*(1-Q1846)</f>
        <v/>
      </c>
      <c r="S1846">
        <f>R1846/R1845-1</f>
        <v/>
      </c>
      <c r="T1846">
        <f>MAX(T1845,R1846)</f>
        <v/>
      </c>
      <c r="U1846">
        <f>R1846/T1846-1</f>
        <v/>
      </c>
      <c r="V1846" t="n">
        <v>3.225433917008076</v>
      </c>
      <c r="W1846" s="5">
        <f>R1846-V1846</f>
        <v/>
      </c>
    </row>
    <row r="1847">
      <c r="A1847" s="3" t="n">
        <v>41151</v>
      </c>
      <c r="B1847">
        <f>Prices!B1847</f>
        <v/>
      </c>
      <c r="C1847">
        <f>Prices!C1847</f>
        <v/>
      </c>
      <c r="D1847">
        <f>Prices!D1847</f>
        <v/>
      </c>
      <c r="E1847">
        <f>Prices!E1847</f>
        <v/>
      </c>
      <c r="F1847">
        <f>Prices!F1847</f>
        <v/>
      </c>
      <c r="G1847">
        <f>IF(AND(1845&gt;=16,TEXT(A1847,"yyyy-mm")&lt;&gt;TEXT(A1848,"yyyy-mm")),1,0)</f>
        <v/>
      </c>
      <c r="H1847">
        <f>IF(OR(H1846=1,G1847=1),1,0)</f>
        <v/>
      </c>
      <c r="I1847">
        <f>IF(H1846=0,1,SUMPRODUCT(J1846:N1846,B1847:F1847)+O1846*(1+0.00023125256064071564))</f>
        <v/>
      </c>
      <c r="J1847">
        <f>IF(G1847=1,0.2*R1847/B1847,J1846)</f>
        <v/>
      </c>
      <c r="K1847">
        <f>IF(G1847=1,0.2*R1847/C1847,K1846)</f>
        <v/>
      </c>
      <c r="L1847">
        <f>IF(G1847=1,0.2*R1847/D1847,L1846)</f>
        <v/>
      </c>
      <c r="M1847">
        <f>IF(G1847=1,0.2*R1847/E1847,M1846)</f>
        <v/>
      </c>
      <c r="N1847">
        <f>IF(G1847=1,0.2*R1847/F1847,N1846)</f>
        <v/>
      </c>
      <c r="O1847">
        <f>IF(G1847=1,R1847*(1-1.0),IF(H1846=0,1,O1846*(1+0.00023125256064071564)))</f>
        <v/>
      </c>
      <c r="P1847">
        <f>IF(G1847=1,IF(H1846=0,1,ABS(0.2-J1846*B1847/I1847)+ABS(0.2-K1846*C1847/I1847)+ABS(0.2-L1846*D1847/I1847)+ABS(0.2-M1846*E1847/I1847)+ABS(0.2-N1846*F1847/I1847)),0)</f>
        <v/>
      </c>
      <c r="Q1847">
        <f>P1847*0.0015</f>
        <v/>
      </c>
      <c r="R1847">
        <f>I1847*(1-Q1847)</f>
        <v/>
      </c>
      <c r="S1847">
        <f>R1847/R1846-1</f>
        <v/>
      </c>
      <c r="T1847">
        <f>MAX(T1846,R1847)</f>
        <v/>
      </c>
      <c r="U1847">
        <f>R1847/T1847-1</f>
        <v/>
      </c>
      <c r="V1847" t="n">
        <v>3.237684096058256</v>
      </c>
      <c r="W1847" s="5">
        <f>R1847-V1847</f>
        <v/>
      </c>
    </row>
    <row r="1848">
      <c r="A1848" s="3" t="n">
        <v>41152</v>
      </c>
      <c r="B1848">
        <f>Prices!B1848</f>
        <v/>
      </c>
      <c r="C1848">
        <f>Prices!C1848</f>
        <v/>
      </c>
      <c r="D1848">
        <f>Prices!D1848</f>
        <v/>
      </c>
      <c r="E1848">
        <f>Prices!E1848</f>
        <v/>
      </c>
      <c r="F1848">
        <f>Prices!F1848</f>
        <v/>
      </c>
      <c r="G1848">
        <f>IF(AND(1846&gt;=16,TEXT(A1848,"yyyy-mm")&lt;&gt;TEXT(A1849,"yyyy-mm")),1,0)</f>
        <v/>
      </c>
      <c r="H1848">
        <f>IF(OR(H1847=1,G1848=1),1,0)</f>
        <v/>
      </c>
      <c r="I1848">
        <f>IF(H1847=0,1,SUMPRODUCT(J1847:N1847,B1848:F1848)+O1847*(1+0.00023125256064071564))</f>
        <v/>
      </c>
      <c r="J1848">
        <f>IF(G1848=1,0.2*R1848/B1848,J1847)</f>
        <v/>
      </c>
      <c r="K1848">
        <f>IF(G1848=1,0.2*R1848/C1848,K1847)</f>
        <v/>
      </c>
      <c r="L1848">
        <f>IF(G1848=1,0.2*R1848/D1848,L1847)</f>
        <v/>
      </c>
      <c r="M1848">
        <f>IF(G1848=1,0.2*R1848/E1848,M1847)</f>
        <v/>
      </c>
      <c r="N1848">
        <f>IF(G1848=1,0.2*R1848/F1848,N1847)</f>
        <v/>
      </c>
      <c r="O1848">
        <f>IF(G1848=1,R1848*(1-1.0),IF(H1847=0,1,O1847*(1+0.00023125256064071564)))</f>
        <v/>
      </c>
      <c r="P1848">
        <f>IF(G1848=1,IF(H1847=0,1,ABS(0.2-J1847*B1848/I1848)+ABS(0.2-K1847*C1848/I1848)+ABS(0.2-L1847*D1848/I1848)+ABS(0.2-M1847*E1848/I1848)+ABS(0.2-N1847*F1848/I1848)),0)</f>
        <v/>
      </c>
      <c r="Q1848">
        <f>P1848*0.0015</f>
        <v/>
      </c>
      <c r="R1848">
        <f>I1848*(1-Q1848)</f>
        <v/>
      </c>
      <c r="S1848">
        <f>R1848/R1847-1</f>
        <v/>
      </c>
      <c r="T1848">
        <f>MAX(T1847,R1848)</f>
        <v/>
      </c>
      <c r="U1848">
        <f>R1848/T1848-1</f>
        <v/>
      </c>
      <c r="V1848" t="n">
        <v>3.217253241608359</v>
      </c>
      <c r="W1848" s="5">
        <f>R1848-V1848</f>
        <v/>
      </c>
    </row>
    <row r="1849">
      <c r="A1849" s="3" t="n">
        <v>41155</v>
      </c>
      <c r="B1849">
        <f>Prices!B1849</f>
        <v/>
      </c>
      <c r="C1849">
        <f>Prices!C1849</f>
        <v/>
      </c>
      <c r="D1849">
        <f>Prices!D1849</f>
        <v/>
      </c>
      <c r="E1849">
        <f>Prices!E1849</f>
        <v/>
      </c>
      <c r="F1849">
        <f>Prices!F1849</f>
        <v/>
      </c>
      <c r="G1849">
        <f>IF(AND(1847&gt;=16,TEXT(A1849,"yyyy-mm")&lt;&gt;TEXT(A1850,"yyyy-mm")),1,0)</f>
        <v/>
      </c>
      <c r="H1849">
        <f>IF(OR(H1848=1,G1849=1),1,0)</f>
        <v/>
      </c>
      <c r="I1849">
        <f>IF(H1848=0,1,SUMPRODUCT(J1848:N1848,B1849:F1849)+O1848*(1+0.00023125256064071564))</f>
        <v/>
      </c>
      <c r="J1849">
        <f>IF(G1849=1,0.2*R1849/B1849,J1848)</f>
        <v/>
      </c>
      <c r="K1849">
        <f>IF(G1849=1,0.2*R1849/C1849,K1848)</f>
        <v/>
      </c>
      <c r="L1849">
        <f>IF(G1849=1,0.2*R1849/D1849,L1848)</f>
        <v/>
      </c>
      <c r="M1849">
        <f>IF(G1849=1,0.2*R1849/E1849,M1848)</f>
        <v/>
      </c>
      <c r="N1849">
        <f>IF(G1849=1,0.2*R1849/F1849,N1848)</f>
        <v/>
      </c>
      <c r="O1849">
        <f>IF(G1849=1,R1849*(1-1.0),IF(H1848=0,1,O1848*(1+0.00023125256064071564)))</f>
        <v/>
      </c>
      <c r="P1849">
        <f>IF(G1849=1,IF(H1848=0,1,ABS(0.2-J1848*B1849/I1849)+ABS(0.2-K1848*C1849/I1849)+ABS(0.2-L1848*D1849/I1849)+ABS(0.2-M1848*E1849/I1849)+ABS(0.2-N1848*F1849/I1849)),0)</f>
        <v/>
      </c>
      <c r="Q1849">
        <f>P1849*0.0015</f>
        <v/>
      </c>
      <c r="R1849">
        <f>I1849*(1-Q1849)</f>
        <v/>
      </c>
      <c r="S1849">
        <f>R1849/R1848-1</f>
        <v/>
      </c>
      <c r="T1849">
        <f>MAX(T1848,R1849)</f>
        <v/>
      </c>
      <c r="U1849">
        <f>R1849/T1849-1</f>
        <v/>
      </c>
      <c r="V1849" t="n">
        <v>3.220229373945643</v>
      </c>
      <c r="W1849" s="5">
        <f>R1849-V1849</f>
        <v/>
      </c>
    </row>
    <row r="1850">
      <c r="A1850" s="3" t="n">
        <v>41156</v>
      </c>
      <c r="B1850">
        <f>Prices!B1850</f>
        <v/>
      </c>
      <c r="C1850">
        <f>Prices!C1850</f>
        <v/>
      </c>
      <c r="D1850">
        <f>Prices!D1850</f>
        <v/>
      </c>
      <c r="E1850">
        <f>Prices!E1850</f>
        <v/>
      </c>
      <c r="F1850">
        <f>Prices!F1850</f>
        <v/>
      </c>
      <c r="G1850">
        <f>IF(AND(1848&gt;=16,TEXT(A1850,"yyyy-mm")&lt;&gt;TEXT(A1851,"yyyy-mm")),1,0)</f>
        <v/>
      </c>
      <c r="H1850">
        <f>IF(OR(H1849=1,G1850=1),1,0)</f>
        <v/>
      </c>
      <c r="I1850">
        <f>IF(H1849=0,1,SUMPRODUCT(J1849:N1849,B1850:F1850)+O1849*(1+0.00023125256064071564))</f>
        <v/>
      </c>
      <c r="J1850">
        <f>IF(G1850=1,0.2*R1850/B1850,J1849)</f>
        <v/>
      </c>
      <c r="K1850">
        <f>IF(G1850=1,0.2*R1850/C1850,K1849)</f>
        <v/>
      </c>
      <c r="L1850">
        <f>IF(G1850=1,0.2*R1850/D1850,L1849)</f>
        <v/>
      </c>
      <c r="M1850">
        <f>IF(G1850=1,0.2*R1850/E1850,M1849)</f>
        <v/>
      </c>
      <c r="N1850">
        <f>IF(G1850=1,0.2*R1850/F1850,N1849)</f>
        <v/>
      </c>
      <c r="O1850">
        <f>IF(G1850=1,R1850*(1-1.0),IF(H1849=0,1,O1849*(1+0.00023125256064071564)))</f>
        <v/>
      </c>
      <c r="P1850">
        <f>IF(G1850=1,IF(H1849=0,1,ABS(0.2-J1849*B1850/I1850)+ABS(0.2-K1849*C1850/I1850)+ABS(0.2-L1849*D1850/I1850)+ABS(0.2-M1849*E1850/I1850)+ABS(0.2-N1849*F1850/I1850)),0)</f>
        <v/>
      </c>
      <c r="Q1850">
        <f>P1850*0.0015</f>
        <v/>
      </c>
      <c r="R1850">
        <f>I1850*(1-Q1850)</f>
        <v/>
      </c>
      <c r="S1850">
        <f>R1850/R1849-1</f>
        <v/>
      </c>
      <c r="T1850">
        <f>MAX(T1849,R1850)</f>
        <v/>
      </c>
      <c r="U1850">
        <f>R1850/T1850-1</f>
        <v/>
      </c>
      <c r="V1850" t="n">
        <v>3.240484000790262</v>
      </c>
      <c r="W1850" s="5">
        <f>R1850-V1850</f>
        <v/>
      </c>
    </row>
    <row r="1851">
      <c r="A1851" s="3" t="n">
        <v>41157</v>
      </c>
      <c r="B1851">
        <f>Prices!B1851</f>
        <v/>
      </c>
      <c r="C1851">
        <f>Prices!C1851</f>
        <v/>
      </c>
      <c r="D1851">
        <f>Prices!D1851</f>
        <v/>
      </c>
      <c r="E1851">
        <f>Prices!E1851</f>
        <v/>
      </c>
      <c r="F1851">
        <f>Prices!F1851</f>
        <v/>
      </c>
      <c r="G1851">
        <f>IF(AND(1849&gt;=16,TEXT(A1851,"yyyy-mm")&lt;&gt;TEXT(A1852,"yyyy-mm")),1,0)</f>
        <v/>
      </c>
      <c r="H1851">
        <f>IF(OR(H1850=1,G1851=1),1,0)</f>
        <v/>
      </c>
      <c r="I1851">
        <f>IF(H1850=0,1,SUMPRODUCT(J1850:N1850,B1851:F1851)+O1850*(1+0.00023125256064071564))</f>
        <v/>
      </c>
      <c r="J1851">
        <f>IF(G1851=1,0.2*R1851/B1851,J1850)</f>
        <v/>
      </c>
      <c r="K1851">
        <f>IF(G1851=1,0.2*R1851/C1851,K1850)</f>
        <v/>
      </c>
      <c r="L1851">
        <f>IF(G1851=1,0.2*R1851/D1851,L1850)</f>
        <v/>
      </c>
      <c r="M1851">
        <f>IF(G1851=1,0.2*R1851/E1851,M1850)</f>
        <v/>
      </c>
      <c r="N1851">
        <f>IF(G1851=1,0.2*R1851/F1851,N1850)</f>
        <v/>
      </c>
      <c r="O1851">
        <f>IF(G1851=1,R1851*(1-1.0),IF(H1850=0,1,O1850*(1+0.00023125256064071564)))</f>
        <v/>
      </c>
      <c r="P1851">
        <f>IF(G1851=1,IF(H1850=0,1,ABS(0.2-J1850*B1851/I1851)+ABS(0.2-K1850*C1851/I1851)+ABS(0.2-L1850*D1851/I1851)+ABS(0.2-M1850*E1851/I1851)+ABS(0.2-N1850*F1851/I1851)),0)</f>
        <v/>
      </c>
      <c r="Q1851">
        <f>P1851*0.0015</f>
        <v/>
      </c>
      <c r="R1851">
        <f>I1851*(1-Q1851)</f>
        <v/>
      </c>
      <c r="S1851">
        <f>R1851/R1850-1</f>
        <v/>
      </c>
      <c r="T1851">
        <f>MAX(T1850,R1851)</f>
        <v/>
      </c>
      <c r="U1851">
        <f>R1851/T1851-1</f>
        <v/>
      </c>
      <c r="V1851" t="n">
        <v>3.232956909965818</v>
      </c>
      <c r="W1851" s="5">
        <f>R1851-V1851</f>
        <v/>
      </c>
    </row>
    <row r="1852">
      <c r="A1852" s="3" t="n">
        <v>41158</v>
      </c>
      <c r="B1852">
        <f>Prices!B1852</f>
        <v/>
      </c>
      <c r="C1852">
        <f>Prices!C1852</f>
        <v/>
      </c>
      <c r="D1852">
        <f>Prices!D1852</f>
        <v/>
      </c>
      <c r="E1852">
        <f>Prices!E1852</f>
        <v/>
      </c>
      <c r="F1852">
        <f>Prices!F1852</f>
        <v/>
      </c>
      <c r="G1852">
        <f>IF(AND(1850&gt;=16,TEXT(A1852,"yyyy-mm")&lt;&gt;TEXT(A1853,"yyyy-mm")),1,0)</f>
        <v/>
      </c>
      <c r="H1852">
        <f>IF(OR(H1851=1,G1852=1),1,0)</f>
        <v/>
      </c>
      <c r="I1852">
        <f>IF(H1851=0,1,SUMPRODUCT(J1851:N1851,B1852:F1852)+O1851*(1+0.00023125256064071564))</f>
        <v/>
      </c>
      <c r="J1852">
        <f>IF(G1852=1,0.2*R1852/B1852,J1851)</f>
        <v/>
      </c>
      <c r="K1852">
        <f>IF(G1852=1,0.2*R1852/C1852,K1851)</f>
        <v/>
      </c>
      <c r="L1852">
        <f>IF(G1852=1,0.2*R1852/D1852,L1851)</f>
        <v/>
      </c>
      <c r="M1852">
        <f>IF(G1852=1,0.2*R1852/E1852,M1851)</f>
        <v/>
      </c>
      <c r="N1852">
        <f>IF(G1852=1,0.2*R1852/F1852,N1851)</f>
        <v/>
      </c>
      <c r="O1852">
        <f>IF(G1852=1,R1852*(1-1.0),IF(H1851=0,1,O1851*(1+0.00023125256064071564)))</f>
        <v/>
      </c>
      <c r="P1852">
        <f>IF(G1852=1,IF(H1851=0,1,ABS(0.2-J1851*B1852/I1852)+ABS(0.2-K1851*C1852/I1852)+ABS(0.2-L1851*D1852/I1852)+ABS(0.2-M1851*E1852/I1852)+ABS(0.2-N1851*F1852/I1852)),0)</f>
        <v/>
      </c>
      <c r="Q1852">
        <f>P1852*0.0015</f>
        <v/>
      </c>
      <c r="R1852">
        <f>I1852*(1-Q1852)</f>
        <v/>
      </c>
      <c r="S1852">
        <f>R1852/R1851-1</f>
        <v/>
      </c>
      <c r="T1852">
        <f>MAX(T1851,R1852)</f>
        <v/>
      </c>
      <c r="U1852">
        <f>R1852/T1852-1</f>
        <v/>
      </c>
      <c r="V1852" t="n">
        <v>3.247131880414679</v>
      </c>
      <c r="W1852" s="5">
        <f>R1852-V1852</f>
        <v/>
      </c>
    </row>
    <row r="1853">
      <c r="A1853" s="3" t="n">
        <v>41159</v>
      </c>
      <c r="B1853">
        <f>Prices!B1853</f>
        <v/>
      </c>
      <c r="C1853">
        <f>Prices!C1853</f>
        <v/>
      </c>
      <c r="D1853">
        <f>Prices!D1853</f>
        <v/>
      </c>
      <c r="E1853">
        <f>Prices!E1853</f>
        <v/>
      </c>
      <c r="F1853">
        <f>Prices!F1853</f>
        <v/>
      </c>
      <c r="G1853">
        <f>IF(AND(1851&gt;=16,TEXT(A1853,"yyyy-mm")&lt;&gt;TEXT(A1854,"yyyy-mm")),1,0)</f>
        <v/>
      </c>
      <c r="H1853">
        <f>IF(OR(H1852=1,G1853=1),1,0)</f>
        <v/>
      </c>
      <c r="I1853">
        <f>IF(H1852=0,1,SUMPRODUCT(J1852:N1852,B1853:F1853)+O1852*(1+0.00023125256064071564))</f>
        <v/>
      </c>
      <c r="J1853">
        <f>IF(G1853=1,0.2*R1853/B1853,J1852)</f>
        <v/>
      </c>
      <c r="K1853">
        <f>IF(G1853=1,0.2*R1853/C1853,K1852)</f>
        <v/>
      </c>
      <c r="L1853">
        <f>IF(G1853=1,0.2*R1853/D1853,L1852)</f>
        <v/>
      </c>
      <c r="M1853">
        <f>IF(G1853=1,0.2*R1853/E1853,M1852)</f>
        <v/>
      </c>
      <c r="N1853">
        <f>IF(G1853=1,0.2*R1853/F1853,N1852)</f>
        <v/>
      </c>
      <c r="O1853">
        <f>IF(G1853=1,R1853*(1-1.0),IF(H1852=0,1,O1852*(1+0.00023125256064071564)))</f>
        <v/>
      </c>
      <c r="P1853">
        <f>IF(G1853=1,IF(H1852=0,1,ABS(0.2-J1852*B1853/I1853)+ABS(0.2-K1852*C1853/I1853)+ABS(0.2-L1852*D1853/I1853)+ABS(0.2-M1852*E1853/I1853)+ABS(0.2-N1852*F1853/I1853)),0)</f>
        <v/>
      </c>
      <c r="Q1853">
        <f>P1853*0.0015</f>
        <v/>
      </c>
      <c r="R1853">
        <f>I1853*(1-Q1853)</f>
        <v/>
      </c>
      <c r="S1853">
        <f>R1853/R1852-1</f>
        <v/>
      </c>
      <c r="T1853">
        <f>MAX(T1852,R1853)</f>
        <v/>
      </c>
      <c r="U1853">
        <f>R1853/T1853-1</f>
        <v/>
      </c>
      <c r="V1853" t="n">
        <v>3.294038221491543</v>
      </c>
      <c r="W1853" s="5">
        <f>R1853-V1853</f>
        <v/>
      </c>
    </row>
    <row r="1854">
      <c r="A1854" s="3" t="n">
        <v>41160</v>
      </c>
      <c r="B1854">
        <f>Prices!B1854</f>
        <v/>
      </c>
      <c r="C1854">
        <f>Prices!C1854</f>
        <v/>
      </c>
      <c r="D1854">
        <f>Prices!D1854</f>
        <v/>
      </c>
      <c r="E1854">
        <f>Prices!E1854</f>
        <v/>
      </c>
      <c r="F1854">
        <f>Prices!F1854</f>
        <v/>
      </c>
      <c r="G1854">
        <f>IF(AND(1852&gt;=16,TEXT(A1854,"yyyy-mm")&lt;&gt;TEXT(A1855,"yyyy-mm")),1,0)</f>
        <v/>
      </c>
      <c r="H1854">
        <f>IF(OR(H1853=1,G1854=1),1,0)</f>
        <v/>
      </c>
      <c r="I1854">
        <f>IF(H1853=0,1,SUMPRODUCT(J1853:N1853,B1854:F1854)+O1853*(1+0.00023125256064071564))</f>
        <v/>
      </c>
      <c r="J1854">
        <f>IF(G1854=1,0.2*R1854/B1854,J1853)</f>
        <v/>
      </c>
      <c r="K1854">
        <f>IF(G1854=1,0.2*R1854/C1854,K1853)</f>
        <v/>
      </c>
      <c r="L1854">
        <f>IF(G1854=1,0.2*R1854/D1854,L1853)</f>
        <v/>
      </c>
      <c r="M1854">
        <f>IF(G1854=1,0.2*R1854/E1854,M1853)</f>
        <v/>
      </c>
      <c r="N1854">
        <f>IF(G1854=1,0.2*R1854/F1854,N1853)</f>
        <v/>
      </c>
      <c r="O1854">
        <f>IF(G1854=1,R1854*(1-1.0),IF(H1853=0,1,O1853*(1+0.00023125256064071564)))</f>
        <v/>
      </c>
      <c r="P1854">
        <f>IF(G1854=1,IF(H1853=0,1,ABS(0.2-J1853*B1854/I1854)+ABS(0.2-K1853*C1854/I1854)+ABS(0.2-L1853*D1854/I1854)+ABS(0.2-M1853*E1854/I1854)+ABS(0.2-N1853*F1854/I1854)),0)</f>
        <v/>
      </c>
      <c r="Q1854">
        <f>P1854*0.0015</f>
        <v/>
      </c>
      <c r="R1854">
        <f>I1854*(1-Q1854)</f>
        <v/>
      </c>
      <c r="S1854">
        <f>R1854/R1853-1</f>
        <v/>
      </c>
      <c r="T1854">
        <f>MAX(T1853,R1854)</f>
        <v/>
      </c>
      <c r="U1854">
        <f>R1854/T1854-1</f>
        <v/>
      </c>
      <c r="V1854" t="n">
        <v>3.309082311849453</v>
      </c>
      <c r="W1854" s="5">
        <f>R1854-V1854</f>
        <v/>
      </c>
    </row>
    <row r="1855">
      <c r="A1855" s="3" t="n">
        <v>41162</v>
      </c>
      <c r="B1855">
        <f>Prices!B1855</f>
        <v/>
      </c>
      <c r="C1855">
        <f>Prices!C1855</f>
        <v/>
      </c>
      <c r="D1855">
        <f>Prices!D1855</f>
        <v/>
      </c>
      <c r="E1855">
        <f>Prices!E1855</f>
        <v/>
      </c>
      <c r="F1855">
        <f>Prices!F1855</f>
        <v/>
      </c>
      <c r="G1855">
        <f>IF(AND(1853&gt;=16,TEXT(A1855,"yyyy-mm")&lt;&gt;TEXT(A1856,"yyyy-mm")),1,0)</f>
        <v/>
      </c>
      <c r="H1855">
        <f>IF(OR(H1854=1,G1855=1),1,0)</f>
        <v/>
      </c>
      <c r="I1855">
        <f>IF(H1854=0,1,SUMPRODUCT(J1854:N1854,B1855:F1855)+O1854*(1+0.00023125256064071564))</f>
        <v/>
      </c>
      <c r="J1855">
        <f>IF(G1855=1,0.2*R1855/B1855,J1854)</f>
        <v/>
      </c>
      <c r="K1855">
        <f>IF(G1855=1,0.2*R1855/C1855,K1854)</f>
        <v/>
      </c>
      <c r="L1855">
        <f>IF(G1855=1,0.2*R1855/D1855,L1854)</f>
        <v/>
      </c>
      <c r="M1855">
        <f>IF(G1855=1,0.2*R1855/E1855,M1854)</f>
        <v/>
      </c>
      <c r="N1855">
        <f>IF(G1855=1,0.2*R1855/F1855,N1854)</f>
        <v/>
      </c>
      <c r="O1855">
        <f>IF(G1855=1,R1855*(1-1.0),IF(H1854=0,1,O1854*(1+0.00023125256064071564)))</f>
        <v/>
      </c>
      <c r="P1855">
        <f>IF(G1855=1,IF(H1854=0,1,ABS(0.2-J1854*B1855/I1855)+ABS(0.2-K1854*C1855/I1855)+ABS(0.2-L1854*D1855/I1855)+ABS(0.2-M1854*E1855/I1855)+ABS(0.2-N1854*F1855/I1855)),0)</f>
        <v/>
      </c>
      <c r="Q1855">
        <f>P1855*0.0015</f>
        <v/>
      </c>
      <c r="R1855">
        <f>I1855*(1-Q1855)</f>
        <v/>
      </c>
      <c r="S1855">
        <f>R1855/R1854-1</f>
        <v/>
      </c>
      <c r="T1855">
        <f>MAX(T1854,R1855)</f>
        <v/>
      </c>
      <c r="U1855">
        <f>R1855/T1855-1</f>
        <v/>
      </c>
      <c r="V1855" t="n">
        <v>3.313573024681725</v>
      </c>
      <c r="W1855" s="5">
        <f>R1855-V1855</f>
        <v/>
      </c>
    </row>
    <row r="1856">
      <c r="A1856" s="3" t="n">
        <v>41163</v>
      </c>
      <c r="B1856">
        <f>Prices!B1856</f>
        <v/>
      </c>
      <c r="C1856">
        <f>Prices!C1856</f>
        <v/>
      </c>
      <c r="D1856">
        <f>Prices!D1856</f>
        <v/>
      </c>
      <c r="E1856">
        <f>Prices!E1856</f>
        <v/>
      </c>
      <c r="F1856">
        <f>Prices!F1856</f>
        <v/>
      </c>
      <c r="G1856">
        <f>IF(AND(1854&gt;=16,TEXT(A1856,"yyyy-mm")&lt;&gt;TEXT(A1857,"yyyy-mm")),1,0)</f>
        <v/>
      </c>
      <c r="H1856">
        <f>IF(OR(H1855=1,G1856=1),1,0)</f>
        <v/>
      </c>
      <c r="I1856">
        <f>IF(H1855=0,1,SUMPRODUCT(J1855:N1855,B1856:F1856)+O1855*(1+0.00023125256064071564))</f>
        <v/>
      </c>
      <c r="J1856">
        <f>IF(G1856=1,0.2*R1856/B1856,J1855)</f>
        <v/>
      </c>
      <c r="K1856">
        <f>IF(G1856=1,0.2*R1856/C1856,K1855)</f>
        <v/>
      </c>
      <c r="L1856">
        <f>IF(G1856=1,0.2*R1856/D1856,L1855)</f>
        <v/>
      </c>
      <c r="M1856">
        <f>IF(G1856=1,0.2*R1856/E1856,M1855)</f>
        <v/>
      </c>
      <c r="N1856">
        <f>IF(G1856=1,0.2*R1856/F1856,N1855)</f>
        <v/>
      </c>
      <c r="O1856">
        <f>IF(G1856=1,R1856*(1-1.0),IF(H1855=0,1,O1855*(1+0.00023125256064071564)))</f>
        <v/>
      </c>
      <c r="P1856">
        <f>IF(G1856=1,IF(H1855=0,1,ABS(0.2-J1855*B1856/I1856)+ABS(0.2-K1855*C1856/I1856)+ABS(0.2-L1855*D1856/I1856)+ABS(0.2-M1855*E1856/I1856)+ABS(0.2-N1855*F1856/I1856)),0)</f>
        <v/>
      </c>
      <c r="Q1856">
        <f>P1856*0.0015</f>
        <v/>
      </c>
      <c r="R1856">
        <f>I1856*(1-Q1856)</f>
        <v/>
      </c>
      <c r="S1856">
        <f>R1856/R1855-1</f>
        <v/>
      </c>
      <c r="T1856">
        <f>MAX(T1855,R1856)</f>
        <v/>
      </c>
      <c r="U1856">
        <f>R1856/T1856-1</f>
        <v/>
      </c>
      <c r="V1856" t="n">
        <v>3.324248454323851</v>
      </c>
      <c r="W1856" s="5">
        <f>R1856-V1856</f>
        <v/>
      </c>
    </row>
    <row r="1857">
      <c r="A1857" s="3" t="n">
        <v>41164</v>
      </c>
      <c r="B1857">
        <f>Prices!B1857</f>
        <v/>
      </c>
      <c r="C1857">
        <f>Prices!C1857</f>
        <v/>
      </c>
      <c r="D1857">
        <f>Prices!D1857</f>
        <v/>
      </c>
      <c r="E1857">
        <f>Prices!E1857</f>
        <v/>
      </c>
      <c r="F1857">
        <f>Prices!F1857</f>
        <v/>
      </c>
      <c r="G1857">
        <f>IF(AND(1855&gt;=16,TEXT(A1857,"yyyy-mm")&lt;&gt;TEXT(A1858,"yyyy-mm")),1,0)</f>
        <v/>
      </c>
      <c r="H1857">
        <f>IF(OR(H1856=1,G1857=1),1,0)</f>
        <v/>
      </c>
      <c r="I1857">
        <f>IF(H1856=0,1,SUMPRODUCT(J1856:N1856,B1857:F1857)+O1856*(1+0.00023125256064071564))</f>
        <v/>
      </c>
      <c r="J1857">
        <f>IF(G1857=1,0.2*R1857/B1857,J1856)</f>
        <v/>
      </c>
      <c r="K1857">
        <f>IF(G1857=1,0.2*R1857/C1857,K1856)</f>
        <v/>
      </c>
      <c r="L1857">
        <f>IF(G1857=1,0.2*R1857/D1857,L1856)</f>
        <v/>
      </c>
      <c r="M1857">
        <f>IF(G1857=1,0.2*R1857/E1857,M1856)</f>
        <v/>
      </c>
      <c r="N1857">
        <f>IF(G1857=1,0.2*R1857/F1857,N1856)</f>
        <v/>
      </c>
      <c r="O1857">
        <f>IF(G1857=1,R1857*(1-1.0),IF(H1856=0,1,O1856*(1+0.00023125256064071564)))</f>
        <v/>
      </c>
      <c r="P1857">
        <f>IF(G1857=1,IF(H1856=0,1,ABS(0.2-J1856*B1857/I1857)+ABS(0.2-K1856*C1857/I1857)+ABS(0.2-L1856*D1857/I1857)+ABS(0.2-M1856*E1857/I1857)+ABS(0.2-N1856*F1857/I1857)),0)</f>
        <v/>
      </c>
      <c r="Q1857">
        <f>P1857*0.0015</f>
        <v/>
      </c>
      <c r="R1857">
        <f>I1857*(1-Q1857)</f>
        <v/>
      </c>
      <c r="S1857">
        <f>R1857/R1856-1</f>
        <v/>
      </c>
      <c r="T1857">
        <f>MAX(T1856,R1857)</f>
        <v/>
      </c>
      <c r="U1857">
        <f>R1857/T1857-1</f>
        <v/>
      </c>
      <c r="V1857" t="n">
        <v>3.340082143053885</v>
      </c>
      <c r="W1857" s="5">
        <f>R1857-V1857</f>
        <v/>
      </c>
    </row>
    <row r="1858">
      <c r="A1858" s="3" t="n">
        <v>41165</v>
      </c>
      <c r="B1858">
        <f>Prices!B1858</f>
        <v/>
      </c>
      <c r="C1858">
        <f>Prices!C1858</f>
        <v/>
      </c>
      <c r="D1858">
        <f>Prices!D1858</f>
        <v/>
      </c>
      <c r="E1858">
        <f>Prices!E1858</f>
        <v/>
      </c>
      <c r="F1858">
        <f>Prices!F1858</f>
        <v/>
      </c>
      <c r="G1858">
        <f>IF(AND(1856&gt;=16,TEXT(A1858,"yyyy-mm")&lt;&gt;TEXT(A1859,"yyyy-mm")),1,0)</f>
        <v/>
      </c>
      <c r="H1858">
        <f>IF(OR(H1857=1,G1858=1),1,0)</f>
        <v/>
      </c>
      <c r="I1858">
        <f>IF(H1857=0,1,SUMPRODUCT(J1857:N1857,B1858:F1858)+O1857*(1+0.00023125256064071564))</f>
        <v/>
      </c>
      <c r="J1858">
        <f>IF(G1858=1,0.2*R1858/B1858,J1857)</f>
        <v/>
      </c>
      <c r="K1858">
        <f>IF(G1858=1,0.2*R1858/C1858,K1857)</f>
        <v/>
      </c>
      <c r="L1858">
        <f>IF(G1858=1,0.2*R1858/D1858,L1857)</f>
        <v/>
      </c>
      <c r="M1858">
        <f>IF(G1858=1,0.2*R1858/E1858,M1857)</f>
        <v/>
      </c>
      <c r="N1858">
        <f>IF(G1858=1,0.2*R1858/F1858,N1857)</f>
        <v/>
      </c>
      <c r="O1858">
        <f>IF(G1858=1,R1858*(1-1.0),IF(H1857=0,1,O1857*(1+0.00023125256064071564)))</f>
        <v/>
      </c>
      <c r="P1858">
        <f>IF(G1858=1,IF(H1857=0,1,ABS(0.2-J1857*B1858/I1858)+ABS(0.2-K1857*C1858/I1858)+ABS(0.2-L1857*D1858/I1858)+ABS(0.2-M1857*E1858/I1858)+ABS(0.2-N1857*F1858/I1858)),0)</f>
        <v/>
      </c>
      <c r="Q1858">
        <f>P1858*0.0015</f>
        <v/>
      </c>
      <c r="R1858">
        <f>I1858*(1-Q1858)</f>
        <v/>
      </c>
      <c r="S1858">
        <f>R1858/R1857-1</f>
        <v/>
      </c>
      <c r="T1858">
        <f>MAX(T1857,R1858)</f>
        <v/>
      </c>
      <c r="U1858">
        <f>R1858/T1858-1</f>
        <v/>
      </c>
      <c r="V1858" t="n">
        <v>3.332565478228957</v>
      </c>
      <c r="W1858" s="5">
        <f>R1858-V1858</f>
        <v/>
      </c>
    </row>
    <row r="1859">
      <c r="A1859" s="3" t="n">
        <v>41166</v>
      </c>
      <c r="B1859">
        <f>Prices!B1859</f>
        <v/>
      </c>
      <c r="C1859">
        <f>Prices!C1859</f>
        <v/>
      </c>
      <c r="D1859">
        <f>Prices!D1859</f>
        <v/>
      </c>
      <c r="E1859">
        <f>Prices!E1859</f>
        <v/>
      </c>
      <c r="F1859">
        <f>Prices!F1859</f>
        <v/>
      </c>
      <c r="G1859">
        <f>IF(AND(1857&gt;=16,TEXT(A1859,"yyyy-mm")&lt;&gt;TEXT(A1860,"yyyy-mm")),1,0)</f>
        <v/>
      </c>
      <c r="H1859">
        <f>IF(OR(H1858=1,G1859=1),1,0)</f>
        <v/>
      </c>
      <c r="I1859">
        <f>IF(H1858=0,1,SUMPRODUCT(J1858:N1858,B1859:F1859)+O1858*(1+0.00023125256064071564))</f>
        <v/>
      </c>
      <c r="J1859">
        <f>IF(G1859=1,0.2*R1859/B1859,J1858)</f>
        <v/>
      </c>
      <c r="K1859">
        <f>IF(G1859=1,0.2*R1859/C1859,K1858)</f>
        <v/>
      </c>
      <c r="L1859">
        <f>IF(G1859=1,0.2*R1859/D1859,L1858)</f>
        <v/>
      </c>
      <c r="M1859">
        <f>IF(G1859=1,0.2*R1859/E1859,M1858)</f>
        <v/>
      </c>
      <c r="N1859">
        <f>IF(G1859=1,0.2*R1859/F1859,N1858)</f>
        <v/>
      </c>
      <c r="O1859">
        <f>IF(G1859=1,R1859*(1-1.0),IF(H1858=0,1,O1858*(1+0.00023125256064071564)))</f>
        <v/>
      </c>
      <c r="P1859">
        <f>IF(G1859=1,IF(H1858=0,1,ABS(0.2-J1858*B1859/I1859)+ABS(0.2-K1858*C1859/I1859)+ABS(0.2-L1858*D1859/I1859)+ABS(0.2-M1858*E1859/I1859)+ABS(0.2-N1858*F1859/I1859)),0)</f>
        <v/>
      </c>
      <c r="Q1859">
        <f>P1859*0.0015</f>
        <v/>
      </c>
      <c r="R1859">
        <f>I1859*(1-Q1859)</f>
        <v/>
      </c>
      <c r="S1859">
        <f>R1859/R1858-1</f>
        <v/>
      </c>
      <c r="T1859">
        <f>MAX(T1858,R1859)</f>
        <v/>
      </c>
      <c r="U1859">
        <f>R1859/T1859-1</f>
        <v/>
      </c>
      <c r="V1859" t="n">
        <v>3.362671102411871</v>
      </c>
      <c r="W1859" s="5">
        <f>R1859-V1859</f>
        <v/>
      </c>
    </row>
    <row r="1860">
      <c r="A1860" s="3" t="n">
        <v>41169</v>
      </c>
      <c r="B1860">
        <f>Prices!B1860</f>
        <v/>
      </c>
      <c r="C1860">
        <f>Prices!C1860</f>
        <v/>
      </c>
      <c r="D1860">
        <f>Prices!D1860</f>
        <v/>
      </c>
      <c r="E1860">
        <f>Prices!E1860</f>
        <v/>
      </c>
      <c r="F1860">
        <f>Prices!F1860</f>
        <v/>
      </c>
      <c r="G1860">
        <f>IF(AND(1858&gt;=16,TEXT(A1860,"yyyy-mm")&lt;&gt;TEXT(A1861,"yyyy-mm")),1,0)</f>
        <v/>
      </c>
      <c r="H1860">
        <f>IF(OR(H1859=1,G1860=1),1,0)</f>
        <v/>
      </c>
      <c r="I1860">
        <f>IF(H1859=0,1,SUMPRODUCT(J1859:N1859,B1860:F1860)+O1859*(1+0.00023125256064071564))</f>
        <v/>
      </c>
      <c r="J1860">
        <f>IF(G1860=1,0.2*R1860/B1860,J1859)</f>
        <v/>
      </c>
      <c r="K1860">
        <f>IF(G1860=1,0.2*R1860/C1860,K1859)</f>
        <v/>
      </c>
      <c r="L1860">
        <f>IF(G1860=1,0.2*R1860/D1860,L1859)</f>
        <v/>
      </c>
      <c r="M1860">
        <f>IF(G1860=1,0.2*R1860/E1860,M1859)</f>
        <v/>
      </c>
      <c r="N1860">
        <f>IF(G1860=1,0.2*R1860/F1860,N1859)</f>
        <v/>
      </c>
      <c r="O1860">
        <f>IF(G1860=1,R1860*(1-1.0),IF(H1859=0,1,O1859*(1+0.00023125256064071564)))</f>
        <v/>
      </c>
      <c r="P1860">
        <f>IF(G1860=1,IF(H1859=0,1,ABS(0.2-J1859*B1860/I1860)+ABS(0.2-K1859*C1860/I1860)+ABS(0.2-L1859*D1860/I1860)+ABS(0.2-M1859*E1860/I1860)+ABS(0.2-N1859*F1860/I1860)),0)</f>
        <v/>
      </c>
      <c r="Q1860">
        <f>P1860*0.0015</f>
        <v/>
      </c>
      <c r="R1860">
        <f>I1860*(1-Q1860)</f>
        <v/>
      </c>
      <c r="S1860">
        <f>R1860/R1859-1</f>
        <v/>
      </c>
      <c r="T1860">
        <f>MAX(T1859,R1860)</f>
        <v/>
      </c>
      <c r="U1860">
        <f>R1860/T1860-1</f>
        <v/>
      </c>
      <c r="V1860" t="n">
        <v>3.364710075193946</v>
      </c>
      <c r="W1860" s="5">
        <f>R1860-V1860</f>
        <v/>
      </c>
    </row>
    <row r="1861">
      <c r="A1861" s="3" t="n">
        <v>41170</v>
      </c>
      <c r="B1861">
        <f>Prices!B1861</f>
        <v/>
      </c>
      <c r="C1861">
        <f>Prices!C1861</f>
        <v/>
      </c>
      <c r="D1861">
        <f>Prices!D1861</f>
        <v/>
      </c>
      <c r="E1861">
        <f>Prices!E1861</f>
        <v/>
      </c>
      <c r="F1861">
        <f>Prices!F1861</f>
        <v/>
      </c>
      <c r="G1861">
        <f>IF(AND(1859&gt;=16,TEXT(A1861,"yyyy-mm")&lt;&gt;TEXT(A1862,"yyyy-mm")),1,0)</f>
        <v/>
      </c>
      <c r="H1861">
        <f>IF(OR(H1860=1,G1861=1),1,0)</f>
        <v/>
      </c>
      <c r="I1861">
        <f>IF(H1860=0,1,SUMPRODUCT(J1860:N1860,B1861:F1861)+O1860*(1+0.00023125256064071564))</f>
        <v/>
      </c>
      <c r="J1861">
        <f>IF(G1861=1,0.2*R1861/B1861,J1860)</f>
        <v/>
      </c>
      <c r="K1861">
        <f>IF(G1861=1,0.2*R1861/C1861,K1860)</f>
        <v/>
      </c>
      <c r="L1861">
        <f>IF(G1861=1,0.2*R1861/D1861,L1860)</f>
        <v/>
      </c>
      <c r="M1861">
        <f>IF(G1861=1,0.2*R1861/E1861,M1860)</f>
        <v/>
      </c>
      <c r="N1861">
        <f>IF(G1861=1,0.2*R1861/F1861,N1860)</f>
        <v/>
      </c>
      <c r="O1861">
        <f>IF(G1861=1,R1861*(1-1.0),IF(H1860=0,1,O1860*(1+0.00023125256064071564)))</f>
        <v/>
      </c>
      <c r="P1861">
        <f>IF(G1861=1,IF(H1860=0,1,ABS(0.2-J1860*B1861/I1861)+ABS(0.2-K1860*C1861/I1861)+ABS(0.2-L1860*D1861/I1861)+ABS(0.2-M1860*E1861/I1861)+ABS(0.2-N1860*F1861/I1861)),0)</f>
        <v/>
      </c>
      <c r="Q1861">
        <f>P1861*0.0015</f>
        <v/>
      </c>
      <c r="R1861">
        <f>I1861*(1-Q1861)</f>
        <v/>
      </c>
      <c r="S1861">
        <f>R1861/R1860-1</f>
        <v/>
      </c>
      <c r="T1861">
        <f>MAX(T1860,R1861)</f>
        <v/>
      </c>
      <c r="U1861">
        <f>R1861/T1861-1</f>
        <v/>
      </c>
      <c r="V1861" t="n">
        <v>3.384634760925467</v>
      </c>
      <c r="W1861" s="5">
        <f>R1861-V1861</f>
        <v/>
      </c>
    </row>
    <row r="1862">
      <c r="A1862" s="3" t="n">
        <v>41172</v>
      </c>
      <c r="B1862">
        <f>Prices!B1862</f>
        <v/>
      </c>
      <c r="C1862">
        <f>Prices!C1862</f>
        <v/>
      </c>
      <c r="D1862">
        <f>Prices!D1862</f>
        <v/>
      </c>
      <c r="E1862">
        <f>Prices!E1862</f>
        <v/>
      </c>
      <c r="F1862">
        <f>Prices!F1862</f>
        <v/>
      </c>
      <c r="G1862">
        <f>IF(AND(1860&gt;=16,TEXT(A1862,"yyyy-mm")&lt;&gt;TEXT(A1863,"yyyy-mm")),1,0)</f>
        <v/>
      </c>
      <c r="H1862">
        <f>IF(OR(H1861=1,G1862=1),1,0)</f>
        <v/>
      </c>
      <c r="I1862">
        <f>IF(H1861=0,1,SUMPRODUCT(J1861:N1861,B1862:F1862)+O1861*(1+0.00023125256064071564))</f>
        <v/>
      </c>
      <c r="J1862">
        <f>IF(G1862=1,0.2*R1862/B1862,J1861)</f>
        <v/>
      </c>
      <c r="K1862">
        <f>IF(G1862=1,0.2*R1862/C1862,K1861)</f>
        <v/>
      </c>
      <c r="L1862">
        <f>IF(G1862=1,0.2*R1862/D1862,L1861)</f>
        <v/>
      </c>
      <c r="M1862">
        <f>IF(G1862=1,0.2*R1862/E1862,M1861)</f>
        <v/>
      </c>
      <c r="N1862">
        <f>IF(G1862=1,0.2*R1862/F1862,N1861)</f>
        <v/>
      </c>
      <c r="O1862">
        <f>IF(G1862=1,R1862*(1-1.0),IF(H1861=0,1,O1861*(1+0.00023125256064071564)))</f>
        <v/>
      </c>
      <c r="P1862">
        <f>IF(G1862=1,IF(H1861=0,1,ABS(0.2-J1861*B1862/I1862)+ABS(0.2-K1861*C1862/I1862)+ABS(0.2-L1861*D1862/I1862)+ABS(0.2-M1861*E1862/I1862)+ABS(0.2-N1861*F1862/I1862)),0)</f>
        <v/>
      </c>
      <c r="Q1862">
        <f>P1862*0.0015</f>
        <v/>
      </c>
      <c r="R1862">
        <f>I1862*(1-Q1862)</f>
        <v/>
      </c>
      <c r="S1862">
        <f>R1862/R1861-1</f>
        <v/>
      </c>
      <c r="T1862">
        <f>MAX(T1861,R1862)</f>
        <v/>
      </c>
      <c r="U1862">
        <f>R1862/T1862-1</f>
        <v/>
      </c>
      <c r="V1862" t="n">
        <v>3.372745031178693</v>
      </c>
      <c r="W1862" s="5">
        <f>R1862-V1862</f>
        <v/>
      </c>
    </row>
    <row r="1863">
      <c r="A1863" s="3" t="n">
        <v>41173</v>
      </c>
      <c r="B1863">
        <f>Prices!B1863</f>
        <v/>
      </c>
      <c r="C1863">
        <f>Prices!C1863</f>
        <v/>
      </c>
      <c r="D1863">
        <f>Prices!D1863</f>
        <v/>
      </c>
      <c r="E1863">
        <f>Prices!E1863</f>
        <v/>
      </c>
      <c r="F1863">
        <f>Prices!F1863</f>
        <v/>
      </c>
      <c r="G1863">
        <f>IF(AND(1861&gt;=16,TEXT(A1863,"yyyy-mm")&lt;&gt;TEXT(A1864,"yyyy-mm")),1,0)</f>
        <v/>
      </c>
      <c r="H1863">
        <f>IF(OR(H1862=1,G1863=1),1,0)</f>
        <v/>
      </c>
      <c r="I1863">
        <f>IF(H1862=0,1,SUMPRODUCT(J1862:N1862,B1863:F1863)+O1862*(1+0.00023125256064071564))</f>
        <v/>
      </c>
      <c r="J1863">
        <f>IF(G1863=1,0.2*R1863/B1863,J1862)</f>
        <v/>
      </c>
      <c r="K1863">
        <f>IF(G1863=1,0.2*R1863/C1863,K1862)</f>
        <v/>
      </c>
      <c r="L1863">
        <f>IF(G1863=1,0.2*R1863/D1863,L1862)</f>
        <v/>
      </c>
      <c r="M1863">
        <f>IF(G1863=1,0.2*R1863/E1863,M1862)</f>
        <v/>
      </c>
      <c r="N1863">
        <f>IF(G1863=1,0.2*R1863/F1863,N1862)</f>
        <v/>
      </c>
      <c r="O1863">
        <f>IF(G1863=1,R1863*(1-1.0),IF(H1862=0,1,O1862*(1+0.00023125256064071564)))</f>
        <v/>
      </c>
      <c r="P1863">
        <f>IF(G1863=1,IF(H1862=0,1,ABS(0.2-J1862*B1863/I1863)+ABS(0.2-K1862*C1863/I1863)+ABS(0.2-L1862*D1863/I1863)+ABS(0.2-M1862*E1863/I1863)+ABS(0.2-N1862*F1863/I1863)),0)</f>
        <v/>
      </c>
      <c r="Q1863">
        <f>P1863*0.0015</f>
        <v/>
      </c>
      <c r="R1863">
        <f>I1863*(1-Q1863)</f>
        <v/>
      </c>
      <c r="S1863">
        <f>R1863/R1862-1</f>
        <v/>
      </c>
      <c r="T1863">
        <f>MAX(T1862,R1863)</f>
        <v/>
      </c>
      <c r="U1863">
        <f>R1863/T1863-1</f>
        <v/>
      </c>
      <c r="V1863" t="n">
        <v>3.419293172727659</v>
      </c>
      <c r="W1863" s="5">
        <f>R1863-V1863</f>
        <v/>
      </c>
    </row>
    <row r="1864">
      <c r="A1864" s="3" t="n">
        <v>41176</v>
      </c>
      <c r="B1864">
        <f>Prices!B1864</f>
        <v/>
      </c>
      <c r="C1864">
        <f>Prices!C1864</f>
        <v/>
      </c>
      <c r="D1864">
        <f>Prices!D1864</f>
        <v/>
      </c>
      <c r="E1864">
        <f>Prices!E1864</f>
        <v/>
      </c>
      <c r="F1864">
        <f>Prices!F1864</f>
        <v/>
      </c>
      <c r="G1864">
        <f>IF(AND(1862&gt;=16,TEXT(A1864,"yyyy-mm")&lt;&gt;TEXT(A1865,"yyyy-mm")),1,0)</f>
        <v/>
      </c>
      <c r="H1864">
        <f>IF(OR(H1863=1,G1864=1),1,0)</f>
        <v/>
      </c>
      <c r="I1864">
        <f>IF(H1863=0,1,SUMPRODUCT(J1863:N1863,B1864:F1864)+O1863*(1+0.00023125256064071564))</f>
        <v/>
      </c>
      <c r="J1864">
        <f>IF(G1864=1,0.2*R1864/B1864,J1863)</f>
        <v/>
      </c>
      <c r="K1864">
        <f>IF(G1864=1,0.2*R1864/C1864,K1863)</f>
        <v/>
      </c>
      <c r="L1864">
        <f>IF(G1864=1,0.2*R1864/D1864,L1863)</f>
        <v/>
      </c>
      <c r="M1864">
        <f>IF(G1864=1,0.2*R1864/E1864,M1863)</f>
        <v/>
      </c>
      <c r="N1864">
        <f>IF(G1864=1,0.2*R1864/F1864,N1863)</f>
        <v/>
      </c>
      <c r="O1864">
        <f>IF(G1864=1,R1864*(1-1.0),IF(H1863=0,1,O1863*(1+0.00023125256064071564)))</f>
        <v/>
      </c>
      <c r="P1864">
        <f>IF(G1864=1,IF(H1863=0,1,ABS(0.2-J1863*B1864/I1864)+ABS(0.2-K1863*C1864/I1864)+ABS(0.2-L1863*D1864/I1864)+ABS(0.2-M1863*E1864/I1864)+ABS(0.2-N1863*F1864/I1864)),0)</f>
        <v/>
      </c>
      <c r="Q1864">
        <f>P1864*0.0015</f>
        <v/>
      </c>
      <c r="R1864">
        <f>I1864*(1-Q1864)</f>
        <v/>
      </c>
      <c r="S1864">
        <f>R1864/R1863-1</f>
        <v/>
      </c>
      <c r="T1864">
        <f>MAX(T1863,R1864)</f>
        <v/>
      </c>
      <c r="U1864">
        <f>R1864/T1864-1</f>
        <v/>
      </c>
      <c r="V1864" t="n">
        <v>3.41678442827223</v>
      </c>
      <c r="W1864" s="5">
        <f>R1864-V1864</f>
        <v/>
      </c>
    </row>
    <row r="1865">
      <c r="A1865" s="3" t="n">
        <v>41177</v>
      </c>
      <c r="B1865">
        <f>Prices!B1865</f>
        <v/>
      </c>
      <c r="C1865">
        <f>Prices!C1865</f>
        <v/>
      </c>
      <c r="D1865">
        <f>Prices!D1865</f>
        <v/>
      </c>
      <c r="E1865">
        <f>Prices!E1865</f>
        <v/>
      </c>
      <c r="F1865">
        <f>Prices!F1865</f>
        <v/>
      </c>
      <c r="G1865">
        <f>IF(AND(1863&gt;=16,TEXT(A1865,"yyyy-mm")&lt;&gt;TEXT(A1866,"yyyy-mm")),1,0)</f>
        <v/>
      </c>
      <c r="H1865">
        <f>IF(OR(H1864=1,G1865=1),1,0)</f>
        <v/>
      </c>
      <c r="I1865">
        <f>IF(H1864=0,1,SUMPRODUCT(J1864:N1864,B1865:F1865)+O1864*(1+0.00023125256064071564))</f>
        <v/>
      </c>
      <c r="J1865">
        <f>IF(G1865=1,0.2*R1865/B1865,J1864)</f>
        <v/>
      </c>
      <c r="K1865">
        <f>IF(G1865=1,0.2*R1865/C1865,K1864)</f>
        <v/>
      </c>
      <c r="L1865">
        <f>IF(G1865=1,0.2*R1865/D1865,L1864)</f>
        <v/>
      </c>
      <c r="M1865">
        <f>IF(G1865=1,0.2*R1865/E1865,M1864)</f>
        <v/>
      </c>
      <c r="N1865">
        <f>IF(G1865=1,0.2*R1865/F1865,N1864)</f>
        <v/>
      </c>
      <c r="O1865">
        <f>IF(G1865=1,R1865*(1-1.0),IF(H1864=0,1,O1864*(1+0.00023125256064071564)))</f>
        <v/>
      </c>
      <c r="P1865">
        <f>IF(G1865=1,IF(H1864=0,1,ABS(0.2-J1864*B1865/I1865)+ABS(0.2-K1864*C1865/I1865)+ABS(0.2-L1864*D1865/I1865)+ABS(0.2-M1864*E1865/I1865)+ABS(0.2-N1864*F1865/I1865)),0)</f>
        <v/>
      </c>
      <c r="Q1865">
        <f>P1865*0.0015</f>
        <v/>
      </c>
      <c r="R1865">
        <f>I1865*(1-Q1865)</f>
        <v/>
      </c>
      <c r="S1865">
        <f>R1865/R1864-1</f>
        <v/>
      </c>
      <c r="T1865">
        <f>MAX(T1864,R1865)</f>
        <v/>
      </c>
      <c r="U1865">
        <f>R1865/T1865-1</f>
        <v/>
      </c>
      <c r="V1865" t="n">
        <v>3.429145083063014</v>
      </c>
      <c r="W1865" s="5">
        <f>R1865-V1865</f>
        <v/>
      </c>
    </row>
    <row r="1866">
      <c r="A1866" s="3" t="n">
        <v>41178</v>
      </c>
      <c r="B1866">
        <f>Prices!B1866</f>
        <v/>
      </c>
      <c r="C1866">
        <f>Prices!C1866</f>
        <v/>
      </c>
      <c r="D1866">
        <f>Prices!D1866</f>
        <v/>
      </c>
      <c r="E1866">
        <f>Prices!E1866</f>
        <v/>
      </c>
      <c r="F1866">
        <f>Prices!F1866</f>
        <v/>
      </c>
      <c r="G1866">
        <f>IF(AND(1864&gt;=16,TEXT(A1866,"yyyy-mm")&lt;&gt;TEXT(A1867,"yyyy-mm")),1,0)</f>
        <v/>
      </c>
      <c r="H1866">
        <f>IF(OR(H1865=1,G1866=1),1,0)</f>
        <v/>
      </c>
      <c r="I1866">
        <f>IF(H1865=0,1,SUMPRODUCT(J1865:N1865,B1866:F1866)+O1865*(1+0.00023125256064071564))</f>
        <v/>
      </c>
      <c r="J1866">
        <f>IF(G1866=1,0.2*R1866/B1866,J1865)</f>
        <v/>
      </c>
      <c r="K1866">
        <f>IF(G1866=1,0.2*R1866/C1866,K1865)</f>
        <v/>
      </c>
      <c r="L1866">
        <f>IF(G1866=1,0.2*R1866/D1866,L1865)</f>
        <v/>
      </c>
      <c r="M1866">
        <f>IF(G1866=1,0.2*R1866/E1866,M1865)</f>
        <v/>
      </c>
      <c r="N1866">
        <f>IF(G1866=1,0.2*R1866/F1866,N1865)</f>
        <v/>
      </c>
      <c r="O1866">
        <f>IF(G1866=1,R1866*(1-1.0),IF(H1865=0,1,O1865*(1+0.00023125256064071564)))</f>
        <v/>
      </c>
      <c r="P1866">
        <f>IF(G1866=1,IF(H1865=0,1,ABS(0.2-J1865*B1866/I1866)+ABS(0.2-K1865*C1866/I1866)+ABS(0.2-L1865*D1866/I1866)+ABS(0.2-M1865*E1866/I1866)+ABS(0.2-N1865*F1866/I1866)),0)</f>
        <v/>
      </c>
      <c r="Q1866">
        <f>P1866*0.0015</f>
        <v/>
      </c>
      <c r="R1866">
        <f>I1866*(1-Q1866)</f>
        <v/>
      </c>
      <c r="S1866">
        <f>R1866/R1865-1</f>
        <v/>
      </c>
      <c r="T1866">
        <f>MAX(T1865,R1866)</f>
        <v/>
      </c>
      <c r="U1866">
        <f>R1866/T1866-1</f>
        <v/>
      </c>
      <c r="V1866" t="n">
        <v>3.441204791852849</v>
      </c>
      <c r="W1866" s="5">
        <f>R1866-V1866</f>
        <v/>
      </c>
    </row>
    <row r="1867">
      <c r="A1867" s="3" t="n">
        <v>41179</v>
      </c>
      <c r="B1867">
        <f>Prices!B1867</f>
        <v/>
      </c>
      <c r="C1867">
        <f>Prices!C1867</f>
        <v/>
      </c>
      <c r="D1867">
        <f>Prices!D1867</f>
        <v/>
      </c>
      <c r="E1867">
        <f>Prices!E1867</f>
        <v/>
      </c>
      <c r="F1867">
        <f>Prices!F1867</f>
        <v/>
      </c>
      <c r="G1867">
        <f>IF(AND(1865&gt;=16,TEXT(A1867,"yyyy-mm")&lt;&gt;TEXT(A1868,"yyyy-mm")),1,0)</f>
        <v/>
      </c>
      <c r="H1867">
        <f>IF(OR(H1866=1,G1867=1),1,0)</f>
        <v/>
      </c>
      <c r="I1867">
        <f>IF(H1866=0,1,SUMPRODUCT(J1866:N1866,B1867:F1867)+O1866*(1+0.00023125256064071564))</f>
        <v/>
      </c>
      <c r="J1867">
        <f>IF(G1867=1,0.2*R1867/B1867,J1866)</f>
        <v/>
      </c>
      <c r="K1867">
        <f>IF(G1867=1,0.2*R1867/C1867,K1866)</f>
        <v/>
      </c>
      <c r="L1867">
        <f>IF(G1867=1,0.2*R1867/D1867,L1866)</f>
        <v/>
      </c>
      <c r="M1867">
        <f>IF(G1867=1,0.2*R1867/E1867,M1866)</f>
        <v/>
      </c>
      <c r="N1867">
        <f>IF(G1867=1,0.2*R1867/F1867,N1866)</f>
        <v/>
      </c>
      <c r="O1867">
        <f>IF(G1867=1,R1867*(1-1.0),IF(H1866=0,1,O1866*(1+0.00023125256064071564)))</f>
        <v/>
      </c>
      <c r="P1867">
        <f>IF(G1867=1,IF(H1866=0,1,ABS(0.2-J1866*B1867/I1867)+ABS(0.2-K1866*C1867/I1867)+ABS(0.2-L1866*D1867/I1867)+ABS(0.2-M1866*E1867/I1867)+ABS(0.2-N1866*F1867/I1867)),0)</f>
        <v/>
      </c>
      <c r="Q1867">
        <f>P1867*0.0015</f>
        <v/>
      </c>
      <c r="R1867">
        <f>I1867*(1-Q1867)</f>
        <v/>
      </c>
      <c r="S1867">
        <f>R1867/R1866-1</f>
        <v/>
      </c>
      <c r="T1867">
        <f>MAX(T1866,R1867)</f>
        <v/>
      </c>
      <c r="U1867">
        <f>R1867/T1867-1</f>
        <v/>
      </c>
      <c r="V1867" t="n">
        <v>3.451673150894975</v>
      </c>
      <c r="W1867" s="5">
        <f>R1867-V1867</f>
        <v/>
      </c>
    </row>
    <row r="1868">
      <c r="A1868" s="3" t="n">
        <v>41180</v>
      </c>
      <c r="B1868">
        <f>Prices!B1868</f>
        <v/>
      </c>
      <c r="C1868">
        <f>Prices!C1868</f>
        <v/>
      </c>
      <c r="D1868">
        <f>Prices!D1868</f>
        <v/>
      </c>
      <c r="E1868">
        <f>Prices!E1868</f>
        <v/>
      </c>
      <c r="F1868">
        <f>Prices!F1868</f>
        <v/>
      </c>
      <c r="G1868">
        <f>IF(AND(1866&gt;=16,TEXT(A1868,"yyyy-mm")&lt;&gt;TEXT(A1869,"yyyy-mm")),1,0)</f>
        <v/>
      </c>
      <c r="H1868">
        <f>IF(OR(H1867=1,G1868=1),1,0)</f>
        <v/>
      </c>
      <c r="I1868">
        <f>IF(H1867=0,1,SUMPRODUCT(J1867:N1867,B1868:F1868)+O1867*(1+0.00023125256064071564))</f>
        <v/>
      </c>
      <c r="J1868">
        <f>IF(G1868=1,0.2*R1868/B1868,J1867)</f>
        <v/>
      </c>
      <c r="K1868">
        <f>IF(G1868=1,0.2*R1868/C1868,K1867)</f>
        <v/>
      </c>
      <c r="L1868">
        <f>IF(G1868=1,0.2*R1868/D1868,L1867)</f>
        <v/>
      </c>
      <c r="M1868">
        <f>IF(G1868=1,0.2*R1868/E1868,M1867)</f>
        <v/>
      </c>
      <c r="N1868">
        <f>IF(G1868=1,0.2*R1868/F1868,N1867)</f>
        <v/>
      </c>
      <c r="O1868">
        <f>IF(G1868=1,R1868*(1-1.0),IF(H1867=0,1,O1867*(1+0.00023125256064071564)))</f>
        <v/>
      </c>
      <c r="P1868">
        <f>IF(G1868=1,IF(H1867=0,1,ABS(0.2-J1867*B1868/I1868)+ABS(0.2-K1867*C1868/I1868)+ABS(0.2-L1867*D1868/I1868)+ABS(0.2-M1867*E1868/I1868)+ABS(0.2-N1867*F1868/I1868)),0)</f>
        <v/>
      </c>
      <c r="Q1868">
        <f>P1868*0.0015</f>
        <v/>
      </c>
      <c r="R1868">
        <f>I1868*(1-Q1868)</f>
        <v/>
      </c>
      <c r="S1868">
        <f>R1868/R1867-1</f>
        <v/>
      </c>
      <c r="T1868">
        <f>MAX(T1867,R1868)</f>
        <v/>
      </c>
      <c r="U1868">
        <f>R1868/T1868-1</f>
        <v/>
      </c>
      <c r="V1868" t="n">
        <v>3.491654691702152</v>
      </c>
      <c r="W1868" s="5">
        <f>R1868-V1868</f>
        <v/>
      </c>
    </row>
    <row r="1869">
      <c r="A1869" s="3" t="n">
        <v>41183</v>
      </c>
      <c r="B1869">
        <f>Prices!B1869</f>
        <v/>
      </c>
      <c r="C1869">
        <f>Prices!C1869</f>
        <v/>
      </c>
      <c r="D1869">
        <f>Prices!D1869</f>
        <v/>
      </c>
      <c r="E1869">
        <f>Prices!E1869</f>
        <v/>
      </c>
      <c r="F1869">
        <f>Prices!F1869</f>
        <v/>
      </c>
      <c r="G1869">
        <f>IF(AND(1867&gt;=16,TEXT(A1869,"yyyy-mm")&lt;&gt;TEXT(A1870,"yyyy-mm")),1,0)</f>
        <v/>
      </c>
      <c r="H1869">
        <f>IF(OR(H1868=1,G1869=1),1,0)</f>
        <v/>
      </c>
      <c r="I1869">
        <f>IF(H1868=0,1,SUMPRODUCT(J1868:N1868,B1869:F1869)+O1868*(1+0.00023125256064071564))</f>
        <v/>
      </c>
      <c r="J1869">
        <f>IF(G1869=1,0.2*R1869/B1869,J1868)</f>
        <v/>
      </c>
      <c r="K1869">
        <f>IF(G1869=1,0.2*R1869/C1869,K1868)</f>
        <v/>
      </c>
      <c r="L1869">
        <f>IF(G1869=1,0.2*R1869/D1869,L1868)</f>
        <v/>
      </c>
      <c r="M1869">
        <f>IF(G1869=1,0.2*R1869/E1869,M1868)</f>
        <v/>
      </c>
      <c r="N1869">
        <f>IF(G1869=1,0.2*R1869/F1869,N1868)</f>
        <v/>
      </c>
      <c r="O1869">
        <f>IF(G1869=1,R1869*(1-1.0),IF(H1868=0,1,O1868*(1+0.00023125256064071564)))</f>
        <v/>
      </c>
      <c r="P1869">
        <f>IF(G1869=1,IF(H1868=0,1,ABS(0.2-J1868*B1869/I1869)+ABS(0.2-K1868*C1869/I1869)+ABS(0.2-L1868*D1869/I1869)+ABS(0.2-M1868*E1869/I1869)+ABS(0.2-N1868*F1869/I1869)),0)</f>
        <v/>
      </c>
      <c r="Q1869">
        <f>P1869*0.0015</f>
        <v/>
      </c>
      <c r="R1869">
        <f>I1869*(1-Q1869)</f>
        <v/>
      </c>
      <c r="S1869">
        <f>R1869/R1868-1</f>
        <v/>
      </c>
      <c r="T1869">
        <f>MAX(T1868,R1869)</f>
        <v/>
      </c>
      <c r="U1869">
        <f>R1869/T1869-1</f>
        <v/>
      </c>
      <c r="V1869" t="n">
        <v>3.523052491840684</v>
      </c>
      <c r="W1869" s="5">
        <f>R1869-V1869</f>
        <v/>
      </c>
    </row>
    <row r="1870">
      <c r="A1870" s="3" t="n">
        <v>41185</v>
      </c>
      <c r="B1870">
        <f>Prices!B1870</f>
        <v/>
      </c>
      <c r="C1870">
        <f>Prices!C1870</f>
        <v/>
      </c>
      <c r="D1870">
        <f>Prices!D1870</f>
        <v/>
      </c>
      <c r="E1870">
        <f>Prices!E1870</f>
        <v/>
      </c>
      <c r="F1870">
        <f>Prices!F1870</f>
        <v/>
      </c>
      <c r="G1870">
        <f>IF(AND(1868&gt;=16,TEXT(A1870,"yyyy-mm")&lt;&gt;TEXT(A1871,"yyyy-mm")),1,0)</f>
        <v/>
      </c>
      <c r="H1870">
        <f>IF(OR(H1869=1,G1870=1),1,0)</f>
        <v/>
      </c>
      <c r="I1870">
        <f>IF(H1869=0,1,SUMPRODUCT(J1869:N1869,B1870:F1870)+O1869*(1+0.00023125256064071564))</f>
        <v/>
      </c>
      <c r="J1870">
        <f>IF(G1870=1,0.2*R1870/B1870,J1869)</f>
        <v/>
      </c>
      <c r="K1870">
        <f>IF(G1870=1,0.2*R1870/C1870,K1869)</f>
        <v/>
      </c>
      <c r="L1870">
        <f>IF(G1870=1,0.2*R1870/D1870,L1869)</f>
        <v/>
      </c>
      <c r="M1870">
        <f>IF(G1870=1,0.2*R1870/E1870,M1869)</f>
        <v/>
      </c>
      <c r="N1870">
        <f>IF(G1870=1,0.2*R1870/F1870,N1869)</f>
        <v/>
      </c>
      <c r="O1870">
        <f>IF(G1870=1,R1870*(1-1.0),IF(H1869=0,1,O1869*(1+0.00023125256064071564)))</f>
        <v/>
      </c>
      <c r="P1870">
        <f>IF(G1870=1,IF(H1869=0,1,ABS(0.2-J1869*B1870/I1870)+ABS(0.2-K1869*C1870/I1870)+ABS(0.2-L1869*D1870/I1870)+ABS(0.2-M1869*E1870/I1870)+ABS(0.2-N1869*F1870/I1870)),0)</f>
        <v/>
      </c>
      <c r="Q1870">
        <f>P1870*0.0015</f>
        <v/>
      </c>
      <c r="R1870">
        <f>I1870*(1-Q1870)</f>
        <v/>
      </c>
      <c r="S1870">
        <f>R1870/R1869-1</f>
        <v/>
      </c>
      <c r="T1870">
        <f>MAX(T1869,R1870)</f>
        <v/>
      </c>
      <c r="U1870">
        <f>R1870/T1870-1</f>
        <v/>
      </c>
      <c r="V1870" t="n">
        <v>3.536213697782836</v>
      </c>
      <c r="W1870" s="5">
        <f>R1870-V1870</f>
        <v/>
      </c>
    </row>
    <row r="1871">
      <c r="A1871" s="3" t="n">
        <v>41186</v>
      </c>
      <c r="B1871">
        <f>Prices!B1871</f>
        <v/>
      </c>
      <c r="C1871">
        <f>Prices!C1871</f>
        <v/>
      </c>
      <c r="D1871">
        <f>Prices!D1871</f>
        <v/>
      </c>
      <c r="E1871">
        <f>Prices!E1871</f>
        <v/>
      </c>
      <c r="F1871">
        <f>Prices!F1871</f>
        <v/>
      </c>
      <c r="G1871">
        <f>IF(AND(1869&gt;=16,TEXT(A1871,"yyyy-mm")&lt;&gt;TEXT(A1872,"yyyy-mm")),1,0)</f>
        <v/>
      </c>
      <c r="H1871">
        <f>IF(OR(H1870=1,G1871=1),1,0)</f>
        <v/>
      </c>
      <c r="I1871">
        <f>IF(H1870=0,1,SUMPRODUCT(J1870:N1870,B1871:F1871)+O1870*(1+0.00023125256064071564))</f>
        <v/>
      </c>
      <c r="J1871">
        <f>IF(G1871=1,0.2*R1871/B1871,J1870)</f>
        <v/>
      </c>
      <c r="K1871">
        <f>IF(G1871=1,0.2*R1871/C1871,K1870)</f>
        <v/>
      </c>
      <c r="L1871">
        <f>IF(G1871=1,0.2*R1871/D1871,L1870)</f>
        <v/>
      </c>
      <c r="M1871">
        <f>IF(G1871=1,0.2*R1871/E1871,M1870)</f>
        <v/>
      </c>
      <c r="N1871">
        <f>IF(G1871=1,0.2*R1871/F1871,N1870)</f>
        <v/>
      </c>
      <c r="O1871">
        <f>IF(G1871=1,R1871*(1-1.0),IF(H1870=0,1,O1870*(1+0.00023125256064071564)))</f>
        <v/>
      </c>
      <c r="P1871">
        <f>IF(G1871=1,IF(H1870=0,1,ABS(0.2-J1870*B1871/I1871)+ABS(0.2-K1870*C1871/I1871)+ABS(0.2-L1870*D1871/I1871)+ABS(0.2-M1870*E1871/I1871)+ABS(0.2-N1870*F1871/I1871)),0)</f>
        <v/>
      </c>
      <c r="Q1871">
        <f>P1871*0.0015</f>
        <v/>
      </c>
      <c r="R1871">
        <f>I1871*(1-Q1871)</f>
        <v/>
      </c>
      <c r="S1871">
        <f>R1871/R1870-1</f>
        <v/>
      </c>
      <c r="T1871">
        <f>MAX(T1870,R1871)</f>
        <v/>
      </c>
      <c r="U1871">
        <f>R1871/T1871-1</f>
        <v/>
      </c>
      <c r="V1871" t="n">
        <v>3.545651573413747</v>
      </c>
      <c r="W1871" s="5">
        <f>R1871-V1871</f>
        <v/>
      </c>
    </row>
    <row r="1872">
      <c r="A1872" s="3" t="n">
        <v>41187</v>
      </c>
      <c r="B1872">
        <f>Prices!B1872</f>
        <v/>
      </c>
      <c r="C1872">
        <f>Prices!C1872</f>
        <v/>
      </c>
      <c r="D1872">
        <f>Prices!D1872</f>
        <v/>
      </c>
      <c r="E1872">
        <f>Prices!E1872</f>
        <v/>
      </c>
      <c r="F1872">
        <f>Prices!F1872</f>
        <v/>
      </c>
      <c r="G1872">
        <f>IF(AND(1870&gt;=16,TEXT(A1872,"yyyy-mm")&lt;&gt;TEXT(A1873,"yyyy-mm")),1,0)</f>
        <v/>
      </c>
      <c r="H1872">
        <f>IF(OR(H1871=1,G1872=1),1,0)</f>
        <v/>
      </c>
      <c r="I1872">
        <f>IF(H1871=0,1,SUMPRODUCT(J1871:N1871,B1872:F1872)+O1871*(1+0.00023125256064071564))</f>
        <v/>
      </c>
      <c r="J1872">
        <f>IF(G1872=1,0.2*R1872/B1872,J1871)</f>
        <v/>
      </c>
      <c r="K1872">
        <f>IF(G1872=1,0.2*R1872/C1872,K1871)</f>
        <v/>
      </c>
      <c r="L1872">
        <f>IF(G1872=1,0.2*R1872/D1872,L1871)</f>
        <v/>
      </c>
      <c r="M1872">
        <f>IF(G1872=1,0.2*R1872/E1872,M1871)</f>
        <v/>
      </c>
      <c r="N1872">
        <f>IF(G1872=1,0.2*R1872/F1872,N1871)</f>
        <v/>
      </c>
      <c r="O1872">
        <f>IF(G1872=1,R1872*(1-1.0),IF(H1871=0,1,O1871*(1+0.00023125256064071564)))</f>
        <v/>
      </c>
      <c r="P1872">
        <f>IF(G1872=1,IF(H1871=0,1,ABS(0.2-J1871*B1872/I1872)+ABS(0.2-K1871*C1872/I1872)+ABS(0.2-L1871*D1872/I1872)+ABS(0.2-M1871*E1872/I1872)+ABS(0.2-N1871*F1872/I1872)),0)</f>
        <v/>
      </c>
      <c r="Q1872">
        <f>P1872*0.0015</f>
        <v/>
      </c>
      <c r="R1872">
        <f>I1872*(1-Q1872)</f>
        <v/>
      </c>
      <c r="S1872">
        <f>R1872/R1871-1</f>
        <v/>
      </c>
      <c r="T1872">
        <f>MAX(T1871,R1872)</f>
        <v/>
      </c>
      <c r="U1872">
        <f>R1872/T1872-1</f>
        <v/>
      </c>
      <c r="V1872" t="n">
        <v>3.516299485303394</v>
      </c>
      <c r="W1872" s="5">
        <f>R1872-V1872</f>
        <v/>
      </c>
    </row>
    <row r="1873">
      <c r="A1873" s="3" t="n">
        <v>41190</v>
      </c>
      <c r="B1873">
        <f>Prices!B1873</f>
        <v/>
      </c>
      <c r="C1873">
        <f>Prices!C1873</f>
        <v/>
      </c>
      <c r="D1873">
        <f>Prices!D1873</f>
        <v/>
      </c>
      <c r="E1873">
        <f>Prices!E1873</f>
        <v/>
      </c>
      <c r="F1873">
        <f>Prices!F1873</f>
        <v/>
      </c>
      <c r="G1873">
        <f>IF(AND(1871&gt;=16,TEXT(A1873,"yyyy-mm")&lt;&gt;TEXT(A1874,"yyyy-mm")),1,0)</f>
        <v/>
      </c>
      <c r="H1873">
        <f>IF(OR(H1872=1,G1873=1),1,0)</f>
        <v/>
      </c>
      <c r="I1873">
        <f>IF(H1872=0,1,SUMPRODUCT(J1872:N1872,B1873:F1873)+O1872*(1+0.00023125256064071564))</f>
        <v/>
      </c>
      <c r="J1873">
        <f>IF(G1873=1,0.2*R1873/B1873,J1872)</f>
        <v/>
      </c>
      <c r="K1873">
        <f>IF(G1873=1,0.2*R1873/C1873,K1872)</f>
        <v/>
      </c>
      <c r="L1873">
        <f>IF(G1873=1,0.2*R1873/D1873,L1872)</f>
        <v/>
      </c>
      <c r="M1873">
        <f>IF(G1873=1,0.2*R1873/E1873,M1872)</f>
        <v/>
      </c>
      <c r="N1873">
        <f>IF(G1873=1,0.2*R1873/F1873,N1872)</f>
        <v/>
      </c>
      <c r="O1873">
        <f>IF(G1873=1,R1873*(1-1.0),IF(H1872=0,1,O1872*(1+0.00023125256064071564)))</f>
        <v/>
      </c>
      <c r="P1873">
        <f>IF(G1873=1,IF(H1872=0,1,ABS(0.2-J1872*B1873/I1873)+ABS(0.2-K1872*C1873/I1873)+ABS(0.2-L1872*D1873/I1873)+ABS(0.2-M1872*E1873/I1873)+ABS(0.2-N1872*F1873/I1873)),0)</f>
        <v/>
      </c>
      <c r="Q1873">
        <f>P1873*0.0015</f>
        <v/>
      </c>
      <c r="R1873">
        <f>I1873*(1-Q1873)</f>
        <v/>
      </c>
      <c r="S1873">
        <f>R1873/R1872-1</f>
        <v/>
      </c>
      <c r="T1873">
        <f>MAX(T1872,R1873)</f>
        <v/>
      </c>
      <c r="U1873">
        <f>R1873/T1873-1</f>
        <v/>
      </c>
      <c r="V1873" t="n">
        <v>3.501750819347075</v>
      </c>
      <c r="W1873" s="5">
        <f>R1873-V1873</f>
        <v/>
      </c>
    </row>
    <row r="1874">
      <c r="A1874" s="3" t="n">
        <v>41191</v>
      </c>
      <c r="B1874">
        <f>Prices!B1874</f>
        <v/>
      </c>
      <c r="C1874">
        <f>Prices!C1874</f>
        <v/>
      </c>
      <c r="D1874">
        <f>Prices!D1874</f>
        <v/>
      </c>
      <c r="E1874">
        <f>Prices!E1874</f>
        <v/>
      </c>
      <c r="F1874">
        <f>Prices!F1874</f>
        <v/>
      </c>
      <c r="G1874">
        <f>IF(AND(1872&gt;=16,TEXT(A1874,"yyyy-mm")&lt;&gt;TEXT(A1875,"yyyy-mm")),1,0)</f>
        <v/>
      </c>
      <c r="H1874">
        <f>IF(OR(H1873=1,G1874=1),1,0)</f>
        <v/>
      </c>
      <c r="I1874">
        <f>IF(H1873=0,1,SUMPRODUCT(J1873:N1873,B1874:F1874)+O1873*(1+0.00023125256064071564))</f>
        <v/>
      </c>
      <c r="J1874">
        <f>IF(G1874=1,0.2*R1874/B1874,J1873)</f>
        <v/>
      </c>
      <c r="K1874">
        <f>IF(G1874=1,0.2*R1874/C1874,K1873)</f>
        <v/>
      </c>
      <c r="L1874">
        <f>IF(G1874=1,0.2*R1874/D1874,L1873)</f>
        <v/>
      </c>
      <c r="M1874">
        <f>IF(G1874=1,0.2*R1874/E1874,M1873)</f>
        <v/>
      </c>
      <c r="N1874">
        <f>IF(G1874=1,0.2*R1874/F1874,N1873)</f>
        <v/>
      </c>
      <c r="O1874">
        <f>IF(G1874=1,R1874*(1-1.0),IF(H1873=0,1,O1873*(1+0.00023125256064071564)))</f>
        <v/>
      </c>
      <c r="P1874">
        <f>IF(G1874=1,IF(H1873=0,1,ABS(0.2-J1873*B1874/I1874)+ABS(0.2-K1873*C1874/I1874)+ABS(0.2-L1873*D1874/I1874)+ABS(0.2-M1873*E1874/I1874)+ABS(0.2-N1873*F1874/I1874)),0)</f>
        <v/>
      </c>
      <c r="Q1874">
        <f>P1874*0.0015</f>
        <v/>
      </c>
      <c r="R1874">
        <f>I1874*(1-Q1874)</f>
        <v/>
      </c>
      <c r="S1874">
        <f>R1874/R1873-1</f>
        <v/>
      </c>
      <c r="T1874">
        <f>MAX(T1873,R1874)</f>
        <v/>
      </c>
      <c r="U1874">
        <f>R1874/T1874-1</f>
        <v/>
      </c>
      <c r="V1874" t="n">
        <v>3.524666265106768</v>
      </c>
      <c r="W1874" s="5">
        <f>R1874-V1874</f>
        <v/>
      </c>
    </row>
    <row r="1875">
      <c r="A1875" s="3" t="n">
        <v>41192</v>
      </c>
      <c r="B1875">
        <f>Prices!B1875</f>
        <v/>
      </c>
      <c r="C1875">
        <f>Prices!C1875</f>
        <v/>
      </c>
      <c r="D1875">
        <f>Prices!D1875</f>
        <v/>
      </c>
      <c r="E1875">
        <f>Prices!E1875</f>
        <v/>
      </c>
      <c r="F1875">
        <f>Prices!F1875</f>
        <v/>
      </c>
      <c r="G1875">
        <f>IF(AND(1873&gt;=16,TEXT(A1875,"yyyy-mm")&lt;&gt;TEXT(A1876,"yyyy-mm")),1,0)</f>
        <v/>
      </c>
      <c r="H1875">
        <f>IF(OR(H1874=1,G1875=1),1,0)</f>
        <v/>
      </c>
      <c r="I1875">
        <f>IF(H1874=0,1,SUMPRODUCT(J1874:N1874,B1875:F1875)+O1874*(1+0.00023125256064071564))</f>
        <v/>
      </c>
      <c r="J1875">
        <f>IF(G1875=1,0.2*R1875/B1875,J1874)</f>
        <v/>
      </c>
      <c r="K1875">
        <f>IF(G1875=1,0.2*R1875/C1875,K1874)</f>
        <v/>
      </c>
      <c r="L1875">
        <f>IF(G1875=1,0.2*R1875/D1875,L1874)</f>
        <v/>
      </c>
      <c r="M1875">
        <f>IF(G1875=1,0.2*R1875/E1875,M1874)</f>
        <v/>
      </c>
      <c r="N1875">
        <f>IF(G1875=1,0.2*R1875/F1875,N1874)</f>
        <v/>
      </c>
      <c r="O1875">
        <f>IF(G1875=1,R1875*(1-1.0),IF(H1874=0,1,O1874*(1+0.00023125256064071564)))</f>
        <v/>
      </c>
      <c r="P1875">
        <f>IF(G1875=1,IF(H1874=0,1,ABS(0.2-J1874*B1875/I1875)+ABS(0.2-K1874*C1875/I1875)+ABS(0.2-L1874*D1875/I1875)+ABS(0.2-M1874*E1875/I1875)+ABS(0.2-N1874*F1875/I1875)),0)</f>
        <v/>
      </c>
      <c r="Q1875">
        <f>P1875*0.0015</f>
        <v/>
      </c>
      <c r="R1875">
        <f>I1875*(1-Q1875)</f>
        <v/>
      </c>
      <c r="S1875">
        <f>R1875/R1874-1</f>
        <v/>
      </c>
      <c r="T1875">
        <f>MAX(T1874,R1875)</f>
        <v/>
      </c>
      <c r="U1875">
        <f>R1875/T1875-1</f>
        <v/>
      </c>
      <c r="V1875" t="n">
        <v>3.484874566354026</v>
      </c>
      <c r="W1875" s="5">
        <f>R1875-V1875</f>
        <v/>
      </c>
    </row>
    <row r="1876">
      <c r="A1876" s="3" t="n">
        <v>41193</v>
      </c>
      <c r="B1876">
        <f>Prices!B1876</f>
        <v/>
      </c>
      <c r="C1876">
        <f>Prices!C1876</f>
        <v/>
      </c>
      <c r="D1876">
        <f>Prices!D1876</f>
        <v/>
      </c>
      <c r="E1876">
        <f>Prices!E1876</f>
        <v/>
      </c>
      <c r="F1876">
        <f>Prices!F1876</f>
        <v/>
      </c>
      <c r="G1876">
        <f>IF(AND(1874&gt;=16,TEXT(A1876,"yyyy-mm")&lt;&gt;TEXT(A1877,"yyyy-mm")),1,0)</f>
        <v/>
      </c>
      <c r="H1876">
        <f>IF(OR(H1875=1,G1876=1),1,0)</f>
        <v/>
      </c>
      <c r="I1876">
        <f>IF(H1875=0,1,SUMPRODUCT(J1875:N1875,B1876:F1876)+O1875*(1+0.00023125256064071564))</f>
        <v/>
      </c>
      <c r="J1876">
        <f>IF(G1876=1,0.2*R1876/B1876,J1875)</f>
        <v/>
      </c>
      <c r="K1876">
        <f>IF(G1876=1,0.2*R1876/C1876,K1875)</f>
        <v/>
      </c>
      <c r="L1876">
        <f>IF(G1876=1,0.2*R1876/D1876,L1875)</f>
        <v/>
      </c>
      <c r="M1876">
        <f>IF(G1876=1,0.2*R1876/E1876,M1875)</f>
        <v/>
      </c>
      <c r="N1876">
        <f>IF(G1876=1,0.2*R1876/F1876,N1875)</f>
        <v/>
      </c>
      <c r="O1876">
        <f>IF(G1876=1,R1876*(1-1.0),IF(H1875=0,1,O1875*(1+0.00023125256064071564)))</f>
        <v/>
      </c>
      <c r="P1876">
        <f>IF(G1876=1,IF(H1875=0,1,ABS(0.2-J1875*B1876/I1876)+ABS(0.2-K1875*C1876/I1876)+ABS(0.2-L1875*D1876/I1876)+ABS(0.2-M1875*E1876/I1876)+ABS(0.2-N1875*F1876/I1876)),0)</f>
        <v/>
      </c>
      <c r="Q1876">
        <f>P1876*0.0015</f>
        <v/>
      </c>
      <c r="R1876">
        <f>I1876*(1-Q1876)</f>
        <v/>
      </c>
      <c r="S1876">
        <f>R1876/R1875-1</f>
        <v/>
      </c>
      <c r="T1876">
        <f>MAX(T1875,R1876)</f>
        <v/>
      </c>
      <c r="U1876">
        <f>R1876/T1876-1</f>
        <v/>
      </c>
      <c r="V1876" t="n">
        <v>3.509179523959958</v>
      </c>
      <c r="W1876" s="5">
        <f>R1876-V1876</f>
        <v/>
      </c>
    </row>
    <row r="1877">
      <c r="A1877" s="3" t="n">
        <v>41194</v>
      </c>
      <c r="B1877">
        <f>Prices!B1877</f>
        <v/>
      </c>
      <c r="C1877">
        <f>Prices!C1877</f>
        <v/>
      </c>
      <c r="D1877">
        <f>Prices!D1877</f>
        <v/>
      </c>
      <c r="E1877">
        <f>Prices!E1877</f>
        <v/>
      </c>
      <c r="F1877">
        <f>Prices!F1877</f>
        <v/>
      </c>
      <c r="G1877">
        <f>IF(AND(1875&gt;=16,TEXT(A1877,"yyyy-mm")&lt;&gt;TEXT(A1878,"yyyy-mm")),1,0)</f>
        <v/>
      </c>
      <c r="H1877">
        <f>IF(OR(H1876=1,G1877=1),1,0)</f>
        <v/>
      </c>
      <c r="I1877">
        <f>IF(H1876=0,1,SUMPRODUCT(J1876:N1876,B1877:F1877)+O1876*(1+0.00023125256064071564))</f>
        <v/>
      </c>
      <c r="J1877">
        <f>IF(G1877=1,0.2*R1877/B1877,J1876)</f>
        <v/>
      </c>
      <c r="K1877">
        <f>IF(G1877=1,0.2*R1877/C1877,K1876)</f>
        <v/>
      </c>
      <c r="L1877">
        <f>IF(G1877=1,0.2*R1877/D1877,L1876)</f>
        <v/>
      </c>
      <c r="M1877">
        <f>IF(G1877=1,0.2*R1877/E1877,M1876)</f>
        <v/>
      </c>
      <c r="N1877">
        <f>IF(G1877=1,0.2*R1877/F1877,N1876)</f>
        <v/>
      </c>
      <c r="O1877">
        <f>IF(G1877=1,R1877*(1-1.0),IF(H1876=0,1,O1876*(1+0.00023125256064071564)))</f>
        <v/>
      </c>
      <c r="P1877">
        <f>IF(G1877=1,IF(H1876=0,1,ABS(0.2-J1876*B1877/I1877)+ABS(0.2-K1876*C1877/I1877)+ABS(0.2-L1876*D1877/I1877)+ABS(0.2-M1876*E1877/I1877)+ABS(0.2-N1876*F1877/I1877)),0)</f>
        <v/>
      </c>
      <c r="Q1877">
        <f>P1877*0.0015</f>
        <v/>
      </c>
      <c r="R1877">
        <f>I1877*(1-Q1877)</f>
        <v/>
      </c>
      <c r="S1877">
        <f>R1877/R1876-1</f>
        <v/>
      </c>
      <c r="T1877">
        <f>MAX(T1876,R1877)</f>
        <v/>
      </c>
      <c r="U1877">
        <f>R1877/T1877-1</f>
        <v/>
      </c>
      <c r="V1877" t="n">
        <v>3.513305405023783</v>
      </c>
      <c r="W1877" s="5">
        <f>R1877-V1877</f>
        <v/>
      </c>
    </row>
    <row r="1878">
      <c r="A1878" s="3" t="n">
        <v>41197</v>
      </c>
      <c r="B1878">
        <f>Prices!B1878</f>
        <v/>
      </c>
      <c r="C1878">
        <f>Prices!C1878</f>
        <v/>
      </c>
      <c r="D1878">
        <f>Prices!D1878</f>
        <v/>
      </c>
      <c r="E1878">
        <f>Prices!E1878</f>
        <v/>
      </c>
      <c r="F1878">
        <f>Prices!F1878</f>
        <v/>
      </c>
      <c r="G1878">
        <f>IF(AND(1876&gt;=16,TEXT(A1878,"yyyy-mm")&lt;&gt;TEXT(A1879,"yyyy-mm")),1,0)</f>
        <v/>
      </c>
      <c r="H1878">
        <f>IF(OR(H1877=1,G1878=1),1,0)</f>
        <v/>
      </c>
      <c r="I1878">
        <f>IF(H1877=0,1,SUMPRODUCT(J1877:N1877,B1878:F1878)+O1877*(1+0.00023125256064071564))</f>
        <v/>
      </c>
      <c r="J1878">
        <f>IF(G1878=1,0.2*R1878/B1878,J1877)</f>
        <v/>
      </c>
      <c r="K1878">
        <f>IF(G1878=1,0.2*R1878/C1878,K1877)</f>
        <v/>
      </c>
      <c r="L1878">
        <f>IF(G1878=1,0.2*R1878/D1878,L1877)</f>
        <v/>
      </c>
      <c r="M1878">
        <f>IF(G1878=1,0.2*R1878/E1878,M1877)</f>
        <v/>
      </c>
      <c r="N1878">
        <f>IF(G1878=1,0.2*R1878/F1878,N1877)</f>
        <v/>
      </c>
      <c r="O1878">
        <f>IF(G1878=1,R1878*(1-1.0),IF(H1877=0,1,O1877*(1+0.00023125256064071564)))</f>
        <v/>
      </c>
      <c r="P1878">
        <f>IF(G1878=1,IF(H1877=0,1,ABS(0.2-J1877*B1878/I1878)+ABS(0.2-K1877*C1878/I1878)+ABS(0.2-L1877*D1878/I1878)+ABS(0.2-M1877*E1878/I1878)+ABS(0.2-N1877*F1878/I1878)),0)</f>
        <v/>
      </c>
      <c r="Q1878">
        <f>P1878*0.0015</f>
        <v/>
      </c>
      <c r="R1878">
        <f>I1878*(1-Q1878)</f>
        <v/>
      </c>
      <c r="S1878">
        <f>R1878/R1877-1</f>
        <v/>
      </c>
      <c r="T1878">
        <f>MAX(T1877,R1878)</f>
        <v/>
      </c>
      <c r="U1878">
        <f>R1878/T1878-1</f>
        <v/>
      </c>
      <c r="V1878" t="n">
        <v>3.518540231972796</v>
      </c>
      <c r="W1878" s="5">
        <f>R1878-V1878</f>
        <v/>
      </c>
    </row>
    <row r="1879">
      <c r="A1879" s="3" t="n">
        <v>41198</v>
      </c>
      <c r="B1879">
        <f>Prices!B1879</f>
        <v/>
      </c>
      <c r="C1879">
        <f>Prices!C1879</f>
        <v/>
      </c>
      <c r="D1879">
        <f>Prices!D1879</f>
        <v/>
      </c>
      <c r="E1879">
        <f>Prices!E1879</f>
        <v/>
      </c>
      <c r="F1879">
        <f>Prices!F1879</f>
        <v/>
      </c>
      <c r="G1879">
        <f>IF(AND(1877&gt;=16,TEXT(A1879,"yyyy-mm")&lt;&gt;TEXT(A1880,"yyyy-mm")),1,0)</f>
        <v/>
      </c>
      <c r="H1879">
        <f>IF(OR(H1878=1,G1879=1),1,0)</f>
        <v/>
      </c>
      <c r="I1879">
        <f>IF(H1878=0,1,SUMPRODUCT(J1878:N1878,B1879:F1879)+O1878*(1+0.00023125256064071564))</f>
        <v/>
      </c>
      <c r="J1879">
        <f>IF(G1879=1,0.2*R1879/B1879,J1878)</f>
        <v/>
      </c>
      <c r="K1879">
        <f>IF(G1879=1,0.2*R1879/C1879,K1878)</f>
        <v/>
      </c>
      <c r="L1879">
        <f>IF(G1879=1,0.2*R1879/D1879,L1878)</f>
        <v/>
      </c>
      <c r="M1879">
        <f>IF(G1879=1,0.2*R1879/E1879,M1878)</f>
        <v/>
      </c>
      <c r="N1879">
        <f>IF(G1879=1,0.2*R1879/F1879,N1878)</f>
        <v/>
      </c>
      <c r="O1879">
        <f>IF(G1879=1,R1879*(1-1.0),IF(H1878=0,1,O1878*(1+0.00023125256064071564)))</f>
        <v/>
      </c>
      <c r="P1879">
        <f>IF(G1879=1,IF(H1878=0,1,ABS(0.2-J1878*B1879/I1879)+ABS(0.2-K1878*C1879/I1879)+ABS(0.2-L1878*D1879/I1879)+ABS(0.2-M1878*E1879/I1879)+ABS(0.2-N1878*F1879/I1879)),0)</f>
        <v/>
      </c>
      <c r="Q1879">
        <f>P1879*0.0015</f>
        <v/>
      </c>
      <c r="R1879">
        <f>I1879*(1-Q1879)</f>
        <v/>
      </c>
      <c r="S1879">
        <f>R1879/R1878-1</f>
        <v/>
      </c>
      <c r="T1879">
        <f>MAX(T1878,R1879)</f>
        <v/>
      </c>
      <c r="U1879">
        <f>R1879/T1879-1</f>
        <v/>
      </c>
      <c r="V1879" t="n">
        <v>3.494661530271049</v>
      </c>
      <c r="W1879" s="5">
        <f>R1879-V1879</f>
        <v/>
      </c>
    </row>
    <row r="1880">
      <c r="A1880" s="3" t="n">
        <v>41199</v>
      </c>
      <c r="B1880">
        <f>Prices!B1880</f>
        <v/>
      </c>
      <c r="C1880">
        <f>Prices!C1880</f>
        <v/>
      </c>
      <c r="D1880">
        <f>Prices!D1880</f>
        <v/>
      </c>
      <c r="E1880">
        <f>Prices!E1880</f>
        <v/>
      </c>
      <c r="F1880">
        <f>Prices!F1880</f>
        <v/>
      </c>
      <c r="G1880">
        <f>IF(AND(1878&gt;=16,TEXT(A1880,"yyyy-mm")&lt;&gt;TEXT(A1881,"yyyy-mm")),1,0)</f>
        <v/>
      </c>
      <c r="H1880">
        <f>IF(OR(H1879=1,G1880=1),1,0)</f>
        <v/>
      </c>
      <c r="I1880">
        <f>IF(H1879=0,1,SUMPRODUCT(J1879:N1879,B1880:F1880)+O1879*(1+0.00023125256064071564))</f>
        <v/>
      </c>
      <c r="J1880">
        <f>IF(G1880=1,0.2*R1880/B1880,J1879)</f>
        <v/>
      </c>
      <c r="K1880">
        <f>IF(G1880=1,0.2*R1880/C1880,K1879)</f>
        <v/>
      </c>
      <c r="L1880">
        <f>IF(G1880=1,0.2*R1880/D1880,L1879)</f>
        <v/>
      </c>
      <c r="M1880">
        <f>IF(G1880=1,0.2*R1880/E1880,M1879)</f>
        <v/>
      </c>
      <c r="N1880">
        <f>IF(G1880=1,0.2*R1880/F1880,N1879)</f>
        <v/>
      </c>
      <c r="O1880">
        <f>IF(G1880=1,R1880*(1-1.0),IF(H1879=0,1,O1879*(1+0.00023125256064071564)))</f>
        <v/>
      </c>
      <c r="P1880">
        <f>IF(G1880=1,IF(H1879=0,1,ABS(0.2-J1879*B1880/I1880)+ABS(0.2-K1879*C1880/I1880)+ABS(0.2-L1879*D1880/I1880)+ABS(0.2-M1879*E1880/I1880)+ABS(0.2-N1879*F1880/I1880)),0)</f>
        <v/>
      </c>
      <c r="Q1880">
        <f>P1880*0.0015</f>
        <v/>
      </c>
      <c r="R1880">
        <f>I1880*(1-Q1880)</f>
        <v/>
      </c>
      <c r="S1880">
        <f>R1880/R1879-1</f>
        <v/>
      </c>
      <c r="T1880">
        <f>MAX(T1879,R1880)</f>
        <v/>
      </c>
      <c r="U1880">
        <f>R1880/T1880-1</f>
        <v/>
      </c>
      <c r="V1880" t="n">
        <v>3.503528082416888</v>
      </c>
      <c r="W1880" s="5">
        <f>R1880-V1880</f>
        <v/>
      </c>
    </row>
    <row r="1881">
      <c r="A1881" s="3" t="n">
        <v>41200</v>
      </c>
      <c r="B1881">
        <f>Prices!B1881</f>
        <v/>
      </c>
      <c r="C1881">
        <f>Prices!C1881</f>
        <v/>
      </c>
      <c r="D1881">
        <f>Prices!D1881</f>
        <v/>
      </c>
      <c r="E1881">
        <f>Prices!E1881</f>
        <v/>
      </c>
      <c r="F1881">
        <f>Prices!F1881</f>
        <v/>
      </c>
      <c r="G1881">
        <f>IF(AND(1879&gt;=16,TEXT(A1881,"yyyy-mm")&lt;&gt;TEXT(A1882,"yyyy-mm")),1,0)</f>
        <v/>
      </c>
      <c r="H1881">
        <f>IF(OR(H1880=1,G1881=1),1,0)</f>
        <v/>
      </c>
      <c r="I1881">
        <f>IF(H1880=0,1,SUMPRODUCT(J1880:N1880,B1881:F1881)+O1880*(1+0.00023125256064071564))</f>
        <v/>
      </c>
      <c r="J1881">
        <f>IF(G1881=1,0.2*R1881/B1881,J1880)</f>
        <v/>
      </c>
      <c r="K1881">
        <f>IF(G1881=1,0.2*R1881/C1881,K1880)</f>
        <v/>
      </c>
      <c r="L1881">
        <f>IF(G1881=1,0.2*R1881/D1881,L1880)</f>
        <v/>
      </c>
      <c r="M1881">
        <f>IF(G1881=1,0.2*R1881/E1881,M1880)</f>
        <v/>
      </c>
      <c r="N1881">
        <f>IF(G1881=1,0.2*R1881/F1881,N1880)</f>
        <v/>
      </c>
      <c r="O1881">
        <f>IF(G1881=1,R1881*(1-1.0),IF(H1880=0,1,O1880*(1+0.00023125256064071564)))</f>
        <v/>
      </c>
      <c r="P1881">
        <f>IF(G1881=1,IF(H1880=0,1,ABS(0.2-J1880*B1881/I1881)+ABS(0.2-K1880*C1881/I1881)+ABS(0.2-L1880*D1881/I1881)+ABS(0.2-M1880*E1881/I1881)+ABS(0.2-N1880*F1881/I1881)),0)</f>
        <v/>
      </c>
      <c r="Q1881">
        <f>P1881*0.0015</f>
        <v/>
      </c>
      <c r="R1881">
        <f>I1881*(1-Q1881)</f>
        <v/>
      </c>
      <c r="S1881">
        <f>R1881/R1880-1</f>
        <v/>
      </c>
      <c r="T1881">
        <f>MAX(T1880,R1881)</f>
        <v/>
      </c>
      <c r="U1881">
        <f>R1881/T1881-1</f>
        <v/>
      </c>
      <c r="V1881" t="n">
        <v>3.53574413714761</v>
      </c>
      <c r="W1881" s="5">
        <f>R1881-V1881</f>
        <v/>
      </c>
    </row>
    <row r="1882">
      <c r="A1882" s="3" t="n">
        <v>41201</v>
      </c>
      <c r="B1882">
        <f>Prices!B1882</f>
        <v/>
      </c>
      <c r="C1882">
        <f>Prices!C1882</f>
        <v/>
      </c>
      <c r="D1882">
        <f>Prices!D1882</f>
        <v/>
      </c>
      <c r="E1882">
        <f>Prices!E1882</f>
        <v/>
      </c>
      <c r="F1882">
        <f>Prices!F1882</f>
        <v/>
      </c>
      <c r="G1882">
        <f>IF(AND(1880&gt;=16,TEXT(A1882,"yyyy-mm")&lt;&gt;TEXT(A1883,"yyyy-mm")),1,0)</f>
        <v/>
      </c>
      <c r="H1882">
        <f>IF(OR(H1881=1,G1882=1),1,0)</f>
        <v/>
      </c>
      <c r="I1882">
        <f>IF(H1881=0,1,SUMPRODUCT(J1881:N1881,B1882:F1882)+O1881*(1+0.00023125256064071564))</f>
        <v/>
      </c>
      <c r="J1882">
        <f>IF(G1882=1,0.2*R1882/B1882,J1881)</f>
        <v/>
      </c>
      <c r="K1882">
        <f>IF(G1882=1,0.2*R1882/C1882,K1881)</f>
        <v/>
      </c>
      <c r="L1882">
        <f>IF(G1882=1,0.2*R1882/D1882,L1881)</f>
        <v/>
      </c>
      <c r="M1882">
        <f>IF(G1882=1,0.2*R1882/E1882,M1881)</f>
        <v/>
      </c>
      <c r="N1882">
        <f>IF(G1882=1,0.2*R1882/F1882,N1881)</f>
        <v/>
      </c>
      <c r="O1882">
        <f>IF(G1882=1,R1882*(1-1.0),IF(H1881=0,1,O1881*(1+0.00023125256064071564)))</f>
        <v/>
      </c>
      <c r="P1882">
        <f>IF(G1882=1,IF(H1881=0,1,ABS(0.2-J1881*B1882/I1882)+ABS(0.2-K1881*C1882/I1882)+ABS(0.2-L1881*D1882/I1882)+ABS(0.2-M1881*E1882/I1882)+ABS(0.2-N1881*F1882/I1882)),0)</f>
        <v/>
      </c>
      <c r="Q1882">
        <f>P1882*0.0015</f>
        <v/>
      </c>
      <c r="R1882">
        <f>I1882*(1-Q1882)</f>
        <v/>
      </c>
      <c r="S1882">
        <f>R1882/R1881-1</f>
        <v/>
      </c>
      <c r="T1882">
        <f>MAX(T1881,R1882)</f>
        <v/>
      </c>
      <c r="U1882">
        <f>R1882/T1882-1</f>
        <v/>
      </c>
      <c r="V1882" t="n">
        <v>3.516284287273209</v>
      </c>
      <c r="W1882" s="5">
        <f>R1882-V1882</f>
        <v/>
      </c>
    </row>
    <row r="1883">
      <c r="A1883" s="3" t="n">
        <v>41204</v>
      </c>
      <c r="B1883">
        <f>Prices!B1883</f>
        <v/>
      </c>
      <c r="C1883">
        <f>Prices!C1883</f>
        <v/>
      </c>
      <c r="D1883">
        <f>Prices!D1883</f>
        <v/>
      </c>
      <c r="E1883">
        <f>Prices!E1883</f>
        <v/>
      </c>
      <c r="F1883">
        <f>Prices!F1883</f>
        <v/>
      </c>
      <c r="G1883">
        <f>IF(AND(1881&gt;=16,TEXT(A1883,"yyyy-mm")&lt;&gt;TEXT(A1884,"yyyy-mm")),1,0)</f>
        <v/>
      </c>
      <c r="H1883">
        <f>IF(OR(H1882=1,G1883=1),1,0)</f>
        <v/>
      </c>
      <c r="I1883">
        <f>IF(H1882=0,1,SUMPRODUCT(J1882:N1882,B1883:F1883)+O1882*(1+0.00023125256064071564))</f>
        <v/>
      </c>
      <c r="J1883">
        <f>IF(G1883=1,0.2*R1883/B1883,J1882)</f>
        <v/>
      </c>
      <c r="K1883">
        <f>IF(G1883=1,0.2*R1883/C1883,K1882)</f>
        <v/>
      </c>
      <c r="L1883">
        <f>IF(G1883=1,0.2*R1883/D1883,L1882)</f>
        <v/>
      </c>
      <c r="M1883">
        <f>IF(G1883=1,0.2*R1883/E1883,M1882)</f>
        <v/>
      </c>
      <c r="N1883">
        <f>IF(G1883=1,0.2*R1883/F1883,N1882)</f>
        <v/>
      </c>
      <c r="O1883">
        <f>IF(G1883=1,R1883*(1-1.0),IF(H1882=0,1,O1882*(1+0.00023125256064071564)))</f>
        <v/>
      </c>
      <c r="P1883">
        <f>IF(G1883=1,IF(H1882=0,1,ABS(0.2-J1882*B1883/I1883)+ABS(0.2-K1882*C1883/I1883)+ABS(0.2-L1882*D1883/I1883)+ABS(0.2-M1882*E1883/I1883)+ABS(0.2-N1882*F1883/I1883)),0)</f>
        <v/>
      </c>
      <c r="Q1883">
        <f>P1883*0.0015</f>
        <v/>
      </c>
      <c r="R1883">
        <f>I1883*(1-Q1883)</f>
        <v/>
      </c>
      <c r="S1883">
        <f>R1883/R1882-1</f>
        <v/>
      </c>
      <c r="T1883">
        <f>MAX(T1882,R1883)</f>
        <v/>
      </c>
      <c r="U1883">
        <f>R1883/T1883-1</f>
        <v/>
      </c>
      <c r="V1883" t="n">
        <v>3.521005898368128</v>
      </c>
      <c r="W1883" s="5">
        <f>R1883-V1883</f>
        <v/>
      </c>
    </row>
    <row r="1884">
      <c r="A1884" s="3" t="n">
        <v>41205</v>
      </c>
      <c r="B1884">
        <f>Prices!B1884</f>
        <v/>
      </c>
      <c r="C1884">
        <f>Prices!C1884</f>
        <v/>
      </c>
      <c r="D1884">
        <f>Prices!D1884</f>
        <v/>
      </c>
      <c r="E1884">
        <f>Prices!E1884</f>
        <v/>
      </c>
      <c r="F1884">
        <f>Prices!F1884</f>
        <v/>
      </c>
      <c r="G1884">
        <f>IF(AND(1882&gt;=16,TEXT(A1884,"yyyy-mm")&lt;&gt;TEXT(A1885,"yyyy-mm")),1,0)</f>
        <v/>
      </c>
      <c r="H1884">
        <f>IF(OR(H1883=1,G1884=1),1,0)</f>
        <v/>
      </c>
      <c r="I1884">
        <f>IF(H1883=0,1,SUMPRODUCT(J1883:N1883,B1884:F1884)+O1883*(1+0.00023125256064071564))</f>
        <v/>
      </c>
      <c r="J1884">
        <f>IF(G1884=1,0.2*R1884/B1884,J1883)</f>
        <v/>
      </c>
      <c r="K1884">
        <f>IF(G1884=1,0.2*R1884/C1884,K1883)</f>
        <v/>
      </c>
      <c r="L1884">
        <f>IF(G1884=1,0.2*R1884/D1884,L1883)</f>
        <v/>
      </c>
      <c r="M1884">
        <f>IF(G1884=1,0.2*R1884/E1884,M1883)</f>
        <v/>
      </c>
      <c r="N1884">
        <f>IF(G1884=1,0.2*R1884/F1884,N1883)</f>
        <v/>
      </c>
      <c r="O1884">
        <f>IF(G1884=1,R1884*(1-1.0),IF(H1883=0,1,O1883*(1+0.00023125256064071564)))</f>
        <v/>
      </c>
      <c r="P1884">
        <f>IF(G1884=1,IF(H1883=0,1,ABS(0.2-J1883*B1884/I1884)+ABS(0.2-K1883*C1884/I1884)+ABS(0.2-L1883*D1884/I1884)+ABS(0.2-M1883*E1884/I1884)+ABS(0.2-N1883*F1884/I1884)),0)</f>
        <v/>
      </c>
      <c r="Q1884">
        <f>P1884*0.0015</f>
        <v/>
      </c>
      <c r="R1884">
        <f>I1884*(1-Q1884)</f>
        <v/>
      </c>
      <c r="S1884">
        <f>R1884/R1883-1</f>
        <v/>
      </c>
      <c r="T1884">
        <f>MAX(T1883,R1884)</f>
        <v/>
      </c>
      <c r="U1884">
        <f>R1884/T1884-1</f>
        <v/>
      </c>
      <c r="V1884" t="n">
        <v>3.514512537325058</v>
      </c>
      <c r="W1884" s="5">
        <f>R1884-V1884</f>
        <v/>
      </c>
    </row>
    <row r="1885">
      <c r="A1885" s="3" t="n">
        <v>41207</v>
      </c>
      <c r="B1885">
        <f>Prices!B1885</f>
        <v/>
      </c>
      <c r="C1885">
        <f>Prices!C1885</f>
        <v/>
      </c>
      <c r="D1885">
        <f>Prices!D1885</f>
        <v/>
      </c>
      <c r="E1885">
        <f>Prices!E1885</f>
        <v/>
      </c>
      <c r="F1885">
        <f>Prices!F1885</f>
        <v/>
      </c>
      <c r="G1885">
        <f>IF(AND(1883&gt;=16,TEXT(A1885,"yyyy-mm")&lt;&gt;TEXT(A1886,"yyyy-mm")),1,0)</f>
        <v/>
      </c>
      <c r="H1885">
        <f>IF(OR(H1884=1,G1885=1),1,0)</f>
        <v/>
      </c>
      <c r="I1885">
        <f>IF(H1884=0,1,SUMPRODUCT(J1884:N1884,B1885:F1885)+O1884*(1+0.00023125256064071564))</f>
        <v/>
      </c>
      <c r="J1885">
        <f>IF(G1885=1,0.2*R1885/B1885,J1884)</f>
        <v/>
      </c>
      <c r="K1885">
        <f>IF(G1885=1,0.2*R1885/C1885,K1884)</f>
        <v/>
      </c>
      <c r="L1885">
        <f>IF(G1885=1,0.2*R1885/D1885,L1884)</f>
        <v/>
      </c>
      <c r="M1885">
        <f>IF(G1885=1,0.2*R1885/E1885,M1884)</f>
        <v/>
      </c>
      <c r="N1885">
        <f>IF(G1885=1,0.2*R1885/F1885,N1884)</f>
        <v/>
      </c>
      <c r="O1885">
        <f>IF(G1885=1,R1885*(1-1.0),IF(H1884=0,1,O1884*(1+0.00023125256064071564)))</f>
        <v/>
      </c>
      <c r="P1885">
        <f>IF(G1885=1,IF(H1884=0,1,ABS(0.2-J1884*B1885/I1885)+ABS(0.2-K1884*C1885/I1885)+ABS(0.2-L1884*D1885/I1885)+ABS(0.2-M1884*E1885/I1885)+ABS(0.2-N1884*F1885/I1885)),0)</f>
        <v/>
      </c>
      <c r="Q1885">
        <f>P1885*0.0015</f>
        <v/>
      </c>
      <c r="R1885">
        <f>I1885*(1-Q1885)</f>
        <v/>
      </c>
      <c r="S1885">
        <f>R1885/R1884-1</f>
        <v/>
      </c>
      <c r="T1885">
        <f>MAX(T1884,R1885)</f>
        <v/>
      </c>
      <c r="U1885">
        <f>R1885/T1885-1</f>
        <v/>
      </c>
      <c r="V1885" t="n">
        <v>3.514197154451967</v>
      </c>
      <c r="W1885" s="5">
        <f>R1885-V1885</f>
        <v/>
      </c>
    </row>
    <row r="1886">
      <c r="A1886" s="3" t="n">
        <v>41208</v>
      </c>
      <c r="B1886">
        <f>Prices!B1886</f>
        <v/>
      </c>
      <c r="C1886">
        <f>Prices!C1886</f>
        <v/>
      </c>
      <c r="D1886">
        <f>Prices!D1886</f>
        <v/>
      </c>
      <c r="E1886">
        <f>Prices!E1886</f>
        <v/>
      </c>
      <c r="F1886">
        <f>Prices!F1886</f>
        <v/>
      </c>
      <c r="G1886">
        <f>IF(AND(1884&gt;=16,TEXT(A1886,"yyyy-mm")&lt;&gt;TEXT(A1887,"yyyy-mm")),1,0)</f>
        <v/>
      </c>
      <c r="H1886">
        <f>IF(OR(H1885=1,G1886=1),1,0)</f>
        <v/>
      </c>
      <c r="I1886">
        <f>IF(H1885=0,1,SUMPRODUCT(J1885:N1885,B1886:F1886)+O1885*(1+0.00023125256064071564))</f>
        <v/>
      </c>
      <c r="J1886">
        <f>IF(G1886=1,0.2*R1886/B1886,J1885)</f>
        <v/>
      </c>
      <c r="K1886">
        <f>IF(G1886=1,0.2*R1886/C1886,K1885)</f>
        <v/>
      </c>
      <c r="L1886">
        <f>IF(G1886=1,0.2*R1886/D1886,L1885)</f>
        <v/>
      </c>
      <c r="M1886">
        <f>IF(G1886=1,0.2*R1886/E1886,M1885)</f>
        <v/>
      </c>
      <c r="N1886">
        <f>IF(G1886=1,0.2*R1886/F1886,N1885)</f>
        <v/>
      </c>
      <c r="O1886">
        <f>IF(G1886=1,R1886*(1-1.0),IF(H1885=0,1,O1885*(1+0.00023125256064071564)))</f>
        <v/>
      </c>
      <c r="P1886">
        <f>IF(G1886=1,IF(H1885=0,1,ABS(0.2-J1885*B1886/I1886)+ABS(0.2-K1885*C1886/I1886)+ABS(0.2-L1885*D1886/I1886)+ABS(0.2-M1885*E1886/I1886)+ABS(0.2-N1885*F1886/I1886)),0)</f>
        <v/>
      </c>
      <c r="Q1886">
        <f>P1886*0.0015</f>
        <v/>
      </c>
      <c r="R1886">
        <f>I1886*(1-Q1886)</f>
        <v/>
      </c>
      <c r="S1886">
        <f>R1886/R1885-1</f>
        <v/>
      </c>
      <c r="T1886">
        <f>MAX(T1885,R1886)</f>
        <v/>
      </c>
      <c r="U1886">
        <f>R1886/T1886-1</f>
        <v/>
      </c>
      <c r="V1886" t="n">
        <v>3.481240776347311</v>
      </c>
      <c r="W1886" s="5">
        <f>R1886-V1886</f>
        <v/>
      </c>
    </row>
    <row r="1887">
      <c r="A1887" s="3" t="n">
        <v>41211</v>
      </c>
      <c r="B1887">
        <f>Prices!B1887</f>
        <v/>
      </c>
      <c r="C1887">
        <f>Prices!C1887</f>
        <v/>
      </c>
      <c r="D1887">
        <f>Prices!D1887</f>
        <v/>
      </c>
      <c r="E1887">
        <f>Prices!E1887</f>
        <v/>
      </c>
      <c r="F1887">
        <f>Prices!F1887</f>
        <v/>
      </c>
      <c r="G1887">
        <f>IF(AND(1885&gt;=16,TEXT(A1887,"yyyy-mm")&lt;&gt;TEXT(A1888,"yyyy-mm")),1,0)</f>
        <v/>
      </c>
      <c r="H1887">
        <f>IF(OR(H1886=1,G1887=1),1,0)</f>
        <v/>
      </c>
      <c r="I1887">
        <f>IF(H1886=0,1,SUMPRODUCT(J1886:N1886,B1887:F1887)+O1886*(1+0.00023125256064071564))</f>
        <v/>
      </c>
      <c r="J1887">
        <f>IF(G1887=1,0.2*R1887/B1887,J1886)</f>
        <v/>
      </c>
      <c r="K1887">
        <f>IF(G1887=1,0.2*R1887/C1887,K1886)</f>
        <v/>
      </c>
      <c r="L1887">
        <f>IF(G1887=1,0.2*R1887/D1887,L1886)</f>
        <v/>
      </c>
      <c r="M1887">
        <f>IF(G1887=1,0.2*R1887/E1887,M1886)</f>
        <v/>
      </c>
      <c r="N1887">
        <f>IF(G1887=1,0.2*R1887/F1887,N1886)</f>
        <v/>
      </c>
      <c r="O1887">
        <f>IF(G1887=1,R1887*(1-1.0),IF(H1886=0,1,O1886*(1+0.00023125256064071564)))</f>
        <v/>
      </c>
      <c r="P1887">
        <f>IF(G1887=1,IF(H1886=0,1,ABS(0.2-J1886*B1887/I1887)+ABS(0.2-K1886*C1887/I1887)+ABS(0.2-L1886*D1887/I1887)+ABS(0.2-M1886*E1887/I1887)+ABS(0.2-N1886*F1887/I1887)),0)</f>
        <v/>
      </c>
      <c r="Q1887">
        <f>P1887*0.0015</f>
        <v/>
      </c>
      <c r="R1887">
        <f>I1887*(1-Q1887)</f>
        <v/>
      </c>
      <c r="S1887">
        <f>R1887/R1886-1</f>
        <v/>
      </c>
      <c r="T1887">
        <f>MAX(T1886,R1887)</f>
        <v/>
      </c>
      <c r="U1887">
        <f>R1887/T1887-1</f>
        <v/>
      </c>
      <c r="V1887" t="n">
        <v>3.469781195599364</v>
      </c>
      <c r="W1887" s="5">
        <f>R1887-V1887</f>
        <v/>
      </c>
    </row>
    <row r="1888">
      <c r="A1888" s="3" t="n">
        <v>41212</v>
      </c>
      <c r="B1888">
        <f>Prices!B1888</f>
        <v/>
      </c>
      <c r="C1888">
        <f>Prices!C1888</f>
        <v/>
      </c>
      <c r="D1888">
        <f>Prices!D1888</f>
        <v/>
      </c>
      <c r="E1888">
        <f>Prices!E1888</f>
        <v/>
      </c>
      <c r="F1888">
        <f>Prices!F1888</f>
        <v/>
      </c>
      <c r="G1888">
        <f>IF(AND(1886&gt;=16,TEXT(A1888,"yyyy-mm")&lt;&gt;TEXT(A1889,"yyyy-mm")),1,0)</f>
        <v/>
      </c>
      <c r="H1888">
        <f>IF(OR(H1887=1,G1888=1),1,0)</f>
        <v/>
      </c>
      <c r="I1888">
        <f>IF(H1887=0,1,SUMPRODUCT(J1887:N1887,B1888:F1888)+O1887*(1+0.00023125256064071564))</f>
        <v/>
      </c>
      <c r="J1888">
        <f>IF(G1888=1,0.2*R1888/B1888,J1887)</f>
        <v/>
      </c>
      <c r="K1888">
        <f>IF(G1888=1,0.2*R1888/C1888,K1887)</f>
        <v/>
      </c>
      <c r="L1888">
        <f>IF(G1888=1,0.2*R1888/D1888,L1887)</f>
        <v/>
      </c>
      <c r="M1888">
        <f>IF(G1888=1,0.2*R1888/E1888,M1887)</f>
        <v/>
      </c>
      <c r="N1888">
        <f>IF(G1888=1,0.2*R1888/F1888,N1887)</f>
        <v/>
      </c>
      <c r="O1888">
        <f>IF(G1888=1,R1888*(1-1.0),IF(H1887=0,1,O1887*(1+0.00023125256064071564)))</f>
        <v/>
      </c>
      <c r="P1888">
        <f>IF(G1888=1,IF(H1887=0,1,ABS(0.2-J1887*B1888/I1888)+ABS(0.2-K1887*C1888/I1888)+ABS(0.2-L1887*D1888/I1888)+ABS(0.2-M1887*E1888/I1888)+ABS(0.2-N1887*F1888/I1888)),0)</f>
        <v/>
      </c>
      <c r="Q1888">
        <f>P1888*0.0015</f>
        <v/>
      </c>
      <c r="R1888">
        <f>I1888*(1-Q1888)</f>
        <v/>
      </c>
      <c r="S1888">
        <f>R1888/R1887-1</f>
        <v/>
      </c>
      <c r="T1888">
        <f>MAX(T1887,R1888)</f>
        <v/>
      </c>
      <c r="U1888">
        <f>R1888/T1888-1</f>
        <v/>
      </c>
      <c r="V1888" t="n">
        <v>3.438793813982253</v>
      </c>
      <c r="W1888" s="5">
        <f>R1888-V1888</f>
        <v/>
      </c>
    </row>
    <row r="1889">
      <c r="A1889" s="3" t="n">
        <v>41213</v>
      </c>
      <c r="B1889">
        <f>Prices!B1889</f>
        <v/>
      </c>
      <c r="C1889">
        <f>Prices!C1889</f>
        <v/>
      </c>
      <c r="D1889">
        <f>Prices!D1889</f>
        <v/>
      </c>
      <c r="E1889">
        <f>Prices!E1889</f>
        <v/>
      </c>
      <c r="F1889">
        <f>Prices!F1889</f>
        <v/>
      </c>
      <c r="G1889">
        <f>IF(AND(1887&gt;=16,TEXT(A1889,"yyyy-mm")&lt;&gt;TEXT(A1890,"yyyy-mm")),1,0)</f>
        <v/>
      </c>
      <c r="H1889">
        <f>IF(OR(H1888=1,G1889=1),1,0)</f>
        <v/>
      </c>
      <c r="I1889">
        <f>IF(H1888=0,1,SUMPRODUCT(J1888:N1888,B1889:F1889)+O1888*(1+0.00023125256064071564))</f>
        <v/>
      </c>
      <c r="J1889">
        <f>IF(G1889=1,0.2*R1889/B1889,J1888)</f>
        <v/>
      </c>
      <c r="K1889">
        <f>IF(G1889=1,0.2*R1889/C1889,K1888)</f>
        <v/>
      </c>
      <c r="L1889">
        <f>IF(G1889=1,0.2*R1889/D1889,L1888)</f>
        <v/>
      </c>
      <c r="M1889">
        <f>IF(G1889=1,0.2*R1889/E1889,M1888)</f>
        <v/>
      </c>
      <c r="N1889">
        <f>IF(G1889=1,0.2*R1889/F1889,N1888)</f>
        <v/>
      </c>
      <c r="O1889">
        <f>IF(G1889=1,R1889*(1-1.0),IF(H1888=0,1,O1888*(1+0.00023125256064071564)))</f>
        <v/>
      </c>
      <c r="P1889">
        <f>IF(G1889=1,IF(H1888=0,1,ABS(0.2-J1888*B1889/I1889)+ABS(0.2-K1888*C1889/I1889)+ABS(0.2-L1888*D1889/I1889)+ABS(0.2-M1888*E1889/I1889)+ABS(0.2-N1888*F1889/I1889)),0)</f>
        <v/>
      </c>
      <c r="Q1889">
        <f>P1889*0.0015</f>
        <v/>
      </c>
      <c r="R1889">
        <f>I1889*(1-Q1889)</f>
        <v/>
      </c>
      <c r="S1889">
        <f>R1889/R1888-1</f>
        <v/>
      </c>
      <c r="T1889">
        <f>MAX(T1888,R1889)</f>
        <v/>
      </c>
      <c r="U1889">
        <f>R1889/T1889-1</f>
        <v/>
      </c>
      <c r="V1889" t="n">
        <v>3.468737790624603</v>
      </c>
      <c r="W1889" s="5">
        <f>R1889-V1889</f>
        <v/>
      </c>
    </row>
    <row r="1890">
      <c r="A1890" s="3" t="n">
        <v>41214</v>
      </c>
      <c r="B1890">
        <f>Prices!B1890</f>
        <v/>
      </c>
      <c r="C1890">
        <f>Prices!C1890</f>
        <v/>
      </c>
      <c r="D1890">
        <f>Prices!D1890</f>
        <v/>
      </c>
      <c r="E1890">
        <f>Prices!E1890</f>
        <v/>
      </c>
      <c r="F1890">
        <f>Prices!F1890</f>
        <v/>
      </c>
      <c r="G1890">
        <f>IF(AND(1888&gt;=16,TEXT(A1890,"yyyy-mm")&lt;&gt;TEXT(A1891,"yyyy-mm")),1,0)</f>
        <v/>
      </c>
      <c r="H1890">
        <f>IF(OR(H1889=1,G1890=1),1,0)</f>
        <v/>
      </c>
      <c r="I1890">
        <f>IF(H1889=0,1,SUMPRODUCT(J1889:N1889,B1890:F1890)+O1889*(1+0.00023125256064071564))</f>
        <v/>
      </c>
      <c r="J1890">
        <f>IF(G1890=1,0.2*R1890/B1890,J1889)</f>
        <v/>
      </c>
      <c r="K1890">
        <f>IF(G1890=1,0.2*R1890/C1890,K1889)</f>
        <v/>
      </c>
      <c r="L1890">
        <f>IF(G1890=1,0.2*R1890/D1890,L1889)</f>
        <v/>
      </c>
      <c r="M1890">
        <f>IF(G1890=1,0.2*R1890/E1890,M1889)</f>
        <v/>
      </c>
      <c r="N1890">
        <f>IF(G1890=1,0.2*R1890/F1890,N1889)</f>
        <v/>
      </c>
      <c r="O1890">
        <f>IF(G1890=1,R1890*(1-1.0),IF(H1889=0,1,O1889*(1+0.00023125256064071564)))</f>
        <v/>
      </c>
      <c r="P1890">
        <f>IF(G1890=1,IF(H1889=0,1,ABS(0.2-J1889*B1890/I1890)+ABS(0.2-K1889*C1890/I1890)+ABS(0.2-L1889*D1890/I1890)+ABS(0.2-M1889*E1890/I1890)+ABS(0.2-N1889*F1890/I1890)),0)</f>
        <v/>
      </c>
      <c r="Q1890">
        <f>P1890*0.0015</f>
        <v/>
      </c>
      <c r="R1890">
        <f>I1890*(1-Q1890)</f>
        <v/>
      </c>
      <c r="S1890">
        <f>R1890/R1889-1</f>
        <v/>
      </c>
      <c r="T1890">
        <f>MAX(T1889,R1890)</f>
        <v/>
      </c>
      <c r="U1890">
        <f>R1890/T1890-1</f>
        <v/>
      </c>
      <c r="V1890" t="n">
        <v>3.49389296007185</v>
      </c>
      <c r="W1890" s="5">
        <f>R1890-V1890</f>
        <v/>
      </c>
    </row>
    <row r="1891">
      <c r="A1891" s="3" t="n">
        <v>41215</v>
      </c>
      <c r="B1891">
        <f>Prices!B1891</f>
        <v/>
      </c>
      <c r="C1891">
        <f>Prices!C1891</f>
        <v/>
      </c>
      <c r="D1891">
        <f>Prices!D1891</f>
        <v/>
      </c>
      <c r="E1891">
        <f>Prices!E1891</f>
        <v/>
      </c>
      <c r="F1891">
        <f>Prices!F1891</f>
        <v/>
      </c>
      <c r="G1891">
        <f>IF(AND(1889&gt;=16,TEXT(A1891,"yyyy-mm")&lt;&gt;TEXT(A1892,"yyyy-mm")),1,0)</f>
        <v/>
      </c>
      <c r="H1891">
        <f>IF(OR(H1890=1,G1891=1),1,0)</f>
        <v/>
      </c>
      <c r="I1891">
        <f>IF(H1890=0,1,SUMPRODUCT(J1890:N1890,B1891:F1891)+O1890*(1+0.00023125256064071564))</f>
        <v/>
      </c>
      <c r="J1891">
        <f>IF(G1891=1,0.2*R1891/B1891,J1890)</f>
        <v/>
      </c>
      <c r="K1891">
        <f>IF(G1891=1,0.2*R1891/C1891,K1890)</f>
        <v/>
      </c>
      <c r="L1891">
        <f>IF(G1891=1,0.2*R1891/D1891,L1890)</f>
        <v/>
      </c>
      <c r="M1891">
        <f>IF(G1891=1,0.2*R1891/E1891,M1890)</f>
        <v/>
      </c>
      <c r="N1891">
        <f>IF(G1891=1,0.2*R1891/F1891,N1890)</f>
        <v/>
      </c>
      <c r="O1891">
        <f>IF(G1891=1,R1891*(1-1.0),IF(H1890=0,1,O1890*(1+0.00023125256064071564)))</f>
        <v/>
      </c>
      <c r="P1891">
        <f>IF(G1891=1,IF(H1890=0,1,ABS(0.2-J1890*B1891/I1891)+ABS(0.2-K1890*C1891/I1891)+ABS(0.2-L1890*D1891/I1891)+ABS(0.2-M1890*E1891/I1891)+ABS(0.2-N1890*F1891/I1891)),0)</f>
        <v/>
      </c>
      <c r="Q1891">
        <f>P1891*0.0015</f>
        <v/>
      </c>
      <c r="R1891">
        <f>I1891*(1-Q1891)</f>
        <v/>
      </c>
      <c r="S1891">
        <f>R1891/R1890-1</f>
        <v/>
      </c>
      <c r="T1891">
        <f>MAX(T1890,R1891)</f>
        <v/>
      </c>
      <c r="U1891">
        <f>R1891/T1891-1</f>
        <v/>
      </c>
      <c r="V1891" t="n">
        <v>3.513166171784154</v>
      </c>
      <c r="W1891" s="5">
        <f>R1891-V1891</f>
        <v/>
      </c>
    </row>
    <row r="1892">
      <c r="A1892" s="3" t="n">
        <v>41218</v>
      </c>
      <c r="B1892">
        <f>Prices!B1892</f>
        <v/>
      </c>
      <c r="C1892">
        <f>Prices!C1892</f>
        <v/>
      </c>
      <c r="D1892">
        <f>Prices!D1892</f>
        <v/>
      </c>
      <c r="E1892">
        <f>Prices!E1892</f>
        <v/>
      </c>
      <c r="F1892">
        <f>Prices!F1892</f>
        <v/>
      </c>
      <c r="G1892">
        <f>IF(AND(1890&gt;=16,TEXT(A1892,"yyyy-mm")&lt;&gt;TEXT(A1893,"yyyy-mm")),1,0)</f>
        <v/>
      </c>
      <c r="H1892">
        <f>IF(OR(H1891=1,G1892=1),1,0)</f>
        <v/>
      </c>
      <c r="I1892">
        <f>IF(H1891=0,1,SUMPRODUCT(J1891:N1891,B1892:F1892)+O1891*(1+0.00023125256064071564))</f>
        <v/>
      </c>
      <c r="J1892">
        <f>IF(G1892=1,0.2*R1892/B1892,J1891)</f>
        <v/>
      </c>
      <c r="K1892">
        <f>IF(G1892=1,0.2*R1892/C1892,K1891)</f>
        <v/>
      </c>
      <c r="L1892">
        <f>IF(G1892=1,0.2*R1892/D1892,L1891)</f>
        <v/>
      </c>
      <c r="M1892">
        <f>IF(G1892=1,0.2*R1892/E1892,M1891)</f>
        <v/>
      </c>
      <c r="N1892">
        <f>IF(G1892=1,0.2*R1892/F1892,N1891)</f>
        <v/>
      </c>
      <c r="O1892">
        <f>IF(G1892=1,R1892*(1-1.0),IF(H1891=0,1,O1891*(1+0.00023125256064071564)))</f>
        <v/>
      </c>
      <c r="P1892">
        <f>IF(G1892=1,IF(H1891=0,1,ABS(0.2-J1891*B1892/I1892)+ABS(0.2-K1891*C1892/I1892)+ABS(0.2-L1891*D1892/I1892)+ABS(0.2-M1891*E1892/I1892)+ABS(0.2-N1891*F1892/I1892)),0)</f>
        <v/>
      </c>
      <c r="Q1892">
        <f>P1892*0.0015</f>
        <v/>
      </c>
      <c r="R1892">
        <f>I1892*(1-Q1892)</f>
        <v/>
      </c>
      <c r="S1892">
        <f>R1892/R1891-1</f>
        <v/>
      </c>
      <c r="T1892">
        <f>MAX(T1891,R1892)</f>
        <v/>
      </c>
      <c r="U1892">
        <f>R1892/T1892-1</f>
        <v/>
      </c>
      <c r="V1892" t="n">
        <v>3.509362502063114</v>
      </c>
      <c r="W1892" s="5">
        <f>R1892-V1892</f>
        <v/>
      </c>
    </row>
    <row r="1893">
      <c r="A1893" s="3" t="n">
        <v>41219</v>
      </c>
      <c r="B1893">
        <f>Prices!B1893</f>
        <v/>
      </c>
      <c r="C1893">
        <f>Prices!C1893</f>
        <v/>
      </c>
      <c r="D1893">
        <f>Prices!D1893</f>
        <v/>
      </c>
      <c r="E1893">
        <f>Prices!E1893</f>
        <v/>
      </c>
      <c r="F1893">
        <f>Prices!F1893</f>
        <v/>
      </c>
      <c r="G1893">
        <f>IF(AND(1891&gt;=16,TEXT(A1893,"yyyy-mm")&lt;&gt;TEXT(A1894,"yyyy-mm")),1,0)</f>
        <v/>
      </c>
      <c r="H1893">
        <f>IF(OR(H1892=1,G1893=1),1,0)</f>
        <v/>
      </c>
      <c r="I1893">
        <f>IF(H1892=0,1,SUMPRODUCT(J1892:N1892,B1893:F1893)+O1892*(1+0.00023125256064071564))</f>
        <v/>
      </c>
      <c r="J1893">
        <f>IF(G1893=1,0.2*R1893/B1893,J1892)</f>
        <v/>
      </c>
      <c r="K1893">
        <f>IF(G1893=1,0.2*R1893/C1893,K1892)</f>
        <v/>
      </c>
      <c r="L1893">
        <f>IF(G1893=1,0.2*R1893/D1893,L1892)</f>
        <v/>
      </c>
      <c r="M1893">
        <f>IF(G1893=1,0.2*R1893/E1893,M1892)</f>
        <v/>
      </c>
      <c r="N1893">
        <f>IF(G1893=1,0.2*R1893/F1893,N1892)</f>
        <v/>
      </c>
      <c r="O1893">
        <f>IF(G1893=1,R1893*(1-1.0),IF(H1892=0,1,O1892*(1+0.00023125256064071564)))</f>
        <v/>
      </c>
      <c r="P1893">
        <f>IF(G1893=1,IF(H1892=0,1,ABS(0.2-J1892*B1893/I1893)+ABS(0.2-K1892*C1893/I1893)+ABS(0.2-L1892*D1893/I1893)+ABS(0.2-M1892*E1893/I1893)+ABS(0.2-N1892*F1893/I1893)),0)</f>
        <v/>
      </c>
      <c r="Q1893">
        <f>P1893*0.0015</f>
        <v/>
      </c>
      <c r="R1893">
        <f>I1893*(1-Q1893)</f>
        <v/>
      </c>
      <c r="S1893">
        <f>R1893/R1892-1</f>
        <v/>
      </c>
      <c r="T1893">
        <f>MAX(T1892,R1893)</f>
        <v/>
      </c>
      <c r="U1893">
        <f>R1893/T1893-1</f>
        <v/>
      </c>
      <c r="V1893" t="n">
        <v>3.538135046664687</v>
      </c>
      <c r="W1893" s="5">
        <f>R1893-V1893</f>
        <v/>
      </c>
    </row>
    <row r="1894">
      <c r="A1894" s="3" t="n">
        <v>41220</v>
      </c>
      <c r="B1894">
        <f>Prices!B1894</f>
        <v/>
      </c>
      <c r="C1894">
        <f>Prices!C1894</f>
        <v/>
      </c>
      <c r="D1894">
        <f>Prices!D1894</f>
        <v/>
      </c>
      <c r="E1894">
        <f>Prices!E1894</f>
        <v/>
      </c>
      <c r="F1894">
        <f>Prices!F1894</f>
        <v/>
      </c>
      <c r="G1894">
        <f>IF(AND(1892&gt;=16,TEXT(A1894,"yyyy-mm")&lt;&gt;TEXT(A1895,"yyyy-mm")),1,0)</f>
        <v/>
      </c>
      <c r="H1894">
        <f>IF(OR(H1893=1,G1894=1),1,0)</f>
        <v/>
      </c>
      <c r="I1894">
        <f>IF(H1893=0,1,SUMPRODUCT(J1893:N1893,B1894:F1894)+O1893*(1+0.00023125256064071564))</f>
        <v/>
      </c>
      <c r="J1894">
        <f>IF(G1894=1,0.2*R1894/B1894,J1893)</f>
        <v/>
      </c>
      <c r="K1894">
        <f>IF(G1894=1,0.2*R1894/C1894,K1893)</f>
        <v/>
      </c>
      <c r="L1894">
        <f>IF(G1894=1,0.2*R1894/D1894,L1893)</f>
        <v/>
      </c>
      <c r="M1894">
        <f>IF(G1894=1,0.2*R1894/E1894,M1893)</f>
        <v/>
      </c>
      <c r="N1894">
        <f>IF(G1894=1,0.2*R1894/F1894,N1893)</f>
        <v/>
      </c>
      <c r="O1894">
        <f>IF(G1894=1,R1894*(1-1.0),IF(H1893=0,1,O1893*(1+0.00023125256064071564)))</f>
        <v/>
      </c>
      <c r="P1894">
        <f>IF(G1894=1,IF(H1893=0,1,ABS(0.2-J1893*B1894/I1894)+ABS(0.2-K1893*C1894/I1894)+ABS(0.2-L1893*D1894/I1894)+ABS(0.2-M1893*E1894/I1894)+ABS(0.2-N1893*F1894/I1894)),0)</f>
        <v/>
      </c>
      <c r="Q1894">
        <f>P1894*0.0015</f>
        <v/>
      </c>
      <c r="R1894">
        <f>I1894*(1-Q1894)</f>
        <v/>
      </c>
      <c r="S1894">
        <f>R1894/R1893-1</f>
        <v/>
      </c>
      <c r="T1894">
        <f>MAX(T1893,R1894)</f>
        <v/>
      </c>
      <c r="U1894">
        <f>R1894/T1894-1</f>
        <v/>
      </c>
      <c r="V1894" t="n">
        <v>3.567046070083259</v>
      </c>
      <c r="W1894" s="5">
        <f>R1894-V1894</f>
        <v/>
      </c>
    </row>
    <row r="1895">
      <c r="A1895" s="3" t="n">
        <v>41221</v>
      </c>
      <c r="B1895">
        <f>Prices!B1895</f>
        <v/>
      </c>
      <c r="C1895">
        <f>Prices!C1895</f>
        <v/>
      </c>
      <c r="D1895">
        <f>Prices!D1895</f>
        <v/>
      </c>
      <c r="E1895">
        <f>Prices!E1895</f>
        <v/>
      </c>
      <c r="F1895">
        <f>Prices!F1895</f>
        <v/>
      </c>
      <c r="G1895">
        <f>IF(AND(1893&gt;=16,TEXT(A1895,"yyyy-mm")&lt;&gt;TEXT(A1896,"yyyy-mm")),1,0)</f>
        <v/>
      </c>
      <c r="H1895">
        <f>IF(OR(H1894=1,G1895=1),1,0)</f>
        <v/>
      </c>
      <c r="I1895">
        <f>IF(H1894=0,1,SUMPRODUCT(J1894:N1894,B1895:F1895)+O1894*(1+0.00023125256064071564))</f>
        <v/>
      </c>
      <c r="J1895">
        <f>IF(G1895=1,0.2*R1895/B1895,J1894)</f>
        <v/>
      </c>
      <c r="K1895">
        <f>IF(G1895=1,0.2*R1895/C1895,K1894)</f>
        <v/>
      </c>
      <c r="L1895">
        <f>IF(G1895=1,0.2*R1895/D1895,L1894)</f>
        <v/>
      </c>
      <c r="M1895">
        <f>IF(G1895=1,0.2*R1895/E1895,M1894)</f>
        <v/>
      </c>
      <c r="N1895">
        <f>IF(G1895=1,0.2*R1895/F1895,N1894)</f>
        <v/>
      </c>
      <c r="O1895">
        <f>IF(G1895=1,R1895*(1-1.0),IF(H1894=0,1,O1894*(1+0.00023125256064071564)))</f>
        <v/>
      </c>
      <c r="P1895">
        <f>IF(G1895=1,IF(H1894=0,1,ABS(0.2-J1894*B1895/I1895)+ABS(0.2-K1894*C1895/I1895)+ABS(0.2-L1894*D1895/I1895)+ABS(0.2-M1894*E1895/I1895)+ABS(0.2-N1894*F1895/I1895)),0)</f>
        <v/>
      </c>
      <c r="Q1895">
        <f>P1895*0.0015</f>
        <v/>
      </c>
      <c r="R1895">
        <f>I1895*(1-Q1895)</f>
        <v/>
      </c>
      <c r="S1895">
        <f>R1895/R1894-1</f>
        <v/>
      </c>
      <c r="T1895">
        <f>MAX(T1894,R1895)</f>
        <v/>
      </c>
      <c r="U1895">
        <f>R1895/T1895-1</f>
        <v/>
      </c>
      <c r="V1895" t="n">
        <v>3.570945616073541</v>
      </c>
      <c r="W1895" s="5">
        <f>R1895-V1895</f>
        <v/>
      </c>
    </row>
    <row r="1896">
      <c r="A1896" s="3" t="n">
        <v>41222</v>
      </c>
      <c r="B1896">
        <f>Prices!B1896</f>
        <v/>
      </c>
      <c r="C1896">
        <f>Prices!C1896</f>
        <v/>
      </c>
      <c r="D1896">
        <f>Prices!D1896</f>
        <v/>
      </c>
      <c r="E1896">
        <f>Prices!E1896</f>
        <v/>
      </c>
      <c r="F1896">
        <f>Prices!F1896</f>
        <v/>
      </c>
      <c r="G1896">
        <f>IF(AND(1894&gt;=16,TEXT(A1896,"yyyy-mm")&lt;&gt;TEXT(A1897,"yyyy-mm")),1,0)</f>
        <v/>
      </c>
      <c r="H1896">
        <f>IF(OR(H1895=1,G1896=1),1,0)</f>
        <v/>
      </c>
      <c r="I1896">
        <f>IF(H1895=0,1,SUMPRODUCT(J1895:N1895,B1896:F1896)+O1895*(1+0.00023125256064071564))</f>
        <v/>
      </c>
      <c r="J1896">
        <f>IF(G1896=1,0.2*R1896/B1896,J1895)</f>
        <v/>
      </c>
      <c r="K1896">
        <f>IF(G1896=1,0.2*R1896/C1896,K1895)</f>
        <v/>
      </c>
      <c r="L1896">
        <f>IF(G1896=1,0.2*R1896/D1896,L1895)</f>
        <v/>
      </c>
      <c r="M1896">
        <f>IF(G1896=1,0.2*R1896/E1896,M1895)</f>
        <v/>
      </c>
      <c r="N1896">
        <f>IF(G1896=1,0.2*R1896/F1896,N1895)</f>
        <v/>
      </c>
      <c r="O1896">
        <f>IF(G1896=1,R1896*(1-1.0),IF(H1895=0,1,O1895*(1+0.00023125256064071564)))</f>
        <v/>
      </c>
      <c r="P1896">
        <f>IF(G1896=1,IF(H1895=0,1,ABS(0.2-J1895*B1896/I1896)+ABS(0.2-K1895*C1896/I1896)+ABS(0.2-L1895*D1896/I1896)+ABS(0.2-M1895*E1896/I1896)+ABS(0.2-N1895*F1896/I1896)),0)</f>
        <v/>
      </c>
      <c r="Q1896">
        <f>P1896*0.0015</f>
        <v/>
      </c>
      <c r="R1896">
        <f>I1896*(1-Q1896)</f>
        <v/>
      </c>
      <c r="S1896">
        <f>R1896/R1895-1</f>
        <v/>
      </c>
      <c r="T1896">
        <f>MAX(T1895,R1896)</f>
        <v/>
      </c>
      <c r="U1896">
        <f>R1896/T1896-1</f>
        <v/>
      </c>
      <c r="V1896" t="n">
        <v>3.54041897981248</v>
      </c>
      <c r="W1896" s="5">
        <f>R1896-V1896</f>
        <v/>
      </c>
    </row>
    <row r="1897">
      <c r="A1897" s="3" t="n">
        <v>41225</v>
      </c>
      <c r="B1897">
        <f>Prices!B1897</f>
        <v/>
      </c>
      <c r="C1897">
        <f>Prices!C1897</f>
        <v/>
      </c>
      <c r="D1897">
        <f>Prices!D1897</f>
        <v/>
      </c>
      <c r="E1897">
        <f>Prices!E1897</f>
        <v/>
      </c>
      <c r="F1897">
        <f>Prices!F1897</f>
        <v/>
      </c>
      <c r="G1897">
        <f>IF(AND(1895&gt;=16,TEXT(A1897,"yyyy-mm")&lt;&gt;TEXT(A1898,"yyyy-mm")),1,0)</f>
        <v/>
      </c>
      <c r="H1897">
        <f>IF(OR(H1896=1,G1897=1),1,0)</f>
        <v/>
      </c>
      <c r="I1897">
        <f>IF(H1896=0,1,SUMPRODUCT(J1896:N1896,B1897:F1897)+O1896*(1+0.00023125256064071564))</f>
        <v/>
      </c>
      <c r="J1897">
        <f>IF(G1897=1,0.2*R1897/B1897,J1896)</f>
        <v/>
      </c>
      <c r="K1897">
        <f>IF(G1897=1,0.2*R1897/C1897,K1896)</f>
        <v/>
      </c>
      <c r="L1897">
        <f>IF(G1897=1,0.2*R1897/D1897,L1896)</f>
        <v/>
      </c>
      <c r="M1897">
        <f>IF(G1897=1,0.2*R1897/E1897,M1896)</f>
        <v/>
      </c>
      <c r="N1897">
        <f>IF(G1897=1,0.2*R1897/F1897,N1896)</f>
        <v/>
      </c>
      <c r="O1897">
        <f>IF(G1897=1,R1897*(1-1.0),IF(H1896=0,1,O1896*(1+0.00023125256064071564)))</f>
        <v/>
      </c>
      <c r="P1897">
        <f>IF(G1897=1,IF(H1896=0,1,ABS(0.2-J1896*B1897/I1897)+ABS(0.2-K1896*C1897/I1897)+ABS(0.2-L1896*D1897/I1897)+ABS(0.2-M1896*E1897/I1897)+ABS(0.2-N1896*F1897/I1897)),0)</f>
        <v/>
      </c>
      <c r="Q1897">
        <f>P1897*0.0015</f>
        <v/>
      </c>
      <c r="R1897">
        <f>I1897*(1-Q1897)</f>
        <v/>
      </c>
      <c r="S1897">
        <f>R1897/R1896-1</f>
        <v/>
      </c>
      <c r="T1897">
        <f>MAX(T1896,R1897)</f>
        <v/>
      </c>
      <c r="U1897">
        <f>R1897/T1897-1</f>
        <v/>
      </c>
      <c r="V1897" t="n">
        <v>3.566024133652913</v>
      </c>
      <c r="W1897" s="5">
        <f>R1897-V1897</f>
        <v/>
      </c>
    </row>
    <row r="1898">
      <c r="A1898" s="3" t="n">
        <v>41226</v>
      </c>
      <c r="B1898">
        <f>Prices!B1898</f>
        <v/>
      </c>
      <c r="C1898">
        <f>Prices!C1898</f>
        <v/>
      </c>
      <c r="D1898">
        <f>Prices!D1898</f>
        <v/>
      </c>
      <c r="E1898">
        <f>Prices!E1898</f>
        <v/>
      </c>
      <c r="F1898">
        <f>Prices!F1898</f>
        <v/>
      </c>
      <c r="G1898">
        <f>IF(AND(1896&gt;=16,TEXT(A1898,"yyyy-mm")&lt;&gt;TEXT(A1899,"yyyy-mm")),1,0)</f>
        <v/>
      </c>
      <c r="H1898">
        <f>IF(OR(H1897=1,G1898=1),1,0)</f>
        <v/>
      </c>
      <c r="I1898">
        <f>IF(H1897=0,1,SUMPRODUCT(J1897:N1897,B1898:F1898)+O1897*(1+0.00023125256064071564))</f>
        <v/>
      </c>
      <c r="J1898">
        <f>IF(G1898=1,0.2*R1898/B1898,J1897)</f>
        <v/>
      </c>
      <c r="K1898">
        <f>IF(G1898=1,0.2*R1898/C1898,K1897)</f>
        <v/>
      </c>
      <c r="L1898">
        <f>IF(G1898=1,0.2*R1898/D1898,L1897)</f>
        <v/>
      </c>
      <c r="M1898">
        <f>IF(G1898=1,0.2*R1898/E1898,M1897)</f>
        <v/>
      </c>
      <c r="N1898">
        <f>IF(G1898=1,0.2*R1898/F1898,N1897)</f>
        <v/>
      </c>
      <c r="O1898">
        <f>IF(G1898=1,R1898*(1-1.0),IF(H1897=0,1,O1897*(1+0.00023125256064071564)))</f>
        <v/>
      </c>
      <c r="P1898">
        <f>IF(G1898=1,IF(H1897=0,1,ABS(0.2-J1897*B1898/I1898)+ABS(0.2-K1897*C1898/I1898)+ABS(0.2-L1897*D1898/I1898)+ABS(0.2-M1897*E1898/I1898)+ABS(0.2-N1897*F1898/I1898)),0)</f>
        <v/>
      </c>
      <c r="Q1898">
        <f>P1898*0.0015</f>
        <v/>
      </c>
      <c r="R1898">
        <f>I1898*(1-Q1898)</f>
        <v/>
      </c>
      <c r="S1898">
        <f>R1898/R1897-1</f>
        <v/>
      </c>
      <c r="T1898">
        <f>MAX(T1897,R1898)</f>
        <v/>
      </c>
      <c r="U1898">
        <f>R1898/T1898-1</f>
        <v/>
      </c>
      <c r="V1898" t="n">
        <v>3.576664867664263</v>
      </c>
      <c r="W1898" s="5">
        <f>R1898-V1898</f>
        <v/>
      </c>
    </row>
    <row r="1899">
      <c r="A1899" s="3" t="n">
        <v>41228</v>
      </c>
      <c r="B1899">
        <f>Prices!B1899</f>
        <v/>
      </c>
      <c r="C1899">
        <f>Prices!C1899</f>
        <v/>
      </c>
      <c r="D1899">
        <f>Prices!D1899</f>
        <v/>
      </c>
      <c r="E1899">
        <f>Prices!E1899</f>
        <v/>
      </c>
      <c r="F1899">
        <f>Prices!F1899</f>
        <v/>
      </c>
      <c r="G1899">
        <f>IF(AND(1897&gt;=16,TEXT(A1899,"yyyy-mm")&lt;&gt;TEXT(A1900,"yyyy-mm")),1,0)</f>
        <v/>
      </c>
      <c r="H1899">
        <f>IF(OR(H1898=1,G1899=1),1,0)</f>
        <v/>
      </c>
      <c r="I1899">
        <f>IF(H1898=0,1,SUMPRODUCT(J1898:N1898,B1899:F1899)+O1898*(1+0.00023125256064071564))</f>
        <v/>
      </c>
      <c r="J1899">
        <f>IF(G1899=1,0.2*R1899/B1899,J1898)</f>
        <v/>
      </c>
      <c r="K1899">
        <f>IF(G1899=1,0.2*R1899/C1899,K1898)</f>
        <v/>
      </c>
      <c r="L1899">
        <f>IF(G1899=1,0.2*R1899/D1899,L1898)</f>
        <v/>
      </c>
      <c r="M1899">
        <f>IF(G1899=1,0.2*R1899/E1899,M1898)</f>
        <v/>
      </c>
      <c r="N1899">
        <f>IF(G1899=1,0.2*R1899/F1899,N1898)</f>
        <v/>
      </c>
      <c r="O1899">
        <f>IF(G1899=1,R1899*(1-1.0),IF(H1898=0,1,O1898*(1+0.00023125256064071564)))</f>
        <v/>
      </c>
      <c r="P1899">
        <f>IF(G1899=1,IF(H1898=0,1,ABS(0.2-J1898*B1899/I1899)+ABS(0.2-K1898*C1899/I1899)+ABS(0.2-L1898*D1899/I1899)+ABS(0.2-M1898*E1899/I1899)+ABS(0.2-N1898*F1899/I1899)),0)</f>
        <v/>
      </c>
      <c r="Q1899">
        <f>P1899*0.0015</f>
        <v/>
      </c>
      <c r="R1899">
        <f>I1899*(1-Q1899)</f>
        <v/>
      </c>
      <c r="S1899">
        <f>R1899/R1898-1</f>
        <v/>
      </c>
      <c r="T1899">
        <f>MAX(T1898,R1899)</f>
        <v/>
      </c>
      <c r="U1899">
        <f>R1899/T1899-1</f>
        <v/>
      </c>
      <c r="V1899" t="n">
        <v>3.56506784729056</v>
      </c>
      <c r="W1899" s="5">
        <f>R1899-V1899</f>
        <v/>
      </c>
    </row>
    <row r="1900">
      <c r="A1900" s="3" t="n">
        <v>41229</v>
      </c>
      <c r="B1900">
        <f>Prices!B1900</f>
        <v/>
      </c>
      <c r="C1900">
        <f>Prices!C1900</f>
        <v/>
      </c>
      <c r="D1900">
        <f>Prices!D1900</f>
        <v/>
      </c>
      <c r="E1900">
        <f>Prices!E1900</f>
        <v/>
      </c>
      <c r="F1900">
        <f>Prices!F1900</f>
        <v/>
      </c>
      <c r="G1900">
        <f>IF(AND(1898&gt;=16,TEXT(A1900,"yyyy-mm")&lt;&gt;TEXT(A1901,"yyyy-mm")),1,0)</f>
        <v/>
      </c>
      <c r="H1900">
        <f>IF(OR(H1899=1,G1900=1),1,0)</f>
        <v/>
      </c>
      <c r="I1900">
        <f>IF(H1899=0,1,SUMPRODUCT(J1899:N1899,B1900:F1900)+O1899*(1+0.00023125256064071564))</f>
        <v/>
      </c>
      <c r="J1900">
        <f>IF(G1900=1,0.2*R1900/B1900,J1899)</f>
        <v/>
      </c>
      <c r="K1900">
        <f>IF(G1900=1,0.2*R1900/C1900,K1899)</f>
        <v/>
      </c>
      <c r="L1900">
        <f>IF(G1900=1,0.2*R1900/D1900,L1899)</f>
        <v/>
      </c>
      <c r="M1900">
        <f>IF(G1900=1,0.2*R1900/E1900,M1899)</f>
        <v/>
      </c>
      <c r="N1900">
        <f>IF(G1900=1,0.2*R1900/F1900,N1899)</f>
        <v/>
      </c>
      <c r="O1900">
        <f>IF(G1900=1,R1900*(1-1.0),IF(H1899=0,1,O1899*(1+0.00023125256064071564)))</f>
        <v/>
      </c>
      <c r="P1900">
        <f>IF(G1900=1,IF(H1899=0,1,ABS(0.2-J1899*B1900/I1900)+ABS(0.2-K1899*C1900/I1900)+ABS(0.2-L1899*D1900/I1900)+ABS(0.2-M1899*E1900/I1900)+ABS(0.2-N1899*F1900/I1900)),0)</f>
        <v/>
      </c>
      <c r="Q1900">
        <f>P1900*0.0015</f>
        <v/>
      </c>
      <c r="R1900">
        <f>I1900*(1-Q1900)</f>
        <v/>
      </c>
      <c r="S1900">
        <f>R1900/R1899-1</f>
        <v/>
      </c>
      <c r="T1900">
        <f>MAX(T1899,R1900)</f>
        <v/>
      </c>
      <c r="U1900">
        <f>R1900/T1900-1</f>
        <v/>
      </c>
      <c r="V1900" t="n">
        <v>3.528430080736921</v>
      </c>
      <c r="W1900" s="5">
        <f>R1900-V1900</f>
        <v/>
      </c>
    </row>
    <row r="1901">
      <c r="A1901" s="3" t="n">
        <v>41232</v>
      </c>
      <c r="B1901">
        <f>Prices!B1901</f>
        <v/>
      </c>
      <c r="C1901">
        <f>Prices!C1901</f>
        <v/>
      </c>
      <c r="D1901">
        <f>Prices!D1901</f>
        <v/>
      </c>
      <c r="E1901">
        <f>Prices!E1901</f>
        <v/>
      </c>
      <c r="F1901">
        <f>Prices!F1901</f>
        <v/>
      </c>
      <c r="G1901">
        <f>IF(AND(1899&gt;=16,TEXT(A1901,"yyyy-mm")&lt;&gt;TEXT(A1902,"yyyy-mm")),1,0)</f>
        <v/>
      </c>
      <c r="H1901">
        <f>IF(OR(H1900=1,G1901=1),1,0)</f>
        <v/>
      </c>
      <c r="I1901">
        <f>IF(H1900=0,1,SUMPRODUCT(J1900:N1900,B1901:F1901)+O1900*(1+0.00023125256064071564))</f>
        <v/>
      </c>
      <c r="J1901">
        <f>IF(G1901=1,0.2*R1901/B1901,J1900)</f>
        <v/>
      </c>
      <c r="K1901">
        <f>IF(G1901=1,0.2*R1901/C1901,K1900)</f>
        <v/>
      </c>
      <c r="L1901">
        <f>IF(G1901=1,0.2*R1901/D1901,L1900)</f>
        <v/>
      </c>
      <c r="M1901">
        <f>IF(G1901=1,0.2*R1901/E1901,M1900)</f>
        <v/>
      </c>
      <c r="N1901">
        <f>IF(G1901=1,0.2*R1901/F1901,N1900)</f>
        <v/>
      </c>
      <c r="O1901">
        <f>IF(G1901=1,R1901*(1-1.0),IF(H1900=0,1,O1900*(1+0.00023125256064071564)))</f>
        <v/>
      </c>
      <c r="P1901">
        <f>IF(G1901=1,IF(H1900=0,1,ABS(0.2-J1900*B1901/I1901)+ABS(0.2-K1900*C1901/I1901)+ABS(0.2-L1900*D1901/I1901)+ABS(0.2-M1900*E1901/I1901)+ABS(0.2-N1900*F1901/I1901)),0)</f>
        <v/>
      </c>
      <c r="Q1901">
        <f>P1901*0.0015</f>
        <v/>
      </c>
      <c r="R1901">
        <f>I1901*(1-Q1901)</f>
        <v/>
      </c>
      <c r="S1901">
        <f>R1901/R1900-1</f>
        <v/>
      </c>
      <c r="T1901">
        <f>MAX(T1900,R1901)</f>
        <v/>
      </c>
      <c r="U1901">
        <f>R1901/T1901-1</f>
        <v/>
      </c>
      <c r="V1901" t="n">
        <v>3.506282801318257</v>
      </c>
      <c r="W1901" s="5">
        <f>R1901-V1901</f>
        <v/>
      </c>
    </row>
    <row r="1902">
      <c r="A1902" s="3" t="n">
        <v>41233</v>
      </c>
      <c r="B1902">
        <f>Prices!B1902</f>
        <v/>
      </c>
      <c r="C1902">
        <f>Prices!C1902</f>
        <v/>
      </c>
      <c r="D1902">
        <f>Prices!D1902</f>
        <v/>
      </c>
      <c r="E1902">
        <f>Prices!E1902</f>
        <v/>
      </c>
      <c r="F1902">
        <f>Prices!F1902</f>
        <v/>
      </c>
      <c r="G1902">
        <f>IF(AND(1900&gt;=16,TEXT(A1902,"yyyy-mm")&lt;&gt;TEXT(A1903,"yyyy-mm")),1,0)</f>
        <v/>
      </c>
      <c r="H1902">
        <f>IF(OR(H1901=1,G1902=1),1,0)</f>
        <v/>
      </c>
      <c r="I1902">
        <f>IF(H1901=0,1,SUMPRODUCT(J1901:N1901,B1902:F1902)+O1901*(1+0.00023125256064071564))</f>
        <v/>
      </c>
      <c r="J1902">
        <f>IF(G1902=1,0.2*R1902/B1902,J1901)</f>
        <v/>
      </c>
      <c r="K1902">
        <f>IF(G1902=1,0.2*R1902/C1902,K1901)</f>
        <v/>
      </c>
      <c r="L1902">
        <f>IF(G1902=1,0.2*R1902/D1902,L1901)</f>
        <v/>
      </c>
      <c r="M1902">
        <f>IF(G1902=1,0.2*R1902/E1902,M1901)</f>
        <v/>
      </c>
      <c r="N1902">
        <f>IF(G1902=1,0.2*R1902/F1902,N1901)</f>
        <v/>
      </c>
      <c r="O1902">
        <f>IF(G1902=1,R1902*(1-1.0),IF(H1901=0,1,O1901*(1+0.00023125256064071564)))</f>
        <v/>
      </c>
      <c r="P1902">
        <f>IF(G1902=1,IF(H1901=0,1,ABS(0.2-J1901*B1902/I1902)+ABS(0.2-K1901*C1902/I1902)+ABS(0.2-L1901*D1902/I1902)+ABS(0.2-M1901*E1902/I1902)+ABS(0.2-N1901*F1902/I1902)),0)</f>
        <v/>
      </c>
      <c r="Q1902">
        <f>P1902*0.0015</f>
        <v/>
      </c>
      <c r="R1902">
        <f>I1902*(1-Q1902)</f>
        <v/>
      </c>
      <c r="S1902">
        <f>R1902/R1901-1</f>
        <v/>
      </c>
      <c r="T1902">
        <f>MAX(T1901,R1902)</f>
        <v/>
      </c>
      <c r="U1902">
        <f>R1902/T1902-1</f>
        <v/>
      </c>
      <c r="V1902" t="n">
        <v>3.485679901810934</v>
      </c>
      <c r="W1902" s="5">
        <f>R1902-V1902</f>
        <v/>
      </c>
    </row>
    <row r="1903">
      <c r="A1903" s="3" t="n">
        <v>41234</v>
      </c>
      <c r="B1903">
        <f>Prices!B1903</f>
        <v/>
      </c>
      <c r="C1903">
        <f>Prices!C1903</f>
        <v/>
      </c>
      <c r="D1903">
        <f>Prices!D1903</f>
        <v/>
      </c>
      <c r="E1903">
        <f>Prices!E1903</f>
        <v/>
      </c>
      <c r="F1903">
        <f>Prices!F1903</f>
        <v/>
      </c>
      <c r="G1903">
        <f>IF(AND(1901&gt;=16,TEXT(A1903,"yyyy-mm")&lt;&gt;TEXT(A1904,"yyyy-mm")),1,0)</f>
        <v/>
      </c>
      <c r="H1903">
        <f>IF(OR(H1902=1,G1903=1),1,0)</f>
        <v/>
      </c>
      <c r="I1903">
        <f>IF(H1902=0,1,SUMPRODUCT(J1902:N1902,B1903:F1903)+O1902*(1+0.00023125256064071564))</f>
        <v/>
      </c>
      <c r="J1903">
        <f>IF(G1903=1,0.2*R1903/B1903,J1902)</f>
        <v/>
      </c>
      <c r="K1903">
        <f>IF(G1903=1,0.2*R1903/C1903,K1902)</f>
        <v/>
      </c>
      <c r="L1903">
        <f>IF(G1903=1,0.2*R1903/D1903,L1902)</f>
        <v/>
      </c>
      <c r="M1903">
        <f>IF(G1903=1,0.2*R1903/E1903,M1902)</f>
        <v/>
      </c>
      <c r="N1903">
        <f>IF(G1903=1,0.2*R1903/F1903,N1902)</f>
        <v/>
      </c>
      <c r="O1903">
        <f>IF(G1903=1,R1903*(1-1.0),IF(H1902=0,1,O1902*(1+0.00023125256064071564)))</f>
        <v/>
      </c>
      <c r="P1903">
        <f>IF(G1903=1,IF(H1902=0,1,ABS(0.2-J1902*B1903/I1903)+ABS(0.2-K1902*C1903/I1903)+ABS(0.2-L1902*D1903/I1903)+ABS(0.2-M1902*E1903/I1903)+ABS(0.2-N1902*F1903/I1903)),0)</f>
        <v/>
      </c>
      <c r="Q1903">
        <f>P1903*0.0015</f>
        <v/>
      </c>
      <c r="R1903">
        <f>I1903*(1-Q1903)</f>
        <v/>
      </c>
      <c r="S1903">
        <f>R1903/R1902-1</f>
        <v/>
      </c>
      <c r="T1903">
        <f>MAX(T1902,R1903)</f>
        <v/>
      </c>
      <c r="U1903">
        <f>R1903/T1903-1</f>
        <v/>
      </c>
      <c r="V1903" t="n">
        <v>3.508634063096279</v>
      </c>
      <c r="W1903" s="5">
        <f>R1903-V1903</f>
        <v/>
      </c>
    </row>
    <row r="1904">
      <c r="A1904" s="3" t="n">
        <v>41235</v>
      </c>
      <c r="B1904">
        <f>Prices!B1904</f>
        <v/>
      </c>
      <c r="C1904">
        <f>Prices!C1904</f>
        <v/>
      </c>
      <c r="D1904">
        <f>Prices!D1904</f>
        <v/>
      </c>
      <c r="E1904">
        <f>Prices!E1904</f>
        <v/>
      </c>
      <c r="F1904">
        <f>Prices!F1904</f>
        <v/>
      </c>
      <c r="G1904">
        <f>IF(AND(1902&gt;=16,TEXT(A1904,"yyyy-mm")&lt;&gt;TEXT(A1905,"yyyy-mm")),1,0)</f>
        <v/>
      </c>
      <c r="H1904">
        <f>IF(OR(H1903=1,G1904=1),1,0)</f>
        <v/>
      </c>
      <c r="I1904">
        <f>IF(H1903=0,1,SUMPRODUCT(J1903:N1903,B1904:F1904)+O1903*(1+0.00023125256064071564))</f>
        <v/>
      </c>
      <c r="J1904">
        <f>IF(G1904=1,0.2*R1904/B1904,J1903)</f>
        <v/>
      </c>
      <c r="K1904">
        <f>IF(G1904=1,0.2*R1904/C1904,K1903)</f>
        <v/>
      </c>
      <c r="L1904">
        <f>IF(G1904=1,0.2*R1904/D1904,L1903)</f>
        <v/>
      </c>
      <c r="M1904">
        <f>IF(G1904=1,0.2*R1904/E1904,M1903)</f>
        <v/>
      </c>
      <c r="N1904">
        <f>IF(G1904=1,0.2*R1904/F1904,N1903)</f>
        <v/>
      </c>
      <c r="O1904">
        <f>IF(G1904=1,R1904*(1-1.0),IF(H1903=0,1,O1903*(1+0.00023125256064071564)))</f>
        <v/>
      </c>
      <c r="P1904">
        <f>IF(G1904=1,IF(H1903=0,1,ABS(0.2-J1903*B1904/I1904)+ABS(0.2-K1903*C1904/I1904)+ABS(0.2-L1903*D1904/I1904)+ABS(0.2-M1903*E1904/I1904)+ABS(0.2-N1903*F1904/I1904)),0)</f>
        <v/>
      </c>
      <c r="Q1904">
        <f>P1904*0.0015</f>
        <v/>
      </c>
      <c r="R1904">
        <f>I1904*(1-Q1904)</f>
        <v/>
      </c>
      <c r="S1904">
        <f>R1904/R1903-1</f>
        <v/>
      </c>
      <c r="T1904">
        <f>MAX(T1903,R1904)</f>
        <v/>
      </c>
      <c r="U1904">
        <f>R1904/T1904-1</f>
        <v/>
      </c>
      <c r="V1904" t="n">
        <v>3.525154559255371</v>
      </c>
      <c r="W1904" s="5">
        <f>R1904-V1904</f>
        <v/>
      </c>
    </row>
    <row r="1905">
      <c r="A1905" s="3" t="n">
        <v>41236</v>
      </c>
      <c r="B1905">
        <f>Prices!B1905</f>
        <v/>
      </c>
      <c r="C1905">
        <f>Prices!C1905</f>
        <v/>
      </c>
      <c r="D1905">
        <f>Prices!D1905</f>
        <v/>
      </c>
      <c r="E1905">
        <f>Prices!E1905</f>
        <v/>
      </c>
      <c r="F1905">
        <f>Prices!F1905</f>
        <v/>
      </c>
      <c r="G1905">
        <f>IF(AND(1903&gt;=16,TEXT(A1905,"yyyy-mm")&lt;&gt;TEXT(A1906,"yyyy-mm")),1,0)</f>
        <v/>
      </c>
      <c r="H1905">
        <f>IF(OR(H1904=1,G1905=1),1,0)</f>
        <v/>
      </c>
      <c r="I1905">
        <f>IF(H1904=0,1,SUMPRODUCT(J1904:N1904,B1905:F1905)+O1904*(1+0.00023125256064071564))</f>
        <v/>
      </c>
      <c r="J1905">
        <f>IF(G1905=1,0.2*R1905/B1905,J1904)</f>
        <v/>
      </c>
      <c r="K1905">
        <f>IF(G1905=1,0.2*R1905/C1905,K1904)</f>
        <v/>
      </c>
      <c r="L1905">
        <f>IF(G1905=1,0.2*R1905/D1905,L1904)</f>
        <v/>
      </c>
      <c r="M1905">
        <f>IF(G1905=1,0.2*R1905/E1905,M1904)</f>
        <v/>
      </c>
      <c r="N1905">
        <f>IF(G1905=1,0.2*R1905/F1905,N1904)</f>
        <v/>
      </c>
      <c r="O1905">
        <f>IF(G1905=1,R1905*(1-1.0),IF(H1904=0,1,O1904*(1+0.00023125256064071564)))</f>
        <v/>
      </c>
      <c r="P1905">
        <f>IF(G1905=1,IF(H1904=0,1,ABS(0.2-J1904*B1905/I1905)+ABS(0.2-K1904*C1905/I1905)+ABS(0.2-L1904*D1905/I1905)+ABS(0.2-M1904*E1905/I1905)+ABS(0.2-N1904*F1905/I1905)),0)</f>
        <v/>
      </c>
      <c r="Q1905">
        <f>P1905*0.0015</f>
        <v/>
      </c>
      <c r="R1905">
        <f>I1905*(1-Q1905)</f>
        <v/>
      </c>
      <c r="S1905">
        <f>R1905/R1904-1</f>
        <v/>
      </c>
      <c r="T1905">
        <f>MAX(T1904,R1905)</f>
        <v/>
      </c>
      <c r="U1905">
        <f>R1905/T1905-1</f>
        <v/>
      </c>
      <c r="V1905" t="n">
        <v>3.530290618376339</v>
      </c>
      <c r="W1905" s="5">
        <f>R1905-V1905</f>
        <v/>
      </c>
    </row>
    <row r="1906">
      <c r="A1906" s="3" t="n">
        <v>41239</v>
      </c>
      <c r="B1906">
        <f>Prices!B1906</f>
        <v/>
      </c>
      <c r="C1906">
        <f>Prices!C1906</f>
        <v/>
      </c>
      <c r="D1906">
        <f>Prices!D1906</f>
        <v/>
      </c>
      <c r="E1906">
        <f>Prices!E1906</f>
        <v/>
      </c>
      <c r="F1906">
        <f>Prices!F1906</f>
        <v/>
      </c>
      <c r="G1906">
        <f>IF(AND(1904&gt;=16,TEXT(A1906,"yyyy-mm")&lt;&gt;TEXT(A1907,"yyyy-mm")),1,0)</f>
        <v/>
      </c>
      <c r="H1906">
        <f>IF(OR(H1905=1,G1906=1),1,0)</f>
        <v/>
      </c>
      <c r="I1906">
        <f>IF(H1905=0,1,SUMPRODUCT(J1905:N1905,B1906:F1906)+O1905*(1+0.00023125256064071564))</f>
        <v/>
      </c>
      <c r="J1906">
        <f>IF(G1906=1,0.2*R1906/B1906,J1905)</f>
        <v/>
      </c>
      <c r="K1906">
        <f>IF(G1906=1,0.2*R1906/C1906,K1905)</f>
        <v/>
      </c>
      <c r="L1906">
        <f>IF(G1906=1,0.2*R1906/D1906,L1905)</f>
        <v/>
      </c>
      <c r="M1906">
        <f>IF(G1906=1,0.2*R1906/E1906,M1905)</f>
        <v/>
      </c>
      <c r="N1906">
        <f>IF(G1906=1,0.2*R1906/F1906,N1905)</f>
        <v/>
      </c>
      <c r="O1906">
        <f>IF(G1906=1,R1906*(1-1.0),IF(H1905=0,1,O1905*(1+0.00023125256064071564)))</f>
        <v/>
      </c>
      <c r="P1906">
        <f>IF(G1906=1,IF(H1905=0,1,ABS(0.2-J1905*B1906/I1906)+ABS(0.2-K1905*C1906/I1906)+ABS(0.2-L1905*D1906/I1906)+ABS(0.2-M1905*E1906/I1906)+ABS(0.2-N1905*F1906/I1906)),0)</f>
        <v/>
      </c>
      <c r="Q1906">
        <f>P1906*0.0015</f>
        <v/>
      </c>
      <c r="R1906">
        <f>I1906*(1-Q1906)</f>
        <v/>
      </c>
      <c r="S1906">
        <f>R1906/R1905-1</f>
        <v/>
      </c>
      <c r="T1906">
        <f>MAX(T1905,R1906)</f>
        <v/>
      </c>
      <c r="U1906">
        <f>R1906/T1906-1</f>
        <v/>
      </c>
      <c r="V1906" t="n">
        <v>3.564616116562797</v>
      </c>
      <c r="W1906" s="5">
        <f>R1906-V1906</f>
        <v/>
      </c>
    </row>
    <row r="1907">
      <c r="A1907" s="3" t="n">
        <v>41240</v>
      </c>
      <c r="B1907">
        <f>Prices!B1907</f>
        <v/>
      </c>
      <c r="C1907">
        <f>Prices!C1907</f>
        <v/>
      </c>
      <c r="D1907">
        <f>Prices!D1907</f>
        <v/>
      </c>
      <c r="E1907">
        <f>Prices!E1907</f>
        <v/>
      </c>
      <c r="F1907">
        <f>Prices!F1907</f>
        <v/>
      </c>
      <c r="G1907">
        <f>IF(AND(1905&gt;=16,TEXT(A1907,"yyyy-mm")&lt;&gt;TEXT(A1908,"yyyy-mm")),1,0)</f>
        <v/>
      </c>
      <c r="H1907">
        <f>IF(OR(H1906=1,G1907=1),1,0)</f>
        <v/>
      </c>
      <c r="I1907">
        <f>IF(H1906=0,1,SUMPRODUCT(J1906:N1906,B1907:F1907)+O1906*(1+0.00023125256064071564))</f>
        <v/>
      </c>
      <c r="J1907">
        <f>IF(G1907=1,0.2*R1907/B1907,J1906)</f>
        <v/>
      </c>
      <c r="K1907">
        <f>IF(G1907=1,0.2*R1907/C1907,K1906)</f>
        <v/>
      </c>
      <c r="L1907">
        <f>IF(G1907=1,0.2*R1907/D1907,L1906)</f>
        <v/>
      </c>
      <c r="M1907">
        <f>IF(G1907=1,0.2*R1907/E1907,M1906)</f>
        <v/>
      </c>
      <c r="N1907">
        <f>IF(G1907=1,0.2*R1907/F1907,N1906)</f>
        <v/>
      </c>
      <c r="O1907">
        <f>IF(G1907=1,R1907*(1-1.0),IF(H1906=0,1,O1906*(1+0.00023125256064071564)))</f>
        <v/>
      </c>
      <c r="P1907">
        <f>IF(G1907=1,IF(H1906=0,1,ABS(0.2-J1906*B1907/I1907)+ABS(0.2-K1906*C1907/I1907)+ABS(0.2-L1906*D1907/I1907)+ABS(0.2-M1906*E1907/I1907)+ABS(0.2-N1906*F1907/I1907)),0)</f>
        <v/>
      </c>
      <c r="Q1907">
        <f>P1907*0.0015</f>
        <v/>
      </c>
      <c r="R1907">
        <f>I1907*(1-Q1907)</f>
        <v/>
      </c>
      <c r="S1907">
        <f>R1907/R1906-1</f>
        <v/>
      </c>
      <c r="T1907">
        <f>MAX(T1906,R1907)</f>
        <v/>
      </c>
      <c r="U1907">
        <f>R1907/T1907-1</f>
        <v/>
      </c>
      <c r="V1907" t="n">
        <v>3.611924241640278</v>
      </c>
      <c r="W1907" s="5">
        <f>R1907-V1907</f>
        <v/>
      </c>
    </row>
    <row r="1908">
      <c r="A1908" s="3" t="n">
        <v>41242</v>
      </c>
      <c r="B1908">
        <f>Prices!B1908</f>
        <v/>
      </c>
      <c r="C1908">
        <f>Prices!C1908</f>
        <v/>
      </c>
      <c r="D1908">
        <f>Prices!D1908</f>
        <v/>
      </c>
      <c r="E1908">
        <f>Prices!E1908</f>
        <v/>
      </c>
      <c r="F1908">
        <f>Prices!F1908</f>
        <v/>
      </c>
      <c r="G1908">
        <f>IF(AND(1906&gt;=16,TEXT(A1908,"yyyy-mm")&lt;&gt;TEXT(A1909,"yyyy-mm")),1,0)</f>
        <v/>
      </c>
      <c r="H1908">
        <f>IF(OR(H1907=1,G1908=1),1,0)</f>
        <v/>
      </c>
      <c r="I1908">
        <f>IF(H1907=0,1,SUMPRODUCT(J1907:N1907,B1908:F1908)+O1907*(1+0.00023125256064071564))</f>
        <v/>
      </c>
      <c r="J1908">
        <f>IF(G1908=1,0.2*R1908/B1908,J1907)</f>
        <v/>
      </c>
      <c r="K1908">
        <f>IF(G1908=1,0.2*R1908/C1908,K1907)</f>
        <v/>
      </c>
      <c r="L1908">
        <f>IF(G1908=1,0.2*R1908/D1908,L1907)</f>
        <v/>
      </c>
      <c r="M1908">
        <f>IF(G1908=1,0.2*R1908/E1908,M1907)</f>
        <v/>
      </c>
      <c r="N1908">
        <f>IF(G1908=1,0.2*R1908/F1908,N1907)</f>
        <v/>
      </c>
      <c r="O1908">
        <f>IF(G1908=1,R1908*(1-1.0),IF(H1907=0,1,O1907*(1+0.00023125256064071564)))</f>
        <v/>
      </c>
      <c r="P1908">
        <f>IF(G1908=1,IF(H1907=0,1,ABS(0.2-J1907*B1908/I1908)+ABS(0.2-K1907*C1908/I1908)+ABS(0.2-L1907*D1908/I1908)+ABS(0.2-M1907*E1908/I1908)+ABS(0.2-N1907*F1908/I1908)),0)</f>
        <v/>
      </c>
      <c r="Q1908">
        <f>P1908*0.0015</f>
        <v/>
      </c>
      <c r="R1908">
        <f>I1908*(1-Q1908)</f>
        <v/>
      </c>
      <c r="S1908">
        <f>R1908/R1907-1</f>
        <v/>
      </c>
      <c r="T1908">
        <f>MAX(T1907,R1908)</f>
        <v/>
      </c>
      <c r="U1908">
        <f>R1908/T1908-1</f>
        <v/>
      </c>
      <c r="V1908" t="n">
        <v>3.654821725565046</v>
      </c>
      <c r="W1908" s="5">
        <f>R1908-V1908</f>
        <v/>
      </c>
    </row>
    <row r="1909">
      <c r="A1909" s="3" t="n">
        <v>41243</v>
      </c>
      <c r="B1909">
        <f>Prices!B1909</f>
        <v/>
      </c>
      <c r="C1909">
        <f>Prices!C1909</f>
        <v/>
      </c>
      <c r="D1909">
        <f>Prices!D1909</f>
        <v/>
      </c>
      <c r="E1909">
        <f>Prices!E1909</f>
        <v/>
      </c>
      <c r="F1909">
        <f>Prices!F1909</f>
        <v/>
      </c>
      <c r="G1909">
        <f>IF(AND(1907&gt;=16,TEXT(A1909,"yyyy-mm")&lt;&gt;TEXT(A1910,"yyyy-mm")),1,0)</f>
        <v/>
      </c>
      <c r="H1909">
        <f>IF(OR(H1908=1,G1909=1),1,0)</f>
        <v/>
      </c>
      <c r="I1909">
        <f>IF(H1908=0,1,SUMPRODUCT(J1908:N1908,B1909:F1909)+O1908*(1+0.00023125256064071564))</f>
        <v/>
      </c>
      <c r="J1909">
        <f>IF(G1909=1,0.2*R1909/B1909,J1908)</f>
        <v/>
      </c>
      <c r="K1909">
        <f>IF(G1909=1,0.2*R1909/C1909,K1908)</f>
        <v/>
      </c>
      <c r="L1909">
        <f>IF(G1909=1,0.2*R1909/D1909,L1908)</f>
        <v/>
      </c>
      <c r="M1909">
        <f>IF(G1909=1,0.2*R1909/E1909,M1908)</f>
        <v/>
      </c>
      <c r="N1909">
        <f>IF(G1909=1,0.2*R1909/F1909,N1908)</f>
        <v/>
      </c>
      <c r="O1909">
        <f>IF(G1909=1,R1909*(1-1.0),IF(H1908=0,1,O1908*(1+0.00023125256064071564)))</f>
        <v/>
      </c>
      <c r="P1909">
        <f>IF(G1909=1,IF(H1908=0,1,ABS(0.2-J1908*B1909/I1909)+ABS(0.2-K1908*C1909/I1909)+ABS(0.2-L1908*D1909/I1909)+ABS(0.2-M1908*E1909/I1909)+ABS(0.2-N1908*F1909/I1909)),0)</f>
        <v/>
      </c>
      <c r="Q1909">
        <f>P1909*0.0015</f>
        <v/>
      </c>
      <c r="R1909">
        <f>I1909*(1-Q1909)</f>
        <v/>
      </c>
      <c r="S1909">
        <f>R1909/R1908-1</f>
        <v/>
      </c>
      <c r="T1909">
        <f>MAX(T1908,R1909)</f>
        <v/>
      </c>
      <c r="U1909">
        <f>R1909/T1909-1</f>
        <v/>
      </c>
      <c r="V1909" t="n">
        <v>3.682234564525444</v>
      </c>
      <c r="W1909" s="5">
        <f>R1909-V1909</f>
        <v/>
      </c>
    </row>
    <row r="1910">
      <c r="A1910" s="3" t="n">
        <v>41246</v>
      </c>
      <c r="B1910">
        <f>Prices!B1910</f>
        <v/>
      </c>
      <c r="C1910">
        <f>Prices!C1910</f>
        <v/>
      </c>
      <c r="D1910">
        <f>Prices!D1910</f>
        <v/>
      </c>
      <c r="E1910">
        <f>Prices!E1910</f>
        <v/>
      </c>
      <c r="F1910">
        <f>Prices!F1910</f>
        <v/>
      </c>
      <c r="G1910">
        <f>IF(AND(1908&gt;=16,TEXT(A1910,"yyyy-mm")&lt;&gt;TEXT(A1911,"yyyy-mm")),1,0)</f>
        <v/>
      </c>
      <c r="H1910">
        <f>IF(OR(H1909=1,G1910=1),1,0)</f>
        <v/>
      </c>
      <c r="I1910">
        <f>IF(H1909=0,1,SUMPRODUCT(J1909:N1909,B1910:F1910)+O1909*(1+0.00023125256064071564))</f>
        <v/>
      </c>
      <c r="J1910">
        <f>IF(G1910=1,0.2*R1910/B1910,J1909)</f>
        <v/>
      </c>
      <c r="K1910">
        <f>IF(G1910=1,0.2*R1910/C1910,K1909)</f>
        <v/>
      </c>
      <c r="L1910">
        <f>IF(G1910=1,0.2*R1910/D1910,L1909)</f>
        <v/>
      </c>
      <c r="M1910">
        <f>IF(G1910=1,0.2*R1910/E1910,M1909)</f>
        <v/>
      </c>
      <c r="N1910">
        <f>IF(G1910=1,0.2*R1910/F1910,N1909)</f>
        <v/>
      </c>
      <c r="O1910">
        <f>IF(G1910=1,R1910*(1-1.0),IF(H1909=0,1,O1909*(1+0.00023125256064071564)))</f>
        <v/>
      </c>
      <c r="P1910">
        <f>IF(G1910=1,IF(H1909=0,1,ABS(0.2-J1909*B1910/I1910)+ABS(0.2-K1909*C1910/I1910)+ABS(0.2-L1909*D1910/I1910)+ABS(0.2-M1909*E1910/I1910)+ABS(0.2-N1909*F1910/I1910)),0)</f>
        <v/>
      </c>
      <c r="Q1910">
        <f>P1910*0.0015</f>
        <v/>
      </c>
      <c r="R1910">
        <f>I1910*(1-Q1910)</f>
        <v/>
      </c>
      <c r="S1910">
        <f>R1910/R1909-1</f>
        <v/>
      </c>
      <c r="T1910">
        <f>MAX(T1909,R1910)</f>
        <v/>
      </c>
      <c r="U1910">
        <f>R1910/T1910-1</f>
        <v/>
      </c>
      <c r="V1910" t="n">
        <v>3.704275676292031</v>
      </c>
      <c r="W1910" s="5">
        <f>R1910-V1910</f>
        <v/>
      </c>
    </row>
    <row r="1911">
      <c r="A1911" s="3" t="n">
        <v>41247</v>
      </c>
      <c r="B1911">
        <f>Prices!B1911</f>
        <v/>
      </c>
      <c r="C1911">
        <f>Prices!C1911</f>
        <v/>
      </c>
      <c r="D1911">
        <f>Prices!D1911</f>
        <v/>
      </c>
      <c r="E1911">
        <f>Prices!E1911</f>
        <v/>
      </c>
      <c r="F1911">
        <f>Prices!F1911</f>
        <v/>
      </c>
      <c r="G1911">
        <f>IF(AND(1909&gt;=16,TEXT(A1911,"yyyy-mm")&lt;&gt;TEXT(A1912,"yyyy-mm")),1,0)</f>
        <v/>
      </c>
      <c r="H1911">
        <f>IF(OR(H1910=1,G1911=1),1,0)</f>
        <v/>
      </c>
      <c r="I1911">
        <f>IF(H1910=0,1,SUMPRODUCT(J1910:N1910,B1911:F1911)+O1910*(1+0.00023125256064071564))</f>
        <v/>
      </c>
      <c r="J1911">
        <f>IF(G1911=1,0.2*R1911/B1911,J1910)</f>
        <v/>
      </c>
      <c r="K1911">
        <f>IF(G1911=1,0.2*R1911/C1911,K1910)</f>
        <v/>
      </c>
      <c r="L1911">
        <f>IF(G1911=1,0.2*R1911/D1911,L1910)</f>
        <v/>
      </c>
      <c r="M1911">
        <f>IF(G1911=1,0.2*R1911/E1911,M1910)</f>
        <v/>
      </c>
      <c r="N1911">
        <f>IF(G1911=1,0.2*R1911/F1911,N1910)</f>
        <v/>
      </c>
      <c r="O1911">
        <f>IF(G1911=1,R1911*(1-1.0),IF(H1910=0,1,O1910*(1+0.00023125256064071564)))</f>
        <v/>
      </c>
      <c r="P1911">
        <f>IF(G1911=1,IF(H1910=0,1,ABS(0.2-J1910*B1911/I1911)+ABS(0.2-K1910*C1911/I1911)+ABS(0.2-L1910*D1911/I1911)+ABS(0.2-M1910*E1911/I1911)+ABS(0.2-N1910*F1911/I1911)),0)</f>
        <v/>
      </c>
      <c r="Q1911">
        <f>P1911*0.0015</f>
        <v/>
      </c>
      <c r="R1911">
        <f>I1911*(1-Q1911)</f>
        <v/>
      </c>
      <c r="S1911">
        <f>R1911/R1910-1</f>
        <v/>
      </c>
      <c r="T1911">
        <f>MAX(T1910,R1911)</f>
        <v/>
      </c>
      <c r="U1911">
        <f>R1911/T1911-1</f>
        <v/>
      </c>
      <c r="V1911" t="n">
        <v>3.719433191098062</v>
      </c>
      <c r="W1911" s="5">
        <f>R1911-V1911</f>
        <v/>
      </c>
    </row>
    <row r="1912">
      <c r="A1912" s="3" t="n">
        <v>41248</v>
      </c>
      <c r="B1912">
        <f>Prices!B1912</f>
        <v/>
      </c>
      <c r="C1912">
        <f>Prices!C1912</f>
        <v/>
      </c>
      <c r="D1912">
        <f>Prices!D1912</f>
        <v/>
      </c>
      <c r="E1912">
        <f>Prices!E1912</f>
        <v/>
      </c>
      <c r="F1912">
        <f>Prices!F1912</f>
        <v/>
      </c>
      <c r="G1912">
        <f>IF(AND(1910&gt;=16,TEXT(A1912,"yyyy-mm")&lt;&gt;TEXT(A1913,"yyyy-mm")),1,0)</f>
        <v/>
      </c>
      <c r="H1912">
        <f>IF(OR(H1911=1,G1912=1),1,0)</f>
        <v/>
      </c>
      <c r="I1912">
        <f>IF(H1911=0,1,SUMPRODUCT(J1911:N1911,B1912:F1912)+O1911*(1+0.00023125256064071564))</f>
        <v/>
      </c>
      <c r="J1912">
        <f>IF(G1912=1,0.2*R1912/B1912,J1911)</f>
        <v/>
      </c>
      <c r="K1912">
        <f>IF(G1912=1,0.2*R1912/C1912,K1911)</f>
        <v/>
      </c>
      <c r="L1912">
        <f>IF(G1912=1,0.2*R1912/D1912,L1911)</f>
        <v/>
      </c>
      <c r="M1912">
        <f>IF(G1912=1,0.2*R1912/E1912,M1911)</f>
        <v/>
      </c>
      <c r="N1912">
        <f>IF(G1912=1,0.2*R1912/F1912,N1911)</f>
        <v/>
      </c>
      <c r="O1912">
        <f>IF(G1912=1,R1912*(1-1.0),IF(H1911=0,1,O1911*(1+0.00023125256064071564)))</f>
        <v/>
      </c>
      <c r="P1912">
        <f>IF(G1912=1,IF(H1911=0,1,ABS(0.2-J1911*B1912/I1912)+ABS(0.2-K1911*C1912/I1912)+ABS(0.2-L1911*D1912/I1912)+ABS(0.2-M1911*E1912/I1912)+ABS(0.2-N1911*F1912/I1912)),0)</f>
        <v/>
      </c>
      <c r="Q1912">
        <f>P1912*0.0015</f>
        <v/>
      </c>
      <c r="R1912">
        <f>I1912*(1-Q1912)</f>
        <v/>
      </c>
      <c r="S1912">
        <f>R1912/R1911-1</f>
        <v/>
      </c>
      <c r="T1912">
        <f>MAX(T1911,R1912)</f>
        <v/>
      </c>
      <c r="U1912">
        <f>R1912/T1912-1</f>
        <v/>
      </c>
      <c r="V1912" t="n">
        <v>3.725271579330292</v>
      </c>
      <c r="W1912" s="5">
        <f>R1912-V1912</f>
        <v/>
      </c>
    </row>
    <row r="1913">
      <c r="A1913" s="3" t="n">
        <v>41249</v>
      </c>
      <c r="B1913">
        <f>Prices!B1913</f>
        <v/>
      </c>
      <c r="C1913">
        <f>Prices!C1913</f>
        <v/>
      </c>
      <c r="D1913">
        <f>Prices!D1913</f>
        <v/>
      </c>
      <c r="E1913">
        <f>Prices!E1913</f>
        <v/>
      </c>
      <c r="F1913">
        <f>Prices!F1913</f>
        <v/>
      </c>
      <c r="G1913">
        <f>IF(AND(1911&gt;=16,TEXT(A1913,"yyyy-mm")&lt;&gt;TEXT(A1914,"yyyy-mm")),1,0)</f>
        <v/>
      </c>
      <c r="H1913">
        <f>IF(OR(H1912=1,G1913=1),1,0)</f>
        <v/>
      </c>
      <c r="I1913">
        <f>IF(H1912=0,1,SUMPRODUCT(J1912:N1912,B1913:F1913)+O1912*(1+0.00023125256064071564))</f>
        <v/>
      </c>
      <c r="J1913">
        <f>IF(G1913=1,0.2*R1913/B1913,J1912)</f>
        <v/>
      </c>
      <c r="K1913">
        <f>IF(G1913=1,0.2*R1913/C1913,K1912)</f>
        <v/>
      </c>
      <c r="L1913">
        <f>IF(G1913=1,0.2*R1913/D1913,L1912)</f>
        <v/>
      </c>
      <c r="M1913">
        <f>IF(G1913=1,0.2*R1913/E1913,M1912)</f>
        <v/>
      </c>
      <c r="N1913">
        <f>IF(G1913=1,0.2*R1913/F1913,N1912)</f>
        <v/>
      </c>
      <c r="O1913">
        <f>IF(G1913=1,R1913*(1-1.0),IF(H1912=0,1,O1912*(1+0.00023125256064071564)))</f>
        <v/>
      </c>
      <c r="P1913">
        <f>IF(G1913=1,IF(H1912=0,1,ABS(0.2-J1912*B1913/I1913)+ABS(0.2-K1912*C1913/I1913)+ABS(0.2-L1912*D1913/I1913)+ABS(0.2-M1912*E1913/I1913)+ABS(0.2-N1912*F1913/I1913)),0)</f>
        <v/>
      </c>
      <c r="Q1913">
        <f>P1913*0.0015</f>
        <v/>
      </c>
      <c r="R1913">
        <f>I1913*(1-Q1913)</f>
        <v/>
      </c>
      <c r="S1913">
        <f>R1913/R1912-1</f>
        <v/>
      </c>
      <c r="T1913">
        <f>MAX(T1912,R1913)</f>
        <v/>
      </c>
      <c r="U1913">
        <f>R1913/T1913-1</f>
        <v/>
      </c>
      <c r="V1913" t="n">
        <v>3.73671122097288</v>
      </c>
      <c r="W1913" s="5">
        <f>R1913-V1913</f>
        <v/>
      </c>
    </row>
    <row r="1914">
      <c r="A1914" s="3" t="n">
        <v>41250</v>
      </c>
      <c r="B1914">
        <f>Prices!B1914</f>
        <v/>
      </c>
      <c r="C1914">
        <f>Prices!C1914</f>
        <v/>
      </c>
      <c r="D1914">
        <f>Prices!D1914</f>
        <v/>
      </c>
      <c r="E1914">
        <f>Prices!E1914</f>
        <v/>
      </c>
      <c r="F1914">
        <f>Prices!F1914</f>
        <v/>
      </c>
      <c r="G1914">
        <f>IF(AND(1912&gt;=16,TEXT(A1914,"yyyy-mm")&lt;&gt;TEXT(A1915,"yyyy-mm")),1,0)</f>
        <v/>
      </c>
      <c r="H1914">
        <f>IF(OR(H1913=1,G1914=1),1,0)</f>
        <v/>
      </c>
      <c r="I1914">
        <f>IF(H1913=0,1,SUMPRODUCT(J1913:N1913,B1914:F1914)+O1913*(1+0.00023125256064071564))</f>
        <v/>
      </c>
      <c r="J1914">
        <f>IF(G1914=1,0.2*R1914/B1914,J1913)</f>
        <v/>
      </c>
      <c r="K1914">
        <f>IF(G1914=1,0.2*R1914/C1914,K1913)</f>
        <v/>
      </c>
      <c r="L1914">
        <f>IF(G1914=1,0.2*R1914/D1914,L1913)</f>
        <v/>
      </c>
      <c r="M1914">
        <f>IF(G1914=1,0.2*R1914/E1914,M1913)</f>
        <v/>
      </c>
      <c r="N1914">
        <f>IF(G1914=1,0.2*R1914/F1914,N1913)</f>
        <v/>
      </c>
      <c r="O1914">
        <f>IF(G1914=1,R1914*(1-1.0),IF(H1913=0,1,O1913*(1+0.00023125256064071564)))</f>
        <v/>
      </c>
      <c r="P1914">
        <f>IF(G1914=1,IF(H1913=0,1,ABS(0.2-J1913*B1914/I1914)+ABS(0.2-K1913*C1914/I1914)+ABS(0.2-L1913*D1914/I1914)+ABS(0.2-M1913*E1914/I1914)+ABS(0.2-N1913*F1914/I1914)),0)</f>
        <v/>
      </c>
      <c r="Q1914">
        <f>P1914*0.0015</f>
        <v/>
      </c>
      <c r="R1914">
        <f>I1914*(1-Q1914)</f>
        <v/>
      </c>
      <c r="S1914">
        <f>R1914/R1913-1</f>
        <v/>
      </c>
      <c r="T1914">
        <f>MAX(T1913,R1914)</f>
        <v/>
      </c>
      <c r="U1914">
        <f>R1914/T1914-1</f>
        <v/>
      </c>
      <c r="V1914" t="n">
        <v>3.725544897733434</v>
      </c>
      <c r="W1914" s="5">
        <f>R1914-V1914</f>
        <v/>
      </c>
    </row>
    <row r="1915">
      <c r="A1915" s="3" t="n">
        <v>41253</v>
      </c>
      <c r="B1915">
        <f>Prices!B1915</f>
        <v/>
      </c>
      <c r="C1915">
        <f>Prices!C1915</f>
        <v/>
      </c>
      <c r="D1915">
        <f>Prices!D1915</f>
        <v/>
      </c>
      <c r="E1915">
        <f>Prices!E1915</f>
        <v/>
      </c>
      <c r="F1915">
        <f>Prices!F1915</f>
        <v/>
      </c>
      <c r="G1915">
        <f>IF(AND(1913&gt;=16,TEXT(A1915,"yyyy-mm")&lt;&gt;TEXT(A1916,"yyyy-mm")),1,0)</f>
        <v/>
      </c>
      <c r="H1915">
        <f>IF(OR(H1914=1,G1915=1),1,0)</f>
        <v/>
      </c>
      <c r="I1915">
        <f>IF(H1914=0,1,SUMPRODUCT(J1914:N1914,B1915:F1915)+O1914*(1+0.00023125256064071564))</f>
        <v/>
      </c>
      <c r="J1915">
        <f>IF(G1915=1,0.2*R1915/B1915,J1914)</f>
        <v/>
      </c>
      <c r="K1915">
        <f>IF(G1915=1,0.2*R1915/C1915,K1914)</f>
        <v/>
      </c>
      <c r="L1915">
        <f>IF(G1915=1,0.2*R1915/D1915,L1914)</f>
        <v/>
      </c>
      <c r="M1915">
        <f>IF(G1915=1,0.2*R1915/E1915,M1914)</f>
        <v/>
      </c>
      <c r="N1915">
        <f>IF(G1915=1,0.2*R1915/F1915,N1914)</f>
        <v/>
      </c>
      <c r="O1915">
        <f>IF(G1915=1,R1915*(1-1.0),IF(H1914=0,1,O1914*(1+0.00023125256064071564)))</f>
        <v/>
      </c>
      <c r="P1915">
        <f>IF(G1915=1,IF(H1914=0,1,ABS(0.2-J1914*B1915/I1915)+ABS(0.2-K1914*C1915/I1915)+ABS(0.2-L1914*D1915/I1915)+ABS(0.2-M1914*E1915/I1915)+ABS(0.2-N1914*F1915/I1915)),0)</f>
        <v/>
      </c>
      <c r="Q1915">
        <f>P1915*0.0015</f>
        <v/>
      </c>
      <c r="R1915">
        <f>I1915*(1-Q1915)</f>
        <v/>
      </c>
      <c r="S1915">
        <f>R1915/R1914-1</f>
        <v/>
      </c>
      <c r="T1915">
        <f>MAX(T1914,R1915)</f>
        <v/>
      </c>
      <c r="U1915">
        <f>R1915/T1915-1</f>
        <v/>
      </c>
      <c r="V1915" t="n">
        <v>3.741927481169536</v>
      </c>
      <c r="W1915" s="5">
        <f>R1915-V1915</f>
        <v/>
      </c>
    </row>
    <row r="1916">
      <c r="A1916" s="3" t="n">
        <v>41254</v>
      </c>
      <c r="B1916">
        <f>Prices!B1916</f>
        <v/>
      </c>
      <c r="C1916">
        <f>Prices!C1916</f>
        <v/>
      </c>
      <c r="D1916">
        <f>Prices!D1916</f>
        <v/>
      </c>
      <c r="E1916">
        <f>Prices!E1916</f>
        <v/>
      </c>
      <c r="F1916">
        <f>Prices!F1916</f>
        <v/>
      </c>
      <c r="G1916">
        <f>IF(AND(1914&gt;=16,TEXT(A1916,"yyyy-mm")&lt;&gt;TEXT(A1917,"yyyy-mm")),1,0)</f>
        <v/>
      </c>
      <c r="H1916">
        <f>IF(OR(H1915=1,G1916=1),1,0)</f>
        <v/>
      </c>
      <c r="I1916">
        <f>IF(H1915=0,1,SUMPRODUCT(J1915:N1915,B1916:F1916)+O1915*(1+0.00023125256064071564))</f>
        <v/>
      </c>
      <c r="J1916">
        <f>IF(G1916=1,0.2*R1916/B1916,J1915)</f>
        <v/>
      </c>
      <c r="K1916">
        <f>IF(G1916=1,0.2*R1916/C1916,K1915)</f>
        <v/>
      </c>
      <c r="L1916">
        <f>IF(G1916=1,0.2*R1916/D1916,L1915)</f>
        <v/>
      </c>
      <c r="M1916">
        <f>IF(G1916=1,0.2*R1916/E1916,M1915)</f>
        <v/>
      </c>
      <c r="N1916">
        <f>IF(G1916=1,0.2*R1916/F1916,N1915)</f>
        <v/>
      </c>
      <c r="O1916">
        <f>IF(G1916=1,R1916*(1-1.0),IF(H1915=0,1,O1915*(1+0.00023125256064071564)))</f>
        <v/>
      </c>
      <c r="P1916">
        <f>IF(G1916=1,IF(H1915=0,1,ABS(0.2-J1915*B1916/I1916)+ABS(0.2-K1915*C1916/I1916)+ABS(0.2-L1915*D1916/I1916)+ABS(0.2-M1915*E1916/I1916)+ABS(0.2-N1915*F1916/I1916)),0)</f>
        <v/>
      </c>
      <c r="Q1916">
        <f>P1916*0.0015</f>
        <v/>
      </c>
      <c r="R1916">
        <f>I1916*(1-Q1916)</f>
        <v/>
      </c>
      <c r="S1916">
        <f>R1916/R1915-1</f>
        <v/>
      </c>
      <c r="T1916">
        <f>MAX(T1915,R1916)</f>
        <v/>
      </c>
      <c r="U1916">
        <f>R1916/T1916-1</f>
        <v/>
      </c>
      <c r="V1916" t="n">
        <v>3.726025157878969</v>
      </c>
      <c r="W1916" s="5">
        <f>R1916-V1916</f>
        <v/>
      </c>
    </row>
    <row r="1917">
      <c r="A1917" s="3" t="n">
        <v>41255</v>
      </c>
      <c r="B1917">
        <f>Prices!B1917</f>
        <v/>
      </c>
      <c r="C1917">
        <f>Prices!C1917</f>
        <v/>
      </c>
      <c r="D1917">
        <f>Prices!D1917</f>
        <v/>
      </c>
      <c r="E1917">
        <f>Prices!E1917</f>
        <v/>
      </c>
      <c r="F1917">
        <f>Prices!F1917</f>
        <v/>
      </c>
      <c r="G1917">
        <f>IF(AND(1915&gt;=16,TEXT(A1917,"yyyy-mm")&lt;&gt;TEXT(A1918,"yyyy-mm")),1,0)</f>
        <v/>
      </c>
      <c r="H1917">
        <f>IF(OR(H1916=1,G1917=1),1,0)</f>
        <v/>
      </c>
      <c r="I1917">
        <f>IF(H1916=0,1,SUMPRODUCT(J1916:N1916,B1917:F1917)+O1916*(1+0.00023125256064071564))</f>
        <v/>
      </c>
      <c r="J1917">
        <f>IF(G1917=1,0.2*R1917/B1917,J1916)</f>
        <v/>
      </c>
      <c r="K1917">
        <f>IF(G1917=1,0.2*R1917/C1917,K1916)</f>
        <v/>
      </c>
      <c r="L1917">
        <f>IF(G1917=1,0.2*R1917/D1917,L1916)</f>
        <v/>
      </c>
      <c r="M1917">
        <f>IF(G1917=1,0.2*R1917/E1917,M1916)</f>
        <v/>
      </c>
      <c r="N1917">
        <f>IF(G1917=1,0.2*R1917/F1917,N1916)</f>
        <v/>
      </c>
      <c r="O1917">
        <f>IF(G1917=1,R1917*(1-1.0),IF(H1916=0,1,O1916*(1+0.00023125256064071564)))</f>
        <v/>
      </c>
      <c r="P1917">
        <f>IF(G1917=1,IF(H1916=0,1,ABS(0.2-J1916*B1917/I1917)+ABS(0.2-K1916*C1917/I1917)+ABS(0.2-L1916*D1917/I1917)+ABS(0.2-M1916*E1917/I1917)+ABS(0.2-N1916*F1917/I1917)),0)</f>
        <v/>
      </c>
      <c r="Q1917">
        <f>P1917*0.0015</f>
        <v/>
      </c>
      <c r="R1917">
        <f>I1917*(1-Q1917)</f>
        <v/>
      </c>
      <c r="S1917">
        <f>R1917/R1916-1</f>
        <v/>
      </c>
      <c r="T1917">
        <f>MAX(T1916,R1917)</f>
        <v/>
      </c>
      <c r="U1917">
        <f>R1917/T1917-1</f>
        <v/>
      </c>
      <c r="V1917" t="n">
        <v>3.72506588632185</v>
      </c>
      <c r="W1917" s="5">
        <f>R1917-V1917</f>
        <v/>
      </c>
    </row>
    <row r="1918">
      <c r="A1918" s="3" t="n">
        <v>41256</v>
      </c>
      <c r="B1918">
        <f>Prices!B1918</f>
        <v/>
      </c>
      <c r="C1918">
        <f>Prices!C1918</f>
        <v/>
      </c>
      <c r="D1918">
        <f>Prices!D1918</f>
        <v/>
      </c>
      <c r="E1918">
        <f>Prices!E1918</f>
        <v/>
      </c>
      <c r="F1918">
        <f>Prices!F1918</f>
        <v/>
      </c>
      <c r="G1918">
        <f>IF(AND(1916&gt;=16,TEXT(A1918,"yyyy-mm")&lt;&gt;TEXT(A1919,"yyyy-mm")),1,0)</f>
        <v/>
      </c>
      <c r="H1918">
        <f>IF(OR(H1917=1,G1918=1),1,0)</f>
        <v/>
      </c>
      <c r="I1918">
        <f>IF(H1917=0,1,SUMPRODUCT(J1917:N1917,B1918:F1918)+O1917*(1+0.00023125256064071564))</f>
        <v/>
      </c>
      <c r="J1918">
        <f>IF(G1918=1,0.2*R1918/B1918,J1917)</f>
        <v/>
      </c>
      <c r="K1918">
        <f>IF(G1918=1,0.2*R1918/C1918,K1917)</f>
        <v/>
      </c>
      <c r="L1918">
        <f>IF(G1918=1,0.2*R1918/D1918,L1917)</f>
        <v/>
      </c>
      <c r="M1918">
        <f>IF(G1918=1,0.2*R1918/E1918,M1917)</f>
        <v/>
      </c>
      <c r="N1918">
        <f>IF(G1918=1,0.2*R1918/F1918,N1917)</f>
        <v/>
      </c>
      <c r="O1918">
        <f>IF(G1918=1,R1918*(1-1.0),IF(H1917=0,1,O1917*(1+0.00023125256064071564)))</f>
        <v/>
      </c>
      <c r="P1918">
        <f>IF(G1918=1,IF(H1917=0,1,ABS(0.2-J1917*B1918/I1918)+ABS(0.2-K1917*C1918/I1918)+ABS(0.2-L1917*D1918/I1918)+ABS(0.2-M1917*E1918/I1918)+ABS(0.2-N1917*F1918/I1918)),0)</f>
        <v/>
      </c>
      <c r="Q1918">
        <f>P1918*0.0015</f>
        <v/>
      </c>
      <c r="R1918">
        <f>I1918*(1-Q1918)</f>
        <v/>
      </c>
      <c r="S1918">
        <f>R1918/R1917-1</f>
        <v/>
      </c>
      <c r="T1918">
        <f>MAX(T1917,R1918)</f>
        <v/>
      </c>
      <c r="U1918">
        <f>R1918/T1918-1</f>
        <v/>
      </c>
      <c r="V1918" t="n">
        <v>3.684234661148429</v>
      </c>
      <c r="W1918" s="5">
        <f>R1918-V1918</f>
        <v/>
      </c>
    </row>
    <row r="1919">
      <c r="A1919" s="3" t="n">
        <v>41257</v>
      </c>
      <c r="B1919">
        <f>Prices!B1919</f>
        <v/>
      </c>
      <c r="C1919">
        <f>Prices!C1919</f>
        <v/>
      </c>
      <c r="D1919">
        <f>Prices!D1919</f>
        <v/>
      </c>
      <c r="E1919">
        <f>Prices!E1919</f>
        <v/>
      </c>
      <c r="F1919">
        <f>Prices!F1919</f>
        <v/>
      </c>
      <c r="G1919">
        <f>IF(AND(1917&gt;=16,TEXT(A1919,"yyyy-mm")&lt;&gt;TEXT(A1920,"yyyy-mm")),1,0)</f>
        <v/>
      </c>
      <c r="H1919">
        <f>IF(OR(H1918=1,G1919=1),1,0)</f>
        <v/>
      </c>
      <c r="I1919">
        <f>IF(H1918=0,1,SUMPRODUCT(J1918:N1918,B1919:F1919)+O1918*(1+0.00023125256064071564))</f>
        <v/>
      </c>
      <c r="J1919">
        <f>IF(G1919=1,0.2*R1919/B1919,J1918)</f>
        <v/>
      </c>
      <c r="K1919">
        <f>IF(G1919=1,0.2*R1919/C1919,K1918)</f>
        <v/>
      </c>
      <c r="L1919">
        <f>IF(G1919=1,0.2*R1919/D1919,L1918)</f>
        <v/>
      </c>
      <c r="M1919">
        <f>IF(G1919=1,0.2*R1919/E1919,M1918)</f>
        <v/>
      </c>
      <c r="N1919">
        <f>IF(G1919=1,0.2*R1919/F1919,N1918)</f>
        <v/>
      </c>
      <c r="O1919">
        <f>IF(G1919=1,R1919*(1-1.0),IF(H1918=0,1,O1918*(1+0.00023125256064071564)))</f>
        <v/>
      </c>
      <c r="P1919">
        <f>IF(G1919=1,IF(H1918=0,1,ABS(0.2-J1918*B1919/I1919)+ABS(0.2-K1918*C1919/I1919)+ABS(0.2-L1918*D1919/I1919)+ABS(0.2-M1918*E1919/I1919)+ABS(0.2-N1918*F1919/I1919)),0)</f>
        <v/>
      </c>
      <c r="Q1919">
        <f>P1919*0.0015</f>
        <v/>
      </c>
      <c r="R1919">
        <f>I1919*(1-Q1919)</f>
        <v/>
      </c>
      <c r="S1919">
        <f>R1919/R1918-1</f>
        <v/>
      </c>
      <c r="T1919">
        <f>MAX(T1918,R1919)</f>
        <v/>
      </c>
      <c r="U1919">
        <f>R1919/T1919-1</f>
        <v/>
      </c>
      <c r="V1919" t="n">
        <v>3.698879821670094</v>
      </c>
      <c r="W1919" s="5">
        <f>R1919-V1919</f>
        <v/>
      </c>
    </row>
    <row r="1920">
      <c r="A1920" s="3" t="n">
        <v>41260</v>
      </c>
      <c r="B1920">
        <f>Prices!B1920</f>
        <v/>
      </c>
      <c r="C1920">
        <f>Prices!C1920</f>
        <v/>
      </c>
      <c r="D1920">
        <f>Prices!D1920</f>
        <v/>
      </c>
      <c r="E1920">
        <f>Prices!E1920</f>
        <v/>
      </c>
      <c r="F1920">
        <f>Prices!F1920</f>
        <v/>
      </c>
      <c r="G1920">
        <f>IF(AND(1918&gt;=16,TEXT(A1920,"yyyy-mm")&lt;&gt;TEXT(A1921,"yyyy-mm")),1,0)</f>
        <v/>
      </c>
      <c r="H1920">
        <f>IF(OR(H1919=1,G1920=1),1,0)</f>
        <v/>
      </c>
      <c r="I1920">
        <f>IF(H1919=0,1,SUMPRODUCT(J1919:N1919,B1920:F1920)+O1919*(1+0.00023125256064071564))</f>
        <v/>
      </c>
      <c r="J1920">
        <f>IF(G1920=1,0.2*R1920/B1920,J1919)</f>
        <v/>
      </c>
      <c r="K1920">
        <f>IF(G1920=1,0.2*R1920/C1920,K1919)</f>
        <v/>
      </c>
      <c r="L1920">
        <f>IF(G1920=1,0.2*R1920/D1920,L1919)</f>
        <v/>
      </c>
      <c r="M1920">
        <f>IF(G1920=1,0.2*R1920/E1920,M1919)</f>
        <v/>
      </c>
      <c r="N1920">
        <f>IF(G1920=1,0.2*R1920/F1920,N1919)</f>
        <v/>
      </c>
      <c r="O1920">
        <f>IF(G1920=1,R1920*(1-1.0),IF(H1919=0,1,O1919*(1+0.00023125256064071564)))</f>
        <v/>
      </c>
      <c r="P1920">
        <f>IF(G1920=1,IF(H1919=0,1,ABS(0.2-J1919*B1920/I1920)+ABS(0.2-K1919*C1920/I1920)+ABS(0.2-L1919*D1920/I1920)+ABS(0.2-M1919*E1920/I1920)+ABS(0.2-N1919*F1920/I1920)),0)</f>
        <v/>
      </c>
      <c r="Q1920">
        <f>P1920*0.0015</f>
        <v/>
      </c>
      <c r="R1920">
        <f>I1920*(1-Q1920)</f>
        <v/>
      </c>
      <c r="S1920">
        <f>R1920/R1919-1</f>
        <v/>
      </c>
      <c r="T1920">
        <f>MAX(T1919,R1920)</f>
        <v/>
      </c>
      <c r="U1920">
        <f>R1920/T1920-1</f>
        <v/>
      </c>
      <c r="V1920" t="n">
        <v>3.700170812954602</v>
      </c>
      <c r="W1920" s="5">
        <f>R1920-V1920</f>
        <v/>
      </c>
    </row>
    <row r="1921">
      <c r="A1921" s="3" t="n">
        <v>41261</v>
      </c>
      <c r="B1921">
        <f>Prices!B1921</f>
        <v/>
      </c>
      <c r="C1921">
        <f>Prices!C1921</f>
        <v/>
      </c>
      <c r="D1921">
        <f>Prices!D1921</f>
        <v/>
      </c>
      <c r="E1921">
        <f>Prices!E1921</f>
        <v/>
      </c>
      <c r="F1921">
        <f>Prices!F1921</f>
        <v/>
      </c>
      <c r="G1921">
        <f>IF(AND(1919&gt;=16,TEXT(A1921,"yyyy-mm")&lt;&gt;TEXT(A1922,"yyyy-mm")),1,0)</f>
        <v/>
      </c>
      <c r="H1921">
        <f>IF(OR(H1920=1,G1921=1),1,0)</f>
        <v/>
      </c>
      <c r="I1921">
        <f>IF(H1920=0,1,SUMPRODUCT(J1920:N1920,B1921:F1921)+O1920*(1+0.00023125256064071564))</f>
        <v/>
      </c>
      <c r="J1921">
        <f>IF(G1921=1,0.2*R1921/B1921,J1920)</f>
        <v/>
      </c>
      <c r="K1921">
        <f>IF(G1921=1,0.2*R1921/C1921,K1920)</f>
        <v/>
      </c>
      <c r="L1921">
        <f>IF(G1921=1,0.2*R1921/D1921,L1920)</f>
        <v/>
      </c>
      <c r="M1921">
        <f>IF(G1921=1,0.2*R1921/E1921,M1920)</f>
        <v/>
      </c>
      <c r="N1921">
        <f>IF(G1921=1,0.2*R1921/F1921,N1920)</f>
        <v/>
      </c>
      <c r="O1921">
        <f>IF(G1921=1,R1921*(1-1.0),IF(H1920=0,1,O1920*(1+0.00023125256064071564)))</f>
        <v/>
      </c>
      <c r="P1921">
        <f>IF(G1921=1,IF(H1920=0,1,ABS(0.2-J1920*B1921/I1921)+ABS(0.2-K1920*C1921/I1921)+ABS(0.2-L1920*D1921/I1921)+ABS(0.2-M1920*E1921/I1921)+ABS(0.2-N1920*F1921/I1921)),0)</f>
        <v/>
      </c>
      <c r="Q1921">
        <f>P1921*0.0015</f>
        <v/>
      </c>
      <c r="R1921">
        <f>I1921*(1-Q1921)</f>
        <v/>
      </c>
      <c r="S1921">
        <f>R1921/R1920-1</f>
        <v/>
      </c>
      <c r="T1921">
        <f>MAX(T1920,R1921)</f>
        <v/>
      </c>
      <c r="U1921">
        <f>R1921/T1921-1</f>
        <v/>
      </c>
      <c r="V1921" t="n">
        <v>3.732988215379838</v>
      </c>
      <c r="W1921" s="5">
        <f>R1921-V1921</f>
        <v/>
      </c>
    </row>
    <row r="1922">
      <c r="A1922" s="3" t="n">
        <v>41262</v>
      </c>
      <c r="B1922">
        <f>Prices!B1922</f>
        <v/>
      </c>
      <c r="C1922">
        <f>Prices!C1922</f>
        <v/>
      </c>
      <c r="D1922">
        <f>Prices!D1922</f>
        <v/>
      </c>
      <c r="E1922">
        <f>Prices!E1922</f>
        <v/>
      </c>
      <c r="F1922">
        <f>Prices!F1922</f>
        <v/>
      </c>
      <c r="G1922">
        <f>IF(AND(1920&gt;=16,TEXT(A1922,"yyyy-mm")&lt;&gt;TEXT(A1923,"yyyy-mm")),1,0)</f>
        <v/>
      </c>
      <c r="H1922">
        <f>IF(OR(H1921=1,G1922=1),1,0)</f>
        <v/>
      </c>
      <c r="I1922">
        <f>IF(H1921=0,1,SUMPRODUCT(J1921:N1921,B1922:F1922)+O1921*(1+0.00023125256064071564))</f>
        <v/>
      </c>
      <c r="J1922">
        <f>IF(G1922=1,0.2*R1922/B1922,J1921)</f>
        <v/>
      </c>
      <c r="K1922">
        <f>IF(G1922=1,0.2*R1922/C1922,K1921)</f>
        <v/>
      </c>
      <c r="L1922">
        <f>IF(G1922=1,0.2*R1922/D1922,L1921)</f>
        <v/>
      </c>
      <c r="M1922">
        <f>IF(G1922=1,0.2*R1922/E1922,M1921)</f>
        <v/>
      </c>
      <c r="N1922">
        <f>IF(G1922=1,0.2*R1922/F1922,N1921)</f>
        <v/>
      </c>
      <c r="O1922">
        <f>IF(G1922=1,R1922*(1-1.0),IF(H1921=0,1,O1921*(1+0.00023125256064071564)))</f>
        <v/>
      </c>
      <c r="P1922">
        <f>IF(G1922=1,IF(H1921=0,1,ABS(0.2-J1921*B1922/I1922)+ABS(0.2-K1921*C1922/I1922)+ABS(0.2-L1921*D1922/I1922)+ABS(0.2-M1921*E1922/I1922)+ABS(0.2-N1921*F1922/I1922)),0)</f>
        <v/>
      </c>
      <c r="Q1922">
        <f>P1922*0.0015</f>
        <v/>
      </c>
      <c r="R1922">
        <f>I1922*(1-Q1922)</f>
        <v/>
      </c>
      <c r="S1922">
        <f>R1922/R1921-1</f>
        <v/>
      </c>
      <c r="T1922">
        <f>MAX(T1921,R1922)</f>
        <v/>
      </c>
      <c r="U1922">
        <f>R1922/T1922-1</f>
        <v/>
      </c>
      <c r="V1922" t="n">
        <v>3.761788319531722</v>
      </c>
      <c r="W1922" s="5">
        <f>R1922-V1922</f>
        <v/>
      </c>
    </row>
    <row r="1923">
      <c r="A1923" s="3" t="n">
        <v>41263</v>
      </c>
      <c r="B1923">
        <f>Prices!B1923</f>
        <v/>
      </c>
      <c r="C1923">
        <f>Prices!C1923</f>
        <v/>
      </c>
      <c r="D1923">
        <f>Prices!D1923</f>
        <v/>
      </c>
      <c r="E1923">
        <f>Prices!E1923</f>
        <v/>
      </c>
      <c r="F1923">
        <f>Prices!F1923</f>
        <v/>
      </c>
      <c r="G1923">
        <f>IF(AND(1921&gt;=16,TEXT(A1923,"yyyy-mm")&lt;&gt;TEXT(A1924,"yyyy-mm")),1,0)</f>
        <v/>
      </c>
      <c r="H1923">
        <f>IF(OR(H1922=1,G1923=1),1,0)</f>
        <v/>
      </c>
      <c r="I1923">
        <f>IF(H1922=0,1,SUMPRODUCT(J1922:N1922,B1923:F1923)+O1922*(1+0.00023125256064071564))</f>
        <v/>
      </c>
      <c r="J1923">
        <f>IF(G1923=1,0.2*R1923/B1923,J1922)</f>
        <v/>
      </c>
      <c r="K1923">
        <f>IF(G1923=1,0.2*R1923/C1923,K1922)</f>
        <v/>
      </c>
      <c r="L1923">
        <f>IF(G1923=1,0.2*R1923/D1923,L1922)</f>
        <v/>
      </c>
      <c r="M1923">
        <f>IF(G1923=1,0.2*R1923/E1923,M1922)</f>
        <v/>
      </c>
      <c r="N1923">
        <f>IF(G1923=1,0.2*R1923/F1923,N1922)</f>
        <v/>
      </c>
      <c r="O1923">
        <f>IF(G1923=1,R1923*(1-1.0),IF(H1922=0,1,O1922*(1+0.00023125256064071564)))</f>
        <v/>
      </c>
      <c r="P1923">
        <f>IF(G1923=1,IF(H1922=0,1,ABS(0.2-J1922*B1923/I1923)+ABS(0.2-K1922*C1923/I1923)+ABS(0.2-L1922*D1923/I1923)+ABS(0.2-M1922*E1923/I1923)+ABS(0.2-N1922*F1923/I1923)),0)</f>
        <v/>
      </c>
      <c r="Q1923">
        <f>P1923*0.0015</f>
        <v/>
      </c>
      <c r="R1923">
        <f>I1923*(1-Q1923)</f>
        <v/>
      </c>
      <c r="S1923">
        <f>R1923/R1922-1</f>
        <v/>
      </c>
      <c r="T1923">
        <f>MAX(T1922,R1923)</f>
        <v/>
      </c>
      <c r="U1923">
        <f>R1923/T1923-1</f>
        <v/>
      </c>
      <c r="V1923" t="n">
        <v>3.765266365018948</v>
      </c>
      <c r="W1923" s="5">
        <f>R1923-V1923</f>
        <v/>
      </c>
    </row>
    <row r="1924">
      <c r="A1924" s="3" t="n">
        <v>41264</v>
      </c>
      <c r="B1924">
        <f>Prices!B1924</f>
        <v/>
      </c>
      <c r="C1924">
        <f>Prices!C1924</f>
        <v/>
      </c>
      <c r="D1924">
        <f>Prices!D1924</f>
        <v/>
      </c>
      <c r="E1924">
        <f>Prices!E1924</f>
        <v/>
      </c>
      <c r="F1924">
        <f>Prices!F1924</f>
        <v/>
      </c>
      <c r="G1924">
        <f>IF(AND(1922&gt;=16,TEXT(A1924,"yyyy-mm")&lt;&gt;TEXT(A1925,"yyyy-mm")),1,0)</f>
        <v/>
      </c>
      <c r="H1924">
        <f>IF(OR(H1923=1,G1924=1),1,0)</f>
        <v/>
      </c>
      <c r="I1924">
        <f>IF(H1923=0,1,SUMPRODUCT(J1923:N1923,B1924:F1924)+O1923*(1+0.00023125256064071564))</f>
        <v/>
      </c>
      <c r="J1924">
        <f>IF(G1924=1,0.2*R1924/B1924,J1923)</f>
        <v/>
      </c>
      <c r="K1924">
        <f>IF(G1924=1,0.2*R1924/C1924,K1923)</f>
        <v/>
      </c>
      <c r="L1924">
        <f>IF(G1924=1,0.2*R1924/D1924,L1923)</f>
        <v/>
      </c>
      <c r="M1924">
        <f>IF(G1924=1,0.2*R1924/E1924,M1923)</f>
        <v/>
      </c>
      <c r="N1924">
        <f>IF(G1924=1,0.2*R1924/F1924,N1923)</f>
        <v/>
      </c>
      <c r="O1924">
        <f>IF(G1924=1,R1924*(1-1.0),IF(H1923=0,1,O1923*(1+0.00023125256064071564)))</f>
        <v/>
      </c>
      <c r="P1924">
        <f>IF(G1924=1,IF(H1923=0,1,ABS(0.2-J1923*B1924/I1924)+ABS(0.2-K1923*C1924/I1924)+ABS(0.2-L1923*D1924/I1924)+ABS(0.2-M1923*E1924/I1924)+ABS(0.2-N1923*F1924/I1924)),0)</f>
        <v/>
      </c>
      <c r="Q1924">
        <f>P1924*0.0015</f>
        <v/>
      </c>
      <c r="R1924">
        <f>I1924*(1-Q1924)</f>
        <v/>
      </c>
      <c r="S1924">
        <f>R1924/R1923-1</f>
        <v/>
      </c>
      <c r="T1924">
        <f>MAX(T1923,R1924)</f>
        <v/>
      </c>
      <c r="U1924">
        <f>R1924/T1924-1</f>
        <v/>
      </c>
      <c r="V1924" t="n">
        <v>3.709081456607411</v>
      </c>
      <c r="W1924" s="5">
        <f>R1924-V1924</f>
        <v/>
      </c>
    </row>
    <row r="1925">
      <c r="A1925" s="3" t="n">
        <v>41267</v>
      </c>
      <c r="B1925">
        <f>Prices!B1925</f>
        <v/>
      </c>
      <c r="C1925">
        <f>Prices!C1925</f>
        <v/>
      </c>
      <c r="D1925">
        <f>Prices!D1925</f>
        <v/>
      </c>
      <c r="E1925">
        <f>Prices!E1925</f>
        <v/>
      </c>
      <c r="F1925">
        <f>Prices!F1925</f>
        <v/>
      </c>
      <c r="G1925">
        <f>IF(AND(1923&gt;=16,TEXT(A1925,"yyyy-mm")&lt;&gt;TEXT(A1926,"yyyy-mm")),1,0)</f>
        <v/>
      </c>
      <c r="H1925">
        <f>IF(OR(H1924=1,G1925=1),1,0)</f>
        <v/>
      </c>
      <c r="I1925">
        <f>IF(H1924=0,1,SUMPRODUCT(J1924:N1924,B1925:F1925)+O1924*(1+0.00023125256064071564))</f>
        <v/>
      </c>
      <c r="J1925">
        <f>IF(G1925=1,0.2*R1925/B1925,J1924)</f>
        <v/>
      </c>
      <c r="K1925">
        <f>IF(G1925=1,0.2*R1925/C1925,K1924)</f>
        <v/>
      </c>
      <c r="L1925">
        <f>IF(G1925=1,0.2*R1925/D1925,L1924)</f>
        <v/>
      </c>
      <c r="M1925">
        <f>IF(G1925=1,0.2*R1925/E1925,M1924)</f>
        <v/>
      </c>
      <c r="N1925">
        <f>IF(G1925=1,0.2*R1925/F1925,N1924)</f>
        <v/>
      </c>
      <c r="O1925">
        <f>IF(G1925=1,R1925*(1-1.0),IF(H1924=0,1,O1924*(1+0.00023125256064071564)))</f>
        <v/>
      </c>
      <c r="P1925">
        <f>IF(G1925=1,IF(H1924=0,1,ABS(0.2-J1924*B1925/I1925)+ABS(0.2-K1924*C1925/I1925)+ABS(0.2-L1924*D1925/I1925)+ABS(0.2-M1924*E1925/I1925)+ABS(0.2-N1924*F1925/I1925)),0)</f>
        <v/>
      </c>
      <c r="Q1925">
        <f>P1925*0.0015</f>
        <v/>
      </c>
      <c r="R1925">
        <f>I1925*(1-Q1925)</f>
        <v/>
      </c>
      <c r="S1925">
        <f>R1925/R1924-1</f>
        <v/>
      </c>
      <c r="T1925">
        <f>MAX(T1924,R1925)</f>
        <v/>
      </c>
      <c r="U1925">
        <f>R1925/T1925-1</f>
        <v/>
      </c>
      <c r="V1925" t="n">
        <v>3.725487325896346</v>
      </c>
      <c r="W1925" s="5">
        <f>R1925-V1925</f>
        <v/>
      </c>
    </row>
    <row r="1926">
      <c r="A1926" s="3" t="n">
        <v>41269</v>
      </c>
      <c r="B1926">
        <f>Prices!B1926</f>
        <v/>
      </c>
      <c r="C1926">
        <f>Prices!C1926</f>
        <v/>
      </c>
      <c r="D1926">
        <f>Prices!D1926</f>
        <v/>
      </c>
      <c r="E1926">
        <f>Prices!E1926</f>
        <v/>
      </c>
      <c r="F1926">
        <f>Prices!F1926</f>
        <v/>
      </c>
      <c r="G1926">
        <f>IF(AND(1924&gt;=16,TEXT(A1926,"yyyy-mm")&lt;&gt;TEXT(A1927,"yyyy-mm")),1,0)</f>
        <v/>
      </c>
      <c r="H1926">
        <f>IF(OR(H1925=1,G1926=1),1,0)</f>
        <v/>
      </c>
      <c r="I1926">
        <f>IF(H1925=0,1,SUMPRODUCT(J1925:N1925,B1926:F1926)+O1925*(1+0.00023125256064071564))</f>
        <v/>
      </c>
      <c r="J1926">
        <f>IF(G1926=1,0.2*R1926/B1926,J1925)</f>
        <v/>
      </c>
      <c r="K1926">
        <f>IF(G1926=1,0.2*R1926/C1926,K1925)</f>
        <v/>
      </c>
      <c r="L1926">
        <f>IF(G1926=1,0.2*R1926/D1926,L1925)</f>
        <v/>
      </c>
      <c r="M1926">
        <f>IF(G1926=1,0.2*R1926/E1926,M1925)</f>
        <v/>
      </c>
      <c r="N1926">
        <f>IF(G1926=1,0.2*R1926/F1926,N1925)</f>
        <v/>
      </c>
      <c r="O1926">
        <f>IF(G1926=1,R1926*(1-1.0),IF(H1925=0,1,O1925*(1+0.00023125256064071564)))</f>
        <v/>
      </c>
      <c r="P1926">
        <f>IF(G1926=1,IF(H1925=0,1,ABS(0.2-J1925*B1926/I1926)+ABS(0.2-K1925*C1926/I1926)+ABS(0.2-L1925*D1926/I1926)+ABS(0.2-M1925*E1926/I1926)+ABS(0.2-N1925*F1926/I1926)),0)</f>
        <v/>
      </c>
      <c r="Q1926">
        <f>P1926*0.0015</f>
        <v/>
      </c>
      <c r="R1926">
        <f>I1926*(1-Q1926)</f>
        <v/>
      </c>
      <c r="S1926">
        <f>R1926/R1925-1</f>
        <v/>
      </c>
      <c r="T1926">
        <f>MAX(T1925,R1926)</f>
        <v/>
      </c>
      <c r="U1926">
        <f>R1926/T1926-1</f>
        <v/>
      </c>
      <c r="V1926" t="n">
        <v>3.746230496568693</v>
      </c>
      <c r="W1926" s="5">
        <f>R1926-V1926</f>
        <v/>
      </c>
    </row>
    <row r="1927">
      <c r="A1927" s="3" t="n">
        <v>41270</v>
      </c>
      <c r="B1927">
        <f>Prices!B1927</f>
        <v/>
      </c>
      <c r="C1927">
        <f>Prices!C1927</f>
        <v/>
      </c>
      <c r="D1927">
        <f>Prices!D1927</f>
        <v/>
      </c>
      <c r="E1927">
        <f>Prices!E1927</f>
        <v/>
      </c>
      <c r="F1927">
        <f>Prices!F1927</f>
        <v/>
      </c>
      <c r="G1927">
        <f>IF(AND(1925&gt;=16,TEXT(A1927,"yyyy-mm")&lt;&gt;TEXT(A1928,"yyyy-mm")),1,0)</f>
        <v/>
      </c>
      <c r="H1927">
        <f>IF(OR(H1926=1,G1927=1),1,0)</f>
        <v/>
      </c>
      <c r="I1927">
        <f>IF(H1926=0,1,SUMPRODUCT(J1926:N1926,B1927:F1927)+O1926*(1+0.00023125256064071564))</f>
        <v/>
      </c>
      <c r="J1927">
        <f>IF(G1927=1,0.2*R1927/B1927,J1926)</f>
        <v/>
      </c>
      <c r="K1927">
        <f>IF(G1927=1,0.2*R1927/C1927,K1926)</f>
        <v/>
      </c>
      <c r="L1927">
        <f>IF(G1927=1,0.2*R1927/D1927,L1926)</f>
        <v/>
      </c>
      <c r="M1927">
        <f>IF(G1927=1,0.2*R1927/E1927,M1926)</f>
        <v/>
      </c>
      <c r="N1927">
        <f>IF(G1927=1,0.2*R1927/F1927,N1926)</f>
        <v/>
      </c>
      <c r="O1927">
        <f>IF(G1927=1,R1927*(1-1.0),IF(H1926=0,1,O1926*(1+0.00023125256064071564)))</f>
        <v/>
      </c>
      <c r="P1927">
        <f>IF(G1927=1,IF(H1926=0,1,ABS(0.2-J1926*B1927/I1927)+ABS(0.2-K1926*C1927/I1927)+ABS(0.2-L1926*D1927/I1927)+ABS(0.2-M1926*E1927/I1927)+ABS(0.2-N1926*F1927/I1927)),0)</f>
        <v/>
      </c>
      <c r="Q1927">
        <f>P1927*0.0015</f>
        <v/>
      </c>
      <c r="R1927">
        <f>I1927*(1-Q1927)</f>
        <v/>
      </c>
      <c r="S1927">
        <f>R1927/R1926-1</f>
        <v/>
      </c>
      <c r="T1927">
        <f>MAX(T1926,R1927)</f>
        <v/>
      </c>
      <c r="U1927">
        <f>R1927/T1927-1</f>
        <v/>
      </c>
      <c r="V1927" t="n">
        <v>3.724445911685391</v>
      </c>
      <c r="W1927" s="5">
        <f>R1927-V1927</f>
        <v/>
      </c>
    </row>
    <row r="1928">
      <c r="A1928" s="3" t="n">
        <v>41271</v>
      </c>
      <c r="B1928">
        <f>Prices!B1928</f>
        <v/>
      </c>
      <c r="C1928">
        <f>Prices!C1928</f>
        <v/>
      </c>
      <c r="D1928">
        <f>Prices!D1928</f>
        <v/>
      </c>
      <c r="E1928">
        <f>Prices!E1928</f>
        <v/>
      </c>
      <c r="F1928">
        <f>Prices!F1928</f>
        <v/>
      </c>
      <c r="G1928">
        <f>IF(AND(1926&gt;=16,TEXT(A1928,"yyyy-mm")&lt;&gt;TEXT(A1929,"yyyy-mm")),1,0)</f>
        <v/>
      </c>
      <c r="H1928">
        <f>IF(OR(H1927=1,G1928=1),1,0)</f>
        <v/>
      </c>
      <c r="I1928">
        <f>IF(H1927=0,1,SUMPRODUCT(J1927:N1927,B1928:F1928)+O1927*(1+0.00023125256064071564))</f>
        <v/>
      </c>
      <c r="J1928">
        <f>IF(G1928=1,0.2*R1928/B1928,J1927)</f>
        <v/>
      </c>
      <c r="K1928">
        <f>IF(G1928=1,0.2*R1928/C1928,K1927)</f>
        <v/>
      </c>
      <c r="L1928">
        <f>IF(G1928=1,0.2*R1928/D1928,L1927)</f>
        <v/>
      </c>
      <c r="M1928">
        <f>IF(G1928=1,0.2*R1928/E1928,M1927)</f>
        <v/>
      </c>
      <c r="N1928">
        <f>IF(G1928=1,0.2*R1928/F1928,N1927)</f>
        <v/>
      </c>
      <c r="O1928">
        <f>IF(G1928=1,R1928*(1-1.0),IF(H1927=0,1,O1927*(1+0.00023125256064071564)))</f>
        <v/>
      </c>
      <c r="P1928">
        <f>IF(G1928=1,IF(H1927=0,1,ABS(0.2-J1927*B1928/I1928)+ABS(0.2-K1927*C1928/I1928)+ABS(0.2-L1927*D1928/I1928)+ABS(0.2-M1927*E1928/I1928)+ABS(0.2-N1927*F1928/I1928)),0)</f>
        <v/>
      </c>
      <c r="Q1928">
        <f>P1928*0.0015</f>
        <v/>
      </c>
      <c r="R1928">
        <f>I1928*(1-Q1928)</f>
        <v/>
      </c>
      <c r="S1928">
        <f>R1928/R1927-1</f>
        <v/>
      </c>
      <c r="T1928">
        <f>MAX(T1927,R1928)</f>
        <v/>
      </c>
      <c r="U1928">
        <f>R1928/T1928-1</f>
        <v/>
      </c>
      <c r="V1928" t="n">
        <v>3.743508688459204</v>
      </c>
      <c r="W1928" s="5">
        <f>R1928-V1928</f>
        <v/>
      </c>
    </row>
    <row r="1929">
      <c r="A1929" s="3" t="n">
        <v>41274</v>
      </c>
      <c r="B1929">
        <f>Prices!B1929</f>
        <v/>
      </c>
      <c r="C1929">
        <f>Prices!C1929</f>
        <v/>
      </c>
      <c r="D1929">
        <f>Prices!D1929</f>
        <v/>
      </c>
      <c r="E1929">
        <f>Prices!E1929</f>
        <v/>
      </c>
      <c r="F1929">
        <f>Prices!F1929</f>
        <v/>
      </c>
      <c r="G1929">
        <f>IF(AND(1927&gt;=16,TEXT(A1929,"yyyy-mm")&lt;&gt;TEXT(A1930,"yyyy-mm")),1,0)</f>
        <v/>
      </c>
      <c r="H1929">
        <f>IF(OR(H1928=1,G1929=1),1,0)</f>
        <v/>
      </c>
      <c r="I1929">
        <f>IF(H1928=0,1,SUMPRODUCT(J1928:N1928,B1929:F1929)+O1928*(1+0.00023125256064071564))</f>
        <v/>
      </c>
      <c r="J1929">
        <f>IF(G1929=1,0.2*R1929/B1929,J1928)</f>
        <v/>
      </c>
      <c r="K1929">
        <f>IF(G1929=1,0.2*R1929/C1929,K1928)</f>
        <v/>
      </c>
      <c r="L1929">
        <f>IF(G1929=1,0.2*R1929/D1929,L1928)</f>
        <v/>
      </c>
      <c r="M1929">
        <f>IF(G1929=1,0.2*R1929/E1929,M1928)</f>
        <v/>
      </c>
      <c r="N1929">
        <f>IF(G1929=1,0.2*R1929/F1929,N1928)</f>
        <v/>
      </c>
      <c r="O1929">
        <f>IF(G1929=1,R1929*(1-1.0),IF(H1928=0,1,O1928*(1+0.00023125256064071564)))</f>
        <v/>
      </c>
      <c r="P1929">
        <f>IF(G1929=1,IF(H1928=0,1,ABS(0.2-J1928*B1929/I1929)+ABS(0.2-K1928*C1929/I1929)+ABS(0.2-L1928*D1929/I1929)+ABS(0.2-M1928*E1929/I1929)+ABS(0.2-N1928*F1929/I1929)),0)</f>
        <v/>
      </c>
      <c r="Q1929">
        <f>P1929*0.0015</f>
        <v/>
      </c>
      <c r="R1929">
        <f>I1929*(1-Q1929)</f>
        <v/>
      </c>
      <c r="S1929">
        <f>R1929/R1928-1</f>
        <v/>
      </c>
      <c r="T1929">
        <f>MAX(T1928,R1929)</f>
        <v/>
      </c>
      <c r="U1929">
        <f>R1929/T1929-1</f>
        <v/>
      </c>
      <c r="V1929" t="n">
        <v>3.761910737742259</v>
      </c>
      <c r="W1929" s="5">
        <f>R1929-V1929</f>
        <v/>
      </c>
    </row>
    <row r="1930">
      <c r="A1930" s="3" t="n">
        <v>41275</v>
      </c>
      <c r="B1930">
        <f>Prices!B1930</f>
        <v/>
      </c>
      <c r="C1930">
        <f>Prices!C1930</f>
        <v/>
      </c>
      <c r="D1930">
        <f>Prices!D1930</f>
        <v/>
      </c>
      <c r="E1930">
        <f>Prices!E1930</f>
        <v/>
      </c>
      <c r="F1930">
        <f>Prices!F1930</f>
        <v/>
      </c>
      <c r="G1930">
        <f>IF(AND(1928&gt;=16,TEXT(A1930,"yyyy-mm")&lt;&gt;TEXT(A1931,"yyyy-mm")),1,0)</f>
        <v/>
      </c>
      <c r="H1930">
        <f>IF(OR(H1929=1,G1930=1),1,0)</f>
        <v/>
      </c>
      <c r="I1930">
        <f>IF(H1929=0,1,SUMPRODUCT(J1929:N1929,B1930:F1930)+O1929*(1+0.00023125256064071564))</f>
        <v/>
      </c>
      <c r="J1930">
        <f>IF(G1930=1,0.2*R1930/B1930,J1929)</f>
        <v/>
      </c>
      <c r="K1930">
        <f>IF(G1930=1,0.2*R1930/C1930,K1929)</f>
        <v/>
      </c>
      <c r="L1930">
        <f>IF(G1930=1,0.2*R1930/D1930,L1929)</f>
        <v/>
      </c>
      <c r="M1930">
        <f>IF(G1930=1,0.2*R1930/E1930,M1929)</f>
        <v/>
      </c>
      <c r="N1930">
        <f>IF(G1930=1,0.2*R1930/F1930,N1929)</f>
        <v/>
      </c>
      <c r="O1930">
        <f>IF(G1930=1,R1930*(1-1.0),IF(H1929=0,1,O1929*(1+0.00023125256064071564)))</f>
        <v/>
      </c>
      <c r="P1930">
        <f>IF(G1930=1,IF(H1929=0,1,ABS(0.2-J1929*B1930/I1930)+ABS(0.2-K1929*C1930/I1930)+ABS(0.2-L1929*D1930/I1930)+ABS(0.2-M1929*E1930/I1930)+ABS(0.2-N1929*F1930/I1930)),0)</f>
        <v/>
      </c>
      <c r="Q1930">
        <f>P1930*0.0015</f>
        <v/>
      </c>
      <c r="R1930">
        <f>I1930*(1-Q1930)</f>
        <v/>
      </c>
      <c r="S1930">
        <f>R1930/R1929-1</f>
        <v/>
      </c>
      <c r="T1930">
        <f>MAX(T1929,R1930)</f>
        <v/>
      </c>
      <c r="U1930">
        <f>R1930/T1930-1</f>
        <v/>
      </c>
      <c r="V1930" t="n">
        <v>3.79316930186325</v>
      </c>
      <c r="W1930" s="5">
        <f>R1930-V1930</f>
        <v/>
      </c>
    </row>
    <row r="1931">
      <c r="A1931" s="3" t="n">
        <v>41276</v>
      </c>
      <c r="B1931">
        <f>Prices!B1931</f>
        <v/>
      </c>
      <c r="C1931">
        <f>Prices!C1931</f>
        <v/>
      </c>
      <c r="D1931">
        <f>Prices!D1931</f>
        <v/>
      </c>
      <c r="E1931">
        <f>Prices!E1931</f>
        <v/>
      </c>
      <c r="F1931">
        <f>Prices!F1931</f>
        <v/>
      </c>
      <c r="G1931">
        <f>IF(AND(1929&gt;=16,TEXT(A1931,"yyyy-mm")&lt;&gt;TEXT(A1932,"yyyy-mm")),1,0)</f>
        <v/>
      </c>
      <c r="H1931">
        <f>IF(OR(H1930=1,G1931=1),1,0)</f>
        <v/>
      </c>
      <c r="I1931">
        <f>IF(H1930=0,1,SUMPRODUCT(J1930:N1930,B1931:F1931)+O1930*(1+0.00023125256064071564))</f>
        <v/>
      </c>
      <c r="J1931">
        <f>IF(G1931=1,0.2*R1931/B1931,J1930)</f>
        <v/>
      </c>
      <c r="K1931">
        <f>IF(G1931=1,0.2*R1931/C1931,K1930)</f>
        <v/>
      </c>
      <c r="L1931">
        <f>IF(G1931=1,0.2*R1931/D1931,L1930)</f>
        <v/>
      </c>
      <c r="M1931">
        <f>IF(G1931=1,0.2*R1931/E1931,M1930)</f>
        <v/>
      </c>
      <c r="N1931">
        <f>IF(G1931=1,0.2*R1931/F1931,N1930)</f>
        <v/>
      </c>
      <c r="O1931">
        <f>IF(G1931=1,R1931*(1-1.0),IF(H1930=0,1,O1930*(1+0.00023125256064071564)))</f>
        <v/>
      </c>
      <c r="P1931">
        <f>IF(G1931=1,IF(H1930=0,1,ABS(0.2-J1930*B1931/I1931)+ABS(0.2-K1930*C1931/I1931)+ABS(0.2-L1930*D1931/I1931)+ABS(0.2-M1930*E1931/I1931)+ABS(0.2-N1930*F1931/I1931)),0)</f>
        <v/>
      </c>
      <c r="Q1931">
        <f>P1931*0.0015</f>
        <v/>
      </c>
      <c r="R1931">
        <f>I1931*(1-Q1931)</f>
        <v/>
      </c>
      <c r="S1931">
        <f>R1931/R1930-1</f>
        <v/>
      </c>
      <c r="T1931">
        <f>MAX(T1930,R1931)</f>
        <v/>
      </c>
      <c r="U1931">
        <f>R1931/T1931-1</f>
        <v/>
      </c>
      <c r="V1931" t="n">
        <v>3.808459854623542</v>
      </c>
      <c r="W1931" s="5">
        <f>R1931-V1931</f>
        <v/>
      </c>
    </row>
    <row r="1932">
      <c r="A1932" s="3" t="n">
        <v>41277</v>
      </c>
      <c r="B1932">
        <f>Prices!B1932</f>
        <v/>
      </c>
      <c r="C1932">
        <f>Prices!C1932</f>
        <v/>
      </c>
      <c r="D1932">
        <f>Prices!D1932</f>
        <v/>
      </c>
      <c r="E1932">
        <f>Prices!E1932</f>
        <v/>
      </c>
      <c r="F1932">
        <f>Prices!F1932</f>
        <v/>
      </c>
      <c r="G1932">
        <f>IF(AND(1930&gt;=16,TEXT(A1932,"yyyy-mm")&lt;&gt;TEXT(A1933,"yyyy-mm")),1,0)</f>
        <v/>
      </c>
      <c r="H1932">
        <f>IF(OR(H1931=1,G1932=1),1,0)</f>
        <v/>
      </c>
      <c r="I1932">
        <f>IF(H1931=0,1,SUMPRODUCT(J1931:N1931,B1932:F1932)+O1931*(1+0.00023125256064071564))</f>
        <v/>
      </c>
      <c r="J1932">
        <f>IF(G1932=1,0.2*R1932/B1932,J1931)</f>
        <v/>
      </c>
      <c r="K1932">
        <f>IF(G1932=1,0.2*R1932/C1932,K1931)</f>
        <v/>
      </c>
      <c r="L1932">
        <f>IF(G1932=1,0.2*R1932/D1932,L1931)</f>
        <v/>
      </c>
      <c r="M1932">
        <f>IF(G1932=1,0.2*R1932/E1932,M1931)</f>
        <v/>
      </c>
      <c r="N1932">
        <f>IF(G1932=1,0.2*R1932/F1932,N1931)</f>
        <v/>
      </c>
      <c r="O1932">
        <f>IF(G1932=1,R1932*(1-1.0),IF(H1931=0,1,O1931*(1+0.00023125256064071564)))</f>
        <v/>
      </c>
      <c r="P1932">
        <f>IF(G1932=1,IF(H1931=0,1,ABS(0.2-J1931*B1932/I1932)+ABS(0.2-K1931*C1932/I1932)+ABS(0.2-L1931*D1932/I1932)+ABS(0.2-M1931*E1932/I1932)+ABS(0.2-N1931*F1932/I1932)),0)</f>
        <v/>
      </c>
      <c r="Q1932">
        <f>P1932*0.0015</f>
        <v/>
      </c>
      <c r="R1932">
        <f>I1932*(1-Q1932)</f>
        <v/>
      </c>
      <c r="S1932">
        <f>R1932/R1931-1</f>
        <v/>
      </c>
      <c r="T1932">
        <f>MAX(T1931,R1932)</f>
        <v/>
      </c>
      <c r="U1932">
        <f>R1932/T1932-1</f>
        <v/>
      </c>
      <c r="V1932" t="n">
        <v>3.819783786554537</v>
      </c>
      <c r="W1932" s="5">
        <f>R1932-V1932</f>
        <v/>
      </c>
    </row>
    <row r="1933">
      <c r="A1933" s="3" t="n">
        <v>41278</v>
      </c>
      <c r="B1933">
        <f>Prices!B1933</f>
        <v/>
      </c>
      <c r="C1933">
        <f>Prices!C1933</f>
        <v/>
      </c>
      <c r="D1933">
        <f>Prices!D1933</f>
        <v/>
      </c>
      <c r="E1933">
        <f>Prices!E1933</f>
        <v/>
      </c>
      <c r="F1933">
        <f>Prices!F1933</f>
        <v/>
      </c>
      <c r="G1933">
        <f>IF(AND(1931&gt;=16,TEXT(A1933,"yyyy-mm")&lt;&gt;TEXT(A1934,"yyyy-mm")),1,0)</f>
        <v/>
      </c>
      <c r="H1933">
        <f>IF(OR(H1932=1,G1933=1),1,0)</f>
        <v/>
      </c>
      <c r="I1933">
        <f>IF(H1932=0,1,SUMPRODUCT(J1932:N1932,B1933:F1933)+O1932*(1+0.00023125256064071564))</f>
        <v/>
      </c>
      <c r="J1933">
        <f>IF(G1933=1,0.2*R1933/B1933,J1932)</f>
        <v/>
      </c>
      <c r="K1933">
        <f>IF(G1933=1,0.2*R1933/C1933,K1932)</f>
        <v/>
      </c>
      <c r="L1933">
        <f>IF(G1933=1,0.2*R1933/D1933,L1932)</f>
        <v/>
      </c>
      <c r="M1933">
        <f>IF(G1933=1,0.2*R1933/E1933,M1932)</f>
        <v/>
      </c>
      <c r="N1933">
        <f>IF(G1933=1,0.2*R1933/F1933,N1932)</f>
        <v/>
      </c>
      <c r="O1933">
        <f>IF(G1933=1,R1933*(1-1.0),IF(H1932=0,1,O1932*(1+0.00023125256064071564)))</f>
        <v/>
      </c>
      <c r="P1933">
        <f>IF(G1933=1,IF(H1932=0,1,ABS(0.2-J1932*B1933/I1933)+ABS(0.2-K1932*C1933/I1933)+ABS(0.2-L1932*D1933/I1933)+ABS(0.2-M1932*E1933/I1933)+ABS(0.2-N1932*F1933/I1933)),0)</f>
        <v/>
      </c>
      <c r="Q1933">
        <f>P1933*0.0015</f>
        <v/>
      </c>
      <c r="R1933">
        <f>I1933*(1-Q1933)</f>
        <v/>
      </c>
      <c r="S1933">
        <f>R1933/R1932-1</f>
        <v/>
      </c>
      <c r="T1933">
        <f>MAX(T1932,R1933)</f>
        <v/>
      </c>
      <c r="U1933">
        <f>R1933/T1933-1</f>
        <v/>
      </c>
      <c r="V1933" t="n">
        <v>3.834492704074957</v>
      </c>
      <c r="W1933" s="5">
        <f>R1933-V1933</f>
        <v/>
      </c>
    </row>
    <row r="1934">
      <c r="A1934" s="3" t="n">
        <v>41281</v>
      </c>
      <c r="B1934">
        <f>Prices!B1934</f>
        <v/>
      </c>
      <c r="C1934">
        <f>Prices!C1934</f>
        <v/>
      </c>
      <c r="D1934">
        <f>Prices!D1934</f>
        <v/>
      </c>
      <c r="E1934">
        <f>Prices!E1934</f>
        <v/>
      </c>
      <c r="F1934">
        <f>Prices!F1934</f>
        <v/>
      </c>
      <c r="G1934">
        <f>IF(AND(1932&gt;=16,TEXT(A1934,"yyyy-mm")&lt;&gt;TEXT(A1935,"yyyy-mm")),1,0)</f>
        <v/>
      </c>
      <c r="H1934">
        <f>IF(OR(H1933=1,G1934=1),1,0)</f>
        <v/>
      </c>
      <c r="I1934">
        <f>IF(H1933=0,1,SUMPRODUCT(J1933:N1933,B1934:F1934)+O1933*(1+0.00023125256064071564))</f>
        <v/>
      </c>
      <c r="J1934">
        <f>IF(G1934=1,0.2*R1934/B1934,J1933)</f>
        <v/>
      </c>
      <c r="K1934">
        <f>IF(G1934=1,0.2*R1934/C1934,K1933)</f>
        <v/>
      </c>
      <c r="L1934">
        <f>IF(G1934=1,0.2*R1934/D1934,L1933)</f>
        <v/>
      </c>
      <c r="M1934">
        <f>IF(G1934=1,0.2*R1934/E1934,M1933)</f>
        <v/>
      </c>
      <c r="N1934">
        <f>IF(G1934=1,0.2*R1934/F1934,N1933)</f>
        <v/>
      </c>
      <c r="O1934">
        <f>IF(G1934=1,R1934*(1-1.0),IF(H1933=0,1,O1933*(1+0.00023125256064071564)))</f>
        <v/>
      </c>
      <c r="P1934">
        <f>IF(G1934=1,IF(H1933=0,1,ABS(0.2-J1933*B1934/I1934)+ABS(0.2-K1933*C1934/I1934)+ABS(0.2-L1933*D1934/I1934)+ABS(0.2-M1933*E1934/I1934)+ABS(0.2-N1933*F1934/I1934)),0)</f>
        <v/>
      </c>
      <c r="Q1934">
        <f>P1934*0.0015</f>
        <v/>
      </c>
      <c r="R1934">
        <f>I1934*(1-Q1934)</f>
        <v/>
      </c>
      <c r="S1934">
        <f>R1934/R1933-1</f>
        <v/>
      </c>
      <c r="T1934">
        <f>MAX(T1933,R1934)</f>
        <v/>
      </c>
      <c r="U1934">
        <f>R1934/T1934-1</f>
        <v/>
      </c>
      <c r="V1934" t="n">
        <v>3.831803432402688</v>
      </c>
      <c r="W1934" s="5">
        <f>R1934-V1934</f>
        <v/>
      </c>
    </row>
    <row r="1935">
      <c r="A1935" s="3" t="n">
        <v>41282</v>
      </c>
      <c r="B1935">
        <f>Prices!B1935</f>
        <v/>
      </c>
      <c r="C1935">
        <f>Prices!C1935</f>
        <v/>
      </c>
      <c r="D1935">
        <f>Prices!D1935</f>
        <v/>
      </c>
      <c r="E1935">
        <f>Prices!E1935</f>
        <v/>
      </c>
      <c r="F1935">
        <f>Prices!F1935</f>
        <v/>
      </c>
      <c r="G1935">
        <f>IF(AND(1933&gt;=16,TEXT(A1935,"yyyy-mm")&lt;&gt;TEXT(A1936,"yyyy-mm")),1,0)</f>
        <v/>
      </c>
      <c r="H1935">
        <f>IF(OR(H1934=1,G1935=1),1,0)</f>
        <v/>
      </c>
      <c r="I1935">
        <f>IF(H1934=0,1,SUMPRODUCT(J1934:N1934,B1935:F1935)+O1934*(1+0.00023125256064071564))</f>
        <v/>
      </c>
      <c r="J1935">
        <f>IF(G1935=1,0.2*R1935/B1935,J1934)</f>
        <v/>
      </c>
      <c r="K1935">
        <f>IF(G1935=1,0.2*R1935/C1935,K1934)</f>
        <v/>
      </c>
      <c r="L1935">
        <f>IF(G1935=1,0.2*R1935/D1935,L1934)</f>
        <v/>
      </c>
      <c r="M1935">
        <f>IF(G1935=1,0.2*R1935/E1935,M1934)</f>
        <v/>
      </c>
      <c r="N1935">
        <f>IF(G1935=1,0.2*R1935/F1935,N1934)</f>
        <v/>
      </c>
      <c r="O1935">
        <f>IF(G1935=1,R1935*(1-1.0),IF(H1934=0,1,O1934*(1+0.00023125256064071564)))</f>
        <v/>
      </c>
      <c r="P1935">
        <f>IF(G1935=1,IF(H1934=0,1,ABS(0.2-J1934*B1935/I1935)+ABS(0.2-K1934*C1935/I1935)+ABS(0.2-L1934*D1935/I1935)+ABS(0.2-M1934*E1935/I1935)+ABS(0.2-N1934*F1935/I1935)),0)</f>
        <v/>
      </c>
      <c r="Q1935">
        <f>P1935*0.0015</f>
        <v/>
      </c>
      <c r="R1935">
        <f>I1935*(1-Q1935)</f>
        <v/>
      </c>
      <c r="S1935">
        <f>R1935/R1934-1</f>
        <v/>
      </c>
      <c r="T1935">
        <f>MAX(T1934,R1935)</f>
        <v/>
      </c>
      <c r="U1935">
        <f>R1935/T1935-1</f>
        <v/>
      </c>
      <c r="V1935" t="n">
        <v>3.839800087131767</v>
      </c>
      <c r="W1935" s="5">
        <f>R1935-V1935</f>
        <v/>
      </c>
    </row>
    <row r="1936">
      <c r="A1936" s="3" t="n">
        <v>41283</v>
      </c>
      <c r="B1936">
        <f>Prices!B1936</f>
        <v/>
      </c>
      <c r="C1936">
        <f>Prices!C1936</f>
        <v/>
      </c>
      <c r="D1936">
        <f>Prices!D1936</f>
        <v/>
      </c>
      <c r="E1936">
        <f>Prices!E1936</f>
        <v/>
      </c>
      <c r="F1936">
        <f>Prices!F1936</f>
        <v/>
      </c>
      <c r="G1936">
        <f>IF(AND(1934&gt;=16,TEXT(A1936,"yyyy-mm")&lt;&gt;TEXT(A1937,"yyyy-mm")),1,0)</f>
        <v/>
      </c>
      <c r="H1936">
        <f>IF(OR(H1935=1,G1936=1),1,0)</f>
        <v/>
      </c>
      <c r="I1936">
        <f>IF(H1935=0,1,SUMPRODUCT(J1935:N1935,B1936:F1936)+O1935*(1+0.00023125256064071564))</f>
        <v/>
      </c>
      <c r="J1936">
        <f>IF(G1936=1,0.2*R1936/B1936,J1935)</f>
        <v/>
      </c>
      <c r="K1936">
        <f>IF(G1936=1,0.2*R1936/C1936,K1935)</f>
        <v/>
      </c>
      <c r="L1936">
        <f>IF(G1936=1,0.2*R1936/D1936,L1935)</f>
        <v/>
      </c>
      <c r="M1936">
        <f>IF(G1936=1,0.2*R1936/E1936,M1935)</f>
        <v/>
      </c>
      <c r="N1936">
        <f>IF(G1936=1,0.2*R1936/F1936,N1935)</f>
        <v/>
      </c>
      <c r="O1936">
        <f>IF(G1936=1,R1936*(1-1.0),IF(H1935=0,1,O1935*(1+0.00023125256064071564)))</f>
        <v/>
      </c>
      <c r="P1936">
        <f>IF(G1936=1,IF(H1935=0,1,ABS(0.2-J1935*B1936/I1936)+ABS(0.2-K1935*C1936/I1936)+ABS(0.2-L1935*D1936/I1936)+ABS(0.2-M1935*E1936/I1936)+ABS(0.2-N1935*F1936/I1936)),0)</f>
        <v/>
      </c>
      <c r="Q1936">
        <f>P1936*0.0015</f>
        <v/>
      </c>
      <c r="R1936">
        <f>I1936*(1-Q1936)</f>
        <v/>
      </c>
      <c r="S1936">
        <f>R1936/R1935-1</f>
        <v/>
      </c>
      <c r="T1936">
        <f>MAX(T1935,R1936)</f>
        <v/>
      </c>
      <c r="U1936">
        <f>R1936/T1936-1</f>
        <v/>
      </c>
      <c r="V1936" t="n">
        <v>3.827306480089816</v>
      </c>
      <c r="W1936" s="5">
        <f>R1936-V1936</f>
        <v/>
      </c>
    </row>
    <row r="1937">
      <c r="A1937" s="3" t="n">
        <v>41284</v>
      </c>
      <c r="B1937">
        <f>Prices!B1937</f>
        <v/>
      </c>
      <c r="C1937">
        <f>Prices!C1937</f>
        <v/>
      </c>
      <c r="D1937">
        <f>Prices!D1937</f>
        <v/>
      </c>
      <c r="E1937">
        <f>Prices!E1937</f>
        <v/>
      </c>
      <c r="F1937">
        <f>Prices!F1937</f>
        <v/>
      </c>
      <c r="G1937">
        <f>IF(AND(1935&gt;=16,TEXT(A1937,"yyyy-mm")&lt;&gt;TEXT(A1938,"yyyy-mm")),1,0)</f>
        <v/>
      </c>
      <c r="H1937">
        <f>IF(OR(H1936=1,G1937=1),1,0)</f>
        <v/>
      </c>
      <c r="I1937">
        <f>IF(H1936=0,1,SUMPRODUCT(J1936:N1936,B1937:F1937)+O1936*(1+0.00023125256064071564))</f>
        <v/>
      </c>
      <c r="J1937">
        <f>IF(G1937=1,0.2*R1937/B1937,J1936)</f>
        <v/>
      </c>
      <c r="K1937">
        <f>IF(G1937=1,0.2*R1937/C1937,K1936)</f>
        <v/>
      </c>
      <c r="L1937">
        <f>IF(G1937=1,0.2*R1937/D1937,L1936)</f>
        <v/>
      </c>
      <c r="M1937">
        <f>IF(G1937=1,0.2*R1937/E1937,M1936)</f>
        <v/>
      </c>
      <c r="N1937">
        <f>IF(G1937=1,0.2*R1937/F1937,N1936)</f>
        <v/>
      </c>
      <c r="O1937">
        <f>IF(G1937=1,R1937*(1-1.0),IF(H1936=0,1,O1936*(1+0.00023125256064071564)))</f>
        <v/>
      </c>
      <c r="P1937">
        <f>IF(G1937=1,IF(H1936=0,1,ABS(0.2-J1936*B1937/I1937)+ABS(0.2-K1936*C1937/I1937)+ABS(0.2-L1936*D1937/I1937)+ABS(0.2-M1936*E1937/I1937)+ABS(0.2-N1936*F1937/I1937)),0)</f>
        <v/>
      </c>
      <c r="Q1937">
        <f>P1937*0.0015</f>
        <v/>
      </c>
      <c r="R1937">
        <f>I1937*(1-Q1937)</f>
        <v/>
      </c>
      <c r="S1937">
        <f>R1937/R1936-1</f>
        <v/>
      </c>
      <c r="T1937">
        <f>MAX(T1936,R1937)</f>
        <v/>
      </c>
      <c r="U1937">
        <f>R1937/T1937-1</f>
        <v/>
      </c>
      <c r="V1937" t="n">
        <v>3.811885030978333</v>
      </c>
      <c r="W1937" s="5">
        <f>R1937-V1937</f>
        <v/>
      </c>
    </row>
    <row r="1938">
      <c r="A1938" s="3" t="n">
        <v>41285</v>
      </c>
      <c r="B1938">
        <f>Prices!B1938</f>
        <v/>
      </c>
      <c r="C1938">
        <f>Prices!C1938</f>
        <v/>
      </c>
      <c r="D1938">
        <f>Prices!D1938</f>
        <v/>
      </c>
      <c r="E1938">
        <f>Prices!E1938</f>
        <v/>
      </c>
      <c r="F1938">
        <f>Prices!F1938</f>
        <v/>
      </c>
      <c r="G1938">
        <f>IF(AND(1936&gt;=16,TEXT(A1938,"yyyy-mm")&lt;&gt;TEXT(A1939,"yyyy-mm")),1,0)</f>
        <v/>
      </c>
      <c r="H1938">
        <f>IF(OR(H1937=1,G1938=1),1,0)</f>
        <v/>
      </c>
      <c r="I1938">
        <f>IF(H1937=0,1,SUMPRODUCT(J1937:N1937,B1938:F1938)+O1937*(1+0.00023125256064071564))</f>
        <v/>
      </c>
      <c r="J1938">
        <f>IF(G1938=1,0.2*R1938/B1938,J1937)</f>
        <v/>
      </c>
      <c r="K1938">
        <f>IF(G1938=1,0.2*R1938/C1938,K1937)</f>
        <v/>
      </c>
      <c r="L1938">
        <f>IF(G1938=1,0.2*R1938/D1938,L1937)</f>
        <v/>
      </c>
      <c r="M1938">
        <f>IF(G1938=1,0.2*R1938/E1938,M1937)</f>
        <v/>
      </c>
      <c r="N1938">
        <f>IF(G1938=1,0.2*R1938/F1938,N1937)</f>
        <v/>
      </c>
      <c r="O1938">
        <f>IF(G1938=1,R1938*(1-1.0),IF(H1937=0,1,O1937*(1+0.00023125256064071564)))</f>
        <v/>
      </c>
      <c r="P1938">
        <f>IF(G1938=1,IF(H1937=0,1,ABS(0.2-J1937*B1938/I1938)+ABS(0.2-K1937*C1938/I1938)+ABS(0.2-L1937*D1938/I1938)+ABS(0.2-M1937*E1938/I1938)+ABS(0.2-N1937*F1938/I1938)),0)</f>
        <v/>
      </c>
      <c r="Q1938">
        <f>P1938*0.0015</f>
        <v/>
      </c>
      <c r="R1938">
        <f>I1938*(1-Q1938)</f>
        <v/>
      </c>
      <c r="S1938">
        <f>R1938/R1937-1</f>
        <v/>
      </c>
      <c r="T1938">
        <f>MAX(T1937,R1938)</f>
        <v/>
      </c>
      <c r="U1938">
        <f>R1938/T1938-1</f>
        <v/>
      </c>
      <c r="V1938" t="n">
        <v>3.76246879283642</v>
      </c>
      <c r="W1938" s="5">
        <f>R1938-V1938</f>
        <v/>
      </c>
    </row>
    <row r="1939">
      <c r="A1939" s="3" t="n">
        <v>41288</v>
      </c>
      <c r="B1939">
        <f>Prices!B1939</f>
        <v/>
      </c>
      <c r="C1939">
        <f>Prices!C1939</f>
        <v/>
      </c>
      <c r="D1939">
        <f>Prices!D1939</f>
        <v/>
      </c>
      <c r="E1939">
        <f>Prices!E1939</f>
        <v/>
      </c>
      <c r="F1939">
        <f>Prices!F1939</f>
        <v/>
      </c>
      <c r="G1939">
        <f>IF(AND(1937&gt;=16,TEXT(A1939,"yyyy-mm")&lt;&gt;TEXT(A1940,"yyyy-mm")),1,0)</f>
        <v/>
      </c>
      <c r="H1939">
        <f>IF(OR(H1938=1,G1939=1),1,0)</f>
        <v/>
      </c>
      <c r="I1939">
        <f>IF(H1938=0,1,SUMPRODUCT(J1938:N1938,B1939:F1939)+O1938*(1+0.00023125256064071564))</f>
        <v/>
      </c>
      <c r="J1939">
        <f>IF(G1939=1,0.2*R1939/B1939,J1938)</f>
        <v/>
      </c>
      <c r="K1939">
        <f>IF(G1939=1,0.2*R1939/C1939,K1938)</f>
        <v/>
      </c>
      <c r="L1939">
        <f>IF(G1939=1,0.2*R1939/D1939,L1938)</f>
        <v/>
      </c>
      <c r="M1939">
        <f>IF(G1939=1,0.2*R1939/E1939,M1938)</f>
        <v/>
      </c>
      <c r="N1939">
        <f>IF(G1939=1,0.2*R1939/F1939,N1938)</f>
        <v/>
      </c>
      <c r="O1939">
        <f>IF(G1939=1,R1939*(1-1.0),IF(H1938=0,1,O1938*(1+0.00023125256064071564)))</f>
        <v/>
      </c>
      <c r="P1939">
        <f>IF(G1939=1,IF(H1938=0,1,ABS(0.2-J1938*B1939/I1939)+ABS(0.2-K1938*C1939/I1939)+ABS(0.2-L1938*D1939/I1939)+ABS(0.2-M1938*E1939/I1939)+ABS(0.2-N1938*F1939/I1939)),0)</f>
        <v/>
      </c>
      <c r="Q1939">
        <f>P1939*0.0015</f>
        <v/>
      </c>
      <c r="R1939">
        <f>I1939*(1-Q1939)</f>
        <v/>
      </c>
      <c r="S1939">
        <f>R1939/R1938-1</f>
        <v/>
      </c>
      <c r="T1939">
        <f>MAX(T1938,R1939)</f>
        <v/>
      </c>
      <c r="U1939">
        <f>R1939/T1939-1</f>
        <v/>
      </c>
      <c r="V1939" t="n">
        <v>3.798692982391076</v>
      </c>
      <c r="W1939" s="5">
        <f>R1939-V1939</f>
        <v/>
      </c>
    </row>
    <row r="1940">
      <c r="A1940" s="3" t="n">
        <v>41289</v>
      </c>
      <c r="B1940">
        <f>Prices!B1940</f>
        <v/>
      </c>
      <c r="C1940">
        <f>Prices!C1940</f>
        <v/>
      </c>
      <c r="D1940">
        <f>Prices!D1940</f>
        <v/>
      </c>
      <c r="E1940">
        <f>Prices!E1940</f>
        <v/>
      </c>
      <c r="F1940">
        <f>Prices!F1940</f>
        <v/>
      </c>
      <c r="G1940">
        <f>IF(AND(1938&gt;=16,TEXT(A1940,"yyyy-mm")&lt;&gt;TEXT(A1941,"yyyy-mm")),1,0)</f>
        <v/>
      </c>
      <c r="H1940">
        <f>IF(OR(H1939=1,G1940=1),1,0)</f>
        <v/>
      </c>
      <c r="I1940">
        <f>IF(H1939=0,1,SUMPRODUCT(J1939:N1939,B1940:F1940)+O1939*(1+0.00023125256064071564))</f>
        <v/>
      </c>
      <c r="J1940">
        <f>IF(G1940=1,0.2*R1940/B1940,J1939)</f>
        <v/>
      </c>
      <c r="K1940">
        <f>IF(G1940=1,0.2*R1940/C1940,K1939)</f>
        <v/>
      </c>
      <c r="L1940">
        <f>IF(G1940=1,0.2*R1940/D1940,L1939)</f>
        <v/>
      </c>
      <c r="M1940">
        <f>IF(G1940=1,0.2*R1940/E1940,M1939)</f>
        <v/>
      </c>
      <c r="N1940">
        <f>IF(G1940=1,0.2*R1940/F1940,N1939)</f>
        <v/>
      </c>
      <c r="O1940">
        <f>IF(G1940=1,R1940*(1-1.0),IF(H1939=0,1,O1939*(1+0.00023125256064071564)))</f>
        <v/>
      </c>
      <c r="P1940">
        <f>IF(G1940=1,IF(H1939=0,1,ABS(0.2-J1939*B1940/I1940)+ABS(0.2-K1939*C1940/I1940)+ABS(0.2-L1939*D1940/I1940)+ABS(0.2-M1939*E1940/I1940)+ABS(0.2-N1939*F1940/I1940)),0)</f>
        <v/>
      </c>
      <c r="Q1940">
        <f>P1940*0.0015</f>
        <v/>
      </c>
      <c r="R1940">
        <f>I1940*(1-Q1940)</f>
        <v/>
      </c>
      <c r="S1940">
        <f>R1940/R1939-1</f>
        <v/>
      </c>
      <c r="T1940">
        <f>MAX(T1939,R1940)</f>
        <v/>
      </c>
      <c r="U1940">
        <f>R1940/T1940-1</f>
        <v/>
      </c>
      <c r="V1940" t="n">
        <v>3.81450769200094</v>
      </c>
      <c r="W1940" s="5">
        <f>R1940-V1940</f>
        <v/>
      </c>
    </row>
    <row r="1941">
      <c r="A1941" s="3" t="n">
        <v>41290</v>
      </c>
      <c r="B1941">
        <f>Prices!B1941</f>
        <v/>
      </c>
      <c r="C1941">
        <f>Prices!C1941</f>
        <v/>
      </c>
      <c r="D1941">
        <f>Prices!D1941</f>
        <v/>
      </c>
      <c r="E1941">
        <f>Prices!E1941</f>
        <v/>
      </c>
      <c r="F1941">
        <f>Prices!F1941</f>
        <v/>
      </c>
      <c r="G1941">
        <f>IF(AND(1939&gt;=16,TEXT(A1941,"yyyy-mm")&lt;&gt;TEXT(A1942,"yyyy-mm")),1,0)</f>
        <v/>
      </c>
      <c r="H1941">
        <f>IF(OR(H1940=1,G1941=1),1,0)</f>
        <v/>
      </c>
      <c r="I1941">
        <f>IF(H1940=0,1,SUMPRODUCT(J1940:N1940,B1941:F1941)+O1940*(1+0.00023125256064071564))</f>
        <v/>
      </c>
      <c r="J1941">
        <f>IF(G1941=1,0.2*R1941/B1941,J1940)</f>
        <v/>
      </c>
      <c r="K1941">
        <f>IF(G1941=1,0.2*R1941/C1941,K1940)</f>
        <v/>
      </c>
      <c r="L1941">
        <f>IF(G1941=1,0.2*R1941/D1941,L1940)</f>
        <v/>
      </c>
      <c r="M1941">
        <f>IF(G1941=1,0.2*R1941/E1941,M1940)</f>
        <v/>
      </c>
      <c r="N1941">
        <f>IF(G1941=1,0.2*R1941/F1941,N1940)</f>
        <v/>
      </c>
      <c r="O1941">
        <f>IF(G1941=1,R1941*(1-1.0),IF(H1940=0,1,O1940*(1+0.00023125256064071564)))</f>
        <v/>
      </c>
      <c r="P1941">
        <f>IF(G1941=1,IF(H1940=0,1,ABS(0.2-J1940*B1941/I1941)+ABS(0.2-K1940*C1941/I1941)+ABS(0.2-L1940*D1941/I1941)+ABS(0.2-M1940*E1941/I1941)+ABS(0.2-N1940*F1941/I1941)),0)</f>
        <v/>
      </c>
      <c r="Q1941">
        <f>P1941*0.0015</f>
        <v/>
      </c>
      <c r="R1941">
        <f>I1941*(1-Q1941)</f>
        <v/>
      </c>
      <c r="S1941">
        <f>R1941/R1940-1</f>
        <v/>
      </c>
      <c r="T1941">
        <f>MAX(T1940,R1941)</f>
        <v/>
      </c>
      <c r="U1941">
        <f>R1941/T1941-1</f>
        <v/>
      </c>
      <c r="V1941" t="n">
        <v>3.778474692863357</v>
      </c>
      <c r="W1941" s="5">
        <f>R1941-V1941</f>
        <v/>
      </c>
    </row>
    <row r="1942">
      <c r="A1942" s="3" t="n">
        <v>41291</v>
      </c>
      <c r="B1942">
        <f>Prices!B1942</f>
        <v/>
      </c>
      <c r="C1942">
        <f>Prices!C1942</f>
        <v/>
      </c>
      <c r="D1942">
        <f>Prices!D1942</f>
        <v/>
      </c>
      <c r="E1942">
        <f>Prices!E1942</f>
        <v/>
      </c>
      <c r="F1942">
        <f>Prices!F1942</f>
        <v/>
      </c>
      <c r="G1942">
        <f>IF(AND(1940&gt;=16,TEXT(A1942,"yyyy-mm")&lt;&gt;TEXT(A1943,"yyyy-mm")),1,0)</f>
        <v/>
      </c>
      <c r="H1942">
        <f>IF(OR(H1941=1,G1942=1),1,0)</f>
        <v/>
      </c>
      <c r="I1942">
        <f>IF(H1941=0,1,SUMPRODUCT(J1941:N1941,B1942:F1942)+O1941*(1+0.00023125256064071564))</f>
        <v/>
      </c>
      <c r="J1942">
        <f>IF(G1942=1,0.2*R1942/B1942,J1941)</f>
        <v/>
      </c>
      <c r="K1942">
        <f>IF(G1942=1,0.2*R1942/C1942,K1941)</f>
        <v/>
      </c>
      <c r="L1942">
        <f>IF(G1942=1,0.2*R1942/D1942,L1941)</f>
        <v/>
      </c>
      <c r="M1942">
        <f>IF(G1942=1,0.2*R1942/E1942,M1941)</f>
        <v/>
      </c>
      <c r="N1942">
        <f>IF(G1942=1,0.2*R1942/F1942,N1941)</f>
        <v/>
      </c>
      <c r="O1942">
        <f>IF(G1942=1,R1942*(1-1.0),IF(H1941=0,1,O1941*(1+0.00023125256064071564)))</f>
        <v/>
      </c>
      <c r="P1942">
        <f>IF(G1942=1,IF(H1941=0,1,ABS(0.2-J1941*B1942/I1942)+ABS(0.2-K1941*C1942/I1942)+ABS(0.2-L1941*D1942/I1942)+ABS(0.2-M1941*E1942/I1942)+ABS(0.2-N1941*F1942/I1942)),0)</f>
        <v/>
      </c>
      <c r="Q1942">
        <f>P1942*0.0015</f>
        <v/>
      </c>
      <c r="R1942">
        <f>I1942*(1-Q1942)</f>
        <v/>
      </c>
      <c r="S1942">
        <f>R1942/R1941-1</f>
        <v/>
      </c>
      <c r="T1942">
        <f>MAX(T1941,R1942)</f>
        <v/>
      </c>
      <c r="U1942">
        <f>R1942/T1942-1</f>
        <v/>
      </c>
      <c r="V1942" t="n">
        <v>3.788255695323127</v>
      </c>
      <c r="W1942" s="5">
        <f>R1942-V1942</f>
        <v/>
      </c>
    </row>
    <row r="1943">
      <c r="A1943" s="3" t="n">
        <v>41292</v>
      </c>
      <c r="B1943">
        <f>Prices!B1943</f>
        <v/>
      </c>
      <c r="C1943">
        <f>Prices!C1943</f>
        <v/>
      </c>
      <c r="D1943">
        <f>Prices!D1943</f>
        <v/>
      </c>
      <c r="E1943">
        <f>Prices!E1943</f>
        <v/>
      </c>
      <c r="F1943">
        <f>Prices!F1943</f>
        <v/>
      </c>
      <c r="G1943">
        <f>IF(AND(1941&gt;=16,TEXT(A1943,"yyyy-mm")&lt;&gt;TEXT(A1944,"yyyy-mm")),1,0)</f>
        <v/>
      </c>
      <c r="H1943">
        <f>IF(OR(H1942=1,G1943=1),1,0)</f>
        <v/>
      </c>
      <c r="I1943">
        <f>IF(H1942=0,1,SUMPRODUCT(J1942:N1942,B1943:F1943)+O1942*(1+0.00023125256064071564))</f>
        <v/>
      </c>
      <c r="J1943">
        <f>IF(G1943=1,0.2*R1943/B1943,J1942)</f>
        <v/>
      </c>
      <c r="K1943">
        <f>IF(G1943=1,0.2*R1943/C1943,K1942)</f>
        <v/>
      </c>
      <c r="L1943">
        <f>IF(G1943=1,0.2*R1943/D1943,L1942)</f>
        <v/>
      </c>
      <c r="M1943">
        <f>IF(G1943=1,0.2*R1943/E1943,M1942)</f>
        <v/>
      </c>
      <c r="N1943">
        <f>IF(G1943=1,0.2*R1943/F1943,N1942)</f>
        <v/>
      </c>
      <c r="O1943">
        <f>IF(G1943=1,R1943*(1-1.0),IF(H1942=0,1,O1942*(1+0.00023125256064071564)))</f>
        <v/>
      </c>
      <c r="P1943">
        <f>IF(G1943=1,IF(H1942=0,1,ABS(0.2-J1942*B1943/I1943)+ABS(0.2-K1942*C1943/I1943)+ABS(0.2-L1942*D1943/I1943)+ABS(0.2-M1942*E1943/I1943)+ABS(0.2-N1942*F1943/I1943)),0)</f>
        <v/>
      </c>
      <c r="Q1943">
        <f>P1943*0.0015</f>
        <v/>
      </c>
      <c r="R1943">
        <f>I1943*(1-Q1943)</f>
        <v/>
      </c>
      <c r="S1943">
        <f>R1943/R1942-1</f>
        <v/>
      </c>
      <c r="T1943">
        <f>MAX(T1942,R1943)</f>
        <v/>
      </c>
      <c r="U1943">
        <f>R1943/T1943-1</f>
        <v/>
      </c>
      <c r="V1943" t="n">
        <v>3.798063367519045</v>
      </c>
      <c r="W1943" s="5">
        <f>R1943-V1943</f>
        <v/>
      </c>
    </row>
    <row r="1944">
      <c r="A1944" s="3" t="n">
        <v>41295</v>
      </c>
      <c r="B1944">
        <f>Prices!B1944</f>
        <v/>
      </c>
      <c r="C1944">
        <f>Prices!C1944</f>
        <v/>
      </c>
      <c r="D1944">
        <f>Prices!D1944</f>
        <v/>
      </c>
      <c r="E1944">
        <f>Prices!E1944</f>
        <v/>
      </c>
      <c r="F1944">
        <f>Prices!F1944</f>
        <v/>
      </c>
      <c r="G1944">
        <f>IF(AND(1942&gt;=16,TEXT(A1944,"yyyy-mm")&lt;&gt;TEXT(A1945,"yyyy-mm")),1,0)</f>
        <v/>
      </c>
      <c r="H1944">
        <f>IF(OR(H1943=1,G1944=1),1,0)</f>
        <v/>
      </c>
      <c r="I1944">
        <f>IF(H1943=0,1,SUMPRODUCT(J1943:N1943,B1944:F1944)+O1943*(1+0.00023125256064071564))</f>
        <v/>
      </c>
      <c r="J1944">
        <f>IF(G1944=1,0.2*R1944/B1944,J1943)</f>
        <v/>
      </c>
      <c r="K1944">
        <f>IF(G1944=1,0.2*R1944/C1944,K1943)</f>
        <v/>
      </c>
      <c r="L1944">
        <f>IF(G1944=1,0.2*R1944/D1944,L1943)</f>
        <v/>
      </c>
      <c r="M1944">
        <f>IF(G1944=1,0.2*R1944/E1944,M1943)</f>
        <v/>
      </c>
      <c r="N1944">
        <f>IF(G1944=1,0.2*R1944/F1944,N1943)</f>
        <v/>
      </c>
      <c r="O1944">
        <f>IF(G1944=1,R1944*(1-1.0),IF(H1943=0,1,O1943*(1+0.00023125256064071564)))</f>
        <v/>
      </c>
      <c r="P1944">
        <f>IF(G1944=1,IF(H1943=0,1,ABS(0.2-J1943*B1944/I1944)+ABS(0.2-K1943*C1944/I1944)+ABS(0.2-L1943*D1944/I1944)+ABS(0.2-M1943*E1944/I1944)+ABS(0.2-N1943*F1944/I1944)),0)</f>
        <v/>
      </c>
      <c r="Q1944">
        <f>P1944*0.0015</f>
        <v/>
      </c>
      <c r="R1944">
        <f>I1944*(1-Q1944)</f>
        <v/>
      </c>
      <c r="S1944">
        <f>R1944/R1943-1</f>
        <v/>
      </c>
      <c r="T1944">
        <f>MAX(T1943,R1944)</f>
        <v/>
      </c>
      <c r="U1944">
        <f>R1944/T1944-1</f>
        <v/>
      </c>
      <c r="V1944" t="n">
        <v>3.809108711844187</v>
      </c>
      <c r="W1944" s="5">
        <f>R1944-V1944</f>
        <v/>
      </c>
    </row>
    <row r="1945">
      <c r="A1945" s="3" t="n">
        <v>41296</v>
      </c>
      <c r="B1945">
        <f>Prices!B1945</f>
        <v/>
      </c>
      <c r="C1945">
        <f>Prices!C1945</f>
        <v/>
      </c>
      <c r="D1945">
        <f>Prices!D1945</f>
        <v/>
      </c>
      <c r="E1945">
        <f>Prices!E1945</f>
        <v/>
      </c>
      <c r="F1945">
        <f>Prices!F1945</f>
        <v/>
      </c>
      <c r="G1945">
        <f>IF(AND(1943&gt;=16,TEXT(A1945,"yyyy-mm")&lt;&gt;TEXT(A1946,"yyyy-mm")),1,0)</f>
        <v/>
      </c>
      <c r="H1945">
        <f>IF(OR(H1944=1,G1945=1),1,0)</f>
        <v/>
      </c>
      <c r="I1945">
        <f>IF(H1944=0,1,SUMPRODUCT(J1944:N1944,B1945:F1945)+O1944*(1+0.00023125256064071564))</f>
        <v/>
      </c>
      <c r="J1945">
        <f>IF(G1945=1,0.2*R1945/B1945,J1944)</f>
        <v/>
      </c>
      <c r="K1945">
        <f>IF(G1945=1,0.2*R1945/C1945,K1944)</f>
        <v/>
      </c>
      <c r="L1945">
        <f>IF(G1945=1,0.2*R1945/D1945,L1944)</f>
        <v/>
      </c>
      <c r="M1945">
        <f>IF(G1945=1,0.2*R1945/E1945,M1944)</f>
        <v/>
      </c>
      <c r="N1945">
        <f>IF(G1945=1,0.2*R1945/F1945,N1944)</f>
        <v/>
      </c>
      <c r="O1945">
        <f>IF(G1945=1,R1945*(1-1.0),IF(H1944=0,1,O1944*(1+0.00023125256064071564)))</f>
        <v/>
      </c>
      <c r="P1945">
        <f>IF(G1945=1,IF(H1944=0,1,ABS(0.2-J1944*B1945/I1945)+ABS(0.2-K1944*C1945/I1945)+ABS(0.2-L1944*D1945/I1945)+ABS(0.2-M1944*E1945/I1945)+ABS(0.2-N1944*F1945/I1945)),0)</f>
        <v/>
      </c>
      <c r="Q1945">
        <f>P1945*0.0015</f>
        <v/>
      </c>
      <c r="R1945">
        <f>I1945*(1-Q1945)</f>
        <v/>
      </c>
      <c r="S1945">
        <f>R1945/R1944-1</f>
        <v/>
      </c>
      <c r="T1945">
        <f>MAX(T1944,R1945)</f>
        <v/>
      </c>
      <c r="U1945">
        <f>R1945/T1945-1</f>
        <v/>
      </c>
      <c r="V1945" t="n">
        <v>3.77443177568556</v>
      </c>
      <c r="W1945" s="5">
        <f>R1945-V1945</f>
        <v/>
      </c>
    </row>
    <row r="1946">
      <c r="A1946" s="3" t="n">
        <v>41297</v>
      </c>
      <c r="B1946">
        <f>Prices!B1946</f>
        <v/>
      </c>
      <c r="C1946">
        <f>Prices!C1946</f>
        <v/>
      </c>
      <c r="D1946">
        <f>Prices!D1946</f>
        <v/>
      </c>
      <c r="E1946">
        <f>Prices!E1946</f>
        <v/>
      </c>
      <c r="F1946">
        <f>Prices!F1946</f>
        <v/>
      </c>
      <c r="G1946">
        <f>IF(AND(1944&gt;=16,TEXT(A1946,"yyyy-mm")&lt;&gt;TEXT(A1947,"yyyy-mm")),1,0)</f>
        <v/>
      </c>
      <c r="H1946">
        <f>IF(OR(H1945=1,G1946=1),1,0)</f>
        <v/>
      </c>
      <c r="I1946">
        <f>IF(H1945=0,1,SUMPRODUCT(J1945:N1945,B1946:F1946)+O1945*(1+0.00023125256064071564))</f>
        <v/>
      </c>
      <c r="J1946">
        <f>IF(G1946=1,0.2*R1946/B1946,J1945)</f>
        <v/>
      </c>
      <c r="K1946">
        <f>IF(G1946=1,0.2*R1946/C1946,K1945)</f>
        <v/>
      </c>
      <c r="L1946">
        <f>IF(G1946=1,0.2*R1946/D1946,L1945)</f>
        <v/>
      </c>
      <c r="M1946">
        <f>IF(G1946=1,0.2*R1946/E1946,M1945)</f>
        <v/>
      </c>
      <c r="N1946">
        <f>IF(G1946=1,0.2*R1946/F1946,N1945)</f>
        <v/>
      </c>
      <c r="O1946">
        <f>IF(G1946=1,R1946*(1-1.0),IF(H1945=0,1,O1945*(1+0.00023125256064071564)))</f>
        <v/>
      </c>
      <c r="P1946">
        <f>IF(G1946=1,IF(H1945=0,1,ABS(0.2-J1945*B1946/I1946)+ABS(0.2-K1945*C1946/I1946)+ABS(0.2-L1945*D1946/I1946)+ABS(0.2-M1945*E1946/I1946)+ABS(0.2-N1945*F1946/I1946)),0)</f>
        <v/>
      </c>
      <c r="Q1946">
        <f>P1946*0.0015</f>
        <v/>
      </c>
      <c r="R1946">
        <f>I1946*(1-Q1946)</f>
        <v/>
      </c>
      <c r="S1946">
        <f>R1946/R1945-1</f>
        <v/>
      </c>
      <c r="T1946">
        <f>MAX(T1945,R1946)</f>
        <v/>
      </c>
      <c r="U1946">
        <f>R1946/T1946-1</f>
        <v/>
      </c>
      <c r="V1946" t="n">
        <v>3.738099088947156</v>
      </c>
      <c r="W1946" s="5">
        <f>R1946-V1946</f>
        <v/>
      </c>
    </row>
    <row r="1947">
      <c r="A1947" s="3" t="n">
        <v>41298</v>
      </c>
      <c r="B1947">
        <f>Prices!B1947</f>
        <v/>
      </c>
      <c r="C1947">
        <f>Prices!C1947</f>
        <v/>
      </c>
      <c r="D1947">
        <f>Prices!D1947</f>
        <v/>
      </c>
      <c r="E1947">
        <f>Prices!E1947</f>
        <v/>
      </c>
      <c r="F1947">
        <f>Prices!F1947</f>
        <v/>
      </c>
      <c r="G1947">
        <f>IF(AND(1945&gt;=16,TEXT(A1947,"yyyy-mm")&lt;&gt;TEXT(A1948,"yyyy-mm")),1,0)</f>
        <v/>
      </c>
      <c r="H1947">
        <f>IF(OR(H1946=1,G1947=1),1,0)</f>
        <v/>
      </c>
      <c r="I1947">
        <f>IF(H1946=0,1,SUMPRODUCT(J1946:N1946,B1947:F1947)+O1946*(1+0.00023125256064071564))</f>
        <v/>
      </c>
      <c r="J1947">
        <f>IF(G1947=1,0.2*R1947/B1947,J1946)</f>
        <v/>
      </c>
      <c r="K1947">
        <f>IF(G1947=1,0.2*R1947/C1947,K1946)</f>
        <v/>
      </c>
      <c r="L1947">
        <f>IF(G1947=1,0.2*R1947/D1947,L1946)</f>
        <v/>
      </c>
      <c r="M1947">
        <f>IF(G1947=1,0.2*R1947/E1947,M1946)</f>
        <v/>
      </c>
      <c r="N1947">
        <f>IF(G1947=1,0.2*R1947/F1947,N1946)</f>
        <v/>
      </c>
      <c r="O1947">
        <f>IF(G1947=1,R1947*(1-1.0),IF(H1946=0,1,O1946*(1+0.00023125256064071564)))</f>
        <v/>
      </c>
      <c r="P1947">
        <f>IF(G1947=1,IF(H1946=0,1,ABS(0.2-J1946*B1947/I1947)+ABS(0.2-K1946*C1947/I1947)+ABS(0.2-L1946*D1947/I1947)+ABS(0.2-M1946*E1947/I1947)+ABS(0.2-N1946*F1947/I1947)),0)</f>
        <v/>
      </c>
      <c r="Q1947">
        <f>P1947*0.0015</f>
        <v/>
      </c>
      <c r="R1947">
        <f>I1947*(1-Q1947)</f>
        <v/>
      </c>
      <c r="S1947">
        <f>R1947/R1946-1</f>
        <v/>
      </c>
      <c r="T1947">
        <f>MAX(T1946,R1947)</f>
        <v/>
      </c>
      <c r="U1947">
        <f>R1947/T1947-1</f>
        <v/>
      </c>
      <c r="V1947" t="n">
        <v>3.673641745494338</v>
      </c>
      <c r="W1947" s="5">
        <f>R1947-V1947</f>
        <v/>
      </c>
    </row>
    <row r="1948">
      <c r="A1948" s="3" t="n">
        <v>41299</v>
      </c>
      <c r="B1948">
        <f>Prices!B1948</f>
        <v/>
      </c>
      <c r="C1948">
        <f>Prices!C1948</f>
        <v/>
      </c>
      <c r="D1948">
        <f>Prices!D1948</f>
        <v/>
      </c>
      <c r="E1948">
        <f>Prices!E1948</f>
        <v/>
      </c>
      <c r="F1948">
        <f>Prices!F1948</f>
        <v/>
      </c>
      <c r="G1948">
        <f>IF(AND(1946&gt;=16,TEXT(A1948,"yyyy-mm")&lt;&gt;TEXT(A1949,"yyyy-mm")),1,0)</f>
        <v/>
      </c>
      <c r="H1948">
        <f>IF(OR(H1947=1,G1948=1),1,0)</f>
        <v/>
      </c>
      <c r="I1948">
        <f>IF(H1947=0,1,SUMPRODUCT(J1947:N1947,B1948:F1948)+O1947*(1+0.00023125256064071564))</f>
        <v/>
      </c>
      <c r="J1948">
        <f>IF(G1948=1,0.2*R1948/B1948,J1947)</f>
        <v/>
      </c>
      <c r="K1948">
        <f>IF(G1948=1,0.2*R1948/C1948,K1947)</f>
        <v/>
      </c>
      <c r="L1948">
        <f>IF(G1948=1,0.2*R1948/D1948,L1947)</f>
        <v/>
      </c>
      <c r="M1948">
        <f>IF(G1948=1,0.2*R1948/E1948,M1947)</f>
        <v/>
      </c>
      <c r="N1948">
        <f>IF(G1948=1,0.2*R1948/F1948,N1947)</f>
        <v/>
      </c>
      <c r="O1948">
        <f>IF(G1948=1,R1948*(1-1.0),IF(H1947=0,1,O1947*(1+0.00023125256064071564)))</f>
        <v/>
      </c>
      <c r="P1948">
        <f>IF(G1948=1,IF(H1947=0,1,ABS(0.2-J1947*B1948/I1948)+ABS(0.2-K1947*C1948/I1948)+ABS(0.2-L1947*D1948/I1948)+ABS(0.2-M1947*E1948/I1948)+ABS(0.2-N1947*F1948/I1948)),0)</f>
        <v/>
      </c>
      <c r="Q1948">
        <f>P1948*0.0015</f>
        <v/>
      </c>
      <c r="R1948">
        <f>I1948*(1-Q1948)</f>
        <v/>
      </c>
      <c r="S1948">
        <f>R1948/R1947-1</f>
        <v/>
      </c>
      <c r="T1948">
        <f>MAX(T1947,R1948)</f>
        <v/>
      </c>
      <c r="U1948">
        <f>R1948/T1948-1</f>
        <v/>
      </c>
      <c r="V1948" t="n">
        <v>3.72837233968983</v>
      </c>
      <c r="W1948" s="5">
        <f>R1948-V1948</f>
        <v/>
      </c>
    </row>
    <row r="1949">
      <c r="A1949" s="3" t="n">
        <v>41302</v>
      </c>
      <c r="B1949">
        <f>Prices!B1949</f>
        <v/>
      </c>
      <c r="C1949">
        <f>Prices!C1949</f>
        <v/>
      </c>
      <c r="D1949">
        <f>Prices!D1949</f>
        <v/>
      </c>
      <c r="E1949">
        <f>Prices!E1949</f>
        <v/>
      </c>
      <c r="F1949">
        <f>Prices!F1949</f>
        <v/>
      </c>
      <c r="G1949">
        <f>IF(AND(1947&gt;=16,TEXT(A1949,"yyyy-mm")&lt;&gt;TEXT(A1950,"yyyy-mm")),1,0)</f>
        <v/>
      </c>
      <c r="H1949">
        <f>IF(OR(H1948=1,G1949=1),1,0)</f>
        <v/>
      </c>
      <c r="I1949">
        <f>IF(H1948=0,1,SUMPRODUCT(J1948:N1948,B1949:F1949)+O1948*(1+0.00023125256064071564))</f>
        <v/>
      </c>
      <c r="J1949">
        <f>IF(G1949=1,0.2*R1949/B1949,J1948)</f>
        <v/>
      </c>
      <c r="K1949">
        <f>IF(G1949=1,0.2*R1949/C1949,K1948)</f>
        <v/>
      </c>
      <c r="L1949">
        <f>IF(G1949=1,0.2*R1949/D1949,L1948)</f>
        <v/>
      </c>
      <c r="M1949">
        <f>IF(G1949=1,0.2*R1949/E1949,M1948)</f>
        <v/>
      </c>
      <c r="N1949">
        <f>IF(G1949=1,0.2*R1949/F1949,N1948)</f>
        <v/>
      </c>
      <c r="O1949">
        <f>IF(G1949=1,R1949*(1-1.0),IF(H1948=0,1,O1948*(1+0.00023125256064071564)))</f>
        <v/>
      </c>
      <c r="P1949">
        <f>IF(G1949=1,IF(H1948=0,1,ABS(0.2-J1948*B1949/I1949)+ABS(0.2-K1948*C1949/I1949)+ABS(0.2-L1948*D1949/I1949)+ABS(0.2-M1948*E1949/I1949)+ABS(0.2-N1948*F1949/I1949)),0)</f>
        <v/>
      </c>
      <c r="Q1949">
        <f>P1949*0.0015</f>
        <v/>
      </c>
      <c r="R1949">
        <f>I1949*(1-Q1949)</f>
        <v/>
      </c>
      <c r="S1949">
        <f>R1949/R1948-1</f>
        <v/>
      </c>
      <c r="T1949">
        <f>MAX(T1948,R1949)</f>
        <v/>
      </c>
      <c r="U1949">
        <f>R1949/T1949-1</f>
        <v/>
      </c>
      <c r="V1949" t="n">
        <v>3.729042629732199</v>
      </c>
      <c r="W1949" s="5">
        <f>R1949-V1949</f>
        <v/>
      </c>
    </row>
    <row r="1950">
      <c r="A1950" s="3" t="n">
        <v>41303</v>
      </c>
      <c r="B1950">
        <f>Prices!B1950</f>
        <v/>
      </c>
      <c r="C1950">
        <f>Prices!C1950</f>
        <v/>
      </c>
      <c r="D1950">
        <f>Prices!D1950</f>
        <v/>
      </c>
      <c r="E1950">
        <f>Prices!E1950</f>
        <v/>
      </c>
      <c r="F1950">
        <f>Prices!F1950</f>
        <v/>
      </c>
      <c r="G1950">
        <f>IF(AND(1948&gt;=16,TEXT(A1950,"yyyy-mm")&lt;&gt;TEXT(A1951,"yyyy-mm")),1,0)</f>
        <v/>
      </c>
      <c r="H1950">
        <f>IF(OR(H1949=1,G1950=1),1,0)</f>
        <v/>
      </c>
      <c r="I1950">
        <f>IF(H1949=0,1,SUMPRODUCT(J1949:N1949,B1950:F1950)+O1949*(1+0.00023125256064071564))</f>
        <v/>
      </c>
      <c r="J1950">
        <f>IF(G1950=1,0.2*R1950/B1950,J1949)</f>
        <v/>
      </c>
      <c r="K1950">
        <f>IF(G1950=1,0.2*R1950/C1950,K1949)</f>
        <v/>
      </c>
      <c r="L1950">
        <f>IF(G1950=1,0.2*R1950/D1950,L1949)</f>
        <v/>
      </c>
      <c r="M1950">
        <f>IF(G1950=1,0.2*R1950/E1950,M1949)</f>
        <v/>
      </c>
      <c r="N1950">
        <f>IF(G1950=1,0.2*R1950/F1950,N1949)</f>
        <v/>
      </c>
      <c r="O1950">
        <f>IF(G1950=1,R1950*(1-1.0),IF(H1949=0,1,O1949*(1+0.00023125256064071564)))</f>
        <v/>
      </c>
      <c r="P1950">
        <f>IF(G1950=1,IF(H1949=0,1,ABS(0.2-J1949*B1950/I1950)+ABS(0.2-K1949*C1950/I1950)+ABS(0.2-L1949*D1950/I1950)+ABS(0.2-M1949*E1950/I1950)+ABS(0.2-N1949*F1950/I1950)),0)</f>
        <v/>
      </c>
      <c r="Q1950">
        <f>P1950*0.0015</f>
        <v/>
      </c>
      <c r="R1950">
        <f>I1950*(1-Q1950)</f>
        <v/>
      </c>
      <c r="S1950">
        <f>R1950/R1949-1</f>
        <v/>
      </c>
      <c r="T1950">
        <f>MAX(T1949,R1950)</f>
        <v/>
      </c>
      <c r="U1950">
        <f>R1950/T1950-1</f>
        <v/>
      </c>
      <c r="V1950" t="n">
        <v>3.705385018561219</v>
      </c>
      <c r="W1950" s="5">
        <f>R1950-V1950</f>
        <v/>
      </c>
    </row>
    <row r="1951">
      <c r="A1951" s="3" t="n">
        <v>41304</v>
      </c>
      <c r="B1951">
        <f>Prices!B1951</f>
        <v/>
      </c>
      <c r="C1951">
        <f>Prices!C1951</f>
        <v/>
      </c>
      <c r="D1951">
        <f>Prices!D1951</f>
        <v/>
      </c>
      <c r="E1951">
        <f>Prices!E1951</f>
        <v/>
      </c>
      <c r="F1951">
        <f>Prices!F1951</f>
        <v/>
      </c>
      <c r="G1951">
        <f>IF(AND(1949&gt;=16,TEXT(A1951,"yyyy-mm")&lt;&gt;TEXT(A1952,"yyyy-mm")),1,0)</f>
        <v/>
      </c>
      <c r="H1951">
        <f>IF(OR(H1950=1,G1951=1),1,0)</f>
        <v/>
      </c>
      <c r="I1951">
        <f>IF(H1950=0,1,SUMPRODUCT(J1950:N1950,B1951:F1951)+O1950*(1+0.00023125256064071564))</f>
        <v/>
      </c>
      <c r="J1951">
        <f>IF(G1951=1,0.2*R1951/B1951,J1950)</f>
        <v/>
      </c>
      <c r="K1951">
        <f>IF(G1951=1,0.2*R1951/C1951,K1950)</f>
        <v/>
      </c>
      <c r="L1951">
        <f>IF(G1951=1,0.2*R1951/D1951,L1950)</f>
        <v/>
      </c>
      <c r="M1951">
        <f>IF(G1951=1,0.2*R1951/E1951,M1950)</f>
        <v/>
      </c>
      <c r="N1951">
        <f>IF(G1951=1,0.2*R1951/F1951,N1950)</f>
        <v/>
      </c>
      <c r="O1951">
        <f>IF(G1951=1,R1951*(1-1.0),IF(H1950=0,1,O1950*(1+0.00023125256064071564)))</f>
        <v/>
      </c>
      <c r="P1951">
        <f>IF(G1951=1,IF(H1950=0,1,ABS(0.2-J1950*B1951/I1951)+ABS(0.2-K1950*C1951/I1951)+ABS(0.2-L1950*D1951/I1951)+ABS(0.2-M1950*E1951/I1951)+ABS(0.2-N1950*F1951/I1951)),0)</f>
        <v/>
      </c>
      <c r="Q1951">
        <f>P1951*0.0015</f>
        <v/>
      </c>
      <c r="R1951">
        <f>I1951*(1-Q1951)</f>
        <v/>
      </c>
      <c r="S1951">
        <f>R1951/R1950-1</f>
        <v/>
      </c>
      <c r="T1951">
        <f>MAX(T1950,R1951)</f>
        <v/>
      </c>
      <c r="U1951">
        <f>R1951/T1951-1</f>
        <v/>
      </c>
      <c r="V1951" t="n">
        <v>3.707231057122714</v>
      </c>
      <c r="W1951" s="5">
        <f>R1951-V1951</f>
        <v/>
      </c>
    </row>
    <row r="1952">
      <c r="A1952" s="3" t="n">
        <v>41305</v>
      </c>
      <c r="B1952">
        <f>Prices!B1952</f>
        <v/>
      </c>
      <c r="C1952">
        <f>Prices!C1952</f>
        <v/>
      </c>
      <c r="D1952">
        <f>Prices!D1952</f>
        <v/>
      </c>
      <c r="E1952">
        <f>Prices!E1952</f>
        <v/>
      </c>
      <c r="F1952">
        <f>Prices!F1952</f>
        <v/>
      </c>
      <c r="G1952">
        <f>IF(AND(1950&gt;=16,TEXT(A1952,"yyyy-mm")&lt;&gt;TEXT(A1953,"yyyy-mm")),1,0)</f>
        <v/>
      </c>
      <c r="H1952">
        <f>IF(OR(H1951=1,G1952=1),1,0)</f>
        <v/>
      </c>
      <c r="I1952">
        <f>IF(H1951=0,1,SUMPRODUCT(J1951:N1951,B1952:F1952)+O1951*(1+0.00023125256064071564))</f>
        <v/>
      </c>
      <c r="J1952">
        <f>IF(G1952=1,0.2*R1952/B1952,J1951)</f>
        <v/>
      </c>
      <c r="K1952">
        <f>IF(G1952=1,0.2*R1952/C1952,K1951)</f>
        <v/>
      </c>
      <c r="L1952">
        <f>IF(G1952=1,0.2*R1952/D1952,L1951)</f>
        <v/>
      </c>
      <c r="M1952">
        <f>IF(G1952=1,0.2*R1952/E1952,M1951)</f>
        <v/>
      </c>
      <c r="N1952">
        <f>IF(G1952=1,0.2*R1952/F1952,N1951)</f>
        <v/>
      </c>
      <c r="O1952">
        <f>IF(G1952=1,R1952*(1-1.0),IF(H1951=0,1,O1951*(1+0.00023125256064071564)))</f>
        <v/>
      </c>
      <c r="P1952">
        <f>IF(G1952=1,IF(H1951=0,1,ABS(0.2-J1951*B1952/I1952)+ABS(0.2-K1951*C1952/I1952)+ABS(0.2-L1951*D1952/I1952)+ABS(0.2-M1951*E1952/I1952)+ABS(0.2-N1951*F1952/I1952)),0)</f>
        <v/>
      </c>
      <c r="Q1952">
        <f>P1952*0.0015</f>
        <v/>
      </c>
      <c r="R1952">
        <f>I1952*(1-Q1952)</f>
        <v/>
      </c>
      <c r="S1952">
        <f>R1952/R1951-1</f>
        <v/>
      </c>
      <c r="T1952">
        <f>MAX(T1951,R1952)</f>
        <v/>
      </c>
      <c r="U1952">
        <f>R1952/T1952-1</f>
        <v/>
      </c>
      <c r="V1952" t="n">
        <v>3.726294861188824</v>
      </c>
      <c r="W1952" s="5">
        <f>R1952-V1952</f>
        <v/>
      </c>
    </row>
    <row r="1953">
      <c r="A1953" s="3" t="n">
        <v>41306</v>
      </c>
      <c r="B1953">
        <f>Prices!B1953</f>
        <v/>
      </c>
      <c r="C1953">
        <f>Prices!C1953</f>
        <v/>
      </c>
      <c r="D1953">
        <f>Prices!D1953</f>
        <v/>
      </c>
      <c r="E1953">
        <f>Prices!E1953</f>
        <v/>
      </c>
      <c r="F1953">
        <f>Prices!F1953</f>
        <v/>
      </c>
      <c r="G1953">
        <f>IF(AND(1951&gt;=16,TEXT(A1953,"yyyy-mm")&lt;&gt;TEXT(A1954,"yyyy-mm")),1,0)</f>
        <v/>
      </c>
      <c r="H1953">
        <f>IF(OR(H1952=1,G1953=1),1,0)</f>
        <v/>
      </c>
      <c r="I1953">
        <f>IF(H1952=0,1,SUMPRODUCT(J1952:N1952,B1953:F1953)+O1952*(1+0.00023125256064071564))</f>
        <v/>
      </c>
      <c r="J1953">
        <f>IF(G1953=1,0.2*R1953/B1953,J1952)</f>
        <v/>
      </c>
      <c r="K1953">
        <f>IF(G1953=1,0.2*R1953/C1953,K1952)</f>
        <v/>
      </c>
      <c r="L1953">
        <f>IF(G1953=1,0.2*R1953/D1953,L1952)</f>
        <v/>
      </c>
      <c r="M1953">
        <f>IF(G1953=1,0.2*R1953/E1953,M1952)</f>
        <v/>
      </c>
      <c r="N1953">
        <f>IF(G1953=1,0.2*R1953/F1953,N1952)</f>
        <v/>
      </c>
      <c r="O1953">
        <f>IF(G1953=1,R1953*(1-1.0),IF(H1952=0,1,O1952*(1+0.00023125256064071564)))</f>
        <v/>
      </c>
      <c r="P1953">
        <f>IF(G1953=1,IF(H1952=0,1,ABS(0.2-J1952*B1953/I1953)+ABS(0.2-K1952*C1953/I1953)+ABS(0.2-L1952*D1953/I1953)+ABS(0.2-M1952*E1953/I1953)+ABS(0.2-N1952*F1953/I1953)),0)</f>
        <v/>
      </c>
      <c r="Q1953">
        <f>P1953*0.0015</f>
        <v/>
      </c>
      <c r="R1953">
        <f>I1953*(1-Q1953)</f>
        <v/>
      </c>
      <c r="S1953">
        <f>R1953/R1952-1</f>
        <v/>
      </c>
      <c r="T1953">
        <f>MAX(T1952,R1953)</f>
        <v/>
      </c>
      <c r="U1953">
        <f>R1953/T1953-1</f>
        <v/>
      </c>
      <c r="V1953" t="n">
        <v>3.72705009795844</v>
      </c>
      <c r="W1953" s="5">
        <f>R1953-V1953</f>
        <v/>
      </c>
    </row>
    <row r="1954">
      <c r="A1954" s="3" t="n">
        <v>41309</v>
      </c>
      <c r="B1954">
        <f>Prices!B1954</f>
        <v/>
      </c>
      <c r="C1954">
        <f>Prices!C1954</f>
        <v/>
      </c>
      <c r="D1954">
        <f>Prices!D1954</f>
        <v/>
      </c>
      <c r="E1954">
        <f>Prices!E1954</f>
        <v/>
      </c>
      <c r="F1954">
        <f>Prices!F1954</f>
        <v/>
      </c>
      <c r="G1954">
        <f>IF(AND(1952&gt;=16,TEXT(A1954,"yyyy-mm")&lt;&gt;TEXT(A1955,"yyyy-mm")),1,0)</f>
        <v/>
      </c>
      <c r="H1954">
        <f>IF(OR(H1953=1,G1954=1),1,0)</f>
        <v/>
      </c>
      <c r="I1954">
        <f>IF(H1953=0,1,SUMPRODUCT(J1953:N1953,B1954:F1954)+O1953*(1+0.00023125256064071564))</f>
        <v/>
      </c>
      <c r="J1954">
        <f>IF(G1954=1,0.2*R1954/B1954,J1953)</f>
        <v/>
      </c>
      <c r="K1954">
        <f>IF(G1954=1,0.2*R1954/C1954,K1953)</f>
        <v/>
      </c>
      <c r="L1954">
        <f>IF(G1954=1,0.2*R1954/D1954,L1953)</f>
        <v/>
      </c>
      <c r="M1954">
        <f>IF(G1954=1,0.2*R1954/E1954,M1953)</f>
        <v/>
      </c>
      <c r="N1954">
        <f>IF(G1954=1,0.2*R1954/F1954,N1953)</f>
        <v/>
      </c>
      <c r="O1954">
        <f>IF(G1954=1,R1954*(1-1.0),IF(H1953=0,1,O1953*(1+0.00023125256064071564)))</f>
        <v/>
      </c>
      <c r="P1954">
        <f>IF(G1954=1,IF(H1953=0,1,ABS(0.2-J1953*B1954/I1954)+ABS(0.2-K1953*C1954/I1954)+ABS(0.2-L1953*D1954/I1954)+ABS(0.2-M1953*E1954/I1954)+ABS(0.2-N1953*F1954/I1954)),0)</f>
        <v/>
      </c>
      <c r="Q1954">
        <f>P1954*0.0015</f>
        <v/>
      </c>
      <c r="R1954">
        <f>I1954*(1-Q1954)</f>
        <v/>
      </c>
      <c r="S1954">
        <f>R1954/R1953-1</f>
        <v/>
      </c>
      <c r="T1954">
        <f>MAX(T1953,R1954)</f>
        <v/>
      </c>
      <c r="U1954">
        <f>R1954/T1954-1</f>
        <v/>
      </c>
      <c r="V1954" t="n">
        <v>3.704353875891659</v>
      </c>
      <c r="W1954" s="5">
        <f>R1954-V1954</f>
        <v/>
      </c>
    </row>
    <row r="1955">
      <c r="A1955" s="3" t="n">
        <v>41310</v>
      </c>
      <c r="B1955">
        <f>Prices!B1955</f>
        <v/>
      </c>
      <c r="C1955">
        <f>Prices!C1955</f>
        <v/>
      </c>
      <c r="D1955">
        <f>Prices!D1955</f>
        <v/>
      </c>
      <c r="E1955">
        <f>Prices!E1955</f>
        <v/>
      </c>
      <c r="F1955">
        <f>Prices!F1955</f>
        <v/>
      </c>
      <c r="G1955">
        <f>IF(AND(1953&gt;=16,TEXT(A1955,"yyyy-mm")&lt;&gt;TEXT(A1956,"yyyy-mm")),1,0)</f>
        <v/>
      </c>
      <c r="H1955">
        <f>IF(OR(H1954=1,G1955=1),1,0)</f>
        <v/>
      </c>
      <c r="I1955">
        <f>IF(H1954=0,1,SUMPRODUCT(J1954:N1954,B1955:F1955)+O1954*(1+0.00023125256064071564))</f>
        <v/>
      </c>
      <c r="J1955">
        <f>IF(G1955=1,0.2*R1955/B1955,J1954)</f>
        <v/>
      </c>
      <c r="K1955">
        <f>IF(G1955=1,0.2*R1955/C1955,K1954)</f>
        <v/>
      </c>
      <c r="L1955">
        <f>IF(G1955=1,0.2*R1955/D1955,L1954)</f>
        <v/>
      </c>
      <c r="M1955">
        <f>IF(G1955=1,0.2*R1955/E1955,M1954)</f>
        <v/>
      </c>
      <c r="N1955">
        <f>IF(G1955=1,0.2*R1955/F1955,N1954)</f>
        <v/>
      </c>
      <c r="O1955">
        <f>IF(G1955=1,R1955*(1-1.0),IF(H1954=0,1,O1954*(1+0.00023125256064071564)))</f>
        <v/>
      </c>
      <c r="P1955">
        <f>IF(G1955=1,IF(H1954=0,1,ABS(0.2-J1954*B1955/I1955)+ABS(0.2-K1954*C1955/I1955)+ABS(0.2-L1954*D1955/I1955)+ABS(0.2-M1954*E1955/I1955)+ABS(0.2-N1954*F1955/I1955)),0)</f>
        <v/>
      </c>
      <c r="Q1955">
        <f>P1955*0.0015</f>
        <v/>
      </c>
      <c r="R1955">
        <f>I1955*(1-Q1955)</f>
        <v/>
      </c>
      <c r="S1955">
        <f>R1955/R1954-1</f>
        <v/>
      </c>
      <c r="T1955">
        <f>MAX(T1954,R1955)</f>
        <v/>
      </c>
      <c r="U1955">
        <f>R1955/T1955-1</f>
        <v/>
      </c>
      <c r="V1955" t="n">
        <v>3.690212186330254</v>
      </c>
      <c r="W1955" s="5">
        <f>R1955-V1955</f>
        <v/>
      </c>
    </row>
    <row r="1956">
      <c r="A1956" s="3" t="n">
        <v>41311</v>
      </c>
      <c r="B1956">
        <f>Prices!B1956</f>
        <v/>
      </c>
      <c r="C1956">
        <f>Prices!C1956</f>
        <v/>
      </c>
      <c r="D1956">
        <f>Prices!D1956</f>
        <v/>
      </c>
      <c r="E1956">
        <f>Prices!E1956</f>
        <v/>
      </c>
      <c r="F1956">
        <f>Prices!F1956</f>
        <v/>
      </c>
      <c r="G1956">
        <f>IF(AND(1954&gt;=16,TEXT(A1956,"yyyy-mm")&lt;&gt;TEXT(A1957,"yyyy-mm")),1,0)</f>
        <v/>
      </c>
      <c r="H1956">
        <f>IF(OR(H1955=1,G1956=1),1,0)</f>
        <v/>
      </c>
      <c r="I1956">
        <f>IF(H1955=0,1,SUMPRODUCT(J1955:N1955,B1956:F1956)+O1955*(1+0.00023125256064071564))</f>
        <v/>
      </c>
      <c r="J1956">
        <f>IF(G1956=1,0.2*R1956/B1956,J1955)</f>
        <v/>
      </c>
      <c r="K1956">
        <f>IF(G1956=1,0.2*R1956/C1956,K1955)</f>
        <v/>
      </c>
      <c r="L1956">
        <f>IF(G1956=1,0.2*R1956/D1956,L1955)</f>
        <v/>
      </c>
      <c r="M1956">
        <f>IF(G1956=1,0.2*R1956/E1956,M1955)</f>
        <v/>
      </c>
      <c r="N1956">
        <f>IF(G1956=1,0.2*R1956/F1956,N1955)</f>
        <v/>
      </c>
      <c r="O1956">
        <f>IF(G1956=1,R1956*(1-1.0),IF(H1955=0,1,O1955*(1+0.00023125256064071564)))</f>
        <v/>
      </c>
      <c r="P1956">
        <f>IF(G1956=1,IF(H1955=0,1,ABS(0.2-J1955*B1956/I1956)+ABS(0.2-K1955*C1956/I1956)+ABS(0.2-L1955*D1956/I1956)+ABS(0.2-M1955*E1956/I1956)+ABS(0.2-N1955*F1956/I1956)),0)</f>
        <v/>
      </c>
      <c r="Q1956">
        <f>P1956*0.0015</f>
        <v/>
      </c>
      <c r="R1956">
        <f>I1956*(1-Q1956)</f>
        <v/>
      </c>
      <c r="S1956">
        <f>R1956/R1955-1</f>
        <v/>
      </c>
      <c r="T1956">
        <f>MAX(T1955,R1956)</f>
        <v/>
      </c>
      <c r="U1956">
        <f>R1956/T1956-1</f>
        <v/>
      </c>
      <c r="V1956" t="n">
        <v>3.69677059875591</v>
      </c>
      <c r="W1956" s="5">
        <f>R1956-V1956</f>
        <v/>
      </c>
    </row>
    <row r="1957">
      <c r="A1957" s="3" t="n">
        <v>41312</v>
      </c>
      <c r="B1957">
        <f>Prices!B1957</f>
        <v/>
      </c>
      <c r="C1957">
        <f>Prices!C1957</f>
        <v/>
      </c>
      <c r="D1957">
        <f>Prices!D1957</f>
        <v/>
      </c>
      <c r="E1957">
        <f>Prices!E1957</f>
        <v/>
      </c>
      <c r="F1957">
        <f>Prices!F1957</f>
        <v/>
      </c>
      <c r="G1957">
        <f>IF(AND(1955&gt;=16,TEXT(A1957,"yyyy-mm")&lt;&gt;TEXT(A1958,"yyyy-mm")),1,0)</f>
        <v/>
      </c>
      <c r="H1957">
        <f>IF(OR(H1956=1,G1957=1),1,0)</f>
        <v/>
      </c>
      <c r="I1957">
        <f>IF(H1956=0,1,SUMPRODUCT(J1956:N1956,B1957:F1957)+O1956*(1+0.00023125256064071564))</f>
        <v/>
      </c>
      <c r="J1957">
        <f>IF(G1957=1,0.2*R1957/B1957,J1956)</f>
        <v/>
      </c>
      <c r="K1957">
        <f>IF(G1957=1,0.2*R1957/C1957,K1956)</f>
        <v/>
      </c>
      <c r="L1957">
        <f>IF(G1957=1,0.2*R1957/D1957,L1956)</f>
        <v/>
      </c>
      <c r="M1957">
        <f>IF(G1957=1,0.2*R1957/E1957,M1956)</f>
        <v/>
      </c>
      <c r="N1957">
        <f>IF(G1957=1,0.2*R1957/F1957,N1956)</f>
        <v/>
      </c>
      <c r="O1957">
        <f>IF(G1957=1,R1957*(1-1.0),IF(H1956=0,1,O1956*(1+0.00023125256064071564)))</f>
        <v/>
      </c>
      <c r="P1957">
        <f>IF(G1957=1,IF(H1956=0,1,ABS(0.2-J1956*B1957/I1957)+ABS(0.2-K1956*C1957/I1957)+ABS(0.2-L1956*D1957/I1957)+ABS(0.2-M1956*E1957/I1957)+ABS(0.2-N1956*F1957/I1957)),0)</f>
        <v/>
      </c>
      <c r="Q1957">
        <f>P1957*0.0015</f>
        <v/>
      </c>
      <c r="R1957">
        <f>I1957*(1-Q1957)</f>
        <v/>
      </c>
      <c r="S1957">
        <f>R1957/R1956-1</f>
        <v/>
      </c>
      <c r="T1957">
        <f>MAX(T1956,R1957)</f>
        <v/>
      </c>
      <c r="U1957">
        <f>R1957/T1957-1</f>
        <v/>
      </c>
      <c r="V1957" t="n">
        <v>3.663163685939509</v>
      </c>
      <c r="W1957" s="5">
        <f>R1957-V1957</f>
        <v/>
      </c>
    </row>
    <row r="1958">
      <c r="A1958" s="3" t="n">
        <v>41313</v>
      </c>
      <c r="B1958">
        <f>Prices!B1958</f>
        <v/>
      </c>
      <c r="C1958">
        <f>Prices!C1958</f>
        <v/>
      </c>
      <c r="D1958">
        <f>Prices!D1958</f>
        <v/>
      </c>
      <c r="E1958">
        <f>Prices!E1958</f>
        <v/>
      </c>
      <c r="F1958">
        <f>Prices!F1958</f>
        <v/>
      </c>
      <c r="G1958">
        <f>IF(AND(1956&gt;=16,TEXT(A1958,"yyyy-mm")&lt;&gt;TEXT(A1959,"yyyy-mm")),1,0)</f>
        <v/>
      </c>
      <c r="H1958">
        <f>IF(OR(H1957=1,G1958=1),1,0)</f>
        <v/>
      </c>
      <c r="I1958">
        <f>IF(H1957=0,1,SUMPRODUCT(J1957:N1957,B1958:F1958)+O1957*(1+0.00023125256064071564))</f>
        <v/>
      </c>
      <c r="J1958">
        <f>IF(G1958=1,0.2*R1958/B1958,J1957)</f>
        <v/>
      </c>
      <c r="K1958">
        <f>IF(G1958=1,0.2*R1958/C1958,K1957)</f>
        <v/>
      </c>
      <c r="L1958">
        <f>IF(G1958=1,0.2*R1958/D1958,L1957)</f>
        <v/>
      </c>
      <c r="M1958">
        <f>IF(G1958=1,0.2*R1958/E1958,M1957)</f>
        <v/>
      </c>
      <c r="N1958">
        <f>IF(G1958=1,0.2*R1958/F1958,N1957)</f>
        <v/>
      </c>
      <c r="O1958">
        <f>IF(G1958=1,R1958*(1-1.0),IF(H1957=0,1,O1957*(1+0.00023125256064071564)))</f>
        <v/>
      </c>
      <c r="P1958">
        <f>IF(G1958=1,IF(H1957=0,1,ABS(0.2-J1957*B1958/I1958)+ABS(0.2-K1957*C1958/I1958)+ABS(0.2-L1957*D1958/I1958)+ABS(0.2-M1957*E1958/I1958)+ABS(0.2-N1957*F1958/I1958)),0)</f>
        <v/>
      </c>
      <c r="Q1958">
        <f>P1958*0.0015</f>
        <v/>
      </c>
      <c r="R1958">
        <f>I1958*(1-Q1958)</f>
        <v/>
      </c>
      <c r="S1958">
        <f>R1958/R1957-1</f>
        <v/>
      </c>
      <c r="T1958">
        <f>MAX(T1957,R1958)</f>
        <v/>
      </c>
      <c r="U1958">
        <f>R1958/T1958-1</f>
        <v/>
      </c>
      <c r="V1958" t="n">
        <v>3.631171684895453</v>
      </c>
      <c r="W1958" s="5">
        <f>R1958-V1958</f>
        <v/>
      </c>
    </row>
    <row r="1959">
      <c r="A1959" s="3" t="n">
        <v>41316</v>
      </c>
      <c r="B1959">
        <f>Prices!B1959</f>
        <v/>
      </c>
      <c r="C1959">
        <f>Prices!C1959</f>
        <v/>
      </c>
      <c r="D1959">
        <f>Prices!D1959</f>
        <v/>
      </c>
      <c r="E1959">
        <f>Prices!E1959</f>
        <v/>
      </c>
      <c r="F1959">
        <f>Prices!F1959</f>
        <v/>
      </c>
      <c r="G1959">
        <f>IF(AND(1957&gt;=16,TEXT(A1959,"yyyy-mm")&lt;&gt;TEXT(A1960,"yyyy-mm")),1,0)</f>
        <v/>
      </c>
      <c r="H1959">
        <f>IF(OR(H1958=1,G1959=1),1,0)</f>
        <v/>
      </c>
      <c r="I1959">
        <f>IF(H1958=0,1,SUMPRODUCT(J1958:N1958,B1959:F1959)+O1958*(1+0.00023125256064071564))</f>
        <v/>
      </c>
      <c r="J1959">
        <f>IF(G1959=1,0.2*R1959/B1959,J1958)</f>
        <v/>
      </c>
      <c r="K1959">
        <f>IF(G1959=1,0.2*R1959/C1959,K1958)</f>
        <v/>
      </c>
      <c r="L1959">
        <f>IF(G1959=1,0.2*R1959/D1959,L1958)</f>
        <v/>
      </c>
      <c r="M1959">
        <f>IF(G1959=1,0.2*R1959/E1959,M1958)</f>
        <v/>
      </c>
      <c r="N1959">
        <f>IF(G1959=1,0.2*R1959/F1959,N1958)</f>
        <v/>
      </c>
      <c r="O1959">
        <f>IF(G1959=1,R1959*(1-1.0),IF(H1958=0,1,O1958*(1+0.00023125256064071564)))</f>
        <v/>
      </c>
      <c r="P1959">
        <f>IF(G1959=1,IF(H1958=0,1,ABS(0.2-J1958*B1959/I1959)+ABS(0.2-K1958*C1959/I1959)+ABS(0.2-L1958*D1959/I1959)+ABS(0.2-M1958*E1959/I1959)+ABS(0.2-N1958*F1959/I1959)),0)</f>
        <v/>
      </c>
      <c r="Q1959">
        <f>P1959*0.0015</f>
        <v/>
      </c>
      <c r="R1959">
        <f>I1959*(1-Q1959)</f>
        <v/>
      </c>
      <c r="S1959">
        <f>R1959/R1958-1</f>
        <v/>
      </c>
      <c r="T1959">
        <f>MAX(T1958,R1959)</f>
        <v/>
      </c>
      <c r="U1959">
        <f>R1959/T1959-1</f>
        <v/>
      </c>
      <c r="V1959" t="n">
        <v>3.634748408588304</v>
      </c>
      <c r="W1959" s="5">
        <f>R1959-V1959</f>
        <v/>
      </c>
    </row>
    <row r="1960">
      <c r="A1960" s="3" t="n">
        <v>41317</v>
      </c>
      <c r="B1960">
        <f>Prices!B1960</f>
        <v/>
      </c>
      <c r="C1960">
        <f>Prices!C1960</f>
        <v/>
      </c>
      <c r="D1960">
        <f>Prices!D1960</f>
        <v/>
      </c>
      <c r="E1960">
        <f>Prices!E1960</f>
        <v/>
      </c>
      <c r="F1960">
        <f>Prices!F1960</f>
        <v/>
      </c>
      <c r="G1960">
        <f>IF(AND(1958&gt;=16,TEXT(A1960,"yyyy-mm")&lt;&gt;TEXT(A1961,"yyyy-mm")),1,0)</f>
        <v/>
      </c>
      <c r="H1960">
        <f>IF(OR(H1959=1,G1960=1),1,0)</f>
        <v/>
      </c>
      <c r="I1960">
        <f>IF(H1959=0,1,SUMPRODUCT(J1959:N1959,B1960:F1960)+O1959*(1+0.00023125256064071564))</f>
        <v/>
      </c>
      <c r="J1960">
        <f>IF(G1960=1,0.2*R1960/B1960,J1959)</f>
        <v/>
      </c>
      <c r="K1960">
        <f>IF(G1960=1,0.2*R1960/C1960,K1959)</f>
        <v/>
      </c>
      <c r="L1960">
        <f>IF(G1960=1,0.2*R1960/D1960,L1959)</f>
        <v/>
      </c>
      <c r="M1960">
        <f>IF(G1960=1,0.2*R1960/E1960,M1959)</f>
        <v/>
      </c>
      <c r="N1960">
        <f>IF(G1960=1,0.2*R1960/F1960,N1959)</f>
        <v/>
      </c>
      <c r="O1960">
        <f>IF(G1960=1,R1960*(1-1.0),IF(H1959=0,1,O1959*(1+0.00023125256064071564)))</f>
        <v/>
      </c>
      <c r="P1960">
        <f>IF(G1960=1,IF(H1959=0,1,ABS(0.2-J1959*B1960/I1960)+ABS(0.2-K1959*C1960/I1960)+ABS(0.2-L1959*D1960/I1960)+ABS(0.2-M1959*E1960/I1960)+ABS(0.2-N1959*F1960/I1960)),0)</f>
        <v/>
      </c>
      <c r="Q1960">
        <f>P1960*0.0015</f>
        <v/>
      </c>
      <c r="R1960">
        <f>I1960*(1-Q1960)</f>
        <v/>
      </c>
      <c r="S1960">
        <f>R1960/R1959-1</f>
        <v/>
      </c>
      <c r="T1960">
        <f>MAX(T1959,R1960)</f>
        <v/>
      </c>
      <c r="U1960">
        <f>R1960/T1960-1</f>
        <v/>
      </c>
      <c r="V1960" t="n">
        <v>3.645597453634458</v>
      </c>
      <c r="W1960" s="5">
        <f>R1960-V1960</f>
        <v/>
      </c>
    </row>
    <row r="1961">
      <c r="A1961" s="3" t="n">
        <v>41318</v>
      </c>
      <c r="B1961">
        <f>Prices!B1961</f>
        <v/>
      </c>
      <c r="C1961">
        <f>Prices!C1961</f>
        <v/>
      </c>
      <c r="D1961">
        <f>Prices!D1961</f>
        <v/>
      </c>
      <c r="E1961">
        <f>Prices!E1961</f>
        <v/>
      </c>
      <c r="F1961">
        <f>Prices!F1961</f>
        <v/>
      </c>
      <c r="G1961">
        <f>IF(AND(1959&gt;=16,TEXT(A1961,"yyyy-mm")&lt;&gt;TEXT(A1962,"yyyy-mm")),1,0)</f>
        <v/>
      </c>
      <c r="H1961">
        <f>IF(OR(H1960=1,G1961=1),1,0)</f>
        <v/>
      </c>
      <c r="I1961">
        <f>IF(H1960=0,1,SUMPRODUCT(J1960:N1960,B1961:F1961)+O1960*(1+0.00023125256064071564))</f>
        <v/>
      </c>
      <c r="J1961">
        <f>IF(G1961=1,0.2*R1961/B1961,J1960)</f>
        <v/>
      </c>
      <c r="K1961">
        <f>IF(G1961=1,0.2*R1961/C1961,K1960)</f>
        <v/>
      </c>
      <c r="L1961">
        <f>IF(G1961=1,0.2*R1961/D1961,L1960)</f>
        <v/>
      </c>
      <c r="M1961">
        <f>IF(G1961=1,0.2*R1961/E1961,M1960)</f>
        <v/>
      </c>
      <c r="N1961">
        <f>IF(G1961=1,0.2*R1961/F1961,N1960)</f>
        <v/>
      </c>
      <c r="O1961">
        <f>IF(G1961=1,R1961*(1-1.0),IF(H1960=0,1,O1960*(1+0.00023125256064071564)))</f>
        <v/>
      </c>
      <c r="P1961">
        <f>IF(G1961=1,IF(H1960=0,1,ABS(0.2-J1960*B1961/I1961)+ABS(0.2-K1960*C1961/I1961)+ABS(0.2-L1960*D1961/I1961)+ABS(0.2-M1960*E1961/I1961)+ABS(0.2-N1960*F1961/I1961)),0)</f>
        <v/>
      </c>
      <c r="Q1961">
        <f>P1961*0.0015</f>
        <v/>
      </c>
      <c r="R1961">
        <f>I1961*(1-Q1961)</f>
        <v/>
      </c>
      <c r="S1961">
        <f>R1961/R1960-1</f>
        <v/>
      </c>
      <c r="T1961">
        <f>MAX(T1960,R1961)</f>
        <v/>
      </c>
      <c r="U1961">
        <f>R1961/T1961-1</f>
        <v/>
      </c>
      <c r="V1961" t="n">
        <v>3.623550560581069</v>
      </c>
      <c r="W1961" s="5">
        <f>R1961-V1961</f>
        <v/>
      </c>
    </row>
    <row r="1962">
      <c r="A1962" s="3" t="n">
        <v>41319</v>
      </c>
      <c r="B1962">
        <f>Prices!B1962</f>
        <v/>
      </c>
      <c r="C1962">
        <f>Prices!C1962</f>
        <v/>
      </c>
      <c r="D1962">
        <f>Prices!D1962</f>
        <v/>
      </c>
      <c r="E1962">
        <f>Prices!E1962</f>
        <v/>
      </c>
      <c r="F1962">
        <f>Prices!F1962</f>
        <v/>
      </c>
      <c r="G1962">
        <f>IF(AND(1960&gt;=16,TEXT(A1962,"yyyy-mm")&lt;&gt;TEXT(A1963,"yyyy-mm")),1,0)</f>
        <v/>
      </c>
      <c r="H1962">
        <f>IF(OR(H1961=1,G1962=1),1,0)</f>
        <v/>
      </c>
      <c r="I1962">
        <f>IF(H1961=0,1,SUMPRODUCT(J1961:N1961,B1962:F1962)+O1961*(1+0.00023125256064071564))</f>
        <v/>
      </c>
      <c r="J1962">
        <f>IF(G1962=1,0.2*R1962/B1962,J1961)</f>
        <v/>
      </c>
      <c r="K1962">
        <f>IF(G1962=1,0.2*R1962/C1962,K1961)</f>
        <v/>
      </c>
      <c r="L1962">
        <f>IF(G1962=1,0.2*R1962/D1962,L1961)</f>
        <v/>
      </c>
      <c r="M1962">
        <f>IF(G1962=1,0.2*R1962/E1962,M1961)</f>
        <v/>
      </c>
      <c r="N1962">
        <f>IF(G1962=1,0.2*R1962/F1962,N1961)</f>
        <v/>
      </c>
      <c r="O1962">
        <f>IF(G1962=1,R1962*(1-1.0),IF(H1961=0,1,O1961*(1+0.00023125256064071564)))</f>
        <v/>
      </c>
      <c r="P1962">
        <f>IF(G1962=1,IF(H1961=0,1,ABS(0.2-J1961*B1962/I1962)+ABS(0.2-K1961*C1962/I1962)+ABS(0.2-L1961*D1962/I1962)+ABS(0.2-M1961*E1962/I1962)+ABS(0.2-N1961*F1962/I1962)),0)</f>
        <v/>
      </c>
      <c r="Q1962">
        <f>P1962*0.0015</f>
        <v/>
      </c>
      <c r="R1962">
        <f>I1962*(1-Q1962)</f>
        <v/>
      </c>
      <c r="S1962">
        <f>R1962/R1961-1</f>
        <v/>
      </c>
      <c r="T1962">
        <f>MAX(T1961,R1962)</f>
        <v/>
      </c>
      <c r="U1962">
        <f>R1962/T1962-1</f>
        <v/>
      </c>
      <c r="V1962" t="n">
        <v>3.596792627936302</v>
      </c>
      <c r="W1962" s="5">
        <f>R1962-V1962</f>
        <v/>
      </c>
    </row>
    <row r="1963">
      <c r="A1963" s="3" t="n">
        <v>41320</v>
      </c>
      <c r="B1963">
        <f>Prices!B1963</f>
        <v/>
      </c>
      <c r="C1963">
        <f>Prices!C1963</f>
        <v/>
      </c>
      <c r="D1963">
        <f>Prices!D1963</f>
        <v/>
      </c>
      <c r="E1963">
        <f>Prices!E1963</f>
        <v/>
      </c>
      <c r="F1963">
        <f>Prices!F1963</f>
        <v/>
      </c>
      <c r="G1963">
        <f>IF(AND(1961&gt;=16,TEXT(A1963,"yyyy-mm")&lt;&gt;TEXT(A1964,"yyyy-mm")),1,0)</f>
        <v/>
      </c>
      <c r="H1963">
        <f>IF(OR(H1962=1,G1963=1),1,0)</f>
        <v/>
      </c>
      <c r="I1963">
        <f>IF(H1962=0,1,SUMPRODUCT(J1962:N1962,B1963:F1963)+O1962*(1+0.00023125256064071564))</f>
        <v/>
      </c>
      <c r="J1963">
        <f>IF(G1963=1,0.2*R1963/B1963,J1962)</f>
        <v/>
      </c>
      <c r="K1963">
        <f>IF(G1963=1,0.2*R1963/C1963,K1962)</f>
        <v/>
      </c>
      <c r="L1963">
        <f>IF(G1963=1,0.2*R1963/D1963,L1962)</f>
        <v/>
      </c>
      <c r="M1963">
        <f>IF(G1963=1,0.2*R1963/E1963,M1962)</f>
        <v/>
      </c>
      <c r="N1963">
        <f>IF(G1963=1,0.2*R1963/F1963,N1962)</f>
        <v/>
      </c>
      <c r="O1963">
        <f>IF(G1963=1,R1963*(1-1.0),IF(H1962=0,1,O1962*(1+0.00023125256064071564)))</f>
        <v/>
      </c>
      <c r="P1963">
        <f>IF(G1963=1,IF(H1962=0,1,ABS(0.2-J1962*B1963/I1963)+ABS(0.2-K1962*C1963/I1963)+ABS(0.2-L1962*D1963/I1963)+ABS(0.2-M1962*E1963/I1963)+ABS(0.2-N1962*F1963/I1963)),0)</f>
        <v/>
      </c>
      <c r="Q1963">
        <f>P1963*0.0015</f>
        <v/>
      </c>
      <c r="R1963">
        <f>I1963*(1-Q1963)</f>
        <v/>
      </c>
      <c r="S1963">
        <f>R1963/R1962-1</f>
        <v/>
      </c>
      <c r="T1963">
        <f>MAX(T1962,R1963)</f>
        <v/>
      </c>
      <c r="U1963">
        <f>R1963/T1963-1</f>
        <v/>
      </c>
      <c r="V1963" t="n">
        <v>3.597814596395545</v>
      </c>
      <c r="W1963" s="5">
        <f>R1963-V1963</f>
        <v/>
      </c>
    </row>
    <row r="1964">
      <c r="A1964" s="3" t="n">
        <v>41323</v>
      </c>
      <c r="B1964">
        <f>Prices!B1964</f>
        <v/>
      </c>
      <c r="C1964">
        <f>Prices!C1964</f>
        <v/>
      </c>
      <c r="D1964">
        <f>Prices!D1964</f>
        <v/>
      </c>
      <c r="E1964">
        <f>Prices!E1964</f>
        <v/>
      </c>
      <c r="F1964">
        <f>Prices!F1964</f>
        <v/>
      </c>
      <c r="G1964">
        <f>IF(AND(1962&gt;=16,TEXT(A1964,"yyyy-mm")&lt;&gt;TEXT(A1965,"yyyy-mm")),1,0)</f>
        <v/>
      </c>
      <c r="H1964">
        <f>IF(OR(H1963=1,G1964=1),1,0)</f>
        <v/>
      </c>
      <c r="I1964">
        <f>IF(H1963=0,1,SUMPRODUCT(J1963:N1963,B1964:F1964)+O1963*(1+0.00023125256064071564))</f>
        <v/>
      </c>
      <c r="J1964">
        <f>IF(G1964=1,0.2*R1964/B1964,J1963)</f>
        <v/>
      </c>
      <c r="K1964">
        <f>IF(G1964=1,0.2*R1964/C1964,K1963)</f>
        <v/>
      </c>
      <c r="L1964">
        <f>IF(G1964=1,0.2*R1964/D1964,L1963)</f>
        <v/>
      </c>
      <c r="M1964">
        <f>IF(G1964=1,0.2*R1964/E1964,M1963)</f>
        <v/>
      </c>
      <c r="N1964">
        <f>IF(G1964=1,0.2*R1964/F1964,N1963)</f>
        <v/>
      </c>
      <c r="O1964">
        <f>IF(G1964=1,R1964*(1-1.0),IF(H1963=0,1,O1963*(1+0.00023125256064071564)))</f>
        <v/>
      </c>
      <c r="P1964">
        <f>IF(G1964=1,IF(H1963=0,1,ABS(0.2-J1963*B1964/I1964)+ABS(0.2-K1963*C1964/I1964)+ABS(0.2-L1963*D1964/I1964)+ABS(0.2-M1963*E1964/I1964)+ABS(0.2-N1963*F1964/I1964)),0)</f>
        <v/>
      </c>
      <c r="Q1964">
        <f>P1964*0.0015</f>
        <v/>
      </c>
      <c r="R1964">
        <f>I1964*(1-Q1964)</f>
        <v/>
      </c>
      <c r="S1964">
        <f>R1964/R1963-1</f>
        <v/>
      </c>
      <c r="T1964">
        <f>MAX(T1963,R1964)</f>
        <v/>
      </c>
      <c r="U1964">
        <f>R1964/T1964-1</f>
        <v/>
      </c>
      <c r="V1964" t="n">
        <v>3.610661014088818</v>
      </c>
      <c r="W1964" s="5">
        <f>R1964-V1964</f>
        <v/>
      </c>
    </row>
    <row r="1965">
      <c r="A1965" s="3" t="n">
        <v>41324</v>
      </c>
      <c r="B1965">
        <f>Prices!B1965</f>
        <v/>
      </c>
      <c r="C1965">
        <f>Prices!C1965</f>
        <v/>
      </c>
      <c r="D1965">
        <f>Prices!D1965</f>
        <v/>
      </c>
      <c r="E1965">
        <f>Prices!E1965</f>
        <v/>
      </c>
      <c r="F1965">
        <f>Prices!F1965</f>
        <v/>
      </c>
      <c r="G1965">
        <f>IF(AND(1963&gt;=16,TEXT(A1965,"yyyy-mm")&lt;&gt;TEXT(A1966,"yyyy-mm")),1,0)</f>
        <v/>
      </c>
      <c r="H1965">
        <f>IF(OR(H1964=1,G1965=1),1,0)</f>
        <v/>
      </c>
      <c r="I1965">
        <f>IF(H1964=0,1,SUMPRODUCT(J1964:N1964,B1965:F1965)+O1964*(1+0.00023125256064071564))</f>
        <v/>
      </c>
      <c r="J1965">
        <f>IF(G1965=1,0.2*R1965/B1965,J1964)</f>
        <v/>
      </c>
      <c r="K1965">
        <f>IF(G1965=1,0.2*R1965/C1965,K1964)</f>
        <v/>
      </c>
      <c r="L1965">
        <f>IF(G1965=1,0.2*R1965/D1965,L1964)</f>
        <v/>
      </c>
      <c r="M1965">
        <f>IF(G1965=1,0.2*R1965/E1965,M1964)</f>
        <v/>
      </c>
      <c r="N1965">
        <f>IF(G1965=1,0.2*R1965/F1965,N1964)</f>
        <v/>
      </c>
      <c r="O1965">
        <f>IF(G1965=1,R1965*(1-1.0),IF(H1964=0,1,O1964*(1+0.00023125256064071564)))</f>
        <v/>
      </c>
      <c r="P1965">
        <f>IF(G1965=1,IF(H1964=0,1,ABS(0.2-J1964*B1965/I1965)+ABS(0.2-K1964*C1965/I1965)+ABS(0.2-L1964*D1965/I1965)+ABS(0.2-M1964*E1965/I1965)+ABS(0.2-N1964*F1965/I1965)),0)</f>
        <v/>
      </c>
      <c r="Q1965">
        <f>P1965*0.0015</f>
        <v/>
      </c>
      <c r="R1965">
        <f>I1965*(1-Q1965)</f>
        <v/>
      </c>
      <c r="S1965">
        <f>R1965/R1964-1</f>
        <v/>
      </c>
      <c r="T1965">
        <f>MAX(T1964,R1965)</f>
        <v/>
      </c>
      <c r="U1965">
        <f>R1965/T1965-1</f>
        <v/>
      </c>
      <c r="V1965" t="n">
        <v>3.656465100067932</v>
      </c>
      <c r="W1965" s="5">
        <f>R1965-V1965</f>
        <v/>
      </c>
    </row>
    <row r="1966">
      <c r="A1966" s="3" t="n">
        <v>41325</v>
      </c>
      <c r="B1966">
        <f>Prices!B1966</f>
        <v/>
      </c>
      <c r="C1966">
        <f>Prices!C1966</f>
        <v/>
      </c>
      <c r="D1966">
        <f>Prices!D1966</f>
        <v/>
      </c>
      <c r="E1966">
        <f>Prices!E1966</f>
        <v/>
      </c>
      <c r="F1966">
        <f>Prices!F1966</f>
        <v/>
      </c>
      <c r="G1966">
        <f>IF(AND(1964&gt;=16,TEXT(A1966,"yyyy-mm")&lt;&gt;TEXT(A1967,"yyyy-mm")),1,0)</f>
        <v/>
      </c>
      <c r="H1966">
        <f>IF(OR(H1965=1,G1966=1),1,0)</f>
        <v/>
      </c>
      <c r="I1966">
        <f>IF(H1965=0,1,SUMPRODUCT(J1965:N1965,B1966:F1966)+O1965*(1+0.00023125256064071564))</f>
        <v/>
      </c>
      <c r="J1966">
        <f>IF(G1966=1,0.2*R1966/B1966,J1965)</f>
        <v/>
      </c>
      <c r="K1966">
        <f>IF(G1966=1,0.2*R1966/C1966,K1965)</f>
        <v/>
      </c>
      <c r="L1966">
        <f>IF(G1966=1,0.2*R1966/D1966,L1965)</f>
        <v/>
      </c>
      <c r="M1966">
        <f>IF(G1966=1,0.2*R1966/E1966,M1965)</f>
        <v/>
      </c>
      <c r="N1966">
        <f>IF(G1966=1,0.2*R1966/F1966,N1965)</f>
        <v/>
      </c>
      <c r="O1966">
        <f>IF(G1966=1,R1966*(1-1.0),IF(H1965=0,1,O1965*(1+0.00023125256064071564)))</f>
        <v/>
      </c>
      <c r="P1966">
        <f>IF(G1966=1,IF(H1965=0,1,ABS(0.2-J1965*B1966/I1966)+ABS(0.2-K1965*C1966/I1966)+ABS(0.2-L1965*D1966/I1966)+ABS(0.2-M1965*E1966/I1966)+ABS(0.2-N1965*F1966/I1966)),0)</f>
        <v/>
      </c>
      <c r="Q1966">
        <f>P1966*0.0015</f>
        <v/>
      </c>
      <c r="R1966">
        <f>I1966*(1-Q1966)</f>
        <v/>
      </c>
      <c r="S1966">
        <f>R1966/R1965-1</f>
        <v/>
      </c>
      <c r="T1966">
        <f>MAX(T1965,R1966)</f>
        <v/>
      </c>
      <c r="U1966">
        <f>R1966/T1966-1</f>
        <v/>
      </c>
      <c r="V1966" t="n">
        <v>3.658755529253668</v>
      </c>
      <c r="W1966" s="5">
        <f>R1966-V1966</f>
        <v/>
      </c>
    </row>
    <row r="1967">
      <c r="A1967" s="3" t="n">
        <v>41326</v>
      </c>
      <c r="B1967">
        <f>Prices!B1967</f>
        <v/>
      </c>
      <c r="C1967">
        <f>Prices!C1967</f>
        <v/>
      </c>
      <c r="D1967">
        <f>Prices!D1967</f>
        <v/>
      </c>
      <c r="E1967">
        <f>Prices!E1967</f>
        <v/>
      </c>
      <c r="F1967">
        <f>Prices!F1967</f>
        <v/>
      </c>
      <c r="G1967">
        <f>IF(AND(1965&gt;=16,TEXT(A1967,"yyyy-mm")&lt;&gt;TEXT(A1968,"yyyy-mm")),1,0)</f>
        <v/>
      </c>
      <c r="H1967">
        <f>IF(OR(H1966=1,G1967=1),1,0)</f>
        <v/>
      </c>
      <c r="I1967">
        <f>IF(H1966=0,1,SUMPRODUCT(J1966:N1966,B1967:F1967)+O1966*(1+0.00023125256064071564))</f>
        <v/>
      </c>
      <c r="J1967">
        <f>IF(G1967=1,0.2*R1967/B1967,J1966)</f>
        <v/>
      </c>
      <c r="K1967">
        <f>IF(G1967=1,0.2*R1967/C1967,K1966)</f>
        <v/>
      </c>
      <c r="L1967">
        <f>IF(G1967=1,0.2*R1967/D1967,L1966)</f>
        <v/>
      </c>
      <c r="M1967">
        <f>IF(G1967=1,0.2*R1967/E1967,M1966)</f>
        <v/>
      </c>
      <c r="N1967">
        <f>IF(G1967=1,0.2*R1967/F1967,N1966)</f>
        <v/>
      </c>
      <c r="O1967">
        <f>IF(G1967=1,R1967*(1-1.0),IF(H1966=0,1,O1966*(1+0.00023125256064071564)))</f>
        <v/>
      </c>
      <c r="P1967">
        <f>IF(G1967=1,IF(H1966=0,1,ABS(0.2-J1966*B1967/I1967)+ABS(0.2-K1966*C1967/I1967)+ABS(0.2-L1966*D1967/I1967)+ABS(0.2-M1966*E1967/I1967)+ABS(0.2-N1966*F1967/I1967)),0)</f>
        <v/>
      </c>
      <c r="Q1967">
        <f>P1967*0.0015</f>
        <v/>
      </c>
      <c r="R1967">
        <f>I1967*(1-Q1967)</f>
        <v/>
      </c>
      <c r="S1967">
        <f>R1967/R1966-1</f>
        <v/>
      </c>
      <c r="T1967">
        <f>MAX(T1966,R1967)</f>
        <v/>
      </c>
      <c r="U1967">
        <f>R1967/T1967-1</f>
        <v/>
      </c>
      <c r="V1967" t="n">
        <v>3.612610113025299</v>
      </c>
      <c r="W1967" s="5">
        <f>R1967-V1967</f>
        <v/>
      </c>
    </row>
    <row r="1968">
      <c r="A1968" s="3" t="n">
        <v>41327</v>
      </c>
      <c r="B1968">
        <f>Prices!B1968</f>
        <v/>
      </c>
      <c r="C1968">
        <f>Prices!C1968</f>
        <v/>
      </c>
      <c r="D1968">
        <f>Prices!D1968</f>
        <v/>
      </c>
      <c r="E1968">
        <f>Prices!E1968</f>
        <v/>
      </c>
      <c r="F1968">
        <f>Prices!F1968</f>
        <v/>
      </c>
      <c r="G1968">
        <f>IF(AND(1966&gt;=16,TEXT(A1968,"yyyy-mm")&lt;&gt;TEXT(A1969,"yyyy-mm")),1,0)</f>
        <v/>
      </c>
      <c r="H1968">
        <f>IF(OR(H1967=1,G1968=1),1,0)</f>
        <v/>
      </c>
      <c r="I1968">
        <f>IF(H1967=0,1,SUMPRODUCT(J1967:N1967,B1968:F1968)+O1967*(1+0.00023125256064071564))</f>
        <v/>
      </c>
      <c r="J1968">
        <f>IF(G1968=1,0.2*R1968/B1968,J1967)</f>
        <v/>
      </c>
      <c r="K1968">
        <f>IF(G1968=1,0.2*R1968/C1968,K1967)</f>
        <v/>
      </c>
      <c r="L1968">
        <f>IF(G1968=1,0.2*R1968/D1968,L1967)</f>
        <v/>
      </c>
      <c r="M1968">
        <f>IF(G1968=1,0.2*R1968/E1968,M1967)</f>
        <v/>
      </c>
      <c r="N1968">
        <f>IF(G1968=1,0.2*R1968/F1968,N1967)</f>
        <v/>
      </c>
      <c r="O1968">
        <f>IF(G1968=1,R1968*(1-1.0),IF(H1967=0,1,O1967*(1+0.00023125256064071564)))</f>
        <v/>
      </c>
      <c r="P1968">
        <f>IF(G1968=1,IF(H1967=0,1,ABS(0.2-J1967*B1968/I1968)+ABS(0.2-K1967*C1968/I1968)+ABS(0.2-L1967*D1968/I1968)+ABS(0.2-M1967*E1968/I1968)+ABS(0.2-N1967*F1968/I1968)),0)</f>
        <v/>
      </c>
      <c r="Q1968">
        <f>P1968*0.0015</f>
        <v/>
      </c>
      <c r="R1968">
        <f>I1968*(1-Q1968)</f>
        <v/>
      </c>
      <c r="S1968">
        <f>R1968/R1967-1</f>
        <v/>
      </c>
      <c r="T1968">
        <f>MAX(T1967,R1968)</f>
        <v/>
      </c>
      <c r="U1968">
        <f>R1968/T1968-1</f>
        <v/>
      </c>
      <c r="V1968" t="n">
        <v>3.613415857228293</v>
      </c>
      <c r="W1968" s="5">
        <f>R1968-V1968</f>
        <v/>
      </c>
    </row>
    <row r="1969">
      <c r="A1969" s="3" t="n">
        <v>41330</v>
      </c>
      <c r="B1969">
        <f>Prices!B1969</f>
        <v/>
      </c>
      <c r="C1969">
        <f>Prices!C1969</f>
        <v/>
      </c>
      <c r="D1969">
        <f>Prices!D1969</f>
        <v/>
      </c>
      <c r="E1969">
        <f>Prices!E1969</f>
        <v/>
      </c>
      <c r="F1969">
        <f>Prices!F1969</f>
        <v/>
      </c>
      <c r="G1969">
        <f>IF(AND(1967&gt;=16,TEXT(A1969,"yyyy-mm")&lt;&gt;TEXT(A1970,"yyyy-mm")),1,0)</f>
        <v/>
      </c>
      <c r="H1969">
        <f>IF(OR(H1968=1,G1969=1),1,0)</f>
        <v/>
      </c>
      <c r="I1969">
        <f>IF(H1968=0,1,SUMPRODUCT(J1968:N1968,B1969:F1969)+O1968*(1+0.00023125256064071564))</f>
        <v/>
      </c>
      <c r="J1969">
        <f>IF(G1969=1,0.2*R1969/B1969,J1968)</f>
        <v/>
      </c>
      <c r="K1969">
        <f>IF(G1969=1,0.2*R1969/C1969,K1968)</f>
        <v/>
      </c>
      <c r="L1969">
        <f>IF(G1969=1,0.2*R1969/D1969,L1968)</f>
        <v/>
      </c>
      <c r="M1969">
        <f>IF(G1969=1,0.2*R1969/E1969,M1968)</f>
        <v/>
      </c>
      <c r="N1969">
        <f>IF(G1969=1,0.2*R1969/F1969,N1968)</f>
        <v/>
      </c>
      <c r="O1969">
        <f>IF(G1969=1,R1969*(1-1.0),IF(H1968=0,1,O1968*(1+0.00023125256064071564)))</f>
        <v/>
      </c>
      <c r="P1969">
        <f>IF(G1969=1,IF(H1968=0,1,ABS(0.2-J1968*B1969/I1969)+ABS(0.2-K1968*C1969/I1969)+ABS(0.2-L1968*D1969/I1969)+ABS(0.2-M1968*E1969/I1969)+ABS(0.2-N1968*F1969/I1969)),0)</f>
        <v/>
      </c>
      <c r="Q1969">
        <f>P1969*0.0015</f>
        <v/>
      </c>
      <c r="R1969">
        <f>I1969*(1-Q1969)</f>
        <v/>
      </c>
      <c r="S1969">
        <f>R1969/R1968-1</f>
        <v/>
      </c>
      <c r="T1969">
        <f>MAX(T1968,R1969)</f>
        <v/>
      </c>
      <c r="U1969">
        <f>R1969/T1969-1</f>
        <v/>
      </c>
      <c r="V1969" t="n">
        <v>3.586392350111469</v>
      </c>
      <c r="W1969" s="5">
        <f>R1969-V1969</f>
        <v/>
      </c>
    </row>
    <row r="1970">
      <c r="A1970" s="3" t="n">
        <v>41331</v>
      </c>
      <c r="B1970">
        <f>Prices!B1970</f>
        <v/>
      </c>
      <c r="C1970">
        <f>Prices!C1970</f>
        <v/>
      </c>
      <c r="D1970">
        <f>Prices!D1970</f>
        <v/>
      </c>
      <c r="E1970">
        <f>Prices!E1970</f>
        <v/>
      </c>
      <c r="F1970">
        <f>Prices!F1970</f>
        <v/>
      </c>
      <c r="G1970">
        <f>IF(AND(1968&gt;=16,TEXT(A1970,"yyyy-mm")&lt;&gt;TEXT(A1971,"yyyy-mm")),1,0)</f>
        <v/>
      </c>
      <c r="H1970">
        <f>IF(OR(H1969=1,G1970=1),1,0)</f>
        <v/>
      </c>
      <c r="I1970">
        <f>IF(H1969=0,1,SUMPRODUCT(J1969:N1969,B1970:F1970)+O1969*(1+0.00023125256064071564))</f>
        <v/>
      </c>
      <c r="J1970">
        <f>IF(G1970=1,0.2*R1970/B1970,J1969)</f>
        <v/>
      </c>
      <c r="K1970">
        <f>IF(G1970=1,0.2*R1970/C1970,K1969)</f>
        <v/>
      </c>
      <c r="L1970">
        <f>IF(G1970=1,0.2*R1970/D1970,L1969)</f>
        <v/>
      </c>
      <c r="M1970">
        <f>IF(G1970=1,0.2*R1970/E1970,M1969)</f>
        <v/>
      </c>
      <c r="N1970">
        <f>IF(G1970=1,0.2*R1970/F1970,N1969)</f>
        <v/>
      </c>
      <c r="O1970">
        <f>IF(G1970=1,R1970*(1-1.0),IF(H1969=0,1,O1969*(1+0.00023125256064071564)))</f>
        <v/>
      </c>
      <c r="P1970">
        <f>IF(G1970=1,IF(H1969=0,1,ABS(0.2-J1969*B1970/I1970)+ABS(0.2-K1969*C1970/I1970)+ABS(0.2-L1969*D1970/I1970)+ABS(0.2-M1969*E1970/I1970)+ABS(0.2-N1969*F1970/I1970)),0)</f>
        <v/>
      </c>
      <c r="Q1970">
        <f>P1970*0.0015</f>
        <v/>
      </c>
      <c r="R1970">
        <f>I1970*(1-Q1970)</f>
        <v/>
      </c>
      <c r="S1970">
        <f>R1970/R1969-1</f>
        <v/>
      </c>
      <c r="T1970">
        <f>MAX(T1969,R1970)</f>
        <v/>
      </c>
      <c r="U1970">
        <f>R1970/T1970-1</f>
        <v/>
      </c>
      <c r="V1970" t="n">
        <v>3.526473380353866</v>
      </c>
      <c r="W1970" s="5">
        <f>R1970-V1970</f>
        <v/>
      </c>
    </row>
    <row r="1971">
      <c r="A1971" s="3" t="n">
        <v>41332</v>
      </c>
      <c r="B1971">
        <f>Prices!B1971</f>
        <v/>
      </c>
      <c r="C1971">
        <f>Prices!C1971</f>
        <v/>
      </c>
      <c r="D1971">
        <f>Prices!D1971</f>
        <v/>
      </c>
      <c r="E1971">
        <f>Prices!E1971</f>
        <v/>
      </c>
      <c r="F1971">
        <f>Prices!F1971</f>
        <v/>
      </c>
      <c r="G1971">
        <f>IF(AND(1969&gt;=16,TEXT(A1971,"yyyy-mm")&lt;&gt;TEXT(A1972,"yyyy-mm")),1,0)</f>
        <v/>
      </c>
      <c r="H1971">
        <f>IF(OR(H1970=1,G1971=1),1,0)</f>
        <v/>
      </c>
      <c r="I1971">
        <f>IF(H1970=0,1,SUMPRODUCT(J1970:N1970,B1971:F1971)+O1970*(1+0.00023125256064071564))</f>
        <v/>
      </c>
      <c r="J1971">
        <f>IF(G1971=1,0.2*R1971/B1971,J1970)</f>
        <v/>
      </c>
      <c r="K1971">
        <f>IF(G1971=1,0.2*R1971/C1971,K1970)</f>
        <v/>
      </c>
      <c r="L1971">
        <f>IF(G1971=1,0.2*R1971/D1971,L1970)</f>
        <v/>
      </c>
      <c r="M1971">
        <f>IF(G1971=1,0.2*R1971/E1971,M1970)</f>
        <v/>
      </c>
      <c r="N1971">
        <f>IF(G1971=1,0.2*R1971/F1971,N1970)</f>
        <v/>
      </c>
      <c r="O1971">
        <f>IF(G1971=1,R1971*(1-1.0),IF(H1970=0,1,O1970*(1+0.00023125256064071564)))</f>
        <v/>
      </c>
      <c r="P1971">
        <f>IF(G1971=1,IF(H1970=0,1,ABS(0.2-J1970*B1971/I1971)+ABS(0.2-K1970*C1971/I1971)+ABS(0.2-L1970*D1971/I1971)+ABS(0.2-M1970*E1971/I1971)+ABS(0.2-N1970*F1971/I1971)),0)</f>
        <v/>
      </c>
      <c r="Q1971">
        <f>P1971*0.0015</f>
        <v/>
      </c>
      <c r="R1971">
        <f>I1971*(1-Q1971)</f>
        <v/>
      </c>
      <c r="S1971">
        <f>R1971/R1970-1</f>
        <v/>
      </c>
      <c r="T1971">
        <f>MAX(T1970,R1971)</f>
        <v/>
      </c>
      <c r="U1971">
        <f>R1971/T1971-1</f>
        <v/>
      </c>
      <c r="V1971" t="n">
        <v>3.54465319077565</v>
      </c>
      <c r="W1971" s="5">
        <f>R1971-V1971</f>
        <v/>
      </c>
    </row>
    <row r="1972">
      <c r="A1972" s="3" t="n">
        <v>41333</v>
      </c>
      <c r="B1972">
        <f>Prices!B1972</f>
        <v/>
      </c>
      <c r="C1972">
        <f>Prices!C1972</f>
        <v/>
      </c>
      <c r="D1972">
        <f>Prices!D1972</f>
        <v/>
      </c>
      <c r="E1972">
        <f>Prices!E1972</f>
        <v/>
      </c>
      <c r="F1972">
        <f>Prices!F1972</f>
        <v/>
      </c>
      <c r="G1972">
        <f>IF(AND(1970&gt;=16,TEXT(A1972,"yyyy-mm")&lt;&gt;TEXT(A1973,"yyyy-mm")),1,0)</f>
        <v/>
      </c>
      <c r="H1972">
        <f>IF(OR(H1971=1,G1972=1),1,0)</f>
        <v/>
      </c>
      <c r="I1972">
        <f>IF(H1971=0,1,SUMPRODUCT(J1971:N1971,B1972:F1972)+O1971*(1+0.00023125256064071564))</f>
        <v/>
      </c>
      <c r="J1972">
        <f>IF(G1972=1,0.2*R1972/B1972,J1971)</f>
        <v/>
      </c>
      <c r="K1972">
        <f>IF(G1972=1,0.2*R1972/C1972,K1971)</f>
        <v/>
      </c>
      <c r="L1972">
        <f>IF(G1972=1,0.2*R1972/D1972,L1971)</f>
        <v/>
      </c>
      <c r="M1972">
        <f>IF(G1972=1,0.2*R1972/E1972,M1971)</f>
        <v/>
      </c>
      <c r="N1972">
        <f>IF(G1972=1,0.2*R1972/F1972,N1971)</f>
        <v/>
      </c>
      <c r="O1972">
        <f>IF(G1972=1,R1972*(1-1.0),IF(H1971=0,1,O1971*(1+0.00023125256064071564)))</f>
        <v/>
      </c>
      <c r="P1972">
        <f>IF(G1972=1,IF(H1971=0,1,ABS(0.2-J1971*B1972/I1972)+ABS(0.2-K1971*C1972/I1972)+ABS(0.2-L1971*D1972/I1972)+ABS(0.2-M1971*E1972/I1972)+ABS(0.2-N1971*F1972/I1972)),0)</f>
        <v/>
      </c>
      <c r="Q1972">
        <f>P1972*0.0015</f>
        <v/>
      </c>
      <c r="R1972">
        <f>I1972*(1-Q1972)</f>
        <v/>
      </c>
      <c r="S1972">
        <f>R1972/R1971-1</f>
        <v/>
      </c>
      <c r="T1972">
        <f>MAX(T1971,R1972)</f>
        <v/>
      </c>
      <c r="U1972">
        <f>R1972/T1972-1</f>
        <v/>
      </c>
      <c r="V1972" t="n">
        <v>3.475916419892295</v>
      </c>
      <c r="W1972" s="5">
        <f>R1972-V1972</f>
        <v/>
      </c>
    </row>
    <row r="1973">
      <c r="A1973" s="3" t="n">
        <v>41334</v>
      </c>
      <c r="B1973">
        <f>Prices!B1973</f>
        <v/>
      </c>
      <c r="C1973">
        <f>Prices!C1973</f>
        <v/>
      </c>
      <c r="D1973">
        <f>Prices!D1973</f>
        <v/>
      </c>
      <c r="E1973">
        <f>Prices!E1973</f>
        <v/>
      </c>
      <c r="F1973">
        <f>Prices!F1973</f>
        <v/>
      </c>
      <c r="G1973">
        <f>IF(AND(1971&gt;=16,TEXT(A1973,"yyyy-mm")&lt;&gt;TEXT(A1974,"yyyy-mm")),1,0)</f>
        <v/>
      </c>
      <c r="H1973">
        <f>IF(OR(H1972=1,G1973=1),1,0)</f>
        <v/>
      </c>
      <c r="I1973">
        <f>IF(H1972=0,1,SUMPRODUCT(J1972:N1972,B1973:F1973)+O1972*(1+0.00023125256064071564))</f>
        <v/>
      </c>
      <c r="J1973">
        <f>IF(G1973=1,0.2*R1973/B1973,J1972)</f>
        <v/>
      </c>
      <c r="K1973">
        <f>IF(G1973=1,0.2*R1973/C1973,K1972)</f>
        <v/>
      </c>
      <c r="L1973">
        <f>IF(G1973=1,0.2*R1973/D1973,L1972)</f>
        <v/>
      </c>
      <c r="M1973">
        <f>IF(G1973=1,0.2*R1973/E1973,M1972)</f>
        <v/>
      </c>
      <c r="N1973">
        <f>IF(G1973=1,0.2*R1973/F1973,N1972)</f>
        <v/>
      </c>
      <c r="O1973">
        <f>IF(G1973=1,R1973*(1-1.0),IF(H1972=0,1,O1972*(1+0.00023125256064071564)))</f>
        <v/>
      </c>
      <c r="P1973">
        <f>IF(G1973=1,IF(H1972=0,1,ABS(0.2-J1972*B1973/I1973)+ABS(0.2-K1972*C1973/I1973)+ABS(0.2-L1972*D1973/I1973)+ABS(0.2-M1972*E1973/I1973)+ABS(0.2-N1972*F1973/I1973)),0)</f>
        <v/>
      </c>
      <c r="Q1973">
        <f>P1973*0.0015</f>
        <v/>
      </c>
      <c r="R1973">
        <f>I1973*(1-Q1973)</f>
        <v/>
      </c>
      <c r="S1973">
        <f>R1973/R1972-1</f>
        <v/>
      </c>
      <c r="T1973">
        <f>MAX(T1972,R1973)</f>
        <v/>
      </c>
      <c r="U1973">
        <f>R1973/T1973-1</f>
        <v/>
      </c>
      <c r="V1973" t="n">
        <v>3.500285094683889</v>
      </c>
      <c r="W1973" s="5">
        <f>R1973-V1973</f>
        <v/>
      </c>
    </row>
    <row r="1974">
      <c r="A1974" s="3" t="n">
        <v>41337</v>
      </c>
      <c r="B1974">
        <f>Prices!B1974</f>
        <v/>
      </c>
      <c r="C1974">
        <f>Prices!C1974</f>
        <v/>
      </c>
      <c r="D1974">
        <f>Prices!D1974</f>
        <v/>
      </c>
      <c r="E1974">
        <f>Prices!E1974</f>
        <v/>
      </c>
      <c r="F1974">
        <f>Prices!F1974</f>
        <v/>
      </c>
      <c r="G1974">
        <f>IF(AND(1972&gt;=16,TEXT(A1974,"yyyy-mm")&lt;&gt;TEXT(A1975,"yyyy-mm")),1,0)</f>
        <v/>
      </c>
      <c r="H1974">
        <f>IF(OR(H1973=1,G1974=1),1,0)</f>
        <v/>
      </c>
      <c r="I1974">
        <f>IF(H1973=0,1,SUMPRODUCT(J1973:N1973,B1974:F1974)+O1973*(1+0.00023125256064071564))</f>
        <v/>
      </c>
      <c r="J1974">
        <f>IF(G1974=1,0.2*R1974/B1974,J1973)</f>
        <v/>
      </c>
      <c r="K1974">
        <f>IF(G1974=1,0.2*R1974/C1974,K1973)</f>
        <v/>
      </c>
      <c r="L1974">
        <f>IF(G1974=1,0.2*R1974/D1974,L1973)</f>
        <v/>
      </c>
      <c r="M1974">
        <f>IF(G1974=1,0.2*R1974/E1974,M1973)</f>
        <v/>
      </c>
      <c r="N1974">
        <f>IF(G1974=1,0.2*R1974/F1974,N1973)</f>
        <v/>
      </c>
      <c r="O1974">
        <f>IF(G1974=1,R1974*(1-1.0),IF(H1973=0,1,O1973*(1+0.00023125256064071564)))</f>
        <v/>
      </c>
      <c r="P1974">
        <f>IF(G1974=1,IF(H1973=0,1,ABS(0.2-J1973*B1974/I1974)+ABS(0.2-K1973*C1974/I1974)+ABS(0.2-L1973*D1974/I1974)+ABS(0.2-M1973*E1974/I1974)+ABS(0.2-N1973*F1974/I1974)),0)</f>
        <v/>
      </c>
      <c r="Q1974">
        <f>P1974*0.0015</f>
        <v/>
      </c>
      <c r="R1974">
        <f>I1974*(1-Q1974)</f>
        <v/>
      </c>
      <c r="S1974">
        <f>R1974/R1973-1</f>
        <v/>
      </c>
      <c r="T1974">
        <f>MAX(T1973,R1974)</f>
        <v/>
      </c>
      <c r="U1974">
        <f>R1974/T1974-1</f>
        <v/>
      </c>
      <c r="V1974" t="n">
        <v>3.461933477109531</v>
      </c>
      <c r="W1974" s="5">
        <f>R1974-V1974</f>
        <v/>
      </c>
    </row>
    <row r="1975">
      <c r="A1975" s="3" t="n">
        <v>41338</v>
      </c>
      <c r="B1975">
        <f>Prices!B1975</f>
        <v/>
      </c>
      <c r="C1975">
        <f>Prices!C1975</f>
        <v/>
      </c>
      <c r="D1975">
        <f>Prices!D1975</f>
        <v/>
      </c>
      <c r="E1975">
        <f>Prices!E1975</f>
        <v/>
      </c>
      <c r="F1975">
        <f>Prices!F1975</f>
        <v/>
      </c>
      <c r="G1975">
        <f>IF(AND(1973&gt;=16,TEXT(A1975,"yyyy-mm")&lt;&gt;TEXT(A1976,"yyyy-mm")),1,0)</f>
        <v/>
      </c>
      <c r="H1975">
        <f>IF(OR(H1974=1,G1975=1),1,0)</f>
        <v/>
      </c>
      <c r="I1975">
        <f>IF(H1974=0,1,SUMPRODUCT(J1974:N1974,B1975:F1975)+O1974*(1+0.00023125256064071564))</f>
        <v/>
      </c>
      <c r="J1975">
        <f>IF(G1975=1,0.2*R1975/B1975,J1974)</f>
        <v/>
      </c>
      <c r="K1975">
        <f>IF(G1975=1,0.2*R1975/C1975,K1974)</f>
        <v/>
      </c>
      <c r="L1975">
        <f>IF(G1975=1,0.2*R1975/D1975,L1974)</f>
        <v/>
      </c>
      <c r="M1975">
        <f>IF(G1975=1,0.2*R1975/E1975,M1974)</f>
        <v/>
      </c>
      <c r="N1975">
        <f>IF(G1975=1,0.2*R1975/F1975,N1974)</f>
        <v/>
      </c>
      <c r="O1975">
        <f>IF(G1975=1,R1975*(1-1.0),IF(H1974=0,1,O1974*(1+0.00023125256064071564)))</f>
        <v/>
      </c>
      <c r="P1975">
        <f>IF(G1975=1,IF(H1974=0,1,ABS(0.2-J1974*B1975/I1975)+ABS(0.2-K1974*C1975/I1975)+ABS(0.2-L1974*D1975/I1975)+ABS(0.2-M1974*E1975/I1975)+ABS(0.2-N1974*F1975/I1975)),0)</f>
        <v/>
      </c>
      <c r="Q1975">
        <f>P1975*0.0015</f>
        <v/>
      </c>
      <c r="R1975">
        <f>I1975*(1-Q1975)</f>
        <v/>
      </c>
      <c r="S1975">
        <f>R1975/R1974-1</f>
        <v/>
      </c>
      <c r="T1975">
        <f>MAX(T1974,R1975)</f>
        <v/>
      </c>
      <c r="U1975">
        <f>R1975/T1975-1</f>
        <v/>
      </c>
      <c r="V1975" t="n">
        <v>3.520123108061414</v>
      </c>
      <c r="W1975" s="5">
        <f>R1975-V1975</f>
        <v/>
      </c>
    </row>
    <row r="1976">
      <c r="A1976" s="3" t="n">
        <v>41339</v>
      </c>
      <c r="B1976">
        <f>Prices!B1976</f>
        <v/>
      </c>
      <c r="C1976">
        <f>Prices!C1976</f>
        <v/>
      </c>
      <c r="D1976">
        <f>Prices!D1976</f>
        <v/>
      </c>
      <c r="E1976">
        <f>Prices!E1976</f>
        <v/>
      </c>
      <c r="F1976">
        <f>Prices!F1976</f>
        <v/>
      </c>
      <c r="G1976">
        <f>IF(AND(1974&gt;=16,TEXT(A1976,"yyyy-mm")&lt;&gt;TEXT(A1977,"yyyy-mm")),1,0)</f>
        <v/>
      </c>
      <c r="H1976">
        <f>IF(OR(H1975=1,G1976=1),1,0)</f>
        <v/>
      </c>
      <c r="I1976">
        <f>IF(H1975=0,1,SUMPRODUCT(J1975:N1975,B1976:F1976)+O1975*(1+0.00023125256064071564))</f>
        <v/>
      </c>
      <c r="J1976">
        <f>IF(G1976=1,0.2*R1976/B1976,J1975)</f>
        <v/>
      </c>
      <c r="K1976">
        <f>IF(G1976=1,0.2*R1976/C1976,K1975)</f>
        <v/>
      </c>
      <c r="L1976">
        <f>IF(G1976=1,0.2*R1976/D1976,L1975)</f>
        <v/>
      </c>
      <c r="M1976">
        <f>IF(G1976=1,0.2*R1976/E1976,M1975)</f>
        <v/>
      </c>
      <c r="N1976">
        <f>IF(G1976=1,0.2*R1976/F1976,N1975)</f>
        <v/>
      </c>
      <c r="O1976">
        <f>IF(G1976=1,R1976*(1-1.0),IF(H1975=0,1,O1975*(1+0.00023125256064071564)))</f>
        <v/>
      </c>
      <c r="P1976">
        <f>IF(G1976=1,IF(H1975=0,1,ABS(0.2-J1975*B1976/I1976)+ABS(0.2-K1975*C1976/I1976)+ABS(0.2-L1975*D1976/I1976)+ABS(0.2-M1975*E1976/I1976)+ABS(0.2-N1975*F1976/I1976)),0)</f>
        <v/>
      </c>
      <c r="Q1976">
        <f>P1976*0.0015</f>
        <v/>
      </c>
      <c r="R1976">
        <f>I1976*(1-Q1976)</f>
        <v/>
      </c>
      <c r="S1976">
        <f>R1976/R1975-1</f>
        <v/>
      </c>
      <c r="T1976">
        <f>MAX(T1975,R1976)</f>
        <v/>
      </c>
      <c r="U1976">
        <f>R1976/T1976-1</f>
        <v/>
      </c>
      <c r="V1976" t="n">
        <v>3.547760942960801</v>
      </c>
      <c r="W1976" s="5">
        <f>R1976-V1976</f>
        <v/>
      </c>
    </row>
    <row r="1977">
      <c r="A1977" s="3" t="n">
        <v>41340</v>
      </c>
      <c r="B1977">
        <f>Prices!B1977</f>
        <v/>
      </c>
      <c r="C1977">
        <f>Prices!C1977</f>
        <v/>
      </c>
      <c r="D1977">
        <f>Prices!D1977</f>
        <v/>
      </c>
      <c r="E1977">
        <f>Prices!E1977</f>
        <v/>
      </c>
      <c r="F1977">
        <f>Prices!F1977</f>
        <v/>
      </c>
      <c r="G1977">
        <f>IF(AND(1975&gt;=16,TEXT(A1977,"yyyy-mm")&lt;&gt;TEXT(A1978,"yyyy-mm")),1,0)</f>
        <v/>
      </c>
      <c r="H1977">
        <f>IF(OR(H1976=1,G1977=1),1,0)</f>
        <v/>
      </c>
      <c r="I1977">
        <f>IF(H1976=0,1,SUMPRODUCT(J1976:N1976,B1977:F1977)+O1976*(1+0.00023125256064071564))</f>
        <v/>
      </c>
      <c r="J1977">
        <f>IF(G1977=1,0.2*R1977/B1977,J1976)</f>
        <v/>
      </c>
      <c r="K1977">
        <f>IF(G1977=1,0.2*R1977/C1977,K1976)</f>
        <v/>
      </c>
      <c r="L1977">
        <f>IF(G1977=1,0.2*R1977/D1977,L1976)</f>
        <v/>
      </c>
      <c r="M1977">
        <f>IF(G1977=1,0.2*R1977/E1977,M1976)</f>
        <v/>
      </c>
      <c r="N1977">
        <f>IF(G1977=1,0.2*R1977/F1977,N1976)</f>
        <v/>
      </c>
      <c r="O1977">
        <f>IF(G1977=1,R1977*(1-1.0),IF(H1976=0,1,O1976*(1+0.00023125256064071564)))</f>
        <v/>
      </c>
      <c r="P1977">
        <f>IF(G1977=1,IF(H1976=0,1,ABS(0.2-J1976*B1977/I1977)+ABS(0.2-K1976*C1977/I1977)+ABS(0.2-L1976*D1977/I1977)+ABS(0.2-M1976*E1977/I1977)+ABS(0.2-N1976*F1977/I1977)),0)</f>
        <v/>
      </c>
      <c r="Q1977">
        <f>P1977*0.0015</f>
        <v/>
      </c>
      <c r="R1977">
        <f>I1977*(1-Q1977)</f>
        <v/>
      </c>
      <c r="S1977">
        <f>R1977/R1976-1</f>
        <v/>
      </c>
      <c r="T1977">
        <f>MAX(T1976,R1977)</f>
        <v/>
      </c>
      <c r="U1977">
        <f>R1977/T1977-1</f>
        <v/>
      </c>
      <c r="V1977" t="n">
        <v>3.571491596982967</v>
      </c>
      <c r="W1977" s="5">
        <f>R1977-V1977</f>
        <v/>
      </c>
    </row>
    <row r="1978">
      <c r="A1978" s="3" t="n">
        <v>41341</v>
      </c>
      <c r="B1978">
        <f>Prices!B1978</f>
        <v/>
      </c>
      <c r="C1978">
        <f>Prices!C1978</f>
        <v/>
      </c>
      <c r="D1978">
        <f>Prices!D1978</f>
        <v/>
      </c>
      <c r="E1978">
        <f>Prices!E1978</f>
        <v/>
      </c>
      <c r="F1978">
        <f>Prices!F1978</f>
        <v/>
      </c>
      <c r="G1978">
        <f>IF(AND(1976&gt;=16,TEXT(A1978,"yyyy-mm")&lt;&gt;TEXT(A1979,"yyyy-mm")),1,0)</f>
        <v/>
      </c>
      <c r="H1978">
        <f>IF(OR(H1977=1,G1978=1),1,0)</f>
        <v/>
      </c>
      <c r="I1978">
        <f>IF(H1977=0,1,SUMPRODUCT(J1977:N1977,B1978:F1978)+O1977*(1+0.00023125256064071564))</f>
        <v/>
      </c>
      <c r="J1978">
        <f>IF(G1978=1,0.2*R1978/B1978,J1977)</f>
        <v/>
      </c>
      <c r="K1978">
        <f>IF(G1978=1,0.2*R1978/C1978,K1977)</f>
        <v/>
      </c>
      <c r="L1978">
        <f>IF(G1978=1,0.2*R1978/D1978,L1977)</f>
        <v/>
      </c>
      <c r="M1978">
        <f>IF(G1978=1,0.2*R1978/E1978,M1977)</f>
        <v/>
      </c>
      <c r="N1978">
        <f>IF(G1978=1,0.2*R1978/F1978,N1977)</f>
        <v/>
      </c>
      <c r="O1978">
        <f>IF(G1978=1,R1978*(1-1.0),IF(H1977=0,1,O1977*(1+0.00023125256064071564)))</f>
        <v/>
      </c>
      <c r="P1978">
        <f>IF(G1978=1,IF(H1977=0,1,ABS(0.2-J1977*B1978/I1978)+ABS(0.2-K1977*C1978/I1978)+ABS(0.2-L1977*D1978/I1978)+ABS(0.2-M1977*E1978/I1978)+ABS(0.2-N1977*F1978/I1978)),0)</f>
        <v/>
      </c>
      <c r="Q1978">
        <f>P1978*0.0015</f>
        <v/>
      </c>
      <c r="R1978">
        <f>I1978*(1-Q1978)</f>
        <v/>
      </c>
      <c r="S1978">
        <f>R1978/R1977-1</f>
        <v/>
      </c>
      <c r="T1978">
        <f>MAX(T1977,R1978)</f>
        <v/>
      </c>
      <c r="U1978">
        <f>R1978/T1978-1</f>
        <v/>
      </c>
      <c r="V1978" t="n">
        <v>3.613397642554426</v>
      </c>
      <c r="W1978" s="5">
        <f>R1978-V1978</f>
        <v/>
      </c>
    </row>
    <row r="1979">
      <c r="A1979" s="3" t="n">
        <v>41344</v>
      </c>
      <c r="B1979">
        <f>Prices!B1979</f>
        <v/>
      </c>
      <c r="C1979">
        <f>Prices!C1979</f>
        <v/>
      </c>
      <c r="D1979">
        <f>Prices!D1979</f>
        <v/>
      </c>
      <c r="E1979">
        <f>Prices!E1979</f>
        <v/>
      </c>
      <c r="F1979">
        <f>Prices!F1979</f>
        <v/>
      </c>
      <c r="G1979">
        <f>IF(AND(1977&gt;=16,TEXT(A1979,"yyyy-mm")&lt;&gt;TEXT(A1980,"yyyy-mm")),1,0)</f>
        <v/>
      </c>
      <c r="H1979">
        <f>IF(OR(H1978=1,G1979=1),1,0)</f>
        <v/>
      </c>
      <c r="I1979">
        <f>IF(H1978=0,1,SUMPRODUCT(J1978:N1978,B1979:F1979)+O1978*(1+0.00023125256064071564))</f>
        <v/>
      </c>
      <c r="J1979">
        <f>IF(G1979=1,0.2*R1979/B1979,J1978)</f>
        <v/>
      </c>
      <c r="K1979">
        <f>IF(G1979=1,0.2*R1979/C1979,K1978)</f>
        <v/>
      </c>
      <c r="L1979">
        <f>IF(G1979=1,0.2*R1979/D1979,L1978)</f>
        <v/>
      </c>
      <c r="M1979">
        <f>IF(G1979=1,0.2*R1979/E1979,M1978)</f>
        <v/>
      </c>
      <c r="N1979">
        <f>IF(G1979=1,0.2*R1979/F1979,N1978)</f>
        <v/>
      </c>
      <c r="O1979">
        <f>IF(G1979=1,R1979*(1-1.0),IF(H1978=0,1,O1978*(1+0.00023125256064071564)))</f>
        <v/>
      </c>
      <c r="P1979">
        <f>IF(G1979=1,IF(H1978=0,1,ABS(0.2-J1978*B1979/I1979)+ABS(0.2-K1978*C1979/I1979)+ABS(0.2-L1978*D1979/I1979)+ABS(0.2-M1978*E1979/I1979)+ABS(0.2-N1978*F1979/I1979)),0)</f>
        <v/>
      </c>
      <c r="Q1979">
        <f>P1979*0.0015</f>
        <v/>
      </c>
      <c r="R1979">
        <f>I1979*(1-Q1979)</f>
        <v/>
      </c>
      <c r="S1979">
        <f>R1979/R1978-1</f>
        <v/>
      </c>
      <c r="T1979">
        <f>MAX(T1978,R1979)</f>
        <v/>
      </c>
      <c r="U1979">
        <f>R1979/T1979-1</f>
        <v/>
      </c>
      <c r="V1979" t="n">
        <v>3.619931844448105</v>
      </c>
      <c r="W1979" s="5">
        <f>R1979-V1979</f>
        <v/>
      </c>
    </row>
    <row r="1980">
      <c r="A1980" s="3" t="n">
        <v>41345</v>
      </c>
      <c r="B1980">
        <f>Prices!B1980</f>
        <v/>
      </c>
      <c r="C1980">
        <f>Prices!C1980</f>
        <v/>
      </c>
      <c r="D1980">
        <f>Prices!D1980</f>
        <v/>
      </c>
      <c r="E1980">
        <f>Prices!E1980</f>
        <v/>
      </c>
      <c r="F1980">
        <f>Prices!F1980</f>
        <v/>
      </c>
      <c r="G1980">
        <f>IF(AND(1978&gt;=16,TEXT(A1980,"yyyy-mm")&lt;&gt;TEXT(A1981,"yyyy-mm")),1,0)</f>
        <v/>
      </c>
      <c r="H1980">
        <f>IF(OR(H1979=1,G1980=1),1,0)</f>
        <v/>
      </c>
      <c r="I1980">
        <f>IF(H1979=0,1,SUMPRODUCT(J1979:N1979,B1980:F1980)+O1979*(1+0.00023125256064071564))</f>
        <v/>
      </c>
      <c r="J1980">
        <f>IF(G1980=1,0.2*R1980/B1980,J1979)</f>
        <v/>
      </c>
      <c r="K1980">
        <f>IF(G1980=1,0.2*R1980/C1980,K1979)</f>
        <v/>
      </c>
      <c r="L1980">
        <f>IF(G1980=1,0.2*R1980/D1980,L1979)</f>
        <v/>
      </c>
      <c r="M1980">
        <f>IF(G1980=1,0.2*R1980/E1980,M1979)</f>
        <v/>
      </c>
      <c r="N1980">
        <f>IF(G1980=1,0.2*R1980/F1980,N1979)</f>
        <v/>
      </c>
      <c r="O1980">
        <f>IF(G1980=1,R1980*(1-1.0),IF(H1979=0,1,O1979*(1+0.00023125256064071564)))</f>
        <v/>
      </c>
      <c r="P1980">
        <f>IF(G1980=1,IF(H1979=0,1,ABS(0.2-J1979*B1980/I1980)+ABS(0.2-K1979*C1980/I1980)+ABS(0.2-L1979*D1980/I1980)+ABS(0.2-M1979*E1980/I1980)+ABS(0.2-N1979*F1980/I1980)),0)</f>
        <v/>
      </c>
      <c r="Q1980">
        <f>P1980*0.0015</f>
        <v/>
      </c>
      <c r="R1980">
        <f>I1980*(1-Q1980)</f>
        <v/>
      </c>
      <c r="S1980">
        <f>R1980/R1979-1</f>
        <v/>
      </c>
      <c r="T1980">
        <f>MAX(T1979,R1980)</f>
        <v/>
      </c>
      <c r="U1980">
        <f>R1980/T1980-1</f>
        <v/>
      </c>
      <c r="V1980" t="n">
        <v>3.605351806258222</v>
      </c>
      <c r="W1980" s="5">
        <f>R1980-V1980</f>
        <v/>
      </c>
    </row>
    <row r="1981">
      <c r="A1981" s="3" t="n">
        <v>41346</v>
      </c>
      <c r="B1981">
        <f>Prices!B1981</f>
        <v/>
      </c>
      <c r="C1981">
        <f>Prices!C1981</f>
        <v/>
      </c>
      <c r="D1981">
        <f>Prices!D1981</f>
        <v/>
      </c>
      <c r="E1981">
        <f>Prices!E1981</f>
        <v/>
      </c>
      <c r="F1981">
        <f>Prices!F1981</f>
        <v/>
      </c>
      <c r="G1981">
        <f>IF(AND(1979&gt;=16,TEXT(A1981,"yyyy-mm")&lt;&gt;TEXT(A1982,"yyyy-mm")),1,0)</f>
        <v/>
      </c>
      <c r="H1981">
        <f>IF(OR(H1980=1,G1981=1),1,0)</f>
        <v/>
      </c>
      <c r="I1981">
        <f>IF(H1980=0,1,SUMPRODUCT(J1980:N1980,B1981:F1981)+O1980*(1+0.00023125256064071564))</f>
        <v/>
      </c>
      <c r="J1981">
        <f>IF(G1981=1,0.2*R1981/B1981,J1980)</f>
        <v/>
      </c>
      <c r="K1981">
        <f>IF(G1981=1,0.2*R1981/C1981,K1980)</f>
        <v/>
      </c>
      <c r="L1981">
        <f>IF(G1981=1,0.2*R1981/D1981,L1980)</f>
        <v/>
      </c>
      <c r="M1981">
        <f>IF(G1981=1,0.2*R1981/E1981,M1980)</f>
        <v/>
      </c>
      <c r="N1981">
        <f>IF(G1981=1,0.2*R1981/F1981,N1980)</f>
        <v/>
      </c>
      <c r="O1981">
        <f>IF(G1981=1,R1981*(1-1.0),IF(H1980=0,1,O1980*(1+0.00023125256064071564)))</f>
        <v/>
      </c>
      <c r="P1981">
        <f>IF(G1981=1,IF(H1980=0,1,ABS(0.2-J1980*B1981/I1981)+ABS(0.2-K1980*C1981/I1981)+ABS(0.2-L1980*D1981/I1981)+ABS(0.2-M1980*E1981/I1981)+ABS(0.2-N1980*F1981/I1981)),0)</f>
        <v/>
      </c>
      <c r="Q1981">
        <f>P1981*0.0015</f>
        <v/>
      </c>
      <c r="R1981">
        <f>I1981*(1-Q1981)</f>
        <v/>
      </c>
      <c r="S1981">
        <f>R1981/R1980-1</f>
        <v/>
      </c>
      <c r="T1981">
        <f>MAX(T1980,R1981)</f>
        <v/>
      </c>
      <c r="U1981">
        <f>R1981/T1981-1</f>
        <v/>
      </c>
      <c r="V1981" t="n">
        <v>3.565555951447328</v>
      </c>
      <c r="W1981" s="5">
        <f>R1981-V1981</f>
        <v/>
      </c>
    </row>
    <row r="1982">
      <c r="A1982" s="3" t="n">
        <v>41347</v>
      </c>
      <c r="B1982">
        <f>Prices!B1982</f>
        <v/>
      </c>
      <c r="C1982">
        <f>Prices!C1982</f>
        <v/>
      </c>
      <c r="D1982">
        <f>Prices!D1982</f>
        <v/>
      </c>
      <c r="E1982">
        <f>Prices!E1982</f>
        <v/>
      </c>
      <c r="F1982">
        <f>Prices!F1982</f>
        <v/>
      </c>
      <c r="G1982">
        <f>IF(AND(1980&gt;=16,TEXT(A1982,"yyyy-mm")&lt;&gt;TEXT(A1983,"yyyy-mm")),1,0)</f>
        <v/>
      </c>
      <c r="H1982">
        <f>IF(OR(H1981=1,G1982=1),1,0)</f>
        <v/>
      </c>
      <c r="I1982">
        <f>IF(H1981=0,1,SUMPRODUCT(J1981:N1981,B1982:F1982)+O1981*(1+0.00023125256064071564))</f>
        <v/>
      </c>
      <c r="J1982">
        <f>IF(G1982=1,0.2*R1982/B1982,J1981)</f>
        <v/>
      </c>
      <c r="K1982">
        <f>IF(G1982=1,0.2*R1982/C1982,K1981)</f>
        <v/>
      </c>
      <c r="L1982">
        <f>IF(G1982=1,0.2*R1982/D1982,L1981)</f>
        <v/>
      </c>
      <c r="M1982">
        <f>IF(G1982=1,0.2*R1982/E1982,M1981)</f>
        <v/>
      </c>
      <c r="N1982">
        <f>IF(G1982=1,0.2*R1982/F1982,N1981)</f>
        <v/>
      </c>
      <c r="O1982">
        <f>IF(G1982=1,R1982*(1-1.0),IF(H1981=0,1,O1981*(1+0.00023125256064071564)))</f>
        <v/>
      </c>
      <c r="P1982">
        <f>IF(G1982=1,IF(H1981=0,1,ABS(0.2-J1981*B1982/I1982)+ABS(0.2-K1981*C1982/I1982)+ABS(0.2-L1981*D1982/I1982)+ABS(0.2-M1981*E1982/I1982)+ABS(0.2-N1981*F1982/I1982)),0)</f>
        <v/>
      </c>
      <c r="Q1982">
        <f>P1982*0.0015</f>
        <v/>
      </c>
      <c r="R1982">
        <f>I1982*(1-Q1982)</f>
        <v/>
      </c>
      <c r="S1982">
        <f>R1982/R1981-1</f>
        <v/>
      </c>
      <c r="T1982">
        <f>MAX(T1981,R1982)</f>
        <v/>
      </c>
      <c r="U1982">
        <f>R1982/T1982-1</f>
        <v/>
      </c>
      <c r="V1982" t="n">
        <v>3.581724327751525</v>
      </c>
      <c r="W1982" s="5">
        <f>R1982-V1982</f>
        <v/>
      </c>
    </row>
    <row r="1983">
      <c r="A1983" s="3" t="n">
        <v>41348</v>
      </c>
      <c r="B1983">
        <f>Prices!B1983</f>
        <v/>
      </c>
      <c r="C1983">
        <f>Prices!C1983</f>
        <v/>
      </c>
      <c r="D1983">
        <f>Prices!D1983</f>
        <v/>
      </c>
      <c r="E1983">
        <f>Prices!E1983</f>
        <v/>
      </c>
      <c r="F1983">
        <f>Prices!F1983</f>
        <v/>
      </c>
      <c r="G1983">
        <f>IF(AND(1981&gt;=16,TEXT(A1983,"yyyy-mm")&lt;&gt;TEXT(A1984,"yyyy-mm")),1,0)</f>
        <v/>
      </c>
      <c r="H1983">
        <f>IF(OR(H1982=1,G1983=1),1,0)</f>
        <v/>
      </c>
      <c r="I1983">
        <f>IF(H1982=0,1,SUMPRODUCT(J1982:N1982,B1983:F1983)+O1982*(1+0.00023125256064071564))</f>
        <v/>
      </c>
      <c r="J1983">
        <f>IF(G1983=1,0.2*R1983/B1983,J1982)</f>
        <v/>
      </c>
      <c r="K1983">
        <f>IF(G1983=1,0.2*R1983/C1983,K1982)</f>
        <v/>
      </c>
      <c r="L1983">
        <f>IF(G1983=1,0.2*R1983/D1983,L1982)</f>
        <v/>
      </c>
      <c r="M1983">
        <f>IF(G1983=1,0.2*R1983/E1983,M1982)</f>
        <v/>
      </c>
      <c r="N1983">
        <f>IF(G1983=1,0.2*R1983/F1983,N1982)</f>
        <v/>
      </c>
      <c r="O1983">
        <f>IF(G1983=1,R1983*(1-1.0),IF(H1982=0,1,O1982*(1+0.00023125256064071564)))</f>
        <v/>
      </c>
      <c r="P1983">
        <f>IF(G1983=1,IF(H1982=0,1,ABS(0.2-J1982*B1983/I1983)+ABS(0.2-K1982*C1983/I1983)+ABS(0.2-L1982*D1983/I1983)+ABS(0.2-M1982*E1983/I1983)+ABS(0.2-N1982*F1983/I1983)),0)</f>
        <v/>
      </c>
      <c r="Q1983">
        <f>P1983*0.0015</f>
        <v/>
      </c>
      <c r="R1983">
        <f>I1983*(1-Q1983)</f>
        <v/>
      </c>
      <c r="S1983">
        <f>R1983/R1982-1</f>
        <v/>
      </c>
      <c r="T1983">
        <f>MAX(T1982,R1983)</f>
        <v/>
      </c>
      <c r="U1983">
        <f>R1983/T1983-1</f>
        <v/>
      </c>
      <c r="V1983" t="n">
        <v>3.574420126275283</v>
      </c>
      <c r="W1983" s="5">
        <f>R1983-V1983</f>
        <v/>
      </c>
    </row>
    <row r="1984">
      <c r="A1984" s="3" t="n">
        <v>41351</v>
      </c>
      <c r="B1984">
        <f>Prices!B1984</f>
        <v/>
      </c>
      <c r="C1984">
        <f>Prices!C1984</f>
        <v/>
      </c>
      <c r="D1984">
        <f>Prices!D1984</f>
        <v/>
      </c>
      <c r="E1984">
        <f>Prices!E1984</f>
        <v/>
      </c>
      <c r="F1984">
        <f>Prices!F1984</f>
        <v/>
      </c>
      <c r="G1984">
        <f>IF(AND(1982&gt;=16,TEXT(A1984,"yyyy-mm")&lt;&gt;TEXT(A1985,"yyyy-mm")),1,0)</f>
        <v/>
      </c>
      <c r="H1984">
        <f>IF(OR(H1983=1,G1984=1),1,0)</f>
        <v/>
      </c>
      <c r="I1984">
        <f>IF(H1983=0,1,SUMPRODUCT(J1983:N1983,B1984:F1984)+O1983*(1+0.00023125256064071564))</f>
        <v/>
      </c>
      <c r="J1984">
        <f>IF(G1984=1,0.2*R1984/B1984,J1983)</f>
        <v/>
      </c>
      <c r="K1984">
        <f>IF(G1984=1,0.2*R1984/C1984,K1983)</f>
        <v/>
      </c>
      <c r="L1984">
        <f>IF(G1984=1,0.2*R1984/D1984,L1983)</f>
        <v/>
      </c>
      <c r="M1984">
        <f>IF(G1984=1,0.2*R1984/E1984,M1983)</f>
        <v/>
      </c>
      <c r="N1984">
        <f>IF(G1984=1,0.2*R1984/F1984,N1983)</f>
        <v/>
      </c>
      <c r="O1984">
        <f>IF(G1984=1,R1984*(1-1.0),IF(H1983=0,1,O1983*(1+0.00023125256064071564)))</f>
        <v/>
      </c>
      <c r="P1984">
        <f>IF(G1984=1,IF(H1983=0,1,ABS(0.2-J1983*B1984/I1984)+ABS(0.2-K1983*C1984/I1984)+ABS(0.2-L1983*D1984/I1984)+ABS(0.2-M1983*E1984/I1984)+ABS(0.2-N1983*F1984/I1984)),0)</f>
        <v/>
      </c>
      <c r="Q1984">
        <f>P1984*0.0015</f>
        <v/>
      </c>
      <c r="R1984">
        <f>I1984*(1-Q1984)</f>
        <v/>
      </c>
      <c r="S1984">
        <f>R1984/R1983-1</f>
        <v/>
      </c>
      <c r="T1984">
        <f>MAX(T1983,R1984)</f>
        <v/>
      </c>
      <c r="U1984">
        <f>R1984/T1984-1</f>
        <v/>
      </c>
      <c r="V1984" t="n">
        <v>3.565726547673815</v>
      </c>
      <c r="W1984" s="5">
        <f>R1984-V1984</f>
        <v/>
      </c>
    </row>
    <row r="1985">
      <c r="A1985" s="3" t="n">
        <v>41352</v>
      </c>
      <c r="B1985">
        <f>Prices!B1985</f>
        <v/>
      </c>
      <c r="C1985">
        <f>Prices!C1985</f>
        <v/>
      </c>
      <c r="D1985">
        <f>Prices!D1985</f>
        <v/>
      </c>
      <c r="E1985">
        <f>Prices!E1985</f>
        <v/>
      </c>
      <c r="F1985">
        <f>Prices!F1985</f>
        <v/>
      </c>
      <c r="G1985">
        <f>IF(AND(1983&gt;=16,TEXT(A1985,"yyyy-mm")&lt;&gt;TEXT(A1986,"yyyy-mm")),1,0)</f>
        <v/>
      </c>
      <c r="H1985">
        <f>IF(OR(H1984=1,G1985=1),1,0)</f>
        <v/>
      </c>
      <c r="I1985">
        <f>IF(H1984=0,1,SUMPRODUCT(J1984:N1984,B1985:F1985)+O1984*(1+0.00023125256064071564))</f>
        <v/>
      </c>
      <c r="J1985">
        <f>IF(G1985=1,0.2*R1985/B1985,J1984)</f>
        <v/>
      </c>
      <c r="K1985">
        <f>IF(G1985=1,0.2*R1985/C1985,K1984)</f>
        <v/>
      </c>
      <c r="L1985">
        <f>IF(G1985=1,0.2*R1985/D1985,L1984)</f>
        <v/>
      </c>
      <c r="M1985">
        <f>IF(G1985=1,0.2*R1985/E1985,M1984)</f>
        <v/>
      </c>
      <c r="N1985">
        <f>IF(G1985=1,0.2*R1985/F1985,N1984)</f>
        <v/>
      </c>
      <c r="O1985">
        <f>IF(G1985=1,R1985*(1-1.0),IF(H1984=0,1,O1984*(1+0.00023125256064071564)))</f>
        <v/>
      </c>
      <c r="P1985">
        <f>IF(G1985=1,IF(H1984=0,1,ABS(0.2-J1984*B1985/I1985)+ABS(0.2-K1984*C1985/I1985)+ABS(0.2-L1984*D1985/I1985)+ABS(0.2-M1984*E1985/I1985)+ABS(0.2-N1984*F1985/I1985)),0)</f>
        <v/>
      </c>
      <c r="Q1985">
        <f>P1985*0.0015</f>
        <v/>
      </c>
      <c r="R1985">
        <f>I1985*(1-Q1985)</f>
        <v/>
      </c>
      <c r="S1985">
        <f>R1985/R1984-1</f>
        <v/>
      </c>
      <c r="T1985">
        <f>MAX(T1984,R1985)</f>
        <v/>
      </c>
      <c r="U1985">
        <f>R1985/T1985-1</f>
        <v/>
      </c>
      <c r="V1985" t="n">
        <v>3.517090716108858</v>
      </c>
      <c r="W1985" s="5">
        <f>R1985-V1985</f>
        <v/>
      </c>
    </row>
    <row r="1986">
      <c r="A1986" s="3" t="n">
        <v>41353</v>
      </c>
      <c r="B1986">
        <f>Prices!B1986</f>
        <v/>
      </c>
      <c r="C1986">
        <f>Prices!C1986</f>
        <v/>
      </c>
      <c r="D1986">
        <f>Prices!D1986</f>
        <v/>
      </c>
      <c r="E1986">
        <f>Prices!E1986</f>
        <v/>
      </c>
      <c r="F1986">
        <f>Prices!F1986</f>
        <v/>
      </c>
      <c r="G1986">
        <f>IF(AND(1984&gt;=16,TEXT(A1986,"yyyy-mm")&lt;&gt;TEXT(A1987,"yyyy-mm")),1,0)</f>
        <v/>
      </c>
      <c r="H1986">
        <f>IF(OR(H1985=1,G1986=1),1,0)</f>
        <v/>
      </c>
      <c r="I1986">
        <f>IF(H1985=0,1,SUMPRODUCT(J1985:N1985,B1986:F1986)+O1985*(1+0.00023125256064071564))</f>
        <v/>
      </c>
      <c r="J1986">
        <f>IF(G1986=1,0.2*R1986/B1986,J1985)</f>
        <v/>
      </c>
      <c r="K1986">
        <f>IF(G1986=1,0.2*R1986/C1986,K1985)</f>
        <v/>
      </c>
      <c r="L1986">
        <f>IF(G1986=1,0.2*R1986/D1986,L1985)</f>
        <v/>
      </c>
      <c r="M1986">
        <f>IF(G1986=1,0.2*R1986/E1986,M1985)</f>
        <v/>
      </c>
      <c r="N1986">
        <f>IF(G1986=1,0.2*R1986/F1986,N1985)</f>
        <v/>
      </c>
      <c r="O1986">
        <f>IF(G1986=1,R1986*(1-1.0),IF(H1985=0,1,O1985*(1+0.00023125256064071564)))</f>
        <v/>
      </c>
      <c r="P1986">
        <f>IF(G1986=1,IF(H1985=0,1,ABS(0.2-J1985*B1986/I1986)+ABS(0.2-K1985*C1986/I1986)+ABS(0.2-L1985*D1986/I1986)+ABS(0.2-M1985*E1986/I1986)+ABS(0.2-N1985*F1986/I1986)),0)</f>
        <v/>
      </c>
      <c r="Q1986">
        <f>P1986*0.0015</f>
        <v/>
      </c>
      <c r="R1986">
        <f>I1986*(1-Q1986)</f>
        <v/>
      </c>
      <c r="S1986">
        <f>R1986/R1985-1</f>
        <v/>
      </c>
      <c r="T1986">
        <f>MAX(T1985,R1986)</f>
        <v/>
      </c>
      <c r="U1986">
        <f>R1986/T1986-1</f>
        <v/>
      </c>
      <c r="V1986" t="n">
        <v>3.47406000862033</v>
      </c>
      <c r="W1986" s="5">
        <f>R1986-V1986</f>
        <v/>
      </c>
    </row>
    <row r="1987">
      <c r="A1987" s="3" t="n">
        <v>41354</v>
      </c>
      <c r="B1987">
        <f>Prices!B1987</f>
        <v/>
      </c>
      <c r="C1987">
        <f>Prices!C1987</f>
        <v/>
      </c>
      <c r="D1987">
        <f>Prices!D1987</f>
        <v/>
      </c>
      <c r="E1987">
        <f>Prices!E1987</f>
        <v/>
      </c>
      <c r="F1987">
        <f>Prices!F1987</f>
        <v/>
      </c>
      <c r="G1987">
        <f>IF(AND(1985&gt;=16,TEXT(A1987,"yyyy-mm")&lt;&gt;TEXT(A1988,"yyyy-mm")),1,0)</f>
        <v/>
      </c>
      <c r="H1987">
        <f>IF(OR(H1986=1,G1987=1),1,0)</f>
        <v/>
      </c>
      <c r="I1987">
        <f>IF(H1986=0,1,SUMPRODUCT(J1986:N1986,B1987:F1987)+O1986*(1+0.00023125256064071564))</f>
        <v/>
      </c>
      <c r="J1987">
        <f>IF(G1987=1,0.2*R1987/B1987,J1986)</f>
        <v/>
      </c>
      <c r="K1987">
        <f>IF(G1987=1,0.2*R1987/C1987,K1986)</f>
        <v/>
      </c>
      <c r="L1987">
        <f>IF(G1987=1,0.2*R1987/D1987,L1986)</f>
        <v/>
      </c>
      <c r="M1987">
        <f>IF(G1987=1,0.2*R1987/E1987,M1986)</f>
        <v/>
      </c>
      <c r="N1987">
        <f>IF(G1987=1,0.2*R1987/F1987,N1986)</f>
        <v/>
      </c>
      <c r="O1987">
        <f>IF(G1987=1,R1987*(1-1.0),IF(H1986=0,1,O1986*(1+0.00023125256064071564)))</f>
        <v/>
      </c>
      <c r="P1987">
        <f>IF(G1987=1,IF(H1986=0,1,ABS(0.2-J1986*B1987/I1987)+ABS(0.2-K1986*C1987/I1987)+ABS(0.2-L1986*D1987/I1987)+ABS(0.2-M1986*E1987/I1987)+ABS(0.2-N1986*F1987/I1987)),0)</f>
        <v/>
      </c>
      <c r="Q1987">
        <f>P1987*0.0015</f>
        <v/>
      </c>
      <c r="R1987">
        <f>I1987*(1-Q1987)</f>
        <v/>
      </c>
      <c r="S1987">
        <f>R1987/R1986-1</f>
        <v/>
      </c>
      <c r="T1987">
        <f>MAX(T1986,R1987)</f>
        <v/>
      </c>
      <c r="U1987">
        <f>R1987/T1987-1</f>
        <v/>
      </c>
      <c r="V1987" t="n">
        <v>3.439559449624006</v>
      </c>
      <c r="W1987" s="5">
        <f>R1987-V1987</f>
        <v/>
      </c>
    </row>
    <row r="1988">
      <c r="A1988" s="3" t="n">
        <v>41355</v>
      </c>
      <c r="B1988">
        <f>Prices!B1988</f>
        <v/>
      </c>
      <c r="C1988">
        <f>Prices!C1988</f>
        <v/>
      </c>
      <c r="D1988">
        <f>Prices!D1988</f>
        <v/>
      </c>
      <c r="E1988">
        <f>Prices!E1988</f>
        <v/>
      </c>
      <c r="F1988">
        <f>Prices!F1988</f>
        <v/>
      </c>
      <c r="G1988">
        <f>IF(AND(1986&gt;=16,TEXT(A1988,"yyyy-mm")&lt;&gt;TEXT(A1989,"yyyy-mm")),1,0)</f>
        <v/>
      </c>
      <c r="H1988">
        <f>IF(OR(H1987=1,G1988=1),1,0)</f>
        <v/>
      </c>
      <c r="I1988">
        <f>IF(H1987=0,1,SUMPRODUCT(J1987:N1987,B1988:F1988)+O1987*(1+0.00023125256064071564))</f>
        <v/>
      </c>
      <c r="J1988">
        <f>IF(G1988=1,0.2*R1988/B1988,J1987)</f>
        <v/>
      </c>
      <c r="K1988">
        <f>IF(G1988=1,0.2*R1988/C1988,K1987)</f>
        <v/>
      </c>
      <c r="L1988">
        <f>IF(G1988=1,0.2*R1988/D1988,L1987)</f>
        <v/>
      </c>
      <c r="M1988">
        <f>IF(G1988=1,0.2*R1988/E1988,M1987)</f>
        <v/>
      </c>
      <c r="N1988">
        <f>IF(G1988=1,0.2*R1988/F1988,N1987)</f>
        <v/>
      </c>
      <c r="O1988">
        <f>IF(G1988=1,R1988*(1-1.0),IF(H1987=0,1,O1987*(1+0.00023125256064071564)))</f>
        <v/>
      </c>
      <c r="P1988">
        <f>IF(G1988=1,IF(H1987=0,1,ABS(0.2-J1987*B1988/I1988)+ABS(0.2-K1987*C1988/I1988)+ABS(0.2-L1987*D1988/I1988)+ABS(0.2-M1987*E1988/I1988)+ABS(0.2-N1987*F1988/I1988)),0)</f>
        <v/>
      </c>
      <c r="Q1988">
        <f>P1988*0.0015</f>
        <v/>
      </c>
      <c r="R1988">
        <f>I1988*(1-Q1988)</f>
        <v/>
      </c>
      <c r="S1988">
        <f>R1988/R1987-1</f>
        <v/>
      </c>
      <c r="T1988">
        <f>MAX(T1987,R1988)</f>
        <v/>
      </c>
      <c r="U1988">
        <f>R1988/T1988-1</f>
        <v/>
      </c>
      <c r="V1988" t="n">
        <v>3.425379751691308</v>
      </c>
      <c r="W1988" s="5">
        <f>R1988-V1988</f>
        <v/>
      </c>
    </row>
    <row r="1989">
      <c r="A1989" s="3" t="n">
        <v>41358</v>
      </c>
      <c r="B1989">
        <f>Prices!B1989</f>
        <v/>
      </c>
      <c r="C1989">
        <f>Prices!C1989</f>
        <v/>
      </c>
      <c r="D1989">
        <f>Prices!D1989</f>
        <v/>
      </c>
      <c r="E1989">
        <f>Prices!E1989</f>
        <v/>
      </c>
      <c r="F1989">
        <f>Prices!F1989</f>
        <v/>
      </c>
      <c r="G1989">
        <f>IF(AND(1987&gt;=16,TEXT(A1989,"yyyy-mm")&lt;&gt;TEXT(A1990,"yyyy-mm")),1,0)</f>
        <v/>
      </c>
      <c r="H1989">
        <f>IF(OR(H1988=1,G1989=1),1,0)</f>
        <v/>
      </c>
      <c r="I1989">
        <f>IF(H1988=0,1,SUMPRODUCT(J1988:N1988,B1989:F1989)+O1988*(1+0.00023125256064071564))</f>
        <v/>
      </c>
      <c r="J1989">
        <f>IF(G1989=1,0.2*R1989/B1989,J1988)</f>
        <v/>
      </c>
      <c r="K1989">
        <f>IF(G1989=1,0.2*R1989/C1989,K1988)</f>
        <v/>
      </c>
      <c r="L1989">
        <f>IF(G1989=1,0.2*R1989/D1989,L1988)</f>
        <v/>
      </c>
      <c r="M1989">
        <f>IF(G1989=1,0.2*R1989/E1989,M1988)</f>
        <v/>
      </c>
      <c r="N1989">
        <f>IF(G1989=1,0.2*R1989/F1989,N1988)</f>
        <v/>
      </c>
      <c r="O1989">
        <f>IF(G1989=1,R1989*(1-1.0),IF(H1988=0,1,O1988*(1+0.00023125256064071564)))</f>
        <v/>
      </c>
      <c r="P1989">
        <f>IF(G1989=1,IF(H1988=0,1,ABS(0.2-J1988*B1989/I1989)+ABS(0.2-K1988*C1989/I1989)+ABS(0.2-L1988*D1989/I1989)+ABS(0.2-M1988*E1989/I1989)+ABS(0.2-N1988*F1989/I1989)),0)</f>
        <v/>
      </c>
      <c r="Q1989">
        <f>P1989*0.0015</f>
        <v/>
      </c>
      <c r="R1989">
        <f>I1989*(1-Q1989)</f>
        <v/>
      </c>
      <c r="S1989">
        <f>R1989/R1988-1</f>
        <v/>
      </c>
      <c r="T1989">
        <f>MAX(T1988,R1989)</f>
        <v/>
      </c>
      <c r="U1989">
        <f>R1989/T1989-1</f>
        <v/>
      </c>
      <c r="V1989" t="n">
        <v>3.412175289386825</v>
      </c>
      <c r="W1989" s="5">
        <f>R1989-V1989</f>
        <v/>
      </c>
    </row>
    <row r="1990">
      <c r="A1990" s="3" t="n">
        <v>41359</v>
      </c>
      <c r="B1990">
        <f>Prices!B1990</f>
        <v/>
      </c>
      <c r="C1990">
        <f>Prices!C1990</f>
        <v/>
      </c>
      <c r="D1990">
        <f>Prices!D1990</f>
        <v/>
      </c>
      <c r="E1990">
        <f>Prices!E1990</f>
        <v/>
      </c>
      <c r="F1990">
        <f>Prices!F1990</f>
        <v/>
      </c>
      <c r="G1990">
        <f>IF(AND(1988&gt;=16,TEXT(A1990,"yyyy-mm")&lt;&gt;TEXT(A1991,"yyyy-mm")),1,0)</f>
        <v/>
      </c>
      <c r="H1990">
        <f>IF(OR(H1989=1,G1990=1),1,0)</f>
        <v/>
      </c>
      <c r="I1990">
        <f>IF(H1989=0,1,SUMPRODUCT(J1989:N1989,B1990:F1990)+O1989*(1+0.00023125256064071564))</f>
        <v/>
      </c>
      <c r="J1990">
        <f>IF(G1990=1,0.2*R1990/B1990,J1989)</f>
        <v/>
      </c>
      <c r="K1990">
        <f>IF(G1990=1,0.2*R1990/C1990,K1989)</f>
        <v/>
      </c>
      <c r="L1990">
        <f>IF(G1990=1,0.2*R1990/D1990,L1989)</f>
        <v/>
      </c>
      <c r="M1990">
        <f>IF(G1990=1,0.2*R1990/E1990,M1989)</f>
        <v/>
      </c>
      <c r="N1990">
        <f>IF(G1990=1,0.2*R1990/F1990,N1989)</f>
        <v/>
      </c>
      <c r="O1990">
        <f>IF(G1990=1,R1990*(1-1.0),IF(H1989=0,1,O1989*(1+0.00023125256064071564)))</f>
        <v/>
      </c>
      <c r="P1990">
        <f>IF(G1990=1,IF(H1989=0,1,ABS(0.2-J1989*B1990/I1990)+ABS(0.2-K1989*C1990/I1990)+ABS(0.2-L1989*D1990/I1990)+ABS(0.2-M1989*E1990/I1990)+ABS(0.2-N1989*F1990/I1990)),0)</f>
        <v/>
      </c>
      <c r="Q1990">
        <f>P1990*0.0015</f>
        <v/>
      </c>
      <c r="R1990">
        <f>I1990*(1-Q1990)</f>
        <v/>
      </c>
      <c r="S1990">
        <f>R1990/R1989-1</f>
        <v/>
      </c>
      <c r="T1990">
        <f>MAX(T1989,R1990)</f>
        <v/>
      </c>
      <c r="U1990">
        <f>R1990/T1990-1</f>
        <v/>
      </c>
      <c r="V1990" t="n">
        <v>3.412862695535681</v>
      </c>
      <c r="W1990" s="5">
        <f>R1990-V1990</f>
        <v/>
      </c>
    </row>
    <row r="1991">
      <c r="A1991" s="3" t="n">
        <v>41361</v>
      </c>
      <c r="B1991">
        <f>Prices!B1991</f>
        <v/>
      </c>
      <c r="C1991">
        <f>Prices!C1991</f>
        <v/>
      </c>
      <c r="D1991">
        <f>Prices!D1991</f>
        <v/>
      </c>
      <c r="E1991">
        <f>Prices!E1991</f>
        <v/>
      </c>
      <c r="F1991">
        <f>Prices!F1991</f>
        <v/>
      </c>
      <c r="G1991">
        <f>IF(AND(1989&gt;=16,TEXT(A1991,"yyyy-mm")&lt;&gt;TEXT(A1992,"yyyy-mm")),1,0)</f>
        <v/>
      </c>
      <c r="H1991">
        <f>IF(OR(H1990=1,G1991=1),1,0)</f>
        <v/>
      </c>
      <c r="I1991">
        <f>IF(H1990=0,1,SUMPRODUCT(J1990:N1990,B1991:F1991)+O1990*(1+0.00023125256064071564))</f>
        <v/>
      </c>
      <c r="J1991">
        <f>IF(G1991=1,0.2*R1991/B1991,J1990)</f>
        <v/>
      </c>
      <c r="K1991">
        <f>IF(G1991=1,0.2*R1991/C1991,K1990)</f>
        <v/>
      </c>
      <c r="L1991">
        <f>IF(G1991=1,0.2*R1991/D1991,L1990)</f>
        <v/>
      </c>
      <c r="M1991">
        <f>IF(G1991=1,0.2*R1991/E1991,M1990)</f>
        <v/>
      </c>
      <c r="N1991">
        <f>IF(G1991=1,0.2*R1991/F1991,N1990)</f>
        <v/>
      </c>
      <c r="O1991">
        <f>IF(G1991=1,R1991*(1-1.0),IF(H1990=0,1,O1990*(1+0.00023125256064071564)))</f>
        <v/>
      </c>
      <c r="P1991">
        <f>IF(G1991=1,IF(H1990=0,1,ABS(0.2-J1990*B1991/I1991)+ABS(0.2-K1990*C1991/I1991)+ABS(0.2-L1990*D1991/I1991)+ABS(0.2-M1990*E1991/I1991)+ABS(0.2-N1990*F1991/I1991)),0)</f>
        <v/>
      </c>
      <c r="Q1991">
        <f>P1991*0.0015</f>
        <v/>
      </c>
      <c r="R1991">
        <f>I1991*(1-Q1991)</f>
        <v/>
      </c>
      <c r="S1991">
        <f>R1991/R1990-1</f>
        <v/>
      </c>
      <c r="T1991">
        <f>MAX(T1990,R1991)</f>
        <v/>
      </c>
      <c r="U1991">
        <f>R1991/T1991-1</f>
        <v/>
      </c>
      <c r="V1991" t="n">
        <v>3.460829219921007</v>
      </c>
      <c r="W1991" s="5">
        <f>R1991-V1991</f>
        <v/>
      </c>
    </row>
    <row r="1992">
      <c r="A1992" s="3" t="n">
        <v>41365</v>
      </c>
      <c r="B1992">
        <f>Prices!B1992</f>
        <v/>
      </c>
      <c r="C1992">
        <f>Prices!C1992</f>
        <v/>
      </c>
      <c r="D1992">
        <f>Prices!D1992</f>
        <v/>
      </c>
      <c r="E1992">
        <f>Prices!E1992</f>
        <v/>
      </c>
      <c r="F1992">
        <f>Prices!F1992</f>
        <v/>
      </c>
      <c r="G1992">
        <f>IF(AND(1990&gt;=16,TEXT(A1992,"yyyy-mm")&lt;&gt;TEXT(A1993,"yyyy-mm")),1,0)</f>
        <v/>
      </c>
      <c r="H1992">
        <f>IF(OR(H1991=1,G1992=1),1,0)</f>
        <v/>
      </c>
      <c r="I1992">
        <f>IF(H1991=0,1,SUMPRODUCT(J1991:N1991,B1992:F1992)+O1991*(1+0.00023125256064071564))</f>
        <v/>
      </c>
      <c r="J1992">
        <f>IF(G1992=1,0.2*R1992/B1992,J1991)</f>
        <v/>
      </c>
      <c r="K1992">
        <f>IF(G1992=1,0.2*R1992/C1992,K1991)</f>
        <v/>
      </c>
      <c r="L1992">
        <f>IF(G1992=1,0.2*R1992/D1992,L1991)</f>
        <v/>
      </c>
      <c r="M1992">
        <f>IF(G1992=1,0.2*R1992/E1992,M1991)</f>
        <v/>
      </c>
      <c r="N1992">
        <f>IF(G1992=1,0.2*R1992/F1992,N1991)</f>
        <v/>
      </c>
      <c r="O1992">
        <f>IF(G1992=1,R1992*(1-1.0),IF(H1991=0,1,O1991*(1+0.00023125256064071564)))</f>
        <v/>
      </c>
      <c r="P1992">
        <f>IF(G1992=1,IF(H1991=0,1,ABS(0.2-J1991*B1992/I1992)+ABS(0.2-K1991*C1992/I1992)+ABS(0.2-L1991*D1992/I1992)+ABS(0.2-M1991*E1992/I1992)+ABS(0.2-N1991*F1992/I1992)),0)</f>
        <v/>
      </c>
      <c r="Q1992">
        <f>P1992*0.0015</f>
        <v/>
      </c>
      <c r="R1992">
        <f>I1992*(1-Q1992)</f>
        <v/>
      </c>
      <c r="S1992">
        <f>R1992/R1991-1</f>
        <v/>
      </c>
      <c r="T1992">
        <f>MAX(T1991,R1992)</f>
        <v/>
      </c>
      <c r="U1992">
        <f>R1992/T1992-1</f>
        <v/>
      </c>
      <c r="V1992" t="n">
        <v>3.49080577060968</v>
      </c>
      <c r="W1992" s="5">
        <f>R1992-V1992</f>
        <v/>
      </c>
    </row>
    <row r="1993">
      <c r="A1993" s="3" t="n">
        <v>41366</v>
      </c>
      <c r="B1993">
        <f>Prices!B1993</f>
        <v/>
      </c>
      <c r="C1993">
        <f>Prices!C1993</f>
        <v/>
      </c>
      <c r="D1993">
        <f>Prices!D1993</f>
        <v/>
      </c>
      <c r="E1993">
        <f>Prices!E1993</f>
        <v/>
      </c>
      <c r="F1993">
        <f>Prices!F1993</f>
        <v/>
      </c>
      <c r="G1993">
        <f>IF(AND(1991&gt;=16,TEXT(A1993,"yyyy-mm")&lt;&gt;TEXT(A1994,"yyyy-mm")),1,0)</f>
        <v/>
      </c>
      <c r="H1993">
        <f>IF(OR(H1992=1,G1993=1),1,0)</f>
        <v/>
      </c>
      <c r="I1993">
        <f>IF(H1992=0,1,SUMPRODUCT(J1992:N1992,B1993:F1993)+O1992*(1+0.00023125256064071564))</f>
        <v/>
      </c>
      <c r="J1993">
        <f>IF(G1993=1,0.2*R1993/B1993,J1992)</f>
        <v/>
      </c>
      <c r="K1993">
        <f>IF(G1993=1,0.2*R1993/C1993,K1992)</f>
        <v/>
      </c>
      <c r="L1993">
        <f>IF(G1993=1,0.2*R1993/D1993,L1992)</f>
        <v/>
      </c>
      <c r="M1993">
        <f>IF(G1993=1,0.2*R1993/E1993,M1992)</f>
        <v/>
      </c>
      <c r="N1993">
        <f>IF(G1993=1,0.2*R1993/F1993,N1992)</f>
        <v/>
      </c>
      <c r="O1993">
        <f>IF(G1993=1,R1993*(1-1.0),IF(H1992=0,1,O1992*(1+0.00023125256064071564)))</f>
        <v/>
      </c>
      <c r="P1993">
        <f>IF(G1993=1,IF(H1992=0,1,ABS(0.2-J1992*B1993/I1993)+ABS(0.2-K1992*C1993/I1993)+ABS(0.2-L1992*D1993/I1993)+ABS(0.2-M1992*E1993/I1993)+ABS(0.2-N1992*F1993/I1993)),0)</f>
        <v/>
      </c>
      <c r="Q1993">
        <f>P1993*0.0015</f>
        <v/>
      </c>
      <c r="R1993">
        <f>I1993*(1-Q1993)</f>
        <v/>
      </c>
      <c r="S1993">
        <f>R1993/R1992-1</f>
        <v/>
      </c>
      <c r="T1993">
        <f>MAX(T1992,R1993)</f>
        <v/>
      </c>
      <c r="U1993">
        <f>R1993/T1993-1</f>
        <v/>
      </c>
      <c r="V1993" t="n">
        <v>3.530312233123978</v>
      </c>
      <c r="W1993" s="5">
        <f>R1993-V1993</f>
        <v/>
      </c>
    </row>
    <row r="1994">
      <c r="A1994" s="3" t="n">
        <v>41367</v>
      </c>
      <c r="B1994">
        <f>Prices!B1994</f>
        <v/>
      </c>
      <c r="C1994">
        <f>Prices!C1994</f>
        <v/>
      </c>
      <c r="D1994">
        <f>Prices!D1994</f>
        <v/>
      </c>
      <c r="E1994">
        <f>Prices!E1994</f>
        <v/>
      </c>
      <c r="F1994">
        <f>Prices!F1994</f>
        <v/>
      </c>
      <c r="G1994">
        <f>IF(AND(1992&gt;=16,TEXT(A1994,"yyyy-mm")&lt;&gt;TEXT(A1995,"yyyy-mm")),1,0)</f>
        <v/>
      </c>
      <c r="H1994">
        <f>IF(OR(H1993=1,G1994=1),1,0)</f>
        <v/>
      </c>
      <c r="I1994">
        <f>IF(H1993=0,1,SUMPRODUCT(J1993:N1993,B1994:F1994)+O1993*(1+0.00023125256064071564))</f>
        <v/>
      </c>
      <c r="J1994">
        <f>IF(G1994=1,0.2*R1994/B1994,J1993)</f>
        <v/>
      </c>
      <c r="K1994">
        <f>IF(G1994=1,0.2*R1994/C1994,K1993)</f>
        <v/>
      </c>
      <c r="L1994">
        <f>IF(G1994=1,0.2*R1994/D1994,L1993)</f>
        <v/>
      </c>
      <c r="M1994">
        <f>IF(G1994=1,0.2*R1994/E1994,M1993)</f>
        <v/>
      </c>
      <c r="N1994">
        <f>IF(G1994=1,0.2*R1994/F1994,N1993)</f>
        <v/>
      </c>
      <c r="O1994">
        <f>IF(G1994=1,R1994*(1-1.0),IF(H1993=0,1,O1993*(1+0.00023125256064071564)))</f>
        <v/>
      </c>
      <c r="P1994">
        <f>IF(G1994=1,IF(H1993=0,1,ABS(0.2-J1993*B1994/I1994)+ABS(0.2-K1993*C1994/I1994)+ABS(0.2-L1993*D1994/I1994)+ABS(0.2-M1993*E1994/I1994)+ABS(0.2-N1993*F1994/I1994)),0)</f>
        <v/>
      </c>
      <c r="Q1994">
        <f>P1994*0.0015</f>
        <v/>
      </c>
      <c r="R1994">
        <f>I1994*(1-Q1994)</f>
        <v/>
      </c>
      <c r="S1994">
        <f>R1994/R1993-1</f>
        <v/>
      </c>
      <c r="T1994">
        <f>MAX(T1993,R1994)</f>
        <v/>
      </c>
      <c r="U1994">
        <f>R1994/T1994-1</f>
        <v/>
      </c>
      <c r="V1994" t="n">
        <v>3.503482825809623</v>
      </c>
      <c r="W1994" s="5">
        <f>R1994-V1994</f>
        <v/>
      </c>
    </row>
    <row r="1995">
      <c r="A1995" s="3" t="n">
        <v>41368</v>
      </c>
      <c r="B1995">
        <f>Prices!B1995</f>
        <v/>
      </c>
      <c r="C1995">
        <f>Prices!C1995</f>
        <v/>
      </c>
      <c r="D1995">
        <f>Prices!D1995</f>
        <v/>
      </c>
      <c r="E1995">
        <f>Prices!E1995</f>
        <v/>
      </c>
      <c r="F1995">
        <f>Prices!F1995</f>
        <v/>
      </c>
      <c r="G1995">
        <f>IF(AND(1993&gt;=16,TEXT(A1995,"yyyy-mm")&lt;&gt;TEXT(A1996,"yyyy-mm")),1,0)</f>
        <v/>
      </c>
      <c r="H1995">
        <f>IF(OR(H1994=1,G1995=1),1,0)</f>
        <v/>
      </c>
      <c r="I1995">
        <f>IF(H1994=0,1,SUMPRODUCT(J1994:N1994,B1995:F1995)+O1994*(1+0.00023125256064071564))</f>
        <v/>
      </c>
      <c r="J1995">
        <f>IF(G1995=1,0.2*R1995/B1995,J1994)</f>
        <v/>
      </c>
      <c r="K1995">
        <f>IF(G1995=1,0.2*R1995/C1995,K1994)</f>
        <v/>
      </c>
      <c r="L1995">
        <f>IF(G1995=1,0.2*R1995/D1995,L1994)</f>
        <v/>
      </c>
      <c r="M1995">
        <f>IF(G1995=1,0.2*R1995/E1995,M1994)</f>
        <v/>
      </c>
      <c r="N1995">
        <f>IF(G1995=1,0.2*R1995/F1995,N1994)</f>
        <v/>
      </c>
      <c r="O1995">
        <f>IF(G1995=1,R1995*(1-1.0),IF(H1994=0,1,O1994*(1+0.00023125256064071564)))</f>
        <v/>
      </c>
      <c r="P1995">
        <f>IF(G1995=1,IF(H1994=0,1,ABS(0.2-J1994*B1995/I1995)+ABS(0.2-K1994*C1995/I1995)+ABS(0.2-L1994*D1995/I1995)+ABS(0.2-M1994*E1995/I1995)+ABS(0.2-N1994*F1995/I1995)),0)</f>
        <v/>
      </c>
      <c r="Q1995">
        <f>P1995*0.0015</f>
        <v/>
      </c>
      <c r="R1995">
        <f>I1995*(1-Q1995)</f>
        <v/>
      </c>
      <c r="S1995">
        <f>R1995/R1994-1</f>
        <v/>
      </c>
      <c r="T1995">
        <f>MAX(T1994,R1995)</f>
        <v/>
      </c>
      <c r="U1995">
        <f>R1995/T1995-1</f>
        <v/>
      </c>
      <c r="V1995" t="n">
        <v>3.445036352479402</v>
      </c>
      <c r="W1995" s="5">
        <f>R1995-V1995</f>
        <v/>
      </c>
    </row>
    <row r="1996">
      <c r="A1996" s="3" t="n">
        <v>41369</v>
      </c>
      <c r="B1996">
        <f>Prices!B1996</f>
        <v/>
      </c>
      <c r="C1996">
        <f>Prices!C1996</f>
        <v/>
      </c>
      <c r="D1996">
        <f>Prices!D1996</f>
        <v/>
      </c>
      <c r="E1996">
        <f>Prices!E1996</f>
        <v/>
      </c>
      <c r="F1996">
        <f>Prices!F1996</f>
        <v/>
      </c>
      <c r="G1996">
        <f>IF(AND(1994&gt;=16,TEXT(A1996,"yyyy-mm")&lt;&gt;TEXT(A1997,"yyyy-mm")),1,0)</f>
        <v/>
      </c>
      <c r="H1996">
        <f>IF(OR(H1995=1,G1996=1),1,0)</f>
        <v/>
      </c>
      <c r="I1996">
        <f>IF(H1995=0,1,SUMPRODUCT(J1995:N1995,B1996:F1996)+O1995*(1+0.00023125256064071564))</f>
        <v/>
      </c>
      <c r="J1996">
        <f>IF(G1996=1,0.2*R1996/B1996,J1995)</f>
        <v/>
      </c>
      <c r="K1996">
        <f>IF(G1996=1,0.2*R1996/C1996,K1995)</f>
        <v/>
      </c>
      <c r="L1996">
        <f>IF(G1996=1,0.2*R1996/D1996,L1995)</f>
        <v/>
      </c>
      <c r="M1996">
        <f>IF(G1996=1,0.2*R1996/E1996,M1995)</f>
        <v/>
      </c>
      <c r="N1996">
        <f>IF(G1996=1,0.2*R1996/F1996,N1995)</f>
        <v/>
      </c>
      <c r="O1996">
        <f>IF(G1996=1,R1996*(1-1.0),IF(H1995=0,1,O1995*(1+0.00023125256064071564)))</f>
        <v/>
      </c>
      <c r="P1996">
        <f>IF(G1996=1,IF(H1995=0,1,ABS(0.2-J1995*B1996/I1996)+ABS(0.2-K1995*C1996/I1996)+ABS(0.2-L1995*D1996/I1996)+ABS(0.2-M1995*E1996/I1996)+ABS(0.2-N1995*F1996/I1996)),0)</f>
        <v/>
      </c>
      <c r="Q1996">
        <f>P1996*0.0015</f>
        <v/>
      </c>
      <c r="R1996">
        <f>I1996*(1-Q1996)</f>
        <v/>
      </c>
      <c r="S1996">
        <f>R1996/R1995-1</f>
        <v/>
      </c>
      <c r="T1996">
        <f>MAX(T1995,R1996)</f>
        <v/>
      </c>
      <c r="U1996">
        <f>R1996/T1996-1</f>
        <v/>
      </c>
      <c r="V1996" t="n">
        <v>3.442935218819307</v>
      </c>
      <c r="W1996" s="5">
        <f>R1996-V1996</f>
        <v/>
      </c>
    </row>
    <row r="1997">
      <c r="A1997" s="3" t="n">
        <v>41372</v>
      </c>
      <c r="B1997">
        <f>Prices!B1997</f>
        <v/>
      </c>
      <c r="C1997">
        <f>Prices!C1997</f>
        <v/>
      </c>
      <c r="D1997">
        <f>Prices!D1997</f>
        <v/>
      </c>
      <c r="E1997">
        <f>Prices!E1997</f>
        <v/>
      </c>
      <c r="F1997">
        <f>Prices!F1997</f>
        <v/>
      </c>
      <c r="G1997">
        <f>IF(AND(1995&gt;=16,TEXT(A1997,"yyyy-mm")&lt;&gt;TEXT(A1998,"yyyy-mm")),1,0)</f>
        <v/>
      </c>
      <c r="H1997">
        <f>IF(OR(H1996=1,G1997=1),1,0)</f>
        <v/>
      </c>
      <c r="I1997">
        <f>IF(H1996=0,1,SUMPRODUCT(J1996:N1996,B1997:F1997)+O1996*(1+0.00023125256064071564))</f>
        <v/>
      </c>
      <c r="J1997">
        <f>IF(G1997=1,0.2*R1997/B1997,J1996)</f>
        <v/>
      </c>
      <c r="K1997">
        <f>IF(G1997=1,0.2*R1997/C1997,K1996)</f>
        <v/>
      </c>
      <c r="L1997">
        <f>IF(G1997=1,0.2*R1997/D1997,L1996)</f>
        <v/>
      </c>
      <c r="M1997">
        <f>IF(G1997=1,0.2*R1997/E1997,M1996)</f>
        <v/>
      </c>
      <c r="N1997">
        <f>IF(G1997=1,0.2*R1997/F1997,N1996)</f>
        <v/>
      </c>
      <c r="O1997">
        <f>IF(G1997=1,R1997*(1-1.0),IF(H1996=0,1,O1996*(1+0.00023125256064071564)))</f>
        <v/>
      </c>
      <c r="P1997">
        <f>IF(G1997=1,IF(H1996=0,1,ABS(0.2-J1996*B1997/I1997)+ABS(0.2-K1996*C1997/I1997)+ABS(0.2-L1996*D1997/I1997)+ABS(0.2-M1996*E1997/I1997)+ABS(0.2-N1996*F1997/I1997)),0)</f>
        <v/>
      </c>
      <c r="Q1997">
        <f>P1997*0.0015</f>
        <v/>
      </c>
      <c r="R1997">
        <f>I1997*(1-Q1997)</f>
        <v/>
      </c>
      <c r="S1997">
        <f>R1997/R1996-1</f>
        <v/>
      </c>
      <c r="T1997">
        <f>MAX(T1996,R1997)</f>
        <v/>
      </c>
      <c r="U1997">
        <f>R1997/T1997-1</f>
        <v/>
      </c>
      <c r="V1997" t="n">
        <v>3.446604798726443</v>
      </c>
      <c r="W1997" s="5">
        <f>R1997-V1997</f>
        <v/>
      </c>
    </row>
    <row r="1998">
      <c r="A1998" s="3" t="n">
        <v>41373</v>
      </c>
      <c r="B1998">
        <f>Prices!B1998</f>
        <v/>
      </c>
      <c r="C1998">
        <f>Prices!C1998</f>
        <v/>
      </c>
      <c r="D1998">
        <f>Prices!D1998</f>
        <v/>
      </c>
      <c r="E1998">
        <f>Prices!E1998</f>
        <v/>
      </c>
      <c r="F1998">
        <f>Prices!F1998</f>
        <v/>
      </c>
      <c r="G1998">
        <f>IF(AND(1996&gt;=16,TEXT(A1998,"yyyy-mm")&lt;&gt;TEXT(A1999,"yyyy-mm")),1,0)</f>
        <v/>
      </c>
      <c r="H1998">
        <f>IF(OR(H1997=1,G1998=1),1,0)</f>
        <v/>
      </c>
      <c r="I1998">
        <f>IF(H1997=0,1,SUMPRODUCT(J1997:N1997,B1998:F1998)+O1997*(1+0.00023125256064071564))</f>
        <v/>
      </c>
      <c r="J1998">
        <f>IF(G1998=1,0.2*R1998/B1998,J1997)</f>
        <v/>
      </c>
      <c r="K1998">
        <f>IF(G1998=1,0.2*R1998/C1998,K1997)</f>
        <v/>
      </c>
      <c r="L1998">
        <f>IF(G1998=1,0.2*R1998/D1998,L1997)</f>
        <v/>
      </c>
      <c r="M1998">
        <f>IF(G1998=1,0.2*R1998/E1998,M1997)</f>
        <v/>
      </c>
      <c r="N1998">
        <f>IF(G1998=1,0.2*R1998/F1998,N1997)</f>
        <v/>
      </c>
      <c r="O1998">
        <f>IF(G1998=1,R1998*(1-1.0),IF(H1997=0,1,O1997*(1+0.00023125256064071564)))</f>
        <v/>
      </c>
      <c r="P1998">
        <f>IF(G1998=1,IF(H1997=0,1,ABS(0.2-J1997*B1998/I1998)+ABS(0.2-K1997*C1998/I1998)+ABS(0.2-L1997*D1998/I1998)+ABS(0.2-M1997*E1998/I1998)+ABS(0.2-N1997*F1998/I1998)),0)</f>
        <v/>
      </c>
      <c r="Q1998">
        <f>P1998*0.0015</f>
        <v/>
      </c>
      <c r="R1998">
        <f>I1998*(1-Q1998)</f>
        <v/>
      </c>
      <c r="S1998">
        <f>R1998/R1997-1</f>
        <v/>
      </c>
      <c r="T1998">
        <f>MAX(T1997,R1998)</f>
        <v/>
      </c>
      <c r="U1998">
        <f>R1998/T1998-1</f>
        <v/>
      </c>
      <c r="V1998" t="n">
        <v>3.411177173834927</v>
      </c>
      <c r="W1998" s="5">
        <f>R1998-V1998</f>
        <v/>
      </c>
    </row>
    <row r="1999">
      <c r="A1999" s="3" t="n">
        <v>41374</v>
      </c>
      <c r="B1999">
        <f>Prices!B1999</f>
        <v/>
      </c>
      <c r="C1999">
        <f>Prices!C1999</f>
        <v/>
      </c>
      <c r="D1999">
        <f>Prices!D1999</f>
        <v/>
      </c>
      <c r="E1999">
        <f>Prices!E1999</f>
        <v/>
      </c>
      <c r="F1999">
        <f>Prices!F1999</f>
        <v/>
      </c>
      <c r="G1999">
        <f>IF(AND(1997&gt;=16,TEXT(A1999,"yyyy-mm")&lt;&gt;TEXT(A2000,"yyyy-mm")),1,0)</f>
        <v/>
      </c>
      <c r="H1999">
        <f>IF(OR(H1998=1,G1999=1),1,0)</f>
        <v/>
      </c>
      <c r="I1999">
        <f>IF(H1998=0,1,SUMPRODUCT(J1998:N1998,B1999:F1999)+O1998*(1+0.00023125256064071564))</f>
        <v/>
      </c>
      <c r="J1999">
        <f>IF(G1999=1,0.2*R1999/B1999,J1998)</f>
        <v/>
      </c>
      <c r="K1999">
        <f>IF(G1999=1,0.2*R1999/C1999,K1998)</f>
        <v/>
      </c>
      <c r="L1999">
        <f>IF(G1999=1,0.2*R1999/D1999,L1998)</f>
        <v/>
      </c>
      <c r="M1999">
        <f>IF(G1999=1,0.2*R1999/E1999,M1998)</f>
        <v/>
      </c>
      <c r="N1999">
        <f>IF(G1999=1,0.2*R1999/F1999,N1998)</f>
        <v/>
      </c>
      <c r="O1999">
        <f>IF(G1999=1,R1999*(1-1.0),IF(H1998=0,1,O1998*(1+0.00023125256064071564)))</f>
        <v/>
      </c>
      <c r="P1999">
        <f>IF(G1999=1,IF(H1998=0,1,ABS(0.2-J1998*B1999/I1999)+ABS(0.2-K1998*C1999/I1999)+ABS(0.2-L1998*D1999/I1999)+ABS(0.2-M1998*E1999/I1999)+ABS(0.2-N1998*F1999/I1999)),0)</f>
        <v/>
      </c>
      <c r="Q1999">
        <f>P1999*0.0015</f>
        <v/>
      </c>
      <c r="R1999">
        <f>I1999*(1-Q1999)</f>
        <v/>
      </c>
      <c r="S1999">
        <f>R1999/R1998-1</f>
        <v/>
      </c>
      <c r="T1999">
        <f>MAX(T1998,R1999)</f>
        <v/>
      </c>
      <c r="U1999">
        <f>R1999/T1999-1</f>
        <v/>
      </c>
      <c r="V1999" t="n">
        <v>3.435582011448733</v>
      </c>
      <c r="W1999" s="5">
        <f>R1999-V1999</f>
        <v/>
      </c>
    </row>
    <row r="2000">
      <c r="A2000" s="3" t="n">
        <v>41375</v>
      </c>
      <c r="B2000">
        <f>Prices!B2000</f>
        <v/>
      </c>
      <c r="C2000">
        <f>Prices!C2000</f>
        <v/>
      </c>
      <c r="D2000">
        <f>Prices!D2000</f>
        <v/>
      </c>
      <c r="E2000">
        <f>Prices!E2000</f>
        <v/>
      </c>
      <c r="F2000">
        <f>Prices!F2000</f>
        <v/>
      </c>
      <c r="G2000">
        <f>IF(AND(1998&gt;=16,TEXT(A2000,"yyyy-mm")&lt;&gt;TEXT(A2001,"yyyy-mm")),1,0)</f>
        <v/>
      </c>
      <c r="H2000">
        <f>IF(OR(H1999=1,G2000=1),1,0)</f>
        <v/>
      </c>
      <c r="I2000">
        <f>IF(H1999=0,1,SUMPRODUCT(J1999:N1999,B2000:F2000)+O1999*(1+0.00023125256064071564))</f>
        <v/>
      </c>
      <c r="J2000">
        <f>IF(G2000=1,0.2*R2000/B2000,J1999)</f>
        <v/>
      </c>
      <c r="K2000">
        <f>IF(G2000=1,0.2*R2000/C2000,K1999)</f>
        <v/>
      </c>
      <c r="L2000">
        <f>IF(G2000=1,0.2*R2000/D2000,L1999)</f>
        <v/>
      </c>
      <c r="M2000">
        <f>IF(G2000=1,0.2*R2000/E2000,M1999)</f>
        <v/>
      </c>
      <c r="N2000">
        <f>IF(G2000=1,0.2*R2000/F2000,N1999)</f>
        <v/>
      </c>
      <c r="O2000">
        <f>IF(G2000=1,R2000*(1-1.0),IF(H1999=0,1,O1999*(1+0.00023125256064071564)))</f>
        <v/>
      </c>
      <c r="P2000">
        <f>IF(G2000=1,IF(H1999=0,1,ABS(0.2-J1999*B2000/I2000)+ABS(0.2-K1999*C2000/I2000)+ABS(0.2-L1999*D2000/I2000)+ABS(0.2-M1999*E2000/I2000)+ABS(0.2-N1999*F2000/I2000)),0)</f>
        <v/>
      </c>
      <c r="Q2000">
        <f>P2000*0.0015</f>
        <v/>
      </c>
      <c r="R2000">
        <f>I2000*(1-Q2000)</f>
        <v/>
      </c>
      <c r="S2000">
        <f>R2000/R1999-1</f>
        <v/>
      </c>
      <c r="T2000">
        <f>MAX(T1999,R2000)</f>
        <v/>
      </c>
      <c r="U2000">
        <f>R2000/T2000-1</f>
        <v/>
      </c>
      <c r="V2000" t="n">
        <v>3.449169947107065</v>
      </c>
      <c r="W2000" s="5">
        <f>R2000-V2000</f>
        <v/>
      </c>
    </row>
    <row r="2001">
      <c r="A2001" s="3" t="n">
        <v>41376</v>
      </c>
      <c r="B2001">
        <f>Prices!B2001</f>
        <v/>
      </c>
      <c r="C2001">
        <f>Prices!C2001</f>
        <v/>
      </c>
      <c r="D2001">
        <f>Prices!D2001</f>
        <v/>
      </c>
      <c r="E2001">
        <f>Prices!E2001</f>
        <v/>
      </c>
      <c r="F2001">
        <f>Prices!F2001</f>
        <v/>
      </c>
      <c r="G2001">
        <f>IF(AND(1999&gt;=16,TEXT(A2001,"yyyy-mm")&lt;&gt;TEXT(A2002,"yyyy-mm")),1,0)</f>
        <v/>
      </c>
      <c r="H2001">
        <f>IF(OR(H2000=1,G2001=1),1,0)</f>
        <v/>
      </c>
      <c r="I2001">
        <f>IF(H2000=0,1,SUMPRODUCT(J2000:N2000,B2001:F2001)+O2000*(1+0.00023125256064071564))</f>
        <v/>
      </c>
      <c r="J2001">
        <f>IF(G2001=1,0.2*R2001/B2001,J2000)</f>
        <v/>
      </c>
      <c r="K2001">
        <f>IF(G2001=1,0.2*R2001/C2001,K2000)</f>
        <v/>
      </c>
      <c r="L2001">
        <f>IF(G2001=1,0.2*R2001/D2001,L2000)</f>
        <v/>
      </c>
      <c r="M2001">
        <f>IF(G2001=1,0.2*R2001/E2001,M2000)</f>
        <v/>
      </c>
      <c r="N2001">
        <f>IF(G2001=1,0.2*R2001/F2001,N2000)</f>
        <v/>
      </c>
      <c r="O2001">
        <f>IF(G2001=1,R2001*(1-1.0),IF(H2000=0,1,O2000*(1+0.00023125256064071564)))</f>
        <v/>
      </c>
      <c r="P2001">
        <f>IF(G2001=1,IF(H2000=0,1,ABS(0.2-J2000*B2001/I2001)+ABS(0.2-K2000*C2001/I2001)+ABS(0.2-L2000*D2001/I2001)+ABS(0.2-M2000*E2001/I2001)+ABS(0.2-N2000*F2001/I2001)),0)</f>
        <v/>
      </c>
      <c r="Q2001">
        <f>P2001*0.0015</f>
        <v/>
      </c>
      <c r="R2001">
        <f>I2001*(1-Q2001)</f>
        <v/>
      </c>
      <c r="S2001">
        <f>R2001/R2000-1</f>
        <v/>
      </c>
      <c r="T2001">
        <f>MAX(T2000,R2001)</f>
        <v/>
      </c>
      <c r="U2001">
        <f>R2001/T2001-1</f>
        <v/>
      </c>
      <c r="V2001" t="n">
        <v>3.444834174765925</v>
      </c>
      <c r="W2001" s="5">
        <f>R2001-V2001</f>
        <v/>
      </c>
    </row>
    <row r="2002">
      <c r="A2002" s="3" t="n">
        <v>41379</v>
      </c>
      <c r="B2002">
        <f>Prices!B2002</f>
        <v/>
      </c>
      <c r="C2002">
        <f>Prices!C2002</f>
        <v/>
      </c>
      <c r="D2002">
        <f>Prices!D2002</f>
        <v/>
      </c>
      <c r="E2002">
        <f>Prices!E2002</f>
        <v/>
      </c>
      <c r="F2002">
        <f>Prices!F2002</f>
        <v/>
      </c>
      <c r="G2002">
        <f>IF(AND(2000&gt;=16,TEXT(A2002,"yyyy-mm")&lt;&gt;TEXT(A2003,"yyyy-mm")),1,0)</f>
        <v/>
      </c>
      <c r="H2002">
        <f>IF(OR(H2001=1,G2002=1),1,0)</f>
        <v/>
      </c>
      <c r="I2002">
        <f>IF(H2001=0,1,SUMPRODUCT(J2001:N2001,B2002:F2002)+O2001*(1+0.00023125256064071564))</f>
        <v/>
      </c>
      <c r="J2002">
        <f>IF(G2002=1,0.2*R2002/B2002,J2001)</f>
        <v/>
      </c>
      <c r="K2002">
        <f>IF(G2002=1,0.2*R2002/C2002,K2001)</f>
        <v/>
      </c>
      <c r="L2002">
        <f>IF(G2002=1,0.2*R2002/D2002,L2001)</f>
        <v/>
      </c>
      <c r="M2002">
        <f>IF(G2002=1,0.2*R2002/E2002,M2001)</f>
        <v/>
      </c>
      <c r="N2002">
        <f>IF(G2002=1,0.2*R2002/F2002,N2001)</f>
        <v/>
      </c>
      <c r="O2002">
        <f>IF(G2002=1,R2002*(1-1.0),IF(H2001=0,1,O2001*(1+0.00023125256064071564)))</f>
        <v/>
      </c>
      <c r="P2002">
        <f>IF(G2002=1,IF(H2001=0,1,ABS(0.2-J2001*B2002/I2002)+ABS(0.2-K2001*C2002/I2002)+ABS(0.2-L2001*D2002/I2002)+ABS(0.2-M2001*E2002/I2002)+ABS(0.2-N2001*F2002/I2002)),0)</f>
        <v/>
      </c>
      <c r="Q2002">
        <f>P2002*0.0015</f>
        <v/>
      </c>
      <c r="R2002">
        <f>I2002*(1-Q2002)</f>
        <v/>
      </c>
      <c r="S2002">
        <f>R2002/R2001-1</f>
        <v/>
      </c>
      <c r="T2002">
        <f>MAX(T2001,R2002)</f>
        <v/>
      </c>
      <c r="U2002">
        <f>R2002/T2002-1</f>
        <v/>
      </c>
      <c r="V2002" t="n">
        <v>3.452705146243261</v>
      </c>
      <c r="W2002" s="5">
        <f>R2002-V2002</f>
        <v/>
      </c>
    </row>
    <row r="2003">
      <c r="A2003" s="3" t="n">
        <v>41380</v>
      </c>
      <c r="B2003">
        <f>Prices!B2003</f>
        <v/>
      </c>
      <c r="C2003">
        <f>Prices!C2003</f>
        <v/>
      </c>
      <c r="D2003">
        <f>Prices!D2003</f>
        <v/>
      </c>
      <c r="E2003">
        <f>Prices!E2003</f>
        <v/>
      </c>
      <c r="F2003">
        <f>Prices!F2003</f>
        <v/>
      </c>
      <c r="G2003">
        <f>IF(AND(2001&gt;=16,TEXT(A2003,"yyyy-mm")&lt;&gt;TEXT(A2004,"yyyy-mm")),1,0)</f>
        <v/>
      </c>
      <c r="H2003">
        <f>IF(OR(H2002=1,G2003=1),1,0)</f>
        <v/>
      </c>
      <c r="I2003">
        <f>IF(H2002=0,1,SUMPRODUCT(J2002:N2002,B2003:F2003)+O2002*(1+0.00023125256064071564))</f>
        <v/>
      </c>
      <c r="J2003">
        <f>IF(G2003=1,0.2*R2003/B2003,J2002)</f>
        <v/>
      </c>
      <c r="K2003">
        <f>IF(G2003=1,0.2*R2003/C2003,K2002)</f>
        <v/>
      </c>
      <c r="L2003">
        <f>IF(G2003=1,0.2*R2003/D2003,L2002)</f>
        <v/>
      </c>
      <c r="M2003">
        <f>IF(G2003=1,0.2*R2003/E2003,M2002)</f>
        <v/>
      </c>
      <c r="N2003">
        <f>IF(G2003=1,0.2*R2003/F2003,N2002)</f>
        <v/>
      </c>
      <c r="O2003">
        <f>IF(G2003=1,R2003*(1-1.0),IF(H2002=0,1,O2002*(1+0.00023125256064071564)))</f>
        <v/>
      </c>
      <c r="P2003">
        <f>IF(G2003=1,IF(H2002=0,1,ABS(0.2-J2002*B2003/I2003)+ABS(0.2-K2002*C2003/I2003)+ABS(0.2-L2002*D2003/I2003)+ABS(0.2-M2002*E2003/I2003)+ABS(0.2-N2002*F2003/I2003)),0)</f>
        <v/>
      </c>
      <c r="Q2003">
        <f>P2003*0.0015</f>
        <v/>
      </c>
      <c r="R2003">
        <f>I2003*(1-Q2003)</f>
        <v/>
      </c>
      <c r="S2003">
        <f>R2003/R2002-1</f>
        <v/>
      </c>
      <c r="T2003">
        <f>MAX(T2002,R2003)</f>
        <v/>
      </c>
      <c r="U2003">
        <f>R2003/T2003-1</f>
        <v/>
      </c>
      <c r="V2003" t="n">
        <v>3.496120376674394</v>
      </c>
      <c r="W2003" s="5">
        <f>R2003-V2003</f>
        <v/>
      </c>
    </row>
    <row r="2004">
      <c r="A2004" s="3" t="n">
        <v>41381</v>
      </c>
      <c r="B2004">
        <f>Prices!B2004</f>
        <v/>
      </c>
      <c r="C2004">
        <f>Prices!C2004</f>
        <v/>
      </c>
      <c r="D2004">
        <f>Prices!D2004</f>
        <v/>
      </c>
      <c r="E2004">
        <f>Prices!E2004</f>
        <v/>
      </c>
      <c r="F2004">
        <f>Prices!F2004</f>
        <v/>
      </c>
      <c r="G2004">
        <f>IF(AND(2002&gt;=16,TEXT(A2004,"yyyy-mm")&lt;&gt;TEXT(A2005,"yyyy-mm")),1,0)</f>
        <v/>
      </c>
      <c r="H2004">
        <f>IF(OR(H2003=1,G2004=1),1,0)</f>
        <v/>
      </c>
      <c r="I2004">
        <f>IF(H2003=0,1,SUMPRODUCT(J2003:N2003,B2004:F2004)+O2003*(1+0.00023125256064071564))</f>
        <v/>
      </c>
      <c r="J2004">
        <f>IF(G2004=1,0.2*R2004/B2004,J2003)</f>
        <v/>
      </c>
      <c r="K2004">
        <f>IF(G2004=1,0.2*R2004/C2004,K2003)</f>
        <v/>
      </c>
      <c r="L2004">
        <f>IF(G2004=1,0.2*R2004/D2004,L2003)</f>
        <v/>
      </c>
      <c r="M2004">
        <f>IF(G2004=1,0.2*R2004/E2004,M2003)</f>
        <v/>
      </c>
      <c r="N2004">
        <f>IF(G2004=1,0.2*R2004/F2004,N2003)</f>
        <v/>
      </c>
      <c r="O2004">
        <f>IF(G2004=1,R2004*(1-1.0),IF(H2003=0,1,O2003*(1+0.00023125256064071564)))</f>
        <v/>
      </c>
      <c r="P2004">
        <f>IF(G2004=1,IF(H2003=0,1,ABS(0.2-J2003*B2004/I2004)+ABS(0.2-K2003*C2004/I2004)+ABS(0.2-L2003*D2004/I2004)+ABS(0.2-M2003*E2004/I2004)+ABS(0.2-N2003*F2004/I2004)),0)</f>
        <v/>
      </c>
      <c r="Q2004">
        <f>P2004*0.0015</f>
        <v/>
      </c>
      <c r="R2004">
        <f>I2004*(1-Q2004)</f>
        <v/>
      </c>
      <c r="S2004">
        <f>R2004/R2003-1</f>
        <v/>
      </c>
      <c r="T2004">
        <f>MAX(T2003,R2004)</f>
        <v/>
      </c>
      <c r="U2004">
        <f>R2004/T2004-1</f>
        <v/>
      </c>
      <c r="V2004" t="n">
        <v>3.508692813634921</v>
      </c>
      <c r="W2004" s="5">
        <f>R2004-V2004</f>
        <v/>
      </c>
    </row>
    <row r="2005">
      <c r="A2005" s="3" t="n">
        <v>41382</v>
      </c>
      <c r="B2005">
        <f>Prices!B2005</f>
        <v/>
      </c>
      <c r="C2005">
        <f>Prices!C2005</f>
        <v/>
      </c>
      <c r="D2005">
        <f>Prices!D2005</f>
        <v/>
      </c>
      <c r="E2005">
        <f>Prices!E2005</f>
        <v/>
      </c>
      <c r="F2005">
        <f>Prices!F2005</f>
        <v/>
      </c>
      <c r="G2005">
        <f>IF(AND(2003&gt;=16,TEXT(A2005,"yyyy-mm")&lt;&gt;TEXT(A2006,"yyyy-mm")),1,0)</f>
        <v/>
      </c>
      <c r="H2005">
        <f>IF(OR(H2004=1,G2005=1),1,0)</f>
        <v/>
      </c>
      <c r="I2005">
        <f>IF(H2004=0,1,SUMPRODUCT(J2004:N2004,B2005:F2005)+O2004*(1+0.00023125256064071564))</f>
        <v/>
      </c>
      <c r="J2005">
        <f>IF(G2005=1,0.2*R2005/B2005,J2004)</f>
        <v/>
      </c>
      <c r="K2005">
        <f>IF(G2005=1,0.2*R2005/C2005,K2004)</f>
        <v/>
      </c>
      <c r="L2005">
        <f>IF(G2005=1,0.2*R2005/D2005,L2004)</f>
        <v/>
      </c>
      <c r="M2005">
        <f>IF(G2005=1,0.2*R2005/E2005,M2004)</f>
        <v/>
      </c>
      <c r="N2005">
        <f>IF(G2005=1,0.2*R2005/F2005,N2004)</f>
        <v/>
      </c>
      <c r="O2005">
        <f>IF(G2005=1,R2005*(1-1.0),IF(H2004=0,1,O2004*(1+0.00023125256064071564)))</f>
        <v/>
      </c>
      <c r="P2005">
        <f>IF(G2005=1,IF(H2004=0,1,ABS(0.2-J2004*B2005/I2005)+ABS(0.2-K2004*C2005/I2005)+ABS(0.2-L2004*D2005/I2005)+ABS(0.2-M2004*E2005/I2005)+ABS(0.2-N2004*F2005/I2005)),0)</f>
        <v/>
      </c>
      <c r="Q2005">
        <f>P2005*0.0015</f>
        <v/>
      </c>
      <c r="R2005">
        <f>I2005*(1-Q2005)</f>
        <v/>
      </c>
      <c r="S2005">
        <f>R2005/R2004-1</f>
        <v/>
      </c>
      <c r="T2005">
        <f>MAX(T2004,R2005)</f>
        <v/>
      </c>
      <c r="U2005">
        <f>R2005/T2005-1</f>
        <v/>
      </c>
      <c r="V2005" t="n">
        <v>3.536893516359812</v>
      </c>
      <c r="W2005" s="5">
        <f>R2005-V2005</f>
        <v/>
      </c>
    </row>
    <row r="2006">
      <c r="A2006" s="3" t="n">
        <v>41386</v>
      </c>
      <c r="B2006">
        <f>Prices!B2006</f>
        <v/>
      </c>
      <c r="C2006">
        <f>Prices!C2006</f>
        <v/>
      </c>
      <c r="D2006">
        <f>Prices!D2006</f>
        <v/>
      </c>
      <c r="E2006">
        <f>Prices!E2006</f>
        <v/>
      </c>
      <c r="F2006">
        <f>Prices!F2006</f>
        <v/>
      </c>
      <c r="G2006">
        <f>IF(AND(2004&gt;=16,TEXT(A2006,"yyyy-mm")&lt;&gt;TEXT(A2007,"yyyy-mm")),1,0)</f>
        <v/>
      </c>
      <c r="H2006">
        <f>IF(OR(H2005=1,G2006=1),1,0)</f>
        <v/>
      </c>
      <c r="I2006">
        <f>IF(H2005=0,1,SUMPRODUCT(J2005:N2005,B2006:F2006)+O2005*(1+0.00023125256064071564))</f>
        <v/>
      </c>
      <c r="J2006">
        <f>IF(G2006=1,0.2*R2006/B2006,J2005)</f>
        <v/>
      </c>
      <c r="K2006">
        <f>IF(G2006=1,0.2*R2006/C2006,K2005)</f>
        <v/>
      </c>
      <c r="L2006">
        <f>IF(G2006=1,0.2*R2006/D2006,L2005)</f>
        <v/>
      </c>
      <c r="M2006">
        <f>IF(G2006=1,0.2*R2006/E2006,M2005)</f>
        <v/>
      </c>
      <c r="N2006">
        <f>IF(G2006=1,0.2*R2006/F2006,N2005)</f>
        <v/>
      </c>
      <c r="O2006">
        <f>IF(G2006=1,R2006*(1-1.0),IF(H2005=0,1,O2005*(1+0.00023125256064071564)))</f>
        <v/>
      </c>
      <c r="P2006">
        <f>IF(G2006=1,IF(H2005=0,1,ABS(0.2-J2005*B2006/I2006)+ABS(0.2-K2005*C2006/I2006)+ABS(0.2-L2005*D2006/I2006)+ABS(0.2-M2005*E2006/I2006)+ABS(0.2-N2005*F2006/I2006)),0)</f>
        <v/>
      </c>
      <c r="Q2006">
        <f>P2006*0.0015</f>
        <v/>
      </c>
      <c r="R2006">
        <f>I2006*(1-Q2006)</f>
        <v/>
      </c>
      <c r="S2006">
        <f>R2006/R2005-1</f>
        <v/>
      </c>
      <c r="T2006">
        <f>MAX(T2005,R2006)</f>
        <v/>
      </c>
      <c r="U2006">
        <f>R2006/T2006-1</f>
        <v/>
      </c>
      <c r="V2006" t="n">
        <v>3.582586357235348</v>
      </c>
      <c r="W2006" s="5">
        <f>R2006-V2006</f>
        <v/>
      </c>
    </row>
    <row r="2007">
      <c r="A2007" s="3" t="n">
        <v>41387</v>
      </c>
      <c r="B2007">
        <f>Prices!B2007</f>
        <v/>
      </c>
      <c r="C2007">
        <f>Prices!C2007</f>
        <v/>
      </c>
      <c r="D2007">
        <f>Prices!D2007</f>
        <v/>
      </c>
      <c r="E2007">
        <f>Prices!E2007</f>
        <v/>
      </c>
      <c r="F2007">
        <f>Prices!F2007</f>
        <v/>
      </c>
      <c r="G2007">
        <f>IF(AND(2005&gt;=16,TEXT(A2007,"yyyy-mm")&lt;&gt;TEXT(A2008,"yyyy-mm")),1,0)</f>
        <v/>
      </c>
      <c r="H2007">
        <f>IF(OR(H2006=1,G2007=1),1,0)</f>
        <v/>
      </c>
      <c r="I2007">
        <f>IF(H2006=0,1,SUMPRODUCT(J2006:N2006,B2007:F2007)+O2006*(1+0.00023125256064071564))</f>
        <v/>
      </c>
      <c r="J2007">
        <f>IF(G2007=1,0.2*R2007/B2007,J2006)</f>
        <v/>
      </c>
      <c r="K2007">
        <f>IF(G2007=1,0.2*R2007/C2007,K2006)</f>
        <v/>
      </c>
      <c r="L2007">
        <f>IF(G2007=1,0.2*R2007/D2007,L2006)</f>
        <v/>
      </c>
      <c r="M2007">
        <f>IF(G2007=1,0.2*R2007/E2007,M2006)</f>
        <v/>
      </c>
      <c r="N2007">
        <f>IF(G2007=1,0.2*R2007/F2007,N2006)</f>
        <v/>
      </c>
      <c r="O2007">
        <f>IF(G2007=1,R2007*(1-1.0),IF(H2006=0,1,O2006*(1+0.00023125256064071564)))</f>
        <v/>
      </c>
      <c r="P2007">
        <f>IF(G2007=1,IF(H2006=0,1,ABS(0.2-J2006*B2007/I2007)+ABS(0.2-K2006*C2007/I2007)+ABS(0.2-L2006*D2007/I2007)+ABS(0.2-M2006*E2007/I2007)+ABS(0.2-N2006*F2007/I2007)),0)</f>
        <v/>
      </c>
      <c r="Q2007">
        <f>P2007*0.0015</f>
        <v/>
      </c>
      <c r="R2007">
        <f>I2007*(1-Q2007)</f>
        <v/>
      </c>
      <c r="S2007">
        <f>R2007/R2006-1</f>
        <v/>
      </c>
      <c r="T2007">
        <f>MAX(T2006,R2007)</f>
        <v/>
      </c>
      <c r="U2007">
        <f>R2007/T2007-1</f>
        <v/>
      </c>
      <c r="V2007" t="n">
        <v>3.58198914129774</v>
      </c>
      <c r="W2007" s="5">
        <f>R2007-V2007</f>
        <v/>
      </c>
    </row>
    <row r="2008">
      <c r="A2008" s="3" t="n">
        <v>41389</v>
      </c>
      <c r="B2008">
        <f>Prices!B2008</f>
        <v/>
      </c>
      <c r="C2008">
        <f>Prices!C2008</f>
        <v/>
      </c>
      <c r="D2008">
        <f>Prices!D2008</f>
        <v/>
      </c>
      <c r="E2008">
        <f>Prices!E2008</f>
        <v/>
      </c>
      <c r="F2008">
        <f>Prices!F2008</f>
        <v/>
      </c>
      <c r="G2008">
        <f>IF(AND(2006&gt;=16,TEXT(A2008,"yyyy-mm")&lt;&gt;TEXT(A2009,"yyyy-mm")),1,0)</f>
        <v/>
      </c>
      <c r="H2008">
        <f>IF(OR(H2007=1,G2008=1),1,0)</f>
        <v/>
      </c>
      <c r="I2008">
        <f>IF(H2007=0,1,SUMPRODUCT(J2007:N2007,B2008:F2008)+O2007*(1+0.00023125256064071564))</f>
        <v/>
      </c>
      <c r="J2008">
        <f>IF(G2008=1,0.2*R2008/B2008,J2007)</f>
        <v/>
      </c>
      <c r="K2008">
        <f>IF(G2008=1,0.2*R2008/C2008,K2007)</f>
        <v/>
      </c>
      <c r="L2008">
        <f>IF(G2008=1,0.2*R2008/D2008,L2007)</f>
        <v/>
      </c>
      <c r="M2008">
        <f>IF(G2008=1,0.2*R2008/E2008,M2007)</f>
        <v/>
      </c>
      <c r="N2008">
        <f>IF(G2008=1,0.2*R2008/F2008,N2007)</f>
        <v/>
      </c>
      <c r="O2008">
        <f>IF(G2008=1,R2008*(1-1.0),IF(H2007=0,1,O2007*(1+0.00023125256064071564)))</f>
        <v/>
      </c>
      <c r="P2008">
        <f>IF(G2008=1,IF(H2007=0,1,ABS(0.2-J2007*B2008/I2008)+ABS(0.2-K2007*C2008/I2008)+ABS(0.2-L2007*D2008/I2008)+ABS(0.2-M2007*E2008/I2008)+ABS(0.2-N2007*F2008/I2008)),0)</f>
        <v/>
      </c>
      <c r="Q2008">
        <f>P2008*0.0015</f>
        <v/>
      </c>
      <c r="R2008">
        <f>I2008*(1-Q2008)</f>
        <v/>
      </c>
      <c r="S2008">
        <f>R2008/R2007-1</f>
        <v/>
      </c>
      <c r="T2008">
        <f>MAX(T2007,R2008)</f>
        <v/>
      </c>
      <c r="U2008">
        <f>R2008/T2008-1</f>
        <v/>
      </c>
      <c r="V2008" t="n">
        <v>3.611358393009195</v>
      </c>
      <c r="W2008" s="5">
        <f>R2008-V2008</f>
        <v/>
      </c>
    </row>
    <row r="2009">
      <c r="A2009" s="3" t="n">
        <v>41390</v>
      </c>
      <c r="B2009">
        <f>Prices!B2009</f>
        <v/>
      </c>
      <c r="C2009">
        <f>Prices!C2009</f>
        <v/>
      </c>
      <c r="D2009">
        <f>Prices!D2009</f>
        <v/>
      </c>
      <c r="E2009">
        <f>Prices!E2009</f>
        <v/>
      </c>
      <c r="F2009">
        <f>Prices!F2009</f>
        <v/>
      </c>
      <c r="G2009">
        <f>IF(AND(2007&gt;=16,TEXT(A2009,"yyyy-mm")&lt;&gt;TEXT(A2010,"yyyy-mm")),1,0)</f>
        <v/>
      </c>
      <c r="H2009">
        <f>IF(OR(H2008=1,G2009=1),1,0)</f>
        <v/>
      </c>
      <c r="I2009">
        <f>IF(H2008=0,1,SUMPRODUCT(J2008:N2008,B2009:F2009)+O2008*(1+0.00023125256064071564))</f>
        <v/>
      </c>
      <c r="J2009">
        <f>IF(G2009=1,0.2*R2009/B2009,J2008)</f>
        <v/>
      </c>
      <c r="K2009">
        <f>IF(G2009=1,0.2*R2009/C2009,K2008)</f>
        <v/>
      </c>
      <c r="L2009">
        <f>IF(G2009=1,0.2*R2009/D2009,L2008)</f>
        <v/>
      </c>
      <c r="M2009">
        <f>IF(G2009=1,0.2*R2009/E2009,M2008)</f>
        <v/>
      </c>
      <c r="N2009">
        <f>IF(G2009=1,0.2*R2009/F2009,N2008)</f>
        <v/>
      </c>
      <c r="O2009">
        <f>IF(G2009=1,R2009*(1-1.0),IF(H2008=0,1,O2008*(1+0.00023125256064071564)))</f>
        <v/>
      </c>
      <c r="P2009">
        <f>IF(G2009=1,IF(H2008=0,1,ABS(0.2-J2008*B2009/I2009)+ABS(0.2-K2008*C2009/I2009)+ABS(0.2-L2008*D2009/I2009)+ABS(0.2-M2008*E2009/I2009)+ABS(0.2-N2008*F2009/I2009)),0)</f>
        <v/>
      </c>
      <c r="Q2009">
        <f>P2009*0.0015</f>
        <v/>
      </c>
      <c r="R2009">
        <f>I2009*(1-Q2009)</f>
        <v/>
      </c>
      <c r="S2009">
        <f>R2009/R2008-1</f>
        <v/>
      </c>
      <c r="T2009">
        <f>MAX(T2008,R2009)</f>
        <v/>
      </c>
      <c r="U2009">
        <f>R2009/T2009-1</f>
        <v/>
      </c>
      <c r="V2009" t="n">
        <v>3.584830312468509</v>
      </c>
      <c r="W2009" s="5">
        <f>R2009-V2009</f>
        <v/>
      </c>
    </row>
    <row r="2010">
      <c r="A2010" s="3" t="n">
        <v>41393</v>
      </c>
      <c r="B2010">
        <f>Prices!B2010</f>
        <v/>
      </c>
      <c r="C2010">
        <f>Prices!C2010</f>
        <v/>
      </c>
      <c r="D2010">
        <f>Prices!D2010</f>
        <v/>
      </c>
      <c r="E2010">
        <f>Prices!E2010</f>
        <v/>
      </c>
      <c r="F2010">
        <f>Prices!F2010</f>
        <v/>
      </c>
      <c r="G2010">
        <f>IF(AND(2008&gt;=16,TEXT(A2010,"yyyy-mm")&lt;&gt;TEXT(A2011,"yyyy-mm")),1,0)</f>
        <v/>
      </c>
      <c r="H2010">
        <f>IF(OR(H2009=1,G2010=1),1,0)</f>
        <v/>
      </c>
      <c r="I2010">
        <f>IF(H2009=0,1,SUMPRODUCT(J2009:N2009,B2010:F2010)+O2009*(1+0.00023125256064071564))</f>
        <v/>
      </c>
      <c r="J2010">
        <f>IF(G2010=1,0.2*R2010/B2010,J2009)</f>
        <v/>
      </c>
      <c r="K2010">
        <f>IF(G2010=1,0.2*R2010/C2010,K2009)</f>
        <v/>
      </c>
      <c r="L2010">
        <f>IF(G2010=1,0.2*R2010/D2010,L2009)</f>
        <v/>
      </c>
      <c r="M2010">
        <f>IF(G2010=1,0.2*R2010/E2010,M2009)</f>
        <v/>
      </c>
      <c r="N2010">
        <f>IF(G2010=1,0.2*R2010/F2010,N2009)</f>
        <v/>
      </c>
      <c r="O2010">
        <f>IF(G2010=1,R2010*(1-1.0),IF(H2009=0,1,O2009*(1+0.00023125256064071564)))</f>
        <v/>
      </c>
      <c r="P2010">
        <f>IF(G2010=1,IF(H2009=0,1,ABS(0.2-J2009*B2010/I2010)+ABS(0.2-K2009*C2010/I2010)+ABS(0.2-L2009*D2010/I2010)+ABS(0.2-M2009*E2010/I2010)+ABS(0.2-N2009*F2010/I2010)),0)</f>
        <v/>
      </c>
      <c r="Q2010">
        <f>P2010*0.0015</f>
        <v/>
      </c>
      <c r="R2010">
        <f>I2010*(1-Q2010)</f>
        <v/>
      </c>
      <c r="S2010">
        <f>R2010/R2009-1</f>
        <v/>
      </c>
      <c r="T2010">
        <f>MAX(T2009,R2010)</f>
        <v/>
      </c>
      <c r="U2010">
        <f>R2010/T2010-1</f>
        <v/>
      </c>
      <c r="V2010" t="n">
        <v>3.614915988561622</v>
      </c>
      <c r="W2010" s="5">
        <f>R2010-V2010</f>
        <v/>
      </c>
    </row>
    <row r="2011">
      <c r="A2011" s="3" t="n">
        <v>41394</v>
      </c>
      <c r="B2011">
        <f>Prices!B2011</f>
        <v/>
      </c>
      <c r="C2011">
        <f>Prices!C2011</f>
        <v/>
      </c>
      <c r="D2011">
        <f>Prices!D2011</f>
        <v/>
      </c>
      <c r="E2011">
        <f>Prices!E2011</f>
        <v/>
      </c>
      <c r="F2011">
        <f>Prices!F2011</f>
        <v/>
      </c>
      <c r="G2011">
        <f>IF(AND(2009&gt;=16,TEXT(A2011,"yyyy-mm")&lt;&gt;TEXT(A2012,"yyyy-mm")),1,0)</f>
        <v/>
      </c>
      <c r="H2011">
        <f>IF(OR(H2010=1,G2011=1),1,0)</f>
        <v/>
      </c>
      <c r="I2011">
        <f>IF(H2010=0,1,SUMPRODUCT(J2010:N2010,B2011:F2011)+O2010*(1+0.00023125256064071564))</f>
        <v/>
      </c>
      <c r="J2011">
        <f>IF(G2011=1,0.2*R2011/B2011,J2010)</f>
        <v/>
      </c>
      <c r="K2011">
        <f>IF(G2011=1,0.2*R2011/C2011,K2010)</f>
        <v/>
      </c>
      <c r="L2011">
        <f>IF(G2011=1,0.2*R2011/D2011,L2010)</f>
        <v/>
      </c>
      <c r="M2011">
        <f>IF(G2011=1,0.2*R2011/E2011,M2010)</f>
        <v/>
      </c>
      <c r="N2011">
        <f>IF(G2011=1,0.2*R2011/F2011,N2010)</f>
        <v/>
      </c>
      <c r="O2011">
        <f>IF(G2011=1,R2011*(1-1.0),IF(H2010=0,1,O2010*(1+0.00023125256064071564)))</f>
        <v/>
      </c>
      <c r="P2011">
        <f>IF(G2011=1,IF(H2010=0,1,ABS(0.2-J2010*B2011/I2011)+ABS(0.2-K2010*C2011/I2011)+ABS(0.2-L2010*D2011/I2011)+ABS(0.2-M2010*E2011/I2011)+ABS(0.2-N2010*F2011/I2011)),0)</f>
        <v/>
      </c>
      <c r="Q2011">
        <f>P2011*0.0015</f>
        <v/>
      </c>
      <c r="R2011">
        <f>I2011*(1-Q2011)</f>
        <v/>
      </c>
      <c r="S2011">
        <f>R2011/R2010-1</f>
        <v/>
      </c>
      <c r="T2011">
        <f>MAX(T2010,R2011)</f>
        <v/>
      </c>
      <c r="U2011">
        <f>R2011/T2011-1</f>
        <v/>
      </c>
      <c r="V2011" t="n">
        <v>3.645568400643288</v>
      </c>
      <c r="W2011" s="5">
        <f>R2011-V2011</f>
        <v/>
      </c>
    </row>
    <row r="2012">
      <c r="A2012" s="3" t="n">
        <v>41396</v>
      </c>
      <c r="B2012">
        <f>Prices!B2012</f>
        <v/>
      </c>
      <c r="C2012">
        <f>Prices!C2012</f>
        <v/>
      </c>
      <c r="D2012">
        <f>Prices!D2012</f>
        <v/>
      </c>
      <c r="E2012">
        <f>Prices!E2012</f>
        <v/>
      </c>
      <c r="F2012">
        <f>Prices!F2012</f>
        <v/>
      </c>
      <c r="G2012">
        <f>IF(AND(2010&gt;=16,TEXT(A2012,"yyyy-mm")&lt;&gt;TEXT(A2013,"yyyy-mm")),1,0)</f>
        <v/>
      </c>
      <c r="H2012">
        <f>IF(OR(H2011=1,G2012=1),1,0)</f>
        <v/>
      </c>
      <c r="I2012">
        <f>IF(H2011=0,1,SUMPRODUCT(J2011:N2011,B2012:F2012)+O2011*(1+0.00023125256064071564))</f>
        <v/>
      </c>
      <c r="J2012">
        <f>IF(G2012=1,0.2*R2012/B2012,J2011)</f>
        <v/>
      </c>
      <c r="K2012">
        <f>IF(G2012=1,0.2*R2012/C2012,K2011)</f>
        <v/>
      </c>
      <c r="L2012">
        <f>IF(G2012=1,0.2*R2012/D2012,L2011)</f>
        <v/>
      </c>
      <c r="M2012">
        <f>IF(G2012=1,0.2*R2012/E2012,M2011)</f>
        <v/>
      </c>
      <c r="N2012">
        <f>IF(G2012=1,0.2*R2012/F2012,N2011)</f>
        <v/>
      </c>
      <c r="O2012">
        <f>IF(G2012=1,R2012*(1-1.0),IF(H2011=0,1,O2011*(1+0.00023125256064071564)))</f>
        <v/>
      </c>
      <c r="P2012">
        <f>IF(G2012=1,IF(H2011=0,1,ABS(0.2-J2011*B2012/I2012)+ABS(0.2-K2011*C2012/I2012)+ABS(0.2-L2011*D2012/I2012)+ABS(0.2-M2011*E2012/I2012)+ABS(0.2-N2011*F2012/I2012)),0)</f>
        <v/>
      </c>
      <c r="Q2012">
        <f>P2012*0.0015</f>
        <v/>
      </c>
      <c r="R2012">
        <f>I2012*(1-Q2012)</f>
        <v/>
      </c>
      <c r="S2012">
        <f>R2012/R2011-1</f>
        <v/>
      </c>
      <c r="T2012">
        <f>MAX(T2011,R2012)</f>
        <v/>
      </c>
      <c r="U2012">
        <f>R2012/T2012-1</f>
        <v/>
      </c>
      <c r="V2012" t="n">
        <v>3.684110422690803</v>
      </c>
      <c r="W2012" s="5">
        <f>R2012-V2012</f>
        <v/>
      </c>
    </row>
    <row r="2013">
      <c r="A2013" s="3" t="n">
        <v>41397</v>
      </c>
      <c r="B2013">
        <f>Prices!B2013</f>
        <v/>
      </c>
      <c r="C2013">
        <f>Prices!C2013</f>
        <v/>
      </c>
      <c r="D2013">
        <f>Prices!D2013</f>
        <v/>
      </c>
      <c r="E2013">
        <f>Prices!E2013</f>
        <v/>
      </c>
      <c r="F2013">
        <f>Prices!F2013</f>
        <v/>
      </c>
      <c r="G2013">
        <f>IF(AND(2011&gt;=16,TEXT(A2013,"yyyy-mm")&lt;&gt;TEXT(A2014,"yyyy-mm")),1,0)</f>
        <v/>
      </c>
      <c r="H2013">
        <f>IF(OR(H2012=1,G2013=1),1,0)</f>
        <v/>
      </c>
      <c r="I2013">
        <f>IF(H2012=0,1,SUMPRODUCT(J2012:N2012,B2013:F2013)+O2012*(1+0.00023125256064071564))</f>
        <v/>
      </c>
      <c r="J2013">
        <f>IF(G2013=1,0.2*R2013/B2013,J2012)</f>
        <v/>
      </c>
      <c r="K2013">
        <f>IF(G2013=1,0.2*R2013/C2013,K2012)</f>
        <v/>
      </c>
      <c r="L2013">
        <f>IF(G2013=1,0.2*R2013/D2013,L2012)</f>
        <v/>
      </c>
      <c r="M2013">
        <f>IF(G2013=1,0.2*R2013/E2013,M2012)</f>
        <v/>
      </c>
      <c r="N2013">
        <f>IF(G2013=1,0.2*R2013/F2013,N2012)</f>
        <v/>
      </c>
      <c r="O2013">
        <f>IF(G2013=1,R2013*(1-1.0),IF(H2012=0,1,O2012*(1+0.00023125256064071564)))</f>
        <v/>
      </c>
      <c r="P2013">
        <f>IF(G2013=1,IF(H2012=0,1,ABS(0.2-J2012*B2013/I2013)+ABS(0.2-K2012*C2013/I2013)+ABS(0.2-L2012*D2013/I2013)+ABS(0.2-M2012*E2013/I2013)+ABS(0.2-N2012*F2013/I2013)),0)</f>
        <v/>
      </c>
      <c r="Q2013">
        <f>P2013*0.0015</f>
        <v/>
      </c>
      <c r="R2013">
        <f>I2013*(1-Q2013)</f>
        <v/>
      </c>
      <c r="S2013">
        <f>R2013/R2012-1</f>
        <v/>
      </c>
      <c r="T2013">
        <f>MAX(T2012,R2013)</f>
        <v/>
      </c>
      <c r="U2013">
        <f>R2013/T2013-1</f>
        <v/>
      </c>
      <c r="V2013" t="n">
        <v>3.669618940382732</v>
      </c>
      <c r="W2013" s="5">
        <f>R2013-V2013</f>
        <v/>
      </c>
    </row>
    <row r="2014">
      <c r="A2014" s="3" t="n">
        <v>41400</v>
      </c>
      <c r="B2014">
        <f>Prices!B2014</f>
        <v/>
      </c>
      <c r="C2014">
        <f>Prices!C2014</f>
        <v/>
      </c>
      <c r="D2014">
        <f>Prices!D2014</f>
        <v/>
      </c>
      <c r="E2014">
        <f>Prices!E2014</f>
        <v/>
      </c>
      <c r="F2014">
        <f>Prices!F2014</f>
        <v/>
      </c>
      <c r="G2014">
        <f>IF(AND(2012&gt;=16,TEXT(A2014,"yyyy-mm")&lt;&gt;TEXT(A2015,"yyyy-mm")),1,0)</f>
        <v/>
      </c>
      <c r="H2014">
        <f>IF(OR(H2013=1,G2014=1),1,0)</f>
        <v/>
      </c>
      <c r="I2014">
        <f>IF(H2013=0,1,SUMPRODUCT(J2013:N2013,B2014:F2014)+O2013*(1+0.00023125256064071564))</f>
        <v/>
      </c>
      <c r="J2014">
        <f>IF(G2014=1,0.2*R2014/B2014,J2013)</f>
        <v/>
      </c>
      <c r="K2014">
        <f>IF(G2014=1,0.2*R2014/C2014,K2013)</f>
        <v/>
      </c>
      <c r="L2014">
        <f>IF(G2014=1,0.2*R2014/D2014,L2013)</f>
        <v/>
      </c>
      <c r="M2014">
        <f>IF(G2014=1,0.2*R2014/E2014,M2013)</f>
        <v/>
      </c>
      <c r="N2014">
        <f>IF(G2014=1,0.2*R2014/F2014,N2013)</f>
        <v/>
      </c>
      <c r="O2014">
        <f>IF(G2014=1,R2014*(1-1.0),IF(H2013=0,1,O2013*(1+0.00023125256064071564)))</f>
        <v/>
      </c>
      <c r="P2014">
        <f>IF(G2014=1,IF(H2013=0,1,ABS(0.2-J2013*B2014/I2014)+ABS(0.2-K2013*C2014/I2014)+ABS(0.2-L2013*D2014/I2014)+ABS(0.2-M2013*E2014/I2014)+ABS(0.2-N2013*F2014/I2014)),0)</f>
        <v/>
      </c>
      <c r="Q2014">
        <f>P2014*0.0015</f>
        <v/>
      </c>
      <c r="R2014">
        <f>I2014*(1-Q2014)</f>
        <v/>
      </c>
      <c r="S2014">
        <f>R2014/R2013-1</f>
        <v/>
      </c>
      <c r="T2014">
        <f>MAX(T2013,R2014)</f>
        <v/>
      </c>
      <c r="U2014">
        <f>R2014/T2014-1</f>
        <v/>
      </c>
      <c r="V2014" t="n">
        <v>3.704887515882742</v>
      </c>
      <c r="W2014" s="5">
        <f>R2014-V2014</f>
        <v/>
      </c>
    </row>
    <row r="2015">
      <c r="A2015" s="3" t="n">
        <v>41401</v>
      </c>
      <c r="B2015">
        <f>Prices!B2015</f>
        <v/>
      </c>
      <c r="C2015">
        <f>Prices!C2015</f>
        <v/>
      </c>
      <c r="D2015">
        <f>Prices!D2015</f>
        <v/>
      </c>
      <c r="E2015">
        <f>Prices!E2015</f>
        <v/>
      </c>
      <c r="F2015">
        <f>Prices!F2015</f>
        <v/>
      </c>
      <c r="G2015">
        <f>IF(AND(2013&gt;=16,TEXT(A2015,"yyyy-mm")&lt;&gt;TEXT(A2016,"yyyy-mm")),1,0)</f>
        <v/>
      </c>
      <c r="H2015">
        <f>IF(OR(H2014=1,G2015=1),1,0)</f>
        <v/>
      </c>
      <c r="I2015">
        <f>IF(H2014=0,1,SUMPRODUCT(J2014:N2014,B2015:F2015)+O2014*(1+0.00023125256064071564))</f>
        <v/>
      </c>
      <c r="J2015">
        <f>IF(G2015=1,0.2*R2015/B2015,J2014)</f>
        <v/>
      </c>
      <c r="K2015">
        <f>IF(G2015=1,0.2*R2015/C2015,K2014)</f>
        <v/>
      </c>
      <c r="L2015">
        <f>IF(G2015=1,0.2*R2015/D2015,L2014)</f>
        <v/>
      </c>
      <c r="M2015">
        <f>IF(G2015=1,0.2*R2015/E2015,M2014)</f>
        <v/>
      </c>
      <c r="N2015">
        <f>IF(G2015=1,0.2*R2015/F2015,N2014)</f>
        <v/>
      </c>
      <c r="O2015">
        <f>IF(G2015=1,R2015*(1-1.0),IF(H2014=0,1,O2014*(1+0.00023125256064071564)))</f>
        <v/>
      </c>
      <c r="P2015">
        <f>IF(G2015=1,IF(H2014=0,1,ABS(0.2-J2014*B2015/I2015)+ABS(0.2-K2014*C2015/I2015)+ABS(0.2-L2014*D2015/I2015)+ABS(0.2-M2014*E2015/I2015)+ABS(0.2-N2014*F2015/I2015)),0)</f>
        <v/>
      </c>
      <c r="Q2015">
        <f>P2015*0.0015</f>
        <v/>
      </c>
      <c r="R2015">
        <f>I2015*(1-Q2015)</f>
        <v/>
      </c>
      <c r="S2015">
        <f>R2015/R2014-1</f>
        <v/>
      </c>
      <c r="T2015">
        <f>MAX(T2014,R2015)</f>
        <v/>
      </c>
      <c r="U2015">
        <f>R2015/T2015-1</f>
        <v/>
      </c>
      <c r="V2015" t="n">
        <v>3.732525726510989</v>
      </c>
      <c r="W2015" s="5">
        <f>R2015-V2015</f>
        <v/>
      </c>
    </row>
    <row r="2016">
      <c r="A2016" s="3" t="n">
        <v>41402</v>
      </c>
      <c r="B2016">
        <f>Prices!B2016</f>
        <v/>
      </c>
      <c r="C2016">
        <f>Prices!C2016</f>
        <v/>
      </c>
      <c r="D2016">
        <f>Prices!D2016</f>
        <v/>
      </c>
      <c r="E2016">
        <f>Prices!E2016</f>
        <v/>
      </c>
      <c r="F2016">
        <f>Prices!F2016</f>
        <v/>
      </c>
      <c r="G2016">
        <f>IF(AND(2014&gt;=16,TEXT(A2016,"yyyy-mm")&lt;&gt;TEXT(A2017,"yyyy-mm")),1,0)</f>
        <v/>
      </c>
      <c r="H2016">
        <f>IF(OR(H2015=1,G2016=1),1,0)</f>
        <v/>
      </c>
      <c r="I2016">
        <f>IF(H2015=0,1,SUMPRODUCT(J2015:N2015,B2016:F2016)+O2015*(1+0.00023125256064071564))</f>
        <v/>
      </c>
      <c r="J2016">
        <f>IF(G2016=1,0.2*R2016/B2016,J2015)</f>
        <v/>
      </c>
      <c r="K2016">
        <f>IF(G2016=1,0.2*R2016/C2016,K2015)</f>
        <v/>
      </c>
      <c r="L2016">
        <f>IF(G2016=1,0.2*R2016/D2016,L2015)</f>
        <v/>
      </c>
      <c r="M2016">
        <f>IF(G2016=1,0.2*R2016/E2016,M2015)</f>
        <v/>
      </c>
      <c r="N2016">
        <f>IF(G2016=1,0.2*R2016/F2016,N2015)</f>
        <v/>
      </c>
      <c r="O2016">
        <f>IF(G2016=1,R2016*(1-1.0),IF(H2015=0,1,O2015*(1+0.00023125256064071564)))</f>
        <v/>
      </c>
      <c r="P2016">
        <f>IF(G2016=1,IF(H2015=0,1,ABS(0.2-J2015*B2016/I2016)+ABS(0.2-K2015*C2016/I2016)+ABS(0.2-L2015*D2016/I2016)+ABS(0.2-M2015*E2016/I2016)+ABS(0.2-N2015*F2016/I2016)),0)</f>
        <v/>
      </c>
      <c r="Q2016">
        <f>P2016*0.0015</f>
        <v/>
      </c>
      <c r="R2016">
        <f>I2016*(1-Q2016)</f>
        <v/>
      </c>
      <c r="S2016">
        <f>R2016/R2015-1</f>
        <v/>
      </c>
      <c r="T2016">
        <f>MAX(T2015,R2016)</f>
        <v/>
      </c>
      <c r="U2016">
        <f>R2016/T2016-1</f>
        <v/>
      </c>
      <c r="V2016" t="n">
        <v>3.751268824557564</v>
      </c>
      <c r="W2016" s="5">
        <f>R2016-V2016</f>
        <v/>
      </c>
    </row>
    <row r="2017">
      <c r="A2017" s="3" t="n">
        <v>41403</v>
      </c>
      <c r="B2017">
        <f>Prices!B2017</f>
        <v/>
      </c>
      <c r="C2017">
        <f>Prices!C2017</f>
        <v/>
      </c>
      <c r="D2017">
        <f>Prices!D2017</f>
        <v/>
      </c>
      <c r="E2017">
        <f>Prices!E2017</f>
        <v/>
      </c>
      <c r="F2017">
        <f>Prices!F2017</f>
        <v/>
      </c>
      <c r="G2017">
        <f>IF(AND(2015&gt;=16,TEXT(A2017,"yyyy-mm")&lt;&gt;TEXT(A2018,"yyyy-mm")),1,0)</f>
        <v/>
      </c>
      <c r="H2017">
        <f>IF(OR(H2016=1,G2017=1),1,0)</f>
        <v/>
      </c>
      <c r="I2017">
        <f>IF(H2016=0,1,SUMPRODUCT(J2016:N2016,B2017:F2017)+O2016*(1+0.00023125256064071564))</f>
        <v/>
      </c>
      <c r="J2017">
        <f>IF(G2017=1,0.2*R2017/B2017,J2016)</f>
        <v/>
      </c>
      <c r="K2017">
        <f>IF(G2017=1,0.2*R2017/C2017,K2016)</f>
        <v/>
      </c>
      <c r="L2017">
        <f>IF(G2017=1,0.2*R2017/D2017,L2016)</f>
        <v/>
      </c>
      <c r="M2017">
        <f>IF(G2017=1,0.2*R2017/E2017,M2016)</f>
        <v/>
      </c>
      <c r="N2017">
        <f>IF(G2017=1,0.2*R2017/F2017,N2016)</f>
        <v/>
      </c>
      <c r="O2017">
        <f>IF(G2017=1,R2017*(1-1.0),IF(H2016=0,1,O2016*(1+0.00023125256064071564)))</f>
        <v/>
      </c>
      <c r="P2017">
        <f>IF(G2017=1,IF(H2016=0,1,ABS(0.2-J2016*B2017/I2017)+ABS(0.2-K2016*C2017/I2017)+ABS(0.2-L2016*D2017/I2017)+ABS(0.2-M2016*E2017/I2017)+ABS(0.2-N2016*F2017/I2017)),0)</f>
        <v/>
      </c>
      <c r="Q2017">
        <f>P2017*0.0015</f>
        <v/>
      </c>
      <c r="R2017">
        <f>I2017*(1-Q2017)</f>
        <v/>
      </c>
      <c r="S2017">
        <f>R2017/R2016-1</f>
        <v/>
      </c>
      <c r="T2017">
        <f>MAX(T2016,R2017)</f>
        <v/>
      </c>
      <c r="U2017">
        <f>R2017/T2017-1</f>
        <v/>
      </c>
      <c r="V2017" t="n">
        <v>3.735022907706594</v>
      </c>
      <c r="W2017" s="5">
        <f>R2017-V2017</f>
        <v/>
      </c>
    </row>
    <row r="2018">
      <c r="A2018" s="3" t="n">
        <v>41404</v>
      </c>
      <c r="B2018">
        <f>Prices!B2018</f>
        <v/>
      </c>
      <c r="C2018">
        <f>Prices!C2018</f>
        <v/>
      </c>
      <c r="D2018">
        <f>Prices!D2018</f>
        <v/>
      </c>
      <c r="E2018">
        <f>Prices!E2018</f>
        <v/>
      </c>
      <c r="F2018">
        <f>Prices!F2018</f>
        <v/>
      </c>
      <c r="G2018">
        <f>IF(AND(2016&gt;=16,TEXT(A2018,"yyyy-mm")&lt;&gt;TEXT(A2019,"yyyy-mm")),1,0)</f>
        <v/>
      </c>
      <c r="H2018">
        <f>IF(OR(H2017=1,G2018=1),1,0)</f>
        <v/>
      </c>
      <c r="I2018">
        <f>IF(H2017=0,1,SUMPRODUCT(J2017:N2017,B2018:F2018)+O2017*(1+0.00023125256064071564))</f>
        <v/>
      </c>
      <c r="J2018">
        <f>IF(G2018=1,0.2*R2018/B2018,J2017)</f>
        <v/>
      </c>
      <c r="K2018">
        <f>IF(G2018=1,0.2*R2018/C2018,K2017)</f>
        <v/>
      </c>
      <c r="L2018">
        <f>IF(G2018=1,0.2*R2018/D2018,L2017)</f>
        <v/>
      </c>
      <c r="M2018">
        <f>IF(G2018=1,0.2*R2018/E2018,M2017)</f>
        <v/>
      </c>
      <c r="N2018">
        <f>IF(G2018=1,0.2*R2018/F2018,N2017)</f>
        <v/>
      </c>
      <c r="O2018">
        <f>IF(G2018=1,R2018*(1-1.0),IF(H2017=0,1,O2017*(1+0.00023125256064071564)))</f>
        <v/>
      </c>
      <c r="P2018">
        <f>IF(G2018=1,IF(H2017=0,1,ABS(0.2-J2017*B2018/I2018)+ABS(0.2-K2017*C2018/I2018)+ABS(0.2-L2017*D2018/I2018)+ABS(0.2-M2017*E2018/I2018)+ABS(0.2-N2017*F2018/I2018)),0)</f>
        <v/>
      </c>
      <c r="Q2018">
        <f>P2018*0.0015</f>
        <v/>
      </c>
      <c r="R2018">
        <f>I2018*(1-Q2018)</f>
        <v/>
      </c>
      <c r="S2018">
        <f>R2018/R2017-1</f>
        <v/>
      </c>
      <c r="T2018">
        <f>MAX(T2017,R2018)</f>
        <v/>
      </c>
      <c r="U2018">
        <f>R2018/T2018-1</f>
        <v/>
      </c>
      <c r="V2018" t="n">
        <v>3.75465214435433</v>
      </c>
      <c r="W2018" s="5">
        <f>R2018-V2018</f>
        <v/>
      </c>
    </row>
    <row r="2019">
      <c r="A2019" s="3" t="n">
        <v>41405</v>
      </c>
      <c r="B2019">
        <f>Prices!B2019</f>
        <v/>
      </c>
      <c r="C2019">
        <f>Prices!C2019</f>
        <v/>
      </c>
      <c r="D2019">
        <f>Prices!D2019</f>
        <v/>
      </c>
      <c r="E2019">
        <f>Prices!E2019</f>
        <v/>
      </c>
      <c r="F2019">
        <f>Prices!F2019</f>
        <v/>
      </c>
      <c r="G2019">
        <f>IF(AND(2017&gt;=16,TEXT(A2019,"yyyy-mm")&lt;&gt;TEXT(A2020,"yyyy-mm")),1,0)</f>
        <v/>
      </c>
      <c r="H2019">
        <f>IF(OR(H2018=1,G2019=1),1,0)</f>
        <v/>
      </c>
      <c r="I2019">
        <f>IF(H2018=0,1,SUMPRODUCT(J2018:N2018,B2019:F2019)+O2018*(1+0.00023125256064071564))</f>
        <v/>
      </c>
      <c r="J2019">
        <f>IF(G2019=1,0.2*R2019/B2019,J2018)</f>
        <v/>
      </c>
      <c r="K2019">
        <f>IF(G2019=1,0.2*R2019/C2019,K2018)</f>
        <v/>
      </c>
      <c r="L2019">
        <f>IF(G2019=1,0.2*R2019/D2019,L2018)</f>
        <v/>
      </c>
      <c r="M2019">
        <f>IF(G2019=1,0.2*R2019/E2019,M2018)</f>
        <v/>
      </c>
      <c r="N2019">
        <f>IF(G2019=1,0.2*R2019/F2019,N2018)</f>
        <v/>
      </c>
      <c r="O2019">
        <f>IF(G2019=1,R2019*(1-1.0),IF(H2018=0,1,O2018*(1+0.00023125256064071564)))</f>
        <v/>
      </c>
      <c r="P2019">
        <f>IF(G2019=1,IF(H2018=0,1,ABS(0.2-J2018*B2019/I2019)+ABS(0.2-K2018*C2019/I2019)+ABS(0.2-L2018*D2019/I2019)+ABS(0.2-M2018*E2019/I2019)+ABS(0.2-N2018*F2019/I2019)),0)</f>
        <v/>
      </c>
      <c r="Q2019">
        <f>P2019*0.0015</f>
        <v/>
      </c>
      <c r="R2019">
        <f>I2019*(1-Q2019)</f>
        <v/>
      </c>
      <c r="S2019">
        <f>R2019/R2018-1</f>
        <v/>
      </c>
      <c r="T2019">
        <f>MAX(T2018,R2019)</f>
        <v/>
      </c>
      <c r="U2019">
        <f>R2019/T2019-1</f>
        <v/>
      </c>
      <c r="V2019" t="n">
        <v>3.771503480808059</v>
      </c>
      <c r="W2019" s="5">
        <f>R2019-V2019</f>
        <v/>
      </c>
    </row>
    <row r="2020">
      <c r="A2020" s="3" t="n">
        <v>41407</v>
      </c>
      <c r="B2020">
        <f>Prices!B2020</f>
        <v/>
      </c>
      <c r="C2020">
        <f>Prices!C2020</f>
        <v/>
      </c>
      <c r="D2020">
        <f>Prices!D2020</f>
        <v/>
      </c>
      <c r="E2020">
        <f>Prices!E2020</f>
        <v/>
      </c>
      <c r="F2020">
        <f>Prices!F2020</f>
        <v/>
      </c>
      <c r="G2020">
        <f>IF(AND(2018&gt;=16,TEXT(A2020,"yyyy-mm")&lt;&gt;TEXT(A2021,"yyyy-mm")),1,0)</f>
        <v/>
      </c>
      <c r="H2020">
        <f>IF(OR(H2019=1,G2020=1),1,0)</f>
        <v/>
      </c>
      <c r="I2020">
        <f>IF(H2019=0,1,SUMPRODUCT(J2019:N2019,B2020:F2020)+O2019*(1+0.00023125256064071564))</f>
        <v/>
      </c>
      <c r="J2020">
        <f>IF(G2020=1,0.2*R2020/B2020,J2019)</f>
        <v/>
      </c>
      <c r="K2020">
        <f>IF(G2020=1,0.2*R2020/C2020,K2019)</f>
        <v/>
      </c>
      <c r="L2020">
        <f>IF(G2020=1,0.2*R2020/D2020,L2019)</f>
        <v/>
      </c>
      <c r="M2020">
        <f>IF(G2020=1,0.2*R2020/E2020,M2019)</f>
        <v/>
      </c>
      <c r="N2020">
        <f>IF(G2020=1,0.2*R2020/F2020,N2019)</f>
        <v/>
      </c>
      <c r="O2020">
        <f>IF(G2020=1,R2020*(1-1.0),IF(H2019=0,1,O2019*(1+0.00023125256064071564)))</f>
        <v/>
      </c>
      <c r="P2020">
        <f>IF(G2020=1,IF(H2019=0,1,ABS(0.2-J2019*B2020/I2020)+ABS(0.2-K2019*C2020/I2020)+ABS(0.2-L2019*D2020/I2020)+ABS(0.2-M2019*E2020/I2020)+ABS(0.2-N2019*F2020/I2020)),0)</f>
        <v/>
      </c>
      <c r="Q2020">
        <f>P2020*0.0015</f>
        <v/>
      </c>
      <c r="R2020">
        <f>I2020*(1-Q2020)</f>
        <v/>
      </c>
      <c r="S2020">
        <f>R2020/R2019-1</f>
        <v/>
      </c>
      <c r="T2020">
        <f>MAX(T2019,R2020)</f>
        <v/>
      </c>
      <c r="U2020">
        <f>R2020/T2020-1</f>
        <v/>
      </c>
      <c r="V2020" t="n">
        <v>3.718856494242748</v>
      </c>
      <c r="W2020" s="5">
        <f>R2020-V2020</f>
        <v/>
      </c>
    </row>
    <row r="2021">
      <c r="A2021" s="3" t="n">
        <v>41408</v>
      </c>
      <c r="B2021">
        <f>Prices!B2021</f>
        <v/>
      </c>
      <c r="C2021">
        <f>Prices!C2021</f>
        <v/>
      </c>
      <c r="D2021">
        <f>Prices!D2021</f>
        <v/>
      </c>
      <c r="E2021">
        <f>Prices!E2021</f>
        <v/>
      </c>
      <c r="F2021">
        <f>Prices!F2021</f>
        <v/>
      </c>
      <c r="G2021">
        <f>IF(AND(2019&gt;=16,TEXT(A2021,"yyyy-mm")&lt;&gt;TEXT(A2022,"yyyy-mm")),1,0)</f>
        <v/>
      </c>
      <c r="H2021">
        <f>IF(OR(H2020=1,G2021=1),1,0)</f>
        <v/>
      </c>
      <c r="I2021">
        <f>IF(H2020=0,1,SUMPRODUCT(J2020:N2020,B2021:F2021)+O2020*(1+0.00023125256064071564))</f>
        <v/>
      </c>
      <c r="J2021">
        <f>IF(G2021=1,0.2*R2021/B2021,J2020)</f>
        <v/>
      </c>
      <c r="K2021">
        <f>IF(G2021=1,0.2*R2021/C2021,K2020)</f>
        <v/>
      </c>
      <c r="L2021">
        <f>IF(G2021=1,0.2*R2021/D2021,L2020)</f>
        <v/>
      </c>
      <c r="M2021">
        <f>IF(G2021=1,0.2*R2021/E2021,M2020)</f>
        <v/>
      </c>
      <c r="N2021">
        <f>IF(G2021=1,0.2*R2021/F2021,N2020)</f>
        <v/>
      </c>
      <c r="O2021">
        <f>IF(G2021=1,R2021*(1-1.0),IF(H2020=0,1,O2020*(1+0.00023125256064071564)))</f>
        <v/>
      </c>
      <c r="P2021">
        <f>IF(G2021=1,IF(H2020=0,1,ABS(0.2-J2020*B2021/I2021)+ABS(0.2-K2020*C2021/I2021)+ABS(0.2-L2020*D2021/I2021)+ABS(0.2-M2020*E2021/I2021)+ABS(0.2-N2020*F2021/I2021)),0)</f>
        <v/>
      </c>
      <c r="Q2021">
        <f>P2021*0.0015</f>
        <v/>
      </c>
      <c r="R2021">
        <f>I2021*(1-Q2021)</f>
        <v/>
      </c>
      <c r="S2021">
        <f>R2021/R2020-1</f>
        <v/>
      </c>
      <c r="T2021">
        <f>MAX(T2020,R2021)</f>
        <v/>
      </c>
      <c r="U2021">
        <f>R2021/T2021-1</f>
        <v/>
      </c>
      <c r="V2021" t="n">
        <v>3.726909989845471</v>
      </c>
      <c r="W2021" s="5">
        <f>R2021-V2021</f>
        <v/>
      </c>
    </row>
    <row r="2022">
      <c r="A2022" s="3" t="n">
        <v>41409</v>
      </c>
      <c r="B2022">
        <f>Prices!B2022</f>
        <v/>
      </c>
      <c r="C2022">
        <f>Prices!C2022</f>
        <v/>
      </c>
      <c r="D2022">
        <f>Prices!D2022</f>
        <v/>
      </c>
      <c r="E2022">
        <f>Prices!E2022</f>
        <v/>
      </c>
      <c r="F2022">
        <f>Prices!F2022</f>
        <v/>
      </c>
      <c r="G2022">
        <f>IF(AND(2020&gt;=16,TEXT(A2022,"yyyy-mm")&lt;&gt;TEXT(A2023,"yyyy-mm")),1,0)</f>
        <v/>
      </c>
      <c r="H2022">
        <f>IF(OR(H2021=1,G2022=1),1,0)</f>
        <v/>
      </c>
      <c r="I2022">
        <f>IF(H2021=0,1,SUMPRODUCT(J2021:N2021,B2022:F2022)+O2021*(1+0.00023125256064071564))</f>
        <v/>
      </c>
      <c r="J2022">
        <f>IF(G2022=1,0.2*R2022/B2022,J2021)</f>
        <v/>
      </c>
      <c r="K2022">
        <f>IF(G2022=1,0.2*R2022/C2022,K2021)</f>
        <v/>
      </c>
      <c r="L2022">
        <f>IF(G2022=1,0.2*R2022/D2022,L2021)</f>
        <v/>
      </c>
      <c r="M2022">
        <f>IF(G2022=1,0.2*R2022/E2022,M2021)</f>
        <v/>
      </c>
      <c r="N2022">
        <f>IF(G2022=1,0.2*R2022/F2022,N2021)</f>
        <v/>
      </c>
      <c r="O2022">
        <f>IF(G2022=1,R2022*(1-1.0),IF(H2021=0,1,O2021*(1+0.00023125256064071564)))</f>
        <v/>
      </c>
      <c r="P2022">
        <f>IF(G2022=1,IF(H2021=0,1,ABS(0.2-J2021*B2022/I2022)+ABS(0.2-K2021*C2022/I2022)+ABS(0.2-L2021*D2022/I2022)+ABS(0.2-M2021*E2022/I2022)+ABS(0.2-N2021*F2022/I2022)),0)</f>
        <v/>
      </c>
      <c r="Q2022">
        <f>P2022*0.0015</f>
        <v/>
      </c>
      <c r="R2022">
        <f>I2022*(1-Q2022)</f>
        <v/>
      </c>
      <c r="S2022">
        <f>R2022/R2021-1</f>
        <v/>
      </c>
      <c r="T2022">
        <f>MAX(T2021,R2022)</f>
        <v/>
      </c>
      <c r="U2022">
        <f>R2022/T2022-1</f>
        <v/>
      </c>
      <c r="V2022" t="n">
        <v>3.793979941020389</v>
      </c>
      <c r="W2022" s="5">
        <f>R2022-V2022</f>
        <v/>
      </c>
    </row>
    <row r="2023">
      <c r="A2023" s="3" t="n">
        <v>41410</v>
      </c>
      <c r="B2023">
        <f>Prices!B2023</f>
        <v/>
      </c>
      <c r="C2023">
        <f>Prices!C2023</f>
        <v/>
      </c>
      <c r="D2023">
        <f>Prices!D2023</f>
        <v/>
      </c>
      <c r="E2023">
        <f>Prices!E2023</f>
        <v/>
      </c>
      <c r="F2023">
        <f>Prices!F2023</f>
        <v/>
      </c>
      <c r="G2023">
        <f>IF(AND(2021&gt;=16,TEXT(A2023,"yyyy-mm")&lt;&gt;TEXT(A2024,"yyyy-mm")),1,0)</f>
        <v/>
      </c>
      <c r="H2023">
        <f>IF(OR(H2022=1,G2023=1),1,0)</f>
        <v/>
      </c>
      <c r="I2023">
        <f>IF(H2022=0,1,SUMPRODUCT(J2022:N2022,B2023:F2023)+O2022*(1+0.00023125256064071564))</f>
        <v/>
      </c>
      <c r="J2023">
        <f>IF(G2023=1,0.2*R2023/B2023,J2022)</f>
        <v/>
      </c>
      <c r="K2023">
        <f>IF(G2023=1,0.2*R2023/C2023,K2022)</f>
        <v/>
      </c>
      <c r="L2023">
        <f>IF(G2023=1,0.2*R2023/D2023,L2022)</f>
        <v/>
      </c>
      <c r="M2023">
        <f>IF(G2023=1,0.2*R2023/E2023,M2022)</f>
        <v/>
      </c>
      <c r="N2023">
        <f>IF(G2023=1,0.2*R2023/F2023,N2022)</f>
        <v/>
      </c>
      <c r="O2023">
        <f>IF(G2023=1,R2023*(1-1.0),IF(H2022=0,1,O2022*(1+0.00023125256064071564)))</f>
        <v/>
      </c>
      <c r="P2023">
        <f>IF(G2023=1,IF(H2022=0,1,ABS(0.2-J2022*B2023/I2023)+ABS(0.2-K2022*C2023/I2023)+ABS(0.2-L2022*D2023/I2023)+ABS(0.2-M2022*E2023/I2023)+ABS(0.2-N2022*F2023/I2023)),0)</f>
        <v/>
      </c>
      <c r="Q2023">
        <f>P2023*0.0015</f>
        <v/>
      </c>
      <c r="R2023">
        <f>I2023*(1-Q2023)</f>
        <v/>
      </c>
      <c r="S2023">
        <f>R2023/R2022-1</f>
        <v/>
      </c>
      <c r="T2023">
        <f>MAX(T2022,R2023)</f>
        <v/>
      </c>
      <c r="U2023">
        <f>R2023/T2023-1</f>
        <v/>
      </c>
      <c r="V2023" t="n">
        <v>3.806389761877896</v>
      </c>
      <c r="W2023" s="5">
        <f>R2023-V2023</f>
        <v/>
      </c>
    </row>
    <row r="2024">
      <c r="A2024" s="3" t="n">
        <v>41411</v>
      </c>
      <c r="B2024">
        <f>Prices!B2024</f>
        <v/>
      </c>
      <c r="C2024">
        <f>Prices!C2024</f>
        <v/>
      </c>
      <c r="D2024">
        <f>Prices!D2024</f>
        <v/>
      </c>
      <c r="E2024">
        <f>Prices!E2024</f>
        <v/>
      </c>
      <c r="F2024">
        <f>Prices!F2024</f>
        <v/>
      </c>
      <c r="G2024">
        <f>IF(AND(2022&gt;=16,TEXT(A2024,"yyyy-mm")&lt;&gt;TEXT(A2025,"yyyy-mm")),1,0)</f>
        <v/>
      </c>
      <c r="H2024">
        <f>IF(OR(H2023=1,G2024=1),1,0)</f>
        <v/>
      </c>
      <c r="I2024">
        <f>IF(H2023=0,1,SUMPRODUCT(J2023:N2023,B2024:F2024)+O2023*(1+0.00023125256064071564))</f>
        <v/>
      </c>
      <c r="J2024">
        <f>IF(G2024=1,0.2*R2024/B2024,J2023)</f>
        <v/>
      </c>
      <c r="K2024">
        <f>IF(G2024=1,0.2*R2024/C2024,K2023)</f>
        <v/>
      </c>
      <c r="L2024">
        <f>IF(G2024=1,0.2*R2024/D2024,L2023)</f>
        <v/>
      </c>
      <c r="M2024">
        <f>IF(G2024=1,0.2*R2024/E2024,M2023)</f>
        <v/>
      </c>
      <c r="N2024">
        <f>IF(G2024=1,0.2*R2024/F2024,N2023)</f>
        <v/>
      </c>
      <c r="O2024">
        <f>IF(G2024=1,R2024*(1-1.0),IF(H2023=0,1,O2023*(1+0.00023125256064071564)))</f>
        <v/>
      </c>
      <c r="P2024">
        <f>IF(G2024=1,IF(H2023=0,1,ABS(0.2-J2023*B2024/I2024)+ABS(0.2-K2023*C2024/I2024)+ABS(0.2-L2023*D2024/I2024)+ABS(0.2-M2023*E2024/I2024)+ABS(0.2-N2023*F2024/I2024)),0)</f>
        <v/>
      </c>
      <c r="Q2024">
        <f>P2024*0.0015</f>
        <v/>
      </c>
      <c r="R2024">
        <f>I2024*(1-Q2024)</f>
        <v/>
      </c>
      <c r="S2024">
        <f>R2024/R2023-1</f>
        <v/>
      </c>
      <c r="T2024">
        <f>MAX(T2023,R2024)</f>
        <v/>
      </c>
      <c r="U2024">
        <f>R2024/T2024-1</f>
        <v/>
      </c>
      <c r="V2024" t="n">
        <v>3.809197455477988</v>
      </c>
      <c r="W2024" s="5">
        <f>R2024-V2024</f>
        <v/>
      </c>
    </row>
    <row r="2025">
      <c r="A2025" s="3" t="n">
        <v>41414</v>
      </c>
      <c r="B2025">
        <f>Prices!B2025</f>
        <v/>
      </c>
      <c r="C2025">
        <f>Prices!C2025</f>
        <v/>
      </c>
      <c r="D2025">
        <f>Prices!D2025</f>
        <v/>
      </c>
      <c r="E2025">
        <f>Prices!E2025</f>
        <v/>
      </c>
      <c r="F2025">
        <f>Prices!F2025</f>
        <v/>
      </c>
      <c r="G2025">
        <f>IF(AND(2023&gt;=16,TEXT(A2025,"yyyy-mm")&lt;&gt;TEXT(A2026,"yyyy-mm")),1,0)</f>
        <v/>
      </c>
      <c r="H2025">
        <f>IF(OR(H2024=1,G2025=1),1,0)</f>
        <v/>
      </c>
      <c r="I2025">
        <f>IF(H2024=0,1,SUMPRODUCT(J2024:N2024,B2025:F2025)+O2024*(1+0.00023125256064071564))</f>
        <v/>
      </c>
      <c r="J2025">
        <f>IF(G2025=1,0.2*R2025/B2025,J2024)</f>
        <v/>
      </c>
      <c r="K2025">
        <f>IF(G2025=1,0.2*R2025/C2025,K2024)</f>
        <v/>
      </c>
      <c r="L2025">
        <f>IF(G2025=1,0.2*R2025/D2025,L2024)</f>
        <v/>
      </c>
      <c r="M2025">
        <f>IF(G2025=1,0.2*R2025/E2025,M2024)</f>
        <v/>
      </c>
      <c r="N2025">
        <f>IF(G2025=1,0.2*R2025/F2025,N2024)</f>
        <v/>
      </c>
      <c r="O2025">
        <f>IF(G2025=1,R2025*(1-1.0),IF(H2024=0,1,O2024*(1+0.00023125256064071564)))</f>
        <v/>
      </c>
      <c r="P2025">
        <f>IF(G2025=1,IF(H2024=0,1,ABS(0.2-J2024*B2025/I2025)+ABS(0.2-K2024*C2025/I2025)+ABS(0.2-L2024*D2025/I2025)+ABS(0.2-M2024*E2025/I2025)+ABS(0.2-N2024*F2025/I2025)),0)</f>
        <v/>
      </c>
      <c r="Q2025">
        <f>P2025*0.0015</f>
        <v/>
      </c>
      <c r="R2025">
        <f>I2025*(1-Q2025)</f>
        <v/>
      </c>
      <c r="S2025">
        <f>R2025/R2024-1</f>
        <v/>
      </c>
      <c r="T2025">
        <f>MAX(T2024,R2025)</f>
        <v/>
      </c>
      <c r="U2025">
        <f>R2025/T2025-1</f>
        <v/>
      </c>
      <c r="V2025" t="n">
        <v>3.785407210497409</v>
      </c>
      <c r="W2025" s="5">
        <f>R2025-V2025</f>
        <v/>
      </c>
    </row>
    <row r="2026">
      <c r="A2026" s="3" t="n">
        <v>41415</v>
      </c>
      <c r="B2026">
        <f>Prices!B2026</f>
        <v/>
      </c>
      <c r="C2026">
        <f>Prices!C2026</f>
        <v/>
      </c>
      <c r="D2026">
        <f>Prices!D2026</f>
        <v/>
      </c>
      <c r="E2026">
        <f>Prices!E2026</f>
        <v/>
      </c>
      <c r="F2026">
        <f>Prices!F2026</f>
        <v/>
      </c>
      <c r="G2026">
        <f>IF(AND(2024&gt;=16,TEXT(A2026,"yyyy-mm")&lt;&gt;TEXT(A2027,"yyyy-mm")),1,0)</f>
        <v/>
      </c>
      <c r="H2026">
        <f>IF(OR(H2025=1,G2026=1),1,0)</f>
        <v/>
      </c>
      <c r="I2026">
        <f>IF(H2025=0,1,SUMPRODUCT(J2025:N2025,B2026:F2026)+O2025*(1+0.00023125256064071564))</f>
        <v/>
      </c>
      <c r="J2026">
        <f>IF(G2026=1,0.2*R2026/B2026,J2025)</f>
        <v/>
      </c>
      <c r="K2026">
        <f>IF(G2026=1,0.2*R2026/C2026,K2025)</f>
        <v/>
      </c>
      <c r="L2026">
        <f>IF(G2026=1,0.2*R2026/D2026,L2025)</f>
        <v/>
      </c>
      <c r="M2026">
        <f>IF(G2026=1,0.2*R2026/E2026,M2025)</f>
        <v/>
      </c>
      <c r="N2026">
        <f>IF(G2026=1,0.2*R2026/F2026,N2025)</f>
        <v/>
      </c>
      <c r="O2026">
        <f>IF(G2026=1,R2026*(1-1.0),IF(H2025=0,1,O2025*(1+0.00023125256064071564)))</f>
        <v/>
      </c>
      <c r="P2026">
        <f>IF(G2026=1,IF(H2025=0,1,ABS(0.2-J2025*B2026/I2026)+ABS(0.2-K2025*C2026/I2026)+ABS(0.2-L2025*D2026/I2026)+ABS(0.2-M2025*E2026/I2026)+ABS(0.2-N2025*F2026/I2026)),0)</f>
        <v/>
      </c>
      <c r="Q2026">
        <f>P2026*0.0015</f>
        <v/>
      </c>
      <c r="R2026">
        <f>I2026*(1-Q2026)</f>
        <v/>
      </c>
      <c r="S2026">
        <f>R2026/R2025-1</f>
        <v/>
      </c>
      <c r="T2026">
        <f>MAX(T2025,R2026)</f>
        <v/>
      </c>
      <c r="U2026">
        <f>R2026/T2026-1</f>
        <v/>
      </c>
      <c r="V2026" t="n">
        <v>3.760233943510219</v>
      </c>
      <c r="W2026" s="5">
        <f>R2026-V2026</f>
        <v/>
      </c>
    </row>
    <row r="2027">
      <c r="A2027" s="3" t="n">
        <v>41416</v>
      </c>
      <c r="B2027">
        <f>Prices!B2027</f>
        <v/>
      </c>
      <c r="C2027">
        <f>Prices!C2027</f>
        <v/>
      </c>
      <c r="D2027">
        <f>Prices!D2027</f>
        <v/>
      </c>
      <c r="E2027">
        <f>Prices!E2027</f>
        <v/>
      </c>
      <c r="F2027">
        <f>Prices!F2027</f>
        <v/>
      </c>
      <c r="G2027">
        <f>IF(AND(2025&gt;=16,TEXT(A2027,"yyyy-mm")&lt;&gt;TEXT(A2028,"yyyy-mm")),1,0)</f>
        <v/>
      </c>
      <c r="H2027">
        <f>IF(OR(H2026=1,G2027=1),1,0)</f>
        <v/>
      </c>
      <c r="I2027">
        <f>IF(H2026=0,1,SUMPRODUCT(J2026:N2026,B2027:F2027)+O2026*(1+0.00023125256064071564))</f>
        <v/>
      </c>
      <c r="J2027">
        <f>IF(G2027=1,0.2*R2027/B2027,J2026)</f>
        <v/>
      </c>
      <c r="K2027">
        <f>IF(G2027=1,0.2*R2027/C2027,K2026)</f>
        <v/>
      </c>
      <c r="L2027">
        <f>IF(G2027=1,0.2*R2027/D2027,L2026)</f>
        <v/>
      </c>
      <c r="M2027">
        <f>IF(G2027=1,0.2*R2027/E2027,M2026)</f>
        <v/>
      </c>
      <c r="N2027">
        <f>IF(G2027=1,0.2*R2027/F2027,N2026)</f>
        <v/>
      </c>
      <c r="O2027">
        <f>IF(G2027=1,R2027*(1-1.0),IF(H2026=0,1,O2026*(1+0.00023125256064071564)))</f>
        <v/>
      </c>
      <c r="P2027">
        <f>IF(G2027=1,IF(H2026=0,1,ABS(0.2-J2026*B2027/I2027)+ABS(0.2-K2026*C2027/I2027)+ABS(0.2-L2026*D2027/I2027)+ABS(0.2-M2026*E2027/I2027)+ABS(0.2-N2026*F2027/I2027)),0)</f>
        <v/>
      </c>
      <c r="Q2027">
        <f>P2027*0.0015</f>
        <v/>
      </c>
      <c r="R2027">
        <f>I2027*(1-Q2027)</f>
        <v/>
      </c>
      <c r="S2027">
        <f>R2027/R2026-1</f>
        <v/>
      </c>
      <c r="T2027">
        <f>MAX(T2026,R2027)</f>
        <v/>
      </c>
      <c r="U2027">
        <f>R2027/T2027-1</f>
        <v/>
      </c>
      <c r="V2027" t="n">
        <v>3.748130715764607</v>
      </c>
      <c r="W2027" s="5">
        <f>R2027-V2027</f>
        <v/>
      </c>
    </row>
    <row r="2028">
      <c r="A2028" s="3" t="n">
        <v>41417</v>
      </c>
      <c r="B2028">
        <f>Prices!B2028</f>
        <v/>
      </c>
      <c r="C2028">
        <f>Prices!C2028</f>
        <v/>
      </c>
      <c r="D2028">
        <f>Prices!D2028</f>
        <v/>
      </c>
      <c r="E2028">
        <f>Prices!E2028</f>
        <v/>
      </c>
      <c r="F2028">
        <f>Prices!F2028</f>
        <v/>
      </c>
      <c r="G2028">
        <f>IF(AND(2026&gt;=16,TEXT(A2028,"yyyy-mm")&lt;&gt;TEXT(A2029,"yyyy-mm")),1,0)</f>
        <v/>
      </c>
      <c r="H2028">
        <f>IF(OR(H2027=1,G2028=1),1,0)</f>
        <v/>
      </c>
      <c r="I2028">
        <f>IF(H2027=0,1,SUMPRODUCT(J2027:N2027,B2028:F2028)+O2027*(1+0.00023125256064071564))</f>
        <v/>
      </c>
      <c r="J2028">
        <f>IF(G2028=1,0.2*R2028/B2028,J2027)</f>
        <v/>
      </c>
      <c r="K2028">
        <f>IF(G2028=1,0.2*R2028/C2028,K2027)</f>
        <v/>
      </c>
      <c r="L2028">
        <f>IF(G2028=1,0.2*R2028/D2028,L2027)</f>
        <v/>
      </c>
      <c r="M2028">
        <f>IF(G2028=1,0.2*R2028/E2028,M2027)</f>
        <v/>
      </c>
      <c r="N2028">
        <f>IF(G2028=1,0.2*R2028/F2028,N2027)</f>
        <v/>
      </c>
      <c r="O2028">
        <f>IF(G2028=1,R2028*(1-1.0),IF(H2027=0,1,O2027*(1+0.00023125256064071564)))</f>
        <v/>
      </c>
      <c r="P2028">
        <f>IF(G2028=1,IF(H2027=0,1,ABS(0.2-J2027*B2028/I2028)+ABS(0.2-K2027*C2028/I2028)+ABS(0.2-L2027*D2028/I2028)+ABS(0.2-M2027*E2028/I2028)+ABS(0.2-N2027*F2028/I2028)),0)</f>
        <v/>
      </c>
      <c r="Q2028">
        <f>P2028*0.0015</f>
        <v/>
      </c>
      <c r="R2028">
        <f>I2028*(1-Q2028)</f>
        <v/>
      </c>
      <c r="S2028">
        <f>R2028/R2027-1</f>
        <v/>
      </c>
      <c r="T2028">
        <f>MAX(T2027,R2028)</f>
        <v/>
      </c>
      <c r="U2028">
        <f>R2028/T2028-1</f>
        <v/>
      </c>
      <c r="V2028" t="n">
        <v>3.680070822799774</v>
      </c>
      <c r="W2028" s="5">
        <f>R2028-V2028</f>
        <v/>
      </c>
    </row>
    <row r="2029">
      <c r="A2029" s="3" t="n">
        <v>41418</v>
      </c>
      <c r="B2029">
        <f>Prices!B2029</f>
        <v/>
      </c>
      <c r="C2029">
        <f>Prices!C2029</f>
        <v/>
      </c>
      <c r="D2029">
        <f>Prices!D2029</f>
        <v/>
      </c>
      <c r="E2029">
        <f>Prices!E2029</f>
        <v/>
      </c>
      <c r="F2029">
        <f>Prices!F2029</f>
        <v/>
      </c>
      <c r="G2029">
        <f>IF(AND(2027&gt;=16,TEXT(A2029,"yyyy-mm")&lt;&gt;TEXT(A2030,"yyyy-mm")),1,0)</f>
        <v/>
      </c>
      <c r="H2029">
        <f>IF(OR(H2028=1,G2029=1),1,0)</f>
        <v/>
      </c>
      <c r="I2029">
        <f>IF(H2028=0,1,SUMPRODUCT(J2028:N2028,B2029:F2029)+O2028*(1+0.00023125256064071564))</f>
        <v/>
      </c>
      <c r="J2029">
        <f>IF(G2029=1,0.2*R2029/B2029,J2028)</f>
        <v/>
      </c>
      <c r="K2029">
        <f>IF(G2029=1,0.2*R2029/C2029,K2028)</f>
        <v/>
      </c>
      <c r="L2029">
        <f>IF(G2029=1,0.2*R2029/D2029,L2028)</f>
        <v/>
      </c>
      <c r="M2029">
        <f>IF(G2029=1,0.2*R2029/E2029,M2028)</f>
        <v/>
      </c>
      <c r="N2029">
        <f>IF(G2029=1,0.2*R2029/F2029,N2028)</f>
        <v/>
      </c>
      <c r="O2029">
        <f>IF(G2029=1,R2029*(1-1.0),IF(H2028=0,1,O2028*(1+0.00023125256064071564)))</f>
        <v/>
      </c>
      <c r="P2029">
        <f>IF(G2029=1,IF(H2028=0,1,ABS(0.2-J2028*B2029/I2029)+ABS(0.2-K2028*C2029/I2029)+ABS(0.2-L2028*D2029/I2029)+ABS(0.2-M2028*E2029/I2029)+ABS(0.2-N2028*F2029/I2029)),0)</f>
        <v/>
      </c>
      <c r="Q2029">
        <f>P2029*0.0015</f>
        <v/>
      </c>
      <c r="R2029">
        <f>I2029*(1-Q2029)</f>
        <v/>
      </c>
      <c r="S2029">
        <f>R2029/R2028-1</f>
        <v/>
      </c>
      <c r="T2029">
        <f>MAX(T2028,R2029)</f>
        <v/>
      </c>
      <c r="U2029">
        <f>R2029/T2029-1</f>
        <v/>
      </c>
      <c r="V2029" t="n">
        <v>3.692934623315297</v>
      </c>
      <c r="W2029" s="5">
        <f>R2029-V2029</f>
        <v/>
      </c>
    </row>
    <row r="2030">
      <c r="A2030" s="3" t="n">
        <v>41421</v>
      </c>
      <c r="B2030">
        <f>Prices!B2030</f>
        <v/>
      </c>
      <c r="C2030">
        <f>Prices!C2030</f>
        <v/>
      </c>
      <c r="D2030">
        <f>Prices!D2030</f>
        <v/>
      </c>
      <c r="E2030">
        <f>Prices!E2030</f>
        <v/>
      </c>
      <c r="F2030">
        <f>Prices!F2030</f>
        <v/>
      </c>
      <c r="G2030">
        <f>IF(AND(2028&gt;=16,TEXT(A2030,"yyyy-mm")&lt;&gt;TEXT(A2031,"yyyy-mm")),1,0)</f>
        <v/>
      </c>
      <c r="H2030">
        <f>IF(OR(H2029=1,G2030=1),1,0)</f>
        <v/>
      </c>
      <c r="I2030">
        <f>IF(H2029=0,1,SUMPRODUCT(J2029:N2029,B2030:F2030)+O2029*(1+0.00023125256064071564))</f>
        <v/>
      </c>
      <c r="J2030">
        <f>IF(G2030=1,0.2*R2030/B2030,J2029)</f>
        <v/>
      </c>
      <c r="K2030">
        <f>IF(G2030=1,0.2*R2030/C2030,K2029)</f>
        <v/>
      </c>
      <c r="L2030">
        <f>IF(G2030=1,0.2*R2030/D2030,L2029)</f>
        <v/>
      </c>
      <c r="M2030">
        <f>IF(G2030=1,0.2*R2030/E2030,M2029)</f>
        <v/>
      </c>
      <c r="N2030">
        <f>IF(G2030=1,0.2*R2030/F2030,N2029)</f>
        <v/>
      </c>
      <c r="O2030">
        <f>IF(G2030=1,R2030*(1-1.0),IF(H2029=0,1,O2029*(1+0.00023125256064071564)))</f>
        <v/>
      </c>
      <c r="P2030">
        <f>IF(G2030=1,IF(H2029=0,1,ABS(0.2-J2029*B2030/I2030)+ABS(0.2-K2029*C2030/I2030)+ABS(0.2-L2029*D2030/I2030)+ABS(0.2-M2029*E2030/I2030)+ABS(0.2-N2029*F2030/I2030)),0)</f>
        <v/>
      </c>
      <c r="Q2030">
        <f>P2030*0.0015</f>
        <v/>
      </c>
      <c r="R2030">
        <f>I2030*(1-Q2030)</f>
        <v/>
      </c>
      <c r="S2030">
        <f>R2030/R2029-1</f>
        <v/>
      </c>
      <c r="T2030">
        <f>MAX(T2029,R2030)</f>
        <v/>
      </c>
      <c r="U2030">
        <f>R2030/T2030-1</f>
        <v/>
      </c>
      <c r="V2030" t="n">
        <v>3.743110609325977</v>
      </c>
      <c r="W2030" s="5">
        <f>R2030-V2030</f>
        <v/>
      </c>
    </row>
    <row r="2031">
      <c r="A2031" s="3" t="n">
        <v>41422</v>
      </c>
      <c r="B2031">
        <f>Prices!B2031</f>
        <v/>
      </c>
      <c r="C2031">
        <f>Prices!C2031</f>
        <v/>
      </c>
      <c r="D2031">
        <f>Prices!D2031</f>
        <v/>
      </c>
      <c r="E2031">
        <f>Prices!E2031</f>
        <v/>
      </c>
      <c r="F2031">
        <f>Prices!F2031</f>
        <v/>
      </c>
      <c r="G2031">
        <f>IF(AND(2029&gt;=16,TEXT(A2031,"yyyy-mm")&lt;&gt;TEXT(A2032,"yyyy-mm")),1,0)</f>
        <v/>
      </c>
      <c r="H2031">
        <f>IF(OR(H2030=1,G2031=1),1,0)</f>
        <v/>
      </c>
      <c r="I2031">
        <f>IF(H2030=0,1,SUMPRODUCT(J2030:N2030,B2031:F2031)+O2030*(1+0.00023125256064071564))</f>
        <v/>
      </c>
      <c r="J2031">
        <f>IF(G2031=1,0.2*R2031/B2031,J2030)</f>
        <v/>
      </c>
      <c r="K2031">
        <f>IF(G2031=1,0.2*R2031/C2031,K2030)</f>
        <v/>
      </c>
      <c r="L2031">
        <f>IF(G2031=1,0.2*R2031/D2031,L2030)</f>
        <v/>
      </c>
      <c r="M2031">
        <f>IF(G2031=1,0.2*R2031/E2031,M2030)</f>
        <v/>
      </c>
      <c r="N2031">
        <f>IF(G2031=1,0.2*R2031/F2031,N2030)</f>
        <v/>
      </c>
      <c r="O2031">
        <f>IF(G2031=1,R2031*(1-1.0),IF(H2030=0,1,O2030*(1+0.00023125256064071564)))</f>
        <v/>
      </c>
      <c r="P2031">
        <f>IF(G2031=1,IF(H2030=0,1,ABS(0.2-J2030*B2031/I2031)+ABS(0.2-K2030*C2031/I2031)+ABS(0.2-L2030*D2031/I2031)+ABS(0.2-M2030*E2031/I2031)+ABS(0.2-N2030*F2031/I2031)),0)</f>
        <v/>
      </c>
      <c r="Q2031">
        <f>P2031*0.0015</f>
        <v/>
      </c>
      <c r="R2031">
        <f>I2031*(1-Q2031)</f>
        <v/>
      </c>
      <c r="S2031">
        <f>R2031/R2030-1</f>
        <v/>
      </c>
      <c r="T2031">
        <f>MAX(T2030,R2031)</f>
        <v/>
      </c>
      <c r="U2031">
        <f>R2031/T2031-1</f>
        <v/>
      </c>
      <c r="V2031" t="n">
        <v>3.760679234667599</v>
      </c>
      <c r="W2031" s="5">
        <f>R2031-V2031</f>
        <v/>
      </c>
    </row>
    <row r="2032">
      <c r="A2032" s="3" t="n">
        <v>41423</v>
      </c>
      <c r="B2032">
        <f>Prices!B2032</f>
        <v/>
      </c>
      <c r="C2032">
        <f>Prices!C2032</f>
        <v/>
      </c>
      <c r="D2032">
        <f>Prices!D2032</f>
        <v/>
      </c>
      <c r="E2032">
        <f>Prices!E2032</f>
        <v/>
      </c>
      <c r="F2032">
        <f>Prices!F2032</f>
        <v/>
      </c>
      <c r="G2032">
        <f>IF(AND(2030&gt;=16,TEXT(A2032,"yyyy-mm")&lt;&gt;TEXT(A2033,"yyyy-mm")),1,0)</f>
        <v/>
      </c>
      <c r="H2032">
        <f>IF(OR(H2031=1,G2032=1),1,0)</f>
        <v/>
      </c>
      <c r="I2032">
        <f>IF(H2031=0,1,SUMPRODUCT(J2031:N2031,B2032:F2032)+O2031*(1+0.00023125256064071564))</f>
        <v/>
      </c>
      <c r="J2032">
        <f>IF(G2032=1,0.2*R2032/B2032,J2031)</f>
        <v/>
      </c>
      <c r="K2032">
        <f>IF(G2032=1,0.2*R2032/C2032,K2031)</f>
        <v/>
      </c>
      <c r="L2032">
        <f>IF(G2032=1,0.2*R2032/D2032,L2031)</f>
        <v/>
      </c>
      <c r="M2032">
        <f>IF(G2032=1,0.2*R2032/E2032,M2031)</f>
        <v/>
      </c>
      <c r="N2032">
        <f>IF(G2032=1,0.2*R2032/F2032,N2031)</f>
        <v/>
      </c>
      <c r="O2032">
        <f>IF(G2032=1,R2032*(1-1.0),IF(H2031=0,1,O2031*(1+0.00023125256064071564)))</f>
        <v/>
      </c>
      <c r="P2032">
        <f>IF(G2032=1,IF(H2031=0,1,ABS(0.2-J2031*B2032/I2032)+ABS(0.2-K2031*C2032/I2032)+ABS(0.2-L2031*D2032/I2032)+ABS(0.2-M2031*E2032/I2032)+ABS(0.2-N2031*F2032/I2032)),0)</f>
        <v/>
      </c>
      <c r="Q2032">
        <f>P2032*0.0015</f>
        <v/>
      </c>
      <c r="R2032">
        <f>I2032*(1-Q2032)</f>
        <v/>
      </c>
      <c r="S2032">
        <f>R2032/R2031-1</f>
        <v/>
      </c>
      <c r="T2032">
        <f>MAX(T2031,R2032)</f>
        <v/>
      </c>
      <c r="U2032">
        <f>R2032/T2032-1</f>
        <v/>
      </c>
      <c r="V2032" t="n">
        <v>3.75857997613902</v>
      </c>
      <c r="W2032" s="5">
        <f>R2032-V2032</f>
        <v/>
      </c>
    </row>
    <row r="2033">
      <c r="A2033" s="3" t="n">
        <v>41424</v>
      </c>
      <c r="B2033">
        <f>Prices!B2033</f>
        <v/>
      </c>
      <c r="C2033">
        <f>Prices!C2033</f>
        <v/>
      </c>
      <c r="D2033">
        <f>Prices!D2033</f>
        <v/>
      </c>
      <c r="E2033">
        <f>Prices!E2033</f>
        <v/>
      </c>
      <c r="F2033">
        <f>Prices!F2033</f>
        <v/>
      </c>
      <c r="G2033">
        <f>IF(AND(2031&gt;=16,TEXT(A2033,"yyyy-mm")&lt;&gt;TEXT(A2034,"yyyy-mm")),1,0)</f>
        <v/>
      </c>
      <c r="H2033">
        <f>IF(OR(H2032=1,G2033=1),1,0)</f>
        <v/>
      </c>
      <c r="I2033">
        <f>IF(H2032=0,1,SUMPRODUCT(J2032:N2032,B2033:F2033)+O2032*(1+0.00023125256064071564))</f>
        <v/>
      </c>
      <c r="J2033">
        <f>IF(G2033=1,0.2*R2033/B2033,J2032)</f>
        <v/>
      </c>
      <c r="K2033">
        <f>IF(G2033=1,0.2*R2033/C2033,K2032)</f>
        <v/>
      </c>
      <c r="L2033">
        <f>IF(G2033=1,0.2*R2033/D2033,L2032)</f>
        <v/>
      </c>
      <c r="M2033">
        <f>IF(G2033=1,0.2*R2033/E2033,M2032)</f>
        <v/>
      </c>
      <c r="N2033">
        <f>IF(G2033=1,0.2*R2033/F2033,N2032)</f>
        <v/>
      </c>
      <c r="O2033">
        <f>IF(G2033=1,R2033*(1-1.0),IF(H2032=0,1,O2032*(1+0.00023125256064071564)))</f>
        <v/>
      </c>
      <c r="P2033">
        <f>IF(G2033=1,IF(H2032=0,1,ABS(0.2-J2032*B2033/I2033)+ABS(0.2-K2032*C2033/I2033)+ABS(0.2-L2032*D2033/I2033)+ABS(0.2-M2032*E2033/I2033)+ABS(0.2-N2032*F2033/I2033)),0)</f>
        <v/>
      </c>
      <c r="Q2033">
        <f>P2033*0.0015</f>
        <v/>
      </c>
      <c r="R2033">
        <f>I2033*(1-Q2033)</f>
        <v/>
      </c>
      <c r="S2033">
        <f>R2033/R2032-1</f>
        <v/>
      </c>
      <c r="T2033">
        <f>MAX(T2032,R2033)</f>
        <v/>
      </c>
      <c r="U2033">
        <f>R2033/T2033-1</f>
        <v/>
      </c>
      <c r="V2033" t="n">
        <v>3.763774866845125</v>
      </c>
      <c r="W2033" s="5">
        <f>R2033-V2033</f>
        <v/>
      </c>
    </row>
    <row r="2034">
      <c r="A2034" s="3" t="n">
        <v>41425</v>
      </c>
      <c r="B2034">
        <f>Prices!B2034</f>
        <v/>
      </c>
      <c r="C2034">
        <f>Prices!C2034</f>
        <v/>
      </c>
      <c r="D2034">
        <f>Prices!D2034</f>
        <v/>
      </c>
      <c r="E2034">
        <f>Prices!E2034</f>
        <v/>
      </c>
      <c r="F2034">
        <f>Prices!F2034</f>
        <v/>
      </c>
      <c r="G2034">
        <f>IF(AND(2032&gt;=16,TEXT(A2034,"yyyy-mm")&lt;&gt;TEXT(A2035,"yyyy-mm")),1,0)</f>
        <v/>
      </c>
      <c r="H2034">
        <f>IF(OR(H2033=1,G2034=1),1,0)</f>
        <v/>
      </c>
      <c r="I2034">
        <f>IF(H2033=0,1,SUMPRODUCT(J2033:N2033,B2034:F2034)+O2033*(1+0.00023125256064071564))</f>
        <v/>
      </c>
      <c r="J2034">
        <f>IF(G2034=1,0.2*R2034/B2034,J2033)</f>
        <v/>
      </c>
      <c r="K2034">
        <f>IF(G2034=1,0.2*R2034/C2034,K2033)</f>
        <v/>
      </c>
      <c r="L2034">
        <f>IF(G2034=1,0.2*R2034/D2034,L2033)</f>
        <v/>
      </c>
      <c r="M2034">
        <f>IF(G2034=1,0.2*R2034/E2034,M2033)</f>
        <v/>
      </c>
      <c r="N2034">
        <f>IF(G2034=1,0.2*R2034/F2034,N2033)</f>
        <v/>
      </c>
      <c r="O2034">
        <f>IF(G2034=1,R2034*(1-1.0),IF(H2033=0,1,O2033*(1+0.00023125256064071564)))</f>
        <v/>
      </c>
      <c r="P2034">
        <f>IF(G2034=1,IF(H2033=0,1,ABS(0.2-J2033*B2034/I2034)+ABS(0.2-K2033*C2034/I2034)+ABS(0.2-L2033*D2034/I2034)+ABS(0.2-M2033*E2034/I2034)+ABS(0.2-N2033*F2034/I2034)),0)</f>
        <v/>
      </c>
      <c r="Q2034">
        <f>P2034*0.0015</f>
        <v/>
      </c>
      <c r="R2034">
        <f>I2034*(1-Q2034)</f>
        <v/>
      </c>
      <c r="S2034">
        <f>R2034/R2033-1</f>
        <v/>
      </c>
      <c r="T2034">
        <f>MAX(T2033,R2034)</f>
        <v/>
      </c>
      <c r="U2034">
        <f>R2034/T2034-1</f>
        <v/>
      </c>
      <c r="V2034" t="n">
        <v>3.707991403108088</v>
      </c>
      <c r="W2034" s="5">
        <f>R2034-V2034</f>
        <v/>
      </c>
    </row>
    <row r="2035">
      <c r="A2035" s="3" t="n">
        <v>41428</v>
      </c>
      <c r="B2035">
        <f>Prices!B2035</f>
        <v/>
      </c>
      <c r="C2035">
        <f>Prices!C2035</f>
        <v/>
      </c>
      <c r="D2035">
        <f>Prices!D2035</f>
        <v/>
      </c>
      <c r="E2035">
        <f>Prices!E2035</f>
        <v/>
      </c>
      <c r="F2035">
        <f>Prices!F2035</f>
        <v/>
      </c>
      <c r="G2035">
        <f>IF(AND(2033&gt;=16,TEXT(A2035,"yyyy-mm")&lt;&gt;TEXT(A2036,"yyyy-mm")),1,0)</f>
        <v/>
      </c>
      <c r="H2035">
        <f>IF(OR(H2034=1,G2035=1),1,0)</f>
        <v/>
      </c>
      <c r="I2035">
        <f>IF(H2034=0,1,SUMPRODUCT(J2034:N2034,B2035:F2035)+O2034*(1+0.00023125256064071564))</f>
        <v/>
      </c>
      <c r="J2035">
        <f>IF(G2035=1,0.2*R2035/B2035,J2034)</f>
        <v/>
      </c>
      <c r="K2035">
        <f>IF(G2035=1,0.2*R2035/C2035,K2034)</f>
        <v/>
      </c>
      <c r="L2035">
        <f>IF(G2035=1,0.2*R2035/D2035,L2034)</f>
        <v/>
      </c>
      <c r="M2035">
        <f>IF(G2035=1,0.2*R2035/E2035,M2034)</f>
        <v/>
      </c>
      <c r="N2035">
        <f>IF(G2035=1,0.2*R2035/F2035,N2034)</f>
        <v/>
      </c>
      <c r="O2035">
        <f>IF(G2035=1,R2035*(1-1.0),IF(H2034=0,1,O2034*(1+0.00023125256064071564)))</f>
        <v/>
      </c>
      <c r="P2035">
        <f>IF(G2035=1,IF(H2034=0,1,ABS(0.2-J2034*B2035/I2035)+ABS(0.2-K2034*C2035/I2035)+ABS(0.2-L2034*D2035/I2035)+ABS(0.2-M2034*E2035/I2035)+ABS(0.2-N2034*F2035/I2035)),0)</f>
        <v/>
      </c>
      <c r="Q2035">
        <f>P2035*0.0015</f>
        <v/>
      </c>
      <c r="R2035">
        <f>I2035*(1-Q2035)</f>
        <v/>
      </c>
      <c r="S2035">
        <f>R2035/R2034-1</f>
        <v/>
      </c>
      <c r="T2035">
        <f>MAX(T2034,R2035)</f>
        <v/>
      </c>
      <c r="U2035">
        <f>R2035/T2035-1</f>
        <v/>
      </c>
      <c r="V2035" t="n">
        <v>3.697064157325469</v>
      </c>
      <c r="W2035" s="5">
        <f>R2035-V2035</f>
        <v/>
      </c>
    </row>
    <row r="2036">
      <c r="A2036" s="3" t="n">
        <v>41429</v>
      </c>
      <c r="B2036">
        <f>Prices!B2036</f>
        <v/>
      </c>
      <c r="C2036">
        <f>Prices!C2036</f>
        <v/>
      </c>
      <c r="D2036">
        <f>Prices!D2036</f>
        <v/>
      </c>
      <c r="E2036">
        <f>Prices!E2036</f>
        <v/>
      </c>
      <c r="F2036">
        <f>Prices!F2036</f>
        <v/>
      </c>
      <c r="G2036">
        <f>IF(AND(2034&gt;=16,TEXT(A2036,"yyyy-mm")&lt;&gt;TEXT(A2037,"yyyy-mm")),1,0)</f>
        <v/>
      </c>
      <c r="H2036">
        <f>IF(OR(H2035=1,G2036=1),1,0)</f>
        <v/>
      </c>
      <c r="I2036">
        <f>IF(H2035=0,1,SUMPRODUCT(J2035:N2035,B2036:F2036)+O2035*(1+0.00023125256064071564))</f>
        <v/>
      </c>
      <c r="J2036">
        <f>IF(G2036=1,0.2*R2036/B2036,J2035)</f>
        <v/>
      </c>
      <c r="K2036">
        <f>IF(G2036=1,0.2*R2036/C2036,K2035)</f>
        <v/>
      </c>
      <c r="L2036">
        <f>IF(G2036=1,0.2*R2036/D2036,L2035)</f>
        <v/>
      </c>
      <c r="M2036">
        <f>IF(G2036=1,0.2*R2036/E2036,M2035)</f>
        <v/>
      </c>
      <c r="N2036">
        <f>IF(G2036=1,0.2*R2036/F2036,N2035)</f>
        <v/>
      </c>
      <c r="O2036">
        <f>IF(G2036=1,R2036*(1-1.0),IF(H2035=0,1,O2035*(1+0.00023125256064071564)))</f>
        <v/>
      </c>
      <c r="P2036">
        <f>IF(G2036=1,IF(H2035=0,1,ABS(0.2-J2035*B2036/I2036)+ABS(0.2-K2035*C2036/I2036)+ABS(0.2-L2035*D2036/I2036)+ABS(0.2-M2035*E2036/I2036)+ABS(0.2-N2035*F2036/I2036)),0)</f>
        <v/>
      </c>
      <c r="Q2036">
        <f>P2036*0.0015</f>
        <v/>
      </c>
      <c r="R2036">
        <f>I2036*(1-Q2036)</f>
        <v/>
      </c>
      <c r="S2036">
        <f>R2036/R2035-1</f>
        <v/>
      </c>
      <c r="T2036">
        <f>MAX(T2035,R2036)</f>
        <v/>
      </c>
      <c r="U2036">
        <f>R2036/T2036-1</f>
        <v/>
      </c>
      <c r="V2036" t="n">
        <v>3.711770281549983</v>
      </c>
      <c r="W2036" s="5">
        <f>R2036-V2036</f>
        <v/>
      </c>
    </row>
    <row r="2037">
      <c r="A2037" s="3" t="n">
        <v>41430</v>
      </c>
      <c r="B2037">
        <f>Prices!B2037</f>
        <v/>
      </c>
      <c r="C2037">
        <f>Prices!C2037</f>
        <v/>
      </c>
      <c r="D2037">
        <f>Prices!D2037</f>
        <v/>
      </c>
      <c r="E2037">
        <f>Prices!E2037</f>
        <v/>
      </c>
      <c r="F2037">
        <f>Prices!F2037</f>
        <v/>
      </c>
      <c r="G2037">
        <f>IF(AND(2035&gt;=16,TEXT(A2037,"yyyy-mm")&lt;&gt;TEXT(A2038,"yyyy-mm")),1,0)</f>
        <v/>
      </c>
      <c r="H2037">
        <f>IF(OR(H2036=1,G2037=1),1,0)</f>
        <v/>
      </c>
      <c r="I2037">
        <f>IF(H2036=0,1,SUMPRODUCT(J2036:N2036,B2037:F2037)+O2036*(1+0.00023125256064071564))</f>
        <v/>
      </c>
      <c r="J2037">
        <f>IF(G2037=1,0.2*R2037/B2037,J2036)</f>
        <v/>
      </c>
      <c r="K2037">
        <f>IF(G2037=1,0.2*R2037/C2037,K2036)</f>
        <v/>
      </c>
      <c r="L2037">
        <f>IF(G2037=1,0.2*R2037/D2037,L2036)</f>
        <v/>
      </c>
      <c r="M2037">
        <f>IF(G2037=1,0.2*R2037/E2037,M2036)</f>
        <v/>
      </c>
      <c r="N2037">
        <f>IF(G2037=1,0.2*R2037/F2037,N2036)</f>
        <v/>
      </c>
      <c r="O2037">
        <f>IF(G2037=1,R2037*(1-1.0),IF(H2036=0,1,O2036*(1+0.00023125256064071564)))</f>
        <v/>
      </c>
      <c r="P2037">
        <f>IF(G2037=1,IF(H2036=0,1,ABS(0.2-J2036*B2037/I2037)+ABS(0.2-K2036*C2037/I2037)+ABS(0.2-L2036*D2037/I2037)+ABS(0.2-M2036*E2037/I2037)+ABS(0.2-N2036*F2037/I2037)),0)</f>
        <v/>
      </c>
      <c r="Q2037">
        <f>P2037*0.0015</f>
        <v/>
      </c>
      <c r="R2037">
        <f>I2037*(1-Q2037)</f>
        <v/>
      </c>
      <c r="S2037">
        <f>R2037/R2036-1</f>
        <v/>
      </c>
      <c r="T2037">
        <f>MAX(T2036,R2037)</f>
        <v/>
      </c>
      <c r="U2037">
        <f>R2037/T2037-1</f>
        <v/>
      </c>
      <c r="V2037" t="n">
        <v>3.715091244941724</v>
      </c>
      <c r="W2037" s="5">
        <f>R2037-V2037</f>
        <v/>
      </c>
    </row>
    <row r="2038">
      <c r="A2038" s="3" t="n">
        <v>41431</v>
      </c>
      <c r="B2038">
        <f>Prices!B2038</f>
        <v/>
      </c>
      <c r="C2038">
        <f>Prices!C2038</f>
        <v/>
      </c>
      <c r="D2038">
        <f>Prices!D2038</f>
        <v/>
      </c>
      <c r="E2038">
        <f>Prices!E2038</f>
        <v/>
      </c>
      <c r="F2038">
        <f>Prices!F2038</f>
        <v/>
      </c>
      <c r="G2038">
        <f>IF(AND(2036&gt;=16,TEXT(A2038,"yyyy-mm")&lt;&gt;TEXT(A2039,"yyyy-mm")),1,0)</f>
        <v/>
      </c>
      <c r="H2038">
        <f>IF(OR(H2037=1,G2038=1),1,0)</f>
        <v/>
      </c>
      <c r="I2038">
        <f>IF(H2037=0,1,SUMPRODUCT(J2037:N2037,B2038:F2038)+O2037*(1+0.00023125256064071564))</f>
        <v/>
      </c>
      <c r="J2038">
        <f>IF(G2038=1,0.2*R2038/B2038,J2037)</f>
        <v/>
      </c>
      <c r="K2038">
        <f>IF(G2038=1,0.2*R2038/C2038,K2037)</f>
        <v/>
      </c>
      <c r="L2038">
        <f>IF(G2038=1,0.2*R2038/D2038,L2037)</f>
        <v/>
      </c>
      <c r="M2038">
        <f>IF(G2038=1,0.2*R2038/E2038,M2037)</f>
        <v/>
      </c>
      <c r="N2038">
        <f>IF(G2038=1,0.2*R2038/F2038,N2037)</f>
        <v/>
      </c>
      <c r="O2038">
        <f>IF(G2038=1,R2038*(1-1.0),IF(H2037=0,1,O2037*(1+0.00023125256064071564)))</f>
        <v/>
      </c>
      <c r="P2038">
        <f>IF(G2038=1,IF(H2037=0,1,ABS(0.2-J2037*B2038/I2038)+ABS(0.2-K2037*C2038/I2038)+ABS(0.2-L2037*D2038/I2038)+ABS(0.2-M2037*E2038/I2038)+ABS(0.2-N2037*F2038/I2038)),0)</f>
        <v/>
      </c>
      <c r="Q2038">
        <f>P2038*0.0015</f>
        <v/>
      </c>
      <c r="R2038">
        <f>I2038*(1-Q2038)</f>
        <v/>
      </c>
      <c r="S2038">
        <f>R2038/R2037-1</f>
        <v/>
      </c>
      <c r="T2038">
        <f>MAX(T2037,R2038)</f>
        <v/>
      </c>
      <c r="U2038">
        <f>R2038/T2038-1</f>
        <v/>
      </c>
      <c r="V2038" t="n">
        <v>3.703681414372961</v>
      </c>
      <c r="W2038" s="5">
        <f>R2038-V2038</f>
        <v/>
      </c>
    </row>
    <row r="2039">
      <c r="A2039" s="3" t="n">
        <v>41432</v>
      </c>
      <c r="B2039">
        <f>Prices!B2039</f>
        <v/>
      </c>
      <c r="C2039">
        <f>Prices!C2039</f>
        <v/>
      </c>
      <c r="D2039">
        <f>Prices!D2039</f>
        <v/>
      </c>
      <c r="E2039">
        <f>Prices!E2039</f>
        <v/>
      </c>
      <c r="F2039">
        <f>Prices!F2039</f>
        <v/>
      </c>
      <c r="G2039">
        <f>IF(AND(2037&gt;=16,TEXT(A2039,"yyyy-mm")&lt;&gt;TEXT(A2040,"yyyy-mm")),1,0)</f>
        <v/>
      </c>
      <c r="H2039">
        <f>IF(OR(H2038=1,G2039=1),1,0)</f>
        <v/>
      </c>
      <c r="I2039">
        <f>IF(H2038=0,1,SUMPRODUCT(J2038:N2038,B2039:F2039)+O2038*(1+0.00023125256064071564))</f>
        <v/>
      </c>
      <c r="J2039">
        <f>IF(G2039=1,0.2*R2039/B2039,J2038)</f>
        <v/>
      </c>
      <c r="K2039">
        <f>IF(G2039=1,0.2*R2039/C2039,K2038)</f>
        <v/>
      </c>
      <c r="L2039">
        <f>IF(G2039=1,0.2*R2039/D2039,L2038)</f>
        <v/>
      </c>
      <c r="M2039">
        <f>IF(G2039=1,0.2*R2039/E2039,M2038)</f>
        <v/>
      </c>
      <c r="N2039">
        <f>IF(G2039=1,0.2*R2039/F2039,N2038)</f>
        <v/>
      </c>
      <c r="O2039">
        <f>IF(G2039=1,R2039*(1-1.0),IF(H2038=0,1,O2038*(1+0.00023125256064071564)))</f>
        <v/>
      </c>
      <c r="P2039">
        <f>IF(G2039=1,IF(H2038=0,1,ABS(0.2-J2038*B2039/I2039)+ABS(0.2-K2038*C2039/I2039)+ABS(0.2-L2038*D2039/I2039)+ABS(0.2-M2038*E2039/I2039)+ABS(0.2-N2038*F2039/I2039)),0)</f>
        <v/>
      </c>
      <c r="Q2039">
        <f>P2039*0.0015</f>
        <v/>
      </c>
      <c r="R2039">
        <f>I2039*(1-Q2039)</f>
        <v/>
      </c>
      <c r="S2039">
        <f>R2039/R2038-1</f>
        <v/>
      </c>
      <c r="T2039">
        <f>MAX(T2038,R2039)</f>
        <v/>
      </c>
      <c r="U2039">
        <f>R2039/T2039-1</f>
        <v/>
      </c>
      <c r="V2039" t="n">
        <v>3.683462767810309</v>
      </c>
      <c r="W2039" s="5">
        <f>R2039-V2039</f>
        <v/>
      </c>
    </row>
    <row r="2040">
      <c r="A2040" s="3" t="n">
        <v>41435</v>
      </c>
      <c r="B2040">
        <f>Prices!B2040</f>
        <v/>
      </c>
      <c r="C2040">
        <f>Prices!C2040</f>
        <v/>
      </c>
      <c r="D2040">
        <f>Prices!D2040</f>
        <v/>
      </c>
      <c r="E2040">
        <f>Prices!E2040</f>
        <v/>
      </c>
      <c r="F2040">
        <f>Prices!F2040</f>
        <v/>
      </c>
      <c r="G2040">
        <f>IF(AND(2038&gt;=16,TEXT(A2040,"yyyy-mm")&lt;&gt;TEXT(A2041,"yyyy-mm")),1,0)</f>
        <v/>
      </c>
      <c r="H2040">
        <f>IF(OR(H2039=1,G2040=1),1,0)</f>
        <v/>
      </c>
      <c r="I2040">
        <f>IF(H2039=0,1,SUMPRODUCT(J2039:N2039,B2040:F2040)+O2039*(1+0.00023125256064071564))</f>
        <v/>
      </c>
      <c r="J2040">
        <f>IF(G2040=1,0.2*R2040/B2040,J2039)</f>
        <v/>
      </c>
      <c r="K2040">
        <f>IF(G2040=1,0.2*R2040/C2040,K2039)</f>
        <v/>
      </c>
      <c r="L2040">
        <f>IF(G2040=1,0.2*R2040/D2040,L2039)</f>
        <v/>
      </c>
      <c r="M2040">
        <f>IF(G2040=1,0.2*R2040/E2040,M2039)</f>
        <v/>
      </c>
      <c r="N2040">
        <f>IF(G2040=1,0.2*R2040/F2040,N2039)</f>
        <v/>
      </c>
      <c r="O2040">
        <f>IF(G2040=1,R2040*(1-1.0),IF(H2039=0,1,O2039*(1+0.00023125256064071564)))</f>
        <v/>
      </c>
      <c r="P2040">
        <f>IF(G2040=1,IF(H2039=0,1,ABS(0.2-J2039*B2040/I2040)+ABS(0.2-K2039*C2040/I2040)+ABS(0.2-L2039*D2040/I2040)+ABS(0.2-M2039*E2040/I2040)+ABS(0.2-N2039*F2040/I2040)),0)</f>
        <v/>
      </c>
      <c r="Q2040">
        <f>P2040*0.0015</f>
        <v/>
      </c>
      <c r="R2040">
        <f>I2040*(1-Q2040)</f>
        <v/>
      </c>
      <c r="S2040">
        <f>R2040/R2039-1</f>
        <v/>
      </c>
      <c r="T2040">
        <f>MAX(T2039,R2040)</f>
        <v/>
      </c>
      <c r="U2040">
        <f>R2040/T2040-1</f>
        <v/>
      </c>
      <c r="V2040" t="n">
        <v>3.655384208906645</v>
      </c>
      <c r="W2040" s="5">
        <f>R2040-V2040</f>
        <v/>
      </c>
    </row>
    <row r="2041">
      <c r="A2041" s="3" t="n">
        <v>41436</v>
      </c>
      <c r="B2041">
        <f>Prices!B2041</f>
        <v/>
      </c>
      <c r="C2041">
        <f>Prices!C2041</f>
        <v/>
      </c>
      <c r="D2041">
        <f>Prices!D2041</f>
        <v/>
      </c>
      <c r="E2041">
        <f>Prices!E2041</f>
        <v/>
      </c>
      <c r="F2041">
        <f>Prices!F2041</f>
        <v/>
      </c>
      <c r="G2041">
        <f>IF(AND(2039&gt;=16,TEXT(A2041,"yyyy-mm")&lt;&gt;TEXT(A2042,"yyyy-mm")),1,0)</f>
        <v/>
      </c>
      <c r="H2041">
        <f>IF(OR(H2040=1,G2041=1),1,0)</f>
        <v/>
      </c>
      <c r="I2041">
        <f>IF(H2040=0,1,SUMPRODUCT(J2040:N2040,B2041:F2041)+O2040*(1+0.00023125256064071564))</f>
        <v/>
      </c>
      <c r="J2041">
        <f>IF(G2041=1,0.2*R2041/B2041,J2040)</f>
        <v/>
      </c>
      <c r="K2041">
        <f>IF(G2041=1,0.2*R2041/C2041,K2040)</f>
        <v/>
      </c>
      <c r="L2041">
        <f>IF(G2041=1,0.2*R2041/D2041,L2040)</f>
        <v/>
      </c>
      <c r="M2041">
        <f>IF(G2041=1,0.2*R2041/E2041,M2040)</f>
        <v/>
      </c>
      <c r="N2041">
        <f>IF(G2041=1,0.2*R2041/F2041,N2040)</f>
        <v/>
      </c>
      <c r="O2041">
        <f>IF(G2041=1,R2041*(1-1.0),IF(H2040=0,1,O2040*(1+0.00023125256064071564)))</f>
        <v/>
      </c>
      <c r="P2041">
        <f>IF(G2041=1,IF(H2040=0,1,ABS(0.2-J2040*B2041/I2041)+ABS(0.2-K2040*C2041/I2041)+ABS(0.2-L2040*D2041/I2041)+ABS(0.2-M2040*E2041/I2041)+ABS(0.2-N2040*F2041/I2041)),0)</f>
        <v/>
      </c>
      <c r="Q2041">
        <f>P2041*0.0015</f>
        <v/>
      </c>
      <c r="R2041">
        <f>I2041*(1-Q2041)</f>
        <v/>
      </c>
      <c r="S2041">
        <f>R2041/R2040-1</f>
        <v/>
      </c>
      <c r="T2041">
        <f>MAX(T2040,R2041)</f>
        <v/>
      </c>
      <c r="U2041">
        <f>R2041/T2041-1</f>
        <v/>
      </c>
      <c r="V2041" t="n">
        <v>3.603072261946672</v>
      </c>
      <c r="W2041" s="5">
        <f>R2041-V2041</f>
        <v/>
      </c>
    </row>
    <row r="2042">
      <c r="A2042" s="3" t="n">
        <v>41437</v>
      </c>
      <c r="B2042">
        <f>Prices!B2042</f>
        <v/>
      </c>
      <c r="C2042">
        <f>Prices!C2042</f>
        <v/>
      </c>
      <c r="D2042">
        <f>Prices!D2042</f>
        <v/>
      </c>
      <c r="E2042">
        <f>Prices!E2042</f>
        <v/>
      </c>
      <c r="F2042">
        <f>Prices!F2042</f>
        <v/>
      </c>
      <c r="G2042">
        <f>IF(AND(2040&gt;=16,TEXT(A2042,"yyyy-mm")&lt;&gt;TEXT(A2043,"yyyy-mm")),1,0)</f>
        <v/>
      </c>
      <c r="H2042">
        <f>IF(OR(H2041=1,G2042=1),1,0)</f>
        <v/>
      </c>
      <c r="I2042">
        <f>IF(H2041=0,1,SUMPRODUCT(J2041:N2041,B2042:F2042)+O2041*(1+0.00023125256064071564))</f>
        <v/>
      </c>
      <c r="J2042">
        <f>IF(G2042=1,0.2*R2042/B2042,J2041)</f>
        <v/>
      </c>
      <c r="K2042">
        <f>IF(G2042=1,0.2*R2042/C2042,K2041)</f>
        <v/>
      </c>
      <c r="L2042">
        <f>IF(G2042=1,0.2*R2042/D2042,L2041)</f>
        <v/>
      </c>
      <c r="M2042">
        <f>IF(G2042=1,0.2*R2042/E2042,M2041)</f>
        <v/>
      </c>
      <c r="N2042">
        <f>IF(G2042=1,0.2*R2042/F2042,N2041)</f>
        <v/>
      </c>
      <c r="O2042">
        <f>IF(G2042=1,R2042*(1-1.0),IF(H2041=0,1,O2041*(1+0.00023125256064071564)))</f>
        <v/>
      </c>
      <c r="P2042">
        <f>IF(G2042=1,IF(H2041=0,1,ABS(0.2-J2041*B2042/I2042)+ABS(0.2-K2041*C2042/I2042)+ABS(0.2-L2041*D2042/I2042)+ABS(0.2-M2041*E2042/I2042)+ABS(0.2-N2041*F2042/I2042)),0)</f>
        <v/>
      </c>
      <c r="Q2042">
        <f>P2042*0.0015</f>
        <v/>
      </c>
      <c r="R2042">
        <f>I2042*(1-Q2042)</f>
        <v/>
      </c>
      <c r="S2042">
        <f>R2042/R2041-1</f>
        <v/>
      </c>
      <c r="T2042">
        <f>MAX(T2041,R2042)</f>
        <v/>
      </c>
      <c r="U2042">
        <f>R2042/T2042-1</f>
        <v/>
      </c>
      <c r="V2042" t="n">
        <v>3.579879227590963</v>
      </c>
      <c r="W2042" s="5">
        <f>R2042-V2042</f>
        <v/>
      </c>
    </row>
    <row r="2043">
      <c r="A2043" s="3" t="n">
        <v>41438</v>
      </c>
      <c r="B2043">
        <f>Prices!B2043</f>
        <v/>
      </c>
      <c r="C2043">
        <f>Prices!C2043</f>
        <v/>
      </c>
      <c r="D2043">
        <f>Prices!D2043</f>
        <v/>
      </c>
      <c r="E2043">
        <f>Prices!E2043</f>
        <v/>
      </c>
      <c r="F2043">
        <f>Prices!F2043</f>
        <v/>
      </c>
      <c r="G2043">
        <f>IF(AND(2041&gt;=16,TEXT(A2043,"yyyy-mm")&lt;&gt;TEXT(A2044,"yyyy-mm")),1,0)</f>
        <v/>
      </c>
      <c r="H2043">
        <f>IF(OR(H2042=1,G2043=1),1,0)</f>
        <v/>
      </c>
      <c r="I2043">
        <f>IF(H2042=0,1,SUMPRODUCT(J2042:N2042,B2043:F2043)+O2042*(1+0.00023125256064071564))</f>
        <v/>
      </c>
      <c r="J2043">
        <f>IF(G2043=1,0.2*R2043/B2043,J2042)</f>
        <v/>
      </c>
      <c r="K2043">
        <f>IF(G2043=1,0.2*R2043/C2043,K2042)</f>
        <v/>
      </c>
      <c r="L2043">
        <f>IF(G2043=1,0.2*R2043/D2043,L2042)</f>
        <v/>
      </c>
      <c r="M2043">
        <f>IF(G2043=1,0.2*R2043/E2043,M2042)</f>
        <v/>
      </c>
      <c r="N2043">
        <f>IF(G2043=1,0.2*R2043/F2043,N2042)</f>
        <v/>
      </c>
      <c r="O2043">
        <f>IF(G2043=1,R2043*(1-1.0),IF(H2042=0,1,O2042*(1+0.00023125256064071564)))</f>
        <v/>
      </c>
      <c r="P2043">
        <f>IF(G2043=1,IF(H2042=0,1,ABS(0.2-J2042*B2043/I2043)+ABS(0.2-K2042*C2043/I2043)+ABS(0.2-L2042*D2043/I2043)+ABS(0.2-M2042*E2043/I2043)+ABS(0.2-N2042*F2043/I2043)),0)</f>
        <v/>
      </c>
      <c r="Q2043">
        <f>P2043*0.0015</f>
        <v/>
      </c>
      <c r="R2043">
        <f>I2043*(1-Q2043)</f>
        <v/>
      </c>
      <c r="S2043">
        <f>R2043/R2042-1</f>
        <v/>
      </c>
      <c r="T2043">
        <f>MAX(T2042,R2043)</f>
        <v/>
      </c>
      <c r="U2043">
        <f>R2043/T2043-1</f>
        <v/>
      </c>
      <c r="V2043" t="n">
        <v>3.53022617051691</v>
      </c>
      <c r="W2043" s="5">
        <f>R2043-V2043</f>
        <v/>
      </c>
    </row>
    <row r="2044">
      <c r="A2044" s="3" t="n">
        <v>41439</v>
      </c>
      <c r="B2044">
        <f>Prices!B2044</f>
        <v/>
      </c>
      <c r="C2044">
        <f>Prices!C2044</f>
        <v/>
      </c>
      <c r="D2044">
        <f>Prices!D2044</f>
        <v/>
      </c>
      <c r="E2044">
        <f>Prices!E2044</f>
        <v/>
      </c>
      <c r="F2044">
        <f>Prices!F2044</f>
        <v/>
      </c>
      <c r="G2044">
        <f>IF(AND(2042&gt;=16,TEXT(A2044,"yyyy-mm")&lt;&gt;TEXT(A2045,"yyyy-mm")),1,0)</f>
        <v/>
      </c>
      <c r="H2044">
        <f>IF(OR(H2043=1,G2044=1),1,0)</f>
        <v/>
      </c>
      <c r="I2044">
        <f>IF(H2043=0,1,SUMPRODUCT(J2043:N2043,B2044:F2044)+O2043*(1+0.00023125256064071564))</f>
        <v/>
      </c>
      <c r="J2044">
        <f>IF(G2044=1,0.2*R2044/B2044,J2043)</f>
        <v/>
      </c>
      <c r="K2044">
        <f>IF(G2044=1,0.2*R2044/C2044,K2043)</f>
        <v/>
      </c>
      <c r="L2044">
        <f>IF(G2044=1,0.2*R2044/D2044,L2043)</f>
        <v/>
      </c>
      <c r="M2044">
        <f>IF(G2044=1,0.2*R2044/E2044,M2043)</f>
        <v/>
      </c>
      <c r="N2044">
        <f>IF(G2044=1,0.2*R2044/F2044,N2043)</f>
        <v/>
      </c>
      <c r="O2044">
        <f>IF(G2044=1,R2044*(1-1.0),IF(H2043=0,1,O2043*(1+0.00023125256064071564)))</f>
        <v/>
      </c>
      <c r="P2044">
        <f>IF(G2044=1,IF(H2043=0,1,ABS(0.2-J2043*B2044/I2044)+ABS(0.2-K2043*C2044/I2044)+ABS(0.2-L2043*D2044/I2044)+ABS(0.2-M2043*E2044/I2044)+ABS(0.2-N2043*F2044/I2044)),0)</f>
        <v/>
      </c>
      <c r="Q2044">
        <f>P2044*0.0015</f>
        <v/>
      </c>
      <c r="R2044">
        <f>I2044*(1-Q2044)</f>
        <v/>
      </c>
      <c r="S2044">
        <f>R2044/R2043-1</f>
        <v/>
      </c>
      <c r="T2044">
        <f>MAX(T2043,R2044)</f>
        <v/>
      </c>
      <c r="U2044">
        <f>R2044/T2044-1</f>
        <v/>
      </c>
      <c r="V2044" t="n">
        <v>3.580484266714947</v>
      </c>
      <c r="W2044" s="5">
        <f>R2044-V2044</f>
        <v/>
      </c>
    </row>
    <row r="2045">
      <c r="A2045" s="3" t="n">
        <v>41442</v>
      </c>
      <c r="B2045">
        <f>Prices!B2045</f>
        <v/>
      </c>
      <c r="C2045">
        <f>Prices!C2045</f>
        <v/>
      </c>
      <c r="D2045">
        <f>Prices!D2045</f>
        <v/>
      </c>
      <c r="E2045">
        <f>Prices!E2045</f>
        <v/>
      </c>
      <c r="F2045">
        <f>Prices!F2045</f>
        <v/>
      </c>
      <c r="G2045">
        <f>IF(AND(2043&gt;=16,TEXT(A2045,"yyyy-mm")&lt;&gt;TEXT(A2046,"yyyy-mm")),1,0)</f>
        <v/>
      </c>
      <c r="H2045">
        <f>IF(OR(H2044=1,G2045=1),1,0)</f>
        <v/>
      </c>
      <c r="I2045">
        <f>IF(H2044=0,1,SUMPRODUCT(J2044:N2044,B2045:F2045)+O2044*(1+0.00023125256064071564))</f>
        <v/>
      </c>
      <c r="J2045">
        <f>IF(G2045=1,0.2*R2045/B2045,J2044)</f>
        <v/>
      </c>
      <c r="K2045">
        <f>IF(G2045=1,0.2*R2045/C2045,K2044)</f>
        <v/>
      </c>
      <c r="L2045">
        <f>IF(G2045=1,0.2*R2045/D2045,L2044)</f>
        <v/>
      </c>
      <c r="M2045">
        <f>IF(G2045=1,0.2*R2045/E2045,M2044)</f>
        <v/>
      </c>
      <c r="N2045">
        <f>IF(G2045=1,0.2*R2045/F2045,N2044)</f>
        <v/>
      </c>
      <c r="O2045">
        <f>IF(G2045=1,R2045*(1-1.0),IF(H2044=0,1,O2044*(1+0.00023125256064071564)))</f>
        <v/>
      </c>
      <c r="P2045">
        <f>IF(G2045=1,IF(H2044=0,1,ABS(0.2-J2044*B2045/I2045)+ABS(0.2-K2044*C2045/I2045)+ABS(0.2-L2044*D2045/I2045)+ABS(0.2-M2044*E2045/I2045)+ABS(0.2-N2044*F2045/I2045)),0)</f>
        <v/>
      </c>
      <c r="Q2045">
        <f>P2045*0.0015</f>
        <v/>
      </c>
      <c r="R2045">
        <f>I2045*(1-Q2045)</f>
        <v/>
      </c>
      <c r="S2045">
        <f>R2045/R2044-1</f>
        <v/>
      </c>
      <c r="T2045">
        <f>MAX(T2044,R2045)</f>
        <v/>
      </c>
      <c r="U2045">
        <f>R2045/T2045-1</f>
        <v/>
      </c>
      <c r="V2045" t="n">
        <v>3.60909122800947</v>
      </c>
      <c r="W2045" s="5">
        <f>R2045-V2045</f>
        <v/>
      </c>
    </row>
    <row r="2046">
      <c r="A2046" s="3" t="n">
        <v>41443</v>
      </c>
      <c r="B2046">
        <f>Prices!B2046</f>
        <v/>
      </c>
      <c r="C2046">
        <f>Prices!C2046</f>
        <v/>
      </c>
      <c r="D2046">
        <f>Prices!D2046</f>
        <v/>
      </c>
      <c r="E2046">
        <f>Prices!E2046</f>
        <v/>
      </c>
      <c r="F2046">
        <f>Prices!F2046</f>
        <v/>
      </c>
      <c r="G2046">
        <f>IF(AND(2044&gt;=16,TEXT(A2046,"yyyy-mm")&lt;&gt;TEXT(A2047,"yyyy-mm")),1,0)</f>
        <v/>
      </c>
      <c r="H2046">
        <f>IF(OR(H2045=1,G2046=1),1,0)</f>
        <v/>
      </c>
      <c r="I2046">
        <f>IF(H2045=0,1,SUMPRODUCT(J2045:N2045,B2046:F2046)+O2045*(1+0.00023125256064071564))</f>
        <v/>
      </c>
      <c r="J2046">
        <f>IF(G2046=1,0.2*R2046/B2046,J2045)</f>
        <v/>
      </c>
      <c r="K2046">
        <f>IF(G2046=1,0.2*R2046/C2046,K2045)</f>
        <v/>
      </c>
      <c r="L2046">
        <f>IF(G2046=1,0.2*R2046/D2046,L2045)</f>
        <v/>
      </c>
      <c r="M2046">
        <f>IF(G2046=1,0.2*R2046/E2046,M2045)</f>
        <v/>
      </c>
      <c r="N2046">
        <f>IF(G2046=1,0.2*R2046/F2046,N2045)</f>
        <v/>
      </c>
      <c r="O2046">
        <f>IF(G2046=1,R2046*(1-1.0),IF(H2045=0,1,O2045*(1+0.00023125256064071564)))</f>
        <v/>
      </c>
      <c r="P2046">
        <f>IF(G2046=1,IF(H2045=0,1,ABS(0.2-J2045*B2046/I2046)+ABS(0.2-K2045*C2046/I2046)+ABS(0.2-L2045*D2046/I2046)+ABS(0.2-M2045*E2046/I2046)+ABS(0.2-N2045*F2046/I2046)),0)</f>
        <v/>
      </c>
      <c r="Q2046">
        <f>P2046*0.0015</f>
        <v/>
      </c>
      <c r="R2046">
        <f>I2046*(1-Q2046)</f>
        <v/>
      </c>
      <c r="S2046">
        <f>R2046/R2045-1</f>
        <v/>
      </c>
      <c r="T2046">
        <f>MAX(T2045,R2046)</f>
        <v/>
      </c>
      <c r="U2046">
        <f>R2046/T2046-1</f>
        <v/>
      </c>
      <c r="V2046" t="n">
        <v>3.617563623188792</v>
      </c>
      <c r="W2046" s="5">
        <f>R2046-V2046</f>
        <v/>
      </c>
    </row>
    <row r="2047">
      <c r="A2047" s="3" t="n">
        <v>41444</v>
      </c>
      <c r="B2047">
        <f>Prices!B2047</f>
        <v/>
      </c>
      <c r="C2047">
        <f>Prices!C2047</f>
        <v/>
      </c>
      <c r="D2047">
        <f>Prices!D2047</f>
        <v/>
      </c>
      <c r="E2047">
        <f>Prices!E2047</f>
        <v/>
      </c>
      <c r="F2047">
        <f>Prices!F2047</f>
        <v/>
      </c>
      <c r="G2047">
        <f>IF(AND(2045&gt;=16,TEXT(A2047,"yyyy-mm")&lt;&gt;TEXT(A2048,"yyyy-mm")),1,0)</f>
        <v/>
      </c>
      <c r="H2047">
        <f>IF(OR(H2046=1,G2047=1),1,0)</f>
        <v/>
      </c>
      <c r="I2047">
        <f>IF(H2046=0,1,SUMPRODUCT(J2046:N2046,B2047:F2047)+O2046*(1+0.00023125256064071564))</f>
        <v/>
      </c>
      <c r="J2047">
        <f>IF(G2047=1,0.2*R2047/B2047,J2046)</f>
        <v/>
      </c>
      <c r="K2047">
        <f>IF(G2047=1,0.2*R2047/C2047,K2046)</f>
        <v/>
      </c>
      <c r="L2047">
        <f>IF(G2047=1,0.2*R2047/D2047,L2046)</f>
        <v/>
      </c>
      <c r="M2047">
        <f>IF(G2047=1,0.2*R2047/E2047,M2046)</f>
        <v/>
      </c>
      <c r="N2047">
        <f>IF(G2047=1,0.2*R2047/F2047,N2046)</f>
        <v/>
      </c>
      <c r="O2047">
        <f>IF(G2047=1,R2047*(1-1.0),IF(H2046=0,1,O2046*(1+0.00023125256064071564)))</f>
        <v/>
      </c>
      <c r="P2047">
        <f>IF(G2047=1,IF(H2046=0,1,ABS(0.2-J2046*B2047/I2047)+ABS(0.2-K2046*C2047/I2047)+ABS(0.2-L2046*D2047/I2047)+ABS(0.2-M2046*E2047/I2047)+ABS(0.2-N2046*F2047/I2047)),0)</f>
        <v/>
      </c>
      <c r="Q2047">
        <f>P2047*0.0015</f>
        <v/>
      </c>
      <c r="R2047">
        <f>I2047*(1-Q2047)</f>
        <v/>
      </c>
      <c r="S2047">
        <f>R2047/R2046-1</f>
        <v/>
      </c>
      <c r="T2047">
        <f>MAX(T2046,R2047)</f>
        <v/>
      </c>
      <c r="U2047">
        <f>R2047/T2047-1</f>
        <v/>
      </c>
      <c r="V2047" t="n">
        <v>3.625895690748278</v>
      </c>
      <c r="W2047" s="5">
        <f>R2047-V2047</f>
        <v/>
      </c>
    </row>
    <row r="2048">
      <c r="A2048" s="3" t="n">
        <v>41445</v>
      </c>
      <c r="B2048">
        <f>Prices!B2048</f>
        <v/>
      </c>
      <c r="C2048">
        <f>Prices!C2048</f>
        <v/>
      </c>
      <c r="D2048">
        <f>Prices!D2048</f>
        <v/>
      </c>
      <c r="E2048">
        <f>Prices!E2048</f>
        <v/>
      </c>
      <c r="F2048">
        <f>Prices!F2048</f>
        <v/>
      </c>
      <c r="G2048">
        <f>IF(AND(2046&gt;=16,TEXT(A2048,"yyyy-mm")&lt;&gt;TEXT(A2049,"yyyy-mm")),1,0)</f>
        <v/>
      </c>
      <c r="H2048">
        <f>IF(OR(H2047=1,G2048=1),1,0)</f>
        <v/>
      </c>
      <c r="I2048">
        <f>IF(H2047=0,1,SUMPRODUCT(J2047:N2047,B2048:F2048)+O2047*(1+0.00023125256064071564))</f>
        <v/>
      </c>
      <c r="J2048">
        <f>IF(G2048=1,0.2*R2048/B2048,J2047)</f>
        <v/>
      </c>
      <c r="K2048">
        <f>IF(G2048=1,0.2*R2048/C2048,K2047)</f>
        <v/>
      </c>
      <c r="L2048">
        <f>IF(G2048=1,0.2*R2048/D2048,L2047)</f>
        <v/>
      </c>
      <c r="M2048">
        <f>IF(G2048=1,0.2*R2048/E2048,M2047)</f>
        <v/>
      </c>
      <c r="N2048">
        <f>IF(G2048=1,0.2*R2048/F2048,N2047)</f>
        <v/>
      </c>
      <c r="O2048">
        <f>IF(G2048=1,R2048*(1-1.0),IF(H2047=0,1,O2047*(1+0.00023125256064071564)))</f>
        <v/>
      </c>
      <c r="P2048">
        <f>IF(G2048=1,IF(H2047=0,1,ABS(0.2-J2047*B2048/I2048)+ABS(0.2-K2047*C2048/I2048)+ABS(0.2-L2047*D2048/I2048)+ABS(0.2-M2047*E2048/I2048)+ABS(0.2-N2047*F2048/I2048)),0)</f>
        <v/>
      </c>
      <c r="Q2048">
        <f>P2048*0.0015</f>
        <v/>
      </c>
      <c r="R2048">
        <f>I2048*(1-Q2048)</f>
        <v/>
      </c>
      <c r="S2048">
        <f>R2048/R2047-1</f>
        <v/>
      </c>
      <c r="T2048">
        <f>MAX(T2047,R2048)</f>
        <v/>
      </c>
      <c r="U2048">
        <f>R2048/T2048-1</f>
        <v/>
      </c>
      <c r="V2048" t="n">
        <v>3.545924087892123</v>
      </c>
      <c r="W2048" s="5">
        <f>R2048-V2048</f>
        <v/>
      </c>
    </row>
    <row r="2049">
      <c r="A2049" s="3" t="n">
        <v>41446</v>
      </c>
      <c r="B2049">
        <f>Prices!B2049</f>
        <v/>
      </c>
      <c r="C2049">
        <f>Prices!C2049</f>
        <v/>
      </c>
      <c r="D2049">
        <f>Prices!D2049</f>
        <v/>
      </c>
      <c r="E2049">
        <f>Prices!E2049</f>
        <v/>
      </c>
      <c r="F2049">
        <f>Prices!F2049</f>
        <v/>
      </c>
      <c r="G2049">
        <f>IF(AND(2047&gt;=16,TEXT(A2049,"yyyy-mm")&lt;&gt;TEXT(A2050,"yyyy-mm")),1,0)</f>
        <v/>
      </c>
      <c r="H2049">
        <f>IF(OR(H2048=1,G2049=1),1,0)</f>
        <v/>
      </c>
      <c r="I2049">
        <f>IF(H2048=0,1,SUMPRODUCT(J2048:N2048,B2049:F2049)+O2048*(1+0.00023125256064071564))</f>
        <v/>
      </c>
      <c r="J2049">
        <f>IF(G2049=1,0.2*R2049/B2049,J2048)</f>
        <v/>
      </c>
      <c r="K2049">
        <f>IF(G2049=1,0.2*R2049/C2049,K2048)</f>
        <v/>
      </c>
      <c r="L2049">
        <f>IF(G2049=1,0.2*R2049/D2049,L2048)</f>
        <v/>
      </c>
      <c r="M2049">
        <f>IF(G2049=1,0.2*R2049/E2049,M2048)</f>
        <v/>
      </c>
      <c r="N2049">
        <f>IF(G2049=1,0.2*R2049/F2049,N2048)</f>
        <v/>
      </c>
      <c r="O2049">
        <f>IF(G2049=1,R2049*(1-1.0),IF(H2048=0,1,O2048*(1+0.00023125256064071564)))</f>
        <v/>
      </c>
      <c r="P2049">
        <f>IF(G2049=1,IF(H2048=0,1,ABS(0.2-J2048*B2049/I2049)+ABS(0.2-K2048*C2049/I2049)+ABS(0.2-L2048*D2049/I2049)+ABS(0.2-M2048*E2049/I2049)+ABS(0.2-N2048*F2049/I2049)),0)</f>
        <v/>
      </c>
      <c r="Q2049">
        <f>P2049*0.0015</f>
        <v/>
      </c>
      <c r="R2049">
        <f>I2049*(1-Q2049)</f>
        <v/>
      </c>
      <c r="S2049">
        <f>R2049/R2048-1</f>
        <v/>
      </c>
      <c r="T2049">
        <f>MAX(T2048,R2049)</f>
        <v/>
      </c>
      <c r="U2049">
        <f>R2049/T2049-1</f>
        <v/>
      </c>
      <c r="V2049" t="n">
        <v>3.510643153245916</v>
      </c>
      <c r="W2049" s="5">
        <f>R2049-V2049</f>
        <v/>
      </c>
    </row>
    <row r="2050">
      <c r="A2050" s="3" t="n">
        <v>41449</v>
      </c>
      <c r="B2050">
        <f>Prices!B2050</f>
        <v/>
      </c>
      <c r="C2050">
        <f>Prices!C2050</f>
        <v/>
      </c>
      <c r="D2050">
        <f>Prices!D2050</f>
        <v/>
      </c>
      <c r="E2050">
        <f>Prices!E2050</f>
        <v/>
      </c>
      <c r="F2050">
        <f>Prices!F2050</f>
        <v/>
      </c>
      <c r="G2050">
        <f>IF(AND(2048&gt;=16,TEXT(A2050,"yyyy-mm")&lt;&gt;TEXT(A2051,"yyyy-mm")),1,0)</f>
        <v/>
      </c>
      <c r="H2050">
        <f>IF(OR(H2049=1,G2050=1),1,0)</f>
        <v/>
      </c>
      <c r="I2050">
        <f>IF(H2049=0,1,SUMPRODUCT(J2049:N2049,B2050:F2050)+O2049*(1+0.00023125256064071564))</f>
        <v/>
      </c>
      <c r="J2050">
        <f>IF(G2050=1,0.2*R2050/B2050,J2049)</f>
        <v/>
      </c>
      <c r="K2050">
        <f>IF(G2050=1,0.2*R2050/C2050,K2049)</f>
        <v/>
      </c>
      <c r="L2050">
        <f>IF(G2050=1,0.2*R2050/D2050,L2049)</f>
        <v/>
      </c>
      <c r="M2050">
        <f>IF(G2050=1,0.2*R2050/E2050,M2049)</f>
        <v/>
      </c>
      <c r="N2050">
        <f>IF(G2050=1,0.2*R2050/F2050,N2049)</f>
        <v/>
      </c>
      <c r="O2050">
        <f>IF(G2050=1,R2050*(1-1.0),IF(H2049=0,1,O2049*(1+0.00023125256064071564)))</f>
        <v/>
      </c>
      <c r="P2050">
        <f>IF(G2050=1,IF(H2049=0,1,ABS(0.2-J2049*B2050/I2050)+ABS(0.2-K2049*C2050/I2050)+ABS(0.2-L2049*D2050/I2050)+ABS(0.2-M2049*E2050/I2050)+ABS(0.2-N2049*F2050/I2050)),0)</f>
        <v/>
      </c>
      <c r="Q2050">
        <f>P2050*0.0015</f>
        <v/>
      </c>
      <c r="R2050">
        <f>I2050*(1-Q2050)</f>
        <v/>
      </c>
      <c r="S2050">
        <f>R2050/R2049-1</f>
        <v/>
      </c>
      <c r="T2050">
        <f>MAX(T2049,R2050)</f>
        <v/>
      </c>
      <c r="U2050">
        <f>R2050/T2050-1</f>
        <v/>
      </c>
      <c r="V2050" t="n">
        <v>3.43209283716862</v>
      </c>
      <c r="W2050" s="5">
        <f>R2050-V2050</f>
        <v/>
      </c>
    </row>
    <row r="2051">
      <c r="A2051" s="3" t="n">
        <v>41450</v>
      </c>
      <c r="B2051">
        <f>Prices!B2051</f>
        <v/>
      </c>
      <c r="C2051">
        <f>Prices!C2051</f>
        <v/>
      </c>
      <c r="D2051">
        <f>Prices!D2051</f>
        <v/>
      </c>
      <c r="E2051">
        <f>Prices!E2051</f>
        <v/>
      </c>
      <c r="F2051">
        <f>Prices!F2051</f>
        <v/>
      </c>
      <c r="G2051">
        <f>IF(AND(2049&gt;=16,TEXT(A2051,"yyyy-mm")&lt;&gt;TEXT(A2052,"yyyy-mm")),1,0)</f>
        <v/>
      </c>
      <c r="H2051">
        <f>IF(OR(H2050=1,G2051=1),1,0)</f>
        <v/>
      </c>
      <c r="I2051">
        <f>IF(H2050=0,1,SUMPRODUCT(J2050:N2050,B2051:F2051)+O2050*(1+0.00023125256064071564))</f>
        <v/>
      </c>
      <c r="J2051">
        <f>IF(G2051=1,0.2*R2051/B2051,J2050)</f>
        <v/>
      </c>
      <c r="K2051">
        <f>IF(G2051=1,0.2*R2051/C2051,K2050)</f>
        <v/>
      </c>
      <c r="L2051">
        <f>IF(G2051=1,0.2*R2051/D2051,L2050)</f>
        <v/>
      </c>
      <c r="M2051">
        <f>IF(G2051=1,0.2*R2051/E2051,M2050)</f>
        <v/>
      </c>
      <c r="N2051">
        <f>IF(G2051=1,0.2*R2051/F2051,N2050)</f>
        <v/>
      </c>
      <c r="O2051">
        <f>IF(G2051=1,R2051*(1-1.0),IF(H2050=0,1,O2050*(1+0.00023125256064071564)))</f>
        <v/>
      </c>
      <c r="P2051">
        <f>IF(G2051=1,IF(H2050=0,1,ABS(0.2-J2050*B2051/I2051)+ABS(0.2-K2050*C2051/I2051)+ABS(0.2-L2050*D2051/I2051)+ABS(0.2-M2050*E2051/I2051)+ABS(0.2-N2050*F2051/I2051)),0)</f>
        <v/>
      </c>
      <c r="Q2051">
        <f>P2051*0.0015</f>
        <v/>
      </c>
      <c r="R2051">
        <f>I2051*(1-Q2051)</f>
        <v/>
      </c>
      <c r="S2051">
        <f>R2051/R2050-1</f>
        <v/>
      </c>
      <c r="T2051">
        <f>MAX(T2050,R2051)</f>
        <v/>
      </c>
      <c r="U2051">
        <f>R2051/T2051-1</f>
        <v/>
      </c>
      <c r="V2051" t="n">
        <v>3.417005915417603</v>
      </c>
      <c r="W2051" s="5">
        <f>R2051-V2051</f>
        <v/>
      </c>
    </row>
    <row r="2052">
      <c r="A2052" s="3" t="n">
        <v>41451</v>
      </c>
      <c r="B2052">
        <f>Prices!B2052</f>
        <v/>
      </c>
      <c r="C2052">
        <f>Prices!C2052</f>
        <v/>
      </c>
      <c r="D2052">
        <f>Prices!D2052</f>
        <v/>
      </c>
      <c r="E2052">
        <f>Prices!E2052</f>
        <v/>
      </c>
      <c r="F2052">
        <f>Prices!F2052</f>
        <v/>
      </c>
      <c r="G2052">
        <f>IF(AND(2050&gt;=16,TEXT(A2052,"yyyy-mm")&lt;&gt;TEXT(A2053,"yyyy-mm")),1,0)</f>
        <v/>
      </c>
      <c r="H2052">
        <f>IF(OR(H2051=1,G2052=1),1,0)</f>
        <v/>
      </c>
      <c r="I2052">
        <f>IF(H2051=0,1,SUMPRODUCT(J2051:N2051,B2052:F2052)+O2051*(1+0.00023125256064071564))</f>
        <v/>
      </c>
      <c r="J2052">
        <f>IF(G2052=1,0.2*R2052/B2052,J2051)</f>
        <v/>
      </c>
      <c r="K2052">
        <f>IF(G2052=1,0.2*R2052/C2052,K2051)</f>
        <v/>
      </c>
      <c r="L2052">
        <f>IF(G2052=1,0.2*R2052/D2052,L2051)</f>
        <v/>
      </c>
      <c r="M2052">
        <f>IF(G2052=1,0.2*R2052/E2052,M2051)</f>
        <v/>
      </c>
      <c r="N2052">
        <f>IF(G2052=1,0.2*R2052/F2052,N2051)</f>
        <v/>
      </c>
      <c r="O2052">
        <f>IF(G2052=1,R2052*(1-1.0),IF(H2051=0,1,O2051*(1+0.00023125256064071564)))</f>
        <v/>
      </c>
      <c r="P2052">
        <f>IF(G2052=1,IF(H2051=0,1,ABS(0.2-J2051*B2052/I2052)+ABS(0.2-K2051*C2052/I2052)+ABS(0.2-L2051*D2052/I2052)+ABS(0.2-M2051*E2052/I2052)+ABS(0.2-N2051*F2052/I2052)),0)</f>
        <v/>
      </c>
      <c r="Q2052">
        <f>P2052*0.0015</f>
        <v/>
      </c>
      <c r="R2052">
        <f>I2052*(1-Q2052)</f>
        <v/>
      </c>
      <c r="S2052">
        <f>R2052/R2051-1</f>
        <v/>
      </c>
      <c r="T2052">
        <f>MAX(T2051,R2052)</f>
        <v/>
      </c>
      <c r="U2052">
        <f>R2052/T2052-1</f>
        <v/>
      </c>
      <c r="V2052" t="n">
        <v>3.410080930255796</v>
      </c>
      <c r="W2052" s="5">
        <f>R2052-V2052</f>
        <v/>
      </c>
    </row>
    <row r="2053">
      <c r="A2053" s="3" t="n">
        <v>41452</v>
      </c>
      <c r="B2053">
        <f>Prices!B2053</f>
        <v/>
      </c>
      <c r="C2053">
        <f>Prices!C2053</f>
        <v/>
      </c>
      <c r="D2053">
        <f>Prices!D2053</f>
        <v/>
      </c>
      <c r="E2053">
        <f>Prices!E2053</f>
        <v/>
      </c>
      <c r="F2053">
        <f>Prices!F2053</f>
        <v/>
      </c>
      <c r="G2053">
        <f>IF(AND(2051&gt;=16,TEXT(A2053,"yyyy-mm")&lt;&gt;TEXT(A2054,"yyyy-mm")),1,0)</f>
        <v/>
      </c>
      <c r="H2053">
        <f>IF(OR(H2052=1,G2053=1),1,0)</f>
        <v/>
      </c>
      <c r="I2053">
        <f>IF(H2052=0,1,SUMPRODUCT(J2052:N2052,B2053:F2053)+O2052*(1+0.00023125256064071564))</f>
        <v/>
      </c>
      <c r="J2053">
        <f>IF(G2053=1,0.2*R2053/B2053,J2052)</f>
        <v/>
      </c>
      <c r="K2053">
        <f>IF(G2053=1,0.2*R2053/C2053,K2052)</f>
        <v/>
      </c>
      <c r="L2053">
        <f>IF(G2053=1,0.2*R2053/D2053,L2052)</f>
        <v/>
      </c>
      <c r="M2053">
        <f>IF(G2053=1,0.2*R2053/E2053,M2052)</f>
        <v/>
      </c>
      <c r="N2053">
        <f>IF(G2053=1,0.2*R2053/F2053,N2052)</f>
        <v/>
      </c>
      <c r="O2053">
        <f>IF(G2053=1,R2053*(1-1.0),IF(H2052=0,1,O2052*(1+0.00023125256064071564)))</f>
        <v/>
      </c>
      <c r="P2053">
        <f>IF(G2053=1,IF(H2052=0,1,ABS(0.2-J2052*B2053/I2053)+ABS(0.2-K2052*C2053/I2053)+ABS(0.2-L2052*D2053/I2053)+ABS(0.2-M2052*E2053/I2053)+ABS(0.2-N2052*F2053/I2053)),0)</f>
        <v/>
      </c>
      <c r="Q2053">
        <f>P2053*0.0015</f>
        <v/>
      </c>
      <c r="R2053">
        <f>I2053*(1-Q2053)</f>
        <v/>
      </c>
      <c r="S2053">
        <f>R2053/R2052-1</f>
        <v/>
      </c>
      <c r="T2053">
        <f>MAX(T2052,R2053)</f>
        <v/>
      </c>
      <c r="U2053">
        <f>R2053/T2053-1</f>
        <v/>
      </c>
      <c r="V2053" t="n">
        <v>3.443606772093601</v>
      </c>
      <c r="W2053" s="5">
        <f>R2053-V2053</f>
        <v/>
      </c>
    </row>
    <row r="2054">
      <c r="A2054" s="3" t="n">
        <v>41453</v>
      </c>
      <c r="B2054">
        <f>Prices!B2054</f>
        <v/>
      </c>
      <c r="C2054">
        <f>Prices!C2054</f>
        <v/>
      </c>
      <c r="D2054">
        <f>Prices!D2054</f>
        <v/>
      </c>
      <c r="E2054">
        <f>Prices!E2054</f>
        <v/>
      </c>
      <c r="F2054">
        <f>Prices!F2054</f>
        <v/>
      </c>
      <c r="G2054">
        <f>IF(AND(2052&gt;=16,TEXT(A2054,"yyyy-mm")&lt;&gt;TEXT(A2055,"yyyy-mm")),1,0)</f>
        <v/>
      </c>
      <c r="H2054">
        <f>IF(OR(H2053=1,G2054=1),1,0)</f>
        <v/>
      </c>
      <c r="I2054">
        <f>IF(H2053=0,1,SUMPRODUCT(J2053:N2053,B2054:F2054)+O2053*(1+0.00023125256064071564))</f>
        <v/>
      </c>
      <c r="J2054">
        <f>IF(G2054=1,0.2*R2054/B2054,J2053)</f>
        <v/>
      </c>
      <c r="K2054">
        <f>IF(G2054=1,0.2*R2054/C2054,K2053)</f>
        <v/>
      </c>
      <c r="L2054">
        <f>IF(G2054=1,0.2*R2054/D2054,L2053)</f>
        <v/>
      </c>
      <c r="M2054">
        <f>IF(G2054=1,0.2*R2054/E2054,M2053)</f>
        <v/>
      </c>
      <c r="N2054">
        <f>IF(G2054=1,0.2*R2054/F2054,N2053)</f>
        <v/>
      </c>
      <c r="O2054">
        <f>IF(G2054=1,R2054*(1-1.0),IF(H2053=0,1,O2053*(1+0.00023125256064071564)))</f>
        <v/>
      </c>
      <c r="P2054">
        <f>IF(G2054=1,IF(H2053=0,1,ABS(0.2-J2053*B2054/I2054)+ABS(0.2-K2053*C2054/I2054)+ABS(0.2-L2053*D2054/I2054)+ABS(0.2-M2053*E2054/I2054)+ABS(0.2-N2053*F2054/I2054)),0)</f>
        <v/>
      </c>
      <c r="Q2054">
        <f>P2054*0.0015</f>
        <v/>
      </c>
      <c r="R2054">
        <f>I2054*(1-Q2054)</f>
        <v/>
      </c>
      <c r="S2054">
        <f>R2054/R2053-1</f>
        <v/>
      </c>
      <c r="T2054">
        <f>MAX(T2053,R2054)</f>
        <v/>
      </c>
      <c r="U2054">
        <f>R2054/T2054-1</f>
        <v/>
      </c>
      <c r="V2054" t="n">
        <v>3.518606488407552</v>
      </c>
      <c r="W2054" s="5">
        <f>R2054-V2054</f>
        <v/>
      </c>
    </row>
    <row r="2055">
      <c r="A2055" s="3" t="n">
        <v>41456</v>
      </c>
      <c r="B2055">
        <f>Prices!B2055</f>
        <v/>
      </c>
      <c r="C2055">
        <f>Prices!C2055</f>
        <v/>
      </c>
      <c r="D2055">
        <f>Prices!D2055</f>
        <v/>
      </c>
      <c r="E2055">
        <f>Prices!E2055</f>
        <v/>
      </c>
      <c r="F2055">
        <f>Prices!F2055</f>
        <v/>
      </c>
      <c r="G2055">
        <f>IF(AND(2053&gt;=16,TEXT(A2055,"yyyy-mm")&lt;&gt;TEXT(A2056,"yyyy-mm")),1,0)</f>
        <v/>
      </c>
      <c r="H2055">
        <f>IF(OR(H2054=1,G2055=1),1,0)</f>
        <v/>
      </c>
      <c r="I2055">
        <f>IF(H2054=0,1,SUMPRODUCT(J2054:N2054,B2055:F2055)+O2054*(1+0.00023125256064071564))</f>
        <v/>
      </c>
      <c r="J2055">
        <f>IF(G2055=1,0.2*R2055/B2055,J2054)</f>
        <v/>
      </c>
      <c r="K2055">
        <f>IF(G2055=1,0.2*R2055/C2055,K2054)</f>
        <v/>
      </c>
      <c r="L2055">
        <f>IF(G2055=1,0.2*R2055/D2055,L2054)</f>
        <v/>
      </c>
      <c r="M2055">
        <f>IF(G2055=1,0.2*R2055/E2055,M2054)</f>
        <v/>
      </c>
      <c r="N2055">
        <f>IF(G2055=1,0.2*R2055/F2055,N2054)</f>
        <v/>
      </c>
      <c r="O2055">
        <f>IF(G2055=1,R2055*(1-1.0),IF(H2054=0,1,O2054*(1+0.00023125256064071564)))</f>
        <v/>
      </c>
      <c r="P2055">
        <f>IF(G2055=1,IF(H2054=0,1,ABS(0.2-J2054*B2055/I2055)+ABS(0.2-K2054*C2055/I2055)+ABS(0.2-L2054*D2055/I2055)+ABS(0.2-M2054*E2055/I2055)+ABS(0.2-N2054*F2055/I2055)),0)</f>
        <v/>
      </c>
      <c r="Q2055">
        <f>P2055*0.0015</f>
        <v/>
      </c>
      <c r="R2055">
        <f>I2055*(1-Q2055)</f>
        <v/>
      </c>
      <c r="S2055">
        <f>R2055/R2054-1</f>
        <v/>
      </c>
      <c r="T2055">
        <f>MAX(T2054,R2055)</f>
        <v/>
      </c>
      <c r="U2055">
        <f>R2055/T2055-1</f>
        <v/>
      </c>
      <c r="V2055" t="n">
        <v>3.590212820462083</v>
      </c>
      <c r="W2055" s="5">
        <f>R2055-V2055</f>
        <v/>
      </c>
    </row>
    <row r="2056">
      <c r="A2056" s="3" t="n">
        <v>41457</v>
      </c>
      <c r="B2056">
        <f>Prices!B2056</f>
        <v/>
      </c>
      <c r="C2056">
        <f>Prices!C2056</f>
        <v/>
      </c>
      <c r="D2056">
        <f>Prices!D2056</f>
        <v/>
      </c>
      <c r="E2056">
        <f>Prices!E2056</f>
        <v/>
      </c>
      <c r="F2056">
        <f>Prices!F2056</f>
        <v/>
      </c>
      <c r="G2056">
        <f>IF(AND(2054&gt;=16,TEXT(A2056,"yyyy-mm")&lt;&gt;TEXT(A2057,"yyyy-mm")),1,0)</f>
        <v/>
      </c>
      <c r="H2056">
        <f>IF(OR(H2055=1,G2056=1),1,0)</f>
        <v/>
      </c>
      <c r="I2056">
        <f>IF(H2055=0,1,SUMPRODUCT(J2055:N2055,B2056:F2056)+O2055*(1+0.00023125256064071564))</f>
        <v/>
      </c>
      <c r="J2056">
        <f>IF(G2056=1,0.2*R2056/B2056,J2055)</f>
        <v/>
      </c>
      <c r="K2056">
        <f>IF(G2056=1,0.2*R2056/C2056,K2055)</f>
        <v/>
      </c>
      <c r="L2056">
        <f>IF(G2056=1,0.2*R2056/D2056,L2055)</f>
        <v/>
      </c>
      <c r="M2056">
        <f>IF(G2056=1,0.2*R2056/E2056,M2055)</f>
        <v/>
      </c>
      <c r="N2056">
        <f>IF(G2056=1,0.2*R2056/F2056,N2055)</f>
        <v/>
      </c>
      <c r="O2056">
        <f>IF(G2056=1,R2056*(1-1.0),IF(H2055=0,1,O2055*(1+0.00023125256064071564)))</f>
        <v/>
      </c>
      <c r="P2056">
        <f>IF(G2056=1,IF(H2055=0,1,ABS(0.2-J2055*B2056/I2056)+ABS(0.2-K2055*C2056/I2056)+ABS(0.2-L2055*D2056/I2056)+ABS(0.2-M2055*E2056/I2056)+ABS(0.2-N2055*F2056/I2056)),0)</f>
        <v/>
      </c>
      <c r="Q2056">
        <f>P2056*0.0015</f>
        <v/>
      </c>
      <c r="R2056">
        <f>I2056*(1-Q2056)</f>
        <v/>
      </c>
      <c r="S2056">
        <f>R2056/R2055-1</f>
        <v/>
      </c>
      <c r="T2056">
        <f>MAX(T2055,R2056)</f>
        <v/>
      </c>
      <c r="U2056">
        <f>R2056/T2056-1</f>
        <v/>
      </c>
      <c r="V2056" t="n">
        <v>3.578831177828504</v>
      </c>
      <c r="W2056" s="5">
        <f>R2056-V2056</f>
        <v/>
      </c>
    </row>
    <row r="2057">
      <c r="A2057" s="3" t="n">
        <v>41458</v>
      </c>
      <c r="B2057">
        <f>Prices!B2057</f>
        <v/>
      </c>
      <c r="C2057">
        <f>Prices!C2057</f>
        <v/>
      </c>
      <c r="D2057">
        <f>Prices!D2057</f>
        <v/>
      </c>
      <c r="E2057">
        <f>Prices!E2057</f>
        <v/>
      </c>
      <c r="F2057">
        <f>Prices!F2057</f>
        <v/>
      </c>
      <c r="G2057">
        <f>IF(AND(2055&gt;=16,TEXT(A2057,"yyyy-mm")&lt;&gt;TEXT(A2058,"yyyy-mm")),1,0)</f>
        <v/>
      </c>
      <c r="H2057">
        <f>IF(OR(H2056=1,G2057=1),1,0)</f>
        <v/>
      </c>
      <c r="I2057">
        <f>IF(H2056=0,1,SUMPRODUCT(J2056:N2056,B2057:F2057)+O2056*(1+0.00023125256064071564))</f>
        <v/>
      </c>
      <c r="J2057">
        <f>IF(G2057=1,0.2*R2057/B2057,J2056)</f>
        <v/>
      </c>
      <c r="K2057">
        <f>IF(G2057=1,0.2*R2057/C2057,K2056)</f>
        <v/>
      </c>
      <c r="L2057">
        <f>IF(G2057=1,0.2*R2057/D2057,L2056)</f>
        <v/>
      </c>
      <c r="M2057">
        <f>IF(G2057=1,0.2*R2057/E2057,M2056)</f>
        <v/>
      </c>
      <c r="N2057">
        <f>IF(G2057=1,0.2*R2057/F2057,N2056)</f>
        <v/>
      </c>
      <c r="O2057">
        <f>IF(G2057=1,R2057*(1-1.0),IF(H2056=0,1,O2056*(1+0.00023125256064071564)))</f>
        <v/>
      </c>
      <c r="P2057">
        <f>IF(G2057=1,IF(H2056=0,1,ABS(0.2-J2056*B2057/I2057)+ABS(0.2-K2056*C2057/I2057)+ABS(0.2-L2056*D2057/I2057)+ABS(0.2-M2056*E2057/I2057)+ABS(0.2-N2056*F2057/I2057)),0)</f>
        <v/>
      </c>
      <c r="Q2057">
        <f>P2057*0.0015</f>
        <v/>
      </c>
      <c r="R2057">
        <f>I2057*(1-Q2057)</f>
        <v/>
      </c>
      <c r="S2057">
        <f>R2057/R2056-1</f>
        <v/>
      </c>
      <c r="T2057">
        <f>MAX(T2056,R2057)</f>
        <v/>
      </c>
      <c r="U2057">
        <f>R2057/T2057-1</f>
        <v/>
      </c>
      <c r="V2057" t="n">
        <v>3.530875741689261</v>
      </c>
      <c r="W2057" s="5">
        <f>R2057-V2057</f>
        <v/>
      </c>
    </row>
    <row r="2058">
      <c r="A2058" s="3" t="n">
        <v>41459</v>
      </c>
      <c r="B2058">
        <f>Prices!B2058</f>
        <v/>
      </c>
      <c r="C2058">
        <f>Prices!C2058</f>
        <v/>
      </c>
      <c r="D2058">
        <f>Prices!D2058</f>
        <v/>
      </c>
      <c r="E2058">
        <f>Prices!E2058</f>
        <v/>
      </c>
      <c r="F2058">
        <f>Prices!F2058</f>
        <v/>
      </c>
      <c r="G2058">
        <f>IF(AND(2056&gt;=16,TEXT(A2058,"yyyy-mm")&lt;&gt;TEXT(A2059,"yyyy-mm")),1,0)</f>
        <v/>
      </c>
      <c r="H2058">
        <f>IF(OR(H2057=1,G2058=1),1,0)</f>
        <v/>
      </c>
      <c r="I2058">
        <f>IF(H2057=0,1,SUMPRODUCT(J2057:N2057,B2058:F2058)+O2057*(1+0.00023125256064071564))</f>
        <v/>
      </c>
      <c r="J2058">
        <f>IF(G2058=1,0.2*R2058/B2058,J2057)</f>
        <v/>
      </c>
      <c r="K2058">
        <f>IF(G2058=1,0.2*R2058/C2058,K2057)</f>
        <v/>
      </c>
      <c r="L2058">
        <f>IF(G2058=1,0.2*R2058/D2058,L2057)</f>
        <v/>
      </c>
      <c r="M2058">
        <f>IF(G2058=1,0.2*R2058/E2058,M2057)</f>
        <v/>
      </c>
      <c r="N2058">
        <f>IF(G2058=1,0.2*R2058/F2058,N2057)</f>
        <v/>
      </c>
      <c r="O2058">
        <f>IF(G2058=1,R2058*(1-1.0),IF(H2057=0,1,O2057*(1+0.00023125256064071564)))</f>
        <v/>
      </c>
      <c r="P2058">
        <f>IF(G2058=1,IF(H2057=0,1,ABS(0.2-J2057*B2058/I2058)+ABS(0.2-K2057*C2058/I2058)+ABS(0.2-L2057*D2058/I2058)+ABS(0.2-M2057*E2058/I2058)+ABS(0.2-N2057*F2058/I2058)),0)</f>
        <v/>
      </c>
      <c r="Q2058">
        <f>P2058*0.0015</f>
        <v/>
      </c>
      <c r="R2058">
        <f>I2058*(1-Q2058)</f>
        <v/>
      </c>
      <c r="S2058">
        <f>R2058/R2057-1</f>
        <v/>
      </c>
      <c r="T2058">
        <f>MAX(T2057,R2058)</f>
        <v/>
      </c>
      <c r="U2058">
        <f>R2058/T2058-1</f>
        <v/>
      </c>
      <c r="V2058" t="n">
        <v>3.566374438534848</v>
      </c>
      <c r="W2058" s="5">
        <f>R2058-V2058</f>
        <v/>
      </c>
    </row>
    <row r="2059">
      <c r="A2059" s="3" t="n">
        <v>41460</v>
      </c>
      <c r="B2059">
        <f>Prices!B2059</f>
        <v/>
      </c>
      <c r="C2059">
        <f>Prices!C2059</f>
        <v/>
      </c>
      <c r="D2059">
        <f>Prices!D2059</f>
        <v/>
      </c>
      <c r="E2059">
        <f>Prices!E2059</f>
        <v/>
      </c>
      <c r="F2059">
        <f>Prices!F2059</f>
        <v/>
      </c>
      <c r="G2059">
        <f>IF(AND(2057&gt;=16,TEXT(A2059,"yyyy-mm")&lt;&gt;TEXT(A2060,"yyyy-mm")),1,0)</f>
        <v/>
      </c>
      <c r="H2059">
        <f>IF(OR(H2058=1,G2059=1),1,0)</f>
        <v/>
      </c>
      <c r="I2059">
        <f>IF(H2058=0,1,SUMPRODUCT(J2058:N2058,B2059:F2059)+O2058*(1+0.00023125256064071564))</f>
        <v/>
      </c>
      <c r="J2059">
        <f>IF(G2059=1,0.2*R2059/B2059,J2058)</f>
        <v/>
      </c>
      <c r="K2059">
        <f>IF(G2059=1,0.2*R2059/C2059,K2058)</f>
        <v/>
      </c>
      <c r="L2059">
        <f>IF(G2059=1,0.2*R2059/D2059,L2058)</f>
        <v/>
      </c>
      <c r="M2059">
        <f>IF(G2059=1,0.2*R2059/E2059,M2058)</f>
        <v/>
      </c>
      <c r="N2059">
        <f>IF(G2059=1,0.2*R2059/F2059,N2058)</f>
        <v/>
      </c>
      <c r="O2059">
        <f>IF(G2059=1,R2059*(1-1.0),IF(H2058=0,1,O2058*(1+0.00023125256064071564)))</f>
        <v/>
      </c>
      <c r="P2059">
        <f>IF(G2059=1,IF(H2058=0,1,ABS(0.2-J2058*B2059/I2059)+ABS(0.2-K2058*C2059/I2059)+ABS(0.2-L2058*D2059/I2059)+ABS(0.2-M2058*E2059/I2059)+ABS(0.2-N2058*F2059/I2059)),0)</f>
        <v/>
      </c>
      <c r="Q2059">
        <f>P2059*0.0015</f>
        <v/>
      </c>
      <c r="R2059">
        <f>I2059*(1-Q2059)</f>
        <v/>
      </c>
      <c r="S2059">
        <f>R2059/R2058-1</f>
        <v/>
      </c>
      <c r="T2059">
        <f>MAX(T2058,R2059)</f>
        <v/>
      </c>
      <c r="U2059">
        <f>R2059/T2059-1</f>
        <v/>
      </c>
      <c r="V2059" t="n">
        <v>3.573654161359808</v>
      </c>
      <c r="W2059" s="5">
        <f>R2059-V2059</f>
        <v/>
      </c>
    </row>
    <row r="2060">
      <c r="A2060" s="3" t="n">
        <v>41463</v>
      </c>
      <c r="B2060">
        <f>Prices!B2060</f>
        <v/>
      </c>
      <c r="C2060">
        <f>Prices!C2060</f>
        <v/>
      </c>
      <c r="D2060">
        <f>Prices!D2060</f>
        <v/>
      </c>
      <c r="E2060">
        <f>Prices!E2060</f>
        <v/>
      </c>
      <c r="F2060">
        <f>Prices!F2060</f>
        <v/>
      </c>
      <c r="G2060">
        <f>IF(AND(2058&gt;=16,TEXT(A2060,"yyyy-mm")&lt;&gt;TEXT(A2061,"yyyy-mm")),1,0)</f>
        <v/>
      </c>
      <c r="H2060">
        <f>IF(OR(H2059=1,G2060=1),1,0)</f>
        <v/>
      </c>
      <c r="I2060">
        <f>IF(H2059=0,1,SUMPRODUCT(J2059:N2059,B2060:F2060)+O2059*(1+0.00023125256064071564))</f>
        <v/>
      </c>
      <c r="J2060">
        <f>IF(G2060=1,0.2*R2060/B2060,J2059)</f>
        <v/>
      </c>
      <c r="K2060">
        <f>IF(G2060=1,0.2*R2060/C2060,K2059)</f>
        <v/>
      </c>
      <c r="L2060">
        <f>IF(G2060=1,0.2*R2060/D2060,L2059)</f>
        <v/>
      </c>
      <c r="M2060">
        <f>IF(G2060=1,0.2*R2060/E2060,M2059)</f>
        <v/>
      </c>
      <c r="N2060">
        <f>IF(G2060=1,0.2*R2060/F2060,N2059)</f>
        <v/>
      </c>
      <c r="O2060">
        <f>IF(G2060=1,R2060*(1-1.0),IF(H2059=0,1,O2059*(1+0.00023125256064071564)))</f>
        <v/>
      </c>
      <c r="P2060">
        <f>IF(G2060=1,IF(H2059=0,1,ABS(0.2-J2059*B2060/I2060)+ABS(0.2-K2059*C2060/I2060)+ABS(0.2-L2059*D2060/I2060)+ABS(0.2-M2059*E2060/I2060)+ABS(0.2-N2059*F2060/I2060)),0)</f>
        <v/>
      </c>
      <c r="Q2060">
        <f>P2060*0.0015</f>
        <v/>
      </c>
      <c r="R2060">
        <f>I2060*(1-Q2060)</f>
        <v/>
      </c>
      <c r="S2060">
        <f>R2060/R2059-1</f>
        <v/>
      </c>
      <c r="T2060">
        <f>MAX(T2059,R2060)</f>
        <v/>
      </c>
      <c r="U2060">
        <f>R2060/T2060-1</f>
        <v/>
      </c>
      <c r="V2060" t="n">
        <v>3.567109868796893</v>
      </c>
      <c r="W2060" s="5">
        <f>R2060-V2060</f>
        <v/>
      </c>
    </row>
    <row r="2061">
      <c r="A2061" s="3" t="n">
        <v>41464</v>
      </c>
      <c r="B2061">
        <f>Prices!B2061</f>
        <v/>
      </c>
      <c r="C2061">
        <f>Prices!C2061</f>
        <v/>
      </c>
      <c r="D2061">
        <f>Prices!D2061</f>
        <v/>
      </c>
      <c r="E2061">
        <f>Prices!E2061</f>
        <v/>
      </c>
      <c r="F2061">
        <f>Prices!F2061</f>
        <v/>
      </c>
      <c r="G2061">
        <f>IF(AND(2059&gt;=16,TEXT(A2061,"yyyy-mm")&lt;&gt;TEXT(A2062,"yyyy-mm")),1,0)</f>
        <v/>
      </c>
      <c r="H2061">
        <f>IF(OR(H2060=1,G2061=1),1,0)</f>
        <v/>
      </c>
      <c r="I2061">
        <f>IF(H2060=0,1,SUMPRODUCT(J2060:N2060,B2061:F2061)+O2060*(1+0.00023125256064071564))</f>
        <v/>
      </c>
      <c r="J2061">
        <f>IF(G2061=1,0.2*R2061/B2061,J2060)</f>
        <v/>
      </c>
      <c r="K2061">
        <f>IF(G2061=1,0.2*R2061/C2061,K2060)</f>
        <v/>
      </c>
      <c r="L2061">
        <f>IF(G2061=1,0.2*R2061/D2061,L2060)</f>
        <v/>
      </c>
      <c r="M2061">
        <f>IF(G2061=1,0.2*R2061/E2061,M2060)</f>
        <v/>
      </c>
      <c r="N2061">
        <f>IF(G2061=1,0.2*R2061/F2061,N2060)</f>
        <v/>
      </c>
      <c r="O2061">
        <f>IF(G2061=1,R2061*(1-1.0),IF(H2060=0,1,O2060*(1+0.00023125256064071564)))</f>
        <v/>
      </c>
      <c r="P2061">
        <f>IF(G2061=1,IF(H2060=0,1,ABS(0.2-J2060*B2061/I2061)+ABS(0.2-K2060*C2061/I2061)+ABS(0.2-L2060*D2061/I2061)+ABS(0.2-M2060*E2061/I2061)+ABS(0.2-N2060*F2061/I2061)),0)</f>
        <v/>
      </c>
      <c r="Q2061">
        <f>P2061*0.0015</f>
        <v/>
      </c>
      <c r="R2061">
        <f>I2061*(1-Q2061)</f>
        <v/>
      </c>
      <c r="S2061">
        <f>R2061/R2060-1</f>
        <v/>
      </c>
      <c r="T2061">
        <f>MAX(T2060,R2061)</f>
        <v/>
      </c>
      <c r="U2061">
        <f>R2061/T2061-1</f>
        <v/>
      </c>
      <c r="V2061" t="n">
        <v>3.593054458682612</v>
      </c>
      <c r="W2061" s="5">
        <f>R2061-V2061</f>
        <v/>
      </c>
    </row>
    <row r="2062">
      <c r="A2062" s="3" t="n">
        <v>41465</v>
      </c>
      <c r="B2062">
        <f>Prices!B2062</f>
        <v/>
      </c>
      <c r="C2062">
        <f>Prices!C2062</f>
        <v/>
      </c>
      <c r="D2062">
        <f>Prices!D2062</f>
        <v/>
      </c>
      <c r="E2062">
        <f>Prices!E2062</f>
        <v/>
      </c>
      <c r="F2062">
        <f>Prices!F2062</f>
        <v/>
      </c>
      <c r="G2062">
        <f>IF(AND(2060&gt;=16,TEXT(A2062,"yyyy-mm")&lt;&gt;TEXT(A2063,"yyyy-mm")),1,0)</f>
        <v/>
      </c>
      <c r="H2062">
        <f>IF(OR(H2061=1,G2062=1),1,0)</f>
        <v/>
      </c>
      <c r="I2062">
        <f>IF(H2061=0,1,SUMPRODUCT(J2061:N2061,B2062:F2062)+O2061*(1+0.00023125256064071564))</f>
        <v/>
      </c>
      <c r="J2062">
        <f>IF(G2062=1,0.2*R2062/B2062,J2061)</f>
        <v/>
      </c>
      <c r="K2062">
        <f>IF(G2062=1,0.2*R2062/C2062,K2061)</f>
        <v/>
      </c>
      <c r="L2062">
        <f>IF(G2062=1,0.2*R2062/D2062,L2061)</f>
        <v/>
      </c>
      <c r="M2062">
        <f>IF(G2062=1,0.2*R2062/E2062,M2061)</f>
        <v/>
      </c>
      <c r="N2062">
        <f>IF(G2062=1,0.2*R2062/F2062,N2061)</f>
        <v/>
      </c>
      <c r="O2062">
        <f>IF(G2062=1,R2062*(1-1.0),IF(H2061=0,1,O2061*(1+0.00023125256064071564)))</f>
        <v/>
      </c>
      <c r="P2062">
        <f>IF(G2062=1,IF(H2061=0,1,ABS(0.2-J2061*B2062/I2062)+ABS(0.2-K2061*C2062/I2062)+ABS(0.2-L2061*D2062/I2062)+ABS(0.2-M2061*E2062/I2062)+ABS(0.2-N2061*F2062/I2062)),0)</f>
        <v/>
      </c>
      <c r="Q2062">
        <f>P2062*0.0015</f>
        <v/>
      </c>
      <c r="R2062">
        <f>I2062*(1-Q2062)</f>
        <v/>
      </c>
      <c r="S2062">
        <f>R2062/R2061-1</f>
        <v/>
      </c>
      <c r="T2062">
        <f>MAX(T2061,R2062)</f>
        <v/>
      </c>
      <c r="U2062">
        <f>R2062/T2062-1</f>
        <v/>
      </c>
      <c r="V2062" t="n">
        <v>3.573444633713716</v>
      </c>
      <c r="W2062" s="5">
        <f>R2062-V2062</f>
        <v/>
      </c>
    </row>
    <row r="2063">
      <c r="A2063" s="3" t="n">
        <v>41466</v>
      </c>
      <c r="B2063">
        <f>Prices!B2063</f>
        <v/>
      </c>
      <c r="C2063">
        <f>Prices!C2063</f>
        <v/>
      </c>
      <c r="D2063">
        <f>Prices!D2063</f>
        <v/>
      </c>
      <c r="E2063">
        <f>Prices!E2063</f>
        <v/>
      </c>
      <c r="F2063">
        <f>Prices!F2063</f>
        <v/>
      </c>
      <c r="G2063">
        <f>IF(AND(2061&gt;=16,TEXT(A2063,"yyyy-mm")&lt;&gt;TEXT(A2064,"yyyy-mm")),1,0)</f>
        <v/>
      </c>
      <c r="H2063">
        <f>IF(OR(H2062=1,G2063=1),1,0)</f>
        <v/>
      </c>
      <c r="I2063">
        <f>IF(H2062=0,1,SUMPRODUCT(J2062:N2062,B2063:F2063)+O2062*(1+0.00023125256064071564))</f>
        <v/>
      </c>
      <c r="J2063">
        <f>IF(G2063=1,0.2*R2063/B2063,J2062)</f>
        <v/>
      </c>
      <c r="K2063">
        <f>IF(G2063=1,0.2*R2063/C2063,K2062)</f>
        <v/>
      </c>
      <c r="L2063">
        <f>IF(G2063=1,0.2*R2063/D2063,L2062)</f>
        <v/>
      </c>
      <c r="M2063">
        <f>IF(G2063=1,0.2*R2063/E2063,M2062)</f>
        <v/>
      </c>
      <c r="N2063">
        <f>IF(G2063=1,0.2*R2063/F2063,N2062)</f>
        <v/>
      </c>
      <c r="O2063">
        <f>IF(G2063=1,R2063*(1-1.0),IF(H2062=0,1,O2062*(1+0.00023125256064071564)))</f>
        <v/>
      </c>
      <c r="P2063">
        <f>IF(G2063=1,IF(H2062=0,1,ABS(0.2-J2062*B2063/I2063)+ABS(0.2-K2062*C2063/I2063)+ABS(0.2-L2062*D2063/I2063)+ABS(0.2-M2062*E2063/I2063)+ABS(0.2-N2062*F2063/I2063)),0)</f>
        <v/>
      </c>
      <c r="Q2063">
        <f>P2063*0.0015</f>
        <v/>
      </c>
      <c r="R2063">
        <f>I2063*(1-Q2063)</f>
        <v/>
      </c>
      <c r="S2063">
        <f>R2063/R2062-1</f>
        <v/>
      </c>
      <c r="T2063">
        <f>MAX(T2062,R2063)</f>
        <v/>
      </c>
      <c r="U2063">
        <f>R2063/T2063-1</f>
        <v/>
      </c>
      <c r="V2063" t="n">
        <v>3.610402324786056</v>
      </c>
      <c r="W2063" s="5">
        <f>R2063-V2063</f>
        <v/>
      </c>
    </row>
    <row r="2064">
      <c r="A2064" s="3" t="n">
        <v>41467</v>
      </c>
      <c r="B2064">
        <f>Prices!B2064</f>
        <v/>
      </c>
      <c r="C2064">
        <f>Prices!C2064</f>
        <v/>
      </c>
      <c r="D2064">
        <f>Prices!D2064</f>
        <v/>
      </c>
      <c r="E2064">
        <f>Prices!E2064</f>
        <v/>
      </c>
      <c r="F2064">
        <f>Prices!F2064</f>
        <v/>
      </c>
      <c r="G2064">
        <f>IF(AND(2062&gt;=16,TEXT(A2064,"yyyy-mm")&lt;&gt;TEXT(A2065,"yyyy-mm")),1,0)</f>
        <v/>
      </c>
      <c r="H2064">
        <f>IF(OR(H2063=1,G2064=1),1,0)</f>
        <v/>
      </c>
      <c r="I2064">
        <f>IF(H2063=0,1,SUMPRODUCT(J2063:N2063,B2064:F2064)+O2063*(1+0.00023125256064071564))</f>
        <v/>
      </c>
      <c r="J2064">
        <f>IF(G2064=1,0.2*R2064/B2064,J2063)</f>
        <v/>
      </c>
      <c r="K2064">
        <f>IF(G2064=1,0.2*R2064/C2064,K2063)</f>
        <v/>
      </c>
      <c r="L2064">
        <f>IF(G2064=1,0.2*R2064/D2064,L2063)</f>
        <v/>
      </c>
      <c r="M2064">
        <f>IF(G2064=1,0.2*R2064/E2064,M2063)</f>
        <v/>
      </c>
      <c r="N2064">
        <f>IF(G2064=1,0.2*R2064/F2064,N2063)</f>
        <v/>
      </c>
      <c r="O2064">
        <f>IF(G2064=1,R2064*(1-1.0),IF(H2063=0,1,O2063*(1+0.00023125256064071564)))</f>
        <v/>
      </c>
      <c r="P2064">
        <f>IF(G2064=1,IF(H2063=0,1,ABS(0.2-J2063*B2064/I2064)+ABS(0.2-K2063*C2064/I2064)+ABS(0.2-L2063*D2064/I2064)+ABS(0.2-M2063*E2064/I2064)+ABS(0.2-N2063*F2064/I2064)),0)</f>
        <v/>
      </c>
      <c r="Q2064">
        <f>P2064*0.0015</f>
        <v/>
      </c>
      <c r="R2064">
        <f>I2064*(1-Q2064)</f>
        <v/>
      </c>
      <c r="S2064">
        <f>R2064/R2063-1</f>
        <v/>
      </c>
      <c r="T2064">
        <f>MAX(T2063,R2064)</f>
        <v/>
      </c>
      <c r="U2064">
        <f>R2064/T2064-1</f>
        <v/>
      </c>
      <c r="V2064" t="n">
        <v>3.622858252726965</v>
      </c>
      <c r="W2064" s="5">
        <f>R2064-V2064</f>
        <v/>
      </c>
    </row>
    <row r="2065">
      <c r="A2065" s="3" t="n">
        <v>41470</v>
      </c>
      <c r="B2065">
        <f>Prices!B2065</f>
        <v/>
      </c>
      <c r="C2065">
        <f>Prices!C2065</f>
        <v/>
      </c>
      <c r="D2065">
        <f>Prices!D2065</f>
        <v/>
      </c>
      <c r="E2065">
        <f>Prices!E2065</f>
        <v/>
      </c>
      <c r="F2065">
        <f>Prices!F2065</f>
        <v/>
      </c>
      <c r="G2065">
        <f>IF(AND(2063&gt;=16,TEXT(A2065,"yyyy-mm")&lt;&gt;TEXT(A2066,"yyyy-mm")),1,0)</f>
        <v/>
      </c>
      <c r="H2065">
        <f>IF(OR(H2064=1,G2065=1),1,0)</f>
        <v/>
      </c>
      <c r="I2065">
        <f>IF(H2064=0,1,SUMPRODUCT(J2064:N2064,B2065:F2065)+O2064*(1+0.00023125256064071564))</f>
        <v/>
      </c>
      <c r="J2065">
        <f>IF(G2065=1,0.2*R2065/B2065,J2064)</f>
        <v/>
      </c>
      <c r="K2065">
        <f>IF(G2065=1,0.2*R2065/C2065,K2064)</f>
        <v/>
      </c>
      <c r="L2065">
        <f>IF(G2065=1,0.2*R2065/D2065,L2064)</f>
        <v/>
      </c>
      <c r="M2065">
        <f>IF(G2065=1,0.2*R2065/E2065,M2064)</f>
        <v/>
      </c>
      <c r="N2065">
        <f>IF(G2065=1,0.2*R2065/F2065,N2064)</f>
        <v/>
      </c>
      <c r="O2065">
        <f>IF(G2065=1,R2065*(1-1.0),IF(H2064=0,1,O2064*(1+0.00023125256064071564)))</f>
        <v/>
      </c>
      <c r="P2065">
        <f>IF(G2065=1,IF(H2064=0,1,ABS(0.2-J2064*B2065/I2065)+ABS(0.2-K2064*C2065/I2065)+ABS(0.2-L2064*D2065/I2065)+ABS(0.2-M2064*E2065/I2065)+ABS(0.2-N2064*F2065/I2065)),0)</f>
        <v/>
      </c>
      <c r="Q2065">
        <f>P2065*0.0015</f>
        <v/>
      </c>
      <c r="R2065">
        <f>I2065*(1-Q2065)</f>
        <v/>
      </c>
      <c r="S2065">
        <f>R2065/R2064-1</f>
        <v/>
      </c>
      <c r="T2065">
        <f>MAX(T2064,R2065)</f>
        <v/>
      </c>
      <c r="U2065">
        <f>R2065/T2065-1</f>
        <v/>
      </c>
      <c r="V2065" t="n">
        <v>3.662833947109581</v>
      </c>
      <c r="W2065" s="5">
        <f>R2065-V2065</f>
        <v/>
      </c>
    </row>
    <row r="2066">
      <c r="A2066" s="3" t="n">
        <v>41471</v>
      </c>
      <c r="B2066">
        <f>Prices!B2066</f>
        <v/>
      </c>
      <c r="C2066">
        <f>Prices!C2066</f>
        <v/>
      </c>
      <c r="D2066">
        <f>Prices!D2066</f>
        <v/>
      </c>
      <c r="E2066">
        <f>Prices!E2066</f>
        <v/>
      </c>
      <c r="F2066">
        <f>Prices!F2066</f>
        <v/>
      </c>
      <c r="G2066">
        <f>IF(AND(2064&gt;=16,TEXT(A2066,"yyyy-mm")&lt;&gt;TEXT(A2067,"yyyy-mm")),1,0)</f>
        <v/>
      </c>
      <c r="H2066">
        <f>IF(OR(H2065=1,G2066=1),1,0)</f>
        <v/>
      </c>
      <c r="I2066">
        <f>IF(H2065=0,1,SUMPRODUCT(J2065:N2065,B2066:F2066)+O2065*(1+0.00023125256064071564))</f>
        <v/>
      </c>
      <c r="J2066">
        <f>IF(G2066=1,0.2*R2066/B2066,J2065)</f>
        <v/>
      </c>
      <c r="K2066">
        <f>IF(G2066=1,0.2*R2066/C2066,K2065)</f>
        <v/>
      </c>
      <c r="L2066">
        <f>IF(G2066=1,0.2*R2066/D2066,L2065)</f>
        <v/>
      </c>
      <c r="M2066">
        <f>IF(G2066=1,0.2*R2066/E2066,M2065)</f>
        <v/>
      </c>
      <c r="N2066">
        <f>IF(G2066=1,0.2*R2066/F2066,N2065)</f>
        <v/>
      </c>
      <c r="O2066">
        <f>IF(G2066=1,R2066*(1-1.0),IF(H2065=0,1,O2065*(1+0.00023125256064071564)))</f>
        <v/>
      </c>
      <c r="P2066">
        <f>IF(G2066=1,IF(H2065=0,1,ABS(0.2-J2065*B2066/I2066)+ABS(0.2-K2065*C2066/I2066)+ABS(0.2-L2065*D2066/I2066)+ABS(0.2-M2065*E2066/I2066)+ABS(0.2-N2065*F2066/I2066)),0)</f>
        <v/>
      </c>
      <c r="Q2066">
        <f>P2066*0.0015</f>
        <v/>
      </c>
      <c r="R2066">
        <f>I2066*(1-Q2066)</f>
        <v/>
      </c>
      <c r="S2066">
        <f>R2066/R2065-1</f>
        <v/>
      </c>
      <c r="T2066">
        <f>MAX(T2065,R2066)</f>
        <v/>
      </c>
      <c r="U2066">
        <f>R2066/T2066-1</f>
        <v/>
      </c>
      <c r="V2066" t="n">
        <v>3.631146870273832</v>
      </c>
      <c r="W2066" s="5">
        <f>R2066-V2066</f>
        <v/>
      </c>
    </row>
    <row r="2067">
      <c r="A2067" s="3" t="n">
        <v>41472</v>
      </c>
      <c r="B2067">
        <f>Prices!B2067</f>
        <v/>
      </c>
      <c r="C2067">
        <f>Prices!C2067</f>
        <v/>
      </c>
      <c r="D2067">
        <f>Prices!D2067</f>
        <v/>
      </c>
      <c r="E2067">
        <f>Prices!E2067</f>
        <v/>
      </c>
      <c r="F2067">
        <f>Prices!F2067</f>
        <v/>
      </c>
      <c r="G2067">
        <f>IF(AND(2065&gt;=16,TEXT(A2067,"yyyy-mm")&lt;&gt;TEXT(A2068,"yyyy-mm")),1,0)</f>
        <v/>
      </c>
      <c r="H2067">
        <f>IF(OR(H2066=1,G2067=1),1,0)</f>
        <v/>
      </c>
      <c r="I2067">
        <f>IF(H2066=0,1,SUMPRODUCT(J2066:N2066,B2067:F2067)+O2066*(1+0.00023125256064071564))</f>
        <v/>
      </c>
      <c r="J2067">
        <f>IF(G2067=1,0.2*R2067/B2067,J2066)</f>
        <v/>
      </c>
      <c r="K2067">
        <f>IF(G2067=1,0.2*R2067/C2067,K2066)</f>
        <v/>
      </c>
      <c r="L2067">
        <f>IF(G2067=1,0.2*R2067/D2067,L2066)</f>
        <v/>
      </c>
      <c r="M2067">
        <f>IF(G2067=1,0.2*R2067/E2067,M2066)</f>
        <v/>
      </c>
      <c r="N2067">
        <f>IF(G2067=1,0.2*R2067/F2067,N2066)</f>
        <v/>
      </c>
      <c r="O2067">
        <f>IF(G2067=1,R2067*(1-1.0),IF(H2066=0,1,O2066*(1+0.00023125256064071564)))</f>
        <v/>
      </c>
      <c r="P2067">
        <f>IF(G2067=1,IF(H2066=0,1,ABS(0.2-J2066*B2067/I2067)+ABS(0.2-K2066*C2067/I2067)+ABS(0.2-L2066*D2067/I2067)+ABS(0.2-M2066*E2067/I2067)+ABS(0.2-N2066*F2067/I2067)),0)</f>
        <v/>
      </c>
      <c r="Q2067">
        <f>P2067*0.0015</f>
        <v/>
      </c>
      <c r="R2067">
        <f>I2067*(1-Q2067)</f>
        <v/>
      </c>
      <c r="S2067">
        <f>R2067/R2066-1</f>
        <v/>
      </c>
      <c r="T2067">
        <f>MAX(T2066,R2067)</f>
        <v/>
      </c>
      <c r="U2067">
        <f>R2067/T2067-1</f>
        <v/>
      </c>
      <c r="V2067" t="n">
        <v>3.627560291024809</v>
      </c>
      <c r="W2067" s="5">
        <f>R2067-V2067</f>
        <v/>
      </c>
    </row>
    <row r="2068">
      <c r="A2068" s="3" t="n">
        <v>41473</v>
      </c>
      <c r="B2068">
        <f>Prices!B2068</f>
        <v/>
      </c>
      <c r="C2068">
        <f>Prices!C2068</f>
        <v/>
      </c>
      <c r="D2068">
        <f>Prices!D2068</f>
        <v/>
      </c>
      <c r="E2068">
        <f>Prices!E2068</f>
        <v/>
      </c>
      <c r="F2068">
        <f>Prices!F2068</f>
        <v/>
      </c>
      <c r="G2068">
        <f>IF(AND(2066&gt;=16,TEXT(A2068,"yyyy-mm")&lt;&gt;TEXT(A2069,"yyyy-mm")),1,0)</f>
        <v/>
      </c>
      <c r="H2068">
        <f>IF(OR(H2067=1,G2068=1),1,0)</f>
        <v/>
      </c>
      <c r="I2068">
        <f>IF(H2067=0,1,SUMPRODUCT(J2067:N2067,B2068:F2068)+O2067*(1+0.00023125256064071564))</f>
        <v/>
      </c>
      <c r="J2068">
        <f>IF(G2068=1,0.2*R2068/B2068,J2067)</f>
        <v/>
      </c>
      <c r="K2068">
        <f>IF(G2068=1,0.2*R2068/C2068,K2067)</f>
        <v/>
      </c>
      <c r="L2068">
        <f>IF(G2068=1,0.2*R2068/D2068,L2067)</f>
        <v/>
      </c>
      <c r="M2068">
        <f>IF(G2068=1,0.2*R2068/E2068,M2067)</f>
        <v/>
      </c>
      <c r="N2068">
        <f>IF(G2068=1,0.2*R2068/F2068,N2067)</f>
        <v/>
      </c>
      <c r="O2068">
        <f>IF(G2068=1,R2068*(1-1.0),IF(H2067=0,1,O2067*(1+0.00023125256064071564)))</f>
        <v/>
      </c>
      <c r="P2068">
        <f>IF(G2068=1,IF(H2067=0,1,ABS(0.2-J2067*B2068/I2068)+ABS(0.2-K2067*C2068/I2068)+ABS(0.2-L2067*D2068/I2068)+ABS(0.2-M2067*E2068/I2068)+ABS(0.2-N2067*F2068/I2068)),0)</f>
        <v/>
      </c>
      <c r="Q2068">
        <f>P2068*0.0015</f>
        <v/>
      </c>
      <c r="R2068">
        <f>I2068*(1-Q2068)</f>
        <v/>
      </c>
      <c r="S2068">
        <f>R2068/R2067-1</f>
        <v/>
      </c>
      <c r="T2068">
        <f>MAX(T2067,R2068)</f>
        <v/>
      </c>
      <c r="U2068">
        <f>R2068/T2068-1</f>
        <v/>
      </c>
      <c r="V2068" t="n">
        <v>3.666925139991038</v>
      </c>
      <c r="W2068" s="5">
        <f>R2068-V2068</f>
        <v/>
      </c>
    </row>
    <row r="2069">
      <c r="A2069" s="3" t="n">
        <v>41474</v>
      </c>
      <c r="B2069">
        <f>Prices!B2069</f>
        <v/>
      </c>
      <c r="C2069">
        <f>Prices!C2069</f>
        <v/>
      </c>
      <c r="D2069">
        <f>Prices!D2069</f>
        <v/>
      </c>
      <c r="E2069">
        <f>Prices!E2069</f>
        <v/>
      </c>
      <c r="F2069">
        <f>Prices!F2069</f>
        <v/>
      </c>
      <c r="G2069">
        <f>IF(AND(2067&gt;=16,TEXT(A2069,"yyyy-mm")&lt;&gt;TEXT(A2070,"yyyy-mm")),1,0)</f>
        <v/>
      </c>
      <c r="H2069">
        <f>IF(OR(H2068=1,G2069=1),1,0)</f>
        <v/>
      </c>
      <c r="I2069">
        <f>IF(H2068=0,1,SUMPRODUCT(J2068:N2068,B2069:F2069)+O2068*(1+0.00023125256064071564))</f>
        <v/>
      </c>
      <c r="J2069">
        <f>IF(G2069=1,0.2*R2069/B2069,J2068)</f>
        <v/>
      </c>
      <c r="K2069">
        <f>IF(G2069=1,0.2*R2069/C2069,K2068)</f>
        <v/>
      </c>
      <c r="L2069">
        <f>IF(G2069=1,0.2*R2069/D2069,L2068)</f>
        <v/>
      </c>
      <c r="M2069">
        <f>IF(G2069=1,0.2*R2069/E2069,M2068)</f>
        <v/>
      </c>
      <c r="N2069">
        <f>IF(G2069=1,0.2*R2069/F2069,N2068)</f>
        <v/>
      </c>
      <c r="O2069">
        <f>IF(G2069=1,R2069*(1-1.0),IF(H2068=0,1,O2068*(1+0.00023125256064071564)))</f>
        <v/>
      </c>
      <c r="P2069">
        <f>IF(G2069=1,IF(H2068=0,1,ABS(0.2-J2068*B2069/I2069)+ABS(0.2-K2068*C2069/I2069)+ABS(0.2-L2068*D2069/I2069)+ABS(0.2-M2068*E2069/I2069)+ABS(0.2-N2068*F2069/I2069)),0)</f>
        <v/>
      </c>
      <c r="Q2069">
        <f>P2069*0.0015</f>
        <v/>
      </c>
      <c r="R2069">
        <f>I2069*(1-Q2069)</f>
        <v/>
      </c>
      <c r="S2069">
        <f>R2069/R2068-1</f>
        <v/>
      </c>
      <c r="T2069">
        <f>MAX(T2068,R2069)</f>
        <v/>
      </c>
      <c r="U2069">
        <f>R2069/T2069-1</f>
        <v/>
      </c>
      <c r="V2069" t="n">
        <v>3.654689288249461</v>
      </c>
      <c r="W2069" s="5">
        <f>R2069-V2069</f>
        <v/>
      </c>
    </row>
    <row r="2070">
      <c r="A2070" s="3" t="n">
        <v>41477</v>
      </c>
      <c r="B2070">
        <f>Prices!B2070</f>
        <v/>
      </c>
      <c r="C2070">
        <f>Prices!C2070</f>
        <v/>
      </c>
      <c r="D2070">
        <f>Prices!D2070</f>
        <v/>
      </c>
      <c r="E2070">
        <f>Prices!E2070</f>
        <v/>
      </c>
      <c r="F2070">
        <f>Prices!F2070</f>
        <v/>
      </c>
      <c r="G2070">
        <f>IF(AND(2068&gt;=16,TEXT(A2070,"yyyy-mm")&lt;&gt;TEXT(A2071,"yyyy-mm")),1,0)</f>
        <v/>
      </c>
      <c r="H2070">
        <f>IF(OR(H2069=1,G2070=1),1,0)</f>
        <v/>
      </c>
      <c r="I2070">
        <f>IF(H2069=0,1,SUMPRODUCT(J2069:N2069,B2070:F2070)+O2069*(1+0.00023125256064071564))</f>
        <v/>
      </c>
      <c r="J2070">
        <f>IF(G2070=1,0.2*R2070/B2070,J2069)</f>
        <v/>
      </c>
      <c r="K2070">
        <f>IF(G2070=1,0.2*R2070/C2070,K2069)</f>
        <v/>
      </c>
      <c r="L2070">
        <f>IF(G2070=1,0.2*R2070/D2070,L2069)</f>
        <v/>
      </c>
      <c r="M2070">
        <f>IF(G2070=1,0.2*R2070/E2070,M2069)</f>
        <v/>
      </c>
      <c r="N2070">
        <f>IF(G2070=1,0.2*R2070/F2070,N2069)</f>
        <v/>
      </c>
      <c r="O2070">
        <f>IF(G2070=1,R2070*(1-1.0),IF(H2069=0,1,O2069*(1+0.00023125256064071564)))</f>
        <v/>
      </c>
      <c r="P2070">
        <f>IF(G2070=1,IF(H2069=0,1,ABS(0.2-J2069*B2070/I2070)+ABS(0.2-K2069*C2070/I2070)+ABS(0.2-L2069*D2070/I2070)+ABS(0.2-M2069*E2070/I2070)+ABS(0.2-N2069*F2070/I2070)),0)</f>
        <v/>
      </c>
      <c r="Q2070">
        <f>P2070*0.0015</f>
        <v/>
      </c>
      <c r="R2070">
        <f>I2070*(1-Q2070)</f>
        <v/>
      </c>
      <c r="S2070">
        <f>R2070/R2069-1</f>
        <v/>
      </c>
      <c r="T2070">
        <f>MAX(T2069,R2070)</f>
        <v/>
      </c>
      <c r="U2070">
        <f>R2070/T2070-1</f>
        <v/>
      </c>
      <c r="V2070" t="n">
        <v>3.647412376010097</v>
      </c>
      <c r="W2070" s="5">
        <f>R2070-V2070</f>
        <v/>
      </c>
    </row>
    <row r="2071">
      <c r="A2071" s="3" t="n">
        <v>41478</v>
      </c>
      <c r="B2071">
        <f>Prices!B2071</f>
        <v/>
      </c>
      <c r="C2071">
        <f>Prices!C2071</f>
        <v/>
      </c>
      <c r="D2071">
        <f>Prices!D2071</f>
        <v/>
      </c>
      <c r="E2071">
        <f>Prices!E2071</f>
        <v/>
      </c>
      <c r="F2071">
        <f>Prices!F2071</f>
        <v/>
      </c>
      <c r="G2071">
        <f>IF(AND(2069&gt;=16,TEXT(A2071,"yyyy-mm")&lt;&gt;TEXT(A2072,"yyyy-mm")),1,0)</f>
        <v/>
      </c>
      <c r="H2071">
        <f>IF(OR(H2070=1,G2071=1),1,0)</f>
        <v/>
      </c>
      <c r="I2071">
        <f>IF(H2070=0,1,SUMPRODUCT(J2070:N2070,B2071:F2071)+O2070*(1+0.00023125256064071564))</f>
        <v/>
      </c>
      <c r="J2071">
        <f>IF(G2071=1,0.2*R2071/B2071,J2070)</f>
        <v/>
      </c>
      <c r="K2071">
        <f>IF(G2071=1,0.2*R2071/C2071,K2070)</f>
        <v/>
      </c>
      <c r="L2071">
        <f>IF(G2071=1,0.2*R2071/D2071,L2070)</f>
        <v/>
      </c>
      <c r="M2071">
        <f>IF(G2071=1,0.2*R2071/E2071,M2070)</f>
        <v/>
      </c>
      <c r="N2071">
        <f>IF(G2071=1,0.2*R2071/F2071,N2070)</f>
        <v/>
      </c>
      <c r="O2071">
        <f>IF(G2071=1,R2071*(1-1.0),IF(H2070=0,1,O2070*(1+0.00023125256064071564)))</f>
        <v/>
      </c>
      <c r="P2071">
        <f>IF(G2071=1,IF(H2070=0,1,ABS(0.2-J2070*B2071/I2071)+ABS(0.2-K2070*C2071/I2071)+ABS(0.2-L2070*D2071/I2071)+ABS(0.2-M2070*E2071/I2071)+ABS(0.2-N2070*F2071/I2071)),0)</f>
        <v/>
      </c>
      <c r="Q2071">
        <f>P2071*0.0015</f>
        <v/>
      </c>
      <c r="R2071">
        <f>I2071*(1-Q2071)</f>
        <v/>
      </c>
      <c r="S2071">
        <f>R2071/R2070-1</f>
        <v/>
      </c>
      <c r="T2071">
        <f>MAX(T2070,R2071)</f>
        <v/>
      </c>
      <c r="U2071">
        <f>R2071/T2071-1</f>
        <v/>
      </c>
      <c r="V2071" t="n">
        <v>3.652509043980851</v>
      </c>
      <c r="W2071" s="5">
        <f>R2071-V2071</f>
        <v/>
      </c>
    </row>
    <row r="2072">
      <c r="A2072" s="3" t="n">
        <v>41479</v>
      </c>
      <c r="B2072">
        <f>Prices!B2072</f>
        <v/>
      </c>
      <c r="C2072">
        <f>Prices!C2072</f>
        <v/>
      </c>
      <c r="D2072">
        <f>Prices!D2072</f>
        <v/>
      </c>
      <c r="E2072">
        <f>Prices!E2072</f>
        <v/>
      </c>
      <c r="F2072">
        <f>Prices!F2072</f>
        <v/>
      </c>
      <c r="G2072">
        <f>IF(AND(2070&gt;=16,TEXT(A2072,"yyyy-mm")&lt;&gt;TEXT(A2073,"yyyy-mm")),1,0)</f>
        <v/>
      </c>
      <c r="H2072">
        <f>IF(OR(H2071=1,G2072=1),1,0)</f>
        <v/>
      </c>
      <c r="I2072">
        <f>IF(H2071=0,1,SUMPRODUCT(J2071:N2071,B2072:F2072)+O2071*(1+0.00023125256064071564))</f>
        <v/>
      </c>
      <c r="J2072">
        <f>IF(G2072=1,0.2*R2072/B2072,J2071)</f>
        <v/>
      </c>
      <c r="K2072">
        <f>IF(G2072=1,0.2*R2072/C2072,K2071)</f>
        <v/>
      </c>
      <c r="L2072">
        <f>IF(G2072=1,0.2*R2072/D2072,L2071)</f>
        <v/>
      </c>
      <c r="M2072">
        <f>IF(G2072=1,0.2*R2072/E2072,M2071)</f>
        <v/>
      </c>
      <c r="N2072">
        <f>IF(G2072=1,0.2*R2072/F2072,N2071)</f>
        <v/>
      </c>
      <c r="O2072">
        <f>IF(G2072=1,R2072*(1-1.0),IF(H2071=0,1,O2071*(1+0.00023125256064071564)))</f>
        <v/>
      </c>
      <c r="P2072">
        <f>IF(G2072=1,IF(H2071=0,1,ABS(0.2-J2071*B2072/I2072)+ABS(0.2-K2071*C2072/I2072)+ABS(0.2-L2071*D2072/I2072)+ABS(0.2-M2071*E2072/I2072)+ABS(0.2-N2071*F2072/I2072)),0)</f>
        <v/>
      </c>
      <c r="Q2072">
        <f>P2072*0.0015</f>
        <v/>
      </c>
      <c r="R2072">
        <f>I2072*(1-Q2072)</f>
        <v/>
      </c>
      <c r="S2072">
        <f>R2072/R2071-1</f>
        <v/>
      </c>
      <c r="T2072">
        <f>MAX(T2071,R2072)</f>
        <v/>
      </c>
      <c r="U2072">
        <f>R2072/T2072-1</f>
        <v/>
      </c>
      <c r="V2072" t="n">
        <v>3.612941117420752</v>
      </c>
      <c r="W2072" s="5">
        <f>R2072-V2072</f>
        <v/>
      </c>
    </row>
    <row r="2073">
      <c r="A2073" s="3" t="n">
        <v>41480</v>
      </c>
      <c r="B2073">
        <f>Prices!B2073</f>
        <v/>
      </c>
      <c r="C2073">
        <f>Prices!C2073</f>
        <v/>
      </c>
      <c r="D2073">
        <f>Prices!D2073</f>
        <v/>
      </c>
      <c r="E2073">
        <f>Prices!E2073</f>
        <v/>
      </c>
      <c r="F2073">
        <f>Prices!F2073</f>
        <v/>
      </c>
      <c r="G2073">
        <f>IF(AND(2071&gt;=16,TEXT(A2073,"yyyy-mm")&lt;&gt;TEXT(A2074,"yyyy-mm")),1,0)</f>
        <v/>
      </c>
      <c r="H2073">
        <f>IF(OR(H2072=1,G2073=1),1,0)</f>
        <v/>
      </c>
      <c r="I2073">
        <f>IF(H2072=0,1,SUMPRODUCT(J2072:N2072,B2073:F2073)+O2072*(1+0.00023125256064071564))</f>
        <v/>
      </c>
      <c r="J2073">
        <f>IF(G2073=1,0.2*R2073/B2073,J2072)</f>
        <v/>
      </c>
      <c r="K2073">
        <f>IF(G2073=1,0.2*R2073/C2073,K2072)</f>
        <v/>
      </c>
      <c r="L2073">
        <f>IF(G2073=1,0.2*R2073/D2073,L2072)</f>
        <v/>
      </c>
      <c r="M2073">
        <f>IF(G2073=1,0.2*R2073/E2073,M2072)</f>
        <v/>
      </c>
      <c r="N2073">
        <f>IF(G2073=1,0.2*R2073/F2073,N2072)</f>
        <v/>
      </c>
      <c r="O2073">
        <f>IF(G2073=1,R2073*(1-1.0),IF(H2072=0,1,O2072*(1+0.00023125256064071564)))</f>
        <v/>
      </c>
      <c r="P2073">
        <f>IF(G2073=1,IF(H2072=0,1,ABS(0.2-J2072*B2073/I2073)+ABS(0.2-K2072*C2073/I2073)+ABS(0.2-L2072*D2073/I2073)+ABS(0.2-M2072*E2073/I2073)+ABS(0.2-N2072*F2073/I2073)),0)</f>
        <v/>
      </c>
      <c r="Q2073">
        <f>P2073*0.0015</f>
        <v/>
      </c>
      <c r="R2073">
        <f>I2073*(1-Q2073)</f>
        <v/>
      </c>
      <c r="S2073">
        <f>R2073/R2072-1</f>
        <v/>
      </c>
      <c r="T2073">
        <f>MAX(T2072,R2073)</f>
        <v/>
      </c>
      <c r="U2073">
        <f>R2073/T2073-1</f>
        <v/>
      </c>
      <c r="V2073" t="n">
        <v>3.571864445314533</v>
      </c>
      <c r="W2073" s="5">
        <f>R2073-V2073</f>
        <v/>
      </c>
    </row>
    <row r="2074">
      <c r="A2074" s="3" t="n">
        <v>41481</v>
      </c>
      <c r="B2074">
        <f>Prices!B2074</f>
        <v/>
      </c>
      <c r="C2074">
        <f>Prices!C2074</f>
        <v/>
      </c>
      <c r="D2074">
        <f>Prices!D2074</f>
        <v/>
      </c>
      <c r="E2074">
        <f>Prices!E2074</f>
        <v/>
      </c>
      <c r="F2074">
        <f>Prices!F2074</f>
        <v/>
      </c>
      <c r="G2074">
        <f>IF(AND(2072&gt;=16,TEXT(A2074,"yyyy-mm")&lt;&gt;TEXT(A2075,"yyyy-mm")),1,0)</f>
        <v/>
      </c>
      <c r="H2074">
        <f>IF(OR(H2073=1,G2074=1),1,0)</f>
        <v/>
      </c>
      <c r="I2074">
        <f>IF(H2073=0,1,SUMPRODUCT(J2073:N2073,B2074:F2074)+O2073*(1+0.00023125256064071564))</f>
        <v/>
      </c>
      <c r="J2074">
        <f>IF(G2074=1,0.2*R2074/B2074,J2073)</f>
        <v/>
      </c>
      <c r="K2074">
        <f>IF(G2074=1,0.2*R2074/C2074,K2073)</f>
        <v/>
      </c>
      <c r="L2074">
        <f>IF(G2074=1,0.2*R2074/D2074,L2073)</f>
        <v/>
      </c>
      <c r="M2074">
        <f>IF(G2074=1,0.2*R2074/E2074,M2073)</f>
        <v/>
      </c>
      <c r="N2074">
        <f>IF(G2074=1,0.2*R2074/F2074,N2073)</f>
        <v/>
      </c>
      <c r="O2074">
        <f>IF(G2074=1,R2074*(1-1.0),IF(H2073=0,1,O2073*(1+0.00023125256064071564)))</f>
        <v/>
      </c>
      <c r="P2074">
        <f>IF(G2074=1,IF(H2073=0,1,ABS(0.2-J2073*B2074/I2074)+ABS(0.2-K2073*C2074/I2074)+ABS(0.2-L2073*D2074/I2074)+ABS(0.2-M2073*E2074/I2074)+ABS(0.2-N2073*F2074/I2074)),0)</f>
        <v/>
      </c>
      <c r="Q2074">
        <f>P2074*0.0015</f>
        <v/>
      </c>
      <c r="R2074">
        <f>I2074*(1-Q2074)</f>
        <v/>
      </c>
      <c r="S2074">
        <f>R2074/R2073-1</f>
        <v/>
      </c>
      <c r="T2074">
        <f>MAX(T2073,R2074)</f>
        <v/>
      </c>
      <c r="U2074">
        <f>R2074/T2074-1</f>
        <v/>
      </c>
      <c r="V2074" t="n">
        <v>3.542700169142652</v>
      </c>
      <c r="W2074" s="5">
        <f>R2074-V2074</f>
        <v/>
      </c>
    </row>
    <row r="2075">
      <c r="A2075" s="3" t="n">
        <v>41484</v>
      </c>
      <c r="B2075">
        <f>Prices!B2075</f>
        <v/>
      </c>
      <c r="C2075">
        <f>Prices!C2075</f>
        <v/>
      </c>
      <c r="D2075">
        <f>Prices!D2075</f>
        <v/>
      </c>
      <c r="E2075">
        <f>Prices!E2075</f>
        <v/>
      </c>
      <c r="F2075">
        <f>Prices!F2075</f>
        <v/>
      </c>
      <c r="G2075">
        <f>IF(AND(2073&gt;=16,TEXT(A2075,"yyyy-mm")&lt;&gt;TEXT(A2076,"yyyy-mm")),1,0)</f>
        <v/>
      </c>
      <c r="H2075">
        <f>IF(OR(H2074=1,G2075=1),1,0)</f>
        <v/>
      </c>
      <c r="I2075">
        <f>IF(H2074=0,1,SUMPRODUCT(J2074:N2074,B2075:F2075)+O2074*(1+0.00023125256064071564))</f>
        <v/>
      </c>
      <c r="J2075">
        <f>IF(G2075=1,0.2*R2075/B2075,J2074)</f>
        <v/>
      </c>
      <c r="K2075">
        <f>IF(G2075=1,0.2*R2075/C2075,K2074)</f>
        <v/>
      </c>
      <c r="L2075">
        <f>IF(G2075=1,0.2*R2075/D2075,L2074)</f>
        <v/>
      </c>
      <c r="M2075">
        <f>IF(G2075=1,0.2*R2075/E2075,M2074)</f>
        <v/>
      </c>
      <c r="N2075">
        <f>IF(G2075=1,0.2*R2075/F2075,N2074)</f>
        <v/>
      </c>
      <c r="O2075">
        <f>IF(G2075=1,R2075*(1-1.0),IF(H2074=0,1,O2074*(1+0.00023125256064071564)))</f>
        <v/>
      </c>
      <c r="P2075">
        <f>IF(G2075=1,IF(H2074=0,1,ABS(0.2-J2074*B2075/I2075)+ABS(0.2-K2074*C2075/I2075)+ABS(0.2-L2074*D2075/I2075)+ABS(0.2-M2074*E2075/I2075)+ABS(0.2-N2074*F2075/I2075)),0)</f>
        <v/>
      </c>
      <c r="Q2075">
        <f>P2075*0.0015</f>
        <v/>
      </c>
      <c r="R2075">
        <f>I2075*(1-Q2075)</f>
        <v/>
      </c>
      <c r="S2075">
        <f>R2075/R2074-1</f>
        <v/>
      </c>
      <c r="T2075">
        <f>MAX(T2074,R2075)</f>
        <v/>
      </c>
      <c r="U2075">
        <f>R2075/T2075-1</f>
        <v/>
      </c>
      <c r="V2075" t="n">
        <v>3.488777622658445</v>
      </c>
      <c r="W2075" s="5">
        <f>R2075-V2075</f>
        <v/>
      </c>
    </row>
    <row r="2076">
      <c r="A2076" s="3" t="n">
        <v>41485</v>
      </c>
      <c r="B2076">
        <f>Prices!B2076</f>
        <v/>
      </c>
      <c r="C2076">
        <f>Prices!C2076</f>
        <v/>
      </c>
      <c r="D2076">
        <f>Prices!D2076</f>
        <v/>
      </c>
      <c r="E2076">
        <f>Prices!E2076</f>
        <v/>
      </c>
      <c r="F2076">
        <f>Prices!F2076</f>
        <v/>
      </c>
      <c r="G2076">
        <f>IF(AND(2074&gt;=16,TEXT(A2076,"yyyy-mm")&lt;&gt;TEXT(A2077,"yyyy-mm")),1,0)</f>
        <v/>
      </c>
      <c r="H2076">
        <f>IF(OR(H2075=1,G2076=1),1,0)</f>
        <v/>
      </c>
      <c r="I2076">
        <f>IF(H2075=0,1,SUMPRODUCT(J2075:N2075,B2076:F2076)+O2075*(1+0.00023125256064071564))</f>
        <v/>
      </c>
      <c r="J2076">
        <f>IF(G2076=1,0.2*R2076/B2076,J2075)</f>
        <v/>
      </c>
      <c r="K2076">
        <f>IF(G2076=1,0.2*R2076/C2076,K2075)</f>
        <v/>
      </c>
      <c r="L2076">
        <f>IF(G2076=1,0.2*R2076/D2076,L2075)</f>
        <v/>
      </c>
      <c r="M2076">
        <f>IF(G2076=1,0.2*R2076/E2076,M2075)</f>
        <v/>
      </c>
      <c r="N2076">
        <f>IF(G2076=1,0.2*R2076/F2076,N2075)</f>
        <v/>
      </c>
      <c r="O2076">
        <f>IF(G2076=1,R2076*(1-1.0),IF(H2075=0,1,O2075*(1+0.00023125256064071564)))</f>
        <v/>
      </c>
      <c r="P2076">
        <f>IF(G2076=1,IF(H2075=0,1,ABS(0.2-J2075*B2076/I2076)+ABS(0.2-K2075*C2076/I2076)+ABS(0.2-L2075*D2076/I2076)+ABS(0.2-M2075*E2076/I2076)+ABS(0.2-N2075*F2076/I2076)),0)</f>
        <v/>
      </c>
      <c r="Q2076">
        <f>P2076*0.0015</f>
        <v/>
      </c>
      <c r="R2076">
        <f>I2076*(1-Q2076)</f>
        <v/>
      </c>
      <c r="S2076">
        <f>R2076/R2075-1</f>
        <v/>
      </c>
      <c r="T2076">
        <f>MAX(T2075,R2076)</f>
        <v/>
      </c>
      <c r="U2076">
        <f>R2076/T2076-1</f>
        <v/>
      </c>
      <c r="V2076" t="n">
        <v>3.412344861918967</v>
      </c>
      <c r="W2076" s="5">
        <f>R2076-V2076</f>
        <v/>
      </c>
    </row>
    <row r="2077">
      <c r="A2077" s="3" t="n">
        <v>41486</v>
      </c>
      <c r="B2077">
        <f>Prices!B2077</f>
        <v/>
      </c>
      <c r="C2077">
        <f>Prices!C2077</f>
        <v/>
      </c>
      <c r="D2077">
        <f>Prices!D2077</f>
        <v/>
      </c>
      <c r="E2077">
        <f>Prices!E2077</f>
        <v/>
      </c>
      <c r="F2077">
        <f>Prices!F2077</f>
        <v/>
      </c>
      <c r="G2077">
        <f>IF(AND(2075&gt;=16,TEXT(A2077,"yyyy-mm")&lt;&gt;TEXT(A2078,"yyyy-mm")),1,0)</f>
        <v/>
      </c>
      <c r="H2077">
        <f>IF(OR(H2076=1,G2077=1),1,0)</f>
        <v/>
      </c>
      <c r="I2077">
        <f>IF(H2076=0,1,SUMPRODUCT(J2076:N2076,B2077:F2077)+O2076*(1+0.00023125256064071564))</f>
        <v/>
      </c>
      <c r="J2077">
        <f>IF(G2077=1,0.2*R2077/B2077,J2076)</f>
        <v/>
      </c>
      <c r="K2077">
        <f>IF(G2077=1,0.2*R2077/C2077,K2076)</f>
        <v/>
      </c>
      <c r="L2077">
        <f>IF(G2077=1,0.2*R2077/D2077,L2076)</f>
        <v/>
      </c>
      <c r="M2077">
        <f>IF(G2077=1,0.2*R2077/E2077,M2076)</f>
        <v/>
      </c>
      <c r="N2077">
        <f>IF(G2077=1,0.2*R2077/F2077,N2076)</f>
        <v/>
      </c>
      <c r="O2077">
        <f>IF(G2077=1,R2077*(1-1.0),IF(H2076=0,1,O2076*(1+0.00023125256064071564)))</f>
        <v/>
      </c>
      <c r="P2077">
        <f>IF(G2077=1,IF(H2076=0,1,ABS(0.2-J2076*B2077/I2077)+ABS(0.2-K2076*C2077/I2077)+ABS(0.2-L2076*D2077/I2077)+ABS(0.2-M2076*E2077/I2077)+ABS(0.2-N2076*F2077/I2077)),0)</f>
        <v/>
      </c>
      <c r="Q2077">
        <f>P2077*0.0015</f>
        <v/>
      </c>
      <c r="R2077">
        <f>I2077*(1-Q2077)</f>
        <v/>
      </c>
      <c r="S2077">
        <f>R2077/R2076-1</f>
        <v/>
      </c>
      <c r="T2077">
        <f>MAX(T2076,R2077)</f>
        <v/>
      </c>
      <c r="U2077">
        <f>R2077/T2077-1</f>
        <v/>
      </c>
      <c r="V2077" t="n">
        <v>3.415536393681486</v>
      </c>
      <c r="W2077" s="5">
        <f>R2077-V2077</f>
        <v/>
      </c>
    </row>
    <row r="2078">
      <c r="A2078" s="3" t="n">
        <v>41487</v>
      </c>
      <c r="B2078">
        <f>Prices!B2078</f>
        <v/>
      </c>
      <c r="C2078">
        <f>Prices!C2078</f>
        <v/>
      </c>
      <c r="D2078">
        <f>Prices!D2078</f>
        <v/>
      </c>
      <c r="E2078">
        <f>Prices!E2078</f>
        <v/>
      </c>
      <c r="F2078">
        <f>Prices!F2078</f>
        <v/>
      </c>
      <c r="G2078">
        <f>IF(AND(2076&gt;=16,TEXT(A2078,"yyyy-mm")&lt;&gt;TEXT(A2079,"yyyy-mm")),1,0)</f>
        <v/>
      </c>
      <c r="H2078">
        <f>IF(OR(H2077=1,G2078=1),1,0)</f>
        <v/>
      </c>
      <c r="I2078">
        <f>IF(H2077=0,1,SUMPRODUCT(J2077:N2077,B2078:F2078)+O2077*(1+0.00023125256064071564))</f>
        <v/>
      </c>
      <c r="J2078">
        <f>IF(G2078=1,0.2*R2078/B2078,J2077)</f>
        <v/>
      </c>
      <c r="K2078">
        <f>IF(G2078=1,0.2*R2078/C2078,K2077)</f>
        <v/>
      </c>
      <c r="L2078">
        <f>IF(G2078=1,0.2*R2078/D2078,L2077)</f>
        <v/>
      </c>
      <c r="M2078">
        <f>IF(G2078=1,0.2*R2078/E2078,M2077)</f>
        <v/>
      </c>
      <c r="N2078">
        <f>IF(G2078=1,0.2*R2078/F2078,N2077)</f>
        <v/>
      </c>
      <c r="O2078">
        <f>IF(G2078=1,R2078*(1-1.0),IF(H2077=0,1,O2077*(1+0.00023125256064071564)))</f>
        <v/>
      </c>
      <c r="P2078">
        <f>IF(G2078=1,IF(H2077=0,1,ABS(0.2-J2077*B2078/I2078)+ABS(0.2-K2077*C2078/I2078)+ABS(0.2-L2077*D2078/I2078)+ABS(0.2-M2077*E2078/I2078)+ABS(0.2-N2077*F2078/I2078)),0)</f>
        <v/>
      </c>
      <c r="Q2078">
        <f>P2078*0.0015</f>
        <v/>
      </c>
      <c r="R2078">
        <f>I2078*(1-Q2078)</f>
        <v/>
      </c>
      <c r="S2078">
        <f>R2078/R2077-1</f>
        <v/>
      </c>
      <c r="T2078">
        <f>MAX(T2077,R2078)</f>
        <v/>
      </c>
      <c r="U2078">
        <f>R2078/T2078-1</f>
        <v/>
      </c>
      <c r="V2078" t="n">
        <v>3.375512285378782</v>
      </c>
      <c r="W2078" s="5">
        <f>R2078-V2078</f>
        <v/>
      </c>
    </row>
    <row r="2079">
      <c r="A2079" s="3" t="n">
        <v>41488</v>
      </c>
      <c r="B2079">
        <f>Prices!B2079</f>
        <v/>
      </c>
      <c r="C2079">
        <f>Prices!C2079</f>
        <v/>
      </c>
      <c r="D2079">
        <f>Prices!D2079</f>
        <v/>
      </c>
      <c r="E2079">
        <f>Prices!E2079</f>
        <v/>
      </c>
      <c r="F2079">
        <f>Prices!F2079</f>
        <v/>
      </c>
      <c r="G2079">
        <f>IF(AND(2077&gt;=16,TEXT(A2079,"yyyy-mm")&lt;&gt;TEXT(A2080,"yyyy-mm")),1,0)</f>
        <v/>
      </c>
      <c r="H2079">
        <f>IF(OR(H2078=1,G2079=1),1,0)</f>
        <v/>
      </c>
      <c r="I2079">
        <f>IF(H2078=0,1,SUMPRODUCT(J2078:N2078,B2079:F2079)+O2078*(1+0.00023125256064071564))</f>
        <v/>
      </c>
      <c r="J2079">
        <f>IF(G2079=1,0.2*R2079/B2079,J2078)</f>
        <v/>
      </c>
      <c r="K2079">
        <f>IF(G2079=1,0.2*R2079/C2079,K2078)</f>
        <v/>
      </c>
      <c r="L2079">
        <f>IF(G2079=1,0.2*R2079/D2079,L2078)</f>
        <v/>
      </c>
      <c r="M2079">
        <f>IF(G2079=1,0.2*R2079/E2079,M2078)</f>
        <v/>
      </c>
      <c r="N2079">
        <f>IF(G2079=1,0.2*R2079/F2079,N2078)</f>
        <v/>
      </c>
      <c r="O2079">
        <f>IF(G2079=1,R2079*(1-1.0),IF(H2078=0,1,O2078*(1+0.00023125256064071564)))</f>
        <v/>
      </c>
      <c r="P2079">
        <f>IF(G2079=1,IF(H2078=0,1,ABS(0.2-J2078*B2079/I2079)+ABS(0.2-K2078*C2079/I2079)+ABS(0.2-L2078*D2079/I2079)+ABS(0.2-M2078*E2079/I2079)+ABS(0.2-N2078*F2079/I2079)),0)</f>
        <v/>
      </c>
      <c r="Q2079">
        <f>P2079*0.0015</f>
        <v/>
      </c>
      <c r="R2079">
        <f>I2079*(1-Q2079)</f>
        <v/>
      </c>
      <c r="S2079">
        <f>R2079/R2078-1</f>
        <v/>
      </c>
      <c r="T2079">
        <f>MAX(T2078,R2079)</f>
        <v/>
      </c>
      <c r="U2079">
        <f>R2079/T2079-1</f>
        <v/>
      </c>
      <c r="V2079" t="n">
        <v>3.331689784895332</v>
      </c>
      <c r="W2079" s="5">
        <f>R2079-V2079</f>
        <v/>
      </c>
    </row>
    <row r="2080">
      <c r="A2080" s="3" t="n">
        <v>41491</v>
      </c>
      <c r="B2080">
        <f>Prices!B2080</f>
        <v/>
      </c>
      <c r="C2080">
        <f>Prices!C2080</f>
        <v/>
      </c>
      <c r="D2080">
        <f>Prices!D2080</f>
        <v/>
      </c>
      <c r="E2080">
        <f>Prices!E2080</f>
        <v/>
      </c>
      <c r="F2080">
        <f>Prices!F2080</f>
        <v/>
      </c>
      <c r="G2080">
        <f>IF(AND(2078&gt;=16,TEXT(A2080,"yyyy-mm")&lt;&gt;TEXT(A2081,"yyyy-mm")),1,0)</f>
        <v/>
      </c>
      <c r="H2080">
        <f>IF(OR(H2079=1,G2080=1),1,0)</f>
        <v/>
      </c>
      <c r="I2080">
        <f>IF(H2079=0,1,SUMPRODUCT(J2079:N2079,B2080:F2080)+O2079*(1+0.00023125256064071564))</f>
        <v/>
      </c>
      <c r="J2080">
        <f>IF(G2080=1,0.2*R2080/B2080,J2079)</f>
        <v/>
      </c>
      <c r="K2080">
        <f>IF(G2080=1,0.2*R2080/C2080,K2079)</f>
        <v/>
      </c>
      <c r="L2080">
        <f>IF(G2080=1,0.2*R2080/D2080,L2079)</f>
        <v/>
      </c>
      <c r="M2080">
        <f>IF(G2080=1,0.2*R2080/E2080,M2079)</f>
        <v/>
      </c>
      <c r="N2080">
        <f>IF(G2080=1,0.2*R2080/F2080,N2079)</f>
        <v/>
      </c>
      <c r="O2080">
        <f>IF(G2080=1,R2080*(1-1.0),IF(H2079=0,1,O2079*(1+0.00023125256064071564)))</f>
        <v/>
      </c>
      <c r="P2080">
        <f>IF(G2080=1,IF(H2079=0,1,ABS(0.2-J2079*B2080/I2080)+ABS(0.2-K2079*C2080/I2080)+ABS(0.2-L2079*D2080/I2080)+ABS(0.2-M2079*E2080/I2080)+ABS(0.2-N2079*F2080/I2080)),0)</f>
        <v/>
      </c>
      <c r="Q2080">
        <f>P2080*0.0015</f>
        <v/>
      </c>
      <c r="R2080">
        <f>I2080*(1-Q2080)</f>
        <v/>
      </c>
      <c r="S2080">
        <f>R2080/R2079-1</f>
        <v/>
      </c>
      <c r="T2080">
        <f>MAX(T2079,R2080)</f>
        <v/>
      </c>
      <c r="U2080">
        <f>R2080/T2080-1</f>
        <v/>
      </c>
      <c r="V2080" t="n">
        <v>3.325064792778631</v>
      </c>
      <c r="W2080" s="5">
        <f>R2080-V2080</f>
        <v/>
      </c>
    </row>
    <row r="2081">
      <c r="A2081" s="3" t="n">
        <v>41492</v>
      </c>
      <c r="B2081">
        <f>Prices!B2081</f>
        <v/>
      </c>
      <c r="C2081">
        <f>Prices!C2081</f>
        <v/>
      </c>
      <c r="D2081">
        <f>Prices!D2081</f>
        <v/>
      </c>
      <c r="E2081">
        <f>Prices!E2081</f>
        <v/>
      </c>
      <c r="F2081">
        <f>Prices!F2081</f>
        <v/>
      </c>
      <c r="G2081">
        <f>IF(AND(2079&gt;=16,TEXT(A2081,"yyyy-mm")&lt;&gt;TEXT(A2082,"yyyy-mm")),1,0)</f>
        <v/>
      </c>
      <c r="H2081">
        <f>IF(OR(H2080=1,G2081=1),1,0)</f>
        <v/>
      </c>
      <c r="I2081">
        <f>IF(H2080=0,1,SUMPRODUCT(J2080:N2080,B2081:F2081)+O2080*(1+0.00023125256064071564))</f>
        <v/>
      </c>
      <c r="J2081">
        <f>IF(G2081=1,0.2*R2081/B2081,J2080)</f>
        <v/>
      </c>
      <c r="K2081">
        <f>IF(G2081=1,0.2*R2081/C2081,K2080)</f>
        <v/>
      </c>
      <c r="L2081">
        <f>IF(G2081=1,0.2*R2081/D2081,L2080)</f>
        <v/>
      </c>
      <c r="M2081">
        <f>IF(G2081=1,0.2*R2081/E2081,M2080)</f>
        <v/>
      </c>
      <c r="N2081">
        <f>IF(G2081=1,0.2*R2081/F2081,N2080)</f>
        <v/>
      </c>
      <c r="O2081">
        <f>IF(G2081=1,R2081*(1-1.0),IF(H2080=0,1,O2080*(1+0.00023125256064071564)))</f>
        <v/>
      </c>
      <c r="P2081">
        <f>IF(G2081=1,IF(H2080=0,1,ABS(0.2-J2080*B2081/I2081)+ABS(0.2-K2080*C2081/I2081)+ABS(0.2-L2080*D2081/I2081)+ABS(0.2-M2080*E2081/I2081)+ABS(0.2-N2080*F2081/I2081)),0)</f>
        <v/>
      </c>
      <c r="Q2081">
        <f>P2081*0.0015</f>
        <v/>
      </c>
      <c r="R2081">
        <f>I2081*(1-Q2081)</f>
        <v/>
      </c>
      <c r="S2081">
        <f>R2081/R2080-1</f>
        <v/>
      </c>
      <c r="T2081">
        <f>MAX(T2080,R2081)</f>
        <v/>
      </c>
      <c r="U2081">
        <f>R2081/T2081-1</f>
        <v/>
      </c>
      <c r="V2081" t="n">
        <v>3.242163886728813</v>
      </c>
      <c r="W2081" s="5">
        <f>R2081-V2081</f>
        <v/>
      </c>
    </row>
    <row r="2082">
      <c r="A2082" s="3" t="n">
        <v>41493</v>
      </c>
      <c r="B2082">
        <f>Prices!B2082</f>
        <v/>
      </c>
      <c r="C2082">
        <f>Prices!C2082</f>
        <v/>
      </c>
      <c r="D2082">
        <f>Prices!D2082</f>
        <v/>
      </c>
      <c r="E2082">
        <f>Prices!E2082</f>
        <v/>
      </c>
      <c r="F2082">
        <f>Prices!F2082</f>
        <v/>
      </c>
      <c r="G2082">
        <f>IF(AND(2080&gt;=16,TEXT(A2082,"yyyy-mm")&lt;&gt;TEXT(A2083,"yyyy-mm")),1,0)</f>
        <v/>
      </c>
      <c r="H2082">
        <f>IF(OR(H2081=1,G2082=1),1,0)</f>
        <v/>
      </c>
      <c r="I2082">
        <f>IF(H2081=0,1,SUMPRODUCT(J2081:N2081,B2082:F2082)+O2081*(1+0.00023125256064071564))</f>
        <v/>
      </c>
      <c r="J2082">
        <f>IF(G2082=1,0.2*R2082/B2082,J2081)</f>
        <v/>
      </c>
      <c r="K2082">
        <f>IF(G2082=1,0.2*R2082/C2082,K2081)</f>
        <v/>
      </c>
      <c r="L2082">
        <f>IF(G2082=1,0.2*R2082/D2082,L2081)</f>
        <v/>
      </c>
      <c r="M2082">
        <f>IF(G2082=1,0.2*R2082/E2082,M2081)</f>
        <v/>
      </c>
      <c r="N2082">
        <f>IF(G2082=1,0.2*R2082/F2082,N2081)</f>
        <v/>
      </c>
      <c r="O2082">
        <f>IF(G2082=1,R2082*(1-1.0),IF(H2081=0,1,O2081*(1+0.00023125256064071564)))</f>
        <v/>
      </c>
      <c r="P2082">
        <f>IF(G2082=1,IF(H2081=0,1,ABS(0.2-J2081*B2082/I2082)+ABS(0.2-K2081*C2082/I2082)+ABS(0.2-L2081*D2082/I2082)+ABS(0.2-M2081*E2082/I2082)+ABS(0.2-N2081*F2082/I2082)),0)</f>
        <v/>
      </c>
      <c r="Q2082">
        <f>P2082*0.0015</f>
        <v/>
      </c>
      <c r="R2082">
        <f>I2082*(1-Q2082)</f>
        <v/>
      </c>
      <c r="S2082">
        <f>R2082/R2081-1</f>
        <v/>
      </c>
      <c r="T2082">
        <f>MAX(T2081,R2082)</f>
        <v/>
      </c>
      <c r="U2082">
        <f>R2082/T2082-1</f>
        <v/>
      </c>
      <c r="V2082" t="n">
        <v>3.246317475623682</v>
      </c>
      <c r="W2082" s="5">
        <f>R2082-V2082</f>
        <v/>
      </c>
    </row>
    <row r="2083">
      <c r="A2083" s="3" t="n">
        <v>41494</v>
      </c>
      <c r="B2083">
        <f>Prices!B2083</f>
        <v/>
      </c>
      <c r="C2083">
        <f>Prices!C2083</f>
        <v/>
      </c>
      <c r="D2083">
        <f>Prices!D2083</f>
        <v/>
      </c>
      <c r="E2083">
        <f>Prices!E2083</f>
        <v/>
      </c>
      <c r="F2083">
        <f>Prices!F2083</f>
        <v/>
      </c>
      <c r="G2083">
        <f>IF(AND(2081&gt;=16,TEXT(A2083,"yyyy-mm")&lt;&gt;TEXT(A2084,"yyyy-mm")),1,0)</f>
        <v/>
      </c>
      <c r="H2083">
        <f>IF(OR(H2082=1,G2083=1),1,0)</f>
        <v/>
      </c>
      <c r="I2083">
        <f>IF(H2082=0,1,SUMPRODUCT(J2082:N2082,B2083:F2083)+O2082*(1+0.00023125256064071564))</f>
        <v/>
      </c>
      <c r="J2083">
        <f>IF(G2083=1,0.2*R2083/B2083,J2082)</f>
        <v/>
      </c>
      <c r="K2083">
        <f>IF(G2083=1,0.2*R2083/C2083,K2082)</f>
        <v/>
      </c>
      <c r="L2083">
        <f>IF(G2083=1,0.2*R2083/D2083,L2082)</f>
        <v/>
      </c>
      <c r="M2083">
        <f>IF(G2083=1,0.2*R2083/E2083,M2082)</f>
        <v/>
      </c>
      <c r="N2083">
        <f>IF(G2083=1,0.2*R2083/F2083,N2082)</f>
        <v/>
      </c>
      <c r="O2083">
        <f>IF(G2083=1,R2083*(1-1.0),IF(H2082=0,1,O2082*(1+0.00023125256064071564)))</f>
        <v/>
      </c>
      <c r="P2083">
        <f>IF(G2083=1,IF(H2082=0,1,ABS(0.2-J2082*B2083/I2083)+ABS(0.2-K2082*C2083/I2083)+ABS(0.2-L2082*D2083/I2083)+ABS(0.2-M2082*E2083/I2083)+ABS(0.2-N2082*F2083/I2083)),0)</f>
        <v/>
      </c>
      <c r="Q2083">
        <f>P2083*0.0015</f>
        <v/>
      </c>
      <c r="R2083">
        <f>I2083*(1-Q2083)</f>
        <v/>
      </c>
      <c r="S2083">
        <f>R2083/R2082-1</f>
        <v/>
      </c>
      <c r="T2083">
        <f>MAX(T2082,R2083)</f>
        <v/>
      </c>
      <c r="U2083">
        <f>R2083/T2083-1</f>
        <v/>
      </c>
      <c r="V2083" t="n">
        <v>3.272332403855407</v>
      </c>
      <c r="W2083" s="5">
        <f>R2083-V2083</f>
        <v/>
      </c>
    </row>
    <row r="2084">
      <c r="A2084" s="3" t="n">
        <v>41498</v>
      </c>
      <c r="B2084">
        <f>Prices!B2084</f>
        <v/>
      </c>
      <c r="C2084">
        <f>Prices!C2084</f>
        <v/>
      </c>
      <c r="D2084">
        <f>Prices!D2084</f>
        <v/>
      </c>
      <c r="E2084">
        <f>Prices!E2084</f>
        <v/>
      </c>
      <c r="F2084">
        <f>Prices!F2084</f>
        <v/>
      </c>
      <c r="G2084">
        <f>IF(AND(2082&gt;=16,TEXT(A2084,"yyyy-mm")&lt;&gt;TEXT(A2085,"yyyy-mm")),1,0)</f>
        <v/>
      </c>
      <c r="H2084">
        <f>IF(OR(H2083=1,G2084=1),1,0)</f>
        <v/>
      </c>
      <c r="I2084">
        <f>IF(H2083=0,1,SUMPRODUCT(J2083:N2083,B2084:F2084)+O2083*(1+0.00023125256064071564))</f>
        <v/>
      </c>
      <c r="J2084">
        <f>IF(G2084=1,0.2*R2084/B2084,J2083)</f>
        <v/>
      </c>
      <c r="K2084">
        <f>IF(G2084=1,0.2*R2084/C2084,K2083)</f>
        <v/>
      </c>
      <c r="L2084">
        <f>IF(G2084=1,0.2*R2084/D2084,L2083)</f>
        <v/>
      </c>
      <c r="M2084">
        <f>IF(G2084=1,0.2*R2084/E2084,M2083)</f>
        <v/>
      </c>
      <c r="N2084">
        <f>IF(G2084=1,0.2*R2084/F2084,N2083)</f>
        <v/>
      </c>
      <c r="O2084">
        <f>IF(G2084=1,R2084*(1-1.0),IF(H2083=0,1,O2083*(1+0.00023125256064071564)))</f>
        <v/>
      </c>
      <c r="P2084">
        <f>IF(G2084=1,IF(H2083=0,1,ABS(0.2-J2083*B2084/I2084)+ABS(0.2-K2083*C2084/I2084)+ABS(0.2-L2083*D2084/I2084)+ABS(0.2-M2083*E2084/I2084)+ABS(0.2-N2083*F2084/I2084)),0)</f>
        <v/>
      </c>
      <c r="Q2084">
        <f>P2084*0.0015</f>
        <v/>
      </c>
      <c r="R2084">
        <f>I2084*(1-Q2084)</f>
        <v/>
      </c>
      <c r="S2084">
        <f>R2084/R2083-1</f>
        <v/>
      </c>
      <c r="T2084">
        <f>MAX(T2083,R2084)</f>
        <v/>
      </c>
      <c r="U2084">
        <f>R2084/T2084-1</f>
        <v/>
      </c>
      <c r="V2084" t="n">
        <v>3.338473890268725</v>
      </c>
      <c r="W2084" s="5">
        <f>R2084-V2084</f>
        <v/>
      </c>
    </row>
    <row r="2085">
      <c r="A2085" s="3" t="n">
        <v>41499</v>
      </c>
      <c r="B2085">
        <f>Prices!B2085</f>
        <v/>
      </c>
      <c r="C2085">
        <f>Prices!C2085</f>
        <v/>
      </c>
      <c r="D2085">
        <f>Prices!D2085</f>
        <v/>
      </c>
      <c r="E2085">
        <f>Prices!E2085</f>
        <v/>
      </c>
      <c r="F2085">
        <f>Prices!F2085</f>
        <v/>
      </c>
      <c r="G2085">
        <f>IF(AND(2083&gt;=16,TEXT(A2085,"yyyy-mm")&lt;&gt;TEXT(A2086,"yyyy-mm")),1,0)</f>
        <v/>
      </c>
      <c r="H2085">
        <f>IF(OR(H2084=1,G2085=1),1,0)</f>
        <v/>
      </c>
      <c r="I2085">
        <f>IF(H2084=0,1,SUMPRODUCT(J2084:N2084,B2085:F2085)+O2084*(1+0.00023125256064071564))</f>
        <v/>
      </c>
      <c r="J2085">
        <f>IF(G2085=1,0.2*R2085/B2085,J2084)</f>
        <v/>
      </c>
      <c r="K2085">
        <f>IF(G2085=1,0.2*R2085/C2085,K2084)</f>
        <v/>
      </c>
      <c r="L2085">
        <f>IF(G2085=1,0.2*R2085/D2085,L2084)</f>
        <v/>
      </c>
      <c r="M2085">
        <f>IF(G2085=1,0.2*R2085/E2085,M2084)</f>
        <v/>
      </c>
      <c r="N2085">
        <f>IF(G2085=1,0.2*R2085/F2085,N2084)</f>
        <v/>
      </c>
      <c r="O2085">
        <f>IF(G2085=1,R2085*(1-1.0),IF(H2084=0,1,O2084*(1+0.00023125256064071564)))</f>
        <v/>
      </c>
      <c r="P2085">
        <f>IF(G2085=1,IF(H2084=0,1,ABS(0.2-J2084*B2085/I2085)+ABS(0.2-K2084*C2085/I2085)+ABS(0.2-L2084*D2085/I2085)+ABS(0.2-M2084*E2085/I2085)+ABS(0.2-N2084*F2085/I2085)),0)</f>
        <v/>
      </c>
      <c r="Q2085">
        <f>P2085*0.0015</f>
        <v/>
      </c>
      <c r="R2085">
        <f>I2085*(1-Q2085)</f>
        <v/>
      </c>
      <c r="S2085">
        <f>R2085/R2084-1</f>
        <v/>
      </c>
      <c r="T2085">
        <f>MAX(T2084,R2085)</f>
        <v/>
      </c>
      <c r="U2085">
        <f>R2085/T2085-1</f>
        <v/>
      </c>
      <c r="V2085" t="n">
        <v>3.393243712085684</v>
      </c>
      <c r="W2085" s="5">
        <f>R2085-V2085</f>
        <v/>
      </c>
    </row>
    <row r="2086">
      <c r="A2086" s="3" t="n">
        <v>41500</v>
      </c>
      <c r="B2086">
        <f>Prices!B2086</f>
        <v/>
      </c>
      <c r="C2086">
        <f>Prices!C2086</f>
        <v/>
      </c>
      <c r="D2086">
        <f>Prices!D2086</f>
        <v/>
      </c>
      <c r="E2086">
        <f>Prices!E2086</f>
        <v/>
      </c>
      <c r="F2086">
        <f>Prices!F2086</f>
        <v/>
      </c>
      <c r="G2086">
        <f>IF(AND(2084&gt;=16,TEXT(A2086,"yyyy-mm")&lt;&gt;TEXT(A2087,"yyyy-mm")),1,0)</f>
        <v/>
      </c>
      <c r="H2086">
        <f>IF(OR(H2085=1,G2086=1),1,0)</f>
        <v/>
      </c>
      <c r="I2086">
        <f>IF(H2085=0,1,SUMPRODUCT(J2085:N2085,B2086:F2086)+O2085*(1+0.00023125256064071564))</f>
        <v/>
      </c>
      <c r="J2086">
        <f>IF(G2086=1,0.2*R2086/B2086,J2085)</f>
        <v/>
      </c>
      <c r="K2086">
        <f>IF(G2086=1,0.2*R2086/C2086,K2085)</f>
        <v/>
      </c>
      <c r="L2086">
        <f>IF(G2086=1,0.2*R2086/D2086,L2085)</f>
        <v/>
      </c>
      <c r="M2086">
        <f>IF(G2086=1,0.2*R2086/E2086,M2085)</f>
        <v/>
      </c>
      <c r="N2086">
        <f>IF(G2086=1,0.2*R2086/F2086,N2085)</f>
        <v/>
      </c>
      <c r="O2086">
        <f>IF(G2086=1,R2086*(1-1.0),IF(H2085=0,1,O2085*(1+0.00023125256064071564)))</f>
        <v/>
      </c>
      <c r="P2086">
        <f>IF(G2086=1,IF(H2085=0,1,ABS(0.2-J2085*B2086/I2086)+ABS(0.2-K2085*C2086/I2086)+ABS(0.2-L2085*D2086/I2086)+ABS(0.2-M2085*E2086/I2086)+ABS(0.2-N2085*F2086/I2086)),0)</f>
        <v/>
      </c>
      <c r="Q2086">
        <f>P2086*0.0015</f>
        <v/>
      </c>
      <c r="R2086">
        <f>I2086*(1-Q2086)</f>
        <v/>
      </c>
      <c r="S2086">
        <f>R2086/R2085-1</f>
        <v/>
      </c>
      <c r="T2086">
        <f>MAX(T2085,R2086)</f>
        <v/>
      </c>
      <c r="U2086">
        <f>R2086/T2086-1</f>
        <v/>
      </c>
      <c r="V2086" t="n">
        <v>3.429838116041998</v>
      </c>
      <c r="W2086" s="5">
        <f>R2086-V2086</f>
        <v/>
      </c>
    </row>
    <row r="2087">
      <c r="A2087" s="3" t="n">
        <v>41502</v>
      </c>
      <c r="B2087">
        <f>Prices!B2087</f>
        <v/>
      </c>
      <c r="C2087">
        <f>Prices!C2087</f>
        <v/>
      </c>
      <c r="D2087">
        <f>Prices!D2087</f>
        <v/>
      </c>
      <c r="E2087">
        <f>Prices!E2087</f>
        <v/>
      </c>
      <c r="F2087">
        <f>Prices!F2087</f>
        <v/>
      </c>
      <c r="G2087">
        <f>IF(AND(2085&gt;=16,TEXT(A2087,"yyyy-mm")&lt;&gt;TEXT(A2088,"yyyy-mm")),1,0)</f>
        <v/>
      </c>
      <c r="H2087">
        <f>IF(OR(H2086=1,G2087=1),1,0)</f>
        <v/>
      </c>
      <c r="I2087">
        <f>IF(H2086=0,1,SUMPRODUCT(J2086:N2086,B2087:F2087)+O2086*(1+0.00023125256064071564))</f>
        <v/>
      </c>
      <c r="J2087">
        <f>IF(G2087=1,0.2*R2087/B2087,J2086)</f>
        <v/>
      </c>
      <c r="K2087">
        <f>IF(G2087=1,0.2*R2087/C2087,K2086)</f>
        <v/>
      </c>
      <c r="L2087">
        <f>IF(G2087=1,0.2*R2087/D2087,L2086)</f>
        <v/>
      </c>
      <c r="M2087">
        <f>IF(G2087=1,0.2*R2087/E2087,M2086)</f>
        <v/>
      </c>
      <c r="N2087">
        <f>IF(G2087=1,0.2*R2087/F2087,N2086)</f>
        <v/>
      </c>
      <c r="O2087">
        <f>IF(G2087=1,R2087*(1-1.0),IF(H2086=0,1,O2086*(1+0.00023125256064071564)))</f>
        <v/>
      </c>
      <c r="P2087">
        <f>IF(G2087=1,IF(H2086=0,1,ABS(0.2-J2086*B2087/I2087)+ABS(0.2-K2086*C2087/I2087)+ABS(0.2-L2086*D2087/I2087)+ABS(0.2-M2086*E2087/I2087)+ABS(0.2-N2086*F2087/I2087)),0)</f>
        <v/>
      </c>
      <c r="Q2087">
        <f>P2087*0.0015</f>
        <v/>
      </c>
      <c r="R2087">
        <f>I2087*(1-Q2087)</f>
        <v/>
      </c>
      <c r="S2087">
        <f>R2087/R2086-1</f>
        <v/>
      </c>
      <c r="T2087">
        <f>MAX(T2086,R2087)</f>
        <v/>
      </c>
      <c r="U2087">
        <f>R2087/T2087-1</f>
        <v/>
      </c>
      <c r="V2087" t="n">
        <v>3.312117327124472</v>
      </c>
      <c r="W2087" s="5">
        <f>R2087-V2087</f>
        <v/>
      </c>
    </row>
    <row r="2088">
      <c r="A2088" s="3" t="n">
        <v>41505</v>
      </c>
      <c r="B2088">
        <f>Prices!B2088</f>
        <v/>
      </c>
      <c r="C2088">
        <f>Prices!C2088</f>
        <v/>
      </c>
      <c r="D2088">
        <f>Prices!D2088</f>
        <v/>
      </c>
      <c r="E2088">
        <f>Prices!E2088</f>
        <v/>
      </c>
      <c r="F2088">
        <f>Prices!F2088</f>
        <v/>
      </c>
      <c r="G2088">
        <f>IF(AND(2086&gt;=16,TEXT(A2088,"yyyy-mm")&lt;&gt;TEXT(A2089,"yyyy-mm")),1,0)</f>
        <v/>
      </c>
      <c r="H2088">
        <f>IF(OR(H2087=1,G2088=1),1,0)</f>
        <v/>
      </c>
      <c r="I2088">
        <f>IF(H2087=0,1,SUMPRODUCT(J2087:N2087,B2088:F2088)+O2087*(1+0.00023125256064071564))</f>
        <v/>
      </c>
      <c r="J2088">
        <f>IF(G2088=1,0.2*R2088/B2088,J2087)</f>
        <v/>
      </c>
      <c r="K2088">
        <f>IF(G2088=1,0.2*R2088/C2088,K2087)</f>
        <v/>
      </c>
      <c r="L2088">
        <f>IF(G2088=1,0.2*R2088/D2088,L2087)</f>
        <v/>
      </c>
      <c r="M2088">
        <f>IF(G2088=1,0.2*R2088/E2088,M2087)</f>
        <v/>
      </c>
      <c r="N2088">
        <f>IF(G2088=1,0.2*R2088/F2088,N2087)</f>
        <v/>
      </c>
      <c r="O2088">
        <f>IF(G2088=1,R2088*(1-1.0),IF(H2087=0,1,O2087*(1+0.00023125256064071564)))</f>
        <v/>
      </c>
      <c r="P2088">
        <f>IF(G2088=1,IF(H2087=0,1,ABS(0.2-J2087*B2088/I2088)+ABS(0.2-K2087*C2088/I2088)+ABS(0.2-L2087*D2088/I2088)+ABS(0.2-M2087*E2088/I2088)+ABS(0.2-N2087*F2088/I2088)),0)</f>
        <v/>
      </c>
      <c r="Q2088">
        <f>P2088*0.0015</f>
        <v/>
      </c>
      <c r="R2088">
        <f>I2088*(1-Q2088)</f>
        <v/>
      </c>
      <c r="S2088">
        <f>R2088/R2087-1</f>
        <v/>
      </c>
      <c r="T2088">
        <f>MAX(T2087,R2088)</f>
        <v/>
      </c>
      <c r="U2088">
        <f>R2088/T2088-1</f>
        <v/>
      </c>
      <c r="V2088" t="n">
        <v>3.255158469285487</v>
      </c>
      <c r="W2088" s="5">
        <f>R2088-V2088</f>
        <v/>
      </c>
    </row>
    <row r="2089">
      <c r="A2089" s="3" t="n">
        <v>41506</v>
      </c>
      <c r="B2089">
        <f>Prices!B2089</f>
        <v/>
      </c>
      <c r="C2089">
        <f>Prices!C2089</f>
        <v/>
      </c>
      <c r="D2089">
        <f>Prices!D2089</f>
        <v/>
      </c>
      <c r="E2089">
        <f>Prices!E2089</f>
        <v/>
      </c>
      <c r="F2089">
        <f>Prices!F2089</f>
        <v/>
      </c>
      <c r="G2089">
        <f>IF(AND(2087&gt;=16,TEXT(A2089,"yyyy-mm")&lt;&gt;TEXT(A2090,"yyyy-mm")),1,0)</f>
        <v/>
      </c>
      <c r="H2089">
        <f>IF(OR(H2088=1,G2089=1),1,0)</f>
        <v/>
      </c>
      <c r="I2089">
        <f>IF(H2088=0,1,SUMPRODUCT(J2088:N2088,B2089:F2089)+O2088*(1+0.00023125256064071564))</f>
        <v/>
      </c>
      <c r="J2089">
        <f>IF(G2089=1,0.2*R2089/B2089,J2088)</f>
        <v/>
      </c>
      <c r="K2089">
        <f>IF(G2089=1,0.2*R2089/C2089,K2088)</f>
        <v/>
      </c>
      <c r="L2089">
        <f>IF(G2089=1,0.2*R2089/D2089,L2088)</f>
        <v/>
      </c>
      <c r="M2089">
        <f>IF(G2089=1,0.2*R2089/E2089,M2088)</f>
        <v/>
      </c>
      <c r="N2089">
        <f>IF(G2089=1,0.2*R2089/F2089,N2088)</f>
        <v/>
      </c>
      <c r="O2089">
        <f>IF(G2089=1,R2089*(1-1.0),IF(H2088=0,1,O2088*(1+0.00023125256064071564)))</f>
        <v/>
      </c>
      <c r="P2089">
        <f>IF(G2089=1,IF(H2088=0,1,ABS(0.2-J2088*B2089/I2089)+ABS(0.2-K2088*C2089/I2089)+ABS(0.2-L2088*D2089/I2089)+ABS(0.2-M2088*E2089/I2089)+ABS(0.2-N2088*F2089/I2089)),0)</f>
        <v/>
      </c>
      <c r="Q2089">
        <f>P2089*0.0015</f>
        <v/>
      </c>
      <c r="R2089">
        <f>I2089*(1-Q2089)</f>
        <v/>
      </c>
      <c r="S2089">
        <f>R2089/R2088-1</f>
        <v/>
      </c>
      <c r="T2089">
        <f>MAX(T2088,R2089)</f>
        <v/>
      </c>
      <c r="U2089">
        <f>R2089/T2089-1</f>
        <v/>
      </c>
      <c r="V2089" t="n">
        <v>3.231645920849719</v>
      </c>
      <c r="W2089" s="5">
        <f>R2089-V2089</f>
        <v/>
      </c>
    </row>
    <row r="2090">
      <c r="A2090" s="3" t="n">
        <v>41507</v>
      </c>
      <c r="B2090">
        <f>Prices!B2090</f>
        <v/>
      </c>
      <c r="C2090">
        <f>Prices!C2090</f>
        <v/>
      </c>
      <c r="D2090">
        <f>Prices!D2090</f>
        <v/>
      </c>
      <c r="E2090">
        <f>Prices!E2090</f>
        <v/>
      </c>
      <c r="F2090">
        <f>Prices!F2090</f>
        <v/>
      </c>
      <c r="G2090">
        <f>IF(AND(2088&gt;=16,TEXT(A2090,"yyyy-mm")&lt;&gt;TEXT(A2091,"yyyy-mm")),1,0)</f>
        <v/>
      </c>
      <c r="H2090">
        <f>IF(OR(H2089=1,G2090=1),1,0)</f>
        <v/>
      </c>
      <c r="I2090">
        <f>IF(H2089=0,1,SUMPRODUCT(J2089:N2089,B2090:F2090)+O2089*(1+0.00023125256064071564))</f>
        <v/>
      </c>
      <c r="J2090">
        <f>IF(G2090=1,0.2*R2090/B2090,J2089)</f>
        <v/>
      </c>
      <c r="K2090">
        <f>IF(G2090=1,0.2*R2090/C2090,K2089)</f>
        <v/>
      </c>
      <c r="L2090">
        <f>IF(G2090=1,0.2*R2090/D2090,L2089)</f>
        <v/>
      </c>
      <c r="M2090">
        <f>IF(G2090=1,0.2*R2090/E2090,M2089)</f>
        <v/>
      </c>
      <c r="N2090">
        <f>IF(G2090=1,0.2*R2090/F2090,N2089)</f>
        <v/>
      </c>
      <c r="O2090">
        <f>IF(G2090=1,R2090*(1-1.0),IF(H2089=0,1,O2089*(1+0.00023125256064071564)))</f>
        <v/>
      </c>
      <c r="P2090">
        <f>IF(G2090=1,IF(H2089=0,1,ABS(0.2-J2089*B2090/I2090)+ABS(0.2-K2089*C2090/I2090)+ABS(0.2-L2089*D2090/I2090)+ABS(0.2-M2089*E2090/I2090)+ABS(0.2-N2089*F2090/I2090)),0)</f>
        <v/>
      </c>
      <c r="Q2090">
        <f>P2090*0.0015</f>
        <v/>
      </c>
      <c r="R2090">
        <f>I2090*(1-Q2090)</f>
        <v/>
      </c>
      <c r="S2090">
        <f>R2090/R2089-1</f>
        <v/>
      </c>
      <c r="T2090">
        <f>MAX(T2089,R2090)</f>
        <v/>
      </c>
      <c r="U2090">
        <f>R2090/T2090-1</f>
        <v/>
      </c>
      <c r="V2090" t="n">
        <v>3.174532865314897</v>
      </c>
      <c r="W2090" s="5">
        <f>R2090-V2090</f>
        <v/>
      </c>
    </row>
    <row r="2091">
      <c r="A2091" s="3" t="n">
        <v>41508</v>
      </c>
      <c r="B2091">
        <f>Prices!B2091</f>
        <v/>
      </c>
      <c r="C2091">
        <f>Prices!C2091</f>
        <v/>
      </c>
      <c r="D2091">
        <f>Prices!D2091</f>
        <v/>
      </c>
      <c r="E2091">
        <f>Prices!E2091</f>
        <v/>
      </c>
      <c r="F2091">
        <f>Prices!F2091</f>
        <v/>
      </c>
      <c r="G2091">
        <f>IF(AND(2089&gt;=16,TEXT(A2091,"yyyy-mm")&lt;&gt;TEXT(A2092,"yyyy-mm")),1,0)</f>
        <v/>
      </c>
      <c r="H2091">
        <f>IF(OR(H2090=1,G2091=1),1,0)</f>
        <v/>
      </c>
      <c r="I2091">
        <f>IF(H2090=0,1,SUMPRODUCT(J2090:N2090,B2091:F2091)+O2090*(1+0.00023125256064071564))</f>
        <v/>
      </c>
      <c r="J2091">
        <f>IF(G2091=1,0.2*R2091/B2091,J2090)</f>
        <v/>
      </c>
      <c r="K2091">
        <f>IF(G2091=1,0.2*R2091/C2091,K2090)</f>
        <v/>
      </c>
      <c r="L2091">
        <f>IF(G2091=1,0.2*R2091/D2091,L2090)</f>
        <v/>
      </c>
      <c r="M2091">
        <f>IF(G2091=1,0.2*R2091/E2091,M2090)</f>
        <v/>
      </c>
      <c r="N2091">
        <f>IF(G2091=1,0.2*R2091/F2091,N2090)</f>
        <v/>
      </c>
      <c r="O2091">
        <f>IF(G2091=1,R2091*(1-1.0),IF(H2090=0,1,O2090*(1+0.00023125256064071564)))</f>
        <v/>
      </c>
      <c r="P2091">
        <f>IF(G2091=1,IF(H2090=0,1,ABS(0.2-J2090*B2091/I2091)+ABS(0.2-K2090*C2091/I2091)+ABS(0.2-L2090*D2091/I2091)+ABS(0.2-M2090*E2091/I2091)+ABS(0.2-N2090*F2091/I2091)),0)</f>
        <v/>
      </c>
      <c r="Q2091">
        <f>P2091*0.0015</f>
        <v/>
      </c>
      <c r="R2091">
        <f>I2091*(1-Q2091)</f>
        <v/>
      </c>
      <c r="S2091">
        <f>R2091/R2090-1</f>
        <v/>
      </c>
      <c r="T2091">
        <f>MAX(T2090,R2091)</f>
        <v/>
      </c>
      <c r="U2091">
        <f>R2091/T2091-1</f>
        <v/>
      </c>
      <c r="V2091" t="n">
        <v>3.216851523467234</v>
      </c>
      <c r="W2091" s="5">
        <f>R2091-V2091</f>
        <v/>
      </c>
    </row>
    <row r="2092">
      <c r="A2092" s="3" t="n">
        <v>41509</v>
      </c>
      <c r="B2092">
        <f>Prices!B2092</f>
        <v/>
      </c>
      <c r="C2092">
        <f>Prices!C2092</f>
        <v/>
      </c>
      <c r="D2092">
        <f>Prices!D2092</f>
        <v/>
      </c>
      <c r="E2092">
        <f>Prices!E2092</f>
        <v/>
      </c>
      <c r="F2092">
        <f>Prices!F2092</f>
        <v/>
      </c>
      <c r="G2092">
        <f>IF(AND(2090&gt;=16,TEXT(A2092,"yyyy-mm")&lt;&gt;TEXT(A2093,"yyyy-mm")),1,0)</f>
        <v/>
      </c>
      <c r="H2092">
        <f>IF(OR(H2091=1,G2092=1),1,0)</f>
        <v/>
      </c>
      <c r="I2092">
        <f>IF(H2091=0,1,SUMPRODUCT(J2091:N2091,B2092:F2092)+O2091*(1+0.00023125256064071564))</f>
        <v/>
      </c>
      <c r="J2092">
        <f>IF(G2092=1,0.2*R2092/B2092,J2091)</f>
        <v/>
      </c>
      <c r="K2092">
        <f>IF(G2092=1,0.2*R2092/C2092,K2091)</f>
        <v/>
      </c>
      <c r="L2092">
        <f>IF(G2092=1,0.2*R2092/D2092,L2091)</f>
        <v/>
      </c>
      <c r="M2092">
        <f>IF(G2092=1,0.2*R2092/E2092,M2091)</f>
        <v/>
      </c>
      <c r="N2092">
        <f>IF(G2092=1,0.2*R2092/F2092,N2091)</f>
        <v/>
      </c>
      <c r="O2092">
        <f>IF(G2092=1,R2092*(1-1.0),IF(H2091=0,1,O2091*(1+0.00023125256064071564)))</f>
        <v/>
      </c>
      <c r="P2092">
        <f>IF(G2092=1,IF(H2091=0,1,ABS(0.2-J2091*B2092/I2092)+ABS(0.2-K2091*C2092/I2092)+ABS(0.2-L2091*D2092/I2092)+ABS(0.2-M2091*E2092/I2092)+ABS(0.2-N2091*F2092/I2092)),0)</f>
        <v/>
      </c>
      <c r="Q2092">
        <f>P2092*0.0015</f>
        <v/>
      </c>
      <c r="R2092">
        <f>I2092*(1-Q2092)</f>
        <v/>
      </c>
      <c r="S2092">
        <f>R2092/R2091-1</f>
        <v/>
      </c>
      <c r="T2092">
        <f>MAX(T2091,R2092)</f>
        <v/>
      </c>
      <c r="U2092">
        <f>R2092/T2092-1</f>
        <v/>
      </c>
      <c r="V2092" t="n">
        <v>3.253280917489711</v>
      </c>
      <c r="W2092" s="5">
        <f>R2092-V2092</f>
        <v/>
      </c>
    </row>
    <row r="2093">
      <c r="A2093" s="3" t="n">
        <v>41512</v>
      </c>
      <c r="B2093">
        <f>Prices!B2093</f>
        <v/>
      </c>
      <c r="C2093">
        <f>Prices!C2093</f>
        <v/>
      </c>
      <c r="D2093">
        <f>Prices!D2093</f>
        <v/>
      </c>
      <c r="E2093">
        <f>Prices!E2093</f>
        <v/>
      </c>
      <c r="F2093">
        <f>Prices!F2093</f>
        <v/>
      </c>
      <c r="G2093">
        <f>IF(AND(2091&gt;=16,TEXT(A2093,"yyyy-mm")&lt;&gt;TEXT(A2094,"yyyy-mm")),1,0)</f>
        <v/>
      </c>
      <c r="H2093">
        <f>IF(OR(H2092=1,G2093=1),1,0)</f>
        <v/>
      </c>
      <c r="I2093">
        <f>IF(H2092=0,1,SUMPRODUCT(J2092:N2092,B2093:F2093)+O2092*(1+0.00023125256064071564))</f>
        <v/>
      </c>
      <c r="J2093">
        <f>IF(G2093=1,0.2*R2093/B2093,J2092)</f>
        <v/>
      </c>
      <c r="K2093">
        <f>IF(G2093=1,0.2*R2093/C2093,K2092)</f>
        <v/>
      </c>
      <c r="L2093">
        <f>IF(G2093=1,0.2*R2093/D2093,L2092)</f>
        <v/>
      </c>
      <c r="M2093">
        <f>IF(G2093=1,0.2*R2093/E2093,M2092)</f>
        <v/>
      </c>
      <c r="N2093">
        <f>IF(G2093=1,0.2*R2093/F2093,N2092)</f>
        <v/>
      </c>
      <c r="O2093">
        <f>IF(G2093=1,R2093*(1-1.0),IF(H2092=0,1,O2092*(1+0.00023125256064071564)))</f>
        <v/>
      </c>
      <c r="P2093">
        <f>IF(G2093=1,IF(H2092=0,1,ABS(0.2-J2092*B2093/I2093)+ABS(0.2-K2092*C2093/I2093)+ABS(0.2-L2092*D2093/I2093)+ABS(0.2-M2092*E2093/I2093)+ABS(0.2-N2092*F2093/I2093)),0)</f>
        <v/>
      </c>
      <c r="Q2093">
        <f>P2093*0.0015</f>
        <v/>
      </c>
      <c r="R2093">
        <f>I2093*(1-Q2093)</f>
        <v/>
      </c>
      <c r="S2093">
        <f>R2093/R2092-1</f>
        <v/>
      </c>
      <c r="T2093">
        <f>MAX(T2092,R2093)</f>
        <v/>
      </c>
      <c r="U2093">
        <f>R2093/T2093-1</f>
        <v/>
      </c>
      <c r="V2093" t="n">
        <v>3.278361501677225</v>
      </c>
      <c r="W2093" s="5">
        <f>R2093-V2093</f>
        <v/>
      </c>
    </row>
    <row r="2094">
      <c r="A2094" s="3" t="n">
        <v>41513</v>
      </c>
      <c r="B2094">
        <f>Prices!B2094</f>
        <v/>
      </c>
      <c r="C2094">
        <f>Prices!C2094</f>
        <v/>
      </c>
      <c r="D2094">
        <f>Prices!D2094</f>
        <v/>
      </c>
      <c r="E2094">
        <f>Prices!E2094</f>
        <v/>
      </c>
      <c r="F2094">
        <f>Prices!F2094</f>
        <v/>
      </c>
      <c r="G2094">
        <f>IF(AND(2092&gt;=16,TEXT(A2094,"yyyy-mm")&lt;&gt;TEXT(A2095,"yyyy-mm")),1,0)</f>
        <v/>
      </c>
      <c r="H2094">
        <f>IF(OR(H2093=1,G2094=1),1,0)</f>
        <v/>
      </c>
      <c r="I2094">
        <f>IF(H2093=0,1,SUMPRODUCT(J2093:N2093,B2094:F2094)+O2093*(1+0.00023125256064071564))</f>
        <v/>
      </c>
      <c r="J2094">
        <f>IF(G2094=1,0.2*R2094/B2094,J2093)</f>
        <v/>
      </c>
      <c r="K2094">
        <f>IF(G2094=1,0.2*R2094/C2094,K2093)</f>
        <v/>
      </c>
      <c r="L2094">
        <f>IF(G2094=1,0.2*R2094/D2094,L2093)</f>
        <v/>
      </c>
      <c r="M2094">
        <f>IF(G2094=1,0.2*R2094/E2094,M2093)</f>
        <v/>
      </c>
      <c r="N2094">
        <f>IF(G2094=1,0.2*R2094/F2094,N2093)</f>
        <v/>
      </c>
      <c r="O2094">
        <f>IF(G2094=1,R2094*(1-1.0),IF(H2093=0,1,O2093*(1+0.00023125256064071564)))</f>
        <v/>
      </c>
      <c r="P2094">
        <f>IF(G2094=1,IF(H2093=0,1,ABS(0.2-J2093*B2094/I2094)+ABS(0.2-K2093*C2094/I2094)+ABS(0.2-L2093*D2094/I2094)+ABS(0.2-M2093*E2094/I2094)+ABS(0.2-N2093*F2094/I2094)),0)</f>
        <v/>
      </c>
      <c r="Q2094">
        <f>P2094*0.0015</f>
        <v/>
      </c>
      <c r="R2094">
        <f>I2094*(1-Q2094)</f>
        <v/>
      </c>
      <c r="S2094">
        <f>R2094/R2093-1</f>
        <v/>
      </c>
      <c r="T2094">
        <f>MAX(T2093,R2094)</f>
        <v/>
      </c>
      <c r="U2094">
        <f>R2094/T2094-1</f>
        <v/>
      </c>
      <c r="V2094" t="n">
        <v>3.19030900986796</v>
      </c>
      <c r="W2094" s="5">
        <f>R2094-V2094</f>
        <v/>
      </c>
    </row>
    <row r="2095">
      <c r="A2095" s="3" t="n">
        <v>41514</v>
      </c>
      <c r="B2095">
        <f>Prices!B2095</f>
        <v/>
      </c>
      <c r="C2095">
        <f>Prices!C2095</f>
        <v/>
      </c>
      <c r="D2095">
        <f>Prices!D2095</f>
        <v/>
      </c>
      <c r="E2095">
        <f>Prices!E2095</f>
        <v/>
      </c>
      <c r="F2095">
        <f>Prices!F2095</f>
        <v/>
      </c>
      <c r="G2095">
        <f>IF(AND(2093&gt;=16,TEXT(A2095,"yyyy-mm")&lt;&gt;TEXT(A2096,"yyyy-mm")),1,0)</f>
        <v/>
      </c>
      <c r="H2095">
        <f>IF(OR(H2094=1,G2095=1),1,0)</f>
        <v/>
      </c>
      <c r="I2095">
        <f>IF(H2094=0,1,SUMPRODUCT(J2094:N2094,B2095:F2095)+O2094*(1+0.00023125256064071564))</f>
        <v/>
      </c>
      <c r="J2095">
        <f>IF(G2095=1,0.2*R2095/B2095,J2094)</f>
        <v/>
      </c>
      <c r="K2095">
        <f>IF(G2095=1,0.2*R2095/C2095,K2094)</f>
        <v/>
      </c>
      <c r="L2095">
        <f>IF(G2095=1,0.2*R2095/D2095,L2094)</f>
        <v/>
      </c>
      <c r="M2095">
        <f>IF(G2095=1,0.2*R2095/E2095,M2094)</f>
        <v/>
      </c>
      <c r="N2095">
        <f>IF(G2095=1,0.2*R2095/F2095,N2094)</f>
        <v/>
      </c>
      <c r="O2095">
        <f>IF(G2095=1,R2095*(1-1.0),IF(H2094=0,1,O2094*(1+0.00023125256064071564)))</f>
        <v/>
      </c>
      <c r="P2095">
        <f>IF(G2095=1,IF(H2094=0,1,ABS(0.2-J2094*B2095/I2095)+ABS(0.2-K2094*C2095/I2095)+ABS(0.2-L2094*D2095/I2095)+ABS(0.2-M2094*E2095/I2095)+ABS(0.2-N2094*F2095/I2095)),0)</f>
        <v/>
      </c>
      <c r="Q2095">
        <f>P2095*0.0015</f>
        <v/>
      </c>
      <c r="R2095">
        <f>I2095*(1-Q2095)</f>
        <v/>
      </c>
      <c r="S2095">
        <f>R2095/R2094-1</f>
        <v/>
      </c>
      <c r="T2095">
        <f>MAX(T2094,R2095)</f>
        <v/>
      </c>
      <c r="U2095">
        <f>R2095/T2095-1</f>
        <v/>
      </c>
      <c r="V2095" t="n">
        <v>3.16016045386628</v>
      </c>
      <c r="W2095" s="5">
        <f>R2095-V2095</f>
        <v/>
      </c>
    </row>
    <row r="2096">
      <c r="A2096" s="3" t="n">
        <v>41515</v>
      </c>
      <c r="B2096">
        <f>Prices!B2096</f>
        <v/>
      </c>
      <c r="C2096">
        <f>Prices!C2096</f>
        <v/>
      </c>
      <c r="D2096">
        <f>Prices!D2096</f>
        <v/>
      </c>
      <c r="E2096">
        <f>Prices!E2096</f>
        <v/>
      </c>
      <c r="F2096">
        <f>Prices!F2096</f>
        <v/>
      </c>
      <c r="G2096">
        <f>IF(AND(2094&gt;=16,TEXT(A2096,"yyyy-mm")&lt;&gt;TEXT(A2097,"yyyy-mm")),1,0)</f>
        <v/>
      </c>
      <c r="H2096">
        <f>IF(OR(H2095=1,G2096=1),1,0)</f>
        <v/>
      </c>
      <c r="I2096">
        <f>IF(H2095=0,1,SUMPRODUCT(J2095:N2095,B2096:F2096)+O2095*(1+0.00023125256064071564))</f>
        <v/>
      </c>
      <c r="J2096">
        <f>IF(G2096=1,0.2*R2096/B2096,J2095)</f>
        <v/>
      </c>
      <c r="K2096">
        <f>IF(G2096=1,0.2*R2096/C2096,K2095)</f>
        <v/>
      </c>
      <c r="L2096">
        <f>IF(G2096=1,0.2*R2096/D2096,L2095)</f>
        <v/>
      </c>
      <c r="M2096">
        <f>IF(G2096=1,0.2*R2096/E2096,M2095)</f>
        <v/>
      </c>
      <c r="N2096">
        <f>IF(G2096=1,0.2*R2096/F2096,N2095)</f>
        <v/>
      </c>
      <c r="O2096">
        <f>IF(G2096=1,R2096*(1-1.0),IF(H2095=0,1,O2095*(1+0.00023125256064071564)))</f>
        <v/>
      </c>
      <c r="P2096">
        <f>IF(G2096=1,IF(H2095=0,1,ABS(0.2-J2095*B2096/I2096)+ABS(0.2-K2095*C2096/I2096)+ABS(0.2-L2095*D2096/I2096)+ABS(0.2-M2095*E2096/I2096)+ABS(0.2-N2095*F2096/I2096)),0)</f>
        <v/>
      </c>
      <c r="Q2096">
        <f>P2096*0.0015</f>
        <v/>
      </c>
      <c r="R2096">
        <f>I2096*(1-Q2096)</f>
        <v/>
      </c>
      <c r="S2096">
        <f>R2096/R2095-1</f>
        <v/>
      </c>
      <c r="T2096">
        <f>MAX(T2095,R2096)</f>
        <v/>
      </c>
      <c r="U2096">
        <f>R2096/T2096-1</f>
        <v/>
      </c>
      <c r="V2096" t="n">
        <v>3.228138125529479</v>
      </c>
      <c r="W2096" s="5">
        <f>R2096-V2096</f>
        <v/>
      </c>
    </row>
    <row r="2097">
      <c r="A2097" s="3" t="n">
        <v>41516</v>
      </c>
      <c r="B2097">
        <f>Prices!B2097</f>
        <v/>
      </c>
      <c r="C2097">
        <f>Prices!C2097</f>
        <v/>
      </c>
      <c r="D2097">
        <f>Prices!D2097</f>
        <v/>
      </c>
      <c r="E2097">
        <f>Prices!E2097</f>
        <v/>
      </c>
      <c r="F2097">
        <f>Prices!F2097</f>
        <v/>
      </c>
      <c r="G2097">
        <f>IF(AND(2095&gt;=16,TEXT(A2097,"yyyy-mm")&lt;&gt;TEXT(A2098,"yyyy-mm")),1,0)</f>
        <v/>
      </c>
      <c r="H2097">
        <f>IF(OR(H2096=1,G2097=1),1,0)</f>
        <v/>
      </c>
      <c r="I2097">
        <f>IF(H2096=0,1,SUMPRODUCT(J2096:N2096,B2097:F2097)+O2096*(1+0.00023125256064071564))</f>
        <v/>
      </c>
      <c r="J2097">
        <f>IF(G2097=1,0.2*R2097/B2097,J2096)</f>
        <v/>
      </c>
      <c r="K2097">
        <f>IF(G2097=1,0.2*R2097/C2097,K2096)</f>
        <v/>
      </c>
      <c r="L2097">
        <f>IF(G2097=1,0.2*R2097/D2097,L2096)</f>
        <v/>
      </c>
      <c r="M2097">
        <f>IF(G2097=1,0.2*R2097/E2097,M2096)</f>
        <v/>
      </c>
      <c r="N2097">
        <f>IF(G2097=1,0.2*R2097/F2097,N2096)</f>
        <v/>
      </c>
      <c r="O2097">
        <f>IF(G2097=1,R2097*(1-1.0),IF(H2096=0,1,O2096*(1+0.00023125256064071564)))</f>
        <v/>
      </c>
      <c r="P2097">
        <f>IF(G2097=1,IF(H2096=0,1,ABS(0.2-J2096*B2097/I2097)+ABS(0.2-K2096*C2097/I2097)+ABS(0.2-L2096*D2097/I2097)+ABS(0.2-M2096*E2097/I2097)+ABS(0.2-N2096*F2097/I2097)),0)</f>
        <v/>
      </c>
      <c r="Q2097">
        <f>P2097*0.0015</f>
        <v/>
      </c>
      <c r="R2097">
        <f>I2097*(1-Q2097)</f>
        <v/>
      </c>
      <c r="S2097">
        <f>R2097/R2096-1</f>
        <v/>
      </c>
      <c r="T2097">
        <f>MAX(T2096,R2097)</f>
        <v/>
      </c>
      <c r="U2097">
        <f>R2097/T2097-1</f>
        <v/>
      </c>
      <c r="V2097" t="n">
        <v>3.257752666765573</v>
      </c>
      <c r="W2097" s="5">
        <f>R2097-V2097</f>
        <v/>
      </c>
    </row>
    <row r="2098">
      <c r="A2098" s="3" t="n">
        <v>41519</v>
      </c>
      <c r="B2098">
        <f>Prices!B2098</f>
        <v/>
      </c>
      <c r="C2098">
        <f>Prices!C2098</f>
        <v/>
      </c>
      <c r="D2098">
        <f>Prices!D2098</f>
        <v/>
      </c>
      <c r="E2098">
        <f>Prices!E2098</f>
        <v/>
      </c>
      <c r="F2098">
        <f>Prices!F2098</f>
        <v/>
      </c>
      <c r="G2098">
        <f>IF(AND(2096&gt;=16,TEXT(A2098,"yyyy-mm")&lt;&gt;TEXT(A2099,"yyyy-mm")),1,0)</f>
        <v/>
      </c>
      <c r="H2098">
        <f>IF(OR(H2097=1,G2098=1),1,0)</f>
        <v/>
      </c>
      <c r="I2098">
        <f>IF(H2097=0,1,SUMPRODUCT(J2097:N2097,B2098:F2098)+O2097*(1+0.00023125256064071564))</f>
        <v/>
      </c>
      <c r="J2098">
        <f>IF(G2098=1,0.2*R2098/B2098,J2097)</f>
        <v/>
      </c>
      <c r="K2098">
        <f>IF(G2098=1,0.2*R2098/C2098,K2097)</f>
        <v/>
      </c>
      <c r="L2098">
        <f>IF(G2098=1,0.2*R2098/D2098,L2097)</f>
        <v/>
      </c>
      <c r="M2098">
        <f>IF(G2098=1,0.2*R2098/E2098,M2097)</f>
        <v/>
      </c>
      <c r="N2098">
        <f>IF(G2098=1,0.2*R2098/F2098,N2097)</f>
        <v/>
      </c>
      <c r="O2098">
        <f>IF(G2098=1,R2098*(1-1.0),IF(H2097=0,1,O2097*(1+0.00023125256064071564)))</f>
        <v/>
      </c>
      <c r="P2098">
        <f>IF(G2098=1,IF(H2097=0,1,ABS(0.2-J2097*B2098/I2098)+ABS(0.2-K2097*C2098/I2098)+ABS(0.2-L2097*D2098/I2098)+ABS(0.2-M2097*E2098/I2098)+ABS(0.2-N2097*F2098/I2098)),0)</f>
        <v/>
      </c>
      <c r="Q2098">
        <f>P2098*0.0015</f>
        <v/>
      </c>
      <c r="R2098">
        <f>I2098*(1-Q2098)</f>
        <v/>
      </c>
      <c r="S2098">
        <f>R2098/R2097-1</f>
        <v/>
      </c>
      <c r="T2098">
        <f>MAX(T2097,R2098)</f>
        <v/>
      </c>
      <c r="U2098">
        <f>R2098/T2098-1</f>
        <v/>
      </c>
      <c r="V2098" t="n">
        <v>3.313885531587888</v>
      </c>
      <c r="W2098" s="5">
        <f>R2098-V2098</f>
        <v/>
      </c>
    </row>
    <row r="2099">
      <c r="A2099" s="3" t="n">
        <v>41520</v>
      </c>
      <c r="B2099">
        <f>Prices!B2099</f>
        <v/>
      </c>
      <c r="C2099">
        <f>Prices!C2099</f>
        <v/>
      </c>
      <c r="D2099">
        <f>Prices!D2099</f>
        <v/>
      </c>
      <c r="E2099">
        <f>Prices!E2099</f>
        <v/>
      </c>
      <c r="F2099">
        <f>Prices!F2099</f>
        <v/>
      </c>
      <c r="G2099">
        <f>IF(AND(2097&gt;=16,TEXT(A2099,"yyyy-mm")&lt;&gt;TEXT(A2100,"yyyy-mm")),1,0)</f>
        <v/>
      </c>
      <c r="H2099">
        <f>IF(OR(H2098=1,G2099=1),1,0)</f>
        <v/>
      </c>
      <c r="I2099">
        <f>IF(H2098=0,1,SUMPRODUCT(J2098:N2098,B2099:F2099)+O2098*(1+0.00023125256064071564))</f>
        <v/>
      </c>
      <c r="J2099">
        <f>IF(G2099=1,0.2*R2099/B2099,J2098)</f>
        <v/>
      </c>
      <c r="K2099">
        <f>IF(G2099=1,0.2*R2099/C2099,K2098)</f>
        <v/>
      </c>
      <c r="L2099">
        <f>IF(G2099=1,0.2*R2099/D2099,L2098)</f>
        <v/>
      </c>
      <c r="M2099">
        <f>IF(G2099=1,0.2*R2099/E2099,M2098)</f>
        <v/>
      </c>
      <c r="N2099">
        <f>IF(G2099=1,0.2*R2099/F2099,N2098)</f>
        <v/>
      </c>
      <c r="O2099">
        <f>IF(G2099=1,R2099*(1-1.0),IF(H2098=0,1,O2098*(1+0.00023125256064071564)))</f>
        <v/>
      </c>
      <c r="P2099">
        <f>IF(G2099=1,IF(H2098=0,1,ABS(0.2-J2098*B2099/I2099)+ABS(0.2-K2098*C2099/I2099)+ABS(0.2-L2098*D2099/I2099)+ABS(0.2-M2098*E2099/I2099)+ABS(0.2-N2098*F2099/I2099)),0)</f>
        <v/>
      </c>
      <c r="Q2099">
        <f>P2099*0.0015</f>
        <v/>
      </c>
      <c r="R2099">
        <f>I2099*(1-Q2099)</f>
        <v/>
      </c>
      <c r="S2099">
        <f>R2099/R2098-1</f>
        <v/>
      </c>
      <c r="T2099">
        <f>MAX(T2098,R2099)</f>
        <v/>
      </c>
      <c r="U2099">
        <f>R2099/T2099-1</f>
        <v/>
      </c>
      <c r="V2099" t="n">
        <v>3.236269703864356</v>
      </c>
      <c r="W2099" s="5">
        <f>R2099-V2099</f>
        <v/>
      </c>
    </row>
    <row r="2100">
      <c r="A2100" s="3" t="n">
        <v>41521</v>
      </c>
      <c r="B2100">
        <f>Prices!B2100</f>
        <v/>
      </c>
      <c r="C2100">
        <f>Prices!C2100</f>
        <v/>
      </c>
      <c r="D2100">
        <f>Prices!D2100</f>
        <v/>
      </c>
      <c r="E2100">
        <f>Prices!E2100</f>
        <v/>
      </c>
      <c r="F2100">
        <f>Prices!F2100</f>
        <v/>
      </c>
      <c r="G2100">
        <f>IF(AND(2098&gt;=16,TEXT(A2100,"yyyy-mm")&lt;&gt;TEXT(A2101,"yyyy-mm")),1,0)</f>
        <v/>
      </c>
      <c r="H2100">
        <f>IF(OR(H2099=1,G2100=1),1,0)</f>
        <v/>
      </c>
      <c r="I2100">
        <f>IF(H2099=0,1,SUMPRODUCT(J2099:N2099,B2100:F2100)+O2099*(1+0.00023125256064071564))</f>
        <v/>
      </c>
      <c r="J2100">
        <f>IF(G2100=1,0.2*R2100/B2100,J2099)</f>
        <v/>
      </c>
      <c r="K2100">
        <f>IF(G2100=1,0.2*R2100/C2100,K2099)</f>
        <v/>
      </c>
      <c r="L2100">
        <f>IF(G2100=1,0.2*R2100/D2100,L2099)</f>
        <v/>
      </c>
      <c r="M2100">
        <f>IF(G2100=1,0.2*R2100/E2100,M2099)</f>
        <v/>
      </c>
      <c r="N2100">
        <f>IF(G2100=1,0.2*R2100/F2100,N2099)</f>
        <v/>
      </c>
      <c r="O2100">
        <f>IF(G2100=1,R2100*(1-1.0),IF(H2099=0,1,O2099*(1+0.00023125256064071564)))</f>
        <v/>
      </c>
      <c r="P2100">
        <f>IF(G2100=1,IF(H2099=0,1,ABS(0.2-J2099*B2100/I2100)+ABS(0.2-K2099*C2100/I2100)+ABS(0.2-L2099*D2100/I2100)+ABS(0.2-M2099*E2100/I2100)+ABS(0.2-N2099*F2100/I2100)),0)</f>
        <v/>
      </c>
      <c r="Q2100">
        <f>P2100*0.0015</f>
        <v/>
      </c>
      <c r="R2100">
        <f>I2100*(1-Q2100)</f>
        <v/>
      </c>
      <c r="S2100">
        <f>R2100/R2099-1</f>
        <v/>
      </c>
      <c r="T2100">
        <f>MAX(T2099,R2100)</f>
        <v/>
      </c>
      <c r="U2100">
        <f>R2100/T2100-1</f>
        <v/>
      </c>
      <c r="V2100" t="n">
        <v>3.292342289851211</v>
      </c>
      <c r="W2100" s="5">
        <f>R2100-V2100</f>
        <v/>
      </c>
    </row>
    <row r="2101">
      <c r="A2101" s="3" t="n">
        <v>41522</v>
      </c>
      <c r="B2101">
        <f>Prices!B2101</f>
        <v/>
      </c>
      <c r="C2101">
        <f>Prices!C2101</f>
        <v/>
      </c>
      <c r="D2101">
        <f>Prices!D2101</f>
        <v/>
      </c>
      <c r="E2101">
        <f>Prices!E2101</f>
        <v/>
      </c>
      <c r="F2101">
        <f>Prices!F2101</f>
        <v/>
      </c>
      <c r="G2101">
        <f>IF(AND(2099&gt;=16,TEXT(A2101,"yyyy-mm")&lt;&gt;TEXT(A2102,"yyyy-mm")),1,0)</f>
        <v/>
      </c>
      <c r="H2101">
        <f>IF(OR(H2100=1,G2101=1),1,0)</f>
        <v/>
      </c>
      <c r="I2101">
        <f>IF(H2100=0,1,SUMPRODUCT(J2100:N2100,B2101:F2101)+O2100*(1+0.00023125256064071564))</f>
        <v/>
      </c>
      <c r="J2101">
        <f>IF(G2101=1,0.2*R2101/B2101,J2100)</f>
        <v/>
      </c>
      <c r="K2101">
        <f>IF(G2101=1,0.2*R2101/C2101,K2100)</f>
        <v/>
      </c>
      <c r="L2101">
        <f>IF(G2101=1,0.2*R2101/D2101,L2100)</f>
        <v/>
      </c>
      <c r="M2101">
        <f>IF(G2101=1,0.2*R2101/E2101,M2100)</f>
        <v/>
      </c>
      <c r="N2101">
        <f>IF(G2101=1,0.2*R2101/F2101,N2100)</f>
        <v/>
      </c>
      <c r="O2101">
        <f>IF(G2101=1,R2101*(1-1.0),IF(H2100=0,1,O2100*(1+0.00023125256064071564)))</f>
        <v/>
      </c>
      <c r="P2101">
        <f>IF(G2101=1,IF(H2100=0,1,ABS(0.2-J2100*B2101/I2101)+ABS(0.2-K2100*C2101/I2101)+ABS(0.2-L2100*D2101/I2101)+ABS(0.2-M2100*E2101/I2101)+ABS(0.2-N2100*F2101/I2101)),0)</f>
        <v/>
      </c>
      <c r="Q2101">
        <f>P2101*0.0015</f>
        <v/>
      </c>
      <c r="R2101">
        <f>I2101*(1-Q2101)</f>
        <v/>
      </c>
      <c r="S2101">
        <f>R2101/R2100-1</f>
        <v/>
      </c>
      <c r="T2101">
        <f>MAX(T2100,R2101)</f>
        <v/>
      </c>
      <c r="U2101">
        <f>R2101/T2101-1</f>
        <v/>
      </c>
      <c r="V2101" t="n">
        <v>3.353875138417523</v>
      </c>
      <c r="W2101" s="5">
        <f>R2101-V2101</f>
        <v/>
      </c>
    </row>
    <row r="2102">
      <c r="A2102" s="3" t="n">
        <v>41523</v>
      </c>
      <c r="B2102">
        <f>Prices!B2102</f>
        <v/>
      </c>
      <c r="C2102">
        <f>Prices!C2102</f>
        <v/>
      </c>
      <c r="D2102">
        <f>Prices!D2102</f>
        <v/>
      </c>
      <c r="E2102">
        <f>Prices!E2102</f>
        <v/>
      </c>
      <c r="F2102">
        <f>Prices!F2102</f>
        <v/>
      </c>
      <c r="G2102">
        <f>IF(AND(2100&gt;=16,TEXT(A2102,"yyyy-mm")&lt;&gt;TEXT(A2103,"yyyy-mm")),1,0)</f>
        <v/>
      </c>
      <c r="H2102">
        <f>IF(OR(H2101=1,G2102=1),1,0)</f>
        <v/>
      </c>
      <c r="I2102">
        <f>IF(H2101=0,1,SUMPRODUCT(J2101:N2101,B2102:F2102)+O2101*(1+0.00023125256064071564))</f>
        <v/>
      </c>
      <c r="J2102">
        <f>IF(G2102=1,0.2*R2102/B2102,J2101)</f>
        <v/>
      </c>
      <c r="K2102">
        <f>IF(G2102=1,0.2*R2102/C2102,K2101)</f>
        <v/>
      </c>
      <c r="L2102">
        <f>IF(G2102=1,0.2*R2102/D2102,L2101)</f>
        <v/>
      </c>
      <c r="M2102">
        <f>IF(G2102=1,0.2*R2102/E2102,M2101)</f>
        <v/>
      </c>
      <c r="N2102">
        <f>IF(G2102=1,0.2*R2102/F2102,N2101)</f>
        <v/>
      </c>
      <c r="O2102">
        <f>IF(G2102=1,R2102*(1-1.0),IF(H2101=0,1,O2101*(1+0.00023125256064071564)))</f>
        <v/>
      </c>
      <c r="P2102">
        <f>IF(G2102=1,IF(H2101=0,1,ABS(0.2-J2101*B2102/I2102)+ABS(0.2-K2101*C2102/I2102)+ABS(0.2-L2101*D2102/I2102)+ABS(0.2-M2101*E2102/I2102)+ABS(0.2-N2101*F2102/I2102)),0)</f>
        <v/>
      </c>
      <c r="Q2102">
        <f>P2102*0.0015</f>
        <v/>
      </c>
      <c r="R2102">
        <f>I2102*(1-Q2102)</f>
        <v/>
      </c>
      <c r="S2102">
        <f>R2102/R2101-1</f>
        <v/>
      </c>
      <c r="T2102">
        <f>MAX(T2101,R2102)</f>
        <v/>
      </c>
      <c r="U2102">
        <f>R2102/T2102-1</f>
        <v/>
      </c>
      <c r="V2102" t="n">
        <v>3.381501530704966</v>
      </c>
      <c r="W2102" s="5">
        <f>R2102-V2102</f>
        <v/>
      </c>
    </row>
    <row r="2103">
      <c r="A2103" s="3" t="n">
        <v>41527</v>
      </c>
      <c r="B2103">
        <f>Prices!B2103</f>
        <v/>
      </c>
      <c r="C2103">
        <f>Prices!C2103</f>
        <v/>
      </c>
      <c r="D2103">
        <f>Prices!D2103</f>
        <v/>
      </c>
      <c r="E2103">
        <f>Prices!E2103</f>
        <v/>
      </c>
      <c r="F2103">
        <f>Prices!F2103</f>
        <v/>
      </c>
      <c r="G2103">
        <f>IF(AND(2101&gt;=16,TEXT(A2103,"yyyy-mm")&lt;&gt;TEXT(A2104,"yyyy-mm")),1,0)</f>
        <v/>
      </c>
      <c r="H2103">
        <f>IF(OR(H2102=1,G2103=1),1,0)</f>
        <v/>
      </c>
      <c r="I2103">
        <f>IF(H2102=0,1,SUMPRODUCT(J2102:N2102,B2103:F2103)+O2102*(1+0.00023125256064071564))</f>
        <v/>
      </c>
      <c r="J2103">
        <f>IF(G2103=1,0.2*R2103/B2103,J2102)</f>
        <v/>
      </c>
      <c r="K2103">
        <f>IF(G2103=1,0.2*R2103/C2103,K2102)</f>
        <v/>
      </c>
      <c r="L2103">
        <f>IF(G2103=1,0.2*R2103/D2103,L2102)</f>
        <v/>
      </c>
      <c r="M2103">
        <f>IF(G2103=1,0.2*R2103/E2103,M2102)</f>
        <v/>
      </c>
      <c r="N2103">
        <f>IF(G2103=1,0.2*R2103/F2103,N2102)</f>
        <v/>
      </c>
      <c r="O2103">
        <f>IF(G2103=1,R2103*(1-1.0),IF(H2102=0,1,O2102*(1+0.00023125256064071564)))</f>
        <v/>
      </c>
      <c r="P2103">
        <f>IF(G2103=1,IF(H2102=0,1,ABS(0.2-J2102*B2103/I2103)+ABS(0.2-K2102*C2103/I2103)+ABS(0.2-L2102*D2103/I2103)+ABS(0.2-M2102*E2103/I2103)+ABS(0.2-N2102*F2103/I2103)),0)</f>
        <v/>
      </c>
      <c r="Q2103">
        <f>P2103*0.0015</f>
        <v/>
      </c>
      <c r="R2103">
        <f>I2103*(1-Q2103)</f>
        <v/>
      </c>
      <c r="S2103">
        <f>R2103/R2102-1</f>
        <v/>
      </c>
      <c r="T2103">
        <f>MAX(T2102,R2103)</f>
        <v/>
      </c>
      <c r="U2103">
        <f>R2103/T2103-1</f>
        <v/>
      </c>
      <c r="V2103" t="n">
        <v>3.47221470622315</v>
      </c>
      <c r="W2103" s="5">
        <f>R2103-V2103</f>
        <v/>
      </c>
    </row>
    <row r="2104">
      <c r="A2104" s="3" t="n">
        <v>41528</v>
      </c>
      <c r="B2104">
        <f>Prices!B2104</f>
        <v/>
      </c>
      <c r="C2104">
        <f>Prices!C2104</f>
        <v/>
      </c>
      <c r="D2104">
        <f>Prices!D2104</f>
        <v/>
      </c>
      <c r="E2104">
        <f>Prices!E2104</f>
        <v/>
      </c>
      <c r="F2104">
        <f>Prices!F2104</f>
        <v/>
      </c>
      <c r="G2104">
        <f>IF(AND(2102&gt;=16,TEXT(A2104,"yyyy-mm")&lt;&gt;TEXT(A2105,"yyyy-mm")),1,0)</f>
        <v/>
      </c>
      <c r="H2104">
        <f>IF(OR(H2103=1,G2104=1),1,0)</f>
        <v/>
      </c>
      <c r="I2104">
        <f>IF(H2103=0,1,SUMPRODUCT(J2103:N2103,B2104:F2104)+O2103*(1+0.00023125256064071564))</f>
        <v/>
      </c>
      <c r="J2104">
        <f>IF(G2104=1,0.2*R2104/B2104,J2103)</f>
        <v/>
      </c>
      <c r="K2104">
        <f>IF(G2104=1,0.2*R2104/C2104,K2103)</f>
        <v/>
      </c>
      <c r="L2104">
        <f>IF(G2104=1,0.2*R2104/D2104,L2103)</f>
        <v/>
      </c>
      <c r="M2104">
        <f>IF(G2104=1,0.2*R2104/E2104,M2103)</f>
        <v/>
      </c>
      <c r="N2104">
        <f>IF(G2104=1,0.2*R2104/F2104,N2103)</f>
        <v/>
      </c>
      <c r="O2104">
        <f>IF(G2104=1,R2104*(1-1.0),IF(H2103=0,1,O2103*(1+0.00023125256064071564)))</f>
        <v/>
      </c>
      <c r="P2104">
        <f>IF(G2104=1,IF(H2103=0,1,ABS(0.2-J2103*B2104/I2104)+ABS(0.2-K2103*C2104/I2104)+ABS(0.2-L2103*D2104/I2104)+ABS(0.2-M2103*E2104/I2104)+ABS(0.2-N2103*F2104/I2104)),0)</f>
        <v/>
      </c>
      <c r="Q2104">
        <f>P2104*0.0015</f>
        <v/>
      </c>
      <c r="R2104">
        <f>I2104*(1-Q2104)</f>
        <v/>
      </c>
      <c r="S2104">
        <f>R2104/R2103-1</f>
        <v/>
      </c>
      <c r="T2104">
        <f>MAX(T2103,R2104)</f>
        <v/>
      </c>
      <c r="U2104">
        <f>R2104/T2104-1</f>
        <v/>
      </c>
      <c r="V2104" t="n">
        <v>3.510444587516582</v>
      </c>
      <c r="W2104" s="5">
        <f>R2104-V2104</f>
        <v/>
      </c>
    </row>
    <row r="2105">
      <c r="A2105" s="3" t="n">
        <v>41529</v>
      </c>
      <c r="B2105">
        <f>Prices!B2105</f>
        <v/>
      </c>
      <c r="C2105">
        <f>Prices!C2105</f>
        <v/>
      </c>
      <c r="D2105">
        <f>Prices!D2105</f>
        <v/>
      </c>
      <c r="E2105">
        <f>Prices!E2105</f>
        <v/>
      </c>
      <c r="F2105">
        <f>Prices!F2105</f>
        <v/>
      </c>
      <c r="G2105">
        <f>IF(AND(2103&gt;=16,TEXT(A2105,"yyyy-mm")&lt;&gt;TEXT(A2106,"yyyy-mm")),1,0)</f>
        <v/>
      </c>
      <c r="H2105">
        <f>IF(OR(H2104=1,G2105=1),1,0)</f>
        <v/>
      </c>
      <c r="I2105">
        <f>IF(H2104=0,1,SUMPRODUCT(J2104:N2104,B2105:F2105)+O2104*(1+0.00023125256064071564))</f>
        <v/>
      </c>
      <c r="J2105">
        <f>IF(G2105=1,0.2*R2105/B2105,J2104)</f>
        <v/>
      </c>
      <c r="K2105">
        <f>IF(G2105=1,0.2*R2105/C2105,K2104)</f>
        <v/>
      </c>
      <c r="L2105">
        <f>IF(G2105=1,0.2*R2105/D2105,L2104)</f>
        <v/>
      </c>
      <c r="M2105">
        <f>IF(G2105=1,0.2*R2105/E2105,M2104)</f>
        <v/>
      </c>
      <c r="N2105">
        <f>IF(G2105=1,0.2*R2105/F2105,N2104)</f>
        <v/>
      </c>
      <c r="O2105">
        <f>IF(G2105=1,R2105*(1-1.0),IF(H2104=0,1,O2104*(1+0.00023125256064071564)))</f>
        <v/>
      </c>
      <c r="P2105">
        <f>IF(G2105=1,IF(H2104=0,1,ABS(0.2-J2104*B2105/I2105)+ABS(0.2-K2104*C2105/I2105)+ABS(0.2-L2104*D2105/I2105)+ABS(0.2-M2104*E2105/I2105)+ABS(0.2-N2104*F2105/I2105)),0)</f>
        <v/>
      </c>
      <c r="Q2105">
        <f>P2105*0.0015</f>
        <v/>
      </c>
      <c r="R2105">
        <f>I2105*(1-Q2105)</f>
        <v/>
      </c>
      <c r="S2105">
        <f>R2105/R2104-1</f>
        <v/>
      </c>
      <c r="T2105">
        <f>MAX(T2104,R2105)</f>
        <v/>
      </c>
      <c r="U2105">
        <f>R2105/T2105-1</f>
        <v/>
      </c>
      <c r="V2105" t="n">
        <v>3.482777254082658</v>
      </c>
      <c r="W2105" s="5">
        <f>R2105-V2105</f>
        <v/>
      </c>
    </row>
    <row r="2106">
      <c r="A2106" s="3" t="n">
        <v>41530</v>
      </c>
      <c r="B2106">
        <f>Prices!B2106</f>
        <v/>
      </c>
      <c r="C2106">
        <f>Prices!C2106</f>
        <v/>
      </c>
      <c r="D2106">
        <f>Prices!D2106</f>
        <v/>
      </c>
      <c r="E2106">
        <f>Prices!E2106</f>
        <v/>
      </c>
      <c r="F2106">
        <f>Prices!F2106</f>
        <v/>
      </c>
      <c r="G2106">
        <f>IF(AND(2104&gt;=16,TEXT(A2106,"yyyy-mm")&lt;&gt;TEXT(A2107,"yyyy-mm")),1,0)</f>
        <v/>
      </c>
      <c r="H2106">
        <f>IF(OR(H2105=1,G2106=1),1,0)</f>
        <v/>
      </c>
      <c r="I2106">
        <f>IF(H2105=0,1,SUMPRODUCT(J2105:N2105,B2106:F2106)+O2105*(1+0.00023125256064071564))</f>
        <v/>
      </c>
      <c r="J2106">
        <f>IF(G2106=1,0.2*R2106/B2106,J2105)</f>
        <v/>
      </c>
      <c r="K2106">
        <f>IF(G2106=1,0.2*R2106/C2106,K2105)</f>
        <v/>
      </c>
      <c r="L2106">
        <f>IF(G2106=1,0.2*R2106/D2106,L2105)</f>
        <v/>
      </c>
      <c r="M2106">
        <f>IF(G2106=1,0.2*R2106/E2106,M2105)</f>
        <v/>
      </c>
      <c r="N2106">
        <f>IF(G2106=1,0.2*R2106/F2106,N2105)</f>
        <v/>
      </c>
      <c r="O2106">
        <f>IF(G2106=1,R2106*(1-1.0),IF(H2105=0,1,O2105*(1+0.00023125256064071564)))</f>
        <v/>
      </c>
      <c r="P2106">
        <f>IF(G2106=1,IF(H2105=0,1,ABS(0.2-J2105*B2106/I2106)+ABS(0.2-K2105*C2106/I2106)+ABS(0.2-L2105*D2106/I2106)+ABS(0.2-M2105*E2106/I2106)+ABS(0.2-N2105*F2106/I2106)),0)</f>
        <v/>
      </c>
      <c r="Q2106">
        <f>P2106*0.0015</f>
        <v/>
      </c>
      <c r="R2106">
        <f>I2106*(1-Q2106)</f>
        <v/>
      </c>
      <c r="S2106">
        <f>R2106/R2105-1</f>
        <v/>
      </c>
      <c r="T2106">
        <f>MAX(T2105,R2106)</f>
        <v/>
      </c>
      <c r="U2106">
        <f>R2106/T2106-1</f>
        <v/>
      </c>
      <c r="V2106" t="n">
        <v>3.490612483011966</v>
      </c>
      <c r="W2106" s="5">
        <f>R2106-V2106</f>
        <v/>
      </c>
    </row>
    <row r="2107">
      <c r="A2107" s="3" t="n">
        <v>41533</v>
      </c>
      <c r="B2107">
        <f>Prices!B2107</f>
        <v/>
      </c>
      <c r="C2107">
        <f>Prices!C2107</f>
        <v/>
      </c>
      <c r="D2107">
        <f>Prices!D2107</f>
        <v/>
      </c>
      <c r="E2107">
        <f>Prices!E2107</f>
        <v/>
      </c>
      <c r="F2107">
        <f>Prices!F2107</f>
        <v/>
      </c>
      <c r="G2107">
        <f>IF(AND(2105&gt;=16,TEXT(A2107,"yyyy-mm")&lt;&gt;TEXT(A2108,"yyyy-mm")),1,0)</f>
        <v/>
      </c>
      <c r="H2107">
        <f>IF(OR(H2106=1,G2107=1),1,0)</f>
        <v/>
      </c>
      <c r="I2107">
        <f>IF(H2106=0,1,SUMPRODUCT(J2106:N2106,B2107:F2107)+O2106*(1+0.00023125256064071564))</f>
        <v/>
      </c>
      <c r="J2107">
        <f>IF(G2107=1,0.2*R2107/B2107,J2106)</f>
        <v/>
      </c>
      <c r="K2107">
        <f>IF(G2107=1,0.2*R2107/C2107,K2106)</f>
        <v/>
      </c>
      <c r="L2107">
        <f>IF(G2107=1,0.2*R2107/D2107,L2106)</f>
        <v/>
      </c>
      <c r="M2107">
        <f>IF(G2107=1,0.2*R2107/E2107,M2106)</f>
        <v/>
      </c>
      <c r="N2107">
        <f>IF(G2107=1,0.2*R2107/F2107,N2106)</f>
        <v/>
      </c>
      <c r="O2107">
        <f>IF(G2107=1,R2107*(1-1.0),IF(H2106=0,1,O2106*(1+0.00023125256064071564)))</f>
        <v/>
      </c>
      <c r="P2107">
        <f>IF(G2107=1,IF(H2106=0,1,ABS(0.2-J2106*B2107/I2107)+ABS(0.2-K2106*C2107/I2107)+ABS(0.2-L2106*D2107/I2107)+ABS(0.2-M2106*E2107/I2107)+ABS(0.2-N2106*F2107/I2107)),0)</f>
        <v/>
      </c>
      <c r="Q2107">
        <f>P2107*0.0015</f>
        <v/>
      </c>
      <c r="R2107">
        <f>I2107*(1-Q2107)</f>
        <v/>
      </c>
      <c r="S2107">
        <f>R2107/R2106-1</f>
        <v/>
      </c>
      <c r="T2107">
        <f>MAX(T2106,R2107)</f>
        <v/>
      </c>
      <c r="U2107">
        <f>R2107/T2107-1</f>
        <v/>
      </c>
      <c r="V2107" t="n">
        <v>3.476994205023594</v>
      </c>
      <c r="W2107" s="5">
        <f>R2107-V2107</f>
        <v/>
      </c>
    </row>
    <row r="2108">
      <c r="A2108" s="3" t="n">
        <v>41534</v>
      </c>
      <c r="B2108">
        <f>Prices!B2108</f>
        <v/>
      </c>
      <c r="C2108">
        <f>Prices!C2108</f>
        <v/>
      </c>
      <c r="D2108">
        <f>Prices!D2108</f>
        <v/>
      </c>
      <c r="E2108">
        <f>Prices!E2108</f>
        <v/>
      </c>
      <c r="F2108">
        <f>Prices!F2108</f>
        <v/>
      </c>
      <c r="G2108">
        <f>IF(AND(2106&gt;=16,TEXT(A2108,"yyyy-mm")&lt;&gt;TEXT(A2109,"yyyy-mm")),1,0)</f>
        <v/>
      </c>
      <c r="H2108">
        <f>IF(OR(H2107=1,G2108=1),1,0)</f>
        <v/>
      </c>
      <c r="I2108">
        <f>IF(H2107=0,1,SUMPRODUCT(J2107:N2107,B2108:F2108)+O2107*(1+0.00023125256064071564))</f>
        <v/>
      </c>
      <c r="J2108">
        <f>IF(G2108=1,0.2*R2108/B2108,J2107)</f>
        <v/>
      </c>
      <c r="K2108">
        <f>IF(G2108=1,0.2*R2108/C2108,K2107)</f>
        <v/>
      </c>
      <c r="L2108">
        <f>IF(G2108=1,0.2*R2108/D2108,L2107)</f>
        <v/>
      </c>
      <c r="M2108">
        <f>IF(G2108=1,0.2*R2108/E2108,M2107)</f>
        <v/>
      </c>
      <c r="N2108">
        <f>IF(G2108=1,0.2*R2108/F2108,N2107)</f>
        <v/>
      </c>
      <c r="O2108">
        <f>IF(G2108=1,R2108*(1-1.0),IF(H2107=0,1,O2107*(1+0.00023125256064071564)))</f>
        <v/>
      </c>
      <c r="P2108">
        <f>IF(G2108=1,IF(H2107=0,1,ABS(0.2-J2107*B2108/I2108)+ABS(0.2-K2107*C2108/I2108)+ABS(0.2-L2107*D2108/I2108)+ABS(0.2-M2107*E2108/I2108)+ABS(0.2-N2107*F2108/I2108)),0)</f>
        <v/>
      </c>
      <c r="Q2108">
        <f>P2108*0.0015</f>
        <v/>
      </c>
      <c r="R2108">
        <f>I2108*(1-Q2108)</f>
        <v/>
      </c>
      <c r="S2108">
        <f>R2108/R2107-1</f>
        <v/>
      </c>
      <c r="T2108">
        <f>MAX(T2107,R2108)</f>
        <v/>
      </c>
      <c r="U2108">
        <f>R2108/T2108-1</f>
        <v/>
      </c>
      <c r="V2108" t="n">
        <v>3.470150619761254</v>
      </c>
      <c r="W2108" s="5">
        <f>R2108-V2108</f>
        <v/>
      </c>
    </row>
    <row r="2109">
      <c r="A2109" s="3" t="n">
        <v>41535</v>
      </c>
      <c r="B2109">
        <f>Prices!B2109</f>
        <v/>
      </c>
      <c r="C2109">
        <f>Prices!C2109</f>
        <v/>
      </c>
      <c r="D2109">
        <f>Prices!D2109</f>
        <v/>
      </c>
      <c r="E2109">
        <f>Prices!E2109</f>
        <v/>
      </c>
      <c r="F2109">
        <f>Prices!F2109</f>
        <v/>
      </c>
      <c r="G2109">
        <f>IF(AND(2107&gt;=16,TEXT(A2109,"yyyy-mm")&lt;&gt;TEXT(A2110,"yyyy-mm")),1,0)</f>
        <v/>
      </c>
      <c r="H2109">
        <f>IF(OR(H2108=1,G2109=1),1,0)</f>
        <v/>
      </c>
      <c r="I2109">
        <f>IF(H2108=0,1,SUMPRODUCT(J2108:N2108,B2109:F2109)+O2108*(1+0.00023125256064071564))</f>
        <v/>
      </c>
      <c r="J2109">
        <f>IF(G2109=1,0.2*R2109/B2109,J2108)</f>
        <v/>
      </c>
      <c r="K2109">
        <f>IF(G2109=1,0.2*R2109/C2109,K2108)</f>
        <v/>
      </c>
      <c r="L2109">
        <f>IF(G2109=1,0.2*R2109/D2109,L2108)</f>
        <v/>
      </c>
      <c r="M2109">
        <f>IF(G2109=1,0.2*R2109/E2109,M2108)</f>
        <v/>
      </c>
      <c r="N2109">
        <f>IF(G2109=1,0.2*R2109/F2109,N2108)</f>
        <v/>
      </c>
      <c r="O2109">
        <f>IF(G2109=1,R2109*(1-1.0),IF(H2108=0,1,O2108*(1+0.00023125256064071564)))</f>
        <v/>
      </c>
      <c r="P2109">
        <f>IF(G2109=1,IF(H2108=0,1,ABS(0.2-J2108*B2109/I2109)+ABS(0.2-K2108*C2109/I2109)+ABS(0.2-L2108*D2109/I2109)+ABS(0.2-M2108*E2109/I2109)+ABS(0.2-N2108*F2109/I2109)),0)</f>
        <v/>
      </c>
      <c r="Q2109">
        <f>P2109*0.0015</f>
        <v/>
      </c>
      <c r="R2109">
        <f>I2109*(1-Q2109)</f>
        <v/>
      </c>
      <c r="S2109">
        <f>R2109/R2108-1</f>
        <v/>
      </c>
      <c r="T2109">
        <f>MAX(T2108,R2109)</f>
        <v/>
      </c>
      <c r="U2109">
        <f>R2109/T2109-1</f>
        <v/>
      </c>
      <c r="V2109" t="n">
        <v>3.499881734183355</v>
      </c>
      <c r="W2109" s="5">
        <f>R2109-V2109</f>
        <v/>
      </c>
    </row>
    <row r="2110">
      <c r="A2110" s="3" t="n">
        <v>41536</v>
      </c>
      <c r="B2110">
        <f>Prices!B2110</f>
        <v/>
      </c>
      <c r="C2110">
        <f>Prices!C2110</f>
        <v/>
      </c>
      <c r="D2110">
        <f>Prices!D2110</f>
        <v/>
      </c>
      <c r="E2110">
        <f>Prices!E2110</f>
        <v/>
      </c>
      <c r="F2110">
        <f>Prices!F2110</f>
        <v/>
      </c>
      <c r="G2110">
        <f>IF(AND(2108&gt;=16,TEXT(A2110,"yyyy-mm")&lt;&gt;TEXT(A2111,"yyyy-mm")),1,0)</f>
        <v/>
      </c>
      <c r="H2110">
        <f>IF(OR(H2109=1,G2110=1),1,0)</f>
        <v/>
      </c>
      <c r="I2110">
        <f>IF(H2109=0,1,SUMPRODUCT(J2109:N2109,B2110:F2110)+O2109*(1+0.00023125256064071564))</f>
        <v/>
      </c>
      <c r="J2110">
        <f>IF(G2110=1,0.2*R2110/B2110,J2109)</f>
        <v/>
      </c>
      <c r="K2110">
        <f>IF(G2110=1,0.2*R2110/C2110,K2109)</f>
        <v/>
      </c>
      <c r="L2110">
        <f>IF(G2110=1,0.2*R2110/D2110,L2109)</f>
        <v/>
      </c>
      <c r="M2110">
        <f>IF(G2110=1,0.2*R2110/E2110,M2109)</f>
        <v/>
      </c>
      <c r="N2110">
        <f>IF(G2110=1,0.2*R2110/F2110,N2109)</f>
        <v/>
      </c>
      <c r="O2110">
        <f>IF(G2110=1,R2110*(1-1.0),IF(H2109=0,1,O2109*(1+0.00023125256064071564)))</f>
        <v/>
      </c>
      <c r="P2110">
        <f>IF(G2110=1,IF(H2109=0,1,ABS(0.2-J2109*B2110/I2110)+ABS(0.2-K2109*C2110/I2110)+ABS(0.2-L2109*D2110/I2110)+ABS(0.2-M2109*E2110/I2110)+ABS(0.2-N2109*F2110/I2110)),0)</f>
        <v/>
      </c>
      <c r="Q2110">
        <f>P2110*0.0015</f>
        <v/>
      </c>
      <c r="R2110">
        <f>I2110*(1-Q2110)</f>
        <v/>
      </c>
      <c r="S2110">
        <f>R2110/R2109-1</f>
        <v/>
      </c>
      <c r="T2110">
        <f>MAX(T2109,R2110)</f>
        <v/>
      </c>
      <c r="U2110">
        <f>R2110/T2110-1</f>
        <v/>
      </c>
      <c r="V2110" t="n">
        <v>3.596727646072958</v>
      </c>
      <c r="W2110" s="5">
        <f>R2110-V2110</f>
        <v/>
      </c>
    </row>
    <row r="2111">
      <c r="A2111" s="3" t="n">
        <v>41537</v>
      </c>
      <c r="B2111">
        <f>Prices!B2111</f>
        <v/>
      </c>
      <c r="C2111">
        <f>Prices!C2111</f>
        <v/>
      </c>
      <c r="D2111">
        <f>Prices!D2111</f>
        <v/>
      </c>
      <c r="E2111">
        <f>Prices!E2111</f>
        <v/>
      </c>
      <c r="F2111">
        <f>Prices!F2111</f>
        <v/>
      </c>
      <c r="G2111">
        <f>IF(AND(2109&gt;=16,TEXT(A2111,"yyyy-mm")&lt;&gt;TEXT(A2112,"yyyy-mm")),1,0)</f>
        <v/>
      </c>
      <c r="H2111">
        <f>IF(OR(H2110=1,G2111=1),1,0)</f>
        <v/>
      </c>
      <c r="I2111">
        <f>IF(H2110=0,1,SUMPRODUCT(J2110:N2110,B2111:F2111)+O2110*(1+0.00023125256064071564))</f>
        <v/>
      </c>
      <c r="J2111">
        <f>IF(G2111=1,0.2*R2111/B2111,J2110)</f>
        <v/>
      </c>
      <c r="K2111">
        <f>IF(G2111=1,0.2*R2111/C2111,K2110)</f>
        <v/>
      </c>
      <c r="L2111">
        <f>IF(G2111=1,0.2*R2111/D2111,L2110)</f>
        <v/>
      </c>
      <c r="M2111">
        <f>IF(G2111=1,0.2*R2111/E2111,M2110)</f>
        <v/>
      </c>
      <c r="N2111">
        <f>IF(G2111=1,0.2*R2111/F2111,N2110)</f>
        <v/>
      </c>
      <c r="O2111">
        <f>IF(G2111=1,R2111*(1-1.0),IF(H2110=0,1,O2110*(1+0.00023125256064071564)))</f>
        <v/>
      </c>
      <c r="P2111">
        <f>IF(G2111=1,IF(H2110=0,1,ABS(0.2-J2110*B2111/I2111)+ABS(0.2-K2110*C2111/I2111)+ABS(0.2-L2110*D2111/I2111)+ABS(0.2-M2110*E2111/I2111)+ABS(0.2-N2110*F2111/I2111)),0)</f>
        <v/>
      </c>
      <c r="Q2111">
        <f>P2111*0.0015</f>
        <v/>
      </c>
      <c r="R2111">
        <f>I2111*(1-Q2111)</f>
        <v/>
      </c>
      <c r="S2111">
        <f>R2111/R2110-1</f>
        <v/>
      </c>
      <c r="T2111">
        <f>MAX(T2110,R2111)</f>
        <v/>
      </c>
      <c r="U2111">
        <f>R2111/T2111-1</f>
        <v/>
      </c>
      <c r="V2111" t="n">
        <v>3.549184416299767</v>
      </c>
      <c r="W2111" s="5">
        <f>R2111-V2111</f>
        <v/>
      </c>
    </row>
    <row r="2112">
      <c r="A2112" s="3" t="n">
        <v>41540</v>
      </c>
      <c r="B2112">
        <f>Prices!B2112</f>
        <v/>
      </c>
      <c r="C2112">
        <f>Prices!C2112</f>
        <v/>
      </c>
      <c r="D2112">
        <f>Prices!D2112</f>
        <v/>
      </c>
      <c r="E2112">
        <f>Prices!E2112</f>
        <v/>
      </c>
      <c r="F2112">
        <f>Prices!F2112</f>
        <v/>
      </c>
      <c r="G2112">
        <f>IF(AND(2110&gt;=16,TEXT(A2112,"yyyy-mm")&lt;&gt;TEXT(A2113,"yyyy-mm")),1,0)</f>
        <v/>
      </c>
      <c r="H2112">
        <f>IF(OR(H2111=1,G2112=1),1,0)</f>
        <v/>
      </c>
      <c r="I2112">
        <f>IF(H2111=0,1,SUMPRODUCT(J2111:N2111,B2112:F2112)+O2111*(1+0.00023125256064071564))</f>
        <v/>
      </c>
      <c r="J2112">
        <f>IF(G2112=1,0.2*R2112/B2112,J2111)</f>
        <v/>
      </c>
      <c r="K2112">
        <f>IF(G2112=1,0.2*R2112/C2112,K2111)</f>
        <v/>
      </c>
      <c r="L2112">
        <f>IF(G2112=1,0.2*R2112/D2112,L2111)</f>
        <v/>
      </c>
      <c r="M2112">
        <f>IF(G2112=1,0.2*R2112/E2112,M2111)</f>
        <v/>
      </c>
      <c r="N2112">
        <f>IF(G2112=1,0.2*R2112/F2112,N2111)</f>
        <v/>
      </c>
      <c r="O2112">
        <f>IF(G2112=1,R2112*(1-1.0),IF(H2111=0,1,O2111*(1+0.00023125256064071564)))</f>
        <v/>
      </c>
      <c r="P2112">
        <f>IF(G2112=1,IF(H2111=0,1,ABS(0.2-J2111*B2112/I2112)+ABS(0.2-K2111*C2112/I2112)+ABS(0.2-L2111*D2112/I2112)+ABS(0.2-M2111*E2112/I2112)+ABS(0.2-N2111*F2112/I2112)),0)</f>
        <v/>
      </c>
      <c r="Q2112">
        <f>P2112*0.0015</f>
        <v/>
      </c>
      <c r="R2112">
        <f>I2112*(1-Q2112)</f>
        <v/>
      </c>
      <c r="S2112">
        <f>R2112/R2111-1</f>
        <v/>
      </c>
      <c r="T2112">
        <f>MAX(T2111,R2112)</f>
        <v/>
      </c>
      <c r="U2112">
        <f>R2112/T2112-1</f>
        <v/>
      </c>
      <c r="V2112" t="n">
        <v>3.514846563748467</v>
      </c>
      <c r="W2112" s="5">
        <f>R2112-V2112</f>
        <v/>
      </c>
    </row>
    <row r="2113">
      <c r="A2113" s="3" t="n">
        <v>41541</v>
      </c>
      <c r="B2113">
        <f>Prices!B2113</f>
        <v/>
      </c>
      <c r="C2113">
        <f>Prices!C2113</f>
        <v/>
      </c>
      <c r="D2113">
        <f>Prices!D2113</f>
        <v/>
      </c>
      <c r="E2113">
        <f>Prices!E2113</f>
        <v/>
      </c>
      <c r="F2113">
        <f>Prices!F2113</f>
        <v/>
      </c>
      <c r="G2113">
        <f>IF(AND(2111&gt;=16,TEXT(A2113,"yyyy-mm")&lt;&gt;TEXT(A2114,"yyyy-mm")),1,0)</f>
        <v/>
      </c>
      <c r="H2113">
        <f>IF(OR(H2112=1,G2113=1),1,0)</f>
        <v/>
      </c>
      <c r="I2113">
        <f>IF(H2112=0,1,SUMPRODUCT(J2112:N2112,B2113:F2113)+O2112*(1+0.00023125256064071564))</f>
        <v/>
      </c>
      <c r="J2113">
        <f>IF(G2113=1,0.2*R2113/B2113,J2112)</f>
        <v/>
      </c>
      <c r="K2113">
        <f>IF(G2113=1,0.2*R2113/C2113,K2112)</f>
        <v/>
      </c>
      <c r="L2113">
        <f>IF(G2113=1,0.2*R2113/D2113,L2112)</f>
        <v/>
      </c>
      <c r="M2113">
        <f>IF(G2113=1,0.2*R2113/E2113,M2112)</f>
        <v/>
      </c>
      <c r="N2113">
        <f>IF(G2113=1,0.2*R2113/F2113,N2112)</f>
        <v/>
      </c>
      <c r="O2113">
        <f>IF(G2113=1,R2113*(1-1.0),IF(H2112=0,1,O2112*(1+0.00023125256064071564)))</f>
        <v/>
      </c>
      <c r="P2113">
        <f>IF(G2113=1,IF(H2112=0,1,ABS(0.2-J2112*B2113/I2113)+ABS(0.2-K2112*C2113/I2113)+ABS(0.2-L2112*D2113/I2113)+ABS(0.2-M2112*E2113/I2113)+ABS(0.2-N2112*F2113/I2113)),0)</f>
        <v/>
      </c>
      <c r="Q2113">
        <f>P2113*0.0015</f>
        <v/>
      </c>
      <c r="R2113">
        <f>I2113*(1-Q2113)</f>
        <v/>
      </c>
      <c r="S2113">
        <f>R2113/R2112-1</f>
        <v/>
      </c>
      <c r="T2113">
        <f>MAX(T2112,R2113)</f>
        <v/>
      </c>
      <c r="U2113">
        <f>R2113/T2113-1</f>
        <v/>
      </c>
      <c r="V2113" t="n">
        <v>3.518730829501984</v>
      </c>
      <c r="W2113" s="5">
        <f>R2113-V2113</f>
        <v/>
      </c>
    </row>
    <row r="2114">
      <c r="A2114" s="3" t="n">
        <v>41542</v>
      </c>
      <c r="B2114">
        <f>Prices!B2114</f>
        <v/>
      </c>
      <c r="C2114">
        <f>Prices!C2114</f>
        <v/>
      </c>
      <c r="D2114">
        <f>Prices!D2114</f>
        <v/>
      </c>
      <c r="E2114">
        <f>Prices!E2114</f>
        <v/>
      </c>
      <c r="F2114">
        <f>Prices!F2114</f>
        <v/>
      </c>
      <c r="G2114">
        <f>IF(AND(2112&gt;=16,TEXT(A2114,"yyyy-mm")&lt;&gt;TEXT(A2115,"yyyy-mm")),1,0)</f>
        <v/>
      </c>
      <c r="H2114">
        <f>IF(OR(H2113=1,G2114=1),1,0)</f>
        <v/>
      </c>
      <c r="I2114">
        <f>IF(H2113=0,1,SUMPRODUCT(J2113:N2113,B2114:F2114)+O2113*(1+0.00023125256064071564))</f>
        <v/>
      </c>
      <c r="J2114">
        <f>IF(G2114=1,0.2*R2114/B2114,J2113)</f>
        <v/>
      </c>
      <c r="K2114">
        <f>IF(G2114=1,0.2*R2114/C2114,K2113)</f>
        <v/>
      </c>
      <c r="L2114">
        <f>IF(G2114=1,0.2*R2114/D2114,L2113)</f>
        <v/>
      </c>
      <c r="M2114">
        <f>IF(G2114=1,0.2*R2114/E2114,M2113)</f>
        <v/>
      </c>
      <c r="N2114">
        <f>IF(G2114=1,0.2*R2114/F2114,N2113)</f>
        <v/>
      </c>
      <c r="O2114">
        <f>IF(G2114=1,R2114*(1-1.0),IF(H2113=0,1,O2113*(1+0.00023125256064071564)))</f>
        <v/>
      </c>
      <c r="P2114">
        <f>IF(G2114=1,IF(H2113=0,1,ABS(0.2-J2113*B2114/I2114)+ABS(0.2-K2113*C2114/I2114)+ABS(0.2-L2113*D2114/I2114)+ABS(0.2-M2113*E2114/I2114)+ABS(0.2-N2113*F2114/I2114)),0)</f>
        <v/>
      </c>
      <c r="Q2114">
        <f>P2114*0.0015</f>
        <v/>
      </c>
      <c r="R2114">
        <f>I2114*(1-Q2114)</f>
        <v/>
      </c>
      <c r="S2114">
        <f>R2114/R2113-1</f>
        <v/>
      </c>
      <c r="T2114">
        <f>MAX(T2113,R2114)</f>
        <v/>
      </c>
      <c r="U2114">
        <f>R2114/T2114-1</f>
        <v/>
      </c>
      <c r="V2114" t="n">
        <v>3.527900724159813</v>
      </c>
      <c r="W2114" s="5">
        <f>R2114-V2114</f>
        <v/>
      </c>
    </row>
    <row r="2115">
      <c r="A2115" s="3" t="n">
        <v>41543</v>
      </c>
      <c r="B2115">
        <f>Prices!B2115</f>
        <v/>
      </c>
      <c r="C2115">
        <f>Prices!C2115</f>
        <v/>
      </c>
      <c r="D2115">
        <f>Prices!D2115</f>
        <v/>
      </c>
      <c r="E2115">
        <f>Prices!E2115</f>
        <v/>
      </c>
      <c r="F2115">
        <f>Prices!F2115</f>
        <v/>
      </c>
      <c r="G2115">
        <f>IF(AND(2113&gt;=16,TEXT(A2115,"yyyy-mm")&lt;&gt;TEXT(A2116,"yyyy-mm")),1,0)</f>
        <v/>
      </c>
      <c r="H2115">
        <f>IF(OR(H2114=1,G2115=1),1,0)</f>
        <v/>
      </c>
      <c r="I2115">
        <f>IF(H2114=0,1,SUMPRODUCT(J2114:N2114,B2115:F2115)+O2114*(1+0.00023125256064071564))</f>
        <v/>
      </c>
      <c r="J2115">
        <f>IF(G2115=1,0.2*R2115/B2115,J2114)</f>
        <v/>
      </c>
      <c r="K2115">
        <f>IF(G2115=1,0.2*R2115/C2115,K2114)</f>
        <v/>
      </c>
      <c r="L2115">
        <f>IF(G2115=1,0.2*R2115/D2115,L2114)</f>
        <v/>
      </c>
      <c r="M2115">
        <f>IF(G2115=1,0.2*R2115/E2115,M2114)</f>
        <v/>
      </c>
      <c r="N2115">
        <f>IF(G2115=1,0.2*R2115/F2115,N2114)</f>
        <v/>
      </c>
      <c r="O2115">
        <f>IF(G2115=1,R2115*(1-1.0),IF(H2114=0,1,O2114*(1+0.00023125256064071564)))</f>
        <v/>
      </c>
      <c r="P2115">
        <f>IF(G2115=1,IF(H2114=0,1,ABS(0.2-J2114*B2115/I2115)+ABS(0.2-K2114*C2115/I2115)+ABS(0.2-L2114*D2115/I2115)+ABS(0.2-M2114*E2115/I2115)+ABS(0.2-N2114*F2115/I2115)),0)</f>
        <v/>
      </c>
      <c r="Q2115">
        <f>P2115*0.0015</f>
        <v/>
      </c>
      <c r="R2115">
        <f>I2115*(1-Q2115)</f>
        <v/>
      </c>
      <c r="S2115">
        <f>R2115/R2114-1</f>
        <v/>
      </c>
      <c r="T2115">
        <f>MAX(T2114,R2115)</f>
        <v/>
      </c>
      <c r="U2115">
        <f>R2115/T2115-1</f>
        <v/>
      </c>
      <c r="V2115" t="n">
        <v>3.525093531942869</v>
      </c>
      <c r="W2115" s="5">
        <f>R2115-V2115</f>
        <v/>
      </c>
    </row>
    <row r="2116">
      <c r="A2116" s="3" t="n">
        <v>41544</v>
      </c>
      <c r="B2116">
        <f>Prices!B2116</f>
        <v/>
      </c>
      <c r="C2116">
        <f>Prices!C2116</f>
        <v/>
      </c>
      <c r="D2116">
        <f>Prices!D2116</f>
        <v/>
      </c>
      <c r="E2116">
        <f>Prices!E2116</f>
        <v/>
      </c>
      <c r="F2116">
        <f>Prices!F2116</f>
        <v/>
      </c>
      <c r="G2116">
        <f>IF(AND(2114&gt;=16,TEXT(A2116,"yyyy-mm")&lt;&gt;TEXT(A2117,"yyyy-mm")),1,0)</f>
        <v/>
      </c>
      <c r="H2116">
        <f>IF(OR(H2115=1,G2116=1),1,0)</f>
        <v/>
      </c>
      <c r="I2116">
        <f>IF(H2115=0,1,SUMPRODUCT(J2115:N2115,B2116:F2116)+O2115*(1+0.00023125256064071564))</f>
        <v/>
      </c>
      <c r="J2116">
        <f>IF(G2116=1,0.2*R2116/B2116,J2115)</f>
        <v/>
      </c>
      <c r="K2116">
        <f>IF(G2116=1,0.2*R2116/C2116,K2115)</f>
        <v/>
      </c>
      <c r="L2116">
        <f>IF(G2116=1,0.2*R2116/D2116,L2115)</f>
        <v/>
      </c>
      <c r="M2116">
        <f>IF(G2116=1,0.2*R2116/E2116,M2115)</f>
        <v/>
      </c>
      <c r="N2116">
        <f>IF(G2116=1,0.2*R2116/F2116,N2115)</f>
        <v/>
      </c>
      <c r="O2116">
        <f>IF(G2116=1,R2116*(1-1.0),IF(H2115=0,1,O2115*(1+0.00023125256064071564)))</f>
        <v/>
      </c>
      <c r="P2116">
        <f>IF(G2116=1,IF(H2115=0,1,ABS(0.2-J2115*B2116/I2116)+ABS(0.2-K2115*C2116/I2116)+ABS(0.2-L2115*D2116/I2116)+ABS(0.2-M2115*E2116/I2116)+ABS(0.2-N2115*F2116/I2116)),0)</f>
        <v/>
      </c>
      <c r="Q2116">
        <f>P2116*0.0015</f>
        <v/>
      </c>
      <c r="R2116">
        <f>I2116*(1-Q2116)</f>
        <v/>
      </c>
      <c r="S2116">
        <f>R2116/R2115-1</f>
        <v/>
      </c>
      <c r="T2116">
        <f>MAX(T2115,R2116)</f>
        <v/>
      </c>
      <c r="U2116">
        <f>R2116/T2116-1</f>
        <v/>
      </c>
      <c r="V2116" t="n">
        <v>3.531390622931637</v>
      </c>
      <c r="W2116" s="5">
        <f>R2116-V2116</f>
        <v/>
      </c>
    </row>
    <row r="2117">
      <c r="A2117" s="3" t="n">
        <v>41547</v>
      </c>
      <c r="B2117">
        <f>Prices!B2117</f>
        <v/>
      </c>
      <c r="C2117">
        <f>Prices!C2117</f>
        <v/>
      </c>
      <c r="D2117">
        <f>Prices!D2117</f>
        <v/>
      </c>
      <c r="E2117">
        <f>Prices!E2117</f>
        <v/>
      </c>
      <c r="F2117">
        <f>Prices!F2117</f>
        <v/>
      </c>
      <c r="G2117">
        <f>IF(AND(2115&gt;=16,TEXT(A2117,"yyyy-mm")&lt;&gt;TEXT(A2118,"yyyy-mm")),1,0)</f>
        <v/>
      </c>
      <c r="H2117">
        <f>IF(OR(H2116=1,G2117=1),1,0)</f>
        <v/>
      </c>
      <c r="I2117">
        <f>IF(H2116=0,1,SUMPRODUCT(J2116:N2116,B2117:F2117)+O2116*(1+0.00023125256064071564))</f>
        <v/>
      </c>
      <c r="J2117">
        <f>IF(G2117=1,0.2*R2117/B2117,J2116)</f>
        <v/>
      </c>
      <c r="K2117">
        <f>IF(G2117=1,0.2*R2117/C2117,K2116)</f>
        <v/>
      </c>
      <c r="L2117">
        <f>IF(G2117=1,0.2*R2117/D2117,L2116)</f>
        <v/>
      </c>
      <c r="M2117">
        <f>IF(G2117=1,0.2*R2117/E2117,M2116)</f>
        <v/>
      </c>
      <c r="N2117">
        <f>IF(G2117=1,0.2*R2117/F2117,N2116)</f>
        <v/>
      </c>
      <c r="O2117">
        <f>IF(G2117=1,R2117*(1-1.0),IF(H2116=0,1,O2116*(1+0.00023125256064071564)))</f>
        <v/>
      </c>
      <c r="P2117">
        <f>IF(G2117=1,IF(H2116=0,1,ABS(0.2-J2116*B2117/I2117)+ABS(0.2-K2116*C2117/I2117)+ABS(0.2-L2116*D2117/I2117)+ABS(0.2-M2116*E2117/I2117)+ABS(0.2-N2116*F2117/I2117)),0)</f>
        <v/>
      </c>
      <c r="Q2117">
        <f>P2117*0.0015</f>
        <v/>
      </c>
      <c r="R2117">
        <f>I2117*(1-Q2117)</f>
        <v/>
      </c>
      <c r="S2117">
        <f>R2117/R2116-1</f>
        <v/>
      </c>
      <c r="T2117">
        <f>MAX(T2116,R2117)</f>
        <v/>
      </c>
      <c r="U2117">
        <f>R2117/T2117-1</f>
        <v/>
      </c>
      <c r="V2117" t="n">
        <v>3.510533368997244</v>
      </c>
      <c r="W2117" s="5">
        <f>R2117-V2117</f>
        <v/>
      </c>
    </row>
    <row r="2118">
      <c r="A2118" s="3" t="n">
        <v>41548</v>
      </c>
      <c r="B2118">
        <f>Prices!B2118</f>
        <v/>
      </c>
      <c r="C2118">
        <f>Prices!C2118</f>
        <v/>
      </c>
      <c r="D2118">
        <f>Prices!D2118</f>
        <v/>
      </c>
      <c r="E2118">
        <f>Prices!E2118</f>
        <v/>
      </c>
      <c r="F2118">
        <f>Prices!F2118</f>
        <v/>
      </c>
      <c r="G2118">
        <f>IF(AND(2116&gt;=16,TEXT(A2118,"yyyy-mm")&lt;&gt;TEXT(A2119,"yyyy-mm")),1,0)</f>
        <v/>
      </c>
      <c r="H2118">
        <f>IF(OR(H2117=1,G2118=1),1,0)</f>
        <v/>
      </c>
      <c r="I2118">
        <f>IF(H2117=0,1,SUMPRODUCT(J2117:N2117,B2118:F2118)+O2117*(1+0.00023125256064071564))</f>
        <v/>
      </c>
      <c r="J2118">
        <f>IF(G2118=1,0.2*R2118/B2118,J2117)</f>
        <v/>
      </c>
      <c r="K2118">
        <f>IF(G2118=1,0.2*R2118/C2118,K2117)</f>
        <v/>
      </c>
      <c r="L2118">
        <f>IF(G2118=1,0.2*R2118/D2118,L2117)</f>
        <v/>
      </c>
      <c r="M2118">
        <f>IF(G2118=1,0.2*R2118/E2118,M2117)</f>
        <v/>
      </c>
      <c r="N2118">
        <f>IF(G2118=1,0.2*R2118/F2118,N2117)</f>
        <v/>
      </c>
      <c r="O2118">
        <f>IF(G2118=1,R2118*(1-1.0),IF(H2117=0,1,O2117*(1+0.00023125256064071564)))</f>
        <v/>
      </c>
      <c r="P2118">
        <f>IF(G2118=1,IF(H2117=0,1,ABS(0.2-J2117*B2118/I2118)+ABS(0.2-K2117*C2118/I2118)+ABS(0.2-L2117*D2118/I2118)+ABS(0.2-M2117*E2118/I2118)+ABS(0.2-N2117*F2118/I2118)),0)</f>
        <v/>
      </c>
      <c r="Q2118">
        <f>P2118*0.0015</f>
        <v/>
      </c>
      <c r="R2118">
        <f>I2118*(1-Q2118)</f>
        <v/>
      </c>
      <c r="S2118">
        <f>R2118/R2117-1</f>
        <v/>
      </c>
      <c r="T2118">
        <f>MAX(T2117,R2118)</f>
        <v/>
      </c>
      <c r="U2118">
        <f>R2118/T2118-1</f>
        <v/>
      </c>
      <c r="V2118" t="n">
        <v>3.523936522315768</v>
      </c>
      <c r="W2118" s="5">
        <f>R2118-V2118</f>
        <v/>
      </c>
    </row>
    <row r="2119">
      <c r="A2119" s="3" t="n">
        <v>41550</v>
      </c>
      <c r="B2119">
        <f>Prices!B2119</f>
        <v/>
      </c>
      <c r="C2119">
        <f>Prices!C2119</f>
        <v/>
      </c>
      <c r="D2119">
        <f>Prices!D2119</f>
        <v/>
      </c>
      <c r="E2119">
        <f>Prices!E2119</f>
        <v/>
      </c>
      <c r="F2119">
        <f>Prices!F2119</f>
        <v/>
      </c>
      <c r="G2119">
        <f>IF(AND(2117&gt;=16,TEXT(A2119,"yyyy-mm")&lt;&gt;TEXT(A2120,"yyyy-mm")),1,0)</f>
        <v/>
      </c>
      <c r="H2119">
        <f>IF(OR(H2118=1,G2119=1),1,0)</f>
        <v/>
      </c>
      <c r="I2119">
        <f>IF(H2118=0,1,SUMPRODUCT(J2118:N2118,B2119:F2119)+O2118*(1+0.00023125256064071564))</f>
        <v/>
      </c>
      <c r="J2119">
        <f>IF(G2119=1,0.2*R2119/B2119,J2118)</f>
        <v/>
      </c>
      <c r="K2119">
        <f>IF(G2119=1,0.2*R2119/C2119,K2118)</f>
        <v/>
      </c>
      <c r="L2119">
        <f>IF(G2119=1,0.2*R2119/D2119,L2118)</f>
        <v/>
      </c>
      <c r="M2119">
        <f>IF(G2119=1,0.2*R2119/E2119,M2118)</f>
        <v/>
      </c>
      <c r="N2119">
        <f>IF(G2119=1,0.2*R2119/F2119,N2118)</f>
        <v/>
      </c>
      <c r="O2119">
        <f>IF(G2119=1,R2119*(1-1.0),IF(H2118=0,1,O2118*(1+0.00023125256064071564)))</f>
        <v/>
      </c>
      <c r="P2119">
        <f>IF(G2119=1,IF(H2118=0,1,ABS(0.2-J2118*B2119/I2119)+ABS(0.2-K2118*C2119/I2119)+ABS(0.2-L2118*D2119/I2119)+ABS(0.2-M2118*E2119/I2119)+ABS(0.2-N2118*F2119/I2119)),0)</f>
        <v/>
      </c>
      <c r="Q2119">
        <f>P2119*0.0015</f>
        <v/>
      </c>
      <c r="R2119">
        <f>I2119*(1-Q2119)</f>
        <v/>
      </c>
      <c r="S2119">
        <f>R2119/R2118-1</f>
        <v/>
      </c>
      <c r="T2119">
        <f>MAX(T2118,R2119)</f>
        <v/>
      </c>
      <c r="U2119">
        <f>R2119/T2119-1</f>
        <v/>
      </c>
      <c r="V2119" t="n">
        <v>3.579472215522707</v>
      </c>
      <c r="W2119" s="5">
        <f>R2119-V2119</f>
        <v/>
      </c>
    </row>
    <row r="2120">
      <c r="A2120" s="3" t="n">
        <v>41551</v>
      </c>
      <c r="B2120">
        <f>Prices!B2120</f>
        <v/>
      </c>
      <c r="C2120">
        <f>Prices!C2120</f>
        <v/>
      </c>
      <c r="D2120">
        <f>Prices!D2120</f>
        <v/>
      </c>
      <c r="E2120">
        <f>Prices!E2120</f>
        <v/>
      </c>
      <c r="F2120">
        <f>Prices!F2120</f>
        <v/>
      </c>
      <c r="G2120">
        <f>IF(AND(2118&gt;=16,TEXT(A2120,"yyyy-mm")&lt;&gt;TEXT(A2121,"yyyy-mm")),1,0)</f>
        <v/>
      </c>
      <c r="H2120">
        <f>IF(OR(H2119=1,G2120=1),1,0)</f>
        <v/>
      </c>
      <c r="I2120">
        <f>IF(H2119=0,1,SUMPRODUCT(J2119:N2119,B2120:F2120)+O2119*(1+0.00023125256064071564))</f>
        <v/>
      </c>
      <c r="J2120">
        <f>IF(G2120=1,0.2*R2120/B2120,J2119)</f>
        <v/>
      </c>
      <c r="K2120">
        <f>IF(G2120=1,0.2*R2120/C2120,K2119)</f>
        <v/>
      </c>
      <c r="L2120">
        <f>IF(G2120=1,0.2*R2120/D2120,L2119)</f>
        <v/>
      </c>
      <c r="M2120">
        <f>IF(G2120=1,0.2*R2120/E2120,M2119)</f>
        <v/>
      </c>
      <c r="N2120">
        <f>IF(G2120=1,0.2*R2120/F2120,N2119)</f>
        <v/>
      </c>
      <c r="O2120">
        <f>IF(G2120=1,R2120*(1-1.0),IF(H2119=0,1,O2119*(1+0.00023125256064071564)))</f>
        <v/>
      </c>
      <c r="P2120">
        <f>IF(G2120=1,IF(H2119=0,1,ABS(0.2-J2119*B2120/I2120)+ABS(0.2-K2119*C2120/I2120)+ABS(0.2-L2119*D2120/I2120)+ABS(0.2-M2119*E2120/I2120)+ABS(0.2-N2119*F2120/I2120)),0)</f>
        <v/>
      </c>
      <c r="Q2120">
        <f>P2120*0.0015</f>
        <v/>
      </c>
      <c r="R2120">
        <f>I2120*(1-Q2120)</f>
        <v/>
      </c>
      <c r="S2120">
        <f>R2120/R2119-1</f>
        <v/>
      </c>
      <c r="T2120">
        <f>MAX(T2119,R2120)</f>
        <v/>
      </c>
      <c r="U2120">
        <f>R2120/T2120-1</f>
        <v/>
      </c>
      <c r="V2120" t="n">
        <v>3.584794948946426</v>
      </c>
      <c r="W2120" s="5">
        <f>R2120-V2120</f>
        <v/>
      </c>
    </row>
    <row r="2121">
      <c r="A2121" s="3" t="n">
        <v>41554</v>
      </c>
      <c r="B2121">
        <f>Prices!B2121</f>
        <v/>
      </c>
      <c r="C2121">
        <f>Prices!C2121</f>
        <v/>
      </c>
      <c r="D2121">
        <f>Prices!D2121</f>
        <v/>
      </c>
      <c r="E2121">
        <f>Prices!E2121</f>
        <v/>
      </c>
      <c r="F2121">
        <f>Prices!F2121</f>
        <v/>
      </c>
      <c r="G2121">
        <f>IF(AND(2119&gt;=16,TEXT(A2121,"yyyy-mm")&lt;&gt;TEXT(A2122,"yyyy-mm")),1,0)</f>
        <v/>
      </c>
      <c r="H2121">
        <f>IF(OR(H2120=1,G2121=1),1,0)</f>
        <v/>
      </c>
      <c r="I2121">
        <f>IF(H2120=0,1,SUMPRODUCT(J2120:N2120,B2121:F2121)+O2120*(1+0.00023125256064071564))</f>
        <v/>
      </c>
      <c r="J2121">
        <f>IF(G2121=1,0.2*R2121/B2121,J2120)</f>
        <v/>
      </c>
      <c r="K2121">
        <f>IF(G2121=1,0.2*R2121/C2121,K2120)</f>
        <v/>
      </c>
      <c r="L2121">
        <f>IF(G2121=1,0.2*R2121/D2121,L2120)</f>
        <v/>
      </c>
      <c r="M2121">
        <f>IF(G2121=1,0.2*R2121/E2121,M2120)</f>
        <v/>
      </c>
      <c r="N2121">
        <f>IF(G2121=1,0.2*R2121/F2121,N2120)</f>
        <v/>
      </c>
      <c r="O2121">
        <f>IF(G2121=1,R2121*(1-1.0),IF(H2120=0,1,O2120*(1+0.00023125256064071564)))</f>
        <v/>
      </c>
      <c r="P2121">
        <f>IF(G2121=1,IF(H2120=0,1,ABS(0.2-J2120*B2121/I2121)+ABS(0.2-K2120*C2121/I2121)+ABS(0.2-L2120*D2121/I2121)+ABS(0.2-M2120*E2121/I2121)+ABS(0.2-N2120*F2121/I2121)),0)</f>
        <v/>
      </c>
      <c r="Q2121">
        <f>P2121*0.0015</f>
        <v/>
      </c>
      <c r="R2121">
        <f>I2121*(1-Q2121)</f>
        <v/>
      </c>
      <c r="S2121">
        <f>R2121/R2120-1</f>
        <v/>
      </c>
      <c r="T2121">
        <f>MAX(T2120,R2121)</f>
        <v/>
      </c>
      <c r="U2121">
        <f>R2121/T2121-1</f>
        <v/>
      </c>
      <c r="V2121" t="n">
        <v>3.602069437476302</v>
      </c>
      <c r="W2121" s="5">
        <f>R2121-V2121</f>
        <v/>
      </c>
    </row>
    <row r="2122">
      <c r="A2122" s="3" t="n">
        <v>41555</v>
      </c>
      <c r="B2122">
        <f>Prices!B2122</f>
        <v/>
      </c>
      <c r="C2122">
        <f>Prices!C2122</f>
        <v/>
      </c>
      <c r="D2122">
        <f>Prices!D2122</f>
        <v/>
      </c>
      <c r="E2122">
        <f>Prices!E2122</f>
        <v/>
      </c>
      <c r="F2122">
        <f>Prices!F2122</f>
        <v/>
      </c>
      <c r="G2122">
        <f>IF(AND(2120&gt;=16,TEXT(A2122,"yyyy-mm")&lt;&gt;TEXT(A2123,"yyyy-mm")),1,0)</f>
        <v/>
      </c>
      <c r="H2122">
        <f>IF(OR(H2121=1,G2122=1),1,0)</f>
        <v/>
      </c>
      <c r="I2122">
        <f>IF(H2121=0,1,SUMPRODUCT(J2121:N2121,B2122:F2122)+O2121*(1+0.00023125256064071564))</f>
        <v/>
      </c>
      <c r="J2122">
        <f>IF(G2122=1,0.2*R2122/B2122,J2121)</f>
        <v/>
      </c>
      <c r="K2122">
        <f>IF(G2122=1,0.2*R2122/C2122,K2121)</f>
        <v/>
      </c>
      <c r="L2122">
        <f>IF(G2122=1,0.2*R2122/D2122,L2121)</f>
        <v/>
      </c>
      <c r="M2122">
        <f>IF(G2122=1,0.2*R2122/E2122,M2121)</f>
        <v/>
      </c>
      <c r="N2122">
        <f>IF(G2122=1,0.2*R2122/F2122,N2121)</f>
        <v/>
      </c>
      <c r="O2122">
        <f>IF(G2122=1,R2122*(1-1.0),IF(H2121=0,1,O2121*(1+0.00023125256064071564)))</f>
        <v/>
      </c>
      <c r="P2122">
        <f>IF(G2122=1,IF(H2121=0,1,ABS(0.2-J2121*B2122/I2122)+ABS(0.2-K2121*C2122/I2122)+ABS(0.2-L2121*D2122/I2122)+ABS(0.2-M2121*E2122/I2122)+ABS(0.2-N2121*F2122/I2122)),0)</f>
        <v/>
      </c>
      <c r="Q2122">
        <f>P2122*0.0015</f>
        <v/>
      </c>
      <c r="R2122">
        <f>I2122*(1-Q2122)</f>
        <v/>
      </c>
      <c r="S2122">
        <f>R2122/R2121-1</f>
        <v/>
      </c>
      <c r="T2122">
        <f>MAX(T2121,R2122)</f>
        <v/>
      </c>
      <c r="U2122">
        <f>R2122/T2122-1</f>
        <v/>
      </c>
      <c r="V2122" t="n">
        <v>3.608025404510833</v>
      </c>
      <c r="W2122" s="5">
        <f>R2122-V2122</f>
        <v/>
      </c>
    </row>
    <row r="2123">
      <c r="A2123" s="3" t="n">
        <v>41556</v>
      </c>
      <c r="B2123">
        <f>Prices!B2123</f>
        <v/>
      </c>
      <c r="C2123">
        <f>Prices!C2123</f>
        <v/>
      </c>
      <c r="D2123">
        <f>Prices!D2123</f>
        <v/>
      </c>
      <c r="E2123">
        <f>Prices!E2123</f>
        <v/>
      </c>
      <c r="F2123">
        <f>Prices!F2123</f>
        <v/>
      </c>
      <c r="G2123">
        <f>IF(AND(2121&gt;=16,TEXT(A2123,"yyyy-mm")&lt;&gt;TEXT(A2124,"yyyy-mm")),1,0)</f>
        <v/>
      </c>
      <c r="H2123">
        <f>IF(OR(H2122=1,G2123=1),1,0)</f>
        <v/>
      </c>
      <c r="I2123">
        <f>IF(H2122=0,1,SUMPRODUCT(J2122:N2122,B2123:F2123)+O2122*(1+0.00023125256064071564))</f>
        <v/>
      </c>
      <c r="J2123">
        <f>IF(G2123=1,0.2*R2123/B2123,J2122)</f>
        <v/>
      </c>
      <c r="K2123">
        <f>IF(G2123=1,0.2*R2123/C2123,K2122)</f>
        <v/>
      </c>
      <c r="L2123">
        <f>IF(G2123=1,0.2*R2123/D2123,L2122)</f>
        <v/>
      </c>
      <c r="M2123">
        <f>IF(G2123=1,0.2*R2123/E2123,M2122)</f>
        <v/>
      </c>
      <c r="N2123">
        <f>IF(G2123=1,0.2*R2123/F2123,N2122)</f>
        <v/>
      </c>
      <c r="O2123">
        <f>IF(G2123=1,R2123*(1-1.0),IF(H2122=0,1,O2122*(1+0.00023125256064071564)))</f>
        <v/>
      </c>
      <c r="P2123">
        <f>IF(G2123=1,IF(H2122=0,1,ABS(0.2-J2122*B2123/I2123)+ABS(0.2-K2122*C2123/I2123)+ABS(0.2-L2122*D2123/I2123)+ABS(0.2-M2122*E2123/I2123)+ABS(0.2-N2122*F2123/I2123)),0)</f>
        <v/>
      </c>
      <c r="Q2123">
        <f>P2123*0.0015</f>
        <v/>
      </c>
      <c r="R2123">
        <f>I2123*(1-Q2123)</f>
        <v/>
      </c>
      <c r="S2123">
        <f>R2123/R2122-1</f>
        <v/>
      </c>
      <c r="T2123">
        <f>MAX(T2122,R2123)</f>
        <v/>
      </c>
      <c r="U2123">
        <f>R2123/T2123-1</f>
        <v/>
      </c>
      <c r="V2123" t="n">
        <v>3.651368865745457</v>
      </c>
      <c r="W2123" s="5">
        <f>R2123-V2123</f>
        <v/>
      </c>
    </row>
    <row r="2124">
      <c r="A2124" s="3" t="n">
        <v>41557</v>
      </c>
      <c r="B2124">
        <f>Prices!B2124</f>
        <v/>
      </c>
      <c r="C2124">
        <f>Prices!C2124</f>
        <v/>
      </c>
      <c r="D2124">
        <f>Prices!D2124</f>
        <v/>
      </c>
      <c r="E2124">
        <f>Prices!E2124</f>
        <v/>
      </c>
      <c r="F2124">
        <f>Prices!F2124</f>
        <v/>
      </c>
      <c r="G2124">
        <f>IF(AND(2122&gt;=16,TEXT(A2124,"yyyy-mm")&lt;&gt;TEXT(A2125,"yyyy-mm")),1,0)</f>
        <v/>
      </c>
      <c r="H2124">
        <f>IF(OR(H2123=1,G2124=1),1,0)</f>
        <v/>
      </c>
      <c r="I2124">
        <f>IF(H2123=0,1,SUMPRODUCT(J2123:N2123,B2124:F2124)+O2123*(1+0.00023125256064071564))</f>
        <v/>
      </c>
      <c r="J2124">
        <f>IF(G2124=1,0.2*R2124/B2124,J2123)</f>
        <v/>
      </c>
      <c r="K2124">
        <f>IF(G2124=1,0.2*R2124/C2124,K2123)</f>
        <v/>
      </c>
      <c r="L2124">
        <f>IF(G2124=1,0.2*R2124/D2124,L2123)</f>
        <v/>
      </c>
      <c r="M2124">
        <f>IF(G2124=1,0.2*R2124/E2124,M2123)</f>
        <v/>
      </c>
      <c r="N2124">
        <f>IF(G2124=1,0.2*R2124/F2124,N2123)</f>
        <v/>
      </c>
      <c r="O2124">
        <f>IF(G2124=1,R2124*(1-1.0),IF(H2123=0,1,O2123*(1+0.00023125256064071564)))</f>
        <v/>
      </c>
      <c r="P2124">
        <f>IF(G2124=1,IF(H2123=0,1,ABS(0.2-J2123*B2124/I2124)+ABS(0.2-K2123*C2124/I2124)+ABS(0.2-L2123*D2124/I2124)+ABS(0.2-M2123*E2124/I2124)+ABS(0.2-N2123*F2124/I2124)),0)</f>
        <v/>
      </c>
      <c r="Q2124">
        <f>P2124*0.0015</f>
        <v/>
      </c>
      <c r="R2124">
        <f>I2124*(1-Q2124)</f>
        <v/>
      </c>
      <c r="S2124">
        <f>R2124/R2123-1</f>
        <v/>
      </c>
      <c r="T2124">
        <f>MAX(T2123,R2124)</f>
        <v/>
      </c>
      <c r="U2124">
        <f>R2124/T2124-1</f>
        <v/>
      </c>
      <c r="V2124" t="n">
        <v>3.667038340381507</v>
      </c>
      <c r="W2124" s="5">
        <f>R2124-V2124</f>
        <v/>
      </c>
    </row>
    <row r="2125">
      <c r="A2125" s="3" t="n">
        <v>41558</v>
      </c>
      <c r="B2125">
        <f>Prices!B2125</f>
        <v/>
      </c>
      <c r="C2125">
        <f>Prices!C2125</f>
        <v/>
      </c>
      <c r="D2125">
        <f>Prices!D2125</f>
        <v/>
      </c>
      <c r="E2125">
        <f>Prices!E2125</f>
        <v/>
      </c>
      <c r="F2125">
        <f>Prices!F2125</f>
        <v/>
      </c>
      <c r="G2125">
        <f>IF(AND(2123&gt;=16,TEXT(A2125,"yyyy-mm")&lt;&gt;TEXT(A2126,"yyyy-mm")),1,0)</f>
        <v/>
      </c>
      <c r="H2125">
        <f>IF(OR(H2124=1,G2125=1),1,0)</f>
        <v/>
      </c>
      <c r="I2125">
        <f>IF(H2124=0,1,SUMPRODUCT(J2124:N2124,B2125:F2125)+O2124*(1+0.00023125256064071564))</f>
        <v/>
      </c>
      <c r="J2125">
        <f>IF(G2125=1,0.2*R2125/B2125,J2124)</f>
        <v/>
      </c>
      <c r="K2125">
        <f>IF(G2125=1,0.2*R2125/C2125,K2124)</f>
        <v/>
      </c>
      <c r="L2125">
        <f>IF(G2125=1,0.2*R2125/D2125,L2124)</f>
        <v/>
      </c>
      <c r="M2125">
        <f>IF(G2125=1,0.2*R2125/E2125,M2124)</f>
        <v/>
      </c>
      <c r="N2125">
        <f>IF(G2125=1,0.2*R2125/F2125,N2124)</f>
        <v/>
      </c>
      <c r="O2125">
        <f>IF(G2125=1,R2125*(1-1.0),IF(H2124=0,1,O2124*(1+0.00023125256064071564)))</f>
        <v/>
      </c>
      <c r="P2125">
        <f>IF(G2125=1,IF(H2124=0,1,ABS(0.2-J2124*B2125/I2125)+ABS(0.2-K2124*C2125/I2125)+ABS(0.2-L2124*D2125/I2125)+ABS(0.2-M2124*E2125/I2125)+ABS(0.2-N2124*F2125/I2125)),0)</f>
        <v/>
      </c>
      <c r="Q2125">
        <f>P2125*0.0015</f>
        <v/>
      </c>
      <c r="R2125">
        <f>I2125*(1-Q2125)</f>
        <v/>
      </c>
      <c r="S2125">
        <f>R2125/R2124-1</f>
        <v/>
      </c>
      <c r="T2125">
        <f>MAX(T2124,R2125)</f>
        <v/>
      </c>
      <c r="U2125">
        <f>R2125/T2125-1</f>
        <v/>
      </c>
      <c r="V2125" t="n">
        <v>3.675737598419143</v>
      </c>
      <c r="W2125" s="5">
        <f>R2125-V2125</f>
        <v/>
      </c>
    </row>
    <row r="2126">
      <c r="A2126" s="3" t="n">
        <v>41561</v>
      </c>
      <c r="B2126">
        <f>Prices!B2126</f>
        <v/>
      </c>
      <c r="C2126">
        <f>Prices!C2126</f>
        <v/>
      </c>
      <c r="D2126">
        <f>Prices!D2126</f>
        <v/>
      </c>
      <c r="E2126">
        <f>Prices!E2126</f>
        <v/>
      </c>
      <c r="F2126">
        <f>Prices!F2126</f>
        <v/>
      </c>
      <c r="G2126">
        <f>IF(AND(2124&gt;=16,TEXT(A2126,"yyyy-mm")&lt;&gt;TEXT(A2127,"yyyy-mm")),1,0)</f>
        <v/>
      </c>
      <c r="H2126">
        <f>IF(OR(H2125=1,G2126=1),1,0)</f>
        <v/>
      </c>
      <c r="I2126">
        <f>IF(H2125=0,1,SUMPRODUCT(J2125:N2125,B2126:F2126)+O2125*(1+0.00023125256064071564))</f>
        <v/>
      </c>
      <c r="J2126">
        <f>IF(G2126=1,0.2*R2126/B2126,J2125)</f>
        <v/>
      </c>
      <c r="K2126">
        <f>IF(G2126=1,0.2*R2126/C2126,K2125)</f>
        <v/>
      </c>
      <c r="L2126">
        <f>IF(G2126=1,0.2*R2126/D2126,L2125)</f>
        <v/>
      </c>
      <c r="M2126">
        <f>IF(G2126=1,0.2*R2126/E2126,M2125)</f>
        <v/>
      </c>
      <c r="N2126">
        <f>IF(G2126=1,0.2*R2126/F2126,N2125)</f>
        <v/>
      </c>
      <c r="O2126">
        <f>IF(G2126=1,R2126*(1-1.0),IF(H2125=0,1,O2125*(1+0.00023125256064071564)))</f>
        <v/>
      </c>
      <c r="P2126">
        <f>IF(G2126=1,IF(H2125=0,1,ABS(0.2-J2125*B2126/I2126)+ABS(0.2-K2125*C2126/I2126)+ABS(0.2-L2125*D2126/I2126)+ABS(0.2-M2125*E2126/I2126)+ABS(0.2-N2125*F2126/I2126)),0)</f>
        <v/>
      </c>
      <c r="Q2126">
        <f>P2126*0.0015</f>
        <v/>
      </c>
      <c r="R2126">
        <f>I2126*(1-Q2126)</f>
        <v/>
      </c>
      <c r="S2126">
        <f>R2126/R2125-1</f>
        <v/>
      </c>
      <c r="T2126">
        <f>MAX(T2125,R2126)</f>
        <v/>
      </c>
      <c r="U2126">
        <f>R2126/T2126-1</f>
        <v/>
      </c>
      <c r="V2126" t="n">
        <v>3.690271888331551</v>
      </c>
      <c r="W2126" s="5">
        <f>R2126-V2126</f>
        <v/>
      </c>
    </row>
    <row r="2127">
      <c r="A2127" s="3" t="n">
        <v>41562</v>
      </c>
      <c r="B2127">
        <f>Prices!B2127</f>
        <v/>
      </c>
      <c r="C2127">
        <f>Prices!C2127</f>
        <v/>
      </c>
      <c r="D2127">
        <f>Prices!D2127</f>
        <v/>
      </c>
      <c r="E2127">
        <f>Prices!E2127</f>
        <v/>
      </c>
      <c r="F2127">
        <f>Prices!F2127</f>
        <v/>
      </c>
      <c r="G2127">
        <f>IF(AND(2125&gt;=16,TEXT(A2127,"yyyy-mm")&lt;&gt;TEXT(A2128,"yyyy-mm")),1,0)</f>
        <v/>
      </c>
      <c r="H2127">
        <f>IF(OR(H2126=1,G2127=1),1,0)</f>
        <v/>
      </c>
      <c r="I2127">
        <f>IF(H2126=0,1,SUMPRODUCT(J2126:N2126,B2127:F2127)+O2126*(1+0.00023125256064071564))</f>
        <v/>
      </c>
      <c r="J2127">
        <f>IF(G2127=1,0.2*R2127/B2127,J2126)</f>
        <v/>
      </c>
      <c r="K2127">
        <f>IF(G2127=1,0.2*R2127/C2127,K2126)</f>
        <v/>
      </c>
      <c r="L2127">
        <f>IF(G2127=1,0.2*R2127/D2127,L2126)</f>
        <v/>
      </c>
      <c r="M2127">
        <f>IF(G2127=1,0.2*R2127/E2127,M2126)</f>
        <v/>
      </c>
      <c r="N2127">
        <f>IF(G2127=1,0.2*R2127/F2127,N2126)</f>
        <v/>
      </c>
      <c r="O2127">
        <f>IF(G2127=1,R2127*(1-1.0),IF(H2126=0,1,O2126*(1+0.00023125256064071564)))</f>
        <v/>
      </c>
      <c r="P2127">
        <f>IF(G2127=1,IF(H2126=0,1,ABS(0.2-J2126*B2127/I2127)+ABS(0.2-K2126*C2127/I2127)+ABS(0.2-L2126*D2127/I2127)+ABS(0.2-M2126*E2127/I2127)+ABS(0.2-N2126*F2127/I2127)),0)</f>
        <v/>
      </c>
      <c r="Q2127">
        <f>P2127*0.0015</f>
        <v/>
      </c>
      <c r="R2127">
        <f>I2127*(1-Q2127)</f>
        <v/>
      </c>
      <c r="S2127">
        <f>R2127/R2126-1</f>
        <v/>
      </c>
      <c r="T2127">
        <f>MAX(T2126,R2127)</f>
        <v/>
      </c>
      <c r="U2127">
        <f>R2127/T2127-1</f>
        <v/>
      </c>
      <c r="V2127" t="n">
        <v>3.658420360091358</v>
      </c>
      <c r="W2127" s="5">
        <f>R2127-V2127</f>
        <v/>
      </c>
    </row>
    <row r="2128">
      <c r="A2128" s="3" t="n">
        <v>41564</v>
      </c>
      <c r="B2128">
        <f>Prices!B2128</f>
        <v/>
      </c>
      <c r="C2128">
        <f>Prices!C2128</f>
        <v/>
      </c>
      <c r="D2128">
        <f>Prices!D2128</f>
        <v/>
      </c>
      <c r="E2128">
        <f>Prices!E2128</f>
        <v/>
      </c>
      <c r="F2128">
        <f>Prices!F2128</f>
        <v/>
      </c>
      <c r="G2128">
        <f>IF(AND(2126&gt;=16,TEXT(A2128,"yyyy-mm")&lt;&gt;TEXT(A2129,"yyyy-mm")),1,0)</f>
        <v/>
      </c>
      <c r="H2128">
        <f>IF(OR(H2127=1,G2128=1),1,0)</f>
        <v/>
      </c>
      <c r="I2128">
        <f>IF(H2127=0,1,SUMPRODUCT(J2127:N2127,B2128:F2128)+O2127*(1+0.00023125256064071564))</f>
        <v/>
      </c>
      <c r="J2128">
        <f>IF(G2128=1,0.2*R2128/B2128,J2127)</f>
        <v/>
      </c>
      <c r="K2128">
        <f>IF(G2128=1,0.2*R2128/C2128,K2127)</f>
        <v/>
      </c>
      <c r="L2128">
        <f>IF(G2128=1,0.2*R2128/D2128,L2127)</f>
        <v/>
      </c>
      <c r="M2128">
        <f>IF(G2128=1,0.2*R2128/E2128,M2127)</f>
        <v/>
      </c>
      <c r="N2128">
        <f>IF(G2128=1,0.2*R2128/F2128,N2127)</f>
        <v/>
      </c>
      <c r="O2128">
        <f>IF(G2128=1,R2128*(1-1.0),IF(H2127=0,1,O2127*(1+0.00023125256064071564)))</f>
        <v/>
      </c>
      <c r="P2128">
        <f>IF(G2128=1,IF(H2127=0,1,ABS(0.2-J2127*B2128/I2128)+ABS(0.2-K2127*C2128/I2128)+ABS(0.2-L2127*D2128/I2128)+ABS(0.2-M2127*E2128/I2128)+ABS(0.2-N2127*F2128/I2128)),0)</f>
        <v/>
      </c>
      <c r="Q2128">
        <f>P2128*0.0015</f>
        <v/>
      </c>
      <c r="R2128">
        <f>I2128*(1-Q2128)</f>
        <v/>
      </c>
      <c r="S2128">
        <f>R2128/R2127-1</f>
        <v/>
      </c>
      <c r="T2128">
        <f>MAX(T2127,R2128)</f>
        <v/>
      </c>
      <c r="U2128">
        <f>R2128/T2128-1</f>
        <v/>
      </c>
      <c r="V2128" t="n">
        <v>3.636186920356667</v>
      </c>
      <c r="W2128" s="5">
        <f>R2128-V2128</f>
        <v/>
      </c>
    </row>
    <row r="2129">
      <c r="A2129" s="3" t="n">
        <v>41565</v>
      </c>
      <c r="B2129">
        <f>Prices!B2129</f>
        <v/>
      </c>
      <c r="C2129">
        <f>Prices!C2129</f>
        <v/>
      </c>
      <c r="D2129">
        <f>Prices!D2129</f>
        <v/>
      </c>
      <c r="E2129">
        <f>Prices!E2129</f>
        <v/>
      </c>
      <c r="F2129">
        <f>Prices!F2129</f>
        <v/>
      </c>
      <c r="G2129">
        <f>IF(AND(2127&gt;=16,TEXT(A2129,"yyyy-mm")&lt;&gt;TEXT(A2130,"yyyy-mm")),1,0)</f>
        <v/>
      </c>
      <c r="H2129">
        <f>IF(OR(H2128=1,G2129=1),1,0)</f>
        <v/>
      </c>
      <c r="I2129">
        <f>IF(H2128=0,1,SUMPRODUCT(J2128:N2128,B2129:F2129)+O2128*(1+0.00023125256064071564))</f>
        <v/>
      </c>
      <c r="J2129">
        <f>IF(G2129=1,0.2*R2129/B2129,J2128)</f>
        <v/>
      </c>
      <c r="K2129">
        <f>IF(G2129=1,0.2*R2129/C2129,K2128)</f>
        <v/>
      </c>
      <c r="L2129">
        <f>IF(G2129=1,0.2*R2129/D2129,L2128)</f>
        <v/>
      </c>
      <c r="M2129">
        <f>IF(G2129=1,0.2*R2129/E2129,M2128)</f>
        <v/>
      </c>
      <c r="N2129">
        <f>IF(G2129=1,0.2*R2129/F2129,N2128)</f>
        <v/>
      </c>
      <c r="O2129">
        <f>IF(G2129=1,R2129*(1-1.0),IF(H2128=0,1,O2128*(1+0.00023125256064071564)))</f>
        <v/>
      </c>
      <c r="P2129">
        <f>IF(G2129=1,IF(H2128=0,1,ABS(0.2-J2128*B2129/I2129)+ABS(0.2-K2128*C2129/I2129)+ABS(0.2-L2128*D2129/I2129)+ABS(0.2-M2128*E2129/I2129)+ABS(0.2-N2128*F2129/I2129)),0)</f>
        <v/>
      </c>
      <c r="Q2129">
        <f>P2129*0.0015</f>
        <v/>
      </c>
      <c r="R2129">
        <f>I2129*(1-Q2129)</f>
        <v/>
      </c>
      <c r="S2129">
        <f>R2129/R2128-1</f>
        <v/>
      </c>
      <c r="T2129">
        <f>MAX(T2128,R2129)</f>
        <v/>
      </c>
      <c r="U2129">
        <f>R2129/T2129-1</f>
        <v/>
      </c>
      <c r="V2129" t="n">
        <v>3.680958677823162</v>
      </c>
      <c r="W2129" s="5">
        <f>R2129-V2129</f>
        <v/>
      </c>
    </row>
    <row r="2130">
      <c r="A2130" s="3" t="n">
        <v>41568</v>
      </c>
      <c r="B2130">
        <f>Prices!B2130</f>
        <v/>
      </c>
      <c r="C2130">
        <f>Prices!C2130</f>
        <v/>
      </c>
      <c r="D2130">
        <f>Prices!D2130</f>
        <v/>
      </c>
      <c r="E2130">
        <f>Prices!E2130</f>
        <v/>
      </c>
      <c r="F2130">
        <f>Prices!F2130</f>
        <v/>
      </c>
      <c r="G2130">
        <f>IF(AND(2128&gt;=16,TEXT(A2130,"yyyy-mm")&lt;&gt;TEXT(A2131,"yyyy-mm")),1,0)</f>
        <v/>
      </c>
      <c r="H2130">
        <f>IF(OR(H2129=1,G2130=1),1,0)</f>
        <v/>
      </c>
      <c r="I2130">
        <f>IF(H2129=0,1,SUMPRODUCT(J2129:N2129,B2130:F2130)+O2129*(1+0.00023125256064071564))</f>
        <v/>
      </c>
      <c r="J2130">
        <f>IF(G2130=1,0.2*R2130/B2130,J2129)</f>
        <v/>
      </c>
      <c r="K2130">
        <f>IF(G2130=1,0.2*R2130/C2130,K2129)</f>
        <v/>
      </c>
      <c r="L2130">
        <f>IF(G2130=1,0.2*R2130/D2130,L2129)</f>
        <v/>
      </c>
      <c r="M2130">
        <f>IF(G2130=1,0.2*R2130/E2130,M2129)</f>
        <v/>
      </c>
      <c r="N2130">
        <f>IF(G2130=1,0.2*R2130/F2130,N2129)</f>
        <v/>
      </c>
      <c r="O2130">
        <f>IF(G2130=1,R2130*(1-1.0),IF(H2129=0,1,O2129*(1+0.00023125256064071564)))</f>
        <v/>
      </c>
      <c r="P2130">
        <f>IF(G2130=1,IF(H2129=0,1,ABS(0.2-J2129*B2130/I2130)+ABS(0.2-K2129*C2130/I2130)+ABS(0.2-L2129*D2130/I2130)+ABS(0.2-M2129*E2130/I2130)+ABS(0.2-N2129*F2130/I2130)),0)</f>
        <v/>
      </c>
      <c r="Q2130">
        <f>P2130*0.0015</f>
        <v/>
      </c>
      <c r="R2130">
        <f>I2130*(1-Q2130)</f>
        <v/>
      </c>
      <c r="S2130">
        <f>R2130/R2129-1</f>
        <v/>
      </c>
      <c r="T2130">
        <f>MAX(T2129,R2130)</f>
        <v/>
      </c>
      <c r="U2130">
        <f>R2130/T2130-1</f>
        <v/>
      </c>
      <c r="V2130" t="n">
        <v>3.699608104436097</v>
      </c>
      <c r="W2130" s="5">
        <f>R2130-V2130</f>
        <v/>
      </c>
    </row>
    <row r="2131">
      <c r="A2131" s="3" t="n">
        <v>41569</v>
      </c>
      <c r="B2131">
        <f>Prices!B2131</f>
        <v/>
      </c>
      <c r="C2131">
        <f>Prices!C2131</f>
        <v/>
      </c>
      <c r="D2131">
        <f>Prices!D2131</f>
        <v/>
      </c>
      <c r="E2131">
        <f>Prices!E2131</f>
        <v/>
      </c>
      <c r="F2131">
        <f>Prices!F2131</f>
        <v/>
      </c>
      <c r="G2131">
        <f>IF(AND(2129&gt;=16,TEXT(A2131,"yyyy-mm")&lt;&gt;TEXT(A2132,"yyyy-mm")),1,0)</f>
        <v/>
      </c>
      <c r="H2131">
        <f>IF(OR(H2130=1,G2131=1),1,0)</f>
        <v/>
      </c>
      <c r="I2131">
        <f>IF(H2130=0,1,SUMPRODUCT(J2130:N2130,B2131:F2131)+O2130*(1+0.00023125256064071564))</f>
        <v/>
      </c>
      <c r="J2131">
        <f>IF(G2131=1,0.2*R2131/B2131,J2130)</f>
        <v/>
      </c>
      <c r="K2131">
        <f>IF(G2131=1,0.2*R2131/C2131,K2130)</f>
        <v/>
      </c>
      <c r="L2131">
        <f>IF(G2131=1,0.2*R2131/D2131,L2130)</f>
        <v/>
      </c>
      <c r="M2131">
        <f>IF(G2131=1,0.2*R2131/E2131,M2130)</f>
        <v/>
      </c>
      <c r="N2131">
        <f>IF(G2131=1,0.2*R2131/F2131,N2130)</f>
        <v/>
      </c>
      <c r="O2131">
        <f>IF(G2131=1,R2131*(1-1.0),IF(H2130=0,1,O2130*(1+0.00023125256064071564)))</f>
        <v/>
      </c>
      <c r="P2131">
        <f>IF(G2131=1,IF(H2130=0,1,ABS(0.2-J2130*B2131/I2131)+ABS(0.2-K2130*C2131/I2131)+ABS(0.2-L2130*D2131/I2131)+ABS(0.2-M2130*E2131/I2131)+ABS(0.2-N2130*F2131/I2131)),0)</f>
        <v/>
      </c>
      <c r="Q2131">
        <f>P2131*0.0015</f>
        <v/>
      </c>
      <c r="R2131">
        <f>I2131*(1-Q2131)</f>
        <v/>
      </c>
      <c r="S2131">
        <f>R2131/R2130-1</f>
        <v/>
      </c>
      <c r="T2131">
        <f>MAX(T2130,R2131)</f>
        <v/>
      </c>
      <c r="U2131">
        <f>R2131/T2131-1</f>
        <v/>
      </c>
      <c r="V2131" t="n">
        <v>3.7273841269198</v>
      </c>
      <c r="W2131" s="5">
        <f>R2131-V2131</f>
        <v/>
      </c>
    </row>
    <row r="2132">
      <c r="A2132" s="3" t="n">
        <v>41570</v>
      </c>
      <c r="B2132">
        <f>Prices!B2132</f>
        <v/>
      </c>
      <c r="C2132">
        <f>Prices!C2132</f>
        <v/>
      </c>
      <c r="D2132">
        <f>Prices!D2132</f>
        <v/>
      </c>
      <c r="E2132">
        <f>Prices!E2132</f>
        <v/>
      </c>
      <c r="F2132">
        <f>Prices!F2132</f>
        <v/>
      </c>
      <c r="G2132">
        <f>IF(AND(2130&gt;=16,TEXT(A2132,"yyyy-mm")&lt;&gt;TEXT(A2133,"yyyy-mm")),1,0)</f>
        <v/>
      </c>
      <c r="H2132">
        <f>IF(OR(H2131=1,G2132=1),1,0)</f>
        <v/>
      </c>
      <c r="I2132">
        <f>IF(H2131=0,1,SUMPRODUCT(J2131:N2131,B2132:F2132)+O2131*(1+0.00023125256064071564))</f>
        <v/>
      </c>
      <c r="J2132">
        <f>IF(G2132=1,0.2*R2132/B2132,J2131)</f>
        <v/>
      </c>
      <c r="K2132">
        <f>IF(G2132=1,0.2*R2132/C2132,K2131)</f>
        <v/>
      </c>
      <c r="L2132">
        <f>IF(G2132=1,0.2*R2132/D2132,L2131)</f>
        <v/>
      </c>
      <c r="M2132">
        <f>IF(G2132=1,0.2*R2132/E2132,M2131)</f>
        <v/>
      </c>
      <c r="N2132">
        <f>IF(G2132=1,0.2*R2132/F2132,N2131)</f>
        <v/>
      </c>
      <c r="O2132">
        <f>IF(G2132=1,R2132*(1-1.0),IF(H2131=0,1,O2131*(1+0.00023125256064071564)))</f>
        <v/>
      </c>
      <c r="P2132">
        <f>IF(G2132=1,IF(H2131=0,1,ABS(0.2-J2131*B2132/I2132)+ABS(0.2-K2131*C2132/I2132)+ABS(0.2-L2131*D2132/I2132)+ABS(0.2-M2131*E2132/I2132)+ABS(0.2-N2131*F2132/I2132)),0)</f>
        <v/>
      </c>
      <c r="Q2132">
        <f>P2132*0.0015</f>
        <v/>
      </c>
      <c r="R2132">
        <f>I2132*(1-Q2132)</f>
        <v/>
      </c>
      <c r="S2132">
        <f>R2132/R2131-1</f>
        <v/>
      </c>
      <c r="T2132">
        <f>MAX(T2131,R2132)</f>
        <v/>
      </c>
      <c r="U2132">
        <f>R2132/T2132-1</f>
        <v/>
      </c>
      <c r="V2132" t="n">
        <v>3.722812093678064</v>
      </c>
      <c r="W2132" s="5">
        <f>R2132-V2132</f>
        <v/>
      </c>
    </row>
    <row r="2133">
      <c r="A2133" s="3" t="n">
        <v>41571</v>
      </c>
      <c r="B2133">
        <f>Prices!B2133</f>
        <v/>
      </c>
      <c r="C2133">
        <f>Prices!C2133</f>
        <v/>
      </c>
      <c r="D2133">
        <f>Prices!D2133</f>
        <v/>
      </c>
      <c r="E2133">
        <f>Prices!E2133</f>
        <v/>
      </c>
      <c r="F2133">
        <f>Prices!F2133</f>
        <v/>
      </c>
      <c r="G2133">
        <f>IF(AND(2131&gt;=16,TEXT(A2133,"yyyy-mm")&lt;&gt;TEXT(A2134,"yyyy-mm")),1,0)</f>
        <v/>
      </c>
      <c r="H2133">
        <f>IF(OR(H2132=1,G2133=1),1,0)</f>
        <v/>
      </c>
      <c r="I2133">
        <f>IF(H2132=0,1,SUMPRODUCT(J2132:N2132,B2133:F2133)+O2132*(1+0.00023125256064071564))</f>
        <v/>
      </c>
      <c r="J2133">
        <f>IF(G2133=1,0.2*R2133/B2133,J2132)</f>
        <v/>
      </c>
      <c r="K2133">
        <f>IF(G2133=1,0.2*R2133/C2133,K2132)</f>
        <v/>
      </c>
      <c r="L2133">
        <f>IF(G2133=1,0.2*R2133/D2133,L2132)</f>
        <v/>
      </c>
      <c r="M2133">
        <f>IF(G2133=1,0.2*R2133/E2133,M2132)</f>
        <v/>
      </c>
      <c r="N2133">
        <f>IF(G2133=1,0.2*R2133/F2133,N2132)</f>
        <v/>
      </c>
      <c r="O2133">
        <f>IF(G2133=1,R2133*(1-1.0),IF(H2132=0,1,O2132*(1+0.00023125256064071564)))</f>
        <v/>
      </c>
      <c r="P2133">
        <f>IF(G2133=1,IF(H2132=0,1,ABS(0.2-J2132*B2133/I2133)+ABS(0.2-K2132*C2133/I2133)+ABS(0.2-L2132*D2133/I2133)+ABS(0.2-M2132*E2133/I2133)+ABS(0.2-N2132*F2133/I2133)),0)</f>
        <v/>
      </c>
      <c r="Q2133">
        <f>P2133*0.0015</f>
        <v/>
      </c>
      <c r="R2133">
        <f>I2133*(1-Q2133)</f>
        <v/>
      </c>
      <c r="S2133">
        <f>R2133/R2132-1</f>
        <v/>
      </c>
      <c r="T2133">
        <f>MAX(T2132,R2133)</f>
        <v/>
      </c>
      <c r="U2133">
        <f>R2133/T2133-1</f>
        <v/>
      </c>
      <c r="V2133" t="n">
        <v>3.702956902200488</v>
      </c>
      <c r="W2133" s="5">
        <f>R2133-V2133</f>
        <v/>
      </c>
    </row>
    <row r="2134">
      <c r="A2134" s="3" t="n">
        <v>41572</v>
      </c>
      <c r="B2134">
        <f>Prices!B2134</f>
        <v/>
      </c>
      <c r="C2134">
        <f>Prices!C2134</f>
        <v/>
      </c>
      <c r="D2134">
        <f>Prices!D2134</f>
        <v/>
      </c>
      <c r="E2134">
        <f>Prices!E2134</f>
        <v/>
      </c>
      <c r="F2134">
        <f>Prices!F2134</f>
        <v/>
      </c>
      <c r="G2134">
        <f>IF(AND(2132&gt;=16,TEXT(A2134,"yyyy-mm")&lt;&gt;TEXT(A2135,"yyyy-mm")),1,0)</f>
        <v/>
      </c>
      <c r="H2134">
        <f>IF(OR(H2133=1,G2134=1),1,0)</f>
        <v/>
      </c>
      <c r="I2134">
        <f>IF(H2133=0,1,SUMPRODUCT(J2133:N2133,B2134:F2134)+O2133*(1+0.00023125256064071564))</f>
        <v/>
      </c>
      <c r="J2134">
        <f>IF(G2134=1,0.2*R2134/B2134,J2133)</f>
        <v/>
      </c>
      <c r="K2134">
        <f>IF(G2134=1,0.2*R2134/C2134,K2133)</f>
        <v/>
      </c>
      <c r="L2134">
        <f>IF(G2134=1,0.2*R2134/D2134,L2133)</f>
        <v/>
      </c>
      <c r="M2134">
        <f>IF(G2134=1,0.2*R2134/E2134,M2133)</f>
        <v/>
      </c>
      <c r="N2134">
        <f>IF(G2134=1,0.2*R2134/F2134,N2133)</f>
        <v/>
      </c>
      <c r="O2134">
        <f>IF(G2134=1,R2134*(1-1.0),IF(H2133=0,1,O2133*(1+0.00023125256064071564)))</f>
        <v/>
      </c>
      <c r="P2134">
        <f>IF(G2134=1,IF(H2133=0,1,ABS(0.2-J2133*B2134/I2134)+ABS(0.2-K2133*C2134/I2134)+ABS(0.2-L2133*D2134/I2134)+ABS(0.2-M2133*E2134/I2134)+ABS(0.2-N2133*F2134/I2134)),0)</f>
        <v/>
      </c>
      <c r="Q2134">
        <f>P2134*0.0015</f>
        <v/>
      </c>
      <c r="R2134">
        <f>I2134*(1-Q2134)</f>
        <v/>
      </c>
      <c r="S2134">
        <f>R2134/R2133-1</f>
        <v/>
      </c>
      <c r="T2134">
        <f>MAX(T2133,R2134)</f>
        <v/>
      </c>
      <c r="U2134">
        <f>R2134/T2134-1</f>
        <v/>
      </c>
      <c r="V2134" t="n">
        <v>3.684537283441894</v>
      </c>
      <c r="W2134" s="5">
        <f>R2134-V2134</f>
        <v/>
      </c>
    </row>
    <row r="2135">
      <c r="A2135" s="3" t="n">
        <v>41575</v>
      </c>
      <c r="B2135">
        <f>Prices!B2135</f>
        <v/>
      </c>
      <c r="C2135">
        <f>Prices!C2135</f>
        <v/>
      </c>
      <c r="D2135">
        <f>Prices!D2135</f>
        <v/>
      </c>
      <c r="E2135">
        <f>Prices!E2135</f>
        <v/>
      </c>
      <c r="F2135">
        <f>Prices!F2135</f>
        <v/>
      </c>
      <c r="G2135">
        <f>IF(AND(2133&gt;=16,TEXT(A2135,"yyyy-mm")&lt;&gt;TEXT(A2136,"yyyy-mm")),1,0)</f>
        <v/>
      </c>
      <c r="H2135">
        <f>IF(OR(H2134=1,G2135=1),1,0)</f>
        <v/>
      </c>
      <c r="I2135">
        <f>IF(H2134=0,1,SUMPRODUCT(J2134:N2134,B2135:F2135)+O2134*(1+0.00023125256064071564))</f>
        <v/>
      </c>
      <c r="J2135">
        <f>IF(G2135=1,0.2*R2135/B2135,J2134)</f>
        <v/>
      </c>
      <c r="K2135">
        <f>IF(G2135=1,0.2*R2135/C2135,K2134)</f>
        <v/>
      </c>
      <c r="L2135">
        <f>IF(G2135=1,0.2*R2135/D2135,L2134)</f>
        <v/>
      </c>
      <c r="M2135">
        <f>IF(G2135=1,0.2*R2135/E2135,M2134)</f>
        <v/>
      </c>
      <c r="N2135">
        <f>IF(G2135=1,0.2*R2135/F2135,N2134)</f>
        <v/>
      </c>
      <c r="O2135">
        <f>IF(G2135=1,R2135*(1-1.0),IF(H2134=0,1,O2134*(1+0.00023125256064071564)))</f>
        <v/>
      </c>
      <c r="P2135">
        <f>IF(G2135=1,IF(H2134=0,1,ABS(0.2-J2134*B2135/I2135)+ABS(0.2-K2134*C2135/I2135)+ABS(0.2-L2134*D2135/I2135)+ABS(0.2-M2134*E2135/I2135)+ABS(0.2-N2134*F2135/I2135)),0)</f>
        <v/>
      </c>
      <c r="Q2135">
        <f>P2135*0.0015</f>
        <v/>
      </c>
      <c r="R2135">
        <f>I2135*(1-Q2135)</f>
        <v/>
      </c>
      <c r="S2135">
        <f>R2135/R2134-1</f>
        <v/>
      </c>
      <c r="T2135">
        <f>MAX(T2134,R2135)</f>
        <v/>
      </c>
      <c r="U2135">
        <f>R2135/T2135-1</f>
        <v/>
      </c>
      <c r="V2135" t="n">
        <v>3.644905976055297</v>
      </c>
      <c r="W2135" s="5">
        <f>R2135-V2135</f>
        <v/>
      </c>
    </row>
    <row r="2136">
      <c r="A2136" s="3" t="n">
        <v>41576</v>
      </c>
      <c r="B2136">
        <f>Prices!B2136</f>
        <v/>
      </c>
      <c r="C2136">
        <f>Prices!C2136</f>
        <v/>
      </c>
      <c r="D2136">
        <f>Prices!D2136</f>
        <v/>
      </c>
      <c r="E2136">
        <f>Prices!E2136</f>
        <v/>
      </c>
      <c r="F2136">
        <f>Prices!F2136</f>
        <v/>
      </c>
      <c r="G2136">
        <f>IF(AND(2134&gt;=16,TEXT(A2136,"yyyy-mm")&lt;&gt;TEXT(A2137,"yyyy-mm")),1,0)</f>
        <v/>
      </c>
      <c r="H2136">
        <f>IF(OR(H2135=1,G2136=1),1,0)</f>
        <v/>
      </c>
      <c r="I2136">
        <f>IF(H2135=0,1,SUMPRODUCT(J2135:N2135,B2136:F2136)+O2135*(1+0.00023125256064071564))</f>
        <v/>
      </c>
      <c r="J2136">
        <f>IF(G2136=1,0.2*R2136/B2136,J2135)</f>
        <v/>
      </c>
      <c r="K2136">
        <f>IF(G2136=1,0.2*R2136/C2136,K2135)</f>
        <v/>
      </c>
      <c r="L2136">
        <f>IF(G2136=1,0.2*R2136/D2136,L2135)</f>
        <v/>
      </c>
      <c r="M2136">
        <f>IF(G2136=1,0.2*R2136/E2136,M2135)</f>
        <v/>
      </c>
      <c r="N2136">
        <f>IF(G2136=1,0.2*R2136/F2136,N2135)</f>
        <v/>
      </c>
      <c r="O2136">
        <f>IF(G2136=1,R2136*(1-1.0),IF(H2135=0,1,O2135*(1+0.00023125256064071564)))</f>
        <v/>
      </c>
      <c r="P2136">
        <f>IF(G2136=1,IF(H2135=0,1,ABS(0.2-J2135*B2136/I2136)+ABS(0.2-K2135*C2136/I2136)+ABS(0.2-L2135*D2136/I2136)+ABS(0.2-M2135*E2136/I2136)+ABS(0.2-N2135*F2136/I2136)),0)</f>
        <v/>
      </c>
      <c r="Q2136">
        <f>P2136*0.0015</f>
        <v/>
      </c>
      <c r="R2136">
        <f>I2136*(1-Q2136)</f>
        <v/>
      </c>
      <c r="S2136">
        <f>R2136/R2135-1</f>
        <v/>
      </c>
      <c r="T2136">
        <f>MAX(T2135,R2136)</f>
        <v/>
      </c>
      <c r="U2136">
        <f>R2136/T2136-1</f>
        <v/>
      </c>
      <c r="V2136" t="n">
        <v>3.696621487836589</v>
      </c>
      <c r="W2136" s="5">
        <f>R2136-V2136</f>
        <v/>
      </c>
    </row>
    <row r="2137">
      <c r="A2137" s="3" t="n">
        <v>41577</v>
      </c>
      <c r="B2137">
        <f>Prices!B2137</f>
        <v/>
      </c>
      <c r="C2137">
        <f>Prices!C2137</f>
        <v/>
      </c>
      <c r="D2137">
        <f>Prices!D2137</f>
        <v/>
      </c>
      <c r="E2137">
        <f>Prices!E2137</f>
        <v/>
      </c>
      <c r="F2137">
        <f>Prices!F2137</f>
        <v/>
      </c>
      <c r="G2137">
        <f>IF(AND(2135&gt;=16,TEXT(A2137,"yyyy-mm")&lt;&gt;TEXT(A2138,"yyyy-mm")),1,0)</f>
        <v/>
      </c>
      <c r="H2137">
        <f>IF(OR(H2136=1,G2137=1),1,0)</f>
        <v/>
      </c>
      <c r="I2137">
        <f>IF(H2136=0,1,SUMPRODUCT(J2136:N2136,B2137:F2137)+O2136*(1+0.00023125256064071564))</f>
        <v/>
      </c>
      <c r="J2137">
        <f>IF(G2137=1,0.2*R2137/B2137,J2136)</f>
        <v/>
      </c>
      <c r="K2137">
        <f>IF(G2137=1,0.2*R2137/C2137,K2136)</f>
        <v/>
      </c>
      <c r="L2137">
        <f>IF(G2137=1,0.2*R2137/D2137,L2136)</f>
        <v/>
      </c>
      <c r="M2137">
        <f>IF(G2137=1,0.2*R2137/E2137,M2136)</f>
        <v/>
      </c>
      <c r="N2137">
        <f>IF(G2137=1,0.2*R2137/F2137,N2136)</f>
        <v/>
      </c>
      <c r="O2137">
        <f>IF(G2137=1,R2137*(1-1.0),IF(H2136=0,1,O2136*(1+0.00023125256064071564)))</f>
        <v/>
      </c>
      <c r="P2137">
        <f>IF(G2137=1,IF(H2136=0,1,ABS(0.2-J2136*B2137/I2137)+ABS(0.2-K2136*C2137/I2137)+ABS(0.2-L2136*D2137/I2137)+ABS(0.2-M2136*E2137/I2137)+ABS(0.2-N2136*F2137/I2137)),0)</f>
        <v/>
      </c>
      <c r="Q2137">
        <f>P2137*0.0015</f>
        <v/>
      </c>
      <c r="R2137">
        <f>I2137*(1-Q2137)</f>
        <v/>
      </c>
      <c r="S2137">
        <f>R2137/R2136-1</f>
        <v/>
      </c>
      <c r="T2137">
        <f>MAX(T2136,R2137)</f>
        <v/>
      </c>
      <c r="U2137">
        <f>R2137/T2137-1</f>
        <v/>
      </c>
      <c r="V2137" t="n">
        <v>3.715018909912708</v>
      </c>
      <c r="W2137" s="5">
        <f>R2137-V2137</f>
        <v/>
      </c>
    </row>
    <row r="2138">
      <c r="A2138" s="3" t="n">
        <v>41578</v>
      </c>
      <c r="B2138">
        <f>Prices!B2138</f>
        <v/>
      </c>
      <c r="C2138">
        <f>Prices!C2138</f>
        <v/>
      </c>
      <c r="D2138">
        <f>Prices!D2138</f>
        <v/>
      </c>
      <c r="E2138">
        <f>Prices!E2138</f>
        <v/>
      </c>
      <c r="F2138">
        <f>Prices!F2138</f>
        <v/>
      </c>
      <c r="G2138">
        <f>IF(AND(2136&gt;=16,TEXT(A2138,"yyyy-mm")&lt;&gt;TEXT(A2139,"yyyy-mm")),1,0)</f>
        <v/>
      </c>
      <c r="H2138">
        <f>IF(OR(H2137=1,G2138=1),1,0)</f>
        <v/>
      </c>
      <c r="I2138">
        <f>IF(H2137=0,1,SUMPRODUCT(J2137:N2137,B2138:F2138)+O2137*(1+0.00023125256064071564))</f>
        <v/>
      </c>
      <c r="J2138">
        <f>IF(G2138=1,0.2*R2138/B2138,J2137)</f>
        <v/>
      </c>
      <c r="K2138">
        <f>IF(G2138=1,0.2*R2138/C2138,K2137)</f>
        <v/>
      </c>
      <c r="L2138">
        <f>IF(G2138=1,0.2*R2138/D2138,L2137)</f>
        <v/>
      </c>
      <c r="M2138">
        <f>IF(G2138=1,0.2*R2138/E2138,M2137)</f>
        <v/>
      </c>
      <c r="N2138">
        <f>IF(G2138=1,0.2*R2138/F2138,N2137)</f>
        <v/>
      </c>
      <c r="O2138">
        <f>IF(G2138=1,R2138*(1-1.0),IF(H2137=0,1,O2137*(1+0.00023125256064071564)))</f>
        <v/>
      </c>
      <c r="P2138">
        <f>IF(G2138=1,IF(H2137=0,1,ABS(0.2-J2137*B2138/I2138)+ABS(0.2-K2137*C2138/I2138)+ABS(0.2-L2137*D2138/I2138)+ABS(0.2-M2137*E2138/I2138)+ABS(0.2-N2137*F2138/I2138)),0)</f>
        <v/>
      </c>
      <c r="Q2138">
        <f>P2138*0.0015</f>
        <v/>
      </c>
      <c r="R2138">
        <f>I2138*(1-Q2138)</f>
        <v/>
      </c>
      <c r="S2138">
        <f>R2138/R2137-1</f>
        <v/>
      </c>
      <c r="T2138">
        <f>MAX(T2137,R2138)</f>
        <v/>
      </c>
      <c r="U2138">
        <f>R2138/T2138-1</f>
        <v/>
      </c>
      <c r="V2138" t="n">
        <v>3.746909722557076</v>
      </c>
      <c r="W2138" s="5">
        <f>R2138-V2138</f>
        <v/>
      </c>
    </row>
    <row r="2139">
      <c r="A2139" s="3" t="n">
        <v>41579</v>
      </c>
      <c r="B2139">
        <f>Prices!B2139</f>
        <v/>
      </c>
      <c r="C2139">
        <f>Prices!C2139</f>
        <v/>
      </c>
      <c r="D2139">
        <f>Prices!D2139</f>
        <v/>
      </c>
      <c r="E2139">
        <f>Prices!E2139</f>
        <v/>
      </c>
      <c r="F2139">
        <f>Prices!F2139</f>
        <v/>
      </c>
      <c r="G2139">
        <f>IF(AND(2137&gt;=16,TEXT(A2139,"yyyy-mm")&lt;&gt;TEXT(A2140,"yyyy-mm")),1,0)</f>
        <v/>
      </c>
      <c r="H2139">
        <f>IF(OR(H2138=1,G2139=1),1,0)</f>
        <v/>
      </c>
      <c r="I2139">
        <f>IF(H2138=0,1,SUMPRODUCT(J2138:N2138,B2139:F2139)+O2138*(1+0.00023125256064071564))</f>
        <v/>
      </c>
      <c r="J2139">
        <f>IF(G2139=1,0.2*R2139/B2139,J2138)</f>
        <v/>
      </c>
      <c r="K2139">
        <f>IF(G2139=1,0.2*R2139/C2139,K2138)</f>
        <v/>
      </c>
      <c r="L2139">
        <f>IF(G2139=1,0.2*R2139/D2139,L2138)</f>
        <v/>
      </c>
      <c r="M2139">
        <f>IF(G2139=1,0.2*R2139/E2139,M2138)</f>
        <v/>
      </c>
      <c r="N2139">
        <f>IF(G2139=1,0.2*R2139/F2139,N2138)</f>
        <v/>
      </c>
      <c r="O2139">
        <f>IF(G2139=1,R2139*(1-1.0),IF(H2138=0,1,O2138*(1+0.00023125256064071564)))</f>
        <v/>
      </c>
      <c r="P2139">
        <f>IF(G2139=1,IF(H2138=0,1,ABS(0.2-J2138*B2139/I2139)+ABS(0.2-K2138*C2139/I2139)+ABS(0.2-L2138*D2139/I2139)+ABS(0.2-M2138*E2139/I2139)+ABS(0.2-N2138*F2139/I2139)),0)</f>
        <v/>
      </c>
      <c r="Q2139">
        <f>P2139*0.0015</f>
        <v/>
      </c>
      <c r="R2139">
        <f>I2139*(1-Q2139)</f>
        <v/>
      </c>
      <c r="S2139">
        <f>R2139/R2138-1</f>
        <v/>
      </c>
      <c r="T2139">
        <f>MAX(T2138,R2139)</f>
        <v/>
      </c>
      <c r="U2139">
        <f>R2139/T2139-1</f>
        <v/>
      </c>
      <c r="V2139" t="n">
        <v>3.771605727611564</v>
      </c>
      <c r="W2139" s="5">
        <f>R2139-V2139</f>
        <v/>
      </c>
    </row>
    <row r="2140">
      <c r="A2140" s="3" t="n">
        <v>41581</v>
      </c>
      <c r="B2140">
        <f>Prices!B2140</f>
        <v/>
      </c>
      <c r="C2140">
        <f>Prices!C2140</f>
        <v/>
      </c>
      <c r="D2140">
        <f>Prices!D2140</f>
        <v/>
      </c>
      <c r="E2140">
        <f>Prices!E2140</f>
        <v/>
      </c>
      <c r="F2140">
        <f>Prices!F2140</f>
        <v/>
      </c>
      <c r="G2140">
        <f>IF(AND(2138&gt;=16,TEXT(A2140,"yyyy-mm")&lt;&gt;TEXT(A2141,"yyyy-mm")),1,0)</f>
        <v/>
      </c>
      <c r="H2140">
        <f>IF(OR(H2139=1,G2140=1),1,0)</f>
        <v/>
      </c>
      <c r="I2140">
        <f>IF(H2139=0,1,SUMPRODUCT(J2139:N2139,B2140:F2140)+O2139*(1+0.00023125256064071564))</f>
        <v/>
      </c>
      <c r="J2140">
        <f>IF(G2140=1,0.2*R2140/B2140,J2139)</f>
        <v/>
      </c>
      <c r="K2140">
        <f>IF(G2140=1,0.2*R2140/C2140,K2139)</f>
        <v/>
      </c>
      <c r="L2140">
        <f>IF(G2140=1,0.2*R2140/D2140,L2139)</f>
        <v/>
      </c>
      <c r="M2140">
        <f>IF(G2140=1,0.2*R2140/E2140,M2139)</f>
        <v/>
      </c>
      <c r="N2140">
        <f>IF(G2140=1,0.2*R2140/F2140,N2139)</f>
        <v/>
      </c>
      <c r="O2140">
        <f>IF(G2140=1,R2140*(1-1.0),IF(H2139=0,1,O2139*(1+0.00023125256064071564)))</f>
        <v/>
      </c>
      <c r="P2140">
        <f>IF(G2140=1,IF(H2139=0,1,ABS(0.2-J2139*B2140/I2140)+ABS(0.2-K2139*C2140/I2140)+ABS(0.2-L2139*D2140/I2140)+ABS(0.2-M2139*E2140/I2140)+ABS(0.2-N2139*F2140/I2140)),0)</f>
        <v/>
      </c>
      <c r="Q2140">
        <f>P2140*0.0015</f>
        <v/>
      </c>
      <c r="R2140">
        <f>I2140*(1-Q2140)</f>
        <v/>
      </c>
      <c r="S2140">
        <f>R2140/R2139-1</f>
        <v/>
      </c>
      <c r="T2140">
        <f>MAX(T2139,R2140)</f>
        <v/>
      </c>
      <c r="U2140">
        <f>R2140/T2140-1</f>
        <v/>
      </c>
      <c r="V2140" t="n">
        <v>3.801954671243858</v>
      </c>
      <c r="W2140" s="5">
        <f>R2140-V2140</f>
        <v/>
      </c>
    </row>
    <row r="2141">
      <c r="A2141" s="3" t="n">
        <v>41583</v>
      </c>
      <c r="B2141">
        <f>Prices!B2141</f>
        <v/>
      </c>
      <c r="C2141">
        <f>Prices!C2141</f>
        <v/>
      </c>
      <c r="D2141">
        <f>Prices!D2141</f>
        <v/>
      </c>
      <c r="E2141">
        <f>Prices!E2141</f>
        <v/>
      </c>
      <c r="F2141">
        <f>Prices!F2141</f>
        <v/>
      </c>
      <c r="G2141">
        <f>IF(AND(2139&gt;=16,TEXT(A2141,"yyyy-mm")&lt;&gt;TEXT(A2142,"yyyy-mm")),1,0)</f>
        <v/>
      </c>
      <c r="H2141">
        <f>IF(OR(H2140=1,G2141=1),1,0)</f>
        <v/>
      </c>
      <c r="I2141">
        <f>IF(H2140=0,1,SUMPRODUCT(J2140:N2140,B2141:F2141)+O2140*(1+0.00023125256064071564))</f>
        <v/>
      </c>
      <c r="J2141">
        <f>IF(G2141=1,0.2*R2141/B2141,J2140)</f>
        <v/>
      </c>
      <c r="K2141">
        <f>IF(G2141=1,0.2*R2141/C2141,K2140)</f>
        <v/>
      </c>
      <c r="L2141">
        <f>IF(G2141=1,0.2*R2141/D2141,L2140)</f>
        <v/>
      </c>
      <c r="M2141">
        <f>IF(G2141=1,0.2*R2141/E2141,M2140)</f>
        <v/>
      </c>
      <c r="N2141">
        <f>IF(G2141=1,0.2*R2141/F2141,N2140)</f>
        <v/>
      </c>
      <c r="O2141">
        <f>IF(G2141=1,R2141*(1-1.0),IF(H2140=0,1,O2140*(1+0.00023125256064071564)))</f>
        <v/>
      </c>
      <c r="P2141">
        <f>IF(G2141=1,IF(H2140=0,1,ABS(0.2-J2140*B2141/I2141)+ABS(0.2-K2140*C2141/I2141)+ABS(0.2-L2140*D2141/I2141)+ABS(0.2-M2140*E2141/I2141)+ABS(0.2-N2140*F2141/I2141)),0)</f>
        <v/>
      </c>
      <c r="Q2141">
        <f>P2141*0.0015</f>
        <v/>
      </c>
      <c r="R2141">
        <f>I2141*(1-Q2141)</f>
        <v/>
      </c>
      <c r="S2141">
        <f>R2141/R2140-1</f>
        <v/>
      </c>
      <c r="T2141">
        <f>MAX(T2140,R2141)</f>
        <v/>
      </c>
      <c r="U2141">
        <f>R2141/T2141-1</f>
        <v/>
      </c>
      <c r="V2141" t="n">
        <v>3.791432252687605</v>
      </c>
      <c r="W2141" s="5">
        <f>R2141-V2141</f>
        <v/>
      </c>
    </row>
    <row r="2142">
      <c r="A2142" s="3" t="n">
        <v>41584</v>
      </c>
      <c r="B2142">
        <f>Prices!B2142</f>
        <v/>
      </c>
      <c r="C2142">
        <f>Prices!C2142</f>
        <v/>
      </c>
      <c r="D2142">
        <f>Prices!D2142</f>
        <v/>
      </c>
      <c r="E2142">
        <f>Prices!E2142</f>
        <v/>
      </c>
      <c r="F2142">
        <f>Prices!F2142</f>
        <v/>
      </c>
      <c r="G2142">
        <f>IF(AND(2140&gt;=16,TEXT(A2142,"yyyy-mm")&lt;&gt;TEXT(A2143,"yyyy-mm")),1,0)</f>
        <v/>
      </c>
      <c r="H2142">
        <f>IF(OR(H2141=1,G2142=1),1,0)</f>
        <v/>
      </c>
      <c r="I2142">
        <f>IF(H2141=0,1,SUMPRODUCT(J2141:N2141,B2142:F2142)+O2141*(1+0.00023125256064071564))</f>
        <v/>
      </c>
      <c r="J2142">
        <f>IF(G2142=1,0.2*R2142/B2142,J2141)</f>
        <v/>
      </c>
      <c r="K2142">
        <f>IF(G2142=1,0.2*R2142/C2142,K2141)</f>
        <v/>
      </c>
      <c r="L2142">
        <f>IF(G2142=1,0.2*R2142/D2142,L2141)</f>
        <v/>
      </c>
      <c r="M2142">
        <f>IF(G2142=1,0.2*R2142/E2142,M2141)</f>
        <v/>
      </c>
      <c r="N2142">
        <f>IF(G2142=1,0.2*R2142/F2142,N2141)</f>
        <v/>
      </c>
      <c r="O2142">
        <f>IF(G2142=1,R2142*(1-1.0),IF(H2141=0,1,O2141*(1+0.00023125256064071564)))</f>
        <v/>
      </c>
      <c r="P2142">
        <f>IF(G2142=1,IF(H2141=0,1,ABS(0.2-J2141*B2142/I2142)+ABS(0.2-K2141*C2142/I2142)+ABS(0.2-L2141*D2142/I2142)+ABS(0.2-M2141*E2142/I2142)+ABS(0.2-N2141*F2142/I2142)),0)</f>
        <v/>
      </c>
      <c r="Q2142">
        <f>P2142*0.0015</f>
        <v/>
      </c>
      <c r="R2142">
        <f>I2142*(1-Q2142)</f>
        <v/>
      </c>
      <c r="S2142">
        <f>R2142/R2141-1</f>
        <v/>
      </c>
      <c r="T2142">
        <f>MAX(T2141,R2142)</f>
        <v/>
      </c>
      <c r="U2142">
        <f>R2142/T2142-1</f>
        <v/>
      </c>
      <c r="V2142" t="n">
        <v>3.788500081139986</v>
      </c>
      <c r="W2142" s="5">
        <f>R2142-V2142</f>
        <v/>
      </c>
    </row>
    <row r="2143">
      <c r="A2143" s="3" t="n">
        <v>41585</v>
      </c>
      <c r="B2143">
        <f>Prices!B2143</f>
        <v/>
      </c>
      <c r="C2143">
        <f>Prices!C2143</f>
        <v/>
      </c>
      <c r="D2143">
        <f>Prices!D2143</f>
        <v/>
      </c>
      <c r="E2143">
        <f>Prices!E2143</f>
        <v/>
      </c>
      <c r="F2143">
        <f>Prices!F2143</f>
        <v/>
      </c>
      <c r="G2143">
        <f>IF(AND(2141&gt;=16,TEXT(A2143,"yyyy-mm")&lt;&gt;TEXT(A2144,"yyyy-mm")),1,0)</f>
        <v/>
      </c>
      <c r="H2143">
        <f>IF(OR(H2142=1,G2143=1),1,0)</f>
        <v/>
      </c>
      <c r="I2143">
        <f>IF(H2142=0,1,SUMPRODUCT(J2142:N2142,B2143:F2143)+O2142*(1+0.00023125256064071564))</f>
        <v/>
      </c>
      <c r="J2143">
        <f>IF(G2143=1,0.2*R2143/B2143,J2142)</f>
        <v/>
      </c>
      <c r="K2143">
        <f>IF(G2143=1,0.2*R2143/C2143,K2142)</f>
        <v/>
      </c>
      <c r="L2143">
        <f>IF(G2143=1,0.2*R2143/D2143,L2142)</f>
        <v/>
      </c>
      <c r="M2143">
        <f>IF(G2143=1,0.2*R2143/E2143,M2142)</f>
        <v/>
      </c>
      <c r="N2143">
        <f>IF(G2143=1,0.2*R2143/F2143,N2142)</f>
        <v/>
      </c>
      <c r="O2143">
        <f>IF(G2143=1,R2143*(1-1.0),IF(H2142=0,1,O2142*(1+0.00023125256064071564)))</f>
        <v/>
      </c>
      <c r="P2143">
        <f>IF(G2143=1,IF(H2142=0,1,ABS(0.2-J2142*B2143/I2143)+ABS(0.2-K2142*C2143/I2143)+ABS(0.2-L2142*D2143/I2143)+ABS(0.2-M2142*E2143/I2143)+ABS(0.2-N2142*F2143/I2143)),0)</f>
        <v/>
      </c>
      <c r="Q2143">
        <f>P2143*0.0015</f>
        <v/>
      </c>
      <c r="R2143">
        <f>I2143*(1-Q2143)</f>
        <v/>
      </c>
      <c r="S2143">
        <f>R2143/R2142-1</f>
        <v/>
      </c>
      <c r="T2143">
        <f>MAX(T2142,R2143)</f>
        <v/>
      </c>
      <c r="U2143">
        <f>R2143/T2143-1</f>
        <v/>
      </c>
      <c r="V2143" t="n">
        <v>3.752040774104864</v>
      </c>
      <c r="W2143" s="5">
        <f>R2143-V2143</f>
        <v/>
      </c>
    </row>
    <row r="2144">
      <c r="A2144" s="3" t="n">
        <v>41586</v>
      </c>
      <c r="B2144">
        <f>Prices!B2144</f>
        <v/>
      </c>
      <c r="C2144">
        <f>Prices!C2144</f>
        <v/>
      </c>
      <c r="D2144">
        <f>Prices!D2144</f>
        <v/>
      </c>
      <c r="E2144">
        <f>Prices!E2144</f>
        <v/>
      </c>
      <c r="F2144">
        <f>Prices!F2144</f>
        <v/>
      </c>
      <c r="G2144">
        <f>IF(AND(2142&gt;=16,TEXT(A2144,"yyyy-mm")&lt;&gt;TEXT(A2145,"yyyy-mm")),1,0)</f>
        <v/>
      </c>
      <c r="H2144">
        <f>IF(OR(H2143=1,G2144=1),1,0)</f>
        <v/>
      </c>
      <c r="I2144">
        <f>IF(H2143=0,1,SUMPRODUCT(J2143:N2143,B2144:F2144)+O2143*(1+0.00023125256064071564))</f>
        <v/>
      </c>
      <c r="J2144">
        <f>IF(G2144=1,0.2*R2144/B2144,J2143)</f>
        <v/>
      </c>
      <c r="K2144">
        <f>IF(G2144=1,0.2*R2144/C2144,K2143)</f>
        <v/>
      </c>
      <c r="L2144">
        <f>IF(G2144=1,0.2*R2144/D2144,L2143)</f>
        <v/>
      </c>
      <c r="M2144">
        <f>IF(G2144=1,0.2*R2144/E2144,M2143)</f>
        <v/>
      </c>
      <c r="N2144">
        <f>IF(G2144=1,0.2*R2144/F2144,N2143)</f>
        <v/>
      </c>
      <c r="O2144">
        <f>IF(G2144=1,R2144*(1-1.0),IF(H2143=0,1,O2143*(1+0.00023125256064071564)))</f>
        <v/>
      </c>
      <c r="P2144">
        <f>IF(G2144=1,IF(H2143=0,1,ABS(0.2-J2143*B2144/I2144)+ABS(0.2-K2143*C2144/I2144)+ABS(0.2-L2143*D2144/I2144)+ABS(0.2-M2143*E2144/I2144)+ABS(0.2-N2143*F2144/I2144)),0)</f>
        <v/>
      </c>
      <c r="Q2144">
        <f>P2144*0.0015</f>
        <v/>
      </c>
      <c r="R2144">
        <f>I2144*(1-Q2144)</f>
        <v/>
      </c>
      <c r="S2144">
        <f>R2144/R2143-1</f>
        <v/>
      </c>
      <c r="T2144">
        <f>MAX(T2143,R2144)</f>
        <v/>
      </c>
      <c r="U2144">
        <f>R2144/T2144-1</f>
        <v/>
      </c>
      <c r="V2144" t="n">
        <v>3.743720977551629</v>
      </c>
      <c r="W2144" s="5">
        <f>R2144-V2144</f>
        <v/>
      </c>
    </row>
    <row r="2145">
      <c r="A2145" s="3" t="n">
        <v>41589</v>
      </c>
      <c r="B2145">
        <f>Prices!B2145</f>
        <v/>
      </c>
      <c r="C2145">
        <f>Prices!C2145</f>
        <v/>
      </c>
      <c r="D2145">
        <f>Prices!D2145</f>
        <v/>
      </c>
      <c r="E2145">
        <f>Prices!E2145</f>
        <v/>
      </c>
      <c r="F2145">
        <f>Prices!F2145</f>
        <v/>
      </c>
      <c r="G2145">
        <f>IF(AND(2143&gt;=16,TEXT(A2145,"yyyy-mm")&lt;&gt;TEXT(A2146,"yyyy-mm")),1,0)</f>
        <v/>
      </c>
      <c r="H2145">
        <f>IF(OR(H2144=1,G2145=1),1,0)</f>
        <v/>
      </c>
      <c r="I2145">
        <f>IF(H2144=0,1,SUMPRODUCT(J2144:N2144,B2145:F2145)+O2144*(1+0.00023125256064071564))</f>
        <v/>
      </c>
      <c r="J2145">
        <f>IF(G2145=1,0.2*R2145/B2145,J2144)</f>
        <v/>
      </c>
      <c r="K2145">
        <f>IF(G2145=1,0.2*R2145/C2145,K2144)</f>
        <v/>
      </c>
      <c r="L2145">
        <f>IF(G2145=1,0.2*R2145/D2145,L2144)</f>
        <v/>
      </c>
      <c r="M2145">
        <f>IF(G2145=1,0.2*R2145/E2145,M2144)</f>
        <v/>
      </c>
      <c r="N2145">
        <f>IF(G2145=1,0.2*R2145/F2145,N2144)</f>
        <v/>
      </c>
      <c r="O2145">
        <f>IF(G2145=1,R2145*(1-1.0),IF(H2144=0,1,O2144*(1+0.00023125256064071564)))</f>
        <v/>
      </c>
      <c r="P2145">
        <f>IF(G2145=1,IF(H2144=0,1,ABS(0.2-J2144*B2145/I2145)+ABS(0.2-K2144*C2145/I2145)+ABS(0.2-L2144*D2145/I2145)+ABS(0.2-M2144*E2145/I2145)+ABS(0.2-N2144*F2145/I2145)),0)</f>
        <v/>
      </c>
      <c r="Q2145">
        <f>P2145*0.0015</f>
        <v/>
      </c>
      <c r="R2145">
        <f>I2145*(1-Q2145)</f>
        <v/>
      </c>
      <c r="S2145">
        <f>R2145/R2144-1</f>
        <v/>
      </c>
      <c r="T2145">
        <f>MAX(T2144,R2145)</f>
        <v/>
      </c>
      <c r="U2145">
        <f>R2145/T2145-1</f>
        <v/>
      </c>
      <c r="V2145" t="n">
        <v>3.710654452612551</v>
      </c>
      <c r="W2145" s="5">
        <f>R2145-V2145</f>
        <v/>
      </c>
    </row>
    <row r="2146">
      <c r="A2146" s="3" t="n">
        <v>41590</v>
      </c>
      <c r="B2146">
        <f>Prices!B2146</f>
        <v/>
      </c>
      <c r="C2146">
        <f>Prices!C2146</f>
        <v/>
      </c>
      <c r="D2146">
        <f>Prices!D2146</f>
        <v/>
      </c>
      <c r="E2146">
        <f>Prices!E2146</f>
        <v/>
      </c>
      <c r="F2146">
        <f>Prices!F2146</f>
        <v/>
      </c>
      <c r="G2146">
        <f>IF(AND(2144&gt;=16,TEXT(A2146,"yyyy-mm")&lt;&gt;TEXT(A2147,"yyyy-mm")),1,0)</f>
        <v/>
      </c>
      <c r="H2146">
        <f>IF(OR(H2145=1,G2146=1),1,0)</f>
        <v/>
      </c>
      <c r="I2146">
        <f>IF(H2145=0,1,SUMPRODUCT(J2145:N2145,B2146:F2146)+O2145*(1+0.00023125256064071564))</f>
        <v/>
      </c>
      <c r="J2146">
        <f>IF(G2146=1,0.2*R2146/B2146,J2145)</f>
        <v/>
      </c>
      <c r="K2146">
        <f>IF(G2146=1,0.2*R2146/C2146,K2145)</f>
        <v/>
      </c>
      <c r="L2146">
        <f>IF(G2146=1,0.2*R2146/D2146,L2145)</f>
        <v/>
      </c>
      <c r="M2146">
        <f>IF(G2146=1,0.2*R2146/E2146,M2145)</f>
        <v/>
      </c>
      <c r="N2146">
        <f>IF(G2146=1,0.2*R2146/F2146,N2145)</f>
        <v/>
      </c>
      <c r="O2146">
        <f>IF(G2146=1,R2146*(1-1.0),IF(H2145=0,1,O2145*(1+0.00023125256064071564)))</f>
        <v/>
      </c>
      <c r="P2146">
        <f>IF(G2146=1,IF(H2145=0,1,ABS(0.2-J2145*B2146/I2146)+ABS(0.2-K2145*C2146/I2146)+ABS(0.2-L2145*D2146/I2146)+ABS(0.2-M2145*E2146/I2146)+ABS(0.2-N2145*F2146/I2146)),0)</f>
        <v/>
      </c>
      <c r="Q2146">
        <f>P2146*0.0015</f>
        <v/>
      </c>
      <c r="R2146">
        <f>I2146*(1-Q2146)</f>
        <v/>
      </c>
      <c r="S2146">
        <f>R2146/R2145-1</f>
        <v/>
      </c>
      <c r="T2146">
        <f>MAX(T2145,R2146)</f>
        <v/>
      </c>
      <c r="U2146">
        <f>R2146/T2146-1</f>
        <v/>
      </c>
      <c r="V2146" t="n">
        <v>3.686918006579073</v>
      </c>
      <c r="W2146" s="5">
        <f>R2146-V2146</f>
        <v/>
      </c>
    </row>
    <row r="2147">
      <c r="A2147" s="3" t="n">
        <v>41591</v>
      </c>
      <c r="B2147">
        <f>Prices!B2147</f>
        <v/>
      </c>
      <c r="C2147">
        <f>Prices!C2147</f>
        <v/>
      </c>
      <c r="D2147">
        <f>Prices!D2147</f>
        <v/>
      </c>
      <c r="E2147">
        <f>Prices!E2147</f>
        <v/>
      </c>
      <c r="F2147">
        <f>Prices!F2147</f>
        <v/>
      </c>
      <c r="G2147">
        <f>IF(AND(2145&gt;=16,TEXT(A2147,"yyyy-mm")&lt;&gt;TEXT(A2148,"yyyy-mm")),1,0)</f>
        <v/>
      </c>
      <c r="H2147">
        <f>IF(OR(H2146=1,G2147=1),1,0)</f>
        <v/>
      </c>
      <c r="I2147">
        <f>IF(H2146=0,1,SUMPRODUCT(J2146:N2146,B2147:F2147)+O2146*(1+0.00023125256064071564))</f>
        <v/>
      </c>
      <c r="J2147">
        <f>IF(G2147=1,0.2*R2147/B2147,J2146)</f>
        <v/>
      </c>
      <c r="K2147">
        <f>IF(G2147=1,0.2*R2147/C2147,K2146)</f>
        <v/>
      </c>
      <c r="L2147">
        <f>IF(G2147=1,0.2*R2147/D2147,L2146)</f>
        <v/>
      </c>
      <c r="M2147">
        <f>IF(G2147=1,0.2*R2147/E2147,M2146)</f>
        <v/>
      </c>
      <c r="N2147">
        <f>IF(G2147=1,0.2*R2147/F2147,N2146)</f>
        <v/>
      </c>
      <c r="O2147">
        <f>IF(G2147=1,R2147*(1-1.0),IF(H2146=0,1,O2146*(1+0.00023125256064071564)))</f>
        <v/>
      </c>
      <c r="P2147">
        <f>IF(G2147=1,IF(H2146=0,1,ABS(0.2-J2146*B2147/I2147)+ABS(0.2-K2146*C2147/I2147)+ABS(0.2-L2146*D2147/I2147)+ABS(0.2-M2146*E2147/I2147)+ABS(0.2-N2146*F2147/I2147)),0)</f>
        <v/>
      </c>
      <c r="Q2147">
        <f>P2147*0.0015</f>
        <v/>
      </c>
      <c r="R2147">
        <f>I2147*(1-Q2147)</f>
        <v/>
      </c>
      <c r="S2147">
        <f>R2147/R2146-1</f>
        <v/>
      </c>
      <c r="T2147">
        <f>MAX(T2146,R2147)</f>
        <v/>
      </c>
      <c r="U2147">
        <f>R2147/T2147-1</f>
        <v/>
      </c>
      <c r="V2147" t="n">
        <v>3.668043110728045</v>
      </c>
      <c r="W2147" s="5">
        <f>R2147-V2147</f>
        <v/>
      </c>
    </row>
    <row r="2148">
      <c r="A2148" s="3" t="n">
        <v>41592</v>
      </c>
      <c r="B2148">
        <f>Prices!B2148</f>
        <v/>
      </c>
      <c r="C2148">
        <f>Prices!C2148</f>
        <v/>
      </c>
      <c r="D2148">
        <f>Prices!D2148</f>
        <v/>
      </c>
      <c r="E2148">
        <f>Prices!E2148</f>
        <v/>
      </c>
      <c r="F2148">
        <f>Prices!F2148</f>
        <v/>
      </c>
      <c r="G2148">
        <f>IF(AND(2146&gt;=16,TEXT(A2148,"yyyy-mm")&lt;&gt;TEXT(A2149,"yyyy-mm")),1,0)</f>
        <v/>
      </c>
      <c r="H2148">
        <f>IF(OR(H2147=1,G2148=1),1,0)</f>
        <v/>
      </c>
      <c r="I2148">
        <f>IF(H2147=0,1,SUMPRODUCT(J2147:N2147,B2148:F2148)+O2147*(1+0.00023125256064071564))</f>
        <v/>
      </c>
      <c r="J2148">
        <f>IF(G2148=1,0.2*R2148/B2148,J2147)</f>
        <v/>
      </c>
      <c r="K2148">
        <f>IF(G2148=1,0.2*R2148/C2148,K2147)</f>
        <v/>
      </c>
      <c r="L2148">
        <f>IF(G2148=1,0.2*R2148/D2148,L2147)</f>
        <v/>
      </c>
      <c r="M2148">
        <f>IF(G2148=1,0.2*R2148/E2148,M2147)</f>
        <v/>
      </c>
      <c r="N2148">
        <f>IF(G2148=1,0.2*R2148/F2148,N2147)</f>
        <v/>
      </c>
      <c r="O2148">
        <f>IF(G2148=1,R2148*(1-1.0),IF(H2147=0,1,O2147*(1+0.00023125256064071564)))</f>
        <v/>
      </c>
      <c r="P2148">
        <f>IF(G2148=1,IF(H2147=0,1,ABS(0.2-J2147*B2148/I2148)+ABS(0.2-K2147*C2148/I2148)+ABS(0.2-L2147*D2148/I2148)+ABS(0.2-M2147*E2148/I2148)+ABS(0.2-N2147*F2148/I2148)),0)</f>
        <v/>
      </c>
      <c r="Q2148">
        <f>P2148*0.0015</f>
        <v/>
      </c>
      <c r="R2148">
        <f>I2148*(1-Q2148)</f>
        <v/>
      </c>
      <c r="S2148">
        <f>R2148/R2147-1</f>
        <v/>
      </c>
      <c r="T2148">
        <f>MAX(T2147,R2148)</f>
        <v/>
      </c>
      <c r="U2148">
        <f>R2148/T2148-1</f>
        <v/>
      </c>
      <c r="V2148" t="n">
        <v>3.696725793759606</v>
      </c>
      <c r="W2148" s="5">
        <f>R2148-V2148</f>
        <v/>
      </c>
    </row>
    <row r="2149">
      <c r="A2149" s="3" t="n">
        <v>41596</v>
      </c>
      <c r="B2149">
        <f>Prices!B2149</f>
        <v/>
      </c>
      <c r="C2149">
        <f>Prices!C2149</f>
        <v/>
      </c>
      <c r="D2149">
        <f>Prices!D2149</f>
        <v/>
      </c>
      <c r="E2149">
        <f>Prices!E2149</f>
        <v/>
      </c>
      <c r="F2149">
        <f>Prices!F2149</f>
        <v/>
      </c>
      <c r="G2149">
        <f>IF(AND(2147&gt;=16,TEXT(A2149,"yyyy-mm")&lt;&gt;TEXT(A2150,"yyyy-mm")),1,0)</f>
        <v/>
      </c>
      <c r="H2149">
        <f>IF(OR(H2148=1,G2149=1),1,0)</f>
        <v/>
      </c>
      <c r="I2149">
        <f>IF(H2148=0,1,SUMPRODUCT(J2148:N2148,B2149:F2149)+O2148*(1+0.00023125256064071564))</f>
        <v/>
      </c>
      <c r="J2149">
        <f>IF(G2149=1,0.2*R2149/B2149,J2148)</f>
        <v/>
      </c>
      <c r="K2149">
        <f>IF(G2149=1,0.2*R2149/C2149,K2148)</f>
        <v/>
      </c>
      <c r="L2149">
        <f>IF(G2149=1,0.2*R2149/D2149,L2148)</f>
        <v/>
      </c>
      <c r="M2149">
        <f>IF(G2149=1,0.2*R2149/E2149,M2148)</f>
        <v/>
      </c>
      <c r="N2149">
        <f>IF(G2149=1,0.2*R2149/F2149,N2148)</f>
        <v/>
      </c>
      <c r="O2149">
        <f>IF(G2149=1,R2149*(1-1.0),IF(H2148=0,1,O2148*(1+0.00023125256064071564)))</f>
        <v/>
      </c>
      <c r="P2149">
        <f>IF(G2149=1,IF(H2148=0,1,ABS(0.2-J2148*B2149/I2149)+ABS(0.2-K2148*C2149/I2149)+ABS(0.2-L2148*D2149/I2149)+ABS(0.2-M2148*E2149/I2149)+ABS(0.2-N2148*F2149/I2149)),0)</f>
        <v/>
      </c>
      <c r="Q2149">
        <f>P2149*0.0015</f>
        <v/>
      </c>
      <c r="R2149">
        <f>I2149*(1-Q2149)</f>
        <v/>
      </c>
      <c r="S2149">
        <f>R2149/R2148-1</f>
        <v/>
      </c>
      <c r="T2149">
        <f>MAX(T2148,R2149)</f>
        <v/>
      </c>
      <c r="U2149">
        <f>R2149/T2149-1</f>
        <v/>
      </c>
      <c r="V2149" t="n">
        <v>3.743923379638732</v>
      </c>
      <c r="W2149" s="5">
        <f>R2149-V2149</f>
        <v/>
      </c>
    </row>
    <row r="2150">
      <c r="A2150" s="3" t="n">
        <v>41597</v>
      </c>
      <c r="B2150">
        <f>Prices!B2150</f>
        <v/>
      </c>
      <c r="C2150">
        <f>Prices!C2150</f>
        <v/>
      </c>
      <c r="D2150">
        <f>Prices!D2150</f>
        <v/>
      </c>
      <c r="E2150">
        <f>Prices!E2150</f>
        <v/>
      </c>
      <c r="F2150">
        <f>Prices!F2150</f>
        <v/>
      </c>
      <c r="G2150">
        <f>IF(AND(2148&gt;=16,TEXT(A2150,"yyyy-mm")&lt;&gt;TEXT(A2151,"yyyy-mm")),1,0)</f>
        <v/>
      </c>
      <c r="H2150">
        <f>IF(OR(H2149=1,G2150=1),1,0)</f>
        <v/>
      </c>
      <c r="I2150">
        <f>IF(H2149=0,1,SUMPRODUCT(J2149:N2149,B2150:F2150)+O2149*(1+0.00023125256064071564))</f>
        <v/>
      </c>
      <c r="J2150">
        <f>IF(G2150=1,0.2*R2150/B2150,J2149)</f>
        <v/>
      </c>
      <c r="K2150">
        <f>IF(G2150=1,0.2*R2150/C2150,K2149)</f>
        <v/>
      </c>
      <c r="L2150">
        <f>IF(G2150=1,0.2*R2150/D2150,L2149)</f>
        <v/>
      </c>
      <c r="M2150">
        <f>IF(G2150=1,0.2*R2150/E2150,M2149)</f>
        <v/>
      </c>
      <c r="N2150">
        <f>IF(G2150=1,0.2*R2150/F2150,N2149)</f>
        <v/>
      </c>
      <c r="O2150">
        <f>IF(G2150=1,R2150*(1-1.0),IF(H2149=0,1,O2149*(1+0.00023125256064071564)))</f>
        <v/>
      </c>
      <c r="P2150">
        <f>IF(G2150=1,IF(H2149=0,1,ABS(0.2-J2149*B2150/I2150)+ABS(0.2-K2149*C2150/I2150)+ABS(0.2-L2149*D2150/I2150)+ABS(0.2-M2149*E2150/I2150)+ABS(0.2-N2149*F2150/I2150)),0)</f>
        <v/>
      </c>
      <c r="Q2150">
        <f>P2150*0.0015</f>
        <v/>
      </c>
      <c r="R2150">
        <f>I2150*(1-Q2150)</f>
        <v/>
      </c>
      <c r="S2150">
        <f>R2150/R2149-1</f>
        <v/>
      </c>
      <c r="T2150">
        <f>MAX(T2149,R2150)</f>
        <v/>
      </c>
      <c r="U2150">
        <f>R2150/T2150-1</f>
        <v/>
      </c>
      <c r="V2150" t="n">
        <v>3.750825103529211</v>
      </c>
      <c r="W2150" s="5">
        <f>R2150-V2150</f>
        <v/>
      </c>
    </row>
    <row r="2151">
      <c r="A2151" s="3" t="n">
        <v>41598</v>
      </c>
      <c r="B2151">
        <f>Prices!B2151</f>
        <v/>
      </c>
      <c r="C2151">
        <f>Prices!C2151</f>
        <v/>
      </c>
      <c r="D2151">
        <f>Prices!D2151</f>
        <v/>
      </c>
      <c r="E2151">
        <f>Prices!E2151</f>
        <v/>
      </c>
      <c r="F2151">
        <f>Prices!F2151</f>
        <v/>
      </c>
      <c r="G2151">
        <f>IF(AND(2149&gt;=16,TEXT(A2151,"yyyy-mm")&lt;&gt;TEXT(A2152,"yyyy-mm")),1,0)</f>
        <v/>
      </c>
      <c r="H2151">
        <f>IF(OR(H2150=1,G2151=1),1,0)</f>
        <v/>
      </c>
      <c r="I2151">
        <f>IF(H2150=0,1,SUMPRODUCT(J2150:N2150,B2151:F2151)+O2150*(1+0.00023125256064071564))</f>
        <v/>
      </c>
      <c r="J2151">
        <f>IF(G2151=1,0.2*R2151/B2151,J2150)</f>
        <v/>
      </c>
      <c r="K2151">
        <f>IF(G2151=1,0.2*R2151/C2151,K2150)</f>
        <v/>
      </c>
      <c r="L2151">
        <f>IF(G2151=1,0.2*R2151/D2151,L2150)</f>
        <v/>
      </c>
      <c r="M2151">
        <f>IF(G2151=1,0.2*R2151/E2151,M2150)</f>
        <v/>
      </c>
      <c r="N2151">
        <f>IF(G2151=1,0.2*R2151/F2151,N2150)</f>
        <v/>
      </c>
      <c r="O2151">
        <f>IF(G2151=1,R2151*(1-1.0),IF(H2150=0,1,O2150*(1+0.00023125256064071564)))</f>
        <v/>
      </c>
      <c r="P2151">
        <f>IF(G2151=1,IF(H2150=0,1,ABS(0.2-J2150*B2151/I2151)+ABS(0.2-K2150*C2151/I2151)+ABS(0.2-L2150*D2151/I2151)+ABS(0.2-M2150*E2151/I2151)+ABS(0.2-N2150*F2151/I2151)),0)</f>
        <v/>
      </c>
      <c r="Q2151">
        <f>P2151*0.0015</f>
        <v/>
      </c>
      <c r="R2151">
        <f>I2151*(1-Q2151)</f>
        <v/>
      </c>
      <c r="S2151">
        <f>R2151/R2150-1</f>
        <v/>
      </c>
      <c r="T2151">
        <f>MAX(T2150,R2151)</f>
        <v/>
      </c>
      <c r="U2151">
        <f>R2151/T2151-1</f>
        <v/>
      </c>
      <c r="V2151" t="n">
        <v>3.72357446549827</v>
      </c>
      <c r="W2151" s="5">
        <f>R2151-V2151</f>
        <v/>
      </c>
    </row>
    <row r="2152">
      <c r="A2152" s="3" t="n">
        <v>41599</v>
      </c>
      <c r="B2152">
        <f>Prices!B2152</f>
        <v/>
      </c>
      <c r="C2152">
        <f>Prices!C2152</f>
        <v/>
      </c>
      <c r="D2152">
        <f>Prices!D2152</f>
        <v/>
      </c>
      <c r="E2152">
        <f>Prices!E2152</f>
        <v/>
      </c>
      <c r="F2152">
        <f>Prices!F2152</f>
        <v/>
      </c>
      <c r="G2152">
        <f>IF(AND(2150&gt;=16,TEXT(A2152,"yyyy-mm")&lt;&gt;TEXT(A2153,"yyyy-mm")),1,0)</f>
        <v/>
      </c>
      <c r="H2152">
        <f>IF(OR(H2151=1,G2152=1),1,0)</f>
        <v/>
      </c>
      <c r="I2152">
        <f>IF(H2151=0,1,SUMPRODUCT(J2151:N2151,B2152:F2152)+O2151*(1+0.00023125256064071564))</f>
        <v/>
      </c>
      <c r="J2152">
        <f>IF(G2152=1,0.2*R2152/B2152,J2151)</f>
        <v/>
      </c>
      <c r="K2152">
        <f>IF(G2152=1,0.2*R2152/C2152,K2151)</f>
        <v/>
      </c>
      <c r="L2152">
        <f>IF(G2152=1,0.2*R2152/D2152,L2151)</f>
        <v/>
      </c>
      <c r="M2152">
        <f>IF(G2152=1,0.2*R2152/E2152,M2151)</f>
        <v/>
      </c>
      <c r="N2152">
        <f>IF(G2152=1,0.2*R2152/F2152,N2151)</f>
        <v/>
      </c>
      <c r="O2152">
        <f>IF(G2152=1,R2152*(1-1.0),IF(H2151=0,1,O2151*(1+0.00023125256064071564)))</f>
        <v/>
      </c>
      <c r="P2152">
        <f>IF(G2152=1,IF(H2151=0,1,ABS(0.2-J2151*B2152/I2152)+ABS(0.2-K2151*C2152/I2152)+ABS(0.2-L2151*D2152/I2152)+ABS(0.2-M2151*E2152/I2152)+ABS(0.2-N2151*F2152/I2152)),0)</f>
        <v/>
      </c>
      <c r="Q2152">
        <f>P2152*0.0015</f>
        <v/>
      </c>
      <c r="R2152">
        <f>I2152*(1-Q2152)</f>
        <v/>
      </c>
      <c r="S2152">
        <f>R2152/R2151-1</f>
        <v/>
      </c>
      <c r="T2152">
        <f>MAX(T2151,R2152)</f>
        <v/>
      </c>
      <c r="U2152">
        <f>R2152/T2152-1</f>
        <v/>
      </c>
      <c r="V2152" t="n">
        <v>3.66469104075255</v>
      </c>
      <c r="W2152" s="5">
        <f>R2152-V2152</f>
        <v/>
      </c>
    </row>
    <row r="2153">
      <c r="A2153" s="3" t="n">
        <v>41600</v>
      </c>
      <c r="B2153">
        <f>Prices!B2153</f>
        <v/>
      </c>
      <c r="C2153">
        <f>Prices!C2153</f>
        <v/>
      </c>
      <c r="D2153">
        <f>Prices!D2153</f>
        <v/>
      </c>
      <c r="E2153">
        <f>Prices!E2153</f>
        <v/>
      </c>
      <c r="F2153">
        <f>Prices!F2153</f>
        <v/>
      </c>
      <c r="G2153">
        <f>IF(AND(2151&gt;=16,TEXT(A2153,"yyyy-mm")&lt;&gt;TEXT(A2154,"yyyy-mm")),1,0)</f>
        <v/>
      </c>
      <c r="H2153">
        <f>IF(OR(H2152=1,G2153=1),1,0)</f>
        <v/>
      </c>
      <c r="I2153">
        <f>IF(H2152=0,1,SUMPRODUCT(J2152:N2152,B2153:F2153)+O2152*(1+0.00023125256064071564))</f>
        <v/>
      </c>
      <c r="J2153">
        <f>IF(G2153=1,0.2*R2153/B2153,J2152)</f>
        <v/>
      </c>
      <c r="K2153">
        <f>IF(G2153=1,0.2*R2153/C2153,K2152)</f>
        <v/>
      </c>
      <c r="L2153">
        <f>IF(G2153=1,0.2*R2153/D2153,L2152)</f>
        <v/>
      </c>
      <c r="M2153">
        <f>IF(G2153=1,0.2*R2153/E2153,M2152)</f>
        <v/>
      </c>
      <c r="N2153">
        <f>IF(G2153=1,0.2*R2153/F2153,N2152)</f>
        <v/>
      </c>
      <c r="O2153">
        <f>IF(G2153=1,R2153*(1-1.0),IF(H2152=0,1,O2152*(1+0.00023125256064071564)))</f>
        <v/>
      </c>
      <c r="P2153">
        <f>IF(G2153=1,IF(H2152=0,1,ABS(0.2-J2152*B2153/I2153)+ABS(0.2-K2152*C2153/I2153)+ABS(0.2-L2152*D2153/I2153)+ABS(0.2-M2152*E2153/I2153)+ABS(0.2-N2152*F2153/I2153)),0)</f>
        <v/>
      </c>
      <c r="Q2153">
        <f>P2153*0.0015</f>
        <v/>
      </c>
      <c r="R2153">
        <f>I2153*(1-Q2153)</f>
        <v/>
      </c>
      <c r="S2153">
        <f>R2153/R2152-1</f>
        <v/>
      </c>
      <c r="T2153">
        <f>MAX(T2152,R2153)</f>
        <v/>
      </c>
      <c r="U2153">
        <f>R2153/T2153-1</f>
        <v/>
      </c>
      <c r="V2153" t="n">
        <v>3.661605763037096</v>
      </c>
      <c r="W2153" s="5">
        <f>R2153-V2153</f>
        <v/>
      </c>
    </row>
    <row r="2154">
      <c r="A2154" s="3" t="n">
        <v>41603</v>
      </c>
      <c r="B2154">
        <f>Prices!B2154</f>
        <v/>
      </c>
      <c r="C2154">
        <f>Prices!C2154</f>
        <v/>
      </c>
      <c r="D2154">
        <f>Prices!D2154</f>
        <v/>
      </c>
      <c r="E2154">
        <f>Prices!E2154</f>
        <v/>
      </c>
      <c r="F2154">
        <f>Prices!F2154</f>
        <v/>
      </c>
      <c r="G2154">
        <f>IF(AND(2152&gt;=16,TEXT(A2154,"yyyy-mm")&lt;&gt;TEXT(A2155,"yyyy-mm")),1,0)</f>
        <v/>
      </c>
      <c r="H2154">
        <f>IF(OR(H2153=1,G2154=1),1,0)</f>
        <v/>
      </c>
      <c r="I2154">
        <f>IF(H2153=0,1,SUMPRODUCT(J2153:N2153,B2154:F2154)+O2153*(1+0.00023125256064071564))</f>
        <v/>
      </c>
      <c r="J2154">
        <f>IF(G2154=1,0.2*R2154/B2154,J2153)</f>
        <v/>
      </c>
      <c r="K2154">
        <f>IF(G2154=1,0.2*R2154/C2154,K2153)</f>
        <v/>
      </c>
      <c r="L2154">
        <f>IF(G2154=1,0.2*R2154/D2154,L2153)</f>
        <v/>
      </c>
      <c r="M2154">
        <f>IF(G2154=1,0.2*R2154/E2154,M2153)</f>
        <v/>
      </c>
      <c r="N2154">
        <f>IF(G2154=1,0.2*R2154/F2154,N2153)</f>
        <v/>
      </c>
      <c r="O2154">
        <f>IF(G2154=1,R2154*(1-1.0),IF(H2153=0,1,O2153*(1+0.00023125256064071564)))</f>
        <v/>
      </c>
      <c r="P2154">
        <f>IF(G2154=1,IF(H2153=0,1,ABS(0.2-J2153*B2154/I2154)+ABS(0.2-K2153*C2154/I2154)+ABS(0.2-L2153*D2154/I2154)+ABS(0.2-M2153*E2154/I2154)+ABS(0.2-N2153*F2154/I2154)),0)</f>
        <v/>
      </c>
      <c r="Q2154">
        <f>P2154*0.0015</f>
        <v/>
      </c>
      <c r="R2154">
        <f>I2154*(1-Q2154)</f>
        <v/>
      </c>
      <c r="S2154">
        <f>R2154/R2153-1</f>
        <v/>
      </c>
      <c r="T2154">
        <f>MAX(T2153,R2154)</f>
        <v/>
      </c>
      <c r="U2154">
        <f>R2154/T2154-1</f>
        <v/>
      </c>
      <c r="V2154" t="n">
        <v>3.707007710212986</v>
      </c>
      <c r="W2154" s="5">
        <f>R2154-V2154</f>
        <v/>
      </c>
    </row>
    <row r="2155">
      <c r="A2155" s="3" t="n">
        <v>41604</v>
      </c>
      <c r="B2155">
        <f>Prices!B2155</f>
        <v/>
      </c>
      <c r="C2155">
        <f>Prices!C2155</f>
        <v/>
      </c>
      <c r="D2155">
        <f>Prices!D2155</f>
        <v/>
      </c>
      <c r="E2155">
        <f>Prices!E2155</f>
        <v/>
      </c>
      <c r="F2155">
        <f>Prices!F2155</f>
        <v/>
      </c>
      <c r="G2155">
        <f>IF(AND(2153&gt;=16,TEXT(A2155,"yyyy-mm")&lt;&gt;TEXT(A2156,"yyyy-mm")),1,0)</f>
        <v/>
      </c>
      <c r="H2155">
        <f>IF(OR(H2154=1,G2155=1),1,0)</f>
        <v/>
      </c>
      <c r="I2155">
        <f>IF(H2154=0,1,SUMPRODUCT(J2154:N2154,B2155:F2155)+O2154*(1+0.00023125256064071564))</f>
        <v/>
      </c>
      <c r="J2155">
        <f>IF(G2155=1,0.2*R2155/B2155,J2154)</f>
        <v/>
      </c>
      <c r="K2155">
        <f>IF(G2155=1,0.2*R2155/C2155,K2154)</f>
        <v/>
      </c>
      <c r="L2155">
        <f>IF(G2155=1,0.2*R2155/D2155,L2154)</f>
        <v/>
      </c>
      <c r="M2155">
        <f>IF(G2155=1,0.2*R2155/E2155,M2154)</f>
        <v/>
      </c>
      <c r="N2155">
        <f>IF(G2155=1,0.2*R2155/F2155,N2154)</f>
        <v/>
      </c>
      <c r="O2155">
        <f>IF(G2155=1,R2155*(1-1.0),IF(H2154=0,1,O2154*(1+0.00023125256064071564)))</f>
        <v/>
      </c>
      <c r="P2155">
        <f>IF(G2155=1,IF(H2154=0,1,ABS(0.2-J2154*B2155/I2155)+ABS(0.2-K2154*C2155/I2155)+ABS(0.2-L2154*D2155/I2155)+ABS(0.2-M2154*E2155/I2155)+ABS(0.2-N2154*F2155/I2155)),0)</f>
        <v/>
      </c>
      <c r="Q2155">
        <f>P2155*0.0015</f>
        <v/>
      </c>
      <c r="R2155">
        <f>I2155*(1-Q2155)</f>
        <v/>
      </c>
      <c r="S2155">
        <f>R2155/R2154-1</f>
        <v/>
      </c>
      <c r="T2155">
        <f>MAX(T2154,R2155)</f>
        <v/>
      </c>
      <c r="U2155">
        <f>R2155/T2155-1</f>
        <v/>
      </c>
      <c r="V2155" t="n">
        <v>3.683259948892469</v>
      </c>
      <c r="W2155" s="5">
        <f>R2155-V2155</f>
        <v/>
      </c>
    </row>
    <row r="2156">
      <c r="A2156" s="3" t="n">
        <v>41605</v>
      </c>
      <c r="B2156">
        <f>Prices!B2156</f>
        <v/>
      </c>
      <c r="C2156">
        <f>Prices!C2156</f>
        <v/>
      </c>
      <c r="D2156">
        <f>Prices!D2156</f>
        <v/>
      </c>
      <c r="E2156">
        <f>Prices!E2156</f>
        <v/>
      </c>
      <c r="F2156">
        <f>Prices!F2156</f>
        <v/>
      </c>
      <c r="G2156">
        <f>IF(AND(2154&gt;=16,TEXT(A2156,"yyyy-mm")&lt;&gt;TEXT(A2157,"yyyy-mm")),1,0)</f>
        <v/>
      </c>
      <c r="H2156">
        <f>IF(OR(H2155=1,G2156=1),1,0)</f>
        <v/>
      </c>
      <c r="I2156">
        <f>IF(H2155=0,1,SUMPRODUCT(J2155:N2155,B2156:F2156)+O2155*(1+0.00023125256064071564))</f>
        <v/>
      </c>
      <c r="J2156">
        <f>IF(G2156=1,0.2*R2156/B2156,J2155)</f>
        <v/>
      </c>
      <c r="K2156">
        <f>IF(G2156=1,0.2*R2156/C2156,K2155)</f>
        <v/>
      </c>
      <c r="L2156">
        <f>IF(G2156=1,0.2*R2156/D2156,L2155)</f>
        <v/>
      </c>
      <c r="M2156">
        <f>IF(G2156=1,0.2*R2156/E2156,M2155)</f>
        <v/>
      </c>
      <c r="N2156">
        <f>IF(G2156=1,0.2*R2156/F2156,N2155)</f>
        <v/>
      </c>
      <c r="O2156">
        <f>IF(G2156=1,R2156*(1-1.0),IF(H2155=0,1,O2155*(1+0.00023125256064071564)))</f>
        <v/>
      </c>
      <c r="P2156">
        <f>IF(G2156=1,IF(H2155=0,1,ABS(0.2-J2155*B2156/I2156)+ABS(0.2-K2155*C2156/I2156)+ABS(0.2-L2155*D2156/I2156)+ABS(0.2-M2155*E2156/I2156)+ABS(0.2-N2155*F2156/I2156)),0)</f>
        <v/>
      </c>
      <c r="Q2156">
        <f>P2156*0.0015</f>
        <v/>
      </c>
      <c r="R2156">
        <f>I2156*(1-Q2156)</f>
        <v/>
      </c>
      <c r="S2156">
        <f>R2156/R2155-1</f>
        <v/>
      </c>
      <c r="T2156">
        <f>MAX(T2155,R2156)</f>
        <v/>
      </c>
      <c r="U2156">
        <f>R2156/T2156-1</f>
        <v/>
      </c>
      <c r="V2156" t="n">
        <v>3.691589690635695</v>
      </c>
      <c r="W2156" s="5">
        <f>R2156-V2156</f>
        <v/>
      </c>
    </row>
    <row r="2157">
      <c r="A2157" s="3" t="n">
        <v>41606</v>
      </c>
      <c r="B2157">
        <f>Prices!B2157</f>
        <v/>
      </c>
      <c r="C2157">
        <f>Prices!C2157</f>
        <v/>
      </c>
      <c r="D2157">
        <f>Prices!D2157</f>
        <v/>
      </c>
      <c r="E2157">
        <f>Prices!E2157</f>
        <v/>
      </c>
      <c r="F2157">
        <f>Prices!F2157</f>
        <v/>
      </c>
      <c r="G2157">
        <f>IF(AND(2155&gt;=16,TEXT(A2157,"yyyy-mm")&lt;&gt;TEXT(A2158,"yyyy-mm")),1,0)</f>
        <v/>
      </c>
      <c r="H2157">
        <f>IF(OR(H2156=1,G2157=1),1,0)</f>
        <v/>
      </c>
      <c r="I2157">
        <f>IF(H2156=0,1,SUMPRODUCT(J2156:N2156,B2157:F2157)+O2156*(1+0.00023125256064071564))</f>
        <v/>
      </c>
      <c r="J2157">
        <f>IF(G2157=1,0.2*R2157/B2157,J2156)</f>
        <v/>
      </c>
      <c r="K2157">
        <f>IF(G2157=1,0.2*R2157/C2157,K2156)</f>
        <v/>
      </c>
      <c r="L2157">
        <f>IF(G2157=1,0.2*R2157/D2157,L2156)</f>
        <v/>
      </c>
      <c r="M2157">
        <f>IF(G2157=1,0.2*R2157/E2157,M2156)</f>
        <v/>
      </c>
      <c r="N2157">
        <f>IF(G2157=1,0.2*R2157/F2157,N2156)</f>
        <v/>
      </c>
      <c r="O2157">
        <f>IF(G2157=1,R2157*(1-1.0),IF(H2156=0,1,O2156*(1+0.00023125256064071564)))</f>
        <v/>
      </c>
      <c r="P2157">
        <f>IF(G2157=1,IF(H2156=0,1,ABS(0.2-J2156*B2157/I2157)+ABS(0.2-K2156*C2157/I2157)+ABS(0.2-L2156*D2157/I2157)+ABS(0.2-M2156*E2157/I2157)+ABS(0.2-N2156*F2157/I2157)),0)</f>
        <v/>
      </c>
      <c r="Q2157">
        <f>P2157*0.0015</f>
        <v/>
      </c>
      <c r="R2157">
        <f>I2157*(1-Q2157)</f>
        <v/>
      </c>
      <c r="S2157">
        <f>R2157/R2156-1</f>
        <v/>
      </c>
      <c r="T2157">
        <f>MAX(T2156,R2157)</f>
        <v/>
      </c>
      <c r="U2157">
        <f>R2157/T2157-1</f>
        <v/>
      </c>
      <c r="V2157" t="n">
        <v>3.712221890463191</v>
      </c>
      <c r="W2157" s="5">
        <f>R2157-V2157</f>
        <v/>
      </c>
    </row>
    <row r="2158">
      <c r="A2158" s="3" t="n">
        <v>41607</v>
      </c>
      <c r="B2158">
        <f>Prices!B2158</f>
        <v/>
      </c>
      <c r="C2158">
        <f>Prices!C2158</f>
        <v/>
      </c>
      <c r="D2158">
        <f>Prices!D2158</f>
        <v/>
      </c>
      <c r="E2158">
        <f>Prices!E2158</f>
        <v/>
      </c>
      <c r="F2158">
        <f>Prices!F2158</f>
        <v/>
      </c>
      <c r="G2158">
        <f>IF(AND(2156&gt;=16,TEXT(A2158,"yyyy-mm")&lt;&gt;TEXT(A2159,"yyyy-mm")),1,0)</f>
        <v/>
      </c>
      <c r="H2158">
        <f>IF(OR(H2157=1,G2158=1),1,0)</f>
        <v/>
      </c>
      <c r="I2158">
        <f>IF(H2157=0,1,SUMPRODUCT(J2157:N2157,B2158:F2158)+O2157*(1+0.00023125256064071564))</f>
        <v/>
      </c>
      <c r="J2158">
        <f>IF(G2158=1,0.2*R2158/B2158,J2157)</f>
        <v/>
      </c>
      <c r="K2158">
        <f>IF(G2158=1,0.2*R2158/C2158,K2157)</f>
        <v/>
      </c>
      <c r="L2158">
        <f>IF(G2158=1,0.2*R2158/D2158,L2157)</f>
        <v/>
      </c>
      <c r="M2158">
        <f>IF(G2158=1,0.2*R2158/E2158,M2157)</f>
        <v/>
      </c>
      <c r="N2158">
        <f>IF(G2158=1,0.2*R2158/F2158,N2157)</f>
        <v/>
      </c>
      <c r="O2158">
        <f>IF(G2158=1,R2158*(1-1.0),IF(H2157=0,1,O2157*(1+0.00023125256064071564)))</f>
        <v/>
      </c>
      <c r="P2158">
        <f>IF(G2158=1,IF(H2157=0,1,ABS(0.2-J2157*B2158/I2158)+ABS(0.2-K2157*C2158/I2158)+ABS(0.2-L2157*D2158/I2158)+ABS(0.2-M2157*E2158/I2158)+ABS(0.2-N2157*F2158/I2158)),0)</f>
        <v/>
      </c>
      <c r="Q2158">
        <f>P2158*0.0015</f>
        <v/>
      </c>
      <c r="R2158">
        <f>I2158*(1-Q2158)</f>
        <v/>
      </c>
      <c r="S2158">
        <f>R2158/R2157-1</f>
        <v/>
      </c>
      <c r="T2158">
        <f>MAX(T2157,R2158)</f>
        <v/>
      </c>
      <c r="U2158">
        <f>R2158/T2158-1</f>
        <v/>
      </c>
      <c r="V2158" t="n">
        <v>3.746461707799407</v>
      </c>
      <c r="W2158" s="5">
        <f>R2158-V2158</f>
        <v/>
      </c>
    </row>
    <row r="2159">
      <c r="A2159" s="3" t="n">
        <v>41610</v>
      </c>
      <c r="B2159">
        <f>Prices!B2159</f>
        <v/>
      </c>
      <c r="C2159">
        <f>Prices!C2159</f>
        <v/>
      </c>
      <c r="D2159">
        <f>Prices!D2159</f>
        <v/>
      </c>
      <c r="E2159">
        <f>Prices!E2159</f>
        <v/>
      </c>
      <c r="F2159">
        <f>Prices!F2159</f>
        <v/>
      </c>
      <c r="G2159">
        <f>IF(AND(2157&gt;=16,TEXT(A2159,"yyyy-mm")&lt;&gt;TEXT(A2160,"yyyy-mm")),1,0)</f>
        <v/>
      </c>
      <c r="H2159">
        <f>IF(OR(H2158=1,G2159=1),1,0)</f>
        <v/>
      </c>
      <c r="I2159">
        <f>IF(H2158=0,1,SUMPRODUCT(J2158:N2158,B2159:F2159)+O2158*(1+0.00023125256064071564))</f>
        <v/>
      </c>
      <c r="J2159">
        <f>IF(G2159=1,0.2*R2159/B2159,J2158)</f>
        <v/>
      </c>
      <c r="K2159">
        <f>IF(G2159=1,0.2*R2159/C2159,K2158)</f>
        <v/>
      </c>
      <c r="L2159">
        <f>IF(G2159=1,0.2*R2159/D2159,L2158)</f>
        <v/>
      </c>
      <c r="M2159">
        <f>IF(G2159=1,0.2*R2159/E2159,M2158)</f>
        <v/>
      </c>
      <c r="N2159">
        <f>IF(G2159=1,0.2*R2159/F2159,N2158)</f>
        <v/>
      </c>
      <c r="O2159">
        <f>IF(G2159=1,R2159*(1-1.0),IF(H2158=0,1,O2158*(1+0.00023125256064071564)))</f>
        <v/>
      </c>
      <c r="P2159">
        <f>IF(G2159=1,IF(H2158=0,1,ABS(0.2-J2158*B2159/I2159)+ABS(0.2-K2158*C2159/I2159)+ABS(0.2-L2158*D2159/I2159)+ABS(0.2-M2158*E2159/I2159)+ABS(0.2-N2158*F2159/I2159)),0)</f>
        <v/>
      </c>
      <c r="Q2159">
        <f>P2159*0.0015</f>
        <v/>
      </c>
      <c r="R2159">
        <f>I2159*(1-Q2159)</f>
        <v/>
      </c>
      <c r="S2159">
        <f>R2159/R2158-1</f>
        <v/>
      </c>
      <c r="T2159">
        <f>MAX(T2158,R2159)</f>
        <v/>
      </c>
      <c r="U2159">
        <f>R2159/T2159-1</f>
        <v/>
      </c>
      <c r="V2159" t="n">
        <v>3.785813870242858</v>
      </c>
      <c r="W2159" s="5">
        <f>R2159-V2159</f>
        <v/>
      </c>
    </row>
    <row r="2160">
      <c r="A2160" s="3" t="n">
        <v>41611</v>
      </c>
      <c r="B2160">
        <f>Prices!B2160</f>
        <v/>
      </c>
      <c r="C2160">
        <f>Prices!C2160</f>
        <v/>
      </c>
      <c r="D2160">
        <f>Prices!D2160</f>
        <v/>
      </c>
      <c r="E2160">
        <f>Prices!E2160</f>
        <v/>
      </c>
      <c r="F2160">
        <f>Prices!F2160</f>
        <v/>
      </c>
      <c r="G2160">
        <f>IF(AND(2158&gt;=16,TEXT(A2160,"yyyy-mm")&lt;&gt;TEXT(A2161,"yyyy-mm")),1,0)</f>
        <v/>
      </c>
      <c r="H2160">
        <f>IF(OR(H2159=1,G2160=1),1,0)</f>
        <v/>
      </c>
      <c r="I2160">
        <f>IF(H2159=0,1,SUMPRODUCT(J2159:N2159,B2160:F2160)+O2159*(1+0.00023125256064071564))</f>
        <v/>
      </c>
      <c r="J2160">
        <f>IF(G2160=1,0.2*R2160/B2160,J2159)</f>
        <v/>
      </c>
      <c r="K2160">
        <f>IF(G2160=1,0.2*R2160/C2160,K2159)</f>
        <v/>
      </c>
      <c r="L2160">
        <f>IF(G2160=1,0.2*R2160/D2160,L2159)</f>
        <v/>
      </c>
      <c r="M2160">
        <f>IF(G2160=1,0.2*R2160/E2160,M2159)</f>
        <v/>
      </c>
      <c r="N2160">
        <f>IF(G2160=1,0.2*R2160/F2160,N2159)</f>
        <v/>
      </c>
      <c r="O2160">
        <f>IF(G2160=1,R2160*(1-1.0),IF(H2159=0,1,O2159*(1+0.00023125256064071564)))</f>
        <v/>
      </c>
      <c r="P2160">
        <f>IF(G2160=1,IF(H2159=0,1,ABS(0.2-J2159*B2160/I2160)+ABS(0.2-K2159*C2160/I2160)+ABS(0.2-L2159*D2160/I2160)+ABS(0.2-M2159*E2160/I2160)+ABS(0.2-N2159*F2160/I2160)),0)</f>
        <v/>
      </c>
      <c r="Q2160">
        <f>P2160*0.0015</f>
        <v/>
      </c>
      <c r="R2160">
        <f>I2160*(1-Q2160)</f>
        <v/>
      </c>
      <c r="S2160">
        <f>R2160/R2159-1</f>
        <v/>
      </c>
      <c r="T2160">
        <f>MAX(T2159,R2160)</f>
        <v/>
      </c>
      <c r="U2160">
        <f>R2160/T2160-1</f>
        <v/>
      </c>
      <c r="V2160" t="n">
        <v>3.77902327712202</v>
      </c>
      <c r="W2160" s="5">
        <f>R2160-V2160</f>
        <v/>
      </c>
    </row>
    <row r="2161">
      <c r="A2161" s="3" t="n">
        <v>41612</v>
      </c>
      <c r="B2161">
        <f>Prices!B2161</f>
        <v/>
      </c>
      <c r="C2161">
        <f>Prices!C2161</f>
        <v/>
      </c>
      <c r="D2161">
        <f>Prices!D2161</f>
        <v/>
      </c>
      <c r="E2161">
        <f>Prices!E2161</f>
        <v/>
      </c>
      <c r="F2161">
        <f>Prices!F2161</f>
        <v/>
      </c>
      <c r="G2161">
        <f>IF(AND(2159&gt;=16,TEXT(A2161,"yyyy-mm")&lt;&gt;TEXT(A2162,"yyyy-mm")),1,0)</f>
        <v/>
      </c>
      <c r="H2161">
        <f>IF(OR(H2160=1,G2161=1),1,0)</f>
        <v/>
      </c>
      <c r="I2161">
        <f>IF(H2160=0,1,SUMPRODUCT(J2160:N2160,B2161:F2161)+O2160*(1+0.00023125256064071564))</f>
        <v/>
      </c>
      <c r="J2161">
        <f>IF(G2161=1,0.2*R2161/B2161,J2160)</f>
        <v/>
      </c>
      <c r="K2161">
        <f>IF(G2161=1,0.2*R2161/C2161,K2160)</f>
        <v/>
      </c>
      <c r="L2161">
        <f>IF(G2161=1,0.2*R2161/D2161,L2160)</f>
        <v/>
      </c>
      <c r="M2161">
        <f>IF(G2161=1,0.2*R2161/E2161,M2160)</f>
        <v/>
      </c>
      <c r="N2161">
        <f>IF(G2161=1,0.2*R2161/F2161,N2160)</f>
        <v/>
      </c>
      <c r="O2161">
        <f>IF(G2161=1,R2161*(1-1.0),IF(H2160=0,1,O2160*(1+0.00023125256064071564)))</f>
        <v/>
      </c>
      <c r="P2161">
        <f>IF(G2161=1,IF(H2160=0,1,ABS(0.2-J2160*B2161/I2161)+ABS(0.2-K2160*C2161/I2161)+ABS(0.2-L2160*D2161/I2161)+ABS(0.2-M2160*E2161/I2161)+ABS(0.2-N2160*F2161/I2161)),0)</f>
        <v/>
      </c>
      <c r="Q2161">
        <f>P2161*0.0015</f>
        <v/>
      </c>
      <c r="R2161">
        <f>I2161*(1-Q2161)</f>
        <v/>
      </c>
      <c r="S2161">
        <f>R2161/R2160-1</f>
        <v/>
      </c>
      <c r="T2161">
        <f>MAX(T2160,R2161)</f>
        <v/>
      </c>
      <c r="U2161">
        <f>R2161/T2161-1</f>
        <v/>
      </c>
      <c r="V2161" t="n">
        <v>3.75646372792137</v>
      </c>
      <c r="W2161" s="5">
        <f>R2161-V2161</f>
        <v/>
      </c>
    </row>
    <row r="2162">
      <c r="A2162" s="3" t="n">
        <v>41613</v>
      </c>
      <c r="B2162">
        <f>Prices!B2162</f>
        <v/>
      </c>
      <c r="C2162">
        <f>Prices!C2162</f>
        <v/>
      </c>
      <c r="D2162">
        <f>Prices!D2162</f>
        <v/>
      </c>
      <c r="E2162">
        <f>Prices!E2162</f>
        <v/>
      </c>
      <c r="F2162">
        <f>Prices!F2162</f>
        <v/>
      </c>
      <c r="G2162">
        <f>IF(AND(2160&gt;=16,TEXT(A2162,"yyyy-mm")&lt;&gt;TEXT(A2163,"yyyy-mm")),1,0)</f>
        <v/>
      </c>
      <c r="H2162">
        <f>IF(OR(H2161=1,G2162=1),1,0)</f>
        <v/>
      </c>
      <c r="I2162">
        <f>IF(H2161=0,1,SUMPRODUCT(J2161:N2161,B2162:F2162)+O2161*(1+0.00023125256064071564))</f>
        <v/>
      </c>
      <c r="J2162">
        <f>IF(G2162=1,0.2*R2162/B2162,J2161)</f>
        <v/>
      </c>
      <c r="K2162">
        <f>IF(G2162=1,0.2*R2162/C2162,K2161)</f>
        <v/>
      </c>
      <c r="L2162">
        <f>IF(G2162=1,0.2*R2162/D2162,L2161)</f>
        <v/>
      </c>
      <c r="M2162">
        <f>IF(G2162=1,0.2*R2162/E2162,M2161)</f>
        <v/>
      </c>
      <c r="N2162">
        <f>IF(G2162=1,0.2*R2162/F2162,N2161)</f>
        <v/>
      </c>
      <c r="O2162">
        <f>IF(G2162=1,R2162*(1-1.0),IF(H2161=0,1,O2161*(1+0.00023125256064071564)))</f>
        <v/>
      </c>
      <c r="P2162">
        <f>IF(G2162=1,IF(H2161=0,1,ABS(0.2-J2161*B2162/I2162)+ABS(0.2-K2161*C2162/I2162)+ABS(0.2-L2161*D2162/I2162)+ABS(0.2-M2161*E2162/I2162)+ABS(0.2-N2161*F2162/I2162)),0)</f>
        <v/>
      </c>
      <c r="Q2162">
        <f>P2162*0.0015</f>
        <v/>
      </c>
      <c r="R2162">
        <f>I2162*(1-Q2162)</f>
        <v/>
      </c>
      <c r="S2162">
        <f>R2162/R2161-1</f>
        <v/>
      </c>
      <c r="T2162">
        <f>MAX(T2161,R2162)</f>
        <v/>
      </c>
      <c r="U2162">
        <f>R2162/T2162-1</f>
        <v/>
      </c>
      <c r="V2162" t="n">
        <v>3.766636553155797</v>
      </c>
      <c r="W2162" s="5">
        <f>R2162-V2162</f>
        <v/>
      </c>
    </row>
    <row r="2163">
      <c r="A2163" s="3" t="n">
        <v>41614</v>
      </c>
      <c r="B2163">
        <f>Prices!B2163</f>
        <v/>
      </c>
      <c r="C2163">
        <f>Prices!C2163</f>
        <v/>
      </c>
      <c r="D2163">
        <f>Prices!D2163</f>
        <v/>
      </c>
      <c r="E2163">
        <f>Prices!E2163</f>
        <v/>
      </c>
      <c r="F2163">
        <f>Prices!F2163</f>
        <v/>
      </c>
      <c r="G2163">
        <f>IF(AND(2161&gt;=16,TEXT(A2163,"yyyy-mm")&lt;&gt;TEXT(A2164,"yyyy-mm")),1,0)</f>
        <v/>
      </c>
      <c r="H2163">
        <f>IF(OR(H2162=1,G2163=1),1,0)</f>
        <v/>
      </c>
      <c r="I2163">
        <f>IF(H2162=0,1,SUMPRODUCT(J2162:N2162,B2163:F2163)+O2162*(1+0.00023125256064071564))</f>
        <v/>
      </c>
      <c r="J2163">
        <f>IF(G2163=1,0.2*R2163/B2163,J2162)</f>
        <v/>
      </c>
      <c r="K2163">
        <f>IF(G2163=1,0.2*R2163/C2163,K2162)</f>
        <v/>
      </c>
      <c r="L2163">
        <f>IF(G2163=1,0.2*R2163/D2163,L2162)</f>
        <v/>
      </c>
      <c r="M2163">
        <f>IF(G2163=1,0.2*R2163/E2163,M2162)</f>
        <v/>
      </c>
      <c r="N2163">
        <f>IF(G2163=1,0.2*R2163/F2163,N2162)</f>
        <v/>
      </c>
      <c r="O2163">
        <f>IF(G2163=1,R2163*(1-1.0),IF(H2162=0,1,O2162*(1+0.00023125256064071564)))</f>
        <v/>
      </c>
      <c r="P2163">
        <f>IF(G2163=1,IF(H2162=0,1,ABS(0.2-J2162*B2163/I2163)+ABS(0.2-K2162*C2163/I2163)+ABS(0.2-L2162*D2163/I2163)+ABS(0.2-M2162*E2163/I2163)+ABS(0.2-N2162*F2163/I2163)),0)</f>
        <v/>
      </c>
      <c r="Q2163">
        <f>P2163*0.0015</f>
        <v/>
      </c>
      <c r="R2163">
        <f>I2163*(1-Q2163)</f>
        <v/>
      </c>
      <c r="S2163">
        <f>R2163/R2162-1</f>
        <v/>
      </c>
      <c r="T2163">
        <f>MAX(T2162,R2163)</f>
        <v/>
      </c>
      <c r="U2163">
        <f>R2163/T2163-1</f>
        <v/>
      </c>
      <c r="V2163" t="n">
        <v>3.785691973119336</v>
      </c>
      <c r="W2163" s="5">
        <f>R2163-V2163</f>
        <v/>
      </c>
    </row>
    <row r="2164">
      <c r="A2164" s="3" t="n">
        <v>41617</v>
      </c>
      <c r="B2164">
        <f>Prices!B2164</f>
        <v/>
      </c>
      <c r="C2164">
        <f>Prices!C2164</f>
        <v/>
      </c>
      <c r="D2164">
        <f>Prices!D2164</f>
        <v/>
      </c>
      <c r="E2164">
        <f>Prices!E2164</f>
        <v/>
      </c>
      <c r="F2164">
        <f>Prices!F2164</f>
        <v/>
      </c>
      <c r="G2164">
        <f>IF(AND(2162&gt;=16,TEXT(A2164,"yyyy-mm")&lt;&gt;TEXT(A2165,"yyyy-mm")),1,0)</f>
        <v/>
      </c>
      <c r="H2164">
        <f>IF(OR(H2163=1,G2164=1),1,0)</f>
        <v/>
      </c>
      <c r="I2164">
        <f>IF(H2163=0,1,SUMPRODUCT(J2163:N2163,B2164:F2164)+O2163*(1+0.00023125256064071564))</f>
        <v/>
      </c>
      <c r="J2164">
        <f>IF(G2164=1,0.2*R2164/B2164,J2163)</f>
        <v/>
      </c>
      <c r="K2164">
        <f>IF(G2164=1,0.2*R2164/C2164,K2163)</f>
        <v/>
      </c>
      <c r="L2164">
        <f>IF(G2164=1,0.2*R2164/D2164,L2163)</f>
        <v/>
      </c>
      <c r="M2164">
        <f>IF(G2164=1,0.2*R2164/E2164,M2163)</f>
        <v/>
      </c>
      <c r="N2164">
        <f>IF(G2164=1,0.2*R2164/F2164,N2163)</f>
        <v/>
      </c>
      <c r="O2164">
        <f>IF(G2164=1,R2164*(1-1.0),IF(H2163=0,1,O2163*(1+0.00023125256064071564)))</f>
        <v/>
      </c>
      <c r="P2164">
        <f>IF(G2164=1,IF(H2163=0,1,ABS(0.2-J2163*B2164/I2164)+ABS(0.2-K2163*C2164/I2164)+ABS(0.2-L2163*D2164/I2164)+ABS(0.2-M2163*E2164/I2164)+ABS(0.2-N2163*F2164/I2164)),0)</f>
        <v/>
      </c>
      <c r="Q2164">
        <f>P2164*0.0015</f>
        <v/>
      </c>
      <c r="R2164">
        <f>I2164*(1-Q2164)</f>
        <v/>
      </c>
      <c r="S2164">
        <f>R2164/R2163-1</f>
        <v/>
      </c>
      <c r="T2164">
        <f>MAX(T2163,R2164)</f>
        <v/>
      </c>
      <c r="U2164">
        <f>R2164/T2164-1</f>
        <v/>
      </c>
      <c r="V2164" t="n">
        <v>3.810746482405511</v>
      </c>
      <c r="W2164" s="5">
        <f>R2164-V2164</f>
        <v/>
      </c>
    </row>
    <row r="2165">
      <c r="A2165" s="3" t="n">
        <v>41618</v>
      </c>
      <c r="B2165">
        <f>Prices!B2165</f>
        <v/>
      </c>
      <c r="C2165">
        <f>Prices!C2165</f>
        <v/>
      </c>
      <c r="D2165">
        <f>Prices!D2165</f>
        <v/>
      </c>
      <c r="E2165">
        <f>Prices!E2165</f>
        <v/>
      </c>
      <c r="F2165">
        <f>Prices!F2165</f>
        <v/>
      </c>
      <c r="G2165">
        <f>IF(AND(2163&gt;=16,TEXT(A2165,"yyyy-mm")&lt;&gt;TEXT(A2166,"yyyy-mm")),1,0)</f>
        <v/>
      </c>
      <c r="H2165">
        <f>IF(OR(H2164=1,G2165=1),1,0)</f>
        <v/>
      </c>
      <c r="I2165">
        <f>IF(H2164=0,1,SUMPRODUCT(J2164:N2164,B2165:F2165)+O2164*(1+0.00023125256064071564))</f>
        <v/>
      </c>
      <c r="J2165">
        <f>IF(G2165=1,0.2*R2165/B2165,J2164)</f>
        <v/>
      </c>
      <c r="K2165">
        <f>IF(G2165=1,0.2*R2165/C2165,K2164)</f>
        <v/>
      </c>
      <c r="L2165">
        <f>IF(G2165=1,0.2*R2165/D2165,L2164)</f>
        <v/>
      </c>
      <c r="M2165">
        <f>IF(G2165=1,0.2*R2165/E2165,M2164)</f>
        <v/>
      </c>
      <c r="N2165">
        <f>IF(G2165=1,0.2*R2165/F2165,N2164)</f>
        <v/>
      </c>
      <c r="O2165">
        <f>IF(G2165=1,R2165*(1-1.0),IF(H2164=0,1,O2164*(1+0.00023125256064071564)))</f>
        <v/>
      </c>
      <c r="P2165">
        <f>IF(G2165=1,IF(H2164=0,1,ABS(0.2-J2164*B2165/I2165)+ABS(0.2-K2164*C2165/I2165)+ABS(0.2-L2164*D2165/I2165)+ABS(0.2-M2164*E2165/I2165)+ABS(0.2-N2164*F2165/I2165)),0)</f>
        <v/>
      </c>
      <c r="Q2165">
        <f>P2165*0.0015</f>
        <v/>
      </c>
      <c r="R2165">
        <f>I2165*(1-Q2165)</f>
        <v/>
      </c>
      <c r="S2165">
        <f>R2165/R2164-1</f>
        <v/>
      </c>
      <c r="T2165">
        <f>MAX(T2164,R2165)</f>
        <v/>
      </c>
      <c r="U2165">
        <f>R2165/T2165-1</f>
        <v/>
      </c>
      <c r="V2165" t="n">
        <v>3.801685245509231</v>
      </c>
      <c r="W2165" s="5">
        <f>R2165-V2165</f>
        <v/>
      </c>
    </row>
    <row r="2166">
      <c r="A2166" s="3" t="n">
        <v>41619</v>
      </c>
      <c r="B2166">
        <f>Prices!B2166</f>
        <v/>
      </c>
      <c r="C2166">
        <f>Prices!C2166</f>
        <v/>
      </c>
      <c r="D2166">
        <f>Prices!D2166</f>
        <v/>
      </c>
      <c r="E2166">
        <f>Prices!E2166</f>
        <v/>
      </c>
      <c r="F2166">
        <f>Prices!F2166</f>
        <v/>
      </c>
      <c r="G2166">
        <f>IF(AND(2164&gt;=16,TEXT(A2166,"yyyy-mm")&lt;&gt;TEXT(A2167,"yyyy-mm")),1,0)</f>
        <v/>
      </c>
      <c r="H2166">
        <f>IF(OR(H2165=1,G2166=1),1,0)</f>
        <v/>
      </c>
      <c r="I2166">
        <f>IF(H2165=0,1,SUMPRODUCT(J2165:N2165,B2166:F2166)+O2165*(1+0.00023125256064071564))</f>
        <v/>
      </c>
      <c r="J2166">
        <f>IF(G2166=1,0.2*R2166/B2166,J2165)</f>
        <v/>
      </c>
      <c r="K2166">
        <f>IF(G2166=1,0.2*R2166/C2166,K2165)</f>
        <v/>
      </c>
      <c r="L2166">
        <f>IF(G2166=1,0.2*R2166/D2166,L2165)</f>
        <v/>
      </c>
      <c r="M2166">
        <f>IF(G2166=1,0.2*R2166/E2166,M2165)</f>
        <v/>
      </c>
      <c r="N2166">
        <f>IF(G2166=1,0.2*R2166/F2166,N2165)</f>
        <v/>
      </c>
      <c r="O2166">
        <f>IF(G2166=1,R2166*(1-1.0),IF(H2165=0,1,O2165*(1+0.00023125256064071564)))</f>
        <v/>
      </c>
      <c r="P2166">
        <f>IF(G2166=1,IF(H2165=0,1,ABS(0.2-J2165*B2166/I2166)+ABS(0.2-K2165*C2166/I2166)+ABS(0.2-L2165*D2166/I2166)+ABS(0.2-M2165*E2166/I2166)+ABS(0.2-N2165*F2166/I2166)),0)</f>
        <v/>
      </c>
      <c r="Q2166">
        <f>P2166*0.0015</f>
        <v/>
      </c>
      <c r="R2166">
        <f>I2166*(1-Q2166)</f>
        <v/>
      </c>
      <c r="S2166">
        <f>R2166/R2165-1</f>
        <v/>
      </c>
      <c r="T2166">
        <f>MAX(T2165,R2166)</f>
        <v/>
      </c>
      <c r="U2166">
        <f>R2166/T2166-1</f>
        <v/>
      </c>
      <c r="V2166" t="n">
        <v>3.793998435013504</v>
      </c>
      <c r="W2166" s="5">
        <f>R2166-V2166</f>
        <v/>
      </c>
    </row>
    <row r="2167">
      <c r="A2167" s="3" t="n">
        <v>41620</v>
      </c>
      <c r="B2167">
        <f>Prices!B2167</f>
        <v/>
      </c>
      <c r="C2167">
        <f>Prices!C2167</f>
        <v/>
      </c>
      <c r="D2167">
        <f>Prices!D2167</f>
        <v/>
      </c>
      <c r="E2167">
        <f>Prices!E2167</f>
        <v/>
      </c>
      <c r="F2167">
        <f>Prices!F2167</f>
        <v/>
      </c>
      <c r="G2167">
        <f>IF(AND(2165&gt;=16,TEXT(A2167,"yyyy-mm")&lt;&gt;TEXT(A2168,"yyyy-mm")),1,0)</f>
        <v/>
      </c>
      <c r="H2167">
        <f>IF(OR(H2166=1,G2167=1),1,0)</f>
        <v/>
      </c>
      <c r="I2167">
        <f>IF(H2166=0,1,SUMPRODUCT(J2166:N2166,B2167:F2167)+O2166*(1+0.00023125256064071564))</f>
        <v/>
      </c>
      <c r="J2167">
        <f>IF(G2167=1,0.2*R2167/B2167,J2166)</f>
        <v/>
      </c>
      <c r="K2167">
        <f>IF(G2167=1,0.2*R2167/C2167,K2166)</f>
        <v/>
      </c>
      <c r="L2167">
        <f>IF(G2167=1,0.2*R2167/D2167,L2166)</f>
        <v/>
      </c>
      <c r="M2167">
        <f>IF(G2167=1,0.2*R2167/E2167,M2166)</f>
        <v/>
      </c>
      <c r="N2167">
        <f>IF(G2167=1,0.2*R2167/F2167,N2166)</f>
        <v/>
      </c>
      <c r="O2167">
        <f>IF(G2167=1,R2167*(1-1.0),IF(H2166=0,1,O2166*(1+0.00023125256064071564)))</f>
        <v/>
      </c>
      <c r="P2167">
        <f>IF(G2167=1,IF(H2166=0,1,ABS(0.2-J2166*B2167/I2167)+ABS(0.2-K2166*C2167/I2167)+ABS(0.2-L2166*D2167/I2167)+ABS(0.2-M2166*E2167/I2167)+ABS(0.2-N2166*F2167/I2167)),0)</f>
        <v/>
      </c>
      <c r="Q2167">
        <f>P2167*0.0015</f>
        <v/>
      </c>
      <c r="R2167">
        <f>I2167*(1-Q2167)</f>
        <v/>
      </c>
      <c r="S2167">
        <f>R2167/R2166-1</f>
        <v/>
      </c>
      <c r="T2167">
        <f>MAX(T2166,R2167)</f>
        <v/>
      </c>
      <c r="U2167">
        <f>R2167/T2167-1</f>
        <v/>
      </c>
      <c r="V2167" t="n">
        <v>3.769046887488846</v>
      </c>
      <c r="W2167" s="5">
        <f>R2167-V2167</f>
        <v/>
      </c>
    </row>
    <row r="2168">
      <c r="A2168" s="3" t="n">
        <v>41621</v>
      </c>
      <c r="B2168">
        <f>Prices!B2168</f>
        <v/>
      </c>
      <c r="C2168">
        <f>Prices!C2168</f>
        <v/>
      </c>
      <c r="D2168">
        <f>Prices!D2168</f>
        <v/>
      </c>
      <c r="E2168">
        <f>Prices!E2168</f>
        <v/>
      </c>
      <c r="F2168">
        <f>Prices!F2168</f>
        <v/>
      </c>
      <c r="G2168">
        <f>IF(AND(2166&gt;=16,TEXT(A2168,"yyyy-mm")&lt;&gt;TEXT(A2169,"yyyy-mm")),1,0)</f>
        <v/>
      </c>
      <c r="H2168">
        <f>IF(OR(H2167=1,G2168=1),1,0)</f>
        <v/>
      </c>
      <c r="I2168">
        <f>IF(H2167=0,1,SUMPRODUCT(J2167:N2167,B2168:F2168)+O2167*(1+0.00023125256064071564))</f>
        <v/>
      </c>
      <c r="J2168">
        <f>IF(G2168=1,0.2*R2168/B2168,J2167)</f>
        <v/>
      </c>
      <c r="K2168">
        <f>IF(G2168=1,0.2*R2168/C2168,K2167)</f>
        <v/>
      </c>
      <c r="L2168">
        <f>IF(G2168=1,0.2*R2168/D2168,L2167)</f>
        <v/>
      </c>
      <c r="M2168">
        <f>IF(G2168=1,0.2*R2168/E2168,M2167)</f>
        <v/>
      </c>
      <c r="N2168">
        <f>IF(G2168=1,0.2*R2168/F2168,N2167)</f>
        <v/>
      </c>
      <c r="O2168">
        <f>IF(G2168=1,R2168*(1-1.0),IF(H2167=0,1,O2167*(1+0.00023125256064071564)))</f>
        <v/>
      </c>
      <c r="P2168">
        <f>IF(G2168=1,IF(H2167=0,1,ABS(0.2-J2167*B2168/I2168)+ABS(0.2-K2167*C2168/I2168)+ABS(0.2-L2167*D2168/I2168)+ABS(0.2-M2167*E2168/I2168)+ABS(0.2-N2167*F2168/I2168)),0)</f>
        <v/>
      </c>
      <c r="Q2168">
        <f>P2168*0.0015</f>
        <v/>
      </c>
      <c r="R2168">
        <f>I2168*(1-Q2168)</f>
        <v/>
      </c>
      <c r="S2168">
        <f>R2168/R2167-1</f>
        <v/>
      </c>
      <c r="T2168">
        <f>MAX(T2167,R2168)</f>
        <v/>
      </c>
      <c r="U2168">
        <f>R2168/T2168-1</f>
        <v/>
      </c>
      <c r="V2168" t="n">
        <v>3.732490747721648</v>
      </c>
      <c r="W2168" s="5">
        <f>R2168-V2168</f>
        <v/>
      </c>
    </row>
    <row r="2169">
      <c r="A2169" s="3" t="n">
        <v>41624</v>
      </c>
      <c r="B2169">
        <f>Prices!B2169</f>
        <v/>
      </c>
      <c r="C2169">
        <f>Prices!C2169</f>
        <v/>
      </c>
      <c r="D2169">
        <f>Prices!D2169</f>
        <v/>
      </c>
      <c r="E2169">
        <f>Prices!E2169</f>
        <v/>
      </c>
      <c r="F2169">
        <f>Prices!F2169</f>
        <v/>
      </c>
      <c r="G2169">
        <f>IF(AND(2167&gt;=16,TEXT(A2169,"yyyy-mm")&lt;&gt;TEXT(A2170,"yyyy-mm")),1,0)</f>
        <v/>
      </c>
      <c r="H2169">
        <f>IF(OR(H2168=1,G2169=1),1,0)</f>
        <v/>
      </c>
      <c r="I2169">
        <f>IF(H2168=0,1,SUMPRODUCT(J2168:N2168,B2169:F2169)+O2168*(1+0.00023125256064071564))</f>
        <v/>
      </c>
      <c r="J2169">
        <f>IF(G2169=1,0.2*R2169/B2169,J2168)</f>
        <v/>
      </c>
      <c r="K2169">
        <f>IF(G2169=1,0.2*R2169/C2169,K2168)</f>
        <v/>
      </c>
      <c r="L2169">
        <f>IF(G2169=1,0.2*R2169/D2169,L2168)</f>
        <v/>
      </c>
      <c r="M2169">
        <f>IF(G2169=1,0.2*R2169/E2169,M2168)</f>
        <v/>
      </c>
      <c r="N2169">
        <f>IF(G2169=1,0.2*R2169/F2169,N2168)</f>
        <v/>
      </c>
      <c r="O2169">
        <f>IF(G2169=1,R2169*(1-1.0),IF(H2168=0,1,O2168*(1+0.00023125256064071564)))</f>
        <v/>
      </c>
      <c r="P2169">
        <f>IF(G2169=1,IF(H2168=0,1,ABS(0.2-J2168*B2169/I2169)+ABS(0.2-K2168*C2169/I2169)+ABS(0.2-L2168*D2169/I2169)+ABS(0.2-M2168*E2169/I2169)+ABS(0.2-N2168*F2169/I2169)),0)</f>
        <v/>
      </c>
      <c r="Q2169">
        <f>P2169*0.0015</f>
        <v/>
      </c>
      <c r="R2169">
        <f>I2169*(1-Q2169)</f>
        <v/>
      </c>
      <c r="S2169">
        <f>R2169/R2168-1</f>
        <v/>
      </c>
      <c r="T2169">
        <f>MAX(T2168,R2169)</f>
        <v/>
      </c>
      <c r="U2169">
        <f>R2169/T2169-1</f>
        <v/>
      </c>
      <c r="V2169" t="n">
        <v>3.737549269627254</v>
      </c>
      <c r="W2169" s="5">
        <f>R2169-V2169</f>
        <v/>
      </c>
    </row>
    <row r="2170">
      <c r="A2170" s="3" t="n">
        <v>41625</v>
      </c>
      <c r="B2170">
        <f>Prices!B2170</f>
        <v/>
      </c>
      <c r="C2170">
        <f>Prices!C2170</f>
        <v/>
      </c>
      <c r="D2170">
        <f>Prices!D2170</f>
        <v/>
      </c>
      <c r="E2170">
        <f>Prices!E2170</f>
        <v/>
      </c>
      <c r="F2170">
        <f>Prices!F2170</f>
        <v/>
      </c>
      <c r="G2170">
        <f>IF(AND(2168&gt;=16,TEXT(A2170,"yyyy-mm")&lt;&gt;TEXT(A2171,"yyyy-mm")),1,0)</f>
        <v/>
      </c>
      <c r="H2170">
        <f>IF(OR(H2169=1,G2170=1),1,0)</f>
        <v/>
      </c>
      <c r="I2170">
        <f>IF(H2169=0,1,SUMPRODUCT(J2169:N2169,B2170:F2170)+O2169*(1+0.00023125256064071564))</f>
        <v/>
      </c>
      <c r="J2170">
        <f>IF(G2170=1,0.2*R2170/B2170,J2169)</f>
        <v/>
      </c>
      <c r="K2170">
        <f>IF(G2170=1,0.2*R2170/C2170,K2169)</f>
        <v/>
      </c>
      <c r="L2170">
        <f>IF(G2170=1,0.2*R2170/D2170,L2169)</f>
        <v/>
      </c>
      <c r="M2170">
        <f>IF(G2170=1,0.2*R2170/E2170,M2169)</f>
        <v/>
      </c>
      <c r="N2170">
        <f>IF(G2170=1,0.2*R2170/F2170,N2169)</f>
        <v/>
      </c>
      <c r="O2170">
        <f>IF(G2170=1,R2170*(1-1.0),IF(H2169=0,1,O2169*(1+0.00023125256064071564)))</f>
        <v/>
      </c>
      <c r="P2170">
        <f>IF(G2170=1,IF(H2169=0,1,ABS(0.2-J2169*B2170/I2170)+ABS(0.2-K2169*C2170/I2170)+ABS(0.2-L2169*D2170/I2170)+ABS(0.2-M2169*E2170/I2170)+ABS(0.2-N2169*F2170/I2170)),0)</f>
        <v/>
      </c>
      <c r="Q2170">
        <f>P2170*0.0015</f>
        <v/>
      </c>
      <c r="R2170">
        <f>I2170*(1-Q2170)</f>
        <v/>
      </c>
      <c r="S2170">
        <f>R2170/R2169-1</f>
        <v/>
      </c>
      <c r="T2170">
        <f>MAX(T2169,R2170)</f>
        <v/>
      </c>
      <c r="U2170">
        <f>R2170/T2170-1</f>
        <v/>
      </c>
      <c r="V2170" t="n">
        <v>3.738272610191966</v>
      </c>
      <c r="W2170" s="5">
        <f>R2170-V2170</f>
        <v/>
      </c>
    </row>
    <row r="2171">
      <c r="A2171" s="3" t="n">
        <v>41626</v>
      </c>
      <c r="B2171">
        <f>Prices!B2171</f>
        <v/>
      </c>
      <c r="C2171">
        <f>Prices!C2171</f>
        <v/>
      </c>
      <c r="D2171">
        <f>Prices!D2171</f>
        <v/>
      </c>
      <c r="E2171">
        <f>Prices!E2171</f>
        <v/>
      </c>
      <c r="F2171">
        <f>Prices!F2171</f>
        <v/>
      </c>
      <c r="G2171">
        <f>IF(AND(2169&gt;=16,TEXT(A2171,"yyyy-mm")&lt;&gt;TEXT(A2172,"yyyy-mm")),1,0)</f>
        <v/>
      </c>
      <c r="H2171">
        <f>IF(OR(H2170=1,G2171=1),1,0)</f>
        <v/>
      </c>
      <c r="I2171">
        <f>IF(H2170=0,1,SUMPRODUCT(J2170:N2170,B2171:F2171)+O2170*(1+0.00023125256064071564))</f>
        <v/>
      </c>
      <c r="J2171">
        <f>IF(G2171=1,0.2*R2171/B2171,J2170)</f>
        <v/>
      </c>
      <c r="K2171">
        <f>IF(G2171=1,0.2*R2171/C2171,K2170)</f>
        <v/>
      </c>
      <c r="L2171">
        <f>IF(G2171=1,0.2*R2171/D2171,L2170)</f>
        <v/>
      </c>
      <c r="M2171">
        <f>IF(G2171=1,0.2*R2171/E2171,M2170)</f>
        <v/>
      </c>
      <c r="N2171">
        <f>IF(G2171=1,0.2*R2171/F2171,N2170)</f>
        <v/>
      </c>
      <c r="O2171">
        <f>IF(G2171=1,R2171*(1-1.0),IF(H2170=0,1,O2170*(1+0.00023125256064071564)))</f>
        <v/>
      </c>
      <c r="P2171">
        <f>IF(G2171=1,IF(H2170=0,1,ABS(0.2-J2170*B2171/I2171)+ABS(0.2-K2170*C2171/I2171)+ABS(0.2-L2170*D2171/I2171)+ABS(0.2-M2170*E2171/I2171)+ABS(0.2-N2170*F2171/I2171)),0)</f>
        <v/>
      </c>
      <c r="Q2171">
        <f>P2171*0.0015</f>
        <v/>
      </c>
      <c r="R2171">
        <f>I2171*(1-Q2171)</f>
        <v/>
      </c>
      <c r="S2171">
        <f>R2171/R2170-1</f>
        <v/>
      </c>
      <c r="T2171">
        <f>MAX(T2170,R2171)</f>
        <v/>
      </c>
      <c r="U2171">
        <f>R2171/T2171-1</f>
        <v/>
      </c>
      <c r="V2171" t="n">
        <v>3.79016208355001</v>
      </c>
      <c r="W2171" s="5">
        <f>R2171-V2171</f>
        <v/>
      </c>
    </row>
    <row r="2172">
      <c r="A2172" s="3" t="n">
        <v>41627</v>
      </c>
      <c r="B2172">
        <f>Prices!B2172</f>
        <v/>
      </c>
      <c r="C2172">
        <f>Prices!C2172</f>
        <v/>
      </c>
      <c r="D2172">
        <f>Prices!D2172</f>
        <v/>
      </c>
      <c r="E2172">
        <f>Prices!E2172</f>
        <v/>
      </c>
      <c r="F2172">
        <f>Prices!F2172</f>
        <v/>
      </c>
      <c r="G2172">
        <f>IF(AND(2170&gt;=16,TEXT(A2172,"yyyy-mm")&lt;&gt;TEXT(A2173,"yyyy-mm")),1,0)</f>
        <v/>
      </c>
      <c r="H2172">
        <f>IF(OR(H2171=1,G2172=1),1,0)</f>
        <v/>
      </c>
      <c r="I2172">
        <f>IF(H2171=0,1,SUMPRODUCT(J2171:N2171,B2172:F2172)+O2171*(1+0.00023125256064071564))</f>
        <v/>
      </c>
      <c r="J2172">
        <f>IF(G2172=1,0.2*R2172/B2172,J2171)</f>
        <v/>
      </c>
      <c r="K2172">
        <f>IF(G2172=1,0.2*R2172/C2172,K2171)</f>
        <v/>
      </c>
      <c r="L2172">
        <f>IF(G2172=1,0.2*R2172/D2172,L2171)</f>
        <v/>
      </c>
      <c r="M2172">
        <f>IF(G2172=1,0.2*R2172/E2172,M2171)</f>
        <v/>
      </c>
      <c r="N2172">
        <f>IF(G2172=1,0.2*R2172/F2172,N2171)</f>
        <v/>
      </c>
      <c r="O2172">
        <f>IF(G2172=1,R2172*(1-1.0),IF(H2171=0,1,O2171*(1+0.00023125256064071564)))</f>
        <v/>
      </c>
      <c r="P2172">
        <f>IF(G2172=1,IF(H2171=0,1,ABS(0.2-J2171*B2172/I2172)+ABS(0.2-K2171*C2172/I2172)+ABS(0.2-L2171*D2172/I2172)+ABS(0.2-M2171*E2172/I2172)+ABS(0.2-N2171*F2172/I2172)),0)</f>
        <v/>
      </c>
      <c r="Q2172">
        <f>P2172*0.0015</f>
        <v/>
      </c>
      <c r="R2172">
        <f>I2172*(1-Q2172)</f>
        <v/>
      </c>
      <c r="S2172">
        <f>R2172/R2171-1</f>
        <v/>
      </c>
      <c r="T2172">
        <f>MAX(T2171,R2172)</f>
        <v/>
      </c>
      <c r="U2172">
        <f>R2172/T2172-1</f>
        <v/>
      </c>
      <c r="V2172" t="n">
        <v>3.787506225724875</v>
      </c>
      <c r="W2172" s="5">
        <f>R2172-V2172</f>
        <v/>
      </c>
    </row>
    <row r="2173">
      <c r="A2173" s="3" t="n">
        <v>41628</v>
      </c>
      <c r="B2173">
        <f>Prices!B2173</f>
        <v/>
      </c>
      <c r="C2173">
        <f>Prices!C2173</f>
        <v/>
      </c>
      <c r="D2173">
        <f>Prices!D2173</f>
        <v/>
      </c>
      <c r="E2173">
        <f>Prices!E2173</f>
        <v/>
      </c>
      <c r="F2173">
        <f>Prices!F2173</f>
        <v/>
      </c>
      <c r="G2173">
        <f>IF(AND(2171&gt;=16,TEXT(A2173,"yyyy-mm")&lt;&gt;TEXT(A2174,"yyyy-mm")),1,0)</f>
        <v/>
      </c>
      <c r="H2173">
        <f>IF(OR(H2172=1,G2173=1),1,0)</f>
        <v/>
      </c>
      <c r="I2173">
        <f>IF(H2172=0,1,SUMPRODUCT(J2172:N2172,B2173:F2173)+O2172*(1+0.00023125256064071564))</f>
        <v/>
      </c>
      <c r="J2173">
        <f>IF(G2173=1,0.2*R2173/B2173,J2172)</f>
        <v/>
      </c>
      <c r="K2173">
        <f>IF(G2173=1,0.2*R2173/C2173,K2172)</f>
        <v/>
      </c>
      <c r="L2173">
        <f>IF(G2173=1,0.2*R2173/D2173,L2172)</f>
        <v/>
      </c>
      <c r="M2173">
        <f>IF(G2173=1,0.2*R2173/E2173,M2172)</f>
        <v/>
      </c>
      <c r="N2173">
        <f>IF(G2173=1,0.2*R2173/F2173,N2172)</f>
        <v/>
      </c>
      <c r="O2173">
        <f>IF(G2173=1,R2173*(1-1.0),IF(H2172=0,1,O2172*(1+0.00023125256064071564)))</f>
        <v/>
      </c>
      <c r="P2173">
        <f>IF(G2173=1,IF(H2172=0,1,ABS(0.2-J2172*B2173/I2173)+ABS(0.2-K2172*C2173/I2173)+ABS(0.2-L2172*D2173/I2173)+ABS(0.2-M2172*E2173/I2173)+ABS(0.2-N2172*F2173/I2173)),0)</f>
        <v/>
      </c>
      <c r="Q2173">
        <f>P2173*0.0015</f>
        <v/>
      </c>
      <c r="R2173">
        <f>I2173*(1-Q2173)</f>
        <v/>
      </c>
      <c r="S2173">
        <f>R2173/R2172-1</f>
        <v/>
      </c>
      <c r="T2173">
        <f>MAX(T2172,R2173)</f>
        <v/>
      </c>
      <c r="U2173">
        <f>R2173/T2173-1</f>
        <v/>
      </c>
      <c r="V2173" t="n">
        <v>3.843712319858932</v>
      </c>
      <c r="W2173" s="5">
        <f>R2173-V2173</f>
        <v/>
      </c>
    </row>
    <row r="2174">
      <c r="A2174" s="3" t="n">
        <v>41631</v>
      </c>
      <c r="B2174">
        <f>Prices!B2174</f>
        <v/>
      </c>
      <c r="C2174">
        <f>Prices!C2174</f>
        <v/>
      </c>
      <c r="D2174">
        <f>Prices!D2174</f>
        <v/>
      </c>
      <c r="E2174">
        <f>Prices!E2174</f>
        <v/>
      </c>
      <c r="F2174">
        <f>Prices!F2174</f>
        <v/>
      </c>
      <c r="G2174">
        <f>IF(AND(2172&gt;=16,TEXT(A2174,"yyyy-mm")&lt;&gt;TEXT(A2175,"yyyy-mm")),1,0)</f>
        <v/>
      </c>
      <c r="H2174">
        <f>IF(OR(H2173=1,G2174=1),1,0)</f>
        <v/>
      </c>
      <c r="I2174">
        <f>IF(H2173=0,1,SUMPRODUCT(J2173:N2173,B2174:F2174)+O2173*(1+0.00023125256064071564))</f>
        <v/>
      </c>
      <c r="J2174">
        <f>IF(G2174=1,0.2*R2174/B2174,J2173)</f>
        <v/>
      </c>
      <c r="K2174">
        <f>IF(G2174=1,0.2*R2174/C2174,K2173)</f>
        <v/>
      </c>
      <c r="L2174">
        <f>IF(G2174=1,0.2*R2174/D2174,L2173)</f>
        <v/>
      </c>
      <c r="M2174">
        <f>IF(G2174=1,0.2*R2174/E2174,M2173)</f>
        <v/>
      </c>
      <c r="N2174">
        <f>IF(G2174=1,0.2*R2174/F2174,N2173)</f>
        <v/>
      </c>
      <c r="O2174">
        <f>IF(G2174=1,R2174*(1-1.0),IF(H2173=0,1,O2173*(1+0.00023125256064071564)))</f>
        <v/>
      </c>
      <c r="P2174">
        <f>IF(G2174=1,IF(H2173=0,1,ABS(0.2-J2173*B2174/I2174)+ABS(0.2-K2173*C2174/I2174)+ABS(0.2-L2173*D2174/I2174)+ABS(0.2-M2173*E2174/I2174)+ABS(0.2-N2173*F2174/I2174)),0)</f>
        <v/>
      </c>
      <c r="Q2174">
        <f>P2174*0.0015</f>
        <v/>
      </c>
      <c r="R2174">
        <f>I2174*(1-Q2174)</f>
        <v/>
      </c>
      <c r="S2174">
        <f>R2174/R2173-1</f>
        <v/>
      </c>
      <c r="T2174">
        <f>MAX(T2173,R2174)</f>
        <v/>
      </c>
      <c r="U2174">
        <f>R2174/T2174-1</f>
        <v/>
      </c>
      <c r="V2174" t="n">
        <v>3.861236030639303</v>
      </c>
      <c r="W2174" s="5">
        <f>R2174-V2174</f>
        <v/>
      </c>
    </row>
    <row r="2175">
      <c r="A2175" s="3" t="n">
        <v>41632</v>
      </c>
      <c r="B2175">
        <f>Prices!B2175</f>
        <v/>
      </c>
      <c r="C2175">
        <f>Prices!C2175</f>
        <v/>
      </c>
      <c r="D2175">
        <f>Prices!D2175</f>
        <v/>
      </c>
      <c r="E2175">
        <f>Prices!E2175</f>
        <v/>
      </c>
      <c r="F2175">
        <f>Prices!F2175</f>
        <v/>
      </c>
      <c r="G2175">
        <f>IF(AND(2173&gt;=16,TEXT(A2175,"yyyy-mm")&lt;&gt;TEXT(A2176,"yyyy-mm")),1,0)</f>
        <v/>
      </c>
      <c r="H2175">
        <f>IF(OR(H2174=1,G2175=1),1,0)</f>
        <v/>
      </c>
      <c r="I2175">
        <f>IF(H2174=0,1,SUMPRODUCT(J2174:N2174,B2175:F2175)+O2174*(1+0.00023125256064071564))</f>
        <v/>
      </c>
      <c r="J2175">
        <f>IF(G2175=1,0.2*R2175/B2175,J2174)</f>
        <v/>
      </c>
      <c r="K2175">
        <f>IF(G2175=1,0.2*R2175/C2175,K2174)</f>
        <v/>
      </c>
      <c r="L2175">
        <f>IF(G2175=1,0.2*R2175/D2175,L2174)</f>
        <v/>
      </c>
      <c r="M2175">
        <f>IF(G2175=1,0.2*R2175/E2175,M2174)</f>
        <v/>
      </c>
      <c r="N2175">
        <f>IF(G2175=1,0.2*R2175/F2175,N2174)</f>
        <v/>
      </c>
      <c r="O2175">
        <f>IF(G2175=1,R2175*(1-1.0),IF(H2174=0,1,O2174*(1+0.00023125256064071564)))</f>
        <v/>
      </c>
      <c r="P2175">
        <f>IF(G2175=1,IF(H2174=0,1,ABS(0.2-J2174*B2175/I2175)+ABS(0.2-K2174*C2175/I2175)+ABS(0.2-L2174*D2175/I2175)+ABS(0.2-M2174*E2175/I2175)+ABS(0.2-N2174*F2175/I2175)),0)</f>
        <v/>
      </c>
      <c r="Q2175">
        <f>P2175*0.0015</f>
        <v/>
      </c>
      <c r="R2175">
        <f>I2175*(1-Q2175)</f>
        <v/>
      </c>
      <c r="S2175">
        <f>R2175/R2174-1</f>
        <v/>
      </c>
      <c r="T2175">
        <f>MAX(T2174,R2175)</f>
        <v/>
      </c>
      <c r="U2175">
        <f>R2175/T2175-1</f>
        <v/>
      </c>
      <c r="V2175" t="n">
        <v>3.87570163397132</v>
      </c>
      <c r="W2175" s="5">
        <f>R2175-V2175</f>
        <v/>
      </c>
    </row>
    <row r="2176">
      <c r="A2176" s="3" t="n">
        <v>41634</v>
      </c>
      <c r="B2176">
        <f>Prices!B2176</f>
        <v/>
      </c>
      <c r="C2176">
        <f>Prices!C2176</f>
        <v/>
      </c>
      <c r="D2176">
        <f>Prices!D2176</f>
        <v/>
      </c>
      <c r="E2176">
        <f>Prices!E2176</f>
        <v/>
      </c>
      <c r="F2176">
        <f>Prices!F2176</f>
        <v/>
      </c>
      <c r="G2176">
        <f>IF(AND(2174&gt;=16,TEXT(A2176,"yyyy-mm")&lt;&gt;TEXT(A2177,"yyyy-mm")),1,0)</f>
        <v/>
      </c>
      <c r="H2176">
        <f>IF(OR(H2175=1,G2176=1),1,0)</f>
        <v/>
      </c>
      <c r="I2176">
        <f>IF(H2175=0,1,SUMPRODUCT(J2175:N2175,B2176:F2176)+O2175*(1+0.00023125256064071564))</f>
        <v/>
      </c>
      <c r="J2176">
        <f>IF(G2176=1,0.2*R2176/B2176,J2175)</f>
        <v/>
      </c>
      <c r="K2176">
        <f>IF(G2176=1,0.2*R2176/C2176,K2175)</f>
        <v/>
      </c>
      <c r="L2176">
        <f>IF(G2176=1,0.2*R2176/D2176,L2175)</f>
        <v/>
      </c>
      <c r="M2176">
        <f>IF(G2176=1,0.2*R2176/E2176,M2175)</f>
        <v/>
      </c>
      <c r="N2176">
        <f>IF(G2176=1,0.2*R2176/F2176,N2175)</f>
        <v/>
      </c>
      <c r="O2176">
        <f>IF(G2176=1,R2176*(1-1.0),IF(H2175=0,1,O2175*(1+0.00023125256064071564)))</f>
        <v/>
      </c>
      <c r="P2176">
        <f>IF(G2176=1,IF(H2175=0,1,ABS(0.2-J2175*B2176/I2176)+ABS(0.2-K2175*C2176/I2176)+ABS(0.2-L2175*D2176/I2176)+ABS(0.2-M2175*E2176/I2176)+ABS(0.2-N2175*F2176/I2176)),0)</f>
        <v/>
      </c>
      <c r="Q2176">
        <f>P2176*0.0015</f>
        <v/>
      </c>
      <c r="R2176">
        <f>I2176*(1-Q2176)</f>
        <v/>
      </c>
      <c r="S2176">
        <f>R2176/R2175-1</f>
        <v/>
      </c>
      <c r="T2176">
        <f>MAX(T2175,R2176)</f>
        <v/>
      </c>
      <c r="U2176">
        <f>R2176/T2176-1</f>
        <v/>
      </c>
      <c r="V2176" t="n">
        <v>3.882953523541734</v>
      </c>
      <c r="W2176" s="5">
        <f>R2176-V2176</f>
        <v/>
      </c>
    </row>
    <row r="2177">
      <c r="A2177" s="3" t="n">
        <v>41635</v>
      </c>
      <c r="B2177">
        <f>Prices!B2177</f>
        <v/>
      </c>
      <c r="C2177">
        <f>Prices!C2177</f>
        <v/>
      </c>
      <c r="D2177">
        <f>Prices!D2177</f>
        <v/>
      </c>
      <c r="E2177">
        <f>Prices!E2177</f>
        <v/>
      </c>
      <c r="F2177">
        <f>Prices!F2177</f>
        <v/>
      </c>
      <c r="G2177">
        <f>IF(AND(2175&gt;=16,TEXT(A2177,"yyyy-mm")&lt;&gt;TEXT(A2178,"yyyy-mm")),1,0)</f>
        <v/>
      </c>
      <c r="H2177">
        <f>IF(OR(H2176=1,G2177=1),1,0)</f>
        <v/>
      </c>
      <c r="I2177">
        <f>IF(H2176=0,1,SUMPRODUCT(J2176:N2176,B2177:F2177)+O2176*(1+0.00023125256064071564))</f>
        <v/>
      </c>
      <c r="J2177">
        <f>IF(G2177=1,0.2*R2177/B2177,J2176)</f>
        <v/>
      </c>
      <c r="K2177">
        <f>IF(G2177=1,0.2*R2177/C2177,K2176)</f>
        <v/>
      </c>
      <c r="L2177">
        <f>IF(G2177=1,0.2*R2177/D2177,L2176)</f>
        <v/>
      </c>
      <c r="M2177">
        <f>IF(G2177=1,0.2*R2177/E2177,M2176)</f>
        <v/>
      </c>
      <c r="N2177">
        <f>IF(G2177=1,0.2*R2177/F2177,N2176)</f>
        <v/>
      </c>
      <c r="O2177">
        <f>IF(G2177=1,R2177*(1-1.0),IF(H2176=0,1,O2176*(1+0.00023125256064071564)))</f>
        <v/>
      </c>
      <c r="P2177">
        <f>IF(G2177=1,IF(H2176=0,1,ABS(0.2-J2176*B2177/I2177)+ABS(0.2-K2176*C2177/I2177)+ABS(0.2-L2176*D2177/I2177)+ABS(0.2-M2176*E2177/I2177)+ABS(0.2-N2176*F2177/I2177)),0)</f>
        <v/>
      </c>
      <c r="Q2177">
        <f>P2177*0.0015</f>
        <v/>
      </c>
      <c r="R2177">
        <f>I2177*(1-Q2177)</f>
        <v/>
      </c>
      <c r="S2177">
        <f>R2177/R2176-1</f>
        <v/>
      </c>
      <c r="T2177">
        <f>MAX(T2176,R2177)</f>
        <v/>
      </c>
      <c r="U2177">
        <f>R2177/T2177-1</f>
        <v/>
      </c>
      <c r="V2177" t="n">
        <v>3.902408378992725</v>
      </c>
      <c r="W2177" s="5">
        <f>R2177-V2177</f>
        <v/>
      </c>
    </row>
    <row r="2178">
      <c r="A2178" s="3" t="n">
        <v>41638</v>
      </c>
      <c r="B2178">
        <f>Prices!B2178</f>
        <v/>
      </c>
      <c r="C2178">
        <f>Prices!C2178</f>
        <v/>
      </c>
      <c r="D2178">
        <f>Prices!D2178</f>
        <v/>
      </c>
      <c r="E2178">
        <f>Prices!E2178</f>
        <v/>
      </c>
      <c r="F2178">
        <f>Prices!F2178</f>
        <v/>
      </c>
      <c r="G2178">
        <f>IF(AND(2176&gt;=16,TEXT(A2178,"yyyy-mm")&lt;&gt;TEXT(A2179,"yyyy-mm")),1,0)</f>
        <v/>
      </c>
      <c r="H2178">
        <f>IF(OR(H2177=1,G2178=1),1,0)</f>
        <v/>
      </c>
      <c r="I2178">
        <f>IF(H2177=0,1,SUMPRODUCT(J2177:N2177,B2178:F2178)+O2177*(1+0.00023125256064071564))</f>
        <v/>
      </c>
      <c r="J2178">
        <f>IF(G2178=1,0.2*R2178/B2178,J2177)</f>
        <v/>
      </c>
      <c r="K2178">
        <f>IF(G2178=1,0.2*R2178/C2178,K2177)</f>
        <v/>
      </c>
      <c r="L2178">
        <f>IF(G2178=1,0.2*R2178/D2178,L2177)</f>
        <v/>
      </c>
      <c r="M2178">
        <f>IF(G2178=1,0.2*R2178/E2178,M2177)</f>
        <v/>
      </c>
      <c r="N2178">
        <f>IF(G2178=1,0.2*R2178/F2178,N2177)</f>
        <v/>
      </c>
      <c r="O2178">
        <f>IF(G2178=1,R2178*(1-1.0),IF(H2177=0,1,O2177*(1+0.00023125256064071564)))</f>
        <v/>
      </c>
      <c r="P2178">
        <f>IF(G2178=1,IF(H2177=0,1,ABS(0.2-J2177*B2178/I2178)+ABS(0.2-K2177*C2178/I2178)+ABS(0.2-L2177*D2178/I2178)+ABS(0.2-M2177*E2178/I2178)+ABS(0.2-N2177*F2178/I2178)),0)</f>
        <v/>
      </c>
      <c r="Q2178">
        <f>P2178*0.0015</f>
        <v/>
      </c>
      <c r="R2178">
        <f>I2178*(1-Q2178)</f>
        <v/>
      </c>
      <c r="S2178">
        <f>R2178/R2177-1</f>
        <v/>
      </c>
      <c r="T2178">
        <f>MAX(T2177,R2178)</f>
        <v/>
      </c>
      <c r="U2178">
        <f>R2178/T2178-1</f>
        <v/>
      </c>
      <c r="V2178" t="n">
        <v>3.89010231640351</v>
      </c>
      <c r="W2178" s="5">
        <f>R2178-V2178</f>
        <v/>
      </c>
    </row>
    <row r="2179">
      <c r="A2179" s="3" t="n">
        <v>41639</v>
      </c>
      <c r="B2179">
        <f>Prices!B2179</f>
        <v/>
      </c>
      <c r="C2179">
        <f>Prices!C2179</f>
        <v/>
      </c>
      <c r="D2179">
        <f>Prices!D2179</f>
        <v/>
      </c>
      <c r="E2179">
        <f>Prices!E2179</f>
        <v/>
      </c>
      <c r="F2179">
        <f>Prices!F2179</f>
        <v/>
      </c>
      <c r="G2179">
        <f>IF(AND(2177&gt;=16,TEXT(A2179,"yyyy-mm")&lt;&gt;TEXT(A2180,"yyyy-mm")),1,0)</f>
        <v/>
      </c>
      <c r="H2179">
        <f>IF(OR(H2178=1,G2179=1),1,0)</f>
        <v/>
      </c>
      <c r="I2179">
        <f>IF(H2178=0,1,SUMPRODUCT(J2178:N2178,B2179:F2179)+O2178*(1+0.00023125256064071564))</f>
        <v/>
      </c>
      <c r="J2179">
        <f>IF(G2179=1,0.2*R2179/B2179,J2178)</f>
        <v/>
      </c>
      <c r="K2179">
        <f>IF(G2179=1,0.2*R2179/C2179,K2178)</f>
        <v/>
      </c>
      <c r="L2179">
        <f>IF(G2179=1,0.2*R2179/D2179,L2178)</f>
        <v/>
      </c>
      <c r="M2179">
        <f>IF(G2179=1,0.2*R2179/E2179,M2178)</f>
        <v/>
      </c>
      <c r="N2179">
        <f>IF(G2179=1,0.2*R2179/F2179,N2178)</f>
        <v/>
      </c>
      <c r="O2179">
        <f>IF(G2179=1,R2179*(1-1.0),IF(H2178=0,1,O2178*(1+0.00023125256064071564)))</f>
        <v/>
      </c>
      <c r="P2179">
        <f>IF(G2179=1,IF(H2178=0,1,ABS(0.2-J2178*B2179/I2179)+ABS(0.2-K2178*C2179/I2179)+ABS(0.2-L2178*D2179/I2179)+ABS(0.2-M2178*E2179/I2179)+ABS(0.2-N2178*F2179/I2179)),0)</f>
        <v/>
      </c>
      <c r="Q2179">
        <f>P2179*0.0015</f>
        <v/>
      </c>
      <c r="R2179">
        <f>I2179*(1-Q2179)</f>
        <v/>
      </c>
      <c r="S2179">
        <f>R2179/R2178-1</f>
        <v/>
      </c>
      <c r="T2179">
        <f>MAX(T2178,R2179)</f>
        <v/>
      </c>
      <c r="U2179">
        <f>R2179/T2179-1</f>
        <v/>
      </c>
      <c r="V2179" t="n">
        <v>3.907104705750325</v>
      </c>
      <c r="W2179" s="5">
        <f>R2179-V2179</f>
        <v/>
      </c>
    </row>
    <row r="2180">
      <c r="A2180" s="3" t="n">
        <v>41640</v>
      </c>
      <c r="B2180">
        <f>Prices!B2180</f>
        <v/>
      </c>
      <c r="C2180">
        <f>Prices!C2180</f>
        <v/>
      </c>
      <c r="D2180">
        <f>Prices!D2180</f>
        <v/>
      </c>
      <c r="E2180">
        <f>Prices!E2180</f>
        <v/>
      </c>
      <c r="F2180">
        <f>Prices!F2180</f>
        <v/>
      </c>
      <c r="G2180">
        <f>IF(AND(2178&gt;=16,TEXT(A2180,"yyyy-mm")&lt;&gt;TEXT(A2181,"yyyy-mm")),1,0)</f>
        <v/>
      </c>
      <c r="H2180">
        <f>IF(OR(H2179=1,G2180=1),1,0)</f>
        <v/>
      </c>
      <c r="I2180">
        <f>IF(H2179=0,1,SUMPRODUCT(J2179:N2179,B2180:F2180)+O2179*(1+0.00023125256064071564))</f>
        <v/>
      </c>
      <c r="J2180">
        <f>IF(G2180=1,0.2*R2180/B2180,J2179)</f>
        <v/>
      </c>
      <c r="K2180">
        <f>IF(G2180=1,0.2*R2180/C2180,K2179)</f>
        <v/>
      </c>
      <c r="L2180">
        <f>IF(G2180=1,0.2*R2180/D2180,L2179)</f>
        <v/>
      </c>
      <c r="M2180">
        <f>IF(G2180=1,0.2*R2180/E2180,M2179)</f>
        <v/>
      </c>
      <c r="N2180">
        <f>IF(G2180=1,0.2*R2180/F2180,N2179)</f>
        <v/>
      </c>
      <c r="O2180">
        <f>IF(G2180=1,R2180*(1-1.0),IF(H2179=0,1,O2179*(1+0.00023125256064071564)))</f>
        <v/>
      </c>
      <c r="P2180">
        <f>IF(G2180=1,IF(H2179=0,1,ABS(0.2-J2179*B2180/I2180)+ABS(0.2-K2179*C2180/I2180)+ABS(0.2-L2179*D2180/I2180)+ABS(0.2-M2179*E2180/I2180)+ABS(0.2-N2179*F2180/I2180)),0)</f>
        <v/>
      </c>
      <c r="Q2180">
        <f>P2180*0.0015</f>
        <v/>
      </c>
      <c r="R2180">
        <f>I2180*(1-Q2180)</f>
        <v/>
      </c>
      <c r="S2180">
        <f>R2180/R2179-1</f>
        <v/>
      </c>
      <c r="T2180">
        <f>MAX(T2179,R2180)</f>
        <v/>
      </c>
      <c r="U2180">
        <f>R2180/T2180-1</f>
        <v/>
      </c>
      <c r="V2180" t="n">
        <v>3.933011931553592</v>
      </c>
      <c r="W2180" s="5">
        <f>R2180-V2180</f>
        <v/>
      </c>
    </row>
    <row r="2181">
      <c r="A2181" s="3" t="n">
        <v>41641</v>
      </c>
      <c r="B2181">
        <f>Prices!B2181</f>
        <v/>
      </c>
      <c r="C2181">
        <f>Prices!C2181</f>
        <v/>
      </c>
      <c r="D2181">
        <f>Prices!D2181</f>
        <v/>
      </c>
      <c r="E2181">
        <f>Prices!E2181</f>
        <v/>
      </c>
      <c r="F2181">
        <f>Prices!F2181</f>
        <v/>
      </c>
      <c r="G2181">
        <f>IF(AND(2179&gt;=16,TEXT(A2181,"yyyy-mm")&lt;&gt;TEXT(A2182,"yyyy-mm")),1,0)</f>
        <v/>
      </c>
      <c r="H2181">
        <f>IF(OR(H2180=1,G2181=1),1,0)</f>
        <v/>
      </c>
      <c r="I2181">
        <f>IF(H2180=0,1,SUMPRODUCT(J2180:N2180,B2181:F2181)+O2180*(1+0.00023125256064071564))</f>
        <v/>
      </c>
      <c r="J2181">
        <f>IF(G2181=1,0.2*R2181/B2181,J2180)</f>
        <v/>
      </c>
      <c r="K2181">
        <f>IF(G2181=1,0.2*R2181/C2181,K2180)</f>
        <v/>
      </c>
      <c r="L2181">
        <f>IF(G2181=1,0.2*R2181/D2181,L2180)</f>
        <v/>
      </c>
      <c r="M2181">
        <f>IF(G2181=1,0.2*R2181/E2181,M2180)</f>
        <v/>
      </c>
      <c r="N2181">
        <f>IF(G2181=1,0.2*R2181/F2181,N2180)</f>
        <v/>
      </c>
      <c r="O2181">
        <f>IF(G2181=1,R2181*(1-1.0),IF(H2180=0,1,O2180*(1+0.00023125256064071564)))</f>
        <v/>
      </c>
      <c r="P2181">
        <f>IF(G2181=1,IF(H2180=0,1,ABS(0.2-J2180*B2181/I2181)+ABS(0.2-K2180*C2181/I2181)+ABS(0.2-L2180*D2181/I2181)+ABS(0.2-M2180*E2181/I2181)+ABS(0.2-N2180*F2181/I2181)),0)</f>
        <v/>
      </c>
      <c r="Q2181">
        <f>P2181*0.0015</f>
        <v/>
      </c>
      <c r="R2181">
        <f>I2181*(1-Q2181)</f>
        <v/>
      </c>
      <c r="S2181">
        <f>R2181/R2180-1</f>
        <v/>
      </c>
      <c r="T2181">
        <f>MAX(T2180,R2181)</f>
        <v/>
      </c>
      <c r="U2181">
        <f>R2181/T2181-1</f>
        <v/>
      </c>
      <c r="V2181" t="n">
        <v>3.867247670125992</v>
      </c>
      <c r="W2181" s="5">
        <f>R2181-V2181</f>
        <v/>
      </c>
    </row>
    <row r="2182">
      <c r="A2182" s="3" t="n">
        <v>41642</v>
      </c>
      <c r="B2182">
        <f>Prices!B2182</f>
        <v/>
      </c>
      <c r="C2182">
        <f>Prices!C2182</f>
        <v/>
      </c>
      <c r="D2182">
        <f>Prices!D2182</f>
        <v/>
      </c>
      <c r="E2182">
        <f>Prices!E2182</f>
        <v/>
      </c>
      <c r="F2182">
        <f>Prices!F2182</f>
        <v/>
      </c>
      <c r="G2182">
        <f>IF(AND(2180&gt;=16,TEXT(A2182,"yyyy-mm")&lt;&gt;TEXT(A2183,"yyyy-mm")),1,0)</f>
        <v/>
      </c>
      <c r="H2182">
        <f>IF(OR(H2181=1,G2182=1),1,0)</f>
        <v/>
      </c>
      <c r="I2182">
        <f>IF(H2181=0,1,SUMPRODUCT(J2181:N2181,B2182:F2182)+O2181*(1+0.00023125256064071564))</f>
        <v/>
      </c>
      <c r="J2182">
        <f>IF(G2182=1,0.2*R2182/B2182,J2181)</f>
        <v/>
      </c>
      <c r="K2182">
        <f>IF(G2182=1,0.2*R2182/C2182,K2181)</f>
        <v/>
      </c>
      <c r="L2182">
        <f>IF(G2182=1,0.2*R2182/D2182,L2181)</f>
        <v/>
      </c>
      <c r="M2182">
        <f>IF(G2182=1,0.2*R2182/E2182,M2181)</f>
        <v/>
      </c>
      <c r="N2182">
        <f>IF(G2182=1,0.2*R2182/F2182,N2181)</f>
        <v/>
      </c>
      <c r="O2182">
        <f>IF(G2182=1,R2182*(1-1.0),IF(H2181=0,1,O2181*(1+0.00023125256064071564)))</f>
        <v/>
      </c>
      <c r="P2182">
        <f>IF(G2182=1,IF(H2181=0,1,ABS(0.2-J2181*B2182/I2182)+ABS(0.2-K2181*C2182/I2182)+ABS(0.2-L2181*D2182/I2182)+ABS(0.2-M2181*E2182/I2182)+ABS(0.2-N2181*F2182/I2182)),0)</f>
        <v/>
      </c>
      <c r="Q2182">
        <f>P2182*0.0015</f>
        <v/>
      </c>
      <c r="R2182">
        <f>I2182*(1-Q2182)</f>
        <v/>
      </c>
      <c r="S2182">
        <f>R2182/R2181-1</f>
        <v/>
      </c>
      <c r="T2182">
        <f>MAX(T2181,R2182)</f>
        <v/>
      </c>
      <c r="U2182">
        <f>R2182/T2182-1</f>
        <v/>
      </c>
      <c r="V2182" t="n">
        <v>3.892852484636293</v>
      </c>
      <c r="W2182" s="5">
        <f>R2182-V2182</f>
        <v/>
      </c>
    </row>
    <row r="2183">
      <c r="A2183" s="3" t="n">
        <v>41645</v>
      </c>
      <c r="B2183">
        <f>Prices!B2183</f>
        <v/>
      </c>
      <c r="C2183">
        <f>Prices!C2183</f>
        <v/>
      </c>
      <c r="D2183">
        <f>Prices!D2183</f>
        <v/>
      </c>
      <c r="E2183">
        <f>Prices!E2183</f>
        <v/>
      </c>
      <c r="F2183">
        <f>Prices!F2183</f>
        <v/>
      </c>
      <c r="G2183">
        <f>IF(AND(2181&gt;=16,TEXT(A2183,"yyyy-mm")&lt;&gt;TEXT(A2184,"yyyy-mm")),1,0)</f>
        <v/>
      </c>
      <c r="H2183">
        <f>IF(OR(H2182=1,G2183=1),1,0)</f>
        <v/>
      </c>
      <c r="I2183">
        <f>IF(H2182=0,1,SUMPRODUCT(J2182:N2182,B2183:F2183)+O2182*(1+0.00023125256064071564))</f>
        <v/>
      </c>
      <c r="J2183">
        <f>IF(G2183=1,0.2*R2183/B2183,J2182)</f>
        <v/>
      </c>
      <c r="K2183">
        <f>IF(G2183=1,0.2*R2183/C2183,K2182)</f>
        <v/>
      </c>
      <c r="L2183">
        <f>IF(G2183=1,0.2*R2183/D2183,L2182)</f>
        <v/>
      </c>
      <c r="M2183">
        <f>IF(G2183=1,0.2*R2183/E2183,M2182)</f>
        <v/>
      </c>
      <c r="N2183">
        <f>IF(G2183=1,0.2*R2183/F2183,N2182)</f>
        <v/>
      </c>
      <c r="O2183">
        <f>IF(G2183=1,R2183*(1-1.0),IF(H2182=0,1,O2182*(1+0.00023125256064071564)))</f>
        <v/>
      </c>
      <c r="P2183">
        <f>IF(G2183=1,IF(H2182=0,1,ABS(0.2-J2182*B2183/I2183)+ABS(0.2-K2182*C2183/I2183)+ABS(0.2-L2182*D2183/I2183)+ABS(0.2-M2182*E2183/I2183)+ABS(0.2-N2182*F2183/I2183)),0)</f>
        <v/>
      </c>
      <c r="Q2183">
        <f>P2183*0.0015</f>
        <v/>
      </c>
      <c r="R2183">
        <f>I2183*(1-Q2183)</f>
        <v/>
      </c>
      <c r="S2183">
        <f>R2183/R2182-1</f>
        <v/>
      </c>
      <c r="T2183">
        <f>MAX(T2182,R2183)</f>
        <v/>
      </c>
      <c r="U2183">
        <f>R2183/T2183-1</f>
        <v/>
      </c>
      <c r="V2183" t="n">
        <v>3.900611882918929</v>
      </c>
      <c r="W2183" s="5">
        <f>R2183-V2183</f>
        <v/>
      </c>
    </row>
    <row r="2184">
      <c r="A2184" s="3" t="n">
        <v>41646</v>
      </c>
      <c r="B2184">
        <f>Prices!B2184</f>
        <v/>
      </c>
      <c r="C2184">
        <f>Prices!C2184</f>
        <v/>
      </c>
      <c r="D2184">
        <f>Prices!D2184</f>
        <v/>
      </c>
      <c r="E2184">
        <f>Prices!E2184</f>
        <v/>
      </c>
      <c r="F2184">
        <f>Prices!F2184</f>
        <v/>
      </c>
      <c r="G2184">
        <f>IF(AND(2182&gt;=16,TEXT(A2184,"yyyy-mm")&lt;&gt;TEXT(A2185,"yyyy-mm")),1,0)</f>
        <v/>
      </c>
      <c r="H2184">
        <f>IF(OR(H2183=1,G2184=1),1,0)</f>
        <v/>
      </c>
      <c r="I2184">
        <f>IF(H2183=0,1,SUMPRODUCT(J2183:N2183,B2184:F2184)+O2183*(1+0.00023125256064071564))</f>
        <v/>
      </c>
      <c r="J2184">
        <f>IF(G2184=1,0.2*R2184/B2184,J2183)</f>
        <v/>
      </c>
      <c r="K2184">
        <f>IF(G2184=1,0.2*R2184/C2184,K2183)</f>
        <v/>
      </c>
      <c r="L2184">
        <f>IF(G2184=1,0.2*R2184/D2184,L2183)</f>
        <v/>
      </c>
      <c r="M2184">
        <f>IF(G2184=1,0.2*R2184/E2184,M2183)</f>
        <v/>
      </c>
      <c r="N2184">
        <f>IF(G2184=1,0.2*R2184/F2184,N2183)</f>
        <v/>
      </c>
      <c r="O2184">
        <f>IF(G2184=1,R2184*(1-1.0),IF(H2183=0,1,O2183*(1+0.00023125256064071564)))</f>
        <v/>
      </c>
      <c r="P2184">
        <f>IF(G2184=1,IF(H2183=0,1,ABS(0.2-J2183*B2184/I2184)+ABS(0.2-K2183*C2184/I2184)+ABS(0.2-L2183*D2184/I2184)+ABS(0.2-M2183*E2184/I2184)+ABS(0.2-N2183*F2184/I2184)),0)</f>
        <v/>
      </c>
      <c r="Q2184">
        <f>P2184*0.0015</f>
        <v/>
      </c>
      <c r="R2184">
        <f>I2184*(1-Q2184)</f>
        <v/>
      </c>
      <c r="S2184">
        <f>R2184/R2183-1</f>
        <v/>
      </c>
      <c r="T2184">
        <f>MAX(T2183,R2184)</f>
        <v/>
      </c>
      <c r="U2184">
        <f>R2184/T2184-1</f>
        <v/>
      </c>
      <c r="V2184" t="n">
        <v>3.887360668600929</v>
      </c>
      <c r="W2184" s="5">
        <f>R2184-V2184</f>
        <v/>
      </c>
    </row>
    <row r="2185">
      <c r="A2185" s="3" t="n">
        <v>41647</v>
      </c>
      <c r="B2185">
        <f>Prices!B2185</f>
        <v/>
      </c>
      <c r="C2185">
        <f>Prices!C2185</f>
        <v/>
      </c>
      <c r="D2185">
        <f>Prices!D2185</f>
        <v/>
      </c>
      <c r="E2185">
        <f>Prices!E2185</f>
        <v/>
      </c>
      <c r="F2185">
        <f>Prices!F2185</f>
        <v/>
      </c>
      <c r="G2185">
        <f>IF(AND(2183&gt;=16,TEXT(A2185,"yyyy-mm")&lt;&gt;TEXT(A2186,"yyyy-mm")),1,0)</f>
        <v/>
      </c>
      <c r="H2185">
        <f>IF(OR(H2184=1,G2185=1),1,0)</f>
        <v/>
      </c>
      <c r="I2185">
        <f>IF(H2184=0,1,SUMPRODUCT(J2184:N2184,B2185:F2185)+O2184*(1+0.00023125256064071564))</f>
        <v/>
      </c>
      <c r="J2185">
        <f>IF(G2185=1,0.2*R2185/B2185,J2184)</f>
        <v/>
      </c>
      <c r="K2185">
        <f>IF(G2185=1,0.2*R2185/C2185,K2184)</f>
        <v/>
      </c>
      <c r="L2185">
        <f>IF(G2185=1,0.2*R2185/D2185,L2184)</f>
        <v/>
      </c>
      <c r="M2185">
        <f>IF(G2185=1,0.2*R2185/E2185,M2184)</f>
        <v/>
      </c>
      <c r="N2185">
        <f>IF(G2185=1,0.2*R2185/F2185,N2184)</f>
        <v/>
      </c>
      <c r="O2185">
        <f>IF(G2185=1,R2185*(1-1.0),IF(H2184=0,1,O2184*(1+0.00023125256064071564)))</f>
        <v/>
      </c>
      <c r="P2185">
        <f>IF(G2185=1,IF(H2184=0,1,ABS(0.2-J2184*B2185/I2185)+ABS(0.2-K2184*C2185/I2185)+ABS(0.2-L2184*D2185/I2185)+ABS(0.2-M2184*E2185/I2185)+ABS(0.2-N2184*F2185/I2185)),0)</f>
        <v/>
      </c>
      <c r="Q2185">
        <f>P2185*0.0015</f>
        <v/>
      </c>
      <c r="R2185">
        <f>I2185*(1-Q2185)</f>
        <v/>
      </c>
      <c r="S2185">
        <f>R2185/R2184-1</f>
        <v/>
      </c>
      <c r="T2185">
        <f>MAX(T2184,R2185)</f>
        <v/>
      </c>
      <c r="U2185">
        <f>R2185/T2185-1</f>
        <v/>
      </c>
      <c r="V2185" t="n">
        <v>3.909823893733675</v>
      </c>
      <c r="W2185" s="5">
        <f>R2185-V2185</f>
        <v/>
      </c>
    </row>
    <row r="2186">
      <c r="A2186" s="3" t="n">
        <v>41648</v>
      </c>
      <c r="B2186">
        <f>Prices!B2186</f>
        <v/>
      </c>
      <c r="C2186">
        <f>Prices!C2186</f>
        <v/>
      </c>
      <c r="D2186">
        <f>Prices!D2186</f>
        <v/>
      </c>
      <c r="E2186">
        <f>Prices!E2186</f>
        <v/>
      </c>
      <c r="F2186">
        <f>Prices!F2186</f>
        <v/>
      </c>
      <c r="G2186">
        <f>IF(AND(2184&gt;=16,TEXT(A2186,"yyyy-mm")&lt;&gt;TEXT(A2187,"yyyy-mm")),1,0)</f>
        <v/>
      </c>
      <c r="H2186">
        <f>IF(OR(H2185=1,G2186=1),1,0)</f>
        <v/>
      </c>
      <c r="I2186">
        <f>IF(H2185=0,1,SUMPRODUCT(J2185:N2185,B2186:F2186)+O2185*(1+0.00023125256064071564))</f>
        <v/>
      </c>
      <c r="J2186">
        <f>IF(G2186=1,0.2*R2186/B2186,J2185)</f>
        <v/>
      </c>
      <c r="K2186">
        <f>IF(G2186=1,0.2*R2186/C2186,K2185)</f>
        <v/>
      </c>
      <c r="L2186">
        <f>IF(G2186=1,0.2*R2186/D2186,L2185)</f>
        <v/>
      </c>
      <c r="M2186">
        <f>IF(G2186=1,0.2*R2186/E2186,M2185)</f>
        <v/>
      </c>
      <c r="N2186">
        <f>IF(G2186=1,0.2*R2186/F2186,N2185)</f>
        <v/>
      </c>
      <c r="O2186">
        <f>IF(G2186=1,R2186*(1-1.0),IF(H2185=0,1,O2185*(1+0.00023125256064071564)))</f>
        <v/>
      </c>
      <c r="P2186">
        <f>IF(G2186=1,IF(H2185=0,1,ABS(0.2-J2185*B2186/I2186)+ABS(0.2-K2185*C2186/I2186)+ABS(0.2-L2185*D2186/I2186)+ABS(0.2-M2185*E2186/I2186)+ABS(0.2-N2185*F2186/I2186)),0)</f>
        <v/>
      </c>
      <c r="Q2186">
        <f>P2186*0.0015</f>
        <v/>
      </c>
      <c r="R2186">
        <f>I2186*(1-Q2186)</f>
        <v/>
      </c>
      <c r="S2186">
        <f>R2186/R2185-1</f>
        <v/>
      </c>
      <c r="T2186">
        <f>MAX(T2185,R2186)</f>
        <v/>
      </c>
      <c r="U2186">
        <f>R2186/T2186-1</f>
        <v/>
      </c>
      <c r="V2186" t="n">
        <v>3.898370822789275</v>
      </c>
      <c r="W2186" s="5">
        <f>R2186-V2186</f>
        <v/>
      </c>
    </row>
    <row r="2187">
      <c r="A2187" s="3" t="n">
        <v>41649</v>
      </c>
      <c r="B2187">
        <f>Prices!B2187</f>
        <v/>
      </c>
      <c r="C2187">
        <f>Prices!C2187</f>
        <v/>
      </c>
      <c r="D2187">
        <f>Prices!D2187</f>
        <v/>
      </c>
      <c r="E2187">
        <f>Prices!E2187</f>
        <v/>
      </c>
      <c r="F2187">
        <f>Prices!F2187</f>
        <v/>
      </c>
      <c r="G2187">
        <f>IF(AND(2185&gt;=16,TEXT(A2187,"yyyy-mm")&lt;&gt;TEXT(A2188,"yyyy-mm")),1,0)</f>
        <v/>
      </c>
      <c r="H2187">
        <f>IF(OR(H2186=1,G2187=1),1,0)</f>
        <v/>
      </c>
      <c r="I2187">
        <f>IF(H2186=0,1,SUMPRODUCT(J2186:N2186,B2187:F2187)+O2186*(1+0.00023125256064071564))</f>
        <v/>
      </c>
      <c r="J2187">
        <f>IF(G2187=1,0.2*R2187/B2187,J2186)</f>
        <v/>
      </c>
      <c r="K2187">
        <f>IF(G2187=1,0.2*R2187/C2187,K2186)</f>
        <v/>
      </c>
      <c r="L2187">
        <f>IF(G2187=1,0.2*R2187/D2187,L2186)</f>
        <v/>
      </c>
      <c r="M2187">
        <f>IF(G2187=1,0.2*R2187/E2187,M2186)</f>
        <v/>
      </c>
      <c r="N2187">
        <f>IF(G2187=1,0.2*R2187/F2187,N2186)</f>
        <v/>
      </c>
      <c r="O2187">
        <f>IF(G2187=1,R2187*(1-1.0),IF(H2186=0,1,O2186*(1+0.00023125256064071564)))</f>
        <v/>
      </c>
      <c r="P2187">
        <f>IF(G2187=1,IF(H2186=0,1,ABS(0.2-J2186*B2187/I2187)+ABS(0.2-K2186*C2187/I2187)+ABS(0.2-L2186*D2187/I2187)+ABS(0.2-M2186*E2187/I2187)+ABS(0.2-N2186*F2187/I2187)),0)</f>
        <v/>
      </c>
      <c r="Q2187">
        <f>P2187*0.0015</f>
        <v/>
      </c>
      <c r="R2187">
        <f>I2187*(1-Q2187)</f>
        <v/>
      </c>
      <c r="S2187">
        <f>R2187/R2186-1</f>
        <v/>
      </c>
      <c r="T2187">
        <f>MAX(T2186,R2187)</f>
        <v/>
      </c>
      <c r="U2187">
        <f>R2187/T2187-1</f>
        <v/>
      </c>
      <c r="V2187" t="n">
        <v>3.88963601630838</v>
      </c>
      <c r="W2187" s="5">
        <f>R2187-V2187</f>
        <v/>
      </c>
    </row>
    <row r="2188">
      <c r="A2188" s="3" t="n">
        <v>41652</v>
      </c>
      <c r="B2188">
        <f>Prices!B2188</f>
        <v/>
      </c>
      <c r="C2188">
        <f>Prices!C2188</f>
        <v/>
      </c>
      <c r="D2188">
        <f>Prices!D2188</f>
        <v/>
      </c>
      <c r="E2188">
        <f>Prices!E2188</f>
        <v/>
      </c>
      <c r="F2188">
        <f>Prices!F2188</f>
        <v/>
      </c>
      <c r="G2188">
        <f>IF(AND(2186&gt;=16,TEXT(A2188,"yyyy-mm")&lt;&gt;TEXT(A2189,"yyyy-mm")),1,0)</f>
        <v/>
      </c>
      <c r="H2188">
        <f>IF(OR(H2187=1,G2188=1),1,0)</f>
        <v/>
      </c>
      <c r="I2188">
        <f>IF(H2187=0,1,SUMPRODUCT(J2187:N2187,B2188:F2188)+O2187*(1+0.00023125256064071564))</f>
        <v/>
      </c>
      <c r="J2188">
        <f>IF(G2188=1,0.2*R2188/B2188,J2187)</f>
        <v/>
      </c>
      <c r="K2188">
        <f>IF(G2188=1,0.2*R2188/C2188,K2187)</f>
        <v/>
      </c>
      <c r="L2188">
        <f>IF(G2188=1,0.2*R2188/D2188,L2187)</f>
        <v/>
      </c>
      <c r="M2188">
        <f>IF(G2188=1,0.2*R2188/E2188,M2187)</f>
        <v/>
      </c>
      <c r="N2188">
        <f>IF(G2188=1,0.2*R2188/F2188,N2187)</f>
        <v/>
      </c>
      <c r="O2188">
        <f>IF(G2188=1,R2188*(1-1.0),IF(H2187=0,1,O2187*(1+0.00023125256064071564)))</f>
        <v/>
      </c>
      <c r="P2188">
        <f>IF(G2188=1,IF(H2187=0,1,ABS(0.2-J2187*B2188/I2188)+ABS(0.2-K2187*C2188/I2188)+ABS(0.2-L2187*D2188/I2188)+ABS(0.2-M2187*E2188/I2188)+ABS(0.2-N2187*F2188/I2188)),0)</f>
        <v/>
      </c>
      <c r="Q2188">
        <f>P2188*0.0015</f>
        <v/>
      </c>
      <c r="R2188">
        <f>I2188*(1-Q2188)</f>
        <v/>
      </c>
      <c r="S2188">
        <f>R2188/R2187-1</f>
        <v/>
      </c>
      <c r="T2188">
        <f>MAX(T2187,R2188)</f>
        <v/>
      </c>
      <c r="U2188">
        <f>R2188/T2188-1</f>
        <v/>
      </c>
      <c r="V2188" t="n">
        <v>3.907379314488727</v>
      </c>
      <c r="W2188" s="5">
        <f>R2188-V2188</f>
        <v/>
      </c>
    </row>
    <row r="2189">
      <c r="A2189" s="3" t="n">
        <v>41653</v>
      </c>
      <c r="B2189">
        <f>Prices!B2189</f>
        <v/>
      </c>
      <c r="C2189">
        <f>Prices!C2189</f>
        <v/>
      </c>
      <c r="D2189">
        <f>Prices!D2189</f>
        <v/>
      </c>
      <c r="E2189">
        <f>Prices!E2189</f>
        <v/>
      </c>
      <c r="F2189">
        <f>Prices!F2189</f>
        <v/>
      </c>
      <c r="G2189">
        <f>IF(AND(2187&gt;=16,TEXT(A2189,"yyyy-mm")&lt;&gt;TEXT(A2190,"yyyy-mm")),1,0)</f>
        <v/>
      </c>
      <c r="H2189">
        <f>IF(OR(H2188=1,G2189=1),1,0)</f>
        <v/>
      </c>
      <c r="I2189">
        <f>IF(H2188=0,1,SUMPRODUCT(J2188:N2188,B2189:F2189)+O2188*(1+0.00023125256064071564))</f>
        <v/>
      </c>
      <c r="J2189">
        <f>IF(G2189=1,0.2*R2189/B2189,J2188)</f>
        <v/>
      </c>
      <c r="K2189">
        <f>IF(G2189=1,0.2*R2189/C2189,K2188)</f>
        <v/>
      </c>
      <c r="L2189">
        <f>IF(G2189=1,0.2*R2189/D2189,L2188)</f>
        <v/>
      </c>
      <c r="M2189">
        <f>IF(G2189=1,0.2*R2189/E2189,M2188)</f>
        <v/>
      </c>
      <c r="N2189">
        <f>IF(G2189=1,0.2*R2189/F2189,N2188)</f>
        <v/>
      </c>
      <c r="O2189">
        <f>IF(G2189=1,R2189*(1-1.0),IF(H2188=0,1,O2188*(1+0.00023125256064071564)))</f>
        <v/>
      </c>
      <c r="P2189">
        <f>IF(G2189=1,IF(H2188=0,1,ABS(0.2-J2188*B2189/I2189)+ABS(0.2-K2188*C2189/I2189)+ABS(0.2-L2188*D2189/I2189)+ABS(0.2-M2188*E2189/I2189)+ABS(0.2-N2188*F2189/I2189)),0)</f>
        <v/>
      </c>
      <c r="Q2189">
        <f>P2189*0.0015</f>
        <v/>
      </c>
      <c r="R2189">
        <f>I2189*(1-Q2189)</f>
        <v/>
      </c>
      <c r="S2189">
        <f>R2189/R2188-1</f>
        <v/>
      </c>
      <c r="T2189">
        <f>MAX(T2188,R2189)</f>
        <v/>
      </c>
      <c r="U2189">
        <f>R2189/T2189-1</f>
        <v/>
      </c>
      <c r="V2189" t="n">
        <v>3.895729871472818</v>
      </c>
      <c r="W2189" s="5">
        <f>R2189-V2189</f>
        <v/>
      </c>
    </row>
    <row r="2190">
      <c r="A2190" s="3" t="n">
        <v>41654</v>
      </c>
      <c r="B2190">
        <f>Prices!B2190</f>
        <v/>
      </c>
      <c r="C2190">
        <f>Prices!C2190</f>
        <v/>
      </c>
      <c r="D2190">
        <f>Prices!D2190</f>
        <v/>
      </c>
      <c r="E2190">
        <f>Prices!E2190</f>
        <v/>
      </c>
      <c r="F2190">
        <f>Prices!F2190</f>
        <v/>
      </c>
      <c r="G2190">
        <f>IF(AND(2188&gt;=16,TEXT(A2190,"yyyy-mm")&lt;&gt;TEXT(A2191,"yyyy-mm")),1,0)</f>
        <v/>
      </c>
      <c r="H2190">
        <f>IF(OR(H2189=1,G2190=1),1,0)</f>
        <v/>
      </c>
      <c r="I2190">
        <f>IF(H2189=0,1,SUMPRODUCT(J2189:N2189,B2190:F2190)+O2189*(1+0.00023125256064071564))</f>
        <v/>
      </c>
      <c r="J2190">
        <f>IF(G2190=1,0.2*R2190/B2190,J2189)</f>
        <v/>
      </c>
      <c r="K2190">
        <f>IF(G2190=1,0.2*R2190/C2190,K2189)</f>
        <v/>
      </c>
      <c r="L2190">
        <f>IF(G2190=1,0.2*R2190/D2190,L2189)</f>
        <v/>
      </c>
      <c r="M2190">
        <f>IF(G2190=1,0.2*R2190/E2190,M2189)</f>
        <v/>
      </c>
      <c r="N2190">
        <f>IF(G2190=1,0.2*R2190/F2190,N2189)</f>
        <v/>
      </c>
      <c r="O2190">
        <f>IF(G2190=1,R2190*(1-1.0),IF(H2189=0,1,O2189*(1+0.00023125256064071564)))</f>
        <v/>
      </c>
      <c r="P2190">
        <f>IF(G2190=1,IF(H2189=0,1,ABS(0.2-J2189*B2190/I2190)+ABS(0.2-K2189*C2190/I2190)+ABS(0.2-L2189*D2190/I2190)+ABS(0.2-M2189*E2190/I2190)+ABS(0.2-N2189*F2190/I2190)),0)</f>
        <v/>
      </c>
      <c r="Q2190">
        <f>P2190*0.0015</f>
        <v/>
      </c>
      <c r="R2190">
        <f>I2190*(1-Q2190)</f>
        <v/>
      </c>
      <c r="S2190">
        <f>R2190/R2189-1</f>
        <v/>
      </c>
      <c r="T2190">
        <f>MAX(T2189,R2190)</f>
        <v/>
      </c>
      <c r="U2190">
        <f>R2190/T2190-1</f>
        <v/>
      </c>
      <c r="V2190" t="n">
        <v>3.916785328121172</v>
      </c>
      <c r="W2190" s="5">
        <f>R2190-V2190</f>
        <v/>
      </c>
    </row>
    <row r="2191">
      <c r="A2191" s="3" t="n">
        <v>41655</v>
      </c>
      <c r="B2191">
        <f>Prices!B2191</f>
        <v/>
      </c>
      <c r="C2191">
        <f>Prices!C2191</f>
        <v/>
      </c>
      <c r="D2191">
        <f>Prices!D2191</f>
        <v/>
      </c>
      <c r="E2191">
        <f>Prices!E2191</f>
        <v/>
      </c>
      <c r="F2191">
        <f>Prices!F2191</f>
        <v/>
      </c>
      <c r="G2191">
        <f>IF(AND(2189&gt;=16,TEXT(A2191,"yyyy-mm")&lt;&gt;TEXT(A2192,"yyyy-mm")),1,0)</f>
        <v/>
      </c>
      <c r="H2191">
        <f>IF(OR(H2190=1,G2191=1),1,0)</f>
        <v/>
      </c>
      <c r="I2191">
        <f>IF(H2190=0,1,SUMPRODUCT(J2190:N2190,B2191:F2191)+O2190*(1+0.00023125256064071564))</f>
        <v/>
      </c>
      <c r="J2191">
        <f>IF(G2191=1,0.2*R2191/B2191,J2190)</f>
        <v/>
      </c>
      <c r="K2191">
        <f>IF(G2191=1,0.2*R2191/C2191,K2190)</f>
        <v/>
      </c>
      <c r="L2191">
        <f>IF(G2191=1,0.2*R2191/D2191,L2190)</f>
        <v/>
      </c>
      <c r="M2191">
        <f>IF(G2191=1,0.2*R2191/E2191,M2190)</f>
        <v/>
      </c>
      <c r="N2191">
        <f>IF(G2191=1,0.2*R2191/F2191,N2190)</f>
        <v/>
      </c>
      <c r="O2191">
        <f>IF(G2191=1,R2191*(1-1.0),IF(H2190=0,1,O2190*(1+0.00023125256064071564)))</f>
        <v/>
      </c>
      <c r="P2191">
        <f>IF(G2191=1,IF(H2190=0,1,ABS(0.2-J2190*B2191/I2191)+ABS(0.2-K2190*C2191/I2191)+ABS(0.2-L2190*D2191/I2191)+ABS(0.2-M2190*E2191/I2191)+ABS(0.2-N2190*F2191/I2191)),0)</f>
        <v/>
      </c>
      <c r="Q2191">
        <f>P2191*0.0015</f>
        <v/>
      </c>
      <c r="R2191">
        <f>I2191*(1-Q2191)</f>
        <v/>
      </c>
      <c r="S2191">
        <f>R2191/R2190-1</f>
        <v/>
      </c>
      <c r="T2191">
        <f>MAX(T2190,R2191)</f>
        <v/>
      </c>
      <c r="U2191">
        <f>R2191/T2191-1</f>
        <v/>
      </c>
      <c r="V2191" t="n">
        <v>3.909923736365196</v>
      </c>
      <c r="W2191" s="5">
        <f>R2191-V2191</f>
        <v/>
      </c>
    </row>
    <row r="2192">
      <c r="A2192" s="3" t="n">
        <v>41656</v>
      </c>
      <c r="B2192">
        <f>Prices!B2192</f>
        <v/>
      </c>
      <c r="C2192">
        <f>Prices!C2192</f>
        <v/>
      </c>
      <c r="D2192">
        <f>Prices!D2192</f>
        <v/>
      </c>
      <c r="E2192">
        <f>Prices!E2192</f>
        <v/>
      </c>
      <c r="F2192">
        <f>Prices!F2192</f>
        <v/>
      </c>
      <c r="G2192">
        <f>IF(AND(2190&gt;=16,TEXT(A2192,"yyyy-mm")&lt;&gt;TEXT(A2193,"yyyy-mm")),1,0)</f>
        <v/>
      </c>
      <c r="H2192">
        <f>IF(OR(H2191=1,G2192=1),1,0)</f>
        <v/>
      </c>
      <c r="I2192">
        <f>IF(H2191=0,1,SUMPRODUCT(J2191:N2191,B2192:F2192)+O2191*(1+0.00023125256064071564))</f>
        <v/>
      </c>
      <c r="J2192">
        <f>IF(G2192=1,0.2*R2192/B2192,J2191)</f>
        <v/>
      </c>
      <c r="K2192">
        <f>IF(G2192=1,0.2*R2192/C2192,K2191)</f>
        <v/>
      </c>
      <c r="L2192">
        <f>IF(G2192=1,0.2*R2192/D2192,L2191)</f>
        <v/>
      </c>
      <c r="M2192">
        <f>IF(G2192=1,0.2*R2192/E2192,M2191)</f>
        <v/>
      </c>
      <c r="N2192">
        <f>IF(G2192=1,0.2*R2192/F2192,N2191)</f>
        <v/>
      </c>
      <c r="O2192">
        <f>IF(G2192=1,R2192*(1-1.0),IF(H2191=0,1,O2191*(1+0.00023125256064071564)))</f>
        <v/>
      </c>
      <c r="P2192">
        <f>IF(G2192=1,IF(H2191=0,1,ABS(0.2-J2191*B2192/I2192)+ABS(0.2-K2191*C2192/I2192)+ABS(0.2-L2191*D2192/I2192)+ABS(0.2-M2191*E2192/I2192)+ABS(0.2-N2191*F2192/I2192)),0)</f>
        <v/>
      </c>
      <c r="Q2192">
        <f>P2192*0.0015</f>
        <v/>
      </c>
      <c r="R2192">
        <f>I2192*(1-Q2192)</f>
        <v/>
      </c>
      <c r="S2192">
        <f>R2192/R2191-1</f>
        <v/>
      </c>
      <c r="T2192">
        <f>MAX(T2191,R2192)</f>
        <v/>
      </c>
      <c r="U2192">
        <f>R2192/T2192-1</f>
        <v/>
      </c>
      <c r="V2192" t="n">
        <v>3.865660322530986</v>
      </c>
      <c r="W2192" s="5">
        <f>R2192-V2192</f>
        <v/>
      </c>
    </row>
    <row r="2193">
      <c r="A2193" s="3" t="n">
        <v>41659</v>
      </c>
      <c r="B2193">
        <f>Prices!B2193</f>
        <v/>
      </c>
      <c r="C2193">
        <f>Prices!C2193</f>
        <v/>
      </c>
      <c r="D2193">
        <f>Prices!D2193</f>
        <v/>
      </c>
      <c r="E2193">
        <f>Prices!E2193</f>
        <v/>
      </c>
      <c r="F2193">
        <f>Prices!F2193</f>
        <v/>
      </c>
      <c r="G2193">
        <f>IF(AND(2191&gt;=16,TEXT(A2193,"yyyy-mm")&lt;&gt;TEXT(A2194,"yyyy-mm")),1,0)</f>
        <v/>
      </c>
      <c r="H2193">
        <f>IF(OR(H2192=1,G2193=1),1,0)</f>
        <v/>
      </c>
      <c r="I2193">
        <f>IF(H2192=0,1,SUMPRODUCT(J2192:N2192,B2193:F2193)+O2192*(1+0.00023125256064071564))</f>
        <v/>
      </c>
      <c r="J2193">
        <f>IF(G2193=1,0.2*R2193/B2193,J2192)</f>
        <v/>
      </c>
      <c r="K2193">
        <f>IF(G2193=1,0.2*R2193/C2193,K2192)</f>
        <v/>
      </c>
      <c r="L2193">
        <f>IF(G2193=1,0.2*R2193/D2193,L2192)</f>
        <v/>
      </c>
      <c r="M2193">
        <f>IF(G2193=1,0.2*R2193/E2193,M2192)</f>
        <v/>
      </c>
      <c r="N2193">
        <f>IF(G2193=1,0.2*R2193/F2193,N2192)</f>
        <v/>
      </c>
      <c r="O2193">
        <f>IF(G2193=1,R2193*(1-1.0),IF(H2192=0,1,O2192*(1+0.00023125256064071564)))</f>
        <v/>
      </c>
      <c r="P2193">
        <f>IF(G2193=1,IF(H2192=0,1,ABS(0.2-J2192*B2193/I2193)+ABS(0.2-K2192*C2193/I2193)+ABS(0.2-L2192*D2193/I2193)+ABS(0.2-M2192*E2193/I2193)+ABS(0.2-N2192*F2193/I2193)),0)</f>
        <v/>
      </c>
      <c r="Q2193">
        <f>P2193*0.0015</f>
        <v/>
      </c>
      <c r="R2193">
        <f>I2193*(1-Q2193)</f>
        <v/>
      </c>
      <c r="S2193">
        <f>R2193/R2192-1</f>
        <v/>
      </c>
      <c r="T2193">
        <f>MAX(T2192,R2193)</f>
        <v/>
      </c>
      <c r="U2193">
        <f>R2193/T2193-1</f>
        <v/>
      </c>
      <c r="V2193" t="n">
        <v>3.91181397864159</v>
      </c>
      <c r="W2193" s="5">
        <f>R2193-V2193</f>
        <v/>
      </c>
    </row>
    <row r="2194">
      <c r="A2194" s="3" t="n">
        <v>41660</v>
      </c>
      <c r="B2194">
        <f>Prices!B2194</f>
        <v/>
      </c>
      <c r="C2194">
        <f>Prices!C2194</f>
        <v/>
      </c>
      <c r="D2194">
        <f>Prices!D2194</f>
        <v/>
      </c>
      <c r="E2194">
        <f>Prices!E2194</f>
        <v/>
      </c>
      <c r="F2194">
        <f>Prices!F2194</f>
        <v/>
      </c>
      <c r="G2194">
        <f>IF(AND(2192&gt;=16,TEXT(A2194,"yyyy-mm")&lt;&gt;TEXT(A2195,"yyyy-mm")),1,0)</f>
        <v/>
      </c>
      <c r="H2194">
        <f>IF(OR(H2193=1,G2194=1),1,0)</f>
        <v/>
      </c>
      <c r="I2194">
        <f>IF(H2193=0,1,SUMPRODUCT(J2193:N2193,B2194:F2194)+O2193*(1+0.00023125256064071564))</f>
        <v/>
      </c>
      <c r="J2194">
        <f>IF(G2194=1,0.2*R2194/B2194,J2193)</f>
        <v/>
      </c>
      <c r="K2194">
        <f>IF(G2194=1,0.2*R2194/C2194,K2193)</f>
        <v/>
      </c>
      <c r="L2194">
        <f>IF(G2194=1,0.2*R2194/D2194,L2193)</f>
        <v/>
      </c>
      <c r="M2194">
        <f>IF(G2194=1,0.2*R2194/E2194,M2193)</f>
        <v/>
      </c>
      <c r="N2194">
        <f>IF(G2194=1,0.2*R2194/F2194,N2193)</f>
        <v/>
      </c>
      <c r="O2194">
        <f>IF(G2194=1,R2194*(1-1.0),IF(H2193=0,1,O2193*(1+0.00023125256064071564)))</f>
        <v/>
      </c>
      <c r="P2194">
        <f>IF(G2194=1,IF(H2193=0,1,ABS(0.2-J2193*B2194/I2194)+ABS(0.2-K2193*C2194/I2194)+ABS(0.2-L2193*D2194/I2194)+ABS(0.2-M2193*E2194/I2194)+ABS(0.2-N2193*F2194/I2194)),0)</f>
        <v/>
      </c>
      <c r="Q2194">
        <f>P2194*0.0015</f>
        <v/>
      </c>
      <c r="R2194">
        <f>I2194*(1-Q2194)</f>
        <v/>
      </c>
      <c r="S2194">
        <f>R2194/R2193-1</f>
        <v/>
      </c>
      <c r="T2194">
        <f>MAX(T2193,R2194)</f>
        <v/>
      </c>
      <c r="U2194">
        <f>R2194/T2194-1</f>
        <v/>
      </c>
      <c r="V2194" t="n">
        <v>3.916946258065794</v>
      </c>
      <c r="W2194" s="5">
        <f>R2194-V2194</f>
        <v/>
      </c>
    </row>
    <row r="2195">
      <c r="A2195" s="3" t="n">
        <v>41661</v>
      </c>
      <c r="B2195">
        <f>Prices!B2195</f>
        <v/>
      </c>
      <c r="C2195">
        <f>Prices!C2195</f>
        <v/>
      </c>
      <c r="D2195">
        <f>Prices!D2195</f>
        <v/>
      </c>
      <c r="E2195">
        <f>Prices!E2195</f>
        <v/>
      </c>
      <c r="F2195">
        <f>Prices!F2195</f>
        <v/>
      </c>
      <c r="G2195">
        <f>IF(AND(2193&gt;=16,TEXT(A2195,"yyyy-mm")&lt;&gt;TEXT(A2196,"yyyy-mm")),1,0)</f>
        <v/>
      </c>
      <c r="H2195">
        <f>IF(OR(H2194=1,G2195=1),1,0)</f>
        <v/>
      </c>
      <c r="I2195">
        <f>IF(H2194=0,1,SUMPRODUCT(J2194:N2194,B2195:F2195)+O2194*(1+0.00023125256064071564))</f>
        <v/>
      </c>
      <c r="J2195">
        <f>IF(G2195=1,0.2*R2195/B2195,J2194)</f>
        <v/>
      </c>
      <c r="K2195">
        <f>IF(G2195=1,0.2*R2195/C2195,K2194)</f>
        <v/>
      </c>
      <c r="L2195">
        <f>IF(G2195=1,0.2*R2195/D2195,L2194)</f>
        <v/>
      </c>
      <c r="M2195">
        <f>IF(G2195=1,0.2*R2195/E2195,M2194)</f>
        <v/>
      </c>
      <c r="N2195">
        <f>IF(G2195=1,0.2*R2195/F2195,N2194)</f>
        <v/>
      </c>
      <c r="O2195">
        <f>IF(G2195=1,R2195*(1-1.0),IF(H2194=0,1,O2194*(1+0.00023125256064071564)))</f>
        <v/>
      </c>
      <c r="P2195">
        <f>IF(G2195=1,IF(H2194=0,1,ABS(0.2-J2194*B2195/I2195)+ABS(0.2-K2194*C2195/I2195)+ABS(0.2-L2194*D2195/I2195)+ABS(0.2-M2194*E2195/I2195)+ABS(0.2-N2194*F2195/I2195)),0)</f>
        <v/>
      </c>
      <c r="Q2195">
        <f>P2195*0.0015</f>
        <v/>
      </c>
      <c r="R2195">
        <f>I2195*(1-Q2195)</f>
        <v/>
      </c>
      <c r="S2195">
        <f>R2195/R2194-1</f>
        <v/>
      </c>
      <c r="T2195">
        <f>MAX(T2194,R2195)</f>
        <v/>
      </c>
      <c r="U2195">
        <f>R2195/T2195-1</f>
        <v/>
      </c>
      <c r="V2195" t="n">
        <v>3.925954604068117</v>
      </c>
      <c r="W2195" s="5">
        <f>R2195-V2195</f>
        <v/>
      </c>
    </row>
    <row r="2196">
      <c r="A2196" s="3" t="n">
        <v>41662</v>
      </c>
      <c r="B2196">
        <f>Prices!B2196</f>
        <v/>
      </c>
      <c r="C2196">
        <f>Prices!C2196</f>
        <v/>
      </c>
      <c r="D2196">
        <f>Prices!D2196</f>
        <v/>
      </c>
      <c r="E2196">
        <f>Prices!E2196</f>
        <v/>
      </c>
      <c r="F2196">
        <f>Prices!F2196</f>
        <v/>
      </c>
      <c r="G2196">
        <f>IF(AND(2194&gt;=16,TEXT(A2196,"yyyy-mm")&lt;&gt;TEXT(A2197,"yyyy-mm")),1,0)</f>
        <v/>
      </c>
      <c r="H2196">
        <f>IF(OR(H2195=1,G2196=1),1,0)</f>
        <v/>
      </c>
      <c r="I2196">
        <f>IF(H2195=0,1,SUMPRODUCT(J2195:N2195,B2196:F2196)+O2195*(1+0.00023125256064071564))</f>
        <v/>
      </c>
      <c r="J2196">
        <f>IF(G2196=1,0.2*R2196/B2196,J2195)</f>
        <v/>
      </c>
      <c r="K2196">
        <f>IF(G2196=1,0.2*R2196/C2196,K2195)</f>
        <v/>
      </c>
      <c r="L2196">
        <f>IF(G2196=1,0.2*R2196/D2196,L2195)</f>
        <v/>
      </c>
      <c r="M2196">
        <f>IF(G2196=1,0.2*R2196/E2196,M2195)</f>
        <v/>
      </c>
      <c r="N2196">
        <f>IF(G2196=1,0.2*R2196/F2196,N2195)</f>
        <v/>
      </c>
      <c r="O2196">
        <f>IF(G2196=1,R2196*(1-1.0),IF(H2195=0,1,O2195*(1+0.00023125256064071564)))</f>
        <v/>
      </c>
      <c r="P2196">
        <f>IF(G2196=1,IF(H2195=0,1,ABS(0.2-J2195*B2196/I2196)+ABS(0.2-K2195*C2196/I2196)+ABS(0.2-L2195*D2196/I2196)+ABS(0.2-M2195*E2196/I2196)+ABS(0.2-N2195*F2196/I2196)),0)</f>
        <v/>
      </c>
      <c r="Q2196">
        <f>P2196*0.0015</f>
        <v/>
      </c>
      <c r="R2196">
        <f>I2196*(1-Q2196)</f>
        <v/>
      </c>
      <c r="S2196">
        <f>R2196/R2195-1</f>
        <v/>
      </c>
      <c r="T2196">
        <f>MAX(T2195,R2196)</f>
        <v/>
      </c>
      <c r="U2196">
        <f>R2196/T2196-1</f>
        <v/>
      </c>
      <c r="V2196" t="n">
        <v>3.91117292402294</v>
      </c>
      <c r="W2196" s="5">
        <f>R2196-V2196</f>
        <v/>
      </c>
    </row>
    <row r="2197">
      <c r="A2197" s="3" t="n">
        <v>41663</v>
      </c>
      <c r="B2197">
        <f>Prices!B2197</f>
        <v/>
      </c>
      <c r="C2197">
        <f>Prices!C2197</f>
        <v/>
      </c>
      <c r="D2197">
        <f>Prices!D2197</f>
        <v/>
      </c>
      <c r="E2197">
        <f>Prices!E2197</f>
        <v/>
      </c>
      <c r="F2197">
        <f>Prices!F2197</f>
        <v/>
      </c>
      <c r="G2197">
        <f>IF(AND(2195&gt;=16,TEXT(A2197,"yyyy-mm")&lt;&gt;TEXT(A2198,"yyyy-mm")),1,0)</f>
        <v/>
      </c>
      <c r="H2197">
        <f>IF(OR(H2196=1,G2197=1),1,0)</f>
        <v/>
      </c>
      <c r="I2197">
        <f>IF(H2196=0,1,SUMPRODUCT(J2196:N2196,B2197:F2197)+O2196*(1+0.00023125256064071564))</f>
        <v/>
      </c>
      <c r="J2197">
        <f>IF(G2197=1,0.2*R2197/B2197,J2196)</f>
        <v/>
      </c>
      <c r="K2197">
        <f>IF(G2197=1,0.2*R2197/C2197,K2196)</f>
        <v/>
      </c>
      <c r="L2197">
        <f>IF(G2197=1,0.2*R2197/D2197,L2196)</f>
        <v/>
      </c>
      <c r="M2197">
        <f>IF(G2197=1,0.2*R2197/E2197,M2196)</f>
        <v/>
      </c>
      <c r="N2197">
        <f>IF(G2197=1,0.2*R2197/F2197,N2196)</f>
        <v/>
      </c>
      <c r="O2197">
        <f>IF(G2197=1,R2197*(1-1.0),IF(H2196=0,1,O2196*(1+0.00023125256064071564)))</f>
        <v/>
      </c>
      <c r="P2197">
        <f>IF(G2197=1,IF(H2196=0,1,ABS(0.2-J2196*B2197/I2197)+ABS(0.2-K2196*C2197/I2197)+ABS(0.2-L2196*D2197/I2197)+ABS(0.2-M2196*E2197/I2197)+ABS(0.2-N2196*F2197/I2197)),0)</f>
        <v/>
      </c>
      <c r="Q2197">
        <f>P2197*0.0015</f>
        <v/>
      </c>
      <c r="R2197">
        <f>I2197*(1-Q2197)</f>
        <v/>
      </c>
      <c r="S2197">
        <f>R2197/R2196-1</f>
        <v/>
      </c>
      <c r="T2197">
        <f>MAX(T2196,R2197)</f>
        <v/>
      </c>
      <c r="U2197">
        <f>R2197/T2197-1</f>
        <v/>
      </c>
      <c r="V2197" t="n">
        <v>3.866956210900327</v>
      </c>
      <c r="W2197" s="5">
        <f>R2197-V2197</f>
        <v/>
      </c>
    </row>
    <row r="2198">
      <c r="A2198" s="3" t="n">
        <v>41666</v>
      </c>
      <c r="B2198">
        <f>Prices!B2198</f>
        <v/>
      </c>
      <c r="C2198">
        <f>Prices!C2198</f>
        <v/>
      </c>
      <c r="D2198">
        <f>Prices!D2198</f>
        <v/>
      </c>
      <c r="E2198">
        <f>Prices!E2198</f>
        <v/>
      </c>
      <c r="F2198">
        <f>Prices!F2198</f>
        <v/>
      </c>
      <c r="G2198">
        <f>IF(AND(2196&gt;=16,TEXT(A2198,"yyyy-mm")&lt;&gt;TEXT(A2199,"yyyy-mm")),1,0)</f>
        <v/>
      </c>
      <c r="H2198">
        <f>IF(OR(H2197=1,G2198=1),1,0)</f>
        <v/>
      </c>
      <c r="I2198">
        <f>IF(H2197=0,1,SUMPRODUCT(J2197:N2197,B2198:F2198)+O2197*(1+0.00023125256064071564))</f>
        <v/>
      </c>
      <c r="J2198">
        <f>IF(G2198=1,0.2*R2198/B2198,J2197)</f>
        <v/>
      </c>
      <c r="K2198">
        <f>IF(G2198=1,0.2*R2198/C2198,K2197)</f>
        <v/>
      </c>
      <c r="L2198">
        <f>IF(G2198=1,0.2*R2198/D2198,L2197)</f>
        <v/>
      </c>
      <c r="M2198">
        <f>IF(G2198=1,0.2*R2198/E2198,M2197)</f>
        <v/>
      </c>
      <c r="N2198">
        <f>IF(G2198=1,0.2*R2198/F2198,N2197)</f>
        <v/>
      </c>
      <c r="O2198">
        <f>IF(G2198=1,R2198*(1-1.0),IF(H2197=0,1,O2197*(1+0.00023125256064071564)))</f>
        <v/>
      </c>
      <c r="P2198">
        <f>IF(G2198=1,IF(H2197=0,1,ABS(0.2-J2197*B2198/I2198)+ABS(0.2-K2197*C2198/I2198)+ABS(0.2-L2197*D2198/I2198)+ABS(0.2-M2197*E2198/I2198)+ABS(0.2-N2197*F2198/I2198)),0)</f>
        <v/>
      </c>
      <c r="Q2198">
        <f>P2198*0.0015</f>
        <v/>
      </c>
      <c r="R2198">
        <f>I2198*(1-Q2198)</f>
        <v/>
      </c>
      <c r="S2198">
        <f>R2198/R2197-1</f>
        <v/>
      </c>
      <c r="T2198">
        <f>MAX(T2197,R2198)</f>
        <v/>
      </c>
      <c r="U2198">
        <f>R2198/T2198-1</f>
        <v/>
      </c>
      <c r="V2198" t="n">
        <v>3.78815932260907</v>
      </c>
      <c r="W2198" s="5">
        <f>R2198-V2198</f>
        <v/>
      </c>
    </row>
    <row r="2199">
      <c r="A2199" s="3" t="n">
        <v>41667</v>
      </c>
      <c r="B2199">
        <f>Prices!B2199</f>
        <v/>
      </c>
      <c r="C2199">
        <f>Prices!C2199</f>
        <v/>
      </c>
      <c r="D2199">
        <f>Prices!D2199</f>
        <v/>
      </c>
      <c r="E2199">
        <f>Prices!E2199</f>
        <v/>
      </c>
      <c r="F2199">
        <f>Prices!F2199</f>
        <v/>
      </c>
      <c r="G2199">
        <f>IF(AND(2197&gt;=16,TEXT(A2199,"yyyy-mm")&lt;&gt;TEXT(A2200,"yyyy-mm")),1,0)</f>
        <v/>
      </c>
      <c r="H2199">
        <f>IF(OR(H2198=1,G2199=1),1,0)</f>
        <v/>
      </c>
      <c r="I2199">
        <f>IF(H2198=0,1,SUMPRODUCT(J2198:N2198,B2199:F2199)+O2198*(1+0.00023125256064071564))</f>
        <v/>
      </c>
      <c r="J2199">
        <f>IF(G2199=1,0.2*R2199/B2199,J2198)</f>
        <v/>
      </c>
      <c r="K2199">
        <f>IF(G2199=1,0.2*R2199/C2199,K2198)</f>
        <v/>
      </c>
      <c r="L2199">
        <f>IF(G2199=1,0.2*R2199/D2199,L2198)</f>
        <v/>
      </c>
      <c r="M2199">
        <f>IF(G2199=1,0.2*R2199/E2199,M2198)</f>
        <v/>
      </c>
      <c r="N2199">
        <f>IF(G2199=1,0.2*R2199/F2199,N2198)</f>
        <v/>
      </c>
      <c r="O2199">
        <f>IF(G2199=1,R2199*(1-1.0),IF(H2198=0,1,O2198*(1+0.00023125256064071564)))</f>
        <v/>
      </c>
      <c r="P2199">
        <f>IF(G2199=1,IF(H2198=0,1,ABS(0.2-J2198*B2199/I2199)+ABS(0.2-K2198*C2199/I2199)+ABS(0.2-L2198*D2199/I2199)+ABS(0.2-M2198*E2199/I2199)+ABS(0.2-N2198*F2199/I2199)),0)</f>
        <v/>
      </c>
      <c r="Q2199">
        <f>P2199*0.0015</f>
        <v/>
      </c>
      <c r="R2199">
        <f>I2199*(1-Q2199)</f>
        <v/>
      </c>
      <c r="S2199">
        <f>R2199/R2198-1</f>
        <v/>
      </c>
      <c r="T2199">
        <f>MAX(T2198,R2199)</f>
        <v/>
      </c>
      <c r="U2199">
        <f>R2199/T2199-1</f>
        <v/>
      </c>
      <c r="V2199" t="n">
        <v>3.791403717295248</v>
      </c>
      <c r="W2199" s="5">
        <f>R2199-V2199</f>
        <v/>
      </c>
    </row>
    <row r="2200">
      <c r="A2200" s="3" t="n">
        <v>41668</v>
      </c>
      <c r="B2200">
        <f>Prices!B2200</f>
        <v/>
      </c>
      <c r="C2200">
        <f>Prices!C2200</f>
        <v/>
      </c>
      <c r="D2200">
        <f>Prices!D2200</f>
        <v/>
      </c>
      <c r="E2200">
        <f>Prices!E2200</f>
        <v/>
      </c>
      <c r="F2200">
        <f>Prices!F2200</f>
        <v/>
      </c>
      <c r="G2200">
        <f>IF(AND(2198&gt;=16,TEXT(A2200,"yyyy-mm")&lt;&gt;TEXT(A2201,"yyyy-mm")),1,0)</f>
        <v/>
      </c>
      <c r="H2200">
        <f>IF(OR(H2199=1,G2200=1),1,0)</f>
        <v/>
      </c>
      <c r="I2200">
        <f>IF(H2199=0,1,SUMPRODUCT(J2199:N2199,B2200:F2200)+O2199*(1+0.00023125256064071564))</f>
        <v/>
      </c>
      <c r="J2200">
        <f>IF(G2200=1,0.2*R2200/B2200,J2199)</f>
        <v/>
      </c>
      <c r="K2200">
        <f>IF(G2200=1,0.2*R2200/C2200,K2199)</f>
        <v/>
      </c>
      <c r="L2200">
        <f>IF(G2200=1,0.2*R2200/D2200,L2199)</f>
        <v/>
      </c>
      <c r="M2200">
        <f>IF(G2200=1,0.2*R2200/E2200,M2199)</f>
        <v/>
      </c>
      <c r="N2200">
        <f>IF(G2200=1,0.2*R2200/F2200,N2199)</f>
        <v/>
      </c>
      <c r="O2200">
        <f>IF(G2200=1,R2200*(1-1.0),IF(H2199=0,1,O2199*(1+0.00023125256064071564)))</f>
        <v/>
      </c>
      <c r="P2200">
        <f>IF(G2200=1,IF(H2199=0,1,ABS(0.2-J2199*B2200/I2200)+ABS(0.2-K2199*C2200/I2200)+ABS(0.2-L2199*D2200/I2200)+ABS(0.2-M2199*E2200/I2200)+ABS(0.2-N2199*F2200/I2200)),0)</f>
        <v/>
      </c>
      <c r="Q2200">
        <f>P2200*0.0015</f>
        <v/>
      </c>
      <c r="R2200">
        <f>I2200*(1-Q2200)</f>
        <v/>
      </c>
      <c r="S2200">
        <f>R2200/R2199-1</f>
        <v/>
      </c>
      <c r="T2200">
        <f>MAX(T2199,R2200)</f>
        <v/>
      </c>
      <c r="U2200">
        <f>R2200/T2200-1</f>
        <v/>
      </c>
      <c r="V2200" t="n">
        <v>3.800813655913478</v>
      </c>
      <c r="W2200" s="5">
        <f>R2200-V2200</f>
        <v/>
      </c>
    </row>
    <row r="2201">
      <c r="A2201" s="3" t="n">
        <v>41669</v>
      </c>
      <c r="B2201">
        <f>Prices!B2201</f>
        <v/>
      </c>
      <c r="C2201">
        <f>Prices!C2201</f>
        <v/>
      </c>
      <c r="D2201">
        <f>Prices!D2201</f>
        <v/>
      </c>
      <c r="E2201">
        <f>Prices!E2201</f>
        <v/>
      </c>
      <c r="F2201">
        <f>Prices!F2201</f>
        <v/>
      </c>
      <c r="G2201">
        <f>IF(AND(2199&gt;=16,TEXT(A2201,"yyyy-mm")&lt;&gt;TEXT(A2202,"yyyy-mm")),1,0)</f>
        <v/>
      </c>
      <c r="H2201">
        <f>IF(OR(H2200=1,G2201=1),1,0)</f>
        <v/>
      </c>
      <c r="I2201">
        <f>IF(H2200=0,1,SUMPRODUCT(J2200:N2200,B2201:F2201)+O2200*(1+0.00023125256064071564))</f>
        <v/>
      </c>
      <c r="J2201">
        <f>IF(G2201=1,0.2*R2201/B2201,J2200)</f>
        <v/>
      </c>
      <c r="K2201">
        <f>IF(G2201=1,0.2*R2201/C2201,K2200)</f>
        <v/>
      </c>
      <c r="L2201">
        <f>IF(G2201=1,0.2*R2201/D2201,L2200)</f>
        <v/>
      </c>
      <c r="M2201">
        <f>IF(G2201=1,0.2*R2201/E2201,M2200)</f>
        <v/>
      </c>
      <c r="N2201">
        <f>IF(G2201=1,0.2*R2201/F2201,N2200)</f>
        <v/>
      </c>
      <c r="O2201">
        <f>IF(G2201=1,R2201*(1-1.0),IF(H2200=0,1,O2200*(1+0.00023125256064071564)))</f>
        <v/>
      </c>
      <c r="P2201">
        <f>IF(G2201=1,IF(H2200=0,1,ABS(0.2-J2200*B2201/I2201)+ABS(0.2-K2200*C2201/I2201)+ABS(0.2-L2200*D2201/I2201)+ABS(0.2-M2200*E2201/I2201)+ABS(0.2-N2200*F2201/I2201)),0)</f>
        <v/>
      </c>
      <c r="Q2201">
        <f>P2201*0.0015</f>
        <v/>
      </c>
      <c r="R2201">
        <f>I2201*(1-Q2201)</f>
        <v/>
      </c>
      <c r="S2201">
        <f>R2201/R2200-1</f>
        <v/>
      </c>
      <c r="T2201">
        <f>MAX(T2200,R2201)</f>
        <v/>
      </c>
      <c r="U2201">
        <f>R2201/T2201-1</f>
        <v/>
      </c>
      <c r="V2201" t="n">
        <v>3.760311057402521</v>
      </c>
      <c r="W2201" s="5">
        <f>R2201-V2201</f>
        <v/>
      </c>
    </row>
    <row r="2202">
      <c r="A2202" s="3" t="n">
        <v>41670</v>
      </c>
      <c r="B2202">
        <f>Prices!B2202</f>
        <v/>
      </c>
      <c r="C2202">
        <f>Prices!C2202</f>
        <v/>
      </c>
      <c r="D2202">
        <f>Prices!D2202</f>
        <v/>
      </c>
      <c r="E2202">
        <f>Prices!E2202</f>
        <v/>
      </c>
      <c r="F2202">
        <f>Prices!F2202</f>
        <v/>
      </c>
      <c r="G2202">
        <f>IF(AND(2200&gt;=16,TEXT(A2202,"yyyy-mm")&lt;&gt;TEXT(A2203,"yyyy-mm")),1,0)</f>
        <v/>
      </c>
      <c r="H2202">
        <f>IF(OR(H2201=1,G2202=1),1,0)</f>
        <v/>
      </c>
      <c r="I2202">
        <f>IF(H2201=0,1,SUMPRODUCT(J2201:N2201,B2202:F2202)+O2201*(1+0.00023125256064071564))</f>
        <v/>
      </c>
      <c r="J2202">
        <f>IF(G2202=1,0.2*R2202/B2202,J2201)</f>
        <v/>
      </c>
      <c r="K2202">
        <f>IF(G2202=1,0.2*R2202/C2202,K2201)</f>
        <v/>
      </c>
      <c r="L2202">
        <f>IF(G2202=1,0.2*R2202/D2202,L2201)</f>
        <v/>
      </c>
      <c r="M2202">
        <f>IF(G2202=1,0.2*R2202/E2202,M2201)</f>
        <v/>
      </c>
      <c r="N2202">
        <f>IF(G2202=1,0.2*R2202/F2202,N2201)</f>
        <v/>
      </c>
      <c r="O2202">
        <f>IF(G2202=1,R2202*(1-1.0),IF(H2201=0,1,O2201*(1+0.00023125256064071564)))</f>
        <v/>
      </c>
      <c r="P2202">
        <f>IF(G2202=1,IF(H2201=0,1,ABS(0.2-J2201*B2202/I2202)+ABS(0.2-K2201*C2202/I2202)+ABS(0.2-L2201*D2202/I2202)+ABS(0.2-M2201*E2202/I2202)+ABS(0.2-N2201*F2202/I2202)),0)</f>
        <v/>
      </c>
      <c r="Q2202">
        <f>P2202*0.0015</f>
        <v/>
      </c>
      <c r="R2202">
        <f>I2202*(1-Q2202)</f>
        <v/>
      </c>
      <c r="S2202">
        <f>R2202/R2201-1</f>
        <v/>
      </c>
      <c r="T2202">
        <f>MAX(T2201,R2202)</f>
        <v/>
      </c>
      <c r="U2202">
        <f>R2202/T2202-1</f>
        <v/>
      </c>
      <c r="V2202" t="n">
        <v>3.812162450998173</v>
      </c>
      <c r="W2202" s="5">
        <f>R2202-V2202</f>
        <v/>
      </c>
    </row>
    <row r="2203">
      <c r="A2203" s="3" t="n">
        <v>41673</v>
      </c>
      <c r="B2203">
        <f>Prices!B2203</f>
        <v/>
      </c>
      <c r="C2203">
        <f>Prices!C2203</f>
        <v/>
      </c>
      <c r="D2203">
        <f>Prices!D2203</f>
        <v/>
      </c>
      <c r="E2203">
        <f>Prices!E2203</f>
        <v/>
      </c>
      <c r="F2203">
        <f>Prices!F2203</f>
        <v/>
      </c>
      <c r="G2203">
        <f>IF(AND(2201&gt;=16,TEXT(A2203,"yyyy-mm")&lt;&gt;TEXT(A2204,"yyyy-mm")),1,0)</f>
        <v/>
      </c>
      <c r="H2203">
        <f>IF(OR(H2202=1,G2203=1),1,0)</f>
        <v/>
      </c>
      <c r="I2203">
        <f>IF(H2202=0,1,SUMPRODUCT(J2202:N2202,B2203:F2203)+O2202*(1+0.00023125256064071564))</f>
        <v/>
      </c>
      <c r="J2203">
        <f>IF(G2203=1,0.2*R2203/B2203,J2202)</f>
        <v/>
      </c>
      <c r="K2203">
        <f>IF(G2203=1,0.2*R2203/C2203,K2202)</f>
        <v/>
      </c>
      <c r="L2203">
        <f>IF(G2203=1,0.2*R2203/D2203,L2202)</f>
        <v/>
      </c>
      <c r="M2203">
        <f>IF(G2203=1,0.2*R2203/E2203,M2202)</f>
        <v/>
      </c>
      <c r="N2203">
        <f>IF(G2203=1,0.2*R2203/F2203,N2202)</f>
        <v/>
      </c>
      <c r="O2203">
        <f>IF(G2203=1,R2203*(1-1.0),IF(H2202=0,1,O2202*(1+0.00023125256064071564)))</f>
        <v/>
      </c>
      <c r="P2203">
        <f>IF(G2203=1,IF(H2202=0,1,ABS(0.2-J2202*B2203/I2203)+ABS(0.2-K2202*C2203/I2203)+ABS(0.2-L2202*D2203/I2203)+ABS(0.2-M2202*E2203/I2203)+ABS(0.2-N2202*F2203/I2203)),0)</f>
        <v/>
      </c>
      <c r="Q2203">
        <f>P2203*0.0015</f>
        <v/>
      </c>
      <c r="R2203">
        <f>I2203*(1-Q2203)</f>
        <v/>
      </c>
      <c r="S2203">
        <f>R2203/R2202-1</f>
        <v/>
      </c>
      <c r="T2203">
        <f>MAX(T2202,R2203)</f>
        <v/>
      </c>
      <c r="U2203">
        <f>R2203/T2203-1</f>
        <v/>
      </c>
      <c r="V2203" t="n">
        <v>3.791722252687874</v>
      </c>
      <c r="W2203" s="5">
        <f>R2203-V2203</f>
        <v/>
      </c>
    </row>
    <row r="2204">
      <c r="A2204" s="3" t="n">
        <v>41674</v>
      </c>
      <c r="B2204">
        <f>Prices!B2204</f>
        <v/>
      </c>
      <c r="C2204">
        <f>Prices!C2204</f>
        <v/>
      </c>
      <c r="D2204">
        <f>Prices!D2204</f>
        <v/>
      </c>
      <c r="E2204">
        <f>Prices!E2204</f>
        <v/>
      </c>
      <c r="F2204">
        <f>Prices!F2204</f>
        <v/>
      </c>
      <c r="G2204">
        <f>IF(AND(2202&gt;=16,TEXT(A2204,"yyyy-mm")&lt;&gt;TEXT(A2205,"yyyy-mm")),1,0)</f>
        <v/>
      </c>
      <c r="H2204">
        <f>IF(OR(H2203=1,G2204=1),1,0)</f>
        <v/>
      </c>
      <c r="I2204">
        <f>IF(H2203=0,1,SUMPRODUCT(J2203:N2203,B2204:F2204)+O2203*(1+0.00023125256064071564))</f>
        <v/>
      </c>
      <c r="J2204">
        <f>IF(G2204=1,0.2*R2204/B2204,J2203)</f>
        <v/>
      </c>
      <c r="K2204">
        <f>IF(G2204=1,0.2*R2204/C2204,K2203)</f>
        <v/>
      </c>
      <c r="L2204">
        <f>IF(G2204=1,0.2*R2204/D2204,L2203)</f>
        <v/>
      </c>
      <c r="M2204">
        <f>IF(G2204=1,0.2*R2204/E2204,M2203)</f>
        <v/>
      </c>
      <c r="N2204">
        <f>IF(G2204=1,0.2*R2204/F2204,N2203)</f>
        <v/>
      </c>
      <c r="O2204">
        <f>IF(G2204=1,R2204*(1-1.0),IF(H2203=0,1,O2203*(1+0.00023125256064071564)))</f>
        <v/>
      </c>
      <c r="P2204">
        <f>IF(G2204=1,IF(H2203=0,1,ABS(0.2-J2203*B2204/I2204)+ABS(0.2-K2203*C2204/I2204)+ABS(0.2-L2203*D2204/I2204)+ABS(0.2-M2203*E2204/I2204)+ABS(0.2-N2203*F2204/I2204)),0)</f>
        <v/>
      </c>
      <c r="Q2204">
        <f>P2204*0.0015</f>
        <v/>
      </c>
      <c r="R2204">
        <f>I2204*(1-Q2204)</f>
        <v/>
      </c>
      <c r="S2204">
        <f>R2204/R2203-1</f>
        <v/>
      </c>
      <c r="T2204">
        <f>MAX(T2203,R2204)</f>
        <v/>
      </c>
      <c r="U2204">
        <f>R2204/T2204-1</f>
        <v/>
      </c>
      <c r="V2204" t="n">
        <v>3.793478833317269</v>
      </c>
      <c r="W2204" s="5">
        <f>R2204-V2204</f>
        <v/>
      </c>
    </row>
    <row r="2205">
      <c r="A2205" s="3" t="n">
        <v>41675</v>
      </c>
      <c r="B2205">
        <f>Prices!B2205</f>
        <v/>
      </c>
      <c r="C2205">
        <f>Prices!C2205</f>
        <v/>
      </c>
      <c r="D2205">
        <f>Prices!D2205</f>
        <v/>
      </c>
      <c r="E2205">
        <f>Prices!E2205</f>
        <v/>
      </c>
      <c r="F2205">
        <f>Prices!F2205</f>
        <v/>
      </c>
      <c r="G2205">
        <f>IF(AND(2203&gt;=16,TEXT(A2205,"yyyy-mm")&lt;&gt;TEXT(A2206,"yyyy-mm")),1,0)</f>
        <v/>
      </c>
      <c r="H2205">
        <f>IF(OR(H2204=1,G2205=1),1,0)</f>
        <v/>
      </c>
      <c r="I2205">
        <f>IF(H2204=0,1,SUMPRODUCT(J2204:N2204,B2205:F2205)+O2204*(1+0.00023125256064071564))</f>
        <v/>
      </c>
      <c r="J2205">
        <f>IF(G2205=1,0.2*R2205/B2205,J2204)</f>
        <v/>
      </c>
      <c r="K2205">
        <f>IF(G2205=1,0.2*R2205/C2205,K2204)</f>
        <v/>
      </c>
      <c r="L2205">
        <f>IF(G2205=1,0.2*R2205/D2205,L2204)</f>
        <v/>
      </c>
      <c r="M2205">
        <f>IF(G2205=1,0.2*R2205/E2205,M2204)</f>
        <v/>
      </c>
      <c r="N2205">
        <f>IF(G2205=1,0.2*R2205/F2205,N2204)</f>
        <v/>
      </c>
      <c r="O2205">
        <f>IF(G2205=1,R2205*(1-1.0),IF(H2204=0,1,O2204*(1+0.00023125256064071564)))</f>
        <v/>
      </c>
      <c r="P2205">
        <f>IF(G2205=1,IF(H2204=0,1,ABS(0.2-J2204*B2205/I2205)+ABS(0.2-K2204*C2205/I2205)+ABS(0.2-L2204*D2205/I2205)+ABS(0.2-M2204*E2205/I2205)+ABS(0.2-N2204*F2205/I2205)),0)</f>
        <v/>
      </c>
      <c r="Q2205">
        <f>P2205*0.0015</f>
        <v/>
      </c>
      <c r="R2205">
        <f>I2205*(1-Q2205)</f>
        <v/>
      </c>
      <c r="S2205">
        <f>R2205/R2204-1</f>
        <v/>
      </c>
      <c r="T2205">
        <f>MAX(T2204,R2205)</f>
        <v/>
      </c>
      <c r="U2205">
        <f>R2205/T2205-1</f>
        <v/>
      </c>
      <c r="V2205" t="n">
        <v>3.809786086754028</v>
      </c>
      <c r="W2205" s="5">
        <f>R2205-V2205</f>
        <v/>
      </c>
    </row>
    <row r="2206">
      <c r="A2206" s="3" t="n">
        <v>41676</v>
      </c>
      <c r="B2206">
        <f>Prices!B2206</f>
        <v/>
      </c>
      <c r="C2206">
        <f>Prices!C2206</f>
        <v/>
      </c>
      <c r="D2206">
        <f>Prices!D2206</f>
        <v/>
      </c>
      <c r="E2206">
        <f>Prices!E2206</f>
        <v/>
      </c>
      <c r="F2206">
        <f>Prices!F2206</f>
        <v/>
      </c>
      <c r="G2206">
        <f>IF(AND(2204&gt;=16,TEXT(A2206,"yyyy-mm")&lt;&gt;TEXT(A2207,"yyyy-mm")),1,0)</f>
        <v/>
      </c>
      <c r="H2206">
        <f>IF(OR(H2205=1,G2206=1),1,0)</f>
        <v/>
      </c>
      <c r="I2206">
        <f>IF(H2205=0,1,SUMPRODUCT(J2205:N2205,B2206:F2206)+O2205*(1+0.00023125256064071564))</f>
        <v/>
      </c>
      <c r="J2206">
        <f>IF(G2206=1,0.2*R2206/B2206,J2205)</f>
        <v/>
      </c>
      <c r="K2206">
        <f>IF(G2206=1,0.2*R2206/C2206,K2205)</f>
        <v/>
      </c>
      <c r="L2206">
        <f>IF(G2206=1,0.2*R2206/D2206,L2205)</f>
        <v/>
      </c>
      <c r="M2206">
        <f>IF(G2206=1,0.2*R2206/E2206,M2205)</f>
        <v/>
      </c>
      <c r="N2206">
        <f>IF(G2206=1,0.2*R2206/F2206,N2205)</f>
        <v/>
      </c>
      <c r="O2206">
        <f>IF(G2206=1,R2206*(1-1.0),IF(H2205=0,1,O2205*(1+0.00023125256064071564)))</f>
        <v/>
      </c>
      <c r="P2206">
        <f>IF(G2206=1,IF(H2205=0,1,ABS(0.2-J2205*B2206/I2206)+ABS(0.2-K2205*C2206/I2206)+ABS(0.2-L2205*D2206/I2206)+ABS(0.2-M2205*E2206/I2206)+ABS(0.2-N2205*F2206/I2206)),0)</f>
        <v/>
      </c>
      <c r="Q2206">
        <f>P2206*0.0015</f>
        <v/>
      </c>
      <c r="R2206">
        <f>I2206*(1-Q2206)</f>
        <v/>
      </c>
      <c r="S2206">
        <f>R2206/R2205-1</f>
        <v/>
      </c>
      <c r="T2206">
        <f>MAX(T2205,R2206)</f>
        <v/>
      </c>
      <c r="U2206">
        <f>R2206/T2206-1</f>
        <v/>
      </c>
      <c r="V2206" t="n">
        <v>3.815622920073435</v>
      </c>
      <c r="W2206" s="5">
        <f>R2206-V2206</f>
        <v/>
      </c>
    </row>
    <row r="2207">
      <c r="A2207" s="3" t="n">
        <v>41677</v>
      </c>
      <c r="B2207">
        <f>Prices!B2207</f>
        <v/>
      </c>
      <c r="C2207">
        <f>Prices!C2207</f>
        <v/>
      </c>
      <c r="D2207">
        <f>Prices!D2207</f>
        <v/>
      </c>
      <c r="E2207">
        <f>Prices!E2207</f>
        <v/>
      </c>
      <c r="F2207">
        <f>Prices!F2207</f>
        <v/>
      </c>
      <c r="G2207">
        <f>IF(AND(2205&gt;=16,TEXT(A2207,"yyyy-mm")&lt;&gt;TEXT(A2208,"yyyy-mm")),1,0)</f>
        <v/>
      </c>
      <c r="H2207">
        <f>IF(OR(H2206=1,G2207=1),1,0)</f>
        <v/>
      </c>
      <c r="I2207">
        <f>IF(H2206=0,1,SUMPRODUCT(J2206:N2206,B2207:F2207)+O2206*(1+0.00023125256064071564))</f>
        <v/>
      </c>
      <c r="J2207">
        <f>IF(G2207=1,0.2*R2207/B2207,J2206)</f>
        <v/>
      </c>
      <c r="K2207">
        <f>IF(G2207=1,0.2*R2207/C2207,K2206)</f>
        <v/>
      </c>
      <c r="L2207">
        <f>IF(G2207=1,0.2*R2207/D2207,L2206)</f>
        <v/>
      </c>
      <c r="M2207">
        <f>IF(G2207=1,0.2*R2207/E2207,M2206)</f>
        <v/>
      </c>
      <c r="N2207">
        <f>IF(G2207=1,0.2*R2207/F2207,N2206)</f>
        <v/>
      </c>
      <c r="O2207">
        <f>IF(G2207=1,R2207*(1-1.0),IF(H2206=0,1,O2206*(1+0.00023125256064071564)))</f>
        <v/>
      </c>
      <c r="P2207">
        <f>IF(G2207=1,IF(H2206=0,1,ABS(0.2-J2206*B2207/I2207)+ABS(0.2-K2206*C2207/I2207)+ABS(0.2-L2206*D2207/I2207)+ABS(0.2-M2206*E2207/I2207)+ABS(0.2-N2206*F2207/I2207)),0)</f>
        <v/>
      </c>
      <c r="Q2207">
        <f>P2207*0.0015</f>
        <v/>
      </c>
      <c r="R2207">
        <f>I2207*(1-Q2207)</f>
        <v/>
      </c>
      <c r="S2207">
        <f>R2207/R2206-1</f>
        <v/>
      </c>
      <c r="T2207">
        <f>MAX(T2206,R2207)</f>
        <v/>
      </c>
      <c r="U2207">
        <f>R2207/T2207-1</f>
        <v/>
      </c>
      <c r="V2207" t="n">
        <v>3.834380220702729</v>
      </c>
      <c r="W2207" s="5">
        <f>R2207-V2207</f>
        <v/>
      </c>
    </row>
    <row r="2208">
      <c r="A2208" s="3" t="n">
        <v>41680</v>
      </c>
      <c r="B2208">
        <f>Prices!B2208</f>
        <v/>
      </c>
      <c r="C2208">
        <f>Prices!C2208</f>
        <v/>
      </c>
      <c r="D2208">
        <f>Prices!D2208</f>
        <v/>
      </c>
      <c r="E2208">
        <f>Prices!E2208</f>
        <v/>
      </c>
      <c r="F2208">
        <f>Prices!F2208</f>
        <v/>
      </c>
      <c r="G2208">
        <f>IF(AND(2206&gt;=16,TEXT(A2208,"yyyy-mm")&lt;&gt;TEXT(A2209,"yyyy-mm")),1,0)</f>
        <v/>
      </c>
      <c r="H2208">
        <f>IF(OR(H2207=1,G2208=1),1,0)</f>
        <v/>
      </c>
      <c r="I2208">
        <f>IF(H2207=0,1,SUMPRODUCT(J2207:N2207,B2208:F2208)+O2207*(1+0.00023125256064071564))</f>
        <v/>
      </c>
      <c r="J2208">
        <f>IF(G2208=1,0.2*R2208/B2208,J2207)</f>
        <v/>
      </c>
      <c r="K2208">
        <f>IF(G2208=1,0.2*R2208/C2208,K2207)</f>
        <v/>
      </c>
      <c r="L2208">
        <f>IF(G2208=1,0.2*R2208/D2208,L2207)</f>
        <v/>
      </c>
      <c r="M2208">
        <f>IF(G2208=1,0.2*R2208/E2208,M2207)</f>
        <v/>
      </c>
      <c r="N2208">
        <f>IF(G2208=1,0.2*R2208/F2208,N2207)</f>
        <v/>
      </c>
      <c r="O2208">
        <f>IF(G2208=1,R2208*(1-1.0),IF(H2207=0,1,O2207*(1+0.00023125256064071564)))</f>
        <v/>
      </c>
      <c r="P2208">
        <f>IF(G2208=1,IF(H2207=0,1,ABS(0.2-J2207*B2208/I2208)+ABS(0.2-K2207*C2208/I2208)+ABS(0.2-L2207*D2208/I2208)+ABS(0.2-M2207*E2208/I2208)+ABS(0.2-N2207*F2208/I2208)),0)</f>
        <v/>
      </c>
      <c r="Q2208">
        <f>P2208*0.0015</f>
        <v/>
      </c>
      <c r="R2208">
        <f>I2208*(1-Q2208)</f>
        <v/>
      </c>
      <c r="S2208">
        <f>R2208/R2207-1</f>
        <v/>
      </c>
      <c r="T2208">
        <f>MAX(T2207,R2208)</f>
        <v/>
      </c>
      <c r="U2208">
        <f>R2208/T2208-1</f>
        <v/>
      </c>
      <c r="V2208" t="n">
        <v>3.832110871725658</v>
      </c>
      <c r="W2208" s="5">
        <f>R2208-V2208</f>
        <v/>
      </c>
    </row>
    <row r="2209">
      <c r="A2209" s="3" t="n">
        <v>41681</v>
      </c>
      <c r="B2209">
        <f>Prices!B2209</f>
        <v/>
      </c>
      <c r="C2209">
        <f>Prices!C2209</f>
        <v/>
      </c>
      <c r="D2209">
        <f>Prices!D2209</f>
        <v/>
      </c>
      <c r="E2209">
        <f>Prices!E2209</f>
        <v/>
      </c>
      <c r="F2209">
        <f>Prices!F2209</f>
        <v/>
      </c>
      <c r="G2209">
        <f>IF(AND(2207&gt;=16,TEXT(A2209,"yyyy-mm")&lt;&gt;TEXT(A2210,"yyyy-mm")),1,0)</f>
        <v/>
      </c>
      <c r="H2209">
        <f>IF(OR(H2208=1,G2209=1),1,0)</f>
        <v/>
      </c>
      <c r="I2209">
        <f>IF(H2208=0,1,SUMPRODUCT(J2208:N2208,B2209:F2209)+O2208*(1+0.00023125256064071564))</f>
        <v/>
      </c>
      <c r="J2209">
        <f>IF(G2209=1,0.2*R2209/B2209,J2208)</f>
        <v/>
      </c>
      <c r="K2209">
        <f>IF(G2209=1,0.2*R2209/C2209,K2208)</f>
        <v/>
      </c>
      <c r="L2209">
        <f>IF(G2209=1,0.2*R2209/D2209,L2208)</f>
        <v/>
      </c>
      <c r="M2209">
        <f>IF(G2209=1,0.2*R2209/E2209,M2208)</f>
        <v/>
      </c>
      <c r="N2209">
        <f>IF(G2209=1,0.2*R2209/F2209,N2208)</f>
        <v/>
      </c>
      <c r="O2209">
        <f>IF(G2209=1,R2209*(1-1.0),IF(H2208=0,1,O2208*(1+0.00023125256064071564)))</f>
        <v/>
      </c>
      <c r="P2209">
        <f>IF(G2209=1,IF(H2208=0,1,ABS(0.2-J2208*B2209/I2209)+ABS(0.2-K2208*C2209/I2209)+ABS(0.2-L2208*D2209/I2209)+ABS(0.2-M2208*E2209/I2209)+ABS(0.2-N2208*F2209/I2209)),0)</f>
        <v/>
      </c>
      <c r="Q2209">
        <f>P2209*0.0015</f>
        <v/>
      </c>
      <c r="R2209">
        <f>I2209*(1-Q2209)</f>
        <v/>
      </c>
      <c r="S2209">
        <f>R2209/R2208-1</f>
        <v/>
      </c>
      <c r="T2209">
        <f>MAX(T2208,R2209)</f>
        <v/>
      </c>
      <c r="U2209">
        <f>R2209/T2209-1</f>
        <v/>
      </c>
      <c r="V2209" t="n">
        <v>3.84337397563567</v>
      </c>
      <c r="W2209" s="5">
        <f>R2209-V2209</f>
        <v/>
      </c>
    </row>
    <row r="2210">
      <c r="A2210" s="3" t="n">
        <v>41682</v>
      </c>
      <c r="B2210">
        <f>Prices!B2210</f>
        <v/>
      </c>
      <c r="C2210">
        <f>Prices!C2210</f>
        <v/>
      </c>
      <c r="D2210">
        <f>Prices!D2210</f>
        <v/>
      </c>
      <c r="E2210">
        <f>Prices!E2210</f>
        <v/>
      </c>
      <c r="F2210">
        <f>Prices!F2210</f>
        <v/>
      </c>
      <c r="G2210">
        <f>IF(AND(2208&gt;=16,TEXT(A2210,"yyyy-mm")&lt;&gt;TEXT(A2211,"yyyy-mm")),1,0)</f>
        <v/>
      </c>
      <c r="H2210">
        <f>IF(OR(H2209=1,G2210=1),1,0)</f>
        <v/>
      </c>
      <c r="I2210">
        <f>IF(H2209=0,1,SUMPRODUCT(J2209:N2209,B2210:F2210)+O2209*(1+0.00023125256064071564))</f>
        <v/>
      </c>
      <c r="J2210">
        <f>IF(G2210=1,0.2*R2210/B2210,J2209)</f>
        <v/>
      </c>
      <c r="K2210">
        <f>IF(G2210=1,0.2*R2210/C2210,K2209)</f>
        <v/>
      </c>
      <c r="L2210">
        <f>IF(G2210=1,0.2*R2210/D2210,L2209)</f>
        <v/>
      </c>
      <c r="M2210">
        <f>IF(G2210=1,0.2*R2210/E2210,M2209)</f>
        <v/>
      </c>
      <c r="N2210">
        <f>IF(G2210=1,0.2*R2210/F2210,N2209)</f>
        <v/>
      </c>
      <c r="O2210">
        <f>IF(G2210=1,R2210*(1-1.0),IF(H2209=0,1,O2209*(1+0.00023125256064071564)))</f>
        <v/>
      </c>
      <c r="P2210">
        <f>IF(G2210=1,IF(H2209=0,1,ABS(0.2-J2209*B2210/I2210)+ABS(0.2-K2209*C2210/I2210)+ABS(0.2-L2209*D2210/I2210)+ABS(0.2-M2209*E2210/I2210)+ABS(0.2-N2209*F2210/I2210)),0)</f>
        <v/>
      </c>
      <c r="Q2210">
        <f>P2210*0.0015</f>
        <v/>
      </c>
      <c r="R2210">
        <f>I2210*(1-Q2210)</f>
        <v/>
      </c>
      <c r="S2210">
        <f>R2210/R2209-1</f>
        <v/>
      </c>
      <c r="T2210">
        <f>MAX(T2209,R2210)</f>
        <v/>
      </c>
      <c r="U2210">
        <f>R2210/T2210-1</f>
        <v/>
      </c>
      <c r="V2210" t="n">
        <v>3.845343701310829</v>
      </c>
      <c r="W2210" s="5">
        <f>R2210-V2210</f>
        <v/>
      </c>
    </row>
    <row r="2211">
      <c r="A2211" s="3" t="n">
        <v>41683</v>
      </c>
      <c r="B2211">
        <f>Prices!B2211</f>
        <v/>
      </c>
      <c r="C2211">
        <f>Prices!C2211</f>
        <v/>
      </c>
      <c r="D2211">
        <f>Prices!D2211</f>
        <v/>
      </c>
      <c r="E2211">
        <f>Prices!E2211</f>
        <v/>
      </c>
      <c r="F2211">
        <f>Prices!F2211</f>
        <v/>
      </c>
      <c r="G2211">
        <f>IF(AND(2209&gt;=16,TEXT(A2211,"yyyy-mm")&lt;&gt;TEXT(A2212,"yyyy-mm")),1,0)</f>
        <v/>
      </c>
      <c r="H2211">
        <f>IF(OR(H2210=1,G2211=1),1,0)</f>
        <v/>
      </c>
      <c r="I2211">
        <f>IF(H2210=0,1,SUMPRODUCT(J2210:N2210,B2211:F2211)+O2210*(1+0.00023125256064071564))</f>
        <v/>
      </c>
      <c r="J2211">
        <f>IF(G2211=1,0.2*R2211/B2211,J2210)</f>
        <v/>
      </c>
      <c r="K2211">
        <f>IF(G2211=1,0.2*R2211/C2211,K2210)</f>
        <v/>
      </c>
      <c r="L2211">
        <f>IF(G2211=1,0.2*R2211/D2211,L2210)</f>
        <v/>
      </c>
      <c r="M2211">
        <f>IF(G2211=1,0.2*R2211/E2211,M2210)</f>
        <v/>
      </c>
      <c r="N2211">
        <f>IF(G2211=1,0.2*R2211/F2211,N2210)</f>
        <v/>
      </c>
      <c r="O2211">
        <f>IF(G2211=1,R2211*(1-1.0),IF(H2210=0,1,O2210*(1+0.00023125256064071564)))</f>
        <v/>
      </c>
      <c r="P2211">
        <f>IF(G2211=1,IF(H2210=0,1,ABS(0.2-J2210*B2211/I2211)+ABS(0.2-K2210*C2211/I2211)+ABS(0.2-L2210*D2211/I2211)+ABS(0.2-M2210*E2211/I2211)+ABS(0.2-N2210*F2211/I2211)),0)</f>
        <v/>
      </c>
      <c r="Q2211">
        <f>P2211*0.0015</f>
        <v/>
      </c>
      <c r="R2211">
        <f>I2211*(1-Q2211)</f>
        <v/>
      </c>
      <c r="S2211">
        <f>R2211/R2210-1</f>
        <v/>
      </c>
      <c r="T2211">
        <f>MAX(T2210,R2211)</f>
        <v/>
      </c>
      <c r="U2211">
        <f>R2211/T2211-1</f>
        <v/>
      </c>
      <c r="V2211" t="n">
        <v>3.799056868783414</v>
      </c>
      <c r="W2211" s="5">
        <f>R2211-V2211</f>
        <v/>
      </c>
    </row>
    <row r="2212">
      <c r="A2212" s="3" t="n">
        <v>41684</v>
      </c>
      <c r="B2212">
        <f>Prices!B2212</f>
        <v/>
      </c>
      <c r="C2212">
        <f>Prices!C2212</f>
        <v/>
      </c>
      <c r="D2212">
        <f>Prices!D2212</f>
        <v/>
      </c>
      <c r="E2212">
        <f>Prices!E2212</f>
        <v/>
      </c>
      <c r="F2212">
        <f>Prices!F2212</f>
        <v/>
      </c>
      <c r="G2212">
        <f>IF(AND(2210&gt;=16,TEXT(A2212,"yyyy-mm")&lt;&gt;TEXT(A2213,"yyyy-mm")),1,0)</f>
        <v/>
      </c>
      <c r="H2212">
        <f>IF(OR(H2211=1,G2212=1),1,0)</f>
        <v/>
      </c>
      <c r="I2212">
        <f>IF(H2211=0,1,SUMPRODUCT(J2211:N2211,B2212:F2212)+O2211*(1+0.00023125256064071564))</f>
        <v/>
      </c>
      <c r="J2212">
        <f>IF(G2212=1,0.2*R2212/B2212,J2211)</f>
        <v/>
      </c>
      <c r="K2212">
        <f>IF(G2212=1,0.2*R2212/C2212,K2211)</f>
        <v/>
      </c>
      <c r="L2212">
        <f>IF(G2212=1,0.2*R2212/D2212,L2211)</f>
        <v/>
      </c>
      <c r="M2212">
        <f>IF(G2212=1,0.2*R2212/E2212,M2211)</f>
        <v/>
      </c>
      <c r="N2212">
        <f>IF(G2212=1,0.2*R2212/F2212,N2211)</f>
        <v/>
      </c>
      <c r="O2212">
        <f>IF(G2212=1,R2212*(1-1.0),IF(H2211=0,1,O2211*(1+0.00023125256064071564)))</f>
        <v/>
      </c>
      <c r="P2212">
        <f>IF(G2212=1,IF(H2211=0,1,ABS(0.2-J2211*B2212/I2212)+ABS(0.2-K2211*C2212/I2212)+ABS(0.2-L2211*D2212/I2212)+ABS(0.2-M2211*E2212/I2212)+ABS(0.2-N2211*F2212/I2212)),0)</f>
        <v/>
      </c>
      <c r="Q2212">
        <f>P2212*0.0015</f>
        <v/>
      </c>
      <c r="R2212">
        <f>I2212*(1-Q2212)</f>
        <v/>
      </c>
      <c r="S2212">
        <f>R2212/R2211-1</f>
        <v/>
      </c>
      <c r="T2212">
        <f>MAX(T2211,R2212)</f>
        <v/>
      </c>
      <c r="U2212">
        <f>R2212/T2212-1</f>
        <v/>
      </c>
      <c r="V2212" t="n">
        <v>3.810700068797482</v>
      </c>
      <c r="W2212" s="5">
        <f>R2212-V2212</f>
        <v/>
      </c>
    </row>
    <row r="2213">
      <c r="A2213" s="3" t="n">
        <v>41687</v>
      </c>
      <c r="B2213">
        <f>Prices!B2213</f>
        <v/>
      </c>
      <c r="C2213">
        <f>Prices!C2213</f>
        <v/>
      </c>
      <c r="D2213">
        <f>Prices!D2213</f>
        <v/>
      </c>
      <c r="E2213">
        <f>Prices!E2213</f>
        <v/>
      </c>
      <c r="F2213">
        <f>Prices!F2213</f>
        <v/>
      </c>
      <c r="G2213">
        <f>IF(AND(2211&gt;=16,TEXT(A2213,"yyyy-mm")&lt;&gt;TEXT(A2214,"yyyy-mm")),1,0)</f>
        <v/>
      </c>
      <c r="H2213">
        <f>IF(OR(H2212=1,G2213=1),1,0)</f>
        <v/>
      </c>
      <c r="I2213">
        <f>IF(H2212=0,1,SUMPRODUCT(J2212:N2212,B2213:F2213)+O2212*(1+0.00023125256064071564))</f>
        <v/>
      </c>
      <c r="J2213">
        <f>IF(G2213=1,0.2*R2213/B2213,J2212)</f>
        <v/>
      </c>
      <c r="K2213">
        <f>IF(G2213=1,0.2*R2213/C2213,K2212)</f>
        <v/>
      </c>
      <c r="L2213">
        <f>IF(G2213=1,0.2*R2213/D2213,L2212)</f>
        <v/>
      </c>
      <c r="M2213">
        <f>IF(G2213=1,0.2*R2213/E2213,M2212)</f>
        <v/>
      </c>
      <c r="N2213">
        <f>IF(G2213=1,0.2*R2213/F2213,N2212)</f>
        <v/>
      </c>
      <c r="O2213">
        <f>IF(G2213=1,R2213*(1-1.0),IF(H2212=0,1,O2212*(1+0.00023125256064071564)))</f>
        <v/>
      </c>
      <c r="P2213">
        <f>IF(G2213=1,IF(H2212=0,1,ABS(0.2-J2212*B2213/I2213)+ABS(0.2-K2212*C2213/I2213)+ABS(0.2-L2212*D2213/I2213)+ABS(0.2-M2212*E2213/I2213)+ABS(0.2-N2212*F2213/I2213)),0)</f>
        <v/>
      </c>
      <c r="Q2213">
        <f>P2213*0.0015</f>
        <v/>
      </c>
      <c r="R2213">
        <f>I2213*(1-Q2213)</f>
        <v/>
      </c>
      <c r="S2213">
        <f>R2213/R2212-1</f>
        <v/>
      </c>
      <c r="T2213">
        <f>MAX(T2212,R2213)</f>
        <v/>
      </c>
      <c r="U2213">
        <f>R2213/T2213-1</f>
        <v/>
      </c>
      <c r="V2213" t="n">
        <v>3.81384510134503</v>
      </c>
      <c r="W2213" s="5">
        <f>R2213-V2213</f>
        <v/>
      </c>
    </row>
    <row r="2214">
      <c r="A2214" s="3" t="n">
        <v>41688</v>
      </c>
      <c r="B2214">
        <f>Prices!B2214</f>
        <v/>
      </c>
      <c r="C2214">
        <f>Prices!C2214</f>
        <v/>
      </c>
      <c r="D2214">
        <f>Prices!D2214</f>
        <v/>
      </c>
      <c r="E2214">
        <f>Prices!E2214</f>
        <v/>
      </c>
      <c r="F2214">
        <f>Prices!F2214</f>
        <v/>
      </c>
      <c r="G2214">
        <f>IF(AND(2212&gt;=16,TEXT(A2214,"yyyy-mm")&lt;&gt;TEXT(A2215,"yyyy-mm")),1,0)</f>
        <v/>
      </c>
      <c r="H2214">
        <f>IF(OR(H2213=1,G2214=1),1,0)</f>
        <v/>
      </c>
      <c r="I2214">
        <f>IF(H2213=0,1,SUMPRODUCT(J2213:N2213,B2214:F2214)+O2213*(1+0.00023125256064071564))</f>
        <v/>
      </c>
      <c r="J2214">
        <f>IF(G2214=1,0.2*R2214/B2214,J2213)</f>
        <v/>
      </c>
      <c r="K2214">
        <f>IF(G2214=1,0.2*R2214/C2214,K2213)</f>
        <v/>
      </c>
      <c r="L2214">
        <f>IF(G2214=1,0.2*R2214/D2214,L2213)</f>
        <v/>
      </c>
      <c r="M2214">
        <f>IF(G2214=1,0.2*R2214/E2214,M2213)</f>
        <v/>
      </c>
      <c r="N2214">
        <f>IF(G2214=1,0.2*R2214/F2214,N2213)</f>
        <v/>
      </c>
      <c r="O2214">
        <f>IF(G2214=1,R2214*(1-1.0),IF(H2213=0,1,O2213*(1+0.00023125256064071564)))</f>
        <v/>
      </c>
      <c r="P2214">
        <f>IF(G2214=1,IF(H2213=0,1,ABS(0.2-J2213*B2214/I2214)+ABS(0.2-K2213*C2214/I2214)+ABS(0.2-L2213*D2214/I2214)+ABS(0.2-M2213*E2214/I2214)+ABS(0.2-N2213*F2214/I2214)),0)</f>
        <v/>
      </c>
      <c r="Q2214">
        <f>P2214*0.0015</f>
        <v/>
      </c>
      <c r="R2214">
        <f>I2214*(1-Q2214)</f>
        <v/>
      </c>
      <c r="S2214">
        <f>R2214/R2213-1</f>
        <v/>
      </c>
      <c r="T2214">
        <f>MAX(T2213,R2214)</f>
        <v/>
      </c>
      <c r="U2214">
        <f>R2214/T2214-1</f>
        <v/>
      </c>
      <c r="V2214" t="n">
        <v>3.834373538354295</v>
      </c>
      <c r="W2214" s="5">
        <f>R2214-V2214</f>
        <v/>
      </c>
    </row>
    <row r="2215">
      <c r="A2215" s="3" t="n">
        <v>41689</v>
      </c>
      <c r="B2215">
        <f>Prices!B2215</f>
        <v/>
      </c>
      <c r="C2215">
        <f>Prices!C2215</f>
        <v/>
      </c>
      <c r="D2215">
        <f>Prices!D2215</f>
        <v/>
      </c>
      <c r="E2215">
        <f>Prices!E2215</f>
        <v/>
      </c>
      <c r="F2215">
        <f>Prices!F2215</f>
        <v/>
      </c>
      <c r="G2215">
        <f>IF(AND(2213&gt;=16,TEXT(A2215,"yyyy-mm")&lt;&gt;TEXT(A2216,"yyyy-mm")),1,0)</f>
        <v/>
      </c>
      <c r="H2215">
        <f>IF(OR(H2214=1,G2215=1),1,0)</f>
        <v/>
      </c>
      <c r="I2215">
        <f>IF(H2214=0,1,SUMPRODUCT(J2214:N2214,B2215:F2215)+O2214*(1+0.00023125256064071564))</f>
        <v/>
      </c>
      <c r="J2215">
        <f>IF(G2215=1,0.2*R2215/B2215,J2214)</f>
        <v/>
      </c>
      <c r="K2215">
        <f>IF(G2215=1,0.2*R2215/C2215,K2214)</f>
        <v/>
      </c>
      <c r="L2215">
        <f>IF(G2215=1,0.2*R2215/D2215,L2214)</f>
        <v/>
      </c>
      <c r="M2215">
        <f>IF(G2215=1,0.2*R2215/E2215,M2214)</f>
        <v/>
      </c>
      <c r="N2215">
        <f>IF(G2215=1,0.2*R2215/F2215,N2214)</f>
        <v/>
      </c>
      <c r="O2215">
        <f>IF(G2215=1,R2215*(1-1.0),IF(H2214=0,1,O2214*(1+0.00023125256064071564)))</f>
        <v/>
      </c>
      <c r="P2215">
        <f>IF(G2215=1,IF(H2214=0,1,ABS(0.2-J2214*B2215/I2215)+ABS(0.2-K2214*C2215/I2215)+ABS(0.2-L2214*D2215/I2215)+ABS(0.2-M2214*E2215/I2215)+ABS(0.2-N2214*F2215/I2215)),0)</f>
        <v/>
      </c>
      <c r="Q2215">
        <f>P2215*0.0015</f>
        <v/>
      </c>
      <c r="R2215">
        <f>I2215*(1-Q2215)</f>
        <v/>
      </c>
      <c r="S2215">
        <f>R2215/R2214-1</f>
        <v/>
      </c>
      <c r="T2215">
        <f>MAX(T2214,R2215)</f>
        <v/>
      </c>
      <c r="U2215">
        <f>R2215/T2215-1</f>
        <v/>
      </c>
      <c r="V2215" t="n">
        <v>3.859709989875455</v>
      </c>
      <c r="W2215" s="5">
        <f>R2215-V2215</f>
        <v/>
      </c>
    </row>
    <row r="2216">
      <c r="A2216" s="3" t="n">
        <v>41690</v>
      </c>
      <c r="B2216">
        <f>Prices!B2216</f>
        <v/>
      </c>
      <c r="C2216">
        <f>Prices!C2216</f>
        <v/>
      </c>
      <c r="D2216">
        <f>Prices!D2216</f>
        <v/>
      </c>
      <c r="E2216">
        <f>Prices!E2216</f>
        <v/>
      </c>
      <c r="F2216">
        <f>Prices!F2216</f>
        <v/>
      </c>
      <c r="G2216">
        <f>IF(AND(2214&gt;=16,TEXT(A2216,"yyyy-mm")&lt;&gt;TEXT(A2217,"yyyy-mm")),1,0)</f>
        <v/>
      </c>
      <c r="H2216">
        <f>IF(OR(H2215=1,G2216=1),1,0)</f>
        <v/>
      </c>
      <c r="I2216">
        <f>IF(H2215=0,1,SUMPRODUCT(J2215:N2215,B2216:F2216)+O2215*(1+0.00023125256064071564))</f>
        <v/>
      </c>
      <c r="J2216">
        <f>IF(G2216=1,0.2*R2216/B2216,J2215)</f>
        <v/>
      </c>
      <c r="K2216">
        <f>IF(G2216=1,0.2*R2216/C2216,K2215)</f>
        <v/>
      </c>
      <c r="L2216">
        <f>IF(G2216=1,0.2*R2216/D2216,L2215)</f>
        <v/>
      </c>
      <c r="M2216">
        <f>IF(G2216=1,0.2*R2216/E2216,M2215)</f>
        <v/>
      </c>
      <c r="N2216">
        <f>IF(G2216=1,0.2*R2216/F2216,N2215)</f>
        <v/>
      </c>
      <c r="O2216">
        <f>IF(G2216=1,R2216*(1-1.0),IF(H2215=0,1,O2215*(1+0.00023125256064071564)))</f>
        <v/>
      </c>
      <c r="P2216">
        <f>IF(G2216=1,IF(H2215=0,1,ABS(0.2-J2215*B2216/I2216)+ABS(0.2-K2215*C2216/I2216)+ABS(0.2-L2215*D2216/I2216)+ABS(0.2-M2215*E2216/I2216)+ABS(0.2-N2215*F2216/I2216)),0)</f>
        <v/>
      </c>
      <c r="Q2216">
        <f>P2216*0.0015</f>
        <v/>
      </c>
      <c r="R2216">
        <f>I2216*(1-Q2216)</f>
        <v/>
      </c>
      <c r="S2216">
        <f>R2216/R2215-1</f>
        <v/>
      </c>
      <c r="T2216">
        <f>MAX(T2215,R2216)</f>
        <v/>
      </c>
      <c r="U2216">
        <f>R2216/T2216-1</f>
        <v/>
      </c>
      <c r="V2216" t="n">
        <v>3.849655013511674</v>
      </c>
      <c r="W2216" s="5">
        <f>R2216-V2216</f>
        <v/>
      </c>
    </row>
    <row r="2217">
      <c r="A2217" s="3" t="n">
        <v>41691</v>
      </c>
      <c r="B2217">
        <f>Prices!B2217</f>
        <v/>
      </c>
      <c r="C2217">
        <f>Prices!C2217</f>
        <v/>
      </c>
      <c r="D2217">
        <f>Prices!D2217</f>
        <v/>
      </c>
      <c r="E2217">
        <f>Prices!E2217</f>
        <v/>
      </c>
      <c r="F2217">
        <f>Prices!F2217</f>
        <v/>
      </c>
      <c r="G2217">
        <f>IF(AND(2215&gt;=16,TEXT(A2217,"yyyy-mm")&lt;&gt;TEXT(A2218,"yyyy-mm")),1,0)</f>
        <v/>
      </c>
      <c r="H2217">
        <f>IF(OR(H2216=1,G2217=1),1,0)</f>
        <v/>
      </c>
      <c r="I2217">
        <f>IF(H2216=0,1,SUMPRODUCT(J2216:N2216,B2217:F2217)+O2216*(1+0.00023125256064071564))</f>
        <v/>
      </c>
      <c r="J2217">
        <f>IF(G2217=1,0.2*R2217/B2217,J2216)</f>
        <v/>
      </c>
      <c r="K2217">
        <f>IF(G2217=1,0.2*R2217/C2217,K2216)</f>
        <v/>
      </c>
      <c r="L2217">
        <f>IF(G2217=1,0.2*R2217/D2217,L2216)</f>
        <v/>
      </c>
      <c r="M2217">
        <f>IF(G2217=1,0.2*R2217/E2217,M2216)</f>
        <v/>
      </c>
      <c r="N2217">
        <f>IF(G2217=1,0.2*R2217/F2217,N2216)</f>
        <v/>
      </c>
      <c r="O2217">
        <f>IF(G2217=1,R2217*(1-1.0),IF(H2216=0,1,O2216*(1+0.00023125256064071564)))</f>
        <v/>
      </c>
      <c r="P2217">
        <f>IF(G2217=1,IF(H2216=0,1,ABS(0.2-J2216*B2217/I2217)+ABS(0.2-K2216*C2217/I2217)+ABS(0.2-L2216*D2217/I2217)+ABS(0.2-M2216*E2217/I2217)+ABS(0.2-N2216*F2217/I2217)),0)</f>
        <v/>
      </c>
      <c r="Q2217">
        <f>P2217*0.0015</f>
        <v/>
      </c>
      <c r="R2217">
        <f>I2217*(1-Q2217)</f>
        <v/>
      </c>
      <c r="S2217">
        <f>R2217/R2216-1</f>
        <v/>
      </c>
      <c r="T2217">
        <f>MAX(T2216,R2217)</f>
        <v/>
      </c>
      <c r="U2217">
        <f>R2217/T2217-1</f>
        <v/>
      </c>
      <c r="V2217" t="n">
        <v>3.8788828161116</v>
      </c>
      <c r="W2217" s="5">
        <f>R2217-V2217</f>
        <v/>
      </c>
    </row>
    <row r="2218">
      <c r="A2218" s="3" t="n">
        <v>41694</v>
      </c>
      <c r="B2218">
        <f>Prices!B2218</f>
        <v/>
      </c>
      <c r="C2218">
        <f>Prices!C2218</f>
        <v/>
      </c>
      <c r="D2218">
        <f>Prices!D2218</f>
        <v/>
      </c>
      <c r="E2218">
        <f>Prices!E2218</f>
        <v/>
      </c>
      <c r="F2218">
        <f>Prices!F2218</f>
        <v/>
      </c>
      <c r="G2218">
        <f>IF(AND(2216&gt;=16,TEXT(A2218,"yyyy-mm")&lt;&gt;TEXT(A2219,"yyyy-mm")),1,0)</f>
        <v/>
      </c>
      <c r="H2218">
        <f>IF(OR(H2217=1,G2218=1),1,0)</f>
        <v/>
      </c>
      <c r="I2218">
        <f>IF(H2217=0,1,SUMPRODUCT(J2217:N2217,B2218:F2218)+O2217*(1+0.00023125256064071564))</f>
        <v/>
      </c>
      <c r="J2218">
        <f>IF(G2218=1,0.2*R2218/B2218,J2217)</f>
        <v/>
      </c>
      <c r="K2218">
        <f>IF(G2218=1,0.2*R2218/C2218,K2217)</f>
        <v/>
      </c>
      <c r="L2218">
        <f>IF(G2218=1,0.2*R2218/D2218,L2217)</f>
        <v/>
      </c>
      <c r="M2218">
        <f>IF(G2218=1,0.2*R2218/E2218,M2217)</f>
        <v/>
      </c>
      <c r="N2218">
        <f>IF(G2218=1,0.2*R2218/F2218,N2217)</f>
        <v/>
      </c>
      <c r="O2218">
        <f>IF(G2218=1,R2218*(1-1.0),IF(H2217=0,1,O2217*(1+0.00023125256064071564)))</f>
        <v/>
      </c>
      <c r="P2218">
        <f>IF(G2218=1,IF(H2217=0,1,ABS(0.2-J2217*B2218/I2218)+ABS(0.2-K2217*C2218/I2218)+ABS(0.2-L2217*D2218/I2218)+ABS(0.2-M2217*E2218/I2218)+ABS(0.2-N2217*F2218/I2218)),0)</f>
        <v/>
      </c>
      <c r="Q2218">
        <f>P2218*0.0015</f>
        <v/>
      </c>
      <c r="R2218">
        <f>I2218*(1-Q2218)</f>
        <v/>
      </c>
      <c r="S2218">
        <f>R2218/R2217-1</f>
        <v/>
      </c>
      <c r="T2218">
        <f>MAX(T2217,R2218)</f>
        <v/>
      </c>
      <c r="U2218">
        <f>R2218/T2218-1</f>
        <v/>
      </c>
      <c r="V2218" t="n">
        <v>3.882483974257332</v>
      </c>
      <c r="W2218" s="5">
        <f>R2218-V2218</f>
        <v/>
      </c>
    </row>
    <row r="2219">
      <c r="A2219" s="3" t="n">
        <v>41695</v>
      </c>
      <c r="B2219">
        <f>Prices!B2219</f>
        <v/>
      </c>
      <c r="C2219">
        <f>Prices!C2219</f>
        <v/>
      </c>
      <c r="D2219">
        <f>Prices!D2219</f>
        <v/>
      </c>
      <c r="E2219">
        <f>Prices!E2219</f>
        <v/>
      </c>
      <c r="F2219">
        <f>Prices!F2219</f>
        <v/>
      </c>
      <c r="G2219">
        <f>IF(AND(2217&gt;=16,TEXT(A2219,"yyyy-mm")&lt;&gt;TEXT(A2220,"yyyy-mm")),1,0)</f>
        <v/>
      </c>
      <c r="H2219">
        <f>IF(OR(H2218=1,G2219=1),1,0)</f>
        <v/>
      </c>
      <c r="I2219">
        <f>IF(H2218=0,1,SUMPRODUCT(J2218:N2218,B2219:F2219)+O2218*(1+0.00023125256064071564))</f>
        <v/>
      </c>
      <c r="J2219">
        <f>IF(G2219=1,0.2*R2219/B2219,J2218)</f>
        <v/>
      </c>
      <c r="K2219">
        <f>IF(G2219=1,0.2*R2219/C2219,K2218)</f>
        <v/>
      </c>
      <c r="L2219">
        <f>IF(G2219=1,0.2*R2219/D2219,L2218)</f>
        <v/>
      </c>
      <c r="M2219">
        <f>IF(G2219=1,0.2*R2219/E2219,M2218)</f>
        <v/>
      </c>
      <c r="N2219">
        <f>IF(G2219=1,0.2*R2219/F2219,N2218)</f>
        <v/>
      </c>
      <c r="O2219">
        <f>IF(G2219=1,R2219*(1-1.0),IF(H2218=0,1,O2218*(1+0.00023125256064071564)))</f>
        <v/>
      </c>
      <c r="P2219">
        <f>IF(G2219=1,IF(H2218=0,1,ABS(0.2-J2218*B2219/I2219)+ABS(0.2-K2218*C2219/I2219)+ABS(0.2-L2218*D2219/I2219)+ABS(0.2-M2218*E2219/I2219)+ABS(0.2-N2218*F2219/I2219)),0)</f>
        <v/>
      </c>
      <c r="Q2219">
        <f>P2219*0.0015</f>
        <v/>
      </c>
      <c r="R2219">
        <f>I2219*(1-Q2219)</f>
        <v/>
      </c>
      <c r="S2219">
        <f>R2219/R2218-1</f>
        <v/>
      </c>
      <c r="T2219">
        <f>MAX(T2218,R2219)</f>
        <v/>
      </c>
      <c r="U2219">
        <f>R2219/T2219-1</f>
        <v/>
      </c>
      <c r="V2219" t="n">
        <v>3.903124143563463</v>
      </c>
      <c r="W2219" s="5">
        <f>R2219-V2219</f>
        <v/>
      </c>
    </row>
    <row r="2220">
      <c r="A2220" s="3" t="n">
        <v>41696</v>
      </c>
      <c r="B2220">
        <f>Prices!B2220</f>
        <v/>
      </c>
      <c r="C2220">
        <f>Prices!C2220</f>
        <v/>
      </c>
      <c r="D2220">
        <f>Prices!D2220</f>
        <v/>
      </c>
      <c r="E2220">
        <f>Prices!E2220</f>
        <v/>
      </c>
      <c r="F2220">
        <f>Prices!F2220</f>
        <v/>
      </c>
      <c r="G2220">
        <f>IF(AND(2218&gt;=16,TEXT(A2220,"yyyy-mm")&lt;&gt;TEXT(A2221,"yyyy-mm")),1,0)</f>
        <v/>
      </c>
      <c r="H2220">
        <f>IF(OR(H2219=1,G2220=1),1,0)</f>
        <v/>
      </c>
      <c r="I2220">
        <f>IF(H2219=0,1,SUMPRODUCT(J2219:N2219,B2220:F2220)+O2219*(1+0.00023125256064071564))</f>
        <v/>
      </c>
      <c r="J2220">
        <f>IF(G2220=1,0.2*R2220/B2220,J2219)</f>
        <v/>
      </c>
      <c r="K2220">
        <f>IF(G2220=1,0.2*R2220/C2220,K2219)</f>
        <v/>
      </c>
      <c r="L2220">
        <f>IF(G2220=1,0.2*R2220/D2220,L2219)</f>
        <v/>
      </c>
      <c r="M2220">
        <f>IF(G2220=1,0.2*R2220/E2220,M2219)</f>
        <v/>
      </c>
      <c r="N2220">
        <f>IF(G2220=1,0.2*R2220/F2220,N2219)</f>
        <v/>
      </c>
      <c r="O2220">
        <f>IF(G2220=1,R2220*(1-1.0),IF(H2219=0,1,O2219*(1+0.00023125256064071564)))</f>
        <v/>
      </c>
      <c r="P2220">
        <f>IF(G2220=1,IF(H2219=0,1,ABS(0.2-J2219*B2220/I2220)+ABS(0.2-K2219*C2220/I2220)+ABS(0.2-L2219*D2220/I2220)+ABS(0.2-M2219*E2220/I2220)+ABS(0.2-N2219*F2220/I2220)),0)</f>
        <v/>
      </c>
      <c r="Q2220">
        <f>P2220*0.0015</f>
        <v/>
      </c>
      <c r="R2220">
        <f>I2220*(1-Q2220)</f>
        <v/>
      </c>
      <c r="S2220">
        <f>R2220/R2219-1</f>
        <v/>
      </c>
      <c r="T2220">
        <f>MAX(T2219,R2220)</f>
        <v/>
      </c>
      <c r="U2220">
        <f>R2220/T2220-1</f>
        <v/>
      </c>
      <c r="V2220" t="n">
        <v>3.918659695664111</v>
      </c>
      <c r="W2220" s="5">
        <f>R2220-V2220</f>
        <v/>
      </c>
    </row>
    <row r="2221">
      <c r="A2221" s="3" t="n">
        <v>41698</v>
      </c>
      <c r="B2221">
        <f>Prices!B2221</f>
        <v/>
      </c>
      <c r="C2221">
        <f>Prices!C2221</f>
        <v/>
      </c>
      <c r="D2221">
        <f>Prices!D2221</f>
        <v/>
      </c>
      <c r="E2221">
        <f>Prices!E2221</f>
        <v/>
      </c>
      <c r="F2221">
        <f>Prices!F2221</f>
        <v/>
      </c>
      <c r="G2221">
        <f>IF(AND(2219&gt;=16,TEXT(A2221,"yyyy-mm")&lt;&gt;TEXT(A2222,"yyyy-mm")),1,0)</f>
        <v/>
      </c>
      <c r="H2221">
        <f>IF(OR(H2220=1,G2221=1),1,0)</f>
        <v/>
      </c>
      <c r="I2221">
        <f>IF(H2220=0,1,SUMPRODUCT(J2220:N2220,B2221:F2221)+O2220*(1+0.00023125256064071564))</f>
        <v/>
      </c>
      <c r="J2221">
        <f>IF(G2221=1,0.2*R2221/B2221,J2220)</f>
        <v/>
      </c>
      <c r="K2221">
        <f>IF(G2221=1,0.2*R2221/C2221,K2220)</f>
        <v/>
      </c>
      <c r="L2221">
        <f>IF(G2221=1,0.2*R2221/D2221,L2220)</f>
        <v/>
      </c>
      <c r="M2221">
        <f>IF(G2221=1,0.2*R2221/E2221,M2220)</f>
        <v/>
      </c>
      <c r="N2221">
        <f>IF(G2221=1,0.2*R2221/F2221,N2220)</f>
        <v/>
      </c>
      <c r="O2221">
        <f>IF(G2221=1,R2221*(1-1.0),IF(H2220=0,1,O2220*(1+0.00023125256064071564)))</f>
        <v/>
      </c>
      <c r="P2221">
        <f>IF(G2221=1,IF(H2220=0,1,ABS(0.2-J2220*B2221/I2221)+ABS(0.2-K2220*C2221/I2221)+ABS(0.2-L2220*D2221/I2221)+ABS(0.2-M2220*E2221/I2221)+ABS(0.2-N2220*F2221/I2221)),0)</f>
        <v/>
      </c>
      <c r="Q2221">
        <f>P2221*0.0015</f>
        <v/>
      </c>
      <c r="R2221">
        <f>I2221*(1-Q2221)</f>
        <v/>
      </c>
      <c r="S2221">
        <f>R2221/R2220-1</f>
        <v/>
      </c>
      <c r="T2221">
        <f>MAX(T2220,R2221)</f>
        <v/>
      </c>
      <c r="U2221">
        <f>R2221/T2221-1</f>
        <v/>
      </c>
      <c r="V2221" t="n">
        <v>3.953345831232932</v>
      </c>
      <c r="W2221" s="5">
        <f>R2221-V2221</f>
        <v/>
      </c>
    </row>
    <row r="2222">
      <c r="A2222" s="3" t="n">
        <v>41701</v>
      </c>
      <c r="B2222">
        <f>Prices!B2222</f>
        <v/>
      </c>
      <c r="C2222">
        <f>Prices!C2222</f>
        <v/>
      </c>
      <c r="D2222">
        <f>Prices!D2222</f>
        <v/>
      </c>
      <c r="E2222">
        <f>Prices!E2222</f>
        <v/>
      </c>
      <c r="F2222">
        <f>Prices!F2222</f>
        <v/>
      </c>
      <c r="G2222">
        <f>IF(AND(2220&gt;=16,TEXT(A2222,"yyyy-mm")&lt;&gt;TEXT(A2223,"yyyy-mm")),1,0)</f>
        <v/>
      </c>
      <c r="H2222">
        <f>IF(OR(H2221=1,G2222=1),1,0)</f>
        <v/>
      </c>
      <c r="I2222">
        <f>IF(H2221=0,1,SUMPRODUCT(J2221:N2221,B2222:F2222)+O2221*(1+0.00023125256064071564))</f>
        <v/>
      </c>
      <c r="J2222">
        <f>IF(G2222=1,0.2*R2222/B2222,J2221)</f>
        <v/>
      </c>
      <c r="K2222">
        <f>IF(G2222=1,0.2*R2222/C2222,K2221)</f>
        <v/>
      </c>
      <c r="L2222">
        <f>IF(G2222=1,0.2*R2222/D2222,L2221)</f>
        <v/>
      </c>
      <c r="M2222">
        <f>IF(G2222=1,0.2*R2222/E2222,M2221)</f>
        <v/>
      </c>
      <c r="N2222">
        <f>IF(G2222=1,0.2*R2222/F2222,N2221)</f>
        <v/>
      </c>
      <c r="O2222">
        <f>IF(G2222=1,R2222*(1-1.0),IF(H2221=0,1,O2221*(1+0.00023125256064071564)))</f>
        <v/>
      </c>
      <c r="P2222">
        <f>IF(G2222=1,IF(H2221=0,1,ABS(0.2-J2221*B2222/I2222)+ABS(0.2-K2221*C2222/I2222)+ABS(0.2-L2221*D2222/I2222)+ABS(0.2-M2221*E2222/I2222)+ABS(0.2-N2221*F2222/I2222)),0)</f>
        <v/>
      </c>
      <c r="Q2222">
        <f>P2222*0.0015</f>
        <v/>
      </c>
      <c r="R2222">
        <f>I2222*(1-Q2222)</f>
        <v/>
      </c>
      <c r="S2222">
        <f>R2222/R2221-1</f>
        <v/>
      </c>
      <c r="T2222">
        <f>MAX(T2221,R2222)</f>
        <v/>
      </c>
      <c r="U2222">
        <f>R2222/T2222-1</f>
        <v/>
      </c>
      <c r="V2222" t="n">
        <v>3.934167390178995</v>
      </c>
      <c r="W2222" s="5">
        <f>R2222-V2222</f>
        <v/>
      </c>
    </row>
    <row r="2223">
      <c r="A2223" s="3" t="n">
        <v>41702</v>
      </c>
      <c r="B2223">
        <f>Prices!B2223</f>
        <v/>
      </c>
      <c r="C2223">
        <f>Prices!C2223</f>
        <v/>
      </c>
      <c r="D2223">
        <f>Prices!D2223</f>
        <v/>
      </c>
      <c r="E2223">
        <f>Prices!E2223</f>
        <v/>
      </c>
      <c r="F2223">
        <f>Prices!F2223</f>
        <v/>
      </c>
      <c r="G2223">
        <f>IF(AND(2221&gt;=16,TEXT(A2223,"yyyy-mm")&lt;&gt;TEXT(A2224,"yyyy-mm")),1,0)</f>
        <v/>
      </c>
      <c r="H2223">
        <f>IF(OR(H2222=1,G2223=1),1,0)</f>
        <v/>
      </c>
      <c r="I2223">
        <f>IF(H2222=0,1,SUMPRODUCT(J2222:N2222,B2223:F2223)+O2222*(1+0.00023125256064071564))</f>
        <v/>
      </c>
      <c r="J2223">
        <f>IF(G2223=1,0.2*R2223/B2223,J2222)</f>
        <v/>
      </c>
      <c r="K2223">
        <f>IF(G2223=1,0.2*R2223/C2223,K2222)</f>
        <v/>
      </c>
      <c r="L2223">
        <f>IF(G2223=1,0.2*R2223/D2223,L2222)</f>
        <v/>
      </c>
      <c r="M2223">
        <f>IF(G2223=1,0.2*R2223/E2223,M2222)</f>
        <v/>
      </c>
      <c r="N2223">
        <f>IF(G2223=1,0.2*R2223/F2223,N2222)</f>
        <v/>
      </c>
      <c r="O2223">
        <f>IF(G2223=1,R2223*(1-1.0),IF(H2222=0,1,O2222*(1+0.00023125256064071564)))</f>
        <v/>
      </c>
      <c r="P2223">
        <f>IF(G2223=1,IF(H2222=0,1,ABS(0.2-J2222*B2223/I2223)+ABS(0.2-K2222*C2223/I2223)+ABS(0.2-L2222*D2223/I2223)+ABS(0.2-M2222*E2223/I2223)+ABS(0.2-N2222*F2223/I2223)),0)</f>
        <v/>
      </c>
      <c r="Q2223">
        <f>P2223*0.0015</f>
        <v/>
      </c>
      <c r="R2223">
        <f>I2223*(1-Q2223)</f>
        <v/>
      </c>
      <c r="S2223">
        <f>R2223/R2222-1</f>
        <v/>
      </c>
      <c r="T2223">
        <f>MAX(T2222,R2223)</f>
        <v/>
      </c>
      <c r="U2223">
        <f>R2223/T2223-1</f>
        <v/>
      </c>
      <c r="V2223" t="n">
        <v>3.962547274372398</v>
      </c>
      <c r="W2223" s="5">
        <f>R2223-V2223</f>
        <v/>
      </c>
    </row>
    <row r="2224">
      <c r="A2224" s="3" t="n">
        <v>41703</v>
      </c>
      <c r="B2224">
        <f>Prices!B2224</f>
        <v/>
      </c>
      <c r="C2224">
        <f>Prices!C2224</f>
        <v/>
      </c>
      <c r="D2224">
        <f>Prices!D2224</f>
        <v/>
      </c>
      <c r="E2224">
        <f>Prices!E2224</f>
        <v/>
      </c>
      <c r="F2224">
        <f>Prices!F2224</f>
        <v/>
      </c>
      <c r="G2224">
        <f>IF(AND(2222&gt;=16,TEXT(A2224,"yyyy-mm")&lt;&gt;TEXT(A2225,"yyyy-mm")),1,0)</f>
        <v/>
      </c>
      <c r="H2224">
        <f>IF(OR(H2223=1,G2224=1),1,0)</f>
        <v/>
      </c>
      <c r="I2224">
        <f>IF(H2223=0,1,SUMPRODUCT(J2223:N2223,B2224:F2224)+O2223*(1+0.00023125256064071564))</f>
        <v/>
      </c>
      <c r="J2224">
        <f>IF(G2224=1,0.2*R2224/B2224,J2223)</f>
        <v/>
      </c>
      <c r="K2224">
        <f>IF(G2224=1,0.2*R2224/C2224,K2223)</f>
        <v/>
      </c>
      <c r="L2224">
        <f>IF(G2224=1,0.2*R2224/D2224,L2223)</f>
        <v/>
      </c>
      <c r="M2224">
        <f>IF(G2224=1,0.2*R2224/E2224,M2223)</f>
        <v/>
      </c>
      <c r="N2224">
        <f>IF(G2224=1,0.2*R2224/F2224,N2223)</f>
        <v/>
      </c>
      <c r="O2224">
        <f>IF(G2224=1,R2224*(1-1.0),IF(H2223=0,1,O2223*(1+0.00023125256064071564)))</f>
        <v/>
      </c>
      <c r="P2224">
        <f>IF(G2224=1,IF(H2223=0,1,ABS(0.2-J2223*B2224/I2224)+ABS(0.2-K2223*C2224/I2224)+ABS(0.2-L2223*D2224/I2224)+ABS(0.2-M2223*E2224/I2224)+ABS(0.2-N2223*F2224/I2224)),0)</f>
        <v/>
      </c>
      <c r="Q2224">
        <f>P2224*0.0015</f>
        <v/>
      </c>
      <c r="R2224">
        <f>I2224*(1-Q2224)</f>
        <v/>
      </c>
      <c r="S2224">
        <f>R2224/R2223-1</f>
        <v/>
      </c>
      <c r="T2224">
        <f>MAX(T2223,R2224)</f>
        <v/>
      </c>
      <c r="U2224">
        <f>R2224/T2224-1</f>
        <v/>
      </c>
      <c r="V2224" t="n">
        <v>3.98044587922482</v>
      </c>
      <c r="W2224" s="5">
        <f>R2224-V2224</f>
        <v/>
      </c>
    </row>
    <row r="2225">
      <c r="A2225" s="3" t="n">
        <v>41704</v>
      </c>
      <c r="B2225">
        <f>Prices!B2225</f>
        <v/>
      </c>
      <c r="C2225">
        <f>Prices!C2225</f>
        <v/>
      </c>
      <c r="D2225">
        <f>Prices!D2225</f>
        <v/>
      </c>
      <c r="E2225">
        <f>Prices!E2225</f>
        <v/>
      </c>
      <c r="F2225">
        <f>Prices!F2225</f>
        <v/>
      </c>
      <c r="G2225">
        <f>IF(AND(2223&gt;=16,TEXT(A2225,"yyyy-mm")&lt;&gt;TEXT(A2226,"yyyy-mm")),1,0)</f>
        <v/>
      </c>
      <c r="H2225">
        <f>IF(OR(H2224=1,G2225=1),1,0)</f>
        <v/>
      </c>
      <c r="I2225">
        <f>IF(H2224=0,1,SUMPRODUCT(J2224:N2224,B2225:F2225)+O2224*(1+0.00023125256064071564))</f>
        <v/>
      </c>
      <c r="J2225">
        <f>IF(G2225=1,0.2*R2225/B2225,J2224)</f>
        <v/>
      </c>
      <c r="K2225">
        <f>IF(G2225=1,0.2*R2225/C2225,K2224)</f>
        <v/>
      </c>
      <c r="L2225">
        <f>IF(G2225=1,0.2*R2225/D2225,L2224)</f>
        <v/>
      </c>
      <c r="M2225">
        <f>IF(G2225=1,0.2*R2225/E2225,M2224)</f>
        <v/>
      </c>
      <c r="N2225">
        <f>IF(G2225=1,0.2*R2225/F2225,N2224)</f>
        <v/>
      </c>
      <c r="O2225">
        <f>IF(G2225=1,R2225*(1-1.0),IF(H2224=0,1,O2224*(1+0.00023125256064071564)))</f>
        <v/>
      </c>
      <c r="P2225">
        <f>IF(G2225=1,IF(H2224=0,1,ABS(0.2-J2224*B2225/I2225)+ABS(0.2-K2224*C2225/I2225)+ABS(0.2-L2224*D2225/I2225)+ABS(0.2-M2224*E2225/I2225)+ABS(0.2-N2224*F2225/I2225)),0)</f>
        <v/>
      </c>
      <c r="Q2225">
        <f>P2225*0.0015</f>
        <v/>
      </c>
      <c r="R2225">
        <f>I2225*(1-Q2225)</f>
        <v/>
      </c>
      <c r="S2225">
        <f>R2225/R2224-1</f>
        <v/>
      </c>
      <c r="T2225">
        <f>MAX(T2224,R2225)</f>
        <v/>
      </c>
      <c r="U2225">
        <f>R2225/T2225-1</f>
        <v/>
      </c>
      <c r="V2225" t="n">
        <v>4.014824633764285</v>
      </c>
      <c r="W2225" s="5">
        <f>R2225-V2225</f>
        <v/>
      </c>
    </row>
    <row r="2226">
      <c r="A2226" s="3" t="n">
        <v>41705</v>
      </c>
      <c r="B2226">
        <f>Prices!B2226</f>
        <v/>
      </c>
      <c r="C2226">
        <f>Prices!C2226</f>
        <v/>
      </c>
      <c r="D2226">
        <f>Prices!D2226</f>
        <v/>
      </c>
      <c r="E2226">
        <f>Prices!E2226</f>
        <v/>
      </c>
      <c r="F2226">
        <f>Prices!F2226</f>
        <v/>
      </c>
      <c r="G2226">
        <f>IF(AND(2224&gt;=16,TEXT(A2226,"yyyy-mm")&lt;&gt;TEXT(A2227,"yyyy-mm")),1,0)</f>
        <v/>
      </c>
      <c r="H2226">
        <f>IF(OR(H2225=1,G2226=1),1,0)</f>
        <v/>
      </c>
      <c r="I2226">
        <f>IF(H2225=0,1,SUMPRODUCT(J2225:N2225,B2226:F2226)+O2225*(1+0.00023125256064071564))</f>
        <v/>
      </c>
      <c r="J2226">
        <f>IF(G2226=1,0.2*R2226/B2226,J2225)</f>
        <v/>
      </c>
      <c r="K2226">
        <f>IF(G2226=1,0.2*R2226/C2226,K2225)</f>
        <v/>
      </c>
      <c r="L2226">
        <f>IF(G2226=1,0.2*R2226/D2226,L2225)</f>
        <v/>
      </c>
      <c r="M2226">
        <f>IF(G2226=1,0.2*R2226/E2226,M2225)</f>
        <v/>
      </c>
      <c r="N2226">
        <f>IF(G2226=1,0.2*R2226/F2226,N2225)</f>
        <v/>
      </c>
      <c r="O2226">
        <f>IF(G2226=1,R2226*(1-1.0),IF(H2225=0,1,O2225*(1+0.00023125256064071564)))</f>
        <v/>
      </c>
      <c r="P2226">
        <f>IF(G2226=1,IF(H2225=0,1,ABS(0.2-J2225*B2226/I2226)+ABS(0.2-K2225*C2226/I2226)+ABS(0.2-L2225*D2226/I2226)+ABS(0.2-M2225*E2226/I2226)+ABS(0.2-N2225*F2226/I2226)),0)</f>
        <v/>
      </c>
      <c r="Q2226">
        <f>P2226*0.0015</f>
        <v/>
      </c>
      <c r="R2226">
        <f>I2226*(1-Q2226)</f>
        <v/>
      </c>
      <c r="S2226">
        <f>R2226/R2225-1</f>
        <v/>
      </c>
      <c r="T2226">
        <f>MAX(T2225,R2226)</f>
        <v/>
      </c>
      <c r="U2226">
        <f>R2226/T2226-1</f>
        <v/>
      </c>
      <c r="V2226" t="n">
        <v>4.007592167196296</v>
      </c>
      <c r="W2226" s="5">
        <f>R2226-V2226</f>
        <v/>
      </c>
    </row>
    <row r="2227">
      <c r="A2227" s="3" t="n">
        <v>41708</v>
      </c>
      <c r="B2227">
        <f>Prices!B2227</f>
        <v/>
      </c>
      <c r="C2227">
        <f>Prices!C2227</f>
        <v/>
      </c>
      <c r="D2227">
        <f>Prices!D2227</f>
        <v/>
      </c>
      <c r="E2227">
        <f>Prices!E2227</f>
        <v/>
      </c>
      <c r="F2227">
        <f>Prices!F2227</f>
        <v/>
      </c>
      <c r="G2227">
        <f>IF(AND(2225&gt;=16,TEXT(A2227,"yyyy-mm")&lt;&gt;TEXT(A2228,"yyyy-mm")),1,0)</f>
        <v/>
      </c>
      <c r="H2227">
        <f>IF(OR(H2226=1,G2227=1),1,0)</f>
        <v/>
      </c>
      <c r="I2227">
        <f>IF(H2226=0,1,SUMPRODUCT(J2226:N2226,B2227:F2227)+O2226*(1+0.00023125256064071564))</f>
        <v/>
      </c>
      <c r="J2227">
        <f>IF(G2227=1,0.2*R2227/B2227,J2226)</f>
        <v/>
      </c>
      <c r="K2227">
        <f>IF(G2227=1,0.2*R2227/C2227,K2226)</f>
        <v/>
      </c>
      <c r="L2227">
        <f>IF(G2227=1,0.2*R2227/D2227,L2226)</f>
        <v/>
      </c>
      <c r="M2227">
        <f>IF(G2227=1,0.2*R2227/E2227,M2226)</f>
        <v/>
      </c>
      <c r="N2227">
        <f>IF(G2227=1,0.2*R2227/F2227,N2226)</f>
        <v/>
      </c>
      <c r="O2227">
        <f>IF(G2227=1,R2227*(1-1.0),IF(H2226=0,1,O2226*(1+0.00023125256064071564)))</f>
        <v/>
      </c>
      <c r="P2227">
        <f>IF(G2227=1,IF(H2226=0,1,ABS(0.2-J2226*B2227/I2227)+ABS(0.2-K2226*C2227/I2227)+ABS(0.2-L2226*D2227/I2227)+ABS(0.2-M2226*E2227/I2227)+ABS(0.2-N2226*F2227/I2227)),0)</f>
        <v/>
      </c>
      <c r="Q2227">
        <f>P2227*0.0015</f>
        <v/>
      </c>
      <c r="R2227">
        <f>I2227*(1-Q2227)</f>
        <v/>
      </c>
      <c r="S2227">
        <f>R2227/R2226-1</f>
        <v/>
      </c>
      <c r="T2227">
        <f>MAX(T2226,R2227)</f>
        <v/>
      </c>
      <c r="U2227">
        <f>R2227/T2227-1</f>
        <v/>
      </c>
      <c r="V2227" t="n">
        <v>3.992970200364014</v>
      </c>
      <c r="W2227" s="5">
        <f>R2227-V2227</f>
        <v/>
      </c>
    </row>
    <row r="2228">
      <c r="A2228" s="3" t="n">
        <v>41709</v>
      </c>
      <c r="B2228">
        <f>Prices!B2228</f>
        <v/>
      </c>
      <c r="C2228">
        <f>Prices!C2228</f>
        <v/>
      </c>
      <c r="D2228">
        <f>Prices!D2228</f>
        <v/>
      </c>
      <c r="E2228">
        <f>Prices!E2228</f>
        <v/>
      </c>
      <c r="F2228">
        <f>Prices!F2228</f>
        <v/>
      </c>
      <c r="G2228">
        <f>IF(AND(2226&gt;=16,TEXT(A2228,"yyyy-mm")&lt;&gt;TEXT(A2229,"yyyy-mm")),1,0)</f>
        <v/>
      </c>
      <c r="H2228">
        <f>IF(OR(H2227=1,G2228=1),1,0)</f>
        <v/>
      </c>
      <c r="I2228">
        <f>IF(H2227=0,1,SUMPRODUCT(J2227:N2227,B2228:F2228)+O2227*(1+0.00023125256064071564))</f>
        <v/>
      </c>
      <c r="J2228">
        <f>IF(G2228=1,0.2*R2228/B2228,J2227)</f>
        <v/>
      </c>
      <c r="K2228">
        <f>IF(G2228=1,0.2*R2228/C2228,K2227)</f>
        <v/>
      </c>
      <c r="L2228">
        <f>IF(G2228=1,0.2*R2228/D2228,L2227)</f>
        <v/>
      </c>
      <c r="M2228">
        <f>IF(G2228=1,0.2*R2228/E2228,M2227)</f>
        <v/>
      </c>
      <c r="N2228">
        <f>IF(G2228=1,0.2*R2228/F2228,N2227)</f>
        <v/>
      </c>
      <c r="O2228">
        <f>IF(G2228=1,R2228*(1-1.0),IF(H2227=0,1,O2227*(1+0.00023125256064071564)))</f>
        <v/>
      </c>
      <c r="P2228">
        <f>IF(G2228=1,IF(H2227=0,1,ABS(0.2-J2227*B2228/I2228)+ABS(0.2-K2227*C2228/I2228)+ABS(0.2-L2227*D2228/I2228)+ABS(0.2-M2227*E2228/I2228)+ABS(0.2-N2227*F2228/I2228)),0)</f>
        <v/>
      </c>
      <c r="Q2228">
        <f>P2228*0.0015</f>
        <v/>
      </c>
      <c r="R2228">
        <f>I2228*(1-Q2228)</f>
        <v/>
      </c>
      <c r="S2228">
        <f>R2228/R2227-1</f>
        <v/>
      </c>
      <c r="T2228">
        <f>MAX(T2227,R2228)</f>
        <v/>
      </c>
      <c r="U2228">
        <f>R2228/T2228-1</f>
        <v/>
      </c>
      <c r="V2228" t="n">
        <v>3.982330391065389</v>
      </c>
      <c r="W2228" s="5">
        <f>R2228-V2228</f>
        <v/>
      </c>
    </row>
    <row r="2229">
      <c r="A2229" s="3" t="n">
        <v>41710</v>
      </c>
      <c r="B2229">
        <f>Prices!B2229</f>
        <v/>
      </c>
      <c r="C2229">
        <f>Prices!C2229</f>
        <v/>
      </c>
      <c r="D2229">
        <f>Prices!D2229</f>
        <v/>
      </c>
      <c r="E2229">
        <f>Prices!E2229</f>
        <v/>
      </c>
      <c r="F2229">
        <f>Prices!F2229</f>
        <v/>
      </c>
      <c r="G2229">
        <f>IF(AND(2227&gt;=16,TEXT(A2229,"yyyy-mm")&lt;&gt;TEXT(A2230,"yyyy-mm")),1,0)</f>
        <v/>
      </c>
      <c r="H2229">
        <f>IF(OR(H2228=1,G2229=1),1,0)</f>
        <v/>
      </c>
      <c r="I2229">
        <f>IF(H2228=0,1,SUMPRODUCT(J2228:N2228,B2229:F2229)+O2228*(1+0.00023125256064071564))</f>
        <v/>
      </c>
      <c r="J2229">
        <f>IF(G2229=1,0.2*R2229/B2229,J2228)</f>
        <v/>
      </c>
      <c r="K2229">
        <f>IF(G2229=1,0.2*R2229/C2229,K2228)</f>
        <v/>
      </c>
      <c r="L2229">
        <f>IF(G2229=1,0.2*R2229/D2229,L2228)</f>
        <v/>
      </c>
      <c r="M2229">
        <f>IF(G2229=1,0.2*R2229/E2229,M2228)</f>
        <v/>
      </c>
      <c r="N2229">
        <f>IF(G2229=1,0.2*R2229/F2229,N2228)</f>
        <v/>
      </c>
      <c r="O2229">
        <f>IF(G2229=1,R2229*(1-1.0),IF(H2228=0,1,O2228*(1+0.00023125256064071564)))</f>
        <v/>
      </c>
      <c r="P2229">
        <f>IF(G2229=1,IF(H2228=0,1,ABS(0.2-J2228*B2229/I2229)+ABS(0.2-K2228*C2229/I2229)+ABS(0.2-L2228*D2229/I2229)+ABS(0.2-M2228*E2229/I2229)+ABS(0.2-N2228*F2229/I2229)),0)</f>
        <v/>
      </c>
      <c r="Q2229">
        <f>P2229*0.0015</f>
        <v/>
      </c>
      <c r="R2229">
        <f>I2229*(1-Q2229)</f>
        <v/>
      </c>
      <c r="S2229">
        <f>R2229/R2228-1</f>
        <v/>
      </c>
      <c r="T2229">
        <f>MAX(T2228,R2229)</f>
        <v/>
      </c>
      <c r="U2229">
        <f>R2229/T2229-1</f>
        <v/>
      </c>
      <c r="V2229" t="n">
        <v>3.990545315626415</v>
      </c>
      <c r="W2229" s="5">
        <f>R2229-V2229</f>
        <v/>
      </c>
    </row>
    <row r="2230">
      <c r="A2230" s="3" t="n">
        <v>41711</v>
      </c>
      <c r="B2230">
        <f>Prices!B2230</f>
        <v/>
      </c>
      <c r="C2230">
        <f>Prices!C2230</f>
        <v/>
      </c>
      <c r="D2230">
        <f>Prices!D2230</f>
        <v/>
      </c>
      <c r="E2230">
        <f>Prices!E2230</f>
        <v/>
      </c>
      <c r="F2230">
        <f>Prices!F2230</f>
        <v/>
      </c>
      <c r="G2230">
        <f>IF(AND(2228&gt;=16,TEXT(A2230,"yyyy-mm")&lt;&gt;TEXT(A2231,"yyyy-mm")),1,0)</f>
        <v/>
      </c>
      <c r="H2230">
        <f>IF(OR(H2229=1,G2230=1),1,0)</f>
        <v/>
      </c>
      <c r="I2230">
        <f>IF(H2229=0,1,SUMPRODUCT(J2229:N2229,B2230:F2230)+O2229*(1+0.00023125256064071564))</f>
        <v/>
      </c>
      <c r="J2230">
        <f>IF(G2230=1,0.2*R2230/B2230,J2229)</f>
        <v/>
      </c>
      <c r="K2230">
        <f>IF(G2230=1,0.2*R2230/C2230,K2229)</f>
        <v/>
      </c>
      <c r="L2230">
        <f>IF(G2230=1,0.2*R2230/D2230,L2229)</f>
        <v/>
      </c>
      <c r="M2230">
        <f>IF(G2230=1,0.2*R2230/E2230,M2229)</f>
        <v/>
      </c>
      <c r="N2230">
        <f>IF(G2230=1,0.2*R2230/F2230,N2229)</f>
        <v/>
      </c>
      <c r="O2230">
        <f>IF(G2230=1,R2230*(1-1.0),IF(H2229=0,1,O2229*(1+0.00023125256064071564)))</f>
        <v/>
      </c>
      <c r="P2230">
        <f>IF(G2230=1,IF(H2229=0,1,ABS(0.2-J2229*B2230/I2230)+ABS(0.2-K2229*C2230/I2230)+ABS(0.2-L2229*D2230/I2230)+ABS(0.2-M2229*E2230/I2230)+ABS(0.2-N2229*F2230/I2230)),0)</f>
        <v/>
      </c>
      <c r="Q2230">
        <f>P2230*0.0015</f>
        <v/>
      </c>
      <c r="R2230">
        <f>I2230*(1-Q2230)</f>
        <v/>
      </c>
      <c r="S2230">
        <f>R2230/R2229-1</f>
        <v/>
      </c>
      <c r="T2230">
        <f>MAX(T2229,R2230)</f>
        <v/>
      </c>
      <c r="U2230">
        <f>R2230/T2230-1</f>
        <v/>
      </c>
      <c r="V2230" t="n">
        <v>3.979205264735991</v>
      </c>
      <c r="W2230" s="5">
        <f>R2230-V2230</f>
        <v/>
      </c>
    </row>
    <row r="2231">
      <c r="A2231" s="3" t="n">
        <v>41712</v>
      </c>
      <c r="B2231">
        <f>Prices!B2231</f>
        <v/>
      </c>
      <c r="C2231">
        <f>Prices!C2231</f>
        <v/>
      </c>
      <c r="D2231">
        <f>Prices!D2231</f>
        <v/>
      </c>
      <c r="E2231">
        <f>Prices!E2231</f>
        <v/>
      </c>
      <c r="F2231">
        <f>Prices!F2231</f>
        <v/>
      </c>
      <c r="G2231">
        <f>IF(AND(2229&gt;=16,TEXT(A2231,"yyyy-mm")&lt;&gt;TEXT(A2232,"yyyy-mm")),1,0)</f>
        <v/>
      </c>
      <c r="H2231">
        <f>IF(OR(H2230=1,G2231=1),1,0)</f>
        <v/>
      </c>
      <c r="I2231">
        <f>IF(H2230=0,1,SUMPRODUCT(J2230:N2230,B2231:F2231)+O2230*(1+0.00023125256064071564))</f>
        <v/>
      </c>
      <c r="J2231">
        <f>IF(G2231=1,0.2*R2231/B2231,J2230)</f>
        <v/>
      </c>
      <c r="K2231">
        <f>IF(G2231=1,0.2*R2231/C2231,K2230)</f>
        <v/>
      </c>
      <c r="L2231">
        <f>IF(G2231=1,0.2*R2231/D2231,L2230)</f>
        <v/>
      </c>
      <c r="M2231">
        <f>IF(G2231=1,0.2*R2231/E2231,M2230)</f>
        <v/>
      </c>
      <c r="N2231">
        <f>IF(G2231=1,0.2*R2231/F2231,N2230)</f>
        <v/>
      </c>
      <c r="O2231">
        <f>IF(G2231=1,R2231*(1-1.0),IF(H2230=0,1,O2230*(1+0.00023125256064071564)))</f>
        <v/>
      </c>
      <c r="P2231">
        <f>IF(G2231=1,IF(H2230=0,1,ABS(0.2-J2230*B2231/I2231)+ABS(0.2-K2230*C2231/I2231)+ABS(0.2-L2230*D2231/I2231)+ABS(0.2-M2230*E2231/I2231)+ABS(0.2-N2230*F2231/I2231)),0)</f>
        <v/>
      </c>
      <c r="Q2231">
        <f>P2231*0.0015</f>
        <v/>
      </c>
      <c r="R2231">
        <f>I2231*(1-Q2231)</f>
        <v/>
      </c>
      <c r="S2231">
        <f>R2231/R2230-1</f>
        <v/>
      </c>
      <c r="T2231">
        <f>MAX(T2230,R2231)</f>
        <v/>
      </c>
      <c r="U2231">
        <f>R2231/T2231-1</f>
        <v/>
      </c>
      <c r="V2231" t="n">
        <v>3.985014464367161</v>
      </c>
      <c r="W2231" s="5">
        <f>R2231-V2231</f>
        <v/>
      </c>
    </row>
    <row r="2232">
      <c r="A2232" s="3" t="n">
        <v>41716</v>
      </c>
      <c r="B2232">
        <f>Prices!B2232</f>
        <v/>
      </c>
      <c r="C2232">
        <f>Prices!C2232</f>
        <v/>
      </c>
      <c r="D2232">
        <f>Prices!D2232</f>
        <v/>
      </c>
      <c r="E2232">
        <f>Prices!E2232</f>
        <v/>
      </c>
      <c r="F2232">
        <f>Prices!F2232</f>
        <v/>
      </c>
      <c r="G2232">
        <f>IF(AND(2230&gt;=16,TEXT(A2232,"yyyy-mm")&lt;&gt;TEXT(A2233,"yyyy-mm")),1,0)</f>
        <v/>
      </c>
      <c r="H2232">
        <f>IF(OR(H2231=1,G2232=1),1,0)</f>
        <v/>
      </c>
      <c r="I2232">
        <f>IF(H2231=0,1,SUMPRODUCT(J2231:N2231,B2232:F2232)+O2231*(1+0.00023125256064071564))</f>
        <v/>
      </c>
      <c r="J2232">
        <f>IF(G2232=1,0.2*R2232/B2232,J2231)</f>
        <v/>
      </c>
      <c r="K2232">
        <f>IF(G2232=1,0.2*R2232/C2232,K2231)</f>
        <v/>
      </c>
      <c r="L2232">
        <f>IF(G2232=1,0.2*R2232/D2232,L2231)</f>
        <v/>
      </c>
      <c r="M2232">
        <f>IF(G2232=1,0.2*R2232/E2232,M2231)</f>
        <v/>
      </c>
      <c r="N2232">
        <f>IF(G2232=1,0.2*R2232/F2232,N2231)</f>
        <v/>
      </c>
      <c r="O2232">
        <f>IF(G2232=1,R2232*(1-1.0),IF(H2231=0,1,O2231*(1+0.00023125256064071564)))</f>
        <v/>
      </c>
      <c r="P2232">
        <f>IF(G2232=1,IF(H2231=0,1,ABS(0.2-J2231*B2232/I2232)+ABS(0.2-K2231*C2232/I2232)+ABS(0.2-L2231*D2232/I2232)+ABS(0.2-M2231*E2232/I2232)+ABS(0.2-N2231*F2232/I2232)),0)</f>
        <v/>
      </c>
      <c r="Q2232">
        <f>P2232*0.0015</f>
        <v/>
      </c>
      <c r="R2232">
        <f>I2232*(1-Q2232)</f>
        <v/>
      </c>
      <c r="S2232">
        <f>R2232/R2231-1</f>
        <v/>
      </c>
      <c r="T2232">
        <f>MAX(T2231,R2232)</f>
        <v/>
      </c>
      <c r="U2232">
        <f>R2232/T2232-1</f>
        <v/>
      </c>
      <c r="V2232" t="n">
        <v>4.020936142572909</v>
      </c>
      <c r="W2232" s="5">
        <f>R2232-V2232</f>
        <v/>
      </c>
    </row>
    <row r="2233">
      <c r="A2233" s="3" t="n">
        <v>41717</v>
      </c>
      <c r="B2233">
        <f>Prices!B2233</f>
        <v/>
      </c>
      <c r="C2233">
        <f>Prices!C2233</f>
        <v/>
      </c>
      <c r="D2233">
        <f>Prices!D2233</f>
        <v/>
      </c>
      <c r="E2233">
        <f>Prices!E2233</f>
        <v/>
      </c>
      <c r="F2233">
        <f>Prices!F2233</f>
        <v/>
      </c>
      <c r="G2233">
        <f>IF(AND(2231&gt;=16,TEXT(A2233,"yyyy-mm")&lt;&gt;TEXT(A2234,"yyyy-mm")),1,0)</f>
        <v/>
      </c>
      <c r="H2233">
        <f>IF(OR(H2232=1,G2233=1),1,0)</f>
        <v/>
      </c>
      <c r="I2233">
        <f>IF(H2232=0,1,SUMPRODUCT(J2232:N2232,B2233:F2233)+O2232*(1+0.00023125256064071564))</f>
        <v/>
      </c>
      <c r="J2233">
        <f>IF(G2233=1,0.2*R2233/B2233,J2232)</f>
        <v/>
      </c>
      <c r="K2233">
        <f>IF(G2233=1,0.2*R2233/C2233,K2232)</f>
        <v/>
      </c>
      <c r="L2233">
        <f>IF(G2233=1,0.2*R2233/D2233,L2232)</f>
        <v/>
      </c>
      <c r="M2233">
        <f>IF(G2233=1,0.2*R2233/E2233,M2232)</f>
        <v/>
      </c>
      <c r="N2233">
        <f>IF(G2233=1,0.2*R2233/F2233,N2232)</f>
        <v/>
      </c>
      <c r="O2233">
        <f>IF(G2233=1,R2233*(1-1.0),IF(H2232=0,1,O2232*(1+0.00023125256064071564)))</f>
        <v/>
      </c>
      <c r="P2233">
        <f>IF(G2233=1,IF(H2232=0,1,ABS(0.2-J2232*B2233/I2233)+ABS(0.2-K2232*C2233/I2233)+ABS(0.2-L2232*D2233/I2233)+ABS(0.2-M2232*E2233/I2233)+ABS(0.2-N2232*F2233/I2233)),0)</f>
        <v/>
      </c>
      <c r="Q2233">
        <f>P2233*0.0015</f>
        <v/>
      </c>
      <c r="R2233">
        <f>I2233*(1-Q2233)</f>
        <v/>
      </c>
      <c r="S2233">
        <f>R2233/R2232-1</f>
        <v/>
      </c>
      <c r="T2233">
        <f>MAX(T2232,R2233)</f>
        <v/>
      </c>
      <c r="U2233">
        <f>R2233/T2233-1</f>
        <v/>
      </c>
      <c r="V2233" t="n">
        <v>4.025928922572697</v>
      </c>
      <c r="W2233" s="5">
        <f>R2233-V2233</f>
        <v/>
      </c>
    </row>
    <row r="2234">
      <c r="A2234" s="3" t="n">
        <v>41718</v>
      </c>
      <c r="B2234">
        <f>Prices!B2234</f>
        <v/>
      </c>
      <c r="C2234">
        <f>Prices!C2234</f>
        <v/>
      </c>
      <c r="D2234">
        <f>Prices!D2234</f>
        <v/>
      </c>
      <c r="E2234">
        <f>Prices!E2234</f>
        <v/>
      </c>
      <c r="F2234">
        <f>Prices!F2234</f>
        <v/>
      </c>
      <c r="G2234">
        <f>IF(AND(2232&gt;=16,TEXT(A2234,"yyyy-mm")&lt;&gt;TEXT(A2235,"yyyy-mm")),1,0)</f>
        <v/>
      </c>
      <c r="H2234">
        <f>IF(OR(H2233=1,G2234=1),1,0)</f>
        <v/>
      </c>
      <c r="I2234">
        <f>IF(H2233=0,1,SUMPRODUCT(J2233:N2233,B2234:F2234)+O2233*(1+0.00023125256064071564))</f>
        <v/>
      </c>
      <c r="J2234">
        <f>IF(G2234=1,0.2*R2234/B2234,J2233)</f>
        <v/>
      </c>
      <c r="K2234">
        <f>IF(G2234=1,0.2*R2234/C2234,K2233)</f>
        <v/>
      </c>
      <c r="L2234">
        <f>IF(G2234=1,0.2*R2234/D2234,L2233)</f>
        <v/>
      </c>
      <c r="M2234">
        <f>IF(G2234=1,0.2*R2234/E2234,M2233)</f>
        <v/>
      </c>
      <c r="N2234">
        <f>IF(G2234=1,0.2*R2234/F2234,N2233)</f>
        <v/>
      </c>
      <c r="O2234">
        <f>IF(G2234=1,R2234*(1-1.0),IF(H2233=0,1,O2233*(1+0.00023125256064071564)))</f>
        <v/>
      </c>
      <c r="P2234">
        <f>IF(G2234=1,IF(H2233=0,1,ABS(0.2-J2233*B2234/I2234)+ABS(0.2-K2233*C2234/I2234)+ABS(0.2-L2233*D2234/I2234)+ABS(0.2-M2233*E2234/I2234)+ABS(0.2-N2233*F2234/I2234)),0)</f>
        <v/>
      </c>
      <c r="Q2234">
        <f>P2234*0.0015</f>
        <v/>
      </c>
      <c r="R2234">
        <f>I2234*(1-Q2234)</f>
        <v/>
      </c>
      <c r="S2234">
        <f>R2234/R2233-1</f>
        <v/>
      </c>
      <c r="T2234">
        <f>MAX(T2233,R2234)</f>
        <v/>
      </c>
      <c r="U2234">
        <f>R2234/T2234-1</f>
        <v/>
      </c>
      <c r="V2234" t="n">
        <v>4.018903257793342</v>
      </c>
      <c r="W2234" s="5">
        <f>R2234-V2234</f>
        <v/>
      </c>
    </row>
    <row r="2235">
      <c r="A2235" s="3" t="n">
        <v>41719</v>
      </c>
      <c r="B2235">
        <f>Prices!B2235</f>
        <v/>
      </c>
      <c r="C2235">
        <f>Prices!C2235</f>
        <v/>
      </c>
      <c r="D2235">
        <f>Prices!D2235</f>
        <v/>
      </c>
      <c r="E2235">
        <f>Prices!E2235</f>
        <v/>
      </c>
      <c r="F2235">
        <f>Prices!F2235</f>
        <v/>
      </c>
      <c r="G2235">
        <f>IF(AND(2233&gt;=16,TEXT(A2235,"yyyy-mm")&lt;&gt;TEXT(A2236,"yyyy-mm")),1,0)</f>
        <v/>
      </c>
      <c r="H2235">
        <f>IF(OR(H2234=1,G2235=1),1,0)</f>
        <v/>
      </c>
      <c r="I2235">
        <f>IF(H2234=0,1,SUMPRODUCT(J2234:N2234,B2235:F2235)+O2234*(1+0.00023125256064071564))</f>
        <v/>
      </c>
      <c r="J2235">
        <f>IF(G2235=1,0.2*R2235/B2235,J2234)</f>
        <v/>
      </c>
      <c r="K2235">
        <f>IF(G2235=1,0.2*R2235/C2235,K2234)</f>
        <v/>
      </c>
      <c r="L2235">
        <f>IF(G2235=1,0.2*R2235/D2235,L2234)</f>
        <v/>
      </c>
      <c r="M2235">
        <f>IF(G2235=1,0.2*R2235/E2235,M2234)</f>
        <v/>
      </c>
      <c r="N2235">
        <f>IF(G2235=1,0.2*R2235/F2235,N2234)</f>
        <v/>
      </c>
      <c r="O2235">
        <f>IF(G2235=1,R2235*(1-1.0),IF(H2234=0,1,O2234*(1+0.00023125256064071564)))</f>
        <v/>
      </c>
      <c r="P2235">
        <f>IF(G2235=1,IF(H2234=0,1,ABS(0.2-J2234*B2235/I2235)+ABS(0.2-K2234*C2235/I2235)+ABS(0.2-L2234*D2235/I2235)+ABS(0.2-M2234*E2235/I2235)+ABS(0.2-N2234*F2235/I2235)),0)</f>
        <v/>
      </c>
      <c r="Q2235">
        <f>P2235*0.0015</f>
        <v/>
      </c>
      <c r="R2235">
        <f>I2235*(1-Q2235)</f>
        <v/>
      </c>
      <c r="S2235">
        <f>R2235/R2234-1</f>
        <v/>
      </c>
      <c r="T2235">
        <f>MAX(T2234,R2235)</f>
        <v/>
      </c>
      <c r="U2235">
        <f>R2235/T2235-1</f>
        <v/>
      </c>
      <c r="V2235" t="n">
        <v>4.029381437227725</v>
      </c>
      <c r="W2235" s="5">
        <f>R2235-V2235</f>
        <v/>
      </c>
    </row>
    <row r="2236">
      <c r="A2236" s="3" t="n">
        <v>41720</v>
      </c>
      <c r="B2236">
        <f>Prices!B2236</f>
        <v/>
      </c>
      <c r="C2236">
        <f>Prices!C2236</f>
        <v/>
      </c>
      <c r="D2236">
        <f>Prices!D2236</f>
        <v/>
      </c>
      <c r="E2236">
        <f>Prices!E2236</f>
        <v/>
      </c>
      <c r="F2236">
        <f>Prices!F2236</f>
        <v/>
      </c>
      <c r="G2236">
        <f>IF(AND(2234&gt;=16,TEXT(A2236,"yyyy-mm")&lt;&gt;TEXT(A2237,"yyyy-mm")),1,0)</f>
        <v/>
      </c>
      <c r="H2236">
        <f>IF(OR(H2235=1,G2236=1),1,0)</f>
        <v/>
      </c>
      <c r="I2236">
        <f>IF(H2235=0,1,SUMPRODUCT(J2235:N2235,B2236:F2236)+O2235*(1+0.00023125256064071564))</f>
        <v/>
      </c>
      <c r="J2236">
        <f>IF(G2236=1,0.2*R2236/B2236,J2235)</f>
        <v/>
      </c>
      <c r="K2236">
        <f>IF(G2236=1,0.2*R2236/C2236,K2235)</f>
        <v/>
      </c>
      <c r="L2236">
        <f>IF(G2236=1,0.2*R2236/D2236,L2235)</f>
        <v/>
      </c>
      <c r="M2236">
        <f>IF(G2236=1,0.2*R2236/E2236,M2235)</f>
        <v/>
      </c>
      <c r="N2236">
        <f>IF(G2236=1,0.2*R2236/F2236,N2235)</f>
        <v/>
      </c>
      <c r="O2236">
        <f>IF(G2236=1,R2236*(1-1.0),IF(H2235=0,1,O2235*(1+0.00023125256064071564)))</f>
        <v/>
      </c>
      <c r="P2236">
        <f>IF(G2236=1,IF(H2235=0,1,ABS(0.2-J2235*B2236/I2236)+ABS(0.2-K2235*C2236/I2236)+ABS(0.2-L2235*D2236/I2236)+ABS(0.2-M2235*E2236/I2236)+ABS(0.2-N2235*F2236/I2236)),0)</f>
        <v/>
      </c>
      <c r="Q2236">
        <f>P2236*0.0015</f>
        <v/>
      </c>
      <c r="R2236">
        <f>I2236*(1-Q2236)</f>
        <v/>
      </c>
      <c r="S2236">
        <f>R2236/R2235-1</f>
        <v/>
      </c>
      <c r="T2236">
        <f>MAX(T2235,R2236)</f>
        <v/>
      </c>
      <c r="U2236">
        <f>R2236/T2236-1</f>
        <v/>
      </c>
      <c r="V2236" t="n">
        <v>4.044397292527402</v>
      </c>
      <c r="W2236" s="5">
        <f>R2236-V2236</f>
        <v/>
      </c>
    </row>
    <row r="2237">
      <c r="A2237" s="3" t="n">
        <v>41722</v>
      </c>
      <c r="B2237">
        <f>Prices!B2237</f>
        <v/>
      </c>
      <c r="C2237">
        <f>Prices!C2237</f>
        <v/>
      </c>
      <c r="D2237">
        <f>Prices!D2237</f>
        <v/>
      </c>
      <c r="E2237">
        <f>Prices!E2237</f>
        <v/>
      </c>
      <c r="F2237">
        <f>Prices!F2237</f>
        <v/>
      </c>
      <c r="G2237">
        <f>IF(AND(2235&gt;=16,TEXT(A2237,"yyyy-mm")&lt;&gt;TEXT(A2238,"yyyy-mm")),1,0)</f>
        <v/>
      </c>
      <c r="H2237">
        <f>IF(OR(H2236=1,G2237=1),1,0)</f>
        <v/>
      </c>
      <c r="I2237">
        <f>IF(H2236=0,1,SUMPRODUCT(J2236:N2236,B2237:F2237)+O2236*(1+0.00023125256064071564))</f>
        <v/>
      </c>
      <c r="J2237">
        <f>IF(G2237=1,0.2*R2237/B2237,J2236)</f>
        <v/>
      </c>
      <c r="K2237">
        <f>IF(G2237=1,0.2*R2237/C2237,K2236)</f>
        <v/>
      </c>
      <c r="L2237">
        <f>IF(G2237=1,0.2*R2237/D2237,L2236)</f>
        <v/>
      </c>
      <c r="M2237">
        <f>IF(G2237=1,0.2*R2237/E2237,M2236)</f>
        <v/>
      </c>
      <c r="N2237">
        <f>IF(G2237=1,0.2*R2237/F2237,N2236)</f>
        <v/>
      </c>
      <c r="O2237">
        <f>IF(G2237=1,R2237*(1-1.0),IF(H2236=0,1,O2236*(1+0.00023125256064071564)))</f>
        <v/>
      </c>
      <c r="P2237">
        <f>IF(G2237=1,IF(H2236=0,1,ABS(0.2-J2236*B2237/I2237)+ABS(0.2-K2236*C2237/I2237)+ABS(0.2-L2236*D2237/I2237)+ABS(0.2-M2236*E2237/I2237)+ABS(0.2-N2236*F2237/I2237)),0)</f>
        <v/>
      </c>
      <c r="Q2237">
        <f>P2237*0.0015</f>
        <v/>
      </c>
      <c r="R2237">
        <f>I2237*(1-Q2237)</f>
        <v/>
      </c>
      <c r="S2237">
        <f>R2237/R2236-1</f>
        <v/>
      </c>
      <c r="T2237">
        <f>MAX(T2236,R2237)</f>
        <v/>
      </c>
      <c r="U2237">
        <f>R2237/T2237-1</f>
        <v/>
      </c>
      <c r="V2237" t="n">
        <v>4.053833536079439</v>
      </c>
      <c r="W2237" s="5">
        <f>R2237-V2237</f>
        <v/>
      </c>
    </row>
    <row r="2238">
      <c r="A2238" s="3" t="n">
        <v>41723</v>
      </c>
      <c r="B2238">
        <f>Prices!B2238</f>
        <v/>
      </c>
      <c r="C2238">
        <f>Prices!C2238</f>
        <v/>
      </c>
      <c r="D2238">
        <f>Prices!D2238</f>
        <v/>
      </c>
      <c r="E2238">
        <f>Prices!E2238</f>
        <v/>
      </c>
      <c r="F2238">
        <f>Prices!F2238</f>
        <v/>
      </c>
      <c r="G2238">
        <f>IF(AND(2236&gt;=16,TEXT(A2238,"yyyy-mm")&lt;&gt;TEXT(A2239,"yyyy-mm")),1,0)</f>
        <v/>
      </c>
      <c r="H2238">
        <f>IF(OR(H2237=1,G2238=1),1,0)</f>
        <v/>
      </c>
      <c r="I2238">
        <f>IF(H2237=0,1,SUMPRODUCT(J2237:N2237,B2238:F2238)+O2237*(1+0.00023125256064071564))</f>
        <v/>
      </c>
      <c r="J2238">
        <f>IF(G2238=1,0.2*R2238/B2238,J2237)</f>
        <v/>
      </c>
      <c r="K2238">
        <f>IF(G2238=1,0.2*R2238/C2238,K2237)</f>
        <v/>
      </c>
      <c r="L2238">
        <f>IF(G2238=1,0.2*R2238/D2238,L2237)</f>
        <v/>
      </c>
      <c r="M2238">
        <f>IF(G2238=1,0.2*R2238/E2238,M2237)</f>
        <v/>
      </c>
      <c r="N2238">
        <f>IF(G2238=1,0.2*R2238/F2238,N2237)</f>
        <v/>
      </c>
      <c r="O2238">
        <f>IF(G2238=1,R2238*(1-1.0),IF(H2237=0,1,O2237*(1+0.00023125256064071564)))</f>
        <v/>
      </c>
      <c r="P2238">
        <f>IF(G2238=1,IF(H2237=0,1,ABS(0.2-J2237*B2238/I2238)+ABS(0.2-K2237*C2238/I2238)+ABS(0.2-L2237*D2238/I2238)+ABS(0.2-M2237*E2238/I2238)+ABS(0.2-N2237*F2238/I2238)),0)</f>
        <v/>
      </c>
      <c r="Q2238">
        <f>P2238*0.0015</f>
        <v/>
      </c>
      <c r="R2238">
        <f>I2238*(1-Q2238)</f>
        <v/>
      </c>
      <c r="S2238">
        <f>R2238/R2237-1</f>
        <v/>
      </c>
      <c r="T2238">
        <f>MAX(T2237,R2238)</f>
        <v/>
      </c>
      <c r="U2238">
        <f>R2238/T2238-1</f>
        <v/>
      </c>
      <c r="V2238" t="n">
        <v>4.067449612083087</v>
      </c>
      <c r="W2238" s="5">
        <f>R2238-V2238</f>
        <v/>
      </c>
    </row>
    <row r="2239">
      <c r="A2239" s="3" t="n">
        <v>41724</v>
      </c>
      <c r="B2239">
        <f>Prices!B2239</f>
        <v/>
      </c>
      <c r="C2239">
        <f>Prices!C2239</f>
        <v/>
      </c>
      <c r="D2239">
        <f>Prices!D2239</f>
        <v/>
      </c>
      <c r="E2239">
        <f>Prices!E2239</f>
        <v/>
      </c>
      <c r="F2239">
        <f>Prices!F2239</f>
        <v/>
      </c>
      <c r="G2239">
        <f>IF(AND(2237&gt;=16,TEXT(A2239,"yyyy-mm")&lt;&gt;TEXT(A2240,"yyyy-mm")),1,0)</f>
        <v/>
      </c>
      <c r="H2239">
        <f>IF(OR(H2238=1,G2239=1),1,0)</f>
        <v/>
      </c>
      <c r="I2239">
        <f>IF(H2238=0,1,SUMPRODUCT(J2238:N2238,B2239:F2239)+O2238*(1+0.00023125256064071564))</f>
        <v/>
      </c>
      <c r="J2239">
        <f>IF(G2239=1,0.2*R2239/B2239,J2238)</f>
        <v/>
      </c>
      <c r="K2239">
        <f>IF(G2239=1,0.2*R2239/C2239,K2238)</f>
        <v/>
      </c>
      <c r="L2239">
        <f>IF(G2239=1,0.2*R2239/D2239,L2238)</f>
        <v/>
      </c>
      <c r="M2239">
        <f>IF(G2239=1,0.2*R2239/E2239,M2238)</f>
        <v/>
      </c>
      <c r="N2239">
        <f>IF(G2239=1,0.2*R2239/F2239,N2238)</f>
        <v/>
      </c>
      <c r="O2239">
        <f>IF(G2239=1,R2239*(1-1.0),IF(H2238=0,1,O2238*(1+0.00023125256064071564)))</f>
        <v/>
      </c>
      <c r="P2239">
        <f>IF(G2239=1,IF(H2238=0,1,ABS(0.2-J2238*B2239/I2239)+ABS(0.2-K2238*C2239/I2239)+ABS(0.2-L2238*D2239/I2239)+ABS(0.2-M2238*E2239/I2239)+ABS(0.2-N2238*F2239/I2239)),0)</f>
        <v/>
      </c>
      <c r="Q2239">
        <f>P2239*0.0015</f>
        <v/>
      </c>
      <c r="R2239">
        <f>I2239*(1-Q2239)</f>
        <v/>
      </c>
      <c r="S2239">
        <f>R2239/R2238-1</f>
        <v/>
      </c>
      <c r="T2239">
        <f>MAX(T2238,R2239)</f>
        <v/>
      </c>
      <c r="U2239">
        <f>R2239/T2239-1</f>
        <v/>
      </c>
      <c r="V2239" t="n">
        <v>4.052504524103639</v>
      </c>
      <c r="W2239" s="5">
        <f>R2239-V2239</f>
        <v/>
      </c>
    </row>
    <row r="2240">
      <c r="A2240" s="3" t="n">
        <v>41725</v>
      </c>
      <c r="B2240">
        <f>Prices!B2240</f>
        <v/>
      </c>
      <c r="C2240">
        <f>Prices!C2240</f>
        <v/>
      </c>
      <c r="D2240">
        <f>Prices!D2240</f>
        <v/>
      </c>
      <c r="E2240">
        <f>Prices!E2240</f>
        <v/>
      </c>
      <c r="F2240">
        <f>Prices!F2240</f>
        <v/>
      </c>
      <c r="G2240">
        <f>IF(AND(2238&gt;=16,TEXT(A2240,"yyyy-mm")&lt;&gt;TEXT(A2241,"yyyy-mm")),1,0)</f>
        <v/>
      </c>
      <c r="H2240">
        <f>IF(OR(H2239=1,G2240=1),1,0)</f>
        <v/>
      </c>
      <c r="I2240">
        <f>IF(H2239=0,1,SUMPRODUCT(J2239:N2239,B2240:F2240)+O2239*(1+0.00023125256064071564))</f>
        <v/>
      </c>
      <c r="J2240">
        <f>IF(G2240=1,0.2*R2240/B2240,J2239)</f>
        <v/>
      </c>
      <c r="K2240">
        <f>IF(G2240=1,0.2*R2240/C2240,K2239)</f>
        <v/>
      </c>
      <c r="L2240">
        <f>IF(G2240=1,0.2*R2240/D2240,L2239)</f>
        <v/>
      </c>
      <c r="M2240">
        <f>IF(G2240=1,0.2*R2240/E2240,M2239)</f>
        <v/>
      </c>
      <c r="N2240">
        <f>IF(G2240=1,0.2*R2240/F2240,N2239)</f>
        <v/>
      </c>
      <c r="O2240">
        <f>IF(G2240=1,R2240*(1-1.0),IF(H2239=0,1,O2239*(1+0.00023125256064071564)))</f>
        <v/>
      </c>
      <c r="P2240">
        <f>IF(G2240=1,IF(H2239=0,1,ABS(0.2-J2239*B2240/I2240)+ABS(0.2-K2239*C2240/I2240)+ABS(0.2-L2239*D2240/I2240)+ABS(0.2-M2239*E2240/I2240)+ABS(0.2-N2239*F2240/I2240)),0)</f>
        <v/>
      </c>
      <c r="Q2240">
        <f>P2240*0.0015</f>
        <v/>
      </c>
      <c r="R2240">
        <f>I2240*(1-Q2240)</f>
        <v/>
      </c>
      <c r="S2240">
        <f>R2240/R2239-1</f>
        <v/>
      </c>
      <c r="T2240">
        <f>MAX(T2239,R2240)</f>
        <v/>
      </c>
      <c r="U2240">
        <f>R2240/T2240-1</f>
        <v/>
      </c>
      <c r="V2240" t="n">
        <v>4.080731532965194</v>
      </c>
      <c r="W2240" s="5">
        <f>R2240-V2240</f>
        <v/>
      </c>
    </row>
    <row r="2241">
      <c r="A2241" s="3" t="n">
        <v>41726</v>
      </c>
      <c r="B2241">
        <f>Prices!B2241</f>
        <v/>
      </c>
      <c r="C2241">
        <f>Prices!C2241</f>
        <v/>
      </c>
      <c r="D2241">
        <f>Prices!D2241</f>
        <v/>
      </c>
      <c r="E2241">
        <f>Prices!E2241</f>
        <v/>
      </c>
      <c r="F2241">
        <f>Prices!F2241</f>
        <v/>
      </c>
      <c r="G2241">
        <f>IF(AND(2239&gt;=16,TEXT(A2241,"yyyy-mm")&lt;&gt;TEXT(A2242,"yyyy-mm")),1,0)</f>
        <v/>
      </c>
      <c r="H2241">
        <f>IF(OR(H2240=1,G2241=1),1,0)</f>
        <v/>
      </c>
      <c r="I2241">
        <f>IF(H2240=0,1,SUMPRODUCT(J2240:N2240,B2241:F2241)+O2240*(1+0.00023125256064071564))</f>
        <v/>
      </c>
      <c r="J2241">
        <f>IF(G2241=1,0.2*R2241/B2241,J2240)</f>
        <v/>
      </c>
      <c r="K2241">
        <f>IF(G2241=1,0.2*R2241/C2241,K2240)</f>
        <v/>
      </c>
      <c r="L2241">
        <f>IF(G2241=1,0.2*R2241/D2241,L2240)</f>
        <v/>
      </c>
      <c r="M2241">
        <f>IF(G2241=1,0.2*R2241/E2241,M2240)</f>
        <v/>
      </c>
      <c r="N2241">
        <f>IF(G2241=1,0.2*R2241/F2241,N2240)</f>
        <v/>
      </c>
      <c r="O2241">
        <f>IF(G2241=1,R2241*(1-1.0),IF(H2240=0,1,O2240*(1+0.00023125256064071564)))</f>
        <v/>
      </c>
      <c r="P2241">
        <f>IF(G2241=1,IF(H2240=0,1,ABS(0.2-J2240*B2241/I2241)+ABS(0.2-K2240*C2241/I2241)+ABS(0.2-L2240*D2241/I2241)+ABS(0.2-M2240*E2241/I2241)+ABS(0.2-N2240*F2241/I2241)),0)</f>
        <v/>
      </c>
      <c r="Q2241">
        <f>P2241*0.0015</f>
        <v/>
      </c>
      <c r="R2241">
        <f>I2241*(1-Q2241)</f>
        <v/>
      </c>
      <c r="S2241">
        <f>R2241/R2240-1</f>
        <v/>
      </c>
      <c r="T2241">
        <f>MAX(T2240,R2241)</f>
        <v/>
      </c>
      <c r="U2241">
        <f>R2241/T2241-1</f>
        <v/>
      </c>
      <c r="V2241" t="n">
        <v>4.129493649583541</v>
      </c>
      <c r="W2241" s="5">
        <f>R2241-V2241</f>
        <v/>
      </c>
    </row>
    <row r="2242">
      <c r="A2242" s="3" t="n">
        <v>41729</v>
      </c>
      <c r="B2242">
        <f>Prices!B2242</f>
        <v/>
      </c>
      <c r="C2242">
        <f>Prices!C2242</f>
        <v/>
      </c>
      <c r="D2242">
        <f>Prices!D2242</f>
        <v/>
      </c>
      <c r="E2242">
        <f>Prices!E2242</f>
        <v/>
      </c>
      <c r="F2242">
        <f>Prices!F2242</f>
        <v/>
      </c>
      <c r="G2242">
        <f>IF(AND(2240&gt;=16,TEXT(A2242,"yyyy-mm")&lt;&gt;TEXT(A2243,"yyyy-mm")),1,0)</f>
        <v/>
      </c>
      <c r="H2242">
        <f>IF(OR(H2241=1,G2242=1),1,0)</f>
        <v/>
      </c>
      <c r="I2242">
        <f>IF(H2241=0,1,SUMPRODUCT(J2241:N2241,B2242:F2242)+O2241*(1+0.00023125256064071564))</f>
        <v/>
      </c>
      <c r="J2242">
        <f>IF(G2242=1,0.2*R2242/B2242,J2241)</f>
        <v/>
      </c>
      <c r="K2242">
        <f>IF(G2242=1,0.2*R2242/C2242,K2241)</f>
        <v/>
      </c>
      <c r="L2242">
        <f>IF(G2242=1,0.2*R2242/D2242,L2241)</f>
        <v/>
      </c>
      <c r="M2242">
        <f>IF(G2242=1,0.2*R2242/E2242,M2241)</f>
        <v/>
      </c>
      <c r="N2242">
        <f>IF(G2242=1,0.2*R2242/F2242,N2241)</f>
        <v/>
      </c>
      <c r="O2242">
        <f>IF(G2242=1,R2242*(1-1.0),IF(H2241=0,1,O2241*(1+0.00023125256064071564)))</f>
        <v/>
      </c>
      <c r="P2242">
        <f>IF(G2242=1,IF(H2241=0,1,ABS(0.2-J2241*B2242/I2242)+ABS(0.2-K2241*C2242/I2242)+ABS(0.2-L2241*D2242/I2242)+ABS(0.2-M2241*E2242/I2242)+ABS(0.2-N2241*F2242/I2242)),0)</f>
        <v/>
      </c>
      <c r="Q2242">
        <f>P2242*0.0015</f>
        <v/>
      </c>
      <c r="R2242">
        <f>I2242*(1-Q2242)</f>
        <v/>
      </c>
      <c r="S2242">
        <f>R2242/R2241-1</f>
        <v/>
      </c>
      <c r="T2242">
        <f>MAX(T2241,R2242)</f>
        <v/>
      </c>
      <c r="U2242">
        <f>R2242/T2242-1</f>
        <v/>
      </c>
      <c r="V2242" t="n">
        <v>4.156006902578683</v>
      </c>
      <c r="W2242" s="5">
        <f>R2242-V2242</f>
        <v/>
      </c>
    </row>
    <row r="2243">
      <c r="A2243" s="3" t="n">
        <v>41730</v>
      </c>
      <c r="B2243">
        <f>Prices!B2243</f>
        <v/>
      </c>
      <c r="C2243">
        <f>Prices!C2243</f>
        <v/>
      </c>
      <c r="D2243">
        <f>Prices!D2243</f>
        <v/>
      </c>
      <c r="E2243">
        <f>Prices!E2243</f>
        <v/>
      </c>
      <c r="F2243">
        <f>Prices!F2243</f>
        <v/>
      </c>
      <c r="G2243">
        <f>IF(AND(2241&gt;=16,TEXT(A2243,"yyyy-mm")&lt;&gt;TEXT(A2244,"yyyy-mm")),1,0)</f>
        <v/>
      </c>
      <c r="H2243">
        <f>IF(OR(H2242=1,G2243=1),1,0)</f>
        <v/>
      </c>
      <c r="I2243">
        <f>IF(H2242=0,1,SUMPRODUCT(J2242:N2242,B2243:F2243)+O2242*(1+0.00023125256064071564))</f>
        <v/>
      </c>
      <c r="J2243">
        <f>IF(G2243=1,0.2*R2243/B2243,J2242)</f>
        <v/>
      </c>
      <c r="K2243">
        <f>IF(G2243=1,0.2*R2243/C2243,K2242)</f>
        <v/>
      </c>
      <c r="L2243">
        <f>IF(G2243=1,0.2*R2243/D2243,L2242)</f>
        <v/>
      </c>
      <c r="M2243">
        <f>IF(G2243=1,0.2*R2243/E2243,M2242)</f>
        <v/>
      </c>
      <c r="N2243">
        <f>IF(G2243=1,0.2*R2243/F2243,N2242)</f>
        <v/>
      </c>
      <c r="O2243">
        <f>IF(G2243=1,R2243*(1-1.0),IF(H2242=0,1,O2242*(1+0.00023125256064071564)))</f>
        <v/>
      </c>
      <c r="P2243">
        <f>IF(G2243=1,IF(H2242=0,1,ABS(0.2-J2242*B2243/I2243)+ABS(0.2-K2242*C2243/I2243)+ABS(0.2-L2242*D2243/I2243)+ABS(0.2-M2242*E2243/I2243)+ABS(0.2-N2242*F2243/I2243)),0)</f>
        <v/>
      </c>
      <c r="Q2243">
        <f>P2243*0.0015</f>
        <v/>
      </c>
      <c r="R2243">
        <f>I2243*(1-Q2243)</f>
        <v/>
      </c>
      <c r="S2243">
        <f>R2243/R2242-1</f>
        <v/>
      </c>
      <c r="T2243">
        <f>MAX(T2242,R2243)</f>
        <v/>
      </c>
      <c r="U2243">
        <f>R2243/T2243-1</f>
        <v/>
      </c>
      <c r="V2243" t="n">
        <v>4.164808015242156</v>
      </c>
      <c r="W2243" s="5">
        <f>R2243-V2243</f>
        <v/>
      </c>
    </row>
    <row r="2244">
      <c r="A2244" s="3" t="n">
        <v>41731</v>
      </c>
      <c r="B2244">
        <f>Prices!B2244</f>
        <v/>
      </c>
      <c r="C2244">
        <f>Prices!C2244</f>
        <v/>
      </c>
      <c r="D2244">
        <f>Prices!D2244</f>
        <v/>
      </c>
      <c r="E2244">
        <f>Prices!E2244</f>
        <v/>
      </c>
      <c r="F2244">
        <f>Prices!F2244</f>
        <v/>
      </c>
      <c r="G2244">
        <f>IF(AND(2242&gt;=16,TEXT(A2244,"yyyy-mm")&lt;&gt;TEXT(A2245,"yyyy-mm")),1,0)</f>
        <v/>
      </c>
      <c r="H2244">
        <f>IF(OR(H2243=1,G2244=1),1,0)</f>
        <v/>
      </c>
      <c r="I2244">
        <f>IF(H2243=0,1,SUMPRODUCT(J2243:N2243,B2244:F2244)+O2243*(1+0.00023125256064071564))</f>
        <v/>
      </c>
      <c r="J2244">
        <f>IF(G2244=1,0.2*R2244/B2244,J2243)</f>
        <v/>
      </c>
      <c r="K2244">
        <f>IF(G2244=1,0.2*R2244/C2244,K2243)</f>
        <v/>
      </c>
      <c r="L2244">
        <f>IF(G2244=1,0.2*R2244/D2244,L2243)</f>
        <v/>
      </c>
      <c r="M2244">
        <f>IF(G2244=1,0.2*R2244/E2244,M2243)</f>
        <v/>
      </c>
      <c r="N2244">
        <f>IF(G2244=1,0.2*R2244/F2244,N2243)</f>
        <v/>
      </c>
      <c r="O2244">
        <f>IF(G2244=1,R2244*(1-1.0),IF(H2243=0,1,O2243*(1+0.00023125256064071564)))</f>
        <v/>
      </c>
      <c r="P2244">
        <f>IF(G2244=1,IF(H2243=0,1,ABS(0.2-J2243*B2244/I2244)+ABS(0.2-K2243*C2244/I2244)+ABS(0.2-L2243*D2244/I2244)+ABS(0.2-M2243*E2244/I2244)+ABS(0.2-N2243*F2244/I2244)),0)</f>
        <v/>
      </c>
      <c r="Q2244">
        <f>P2244*0.0015</f>
        <v/>
      </c>
      <c r="R2244">
        <f>I2244*(1-Q2244)</f>
        <v/>
      </c>
      <c r="S2244">
        <f>R2244/R2243-1</f>
        <v/>
      </c>
      <c r="T2244">
        <f>MAX(T2243,R2244)</f>
        <v/>
      </c>
      <c r="U2244">
        <f>R2244/T2244-1</f>
        <v/>
      </c>
      <c r="V2244" t="n">
        <v>4.209898989082627</v>
      </c>
      <c r="W2244" s="5">
        <f>R2244-V2244</f>
        <v/>
      </c>
    </row>
    <row r="2245">
      <c r="A2245" s="3" t="n">
        <v>41732</v>
      </c>
      <c r="B2245">
        <f>Prices!B2245</f>
        <v/>
      </c>
      <c r="C2245">
        <f>Prices!C2245</f>
        <v/>
      </c>
      <c r="D2245">
        <f>Prices!D2245</f>
        <v/>
      </c>
      <c r="E2245">
        <f>Prices!E2245</f>
        <v/>
      </c>
      <c r="F2245">
        <f>Prices!F2245</f>
        <v/>
      </c>
      <c r="G2245">
        <f>IF(AND(2243&gt;=16,TEXT(A2245,"yyyy-mm")&lt;&gt;TEXT(A2246,"yyyy-mm")),1,0)</f>
        <v/>
      </c>
      <c r="H2245">
        <f>IF(OR(H2244=1,G2245=1),1,0)</f>
        <v/>
      </c>
      <c r="I2245">
        <f>IF(H2244=0,1,SUMPRODUCT(J2244:N2244,B2245:F2245)+O2244*(1+0.00023125256064071564))</f>
        <v/>
      </c>
      <c r="J2245">
        <f>IF(G2245=1,0.2*R2245/B2245,J2244)</f>
        <v/>
      </c>
      <c r="K2245">
        <f>IF(G2245=1,0.2*R2245/C2245,K2244)</f>
        <v/>
      </c>
      <c r="L2245">
        <f>IF(G2245=1,0.2*R2245/D2245,L2244)</f>
        <v/>
      </c>
      <c r="M2245">
        <f>IF(G2245=1,0.2*R2245/E2245,M2244)</f>
        <v/>
      </c>
      <c r="N2245">
        <f>IF(G2245=1,0.2*R2245/F2245,N2244)</f>
        <v/>
      </c>
      <c r="O2245">
        <f>IF(G2245=1,R2245*(1-1.0),IF(H2244=0,1,O2244*(1+0.00023125256064071564)))</f>
        <v/>
      </c>
      <c r="P2245">
        <f>IF(G2245=1,IF(H2244=0,1,ABS(0.2-J2244*B2245/I2245)+ABS(0.2-K2244*C2245/I2245)+ABS(0.2-L2244*D2245/I2245)+ABS(0.2-M2244*E2245/I2245)+ABS(0.2-N2244*F2245/I2245)),0)</f>
        <v/>
      </c>
      <c r="Q2245">
        <f>P2245*0.0015</f>
        <v/>
      </c>
      <c r="R2245">
        <f>I2245*(1-Q2245)</f>
        <v/>
      </c>
      <c r="S2245">
        <f>R2245/R2244-1</f>
        <v/>
      </c>
      <c r="T2245">
        <f>MAX(T2244,R2245)</f>
        <v/>
      </c>
      <c r="U2245">
        <f>R2245/T2245-1</f>
        <v/>
      </c>
      <c r="V2245" t="n">
        <v>4.210488427444256</v>
      </c>
      <c r="W2245" s="5">
        <f>R2245-V2245</f>
        <v/>
      </c>
    </row>
    <row r="2246">
      <c r="A2246" s="3" t="n">
        <v>41733</v>
      </c>
      <c r="B2246">
        <f>Prices!B2246</f>
        <v/>
      </c>
      <c r="C2246">
        <f>Prices!C2246</f>
        <v/>
      </c>
      <c r="D2246">
        <f>Prices!D2246</f>
        <v/>
      </c>
      <c r="E2246">
        <f>Prices!E2246</f>
        <v/>
      </c>
      <c r="F2246">
        <f>Prices!F2246</f>
        <v/>
      </c>
      <c r="G2246">
        <f>IF(AND(2244&gt;=16,TEXT(A2246,"yyyy-mm")&lt;&gt;TEXT(A2247,"yyyy-mm")),1,0)</f>
        <v/>
      </c>
      <c r="H2246">
        <f>IF(OR(H2245=1,G2246=1),1,0)</f>
        <v/>
      </c>
      <c r="I2246">
        <f>IF(H2245=0,1,SUMPRODUCT(J2245:N2245,B2246:F2246)+O2245*(1+0.00023125256064071564))</f>
        <v/>
      </c>
      <c r="J2246">
        <f>IF(G2246=1,0.2*R2246/B2246,J2245)</f>
        <v/>
      </c>
      <c r="K2246">
        <f>IF(G2246=1,0.2*R2246/C2246,K2245)</f>
        <v/>
      </c>
      <c r="L2246">
        <f>IF(G2246=1,0.2*R2246/D2246,L2245)</f>
        <v/>
      </c>
      <c r="M2246">
        <f>IF(G2246=1,0.2*R2246/E2246,M2245)</f>
        <v/>
      </c>
      <c r="N2246">
        <f>IF(G2246=1,0.2*R2246/F2246,N2245)</f>
        <v/>
      </c>
      <c r="O2246">
        <f>IF(G2246=1,R2246*(1-1.0),IF(H2245=0,1,O2245*(1+0.00023125256064071564)))</f>
        <v/>
      </c>
      <c r="P2246">
        <f>IF(G2246=1,IF(H2245=0,1,ABS(0.2-J2245*B2246/I2246)+ABS(0.2-K2245*C2246/I2246)+ABS(0.2-L2245*D2246/I2246)+ABS(0.2-M2245*E2246/I2246)+ABS(0.2-N2245*F2246/I2246)),0)</f>
        <v/>
      </c>
      <c r="Q2246">
        <f>P2246*0.0015</f>
        <v/>
      </c>
      <c r="R2246">
        <f>I2246*(1-Q2246)</f>
        <v/>
      </c>
      <c r="S2246">
        <f>R2246/R2245-1</f>
        <v/>
      </c>
      <c r="T2246">
        <f>MAX(T2245,R2246)</f>
        <v/>
      </c>
      <c r="U2246">
        <f>R2246/T2246-1</f>
        <v/>
      </c>
      <c r="V2246" t="n">
        <v>4.222731159646434</v>
      </c>
      <c r="W2246" s="5">
        <f>R2246-V2246</f>
        <v/>
      </c>
    </row>
    <row r="2247">
      <c r="A2247" s="3" t="n">
        <v>41736</v>
      </c>
      <c r="B2247">
        <f>Prices!B2247</f>
        <v/>
      </c>
      <c r="C2247">
        <f>Prices!C2247</f>
        <v/>
      </c>
      <c r="D2247">
        <f>Prices!D2247</f>
        <v/>
      </c>
      <c r="E2247">
        <f>Prices!E2247</f>
        <v/>
      </c>
      <c r="F2247">
        <f>Prices!F2247</f>
        <v/>
      </c>
      <c r="G2247">
        <f>IF(AND(2245&gt;=16,TEXT(A2247,"yyyy-mm")&lt;&gt;TEXT(A2248,"yyyy-mm")),1,0)</f>
        <v/>
      </c>
      <c r="H2247">
        <f>IF(OR(H2246=1,G2247=1),1,0)</f>
        <v/>
      </c>
      <c r="I2247">
        <f>IF(H2246=0,1,SUMPRODUCT(J2246:N2246,B2247:F2247)+O2246*(1+0.00023125256064071564))</f>
        <v/>
      </c>
      <c r="J2247">
        <f>IF(G2247=1,0.2*R2247/B2247,J2246)</f>
        <v/>
      </c>
      <c r="K2247">
        <f>IF(G2247=1,0.2*R2247/C2247,K2246)</f>
        <v/>
      </c>
      <c r="L2247">
        <f>IF(G2247=1,0.2*R2247/D2247,L2246)</f>
        <v/>
      </c>
      <c r="M2247">
        <f>IF(G2247=1,0.2*R2247/E2247,M2246)</f>
        <v/>
      </c>
      <c r="N2247">
        <f>IF(G2247=1,0.2*R2247/F2247,N2246)</f>
        <v/>
      </c>
      <c r="O2247">
        <f>IF(G2247=1,R2247*(1-1.0),IF(H2246=0,1,O2246*(1+0.00023125256064071564)))</f>
        <v/>
      </c>
      <c r="P2247">
        <f>IF(G2247=1,IF(H2246=0,1,ABS(0.2-J2246*B2247/I2247)+ABS(0.2-K2246*C2247/I2247)+ABS(0.2-L2246*D2247/I2247)+ABS(0.2-M2246*E2247/I2247)+ABS(0.2-N2246*F2247/I2247)),0)</f>
        <v/>
      </c>
      <c r="Q2247">
        <f>P2247*0.0015</f>
        <v/>
      </c>
      <c r="R2247">
        <f>I2247*(1-Q2247)</f>
        <v/>
      </c>
      <c r="S2247">
        <f>R2247/R2246-1</f>
        <v/>
      </c>
      <c r="T2247">
        <f>MAX(T2246,R2247)</f>
        <v/>
      </c>
      <c r="U2247">
        <f>R2247/T2247-1</f>
        <v/>
      </c>
      <c r="V2247" t="n">
        <v>4.214538962885698</v>
      </c>
      <c r="W2247" s="5">
        <f>R2247-V2247</f>
        <v/>
      </c>
    </row>
    <row r="2248">
      <c r="A2248" s="3" t="n">
        <v>41738</v>
      </c>
      <c r="B2248">
        <f>Prices!B2248</f>
        <v/>
      </c>
      <c r="C2248">
        <f>Prices!C2248</f>
        <v/>
      </c>
      <c r="D2248">
        <f>Prices!D2248</f>
        <v/>
      </c>
      <c r="E2248">
        <f>Prices!E2248</f>
        <v/>
      </c>
      <c r="F2248">
        <f>Prices!F2248</f>
        <v/>
      </c>
      <c r="G2248">
        <f>IF(AND(2246&gt;=16,TEXT(A2248,"yyyy-mm")&lt;&gt;TEXT(A2249,"yyyy-mm")),1,0)</f>
        <v/>
      </c>
      <c r="H2248">
        <f>IF(OR(H2247=1,G2248=1),1,0)</f>
        <v/>
      </c>
      <c r="I2248">
        <f>IF(H2247=0,1,SUMPRODUCT(J2247:N2247,B2248:F2248)+O2247*(1+0.00023125256064071564))</f>
        <v/>
      </c>
      <c r="J2248">
        <f>IF(G2248=1,0.2*R2248/B2248,J2247)</f>
        <v/>
      </c>
      <c r="K2248">
        <f>IF(G2248=1,0.2*R2248/C2248,K2247)</f>
        <v/>
      </c>
      <c r="L2248">
        <f>IF(G2248=1,0.2*R2248/D2248,L2247)</f>
        <v/>
      </c>
      <c r="M2248">
        <f>IF(G2248=1,0.2*R2248/E2248,M2247)</f>
        <v/>
      </c>
      <c r="N2248">
        <f>IF(G2248=1,0.2*R2248/F2248,N2247)</f>
        <v/>
      </c>
      <c r="O2248">
        <f>IF(G2248=1,R2248*(1-1.0),IF(H2247=0,1,O2247*(1+0.00023125256064071564)))</f>
        <v/>
      </c>
      <c r="P2248">
        <f>IF(G2248=1,IF(H2247=0,1,ABS(0.2-J2247*B2248/I2248)+ABS(0.2-K2247*C2248/I2248)+ABS(0.2-L2247*D2248/I2248)+ABS(0.2-M2247*E2248/I2248)+ABS(0.2-N2247*F2248/I2248)),0)</f>
        <v/>
      </c>
      <c r="Q2248">
        <f>P2248*0.0015</f>
        <v/>
      </c>
      <c r="R2248">
        <f>I2248*(1-Q2248)</f>
        <v/>
      </c>
      <c r="S2248">
        <f>R2248/R2247-1</f>
        <v/>
      </c>
      <c r="T2248">
        <f>MAX(T2247,R2248)</f>
        <v/>
      </c>
      <c r="U2248">
        <f>R2248/T2248-1</f>
        <v/>
      </c>
      <c r="V2248" t="n">
        <v>4.261820361223227</v>
      </c>
      <c r="W2248" s="5">
        <f>R2248-V2248</f>
        <v/>
      </c>
    </row>
    <row r="2249">
      <c r="A2249" s="3" t="n">
        <v>41739</v>
      </c>
      <c r="B2249">
        <f>Prices!B2249</f>
        <v/>
      </c>
      <c r="C2249">
        <f>Prices!C2249</f>
        <v/>
      </c>
      <c r="D2249">
        <f>Prices!D2249</f>
        <v/>
      </c>
      <c r="E2249">
        <f>Prices!E2249</f>
        <v/>
      </c>
      <c r="F2249">
        <f>Prices!F2249</f>
        <v/>
      </c>
      <c r="G2249">
        <f>IF(AND(2247&gt;=16,TEXT(A2249,"yyyy-mm")&lt;&gt;TEXT(A2250,"yyyy-mm")),1,0)</f>
        <v/>
      </c>
      <c r="H2249">
        <f>IF(OR(H2248=1,G2249=1),1,0)</f>
        <v/>
      </c>
      <c r="I2249">
        <f>IF(H2248=0,1,SUMPRODUCT(J2248:N2248,B2249:F2249)+O2248*(1+0.00023125256064071564))</f>
        <v/>
      </c>
      <c r="J2249">
        <f>IF(G2249=1,0.2*R2249/B2249,J2248)</f>
        <v/>
      </c>
      <c r="K2249">
        <f>IF(G2249=1,0.2*R2249/C2249,K2248)</f>
        <v/>
      </c>
      <c r="L2249">
        <f>IF(G2249=1,0.2*R2249/D2249,L2248)</f>
        <v/>
      </c>
      <c r="M2249">
        <f>IF(G2249=1,0.2*R2249/E2249,M2248)</f>
        <v/>
      </c>
      <c r="N2249">
        <f>IF(G2249=1,0.2*R2249/F2249,N2248)</f>
        <v/>
      </c>
      <c r="O2249">
        <f>IF(G2249=1,R2249*(1-1.0),IF(H2248=0,1,O2248*(1+0.00023125256064071564)))</f>
        <v/>
      </c>
      <c r="P2249">
        <f>IF(G2249=1,IF(H2248=0,1,ABS(0.2-J2248*B2249/I2249)+ABS(0.2-K2248*C2249/I2249)+ABS(0.2-L2248*D2249/I2249)+ABS(0.2-M2248*E2249/I2249)+ABS(0.2-N2248*F2249/I2249)),0)</f>
        <v/>
      </c>
      <c r="Q2249">
        <f>P2249*0.0015</f>
        <v/>
      </c>
      <c r="R2249">
        <f>I2249*(1-Q2249)</f>
        <v/>
      </c>
      <c r="S2249">
        <f>R2249/R2248-1</f>
        <v/>
      </c>
      <c r="T2249">
        <f>MAX(T2248,R2249)</f>
        <v/>
      </c>
      <c r="U2249">
        <f>R2249/T2249-1</f>
        <v/>
      </c>
      <c r="V2249" t="n">
        <v>4.260531142721336</v>
      </c>
      <c r="W2249" s="5">
        <f>R2249-V2249</f>
        <v/>
      </c>
    </row>
    <row r="2250">
      <c r="A2250" s="3" t="n">
        <v>41740</v>
      </c>
      <c r="B2250">
        <f>Prices!B2250</f>
        <v/>
      </c>
      <c r="C2250">
        <f>Prices!C2250</f>
        <v/>
      </c>
      <c r="D2250">
        <f>Prices!D2250</f>
        <v/>
      </c>
      <c r="E2250">
        <f>Prices!E2250</f>
        <v/>
      </c>
      <c r="F2250">
        <f>Prices!F2250</f>
        <v/>
      </c>
      <c r="G2250">
        <f>IF(AND(2248&gt;=16,TEXT(A2250,"yyyy-mm")&lt;&gt;TEXT(A2251,"yyyy-mm")),1,0)</f>
        <v/>
      </c>
      <c r="H2250">
        <f>IF(OR(H2249=1,G2250=1),1,0)</f>
        <v/>
      </c>
      <c r="I2250">
        <f>IF(H2249=0,1,SUMPRODUCT(J2249:N2249,B2250:F2250)+O2249*(1+0.00023125256064071564))</f>
        <v/>
      </c>
      <c r="J2250">
        <f>IF(G2250=1,0.2*R2250/B2250,J2249)</f>
        <v/>
      </c>
      <c r="K2250">
        <f>IF(G2250=1,0.2*R2250/C2250,K2249)</f>
        <v/>
      </c>
      <c r="L2250">
        <f>IF(G2250=1,0.2*R2250/D2250,L2249)</f>
        <v/>
      </c>
      <c r="M2250">
        <f>IF(G2250=1,0.2*R2250/E2250,M2249)</f>
        <v/>
      </c>
      <c r="N2250">
        <f>IF(G2250=1,0.2*R2250/F2250,N2249)</f>
        <v/>
      </c>
      <c r="O2250">
        <f>IF(G2250=1,R2250*(1-1.0),IF(H2249=0,1,O2249*(1+0.00023125256064071564)))</f>
        <v/>
      </c>
      <c r="P2250">
        <f>IF(G2250=1,IF(H2249=0,1,ABS(0.2-J2249*B2250/I2250)+ABS(0.2-K2249*C2250/I2250)+ABS(0.2-L2249*D2250/I2250)+ABS(0.2-M2249*E2250/I2250)+ABS(0.2-N2249*F2250/I2250)),0)</f>
        <v/>
      </c>
      <c r="Q2250">
        <f>P2250*0.0015</f>
        <v/>
      </c>
      <c r="R2250">
        <f>I2250*(1-Q2250)</f>
        <v/>
      </c>
      <c r="S2250">
        <f>R2250/R2249-1</f>
        <v/>
      </c>
      <c r="T2250">
        <f>MAX(T2249,R2250)</f>
        <v/>
      </c>
      <c r="U2250">
        <f>R2250/T2250-1</f>
        <v/>
      </c>
      <c r="V2250" t="n">
        <v>4.274563285599488</v>
      </c>
      <c r="W2250" s="5">
        <f>R2250-V2250</f>
        <v/>
      </c>
    </row>
    <row r="2251">
      <c r="A2251" s="3" t="n">
        <v>41744</v>
      </c>
      <c r="B2251">
        <f>Prices!B2251</f>
        <v/>
      </c>
      <c r="C2251">
        <f>Prices!C2251</f>
        <v/>
      </c>
      <c r="D2251">
        <f>Prices!D2251</f>
        <v/>
      </c>
      <c r="E2251">
        <f>Prices!E2251</f>
        <v/>
      </c>
      <c r="F2251">
        <f>Prices!F2251</f>
        <v/>
      </c>
      <c r="G2251">
        <f>IF(AND(2249&gt;=16,TEXT(A2251,"yyyy-mm")&lt;&gt;TEXT(A2252,"yyyy-mm")),1,0)</f>
        <v/>
      </c>
      <c r="H2251">
        <f>IF(OR(H2250=1,G2251=1),1,0)</f>
        <v/>
      </c>
      <c r="I2251">
        <f>IF(H2250=0,1,SUMPRODUCT(J2250:N2250,B2251:F2251)+O2250*(1+0.00023125256064071564))</f>
        <v/>
      </c>
      <c r="J2251">
        <f>IF(G2251=1,0.2*R2251/B2251,J2250)</f>
        <v/>
      </c>
      <c r="K2251">
        <f>IF(G2251=1,0.2*R2251/C2251,K2250)</f>
        <v/>
      </c>
      <c r="L2251">
        <f>IF(G2251=1,0.2*R2251/D2251,L2250)</f>
        <v/>
      </c>
      <c r="M2251">
        <f>IF(G2251=1,0.2*R2251/E2251,M2250)</f>
        <v/>
      </c>
      <c r="N2251">
        <f>IF(G2251=1,0.2*R2251/F2251,N2250)</f>
        <v/>
      </c>
      <c r="O2251">
        <f>IF(G2251=1,R2251*(1-1.0),IF(H2250=0,1,O2250*(1+0.00023125256064071564)))</f>
        <v/>
      </c>
      <c r="P2251">
        <f>IF(G2251=1,IF(H2250=0,1,ABS(0.2-J2250*B2251/I2251)+ABS(0.2-K2250*C2251/I2251)+ABS(0.2-L2250*D2251/I2251)+ABS(0.2-M2250*E2251/I2251)+ABS(0.2-N2250*F2251/I2251)),0)</f>
        <v/>
      </c>
      <c r="Q2251">
        <f>P2251*0.0015</f>
        <v/>
      </c>
      <c r="R2251">
        <f>I2251*(1-Q2251)</f>
        <v/>
      </c>
      <c r="S2251">
        <f>R2251/R2250-1</f>
        <v/>
      </c>
      <c r="T2251">
        <f>MAX(T2250,R2251)</f>
        <v/>
      </c>
      <c r="U2251">
        <f>R2251/T2251-1</f>
        <v/>
      </c>
      <c r="V2251" t="n">
        <v>4.260718593296446</v>
      </c>
      <c r="W2251" s="5">
        <f>R2251-V2251</f>
        <v/>
      </c>
    </row>
    <row r="2252">
      <c r="A2252" s="3" t="n">
        <v>41745</v>
      </c>
      <c r="B2252">
        <f>Prices!B2252</f>
        <v/>
      </c>
      <c r="C2252">
        <f>Prices!C2252</f>
        <v/>
      </c>
      <c r="D2252">
        <f>Prices!D2252</f>
        <v/>
      </c>
      <c r="E2252">
        <f>Prices!E2252</f>
        <v/>
      </c>
      <c r="F2252">
        <f>Prices!F2252</f>
        <v/>
      </c>
      <c r="G2252">
        <f>IF(AND(2250&gt;=16,TEXT(A2252,"yyyy-mm")&lt;&gt;TEXT(A2253,"yyyy-mm")),1,0)</f>
        <v/>
      </c>
      <c r="H2252">
        <f>IF(OR(H2251=1,G2252=1),1,0)</f>
        <v/>
      </c>
      <c r="I2252">
        <f>IF(H2251=0,1,SUMPRODUCT(J2251:N2251,B2252:F2252)+O2251*(1+0.00023125256064071564))</f>
        <v/>
      </c>
      <c r="J2252">
        <f>IF(G2252=1,0.2*R2252/B2252,J2251)</f>
        <v/>
      </c>
      <c r="K2252">
        <f>IF(G2252=1,0.2*R2252/C2252,K2251)</f>
        <v/>
      </c>
      <c r="L2252">
        <f>IF(G2252=1,0.2*R2252/D2252,L2251)</f>
        <v/>
      </c>
      <c r="M2252">
        <f>IF(G2252=1,0.2*R2252/E2252,M2251)</f>
        <v/>
      </c>
      <c r="N2252">
        <f>IF(G2252=1,0.2*R2252/F2252,N2251)</f>
        <v/>
      </c>
      <c r="O2252">
        <f>IF(G2252=1,R2252*(1-1.0),IF(H2251=0,1,O2251*(1+0.00023125256064071564)))</f>
        <v/>
      </c>
      <c r="P2252">
        <f>IF(G2252=1,IF(H2251=0,1,ABS(0.2-J2251*B2252/I2252)+ABS(0.2-K2251*C2252/I2252)+ABS(0.2-L2251*D2252/I2252)+ABS(0.2-M2251*E2252/I2252)+ABS(0.2-N2251*F2252/I2252)),0)</f>
        <v/>
      </c>
      <c r="Q2252">
        <f>P2252*0.0015</f>
        <v/>
      </c>
      <c r="R2252">
        <f>I2252*(1-Q2252)</f>
        <v/>
      </c>
      <c r="S2252">
        <f>R2252/R2251-1</f>
        <v/>
      </c>
      <c r="T2252">
        <f>MAX(T2251,R2252)</f>
        <v/>
      </c>
      <c r="U2252">
        <f>R2252/T2252-1</f>
        <v/>
      </c>
      <c r="V2252" t="n">
        <v>4.210644700936501</v>
      </c>
      <c r="W2252" s="5">
        <f>R2252-V2252</f>
        <v/>
      </c>
    </row>
    <row r="2253">
      <c r="A2253" s="3" t="n">
        <v>41746</v>
      </c>
      <c r="B2253">
        <f>Prices!B2253</f>
        <v/>
      </c>
      <c r="C2253">
        <f>Prices!C2253</f>
        <v/>
      </c>
      <c r="D2253">
        <f>Prices!D2253</f>
        <v/>
      </c>
      <c r="E2253">
        <f>Prices!E2253</f>
        <v/>
      </c>
      <c r="F2253">
        <f>Prices!F2253</f>
        <v/>
      </c>
      <c r="G2253">
        <f>IF(AND(2251&gt;=16,TEXT(A2253,"yyyy-mm")&lt;&gt;TEXT(A2254,"yyyy-mm")),1,0)</f>
        <v/>
      </c>
      <c r="H2253">
        <f>IF(OR(H2252=1,G2253=1),1,0)</f>
        <v/>
      </c>
      <c r="I2253">
        <f>IF(H2252=0,1,SUMPRODUCT(J2252:N2252,B2253:F2253)+O2252*(1+0.00023125256064071564))</f>
        <v/>
      </c>
      <c r="J2253">
        <f>IF(G2253=1,0.2*R2253/B2253,J2252)</f>
        <v/>
      </c>
      <c r="K2253">
        <f>IF(G2253=1,0.2*R2253/C2253,K2252)</f>
        <v/>
      </c>
      <c r="L2253">
        <f>IF(G2253=1,0.2*R2253/D2253,L2252)</f>
        <v/>
      </c>
      <c r="M2253">
        <f>IF(G2253=1,0.2*R2253/E2253,M2252)</f>
        <v/>
      </c>
      <c r="N2253">
        <f>IF(G2253=1,0.2*R2253/F2253,N2252)</f>
        <v/>
      </c>
      <c r="O2253">
        <f>IF(G2253=1,R2253*(1-1.0),IF(H2252=0,1,O2252*(1+0.00023125256064071564)))</f>
        <v/>
      </c>
      <c r="P2253">
        <f>IF(G2253=1,IF(H2252=0,1,ABS(0.2-J2252*B2253/I2253)+ABS(0.2-K2252*C2253/I2253)+ABS(0.2-L2252*D2253/I2253)+ABS(0.2-M2252*E2253/I2253)+ABS(0.2-N2252*F2253/I2253)),0)</f>
        <v/>
      </c>
      <c r="Q2253">
        <f>P2253*0.0015</f>
        <v/>
      </c>
      <c r="R2253">
        <f>I2253*(1-Q2253)</f>
        <v/>
      </c>
      <c r="S2253">
        <f>R2253/R2252-1</f>
        <v/>
      </c>
      <c r="T2253">
        <f>MAX(T2252,R2253)</f>
        <v/>
      </c>
      <c r="U2253">
        <f>R2253/T2253-1</f>
        <v/>
      </c>
      <c r="V2253" t="n">
        <v>4.271081610511753</v>
      </c>
      <c r="W2253" s="5">
        <f>R2253-V2253</f>
        <v/>
      </c>
    </row>
    <row r="2254">
      <c r="A2254" s="3" t="n">
        <v>41750</v>
      </c>
      <c r="B2254">
        <f>Prices!B2254</f>
        <v/>
      </c>
      <c r="C2254">
        <f>Prices!C2254</f>
        <v/>
      </c>
      <c r="D2254">
        <f>Prices!D2254</f>
        <v/>
      </c>
      <c r="E2254">
        <f>Prices!E2254</f>
        <v/>
      </c>
      <c r="F2254">
        <f>Prices!F2254</f>
        <v/>
      </c>
      <c r="G2254">
        <f>IF(AND(2252&gt;=16,TEXT(A2254,"yyyy-mm")&lt;&gt;TEXT(A2255,"yyyy-mm")),1,0)</f>
        <v/>
      </c>
      <c r="H2254">
        <f>IF(OR(H2253=1,G2254=1),1,0)</f>
        <v/>
      </c>
      <c r="I2254">
        <f>IF(H2253=0,1,SUMPRODUCT(J2253:N2253,B2254:F2254)+O2253*(1+0.00023125256064071564))</f>
        <v/>
      </c>
      <c r="J2254">
        <f>IF(G2254=1,0.2*R2254/B2254,J2253)</f>
        <v/>
      </c>
      <c r="K2254">
        <f>IF(G2254=1,0.2*R2254/C2254,K2253)</f>
        <v/>
      </c>
      <c r="L2254">
        <f>IF(G2254=1,0.2*R2254/D2254,L2253)</f>
        <v/>
      </c>
      <c r="M2254">
        <f>IF(G2254=1,0.2*R2254/E2254,M2253)</f>
        <v/>
      </c>
      <c r="N2254">
        <f>IF(G2254=1,0.2*R2254/F2254,N2253)</f>
        <v/>
      </c>
      <c r="O2254">
        <f>IF(G2254=1,R2254*(1-1.0),IF(H2253=0,1,O2253*(1+0.00023125256064071564)))</f>
        <v/>
      </c>
      <c r="P2254">
        <f>IF(G2254=1,IF(H2253=0,1,ABS(0.2-J2253*B2254/I2254)+ABS(0.2-K2253*C2254/I2254)+ABS(0.2-L2253*D2254/I2254)+ABS(0.2-M2253*E2254/I2254)+ABS(0.2-N2253*F2254/I2254)),0)</f>
        <v/>
      </c>
      <c r="Q2254">
        <f>P2254*0.0015</f>
        <v/>
      </c>
      <c r="R2254">
        <f>I2254*(1-Q2254)</f>
        <v/>
      </c>
      <c r="S2254">
        <f>R2254/R2253-1</f>
        <v/>
      </c>
      <c r="T2254">
        <f>MAX(T2253,R2254)</f>
        <v/>
      </c>
      <c r="U2254">
        <f>R2254/T2254-1</f>
        <v/>
      </c>
      <c r="V2254" t="n">
        <v>4.309675654987046</v>
      </c>
      <c r="W2254" s="5">
        <f>R2254-V2254</f>
        <v/>
      </c>
    </row>
    <row r="2255">
      <c r="A2255" s="3" t="n">
        <v>41751</v>
      </c>
      <c r="B2255">
        <f>Prices!B2255</f>
        <v/>
      </c>
      <c r="C2255">
        <f>Prices!C2255</f>
        <v/>
      </c>
      <c r="D2255">
        <f>Prices!D2255</f>
        <v/>
      </c>
      <c r="E2255">
        <f>Prices!E2255</f>
        <v/>
      </c>
      <c r="F2255">
        <f>Prices!F2255</f>
        <v/>
      </c>
      <c r="G2255">
        <f>IF(AND(2253&gt;=16,TEXT(A2255,"yyyy-mm")&lt;&gt;TEXT(A2256,"yyyy-mm")),1,0)</f>
        <v/>
      </c>
      <c r="H2255">
        <f>IF(OR(H2254=1,G2255=1),1,0)</f>
        <v/>
      </c>
      <c r="I2255">
        <f>IF(H2254=0,1,SUMPRODUCT(J2254:N2254,B2255:F2255)+O2254*(1+0.00023125256064071564))</f>
        <v/>
      </c>
      <c r="J2255">
        <f>IF(G2255=1,0.2*R2255/B2255,J2254)</f>
        <v/>
      </c>
      <c r="K2255">
        <f>IF(G2255=1,0.2*R2255/C2255,K2254)</f>
        <v/>
      </c>
      <c r="L2255">
        <f>IF(G2255=1,0.2*R2255/D2255,L2254)</f>
        <v/>
      </c>
      <c r="M2255">
        <f>IF(G2255=1,0.2*R2255/E2255,M2254)</f>
        <v/>
      </c>
      <c r="N2255">
        <f>IF(G2255=1,0.2*R2255/F2255,N2254)</f>
        <v/>
      </c>
      <c r="O2255">
        <f>IF(G2255=1,R2255*(1-1.0),IF(H2254=0,1,O2254*(1+0.00023125256064071564)))</f>
        <v/>
      </c>
      <c r="P2255">
        <f>IF(G2255=1,IF(H2254=0,1,ABS(0.2-J2254*B2255/I2255)+ABS(0.2-K2254*C2255/I2255)+ABS(0.2-L2254*D2255/I2255)+ABS(0.2-M2254*E2255/I2255)+ABS(0.2-N2254*F2255/I2255)),0)</f>
        <v/>
      </c>
      <c r="Q2255">
        <f>P2255*0.0015</f>
        <v/>
      </c>
      <c r="R2255">
        <f>I2255*(1-Q2255)</f>
        <v/>
      </c>
      <c r="S2255">
        <f>R2255/R2254-1</f>
        <v/>
      </c>
      <c r="T2255">
        <f>MAX(T2254,R2255)</f>
        <v/>
      </c>
      <c r="U2255">
        <f>R2255/T2255-1</f>
        <v/>
      </c>
      <c r="V2255" t="n">
        <v>4.314852861521236</v>
      </c>
      <c r="W2255" s="5">
        <f>R2255-V2255</f>
        <v/>
      </c>
    </row>
    <row r="2256">
      <c r="A2256" s="3" t="n">
        <v>41752</v>
      </c>
      <c r="B2256">
        <f>Prices!B2256</f>
        <v/>
      </c>
      <c r="C2256">
        <f>Prices!C2256</f>
        <v/>
      </c>
      <c r="D2256">
        <f>Prices!D2256</f>
        <v/>
      </c>
      <c r="E2256">
        <f>Prices!E2256</f>
        <v/>
      </c>
      <c r="F2256">
        <f>Prices!F2256</f>
        <v/>
      </c>
      <c r="G2256">
        <f>IF(AND(2254&gt;=16,TEXT(A2256,"yyyy-mm")&lt;&gt;TEXT(A2257,"yyyy-mm")),1,0)</f>
        <v/>
      </c>
      <c r="H2256">
        <f>IF(OR(H2255=1,G2256=1),1,0)</f>
        <v/>
      </c>
      <c r="I2256">
        <f>IF(H2255=0,1,SUMPRODUCT(J2255:N2255,B2256:F2256)+O2255*(1+0.00023125256064071564))</f>
        <v/>
      </c>
      <c r="J2256">
        <f>IF(G2256=1,0.2*R2256/B2256,J2255)</f>
        <v/>
      </c>
      <c r="K2256">
        <f>IF(G2256=1,0.2*R2256/C2256,K2255)</f>
        <v/>
      </c>
      <c r="L2256">
        <f>IF(G2256=1,0.2*R2256/D2256,L2255)</f>
        <v/>
      </c>
      <c r="M2256">
        <f>IF(G2256=1,0.2*R2256/E2256,M2255)</f>
        <v/>
      </c>
      <c r="N2256">
        <f>IF(G2256=1,0.2*R2256/F2256,N2255)</f>
        <v/>
      </c>
      <c r="O2256">
        <f>IF(G2256=1,R2256*(1-1.0),IF(H2255=0,1,O2255*(1+0.00023125256064071564)))</f>
        <v/>
      </c>
      <c r="P2256">
        <f>IF(G2256=1,IF(H2255=0,1,ABS(0.2-J2255*B2256/I2256)+ABS(0.2-K2255*C2256/I2256)+ABS(0.2-L2255*D2256/I2256)+ABS(0.2-M2255*E2256/I2256)+ABS(0.2-N2255*F2256/I2256)),0)</f>
        <v/>
      </c>
      <c r="Q2256">
        <f>P2256*0.0015</f>
        <v/>
      </c>
      <c r="R2256">
        <f>I2256*(1-Q2256)</f>
        <v/>
      </c>
      <c r="S2256">
        <f>R2256/R2255-1</f>
        <v/>
      </c>
      <c r="T2256">
        <f>MAX(T2255,R2256)</f>
        <v/>
      </c>
      <c r="U2256">
        <f>R2256/T2256-1</f>
        <v/>
      </c>
      <c r="V2256" t="n">
        <v>4.329680505033638</v>
      </c>
      <c r="W2256" s="5">
        <f>R2256-V2256</f>
        <v/>
      </c>
    </row>
    <row r="2257">
      <c r="A2257" s="3" t="n">
        <v>41754</v>
      </c>
      <c r="B2257">
        <f>Prices!B2257</f>
        <v/>
      </c>
      <c r="C2257">
        <f>Prices!C2257</f>
        <v/>
      </c>
      <c r="D2257">
        <f>Prices!D2257</f>
        <v/>
      </c>
      <c r="E2257">
        <f>Prices!E2257</f>
        <v/>
      </c>
      <c r="F2257">
        <f>Prices!F2257</f>
        <v/>
      </c>
      <c r="G2257">
        <f>IF(AND(2255&gt;=16,TEXT(A2257,"yyyy-mm")&lt;&gt;TEXT(A2258,"yyyy-mm")),1,0)</f>
        <v/>
      </c>
      <c r="H2257">
        <f>IF(OR(H2256=1,G2257=1),1,0)</f>
        <v/>
      </c>
      <c r="I2257">
        <f>IF(H2256=0,1,SUMPRODUCT(J2256:N2256,B2257:F2257)+O2256*(1+0.00023125256064071564))</f>
        <v/>
      </c>
      <c r="J2257">
        <f>IF(G2257=1,0.2*R2257/B2257,J2256)</f>
        <v/>
      </c>
      <c r="K2257">
        <f>IF(G2257=1,0.2*R2257/C2257,K2256)</f>
        <v/>
      </c>
      <c r="L2257">
        <f>IF(G2257=1,0.2*R2257/D2257,L2256)</f>
        <v/>
      </c>
      <c r="M2257">
        <f>IF(G2257=1,0.2*R2257/E2257,M2256)</f>
        <v/>
      </c>
      <c r="N2257">
        <f>IF(G2257=1,0.2*R2257/F2257,N2256)</f>
        <v/>
      </c>
      <c r="O2257">
        <f>IF(G2257=1,R2257*(1-1.0),IF(H2256=0,1,O2256*(1+0.00023125256064071564)))</f>
        <v/>
      </c>
      <c r="P2257">
        <f>IF(G2257=1,IF(H2256=0,1,ABS(0.2-J2256*B2257/I2257)+ABS(0.2-K2256*C2257/I2257)+ABS(0.2-L2256*D2257/I2257)+ABS(0.2-M2256*E2257/I2257)+ABS(0.2-N2256*F2257/I2257)),0)</f>
        <v/>
      </c>
      <c r="Q2257">
        <f>P2257*0.0015</f>
        <v/>
      </c>
      <c r="R2257">
        <f>I2257*(1-Q2257)</f>
        <v/>
      </c>
      <c r="S2257">
        <f>R2257/R2256-1</f>
        <v/>
      </c>
      <c r="T2257">
        <f>MAX(T2256,R2257)</f>
        <v/>
      </c>
      <c r="U2257">
        <f>R2257/T2257-1</f>
        <v/>
      </c>
      <c r="V2257" t="n">
        <v>4.305595724495888</v>
      </c>
      <c r="W2257" s="5">
        <f>R2257-V2257</f>
        <v/>
      </c>
    </row>
    <row r="2258">
      <c r="A2258" s="3" t="n">
        <v>41757</v>
      </c>
      <c r="B2258">
        <f>Prices!B2258</f>
        <v/>
      </c>
      <c r="C2258">
        <f>Prices!C2258</f>
        <v/>
      </c>
      <c r="D2258">
        <f>Prices!D2258</f>
        <v/>
      </c>
      <c r="E2258">
        <f>Prices!E2258</f>
        <v/>
      </c>
      <c r="F2258">
        <f>Prices!F2258</f>
        <v/>
      </c>
      <c r="G2258">
        <f>IF(AND(2256&gt;=16,TEXT(A2258,"yyyy-mm")&lt;&gt;TEXT(A2259,"yyyy-mm")),1,0)</f>
        <v/>
      </c>
      <c r="H2258">
        <f>IF(OR(H2257=1,G2258=1),1,0)</f>
        <v/>
      </c>
      <c r="I2258">
        <f>IF(H2257=0,1,SUMPRODUCT(J2257:N2257,B2258:F2258)+O2257*(1+0.00023125256064071564))</f>
        <v/>
      </c>
      <c r="J2258">
        <f>IF(G2258=1,0.2*R2258/B2258,J2257)</f>
        <v/>
      </c>
      <c r="K2258">
        <f>IF(G2258=1,0.2*R2258/C2258,K2257)</f>
        <v/>
      </c>
      <c r="L2258">
        <f>IF(G2258=1,0.2*R2258/D2258,L2257)</f>
        <v/>
      </c>
      <c r="M2258">
        <f>IF(G2258=1,0.2*R2258/E2258,M2257)</f>
        <v/>
      </c>
      <c r="N2258">
        <f>IF(G2258=1,0.2*R2258/F2258,N2257)</f>
        <v/>
      </c>
      <c r="O2258">
        <f>IF(G2258=1,R2258*(1-1.0),IF(H2257=0,1,O2257*(1+0.00023125256064071564)))</f>
        <v/>
      </c>
      <c r="P2258">
        <f>IF(G2258=1,IF(H2257=0,1,ABS(0.2-J2257*B2258/I2258)+ABS(0.2-K2257*C2258/I2258)+ABS(0.2-L2257*D2258/I2258)+ABS(0.2-M2257*E2258/I2258)+ABS(0.2-N2257*F2258/I2258)),0)</f>
        <v/>
      </c>
      <c r="Q2258">
        <f>P2258*0.0015</f>
        <v/>
      </c>
      <c r="R2258">
        <f>I2258*(1-Q2258)</f>
        <v/>
      </c>
      <c r="S2258">
        <f>R2258/R2257-1</f>
        <v/>
      </c>
      <c r="T2258">
        <f>MAX(T2257,R2258)</f>
        <v/>
      </c>
      <c r="U2258">
        <f>R2258/T2258-1</f>
        <v/>
      </c>
      <c r="V2258" t="n">
        <v>4.316948714525698</v>
      </c>
      <c r="W2258" s="5">
        <f>R2258-V2258</f>
        <v/>
      </c>
    </row>
    <row r="2259">
      <c r="A2259" s="3" t="n">
        <v>41758</v>
      </c>
      <c r="B2259">
        <f>Prices!B2259</f>
        <v/>
      </c>
      <c r="C2259">
        <f>Prices!C2259</f>
        <v/>
      </c>
      <c r="D2259">
        <f>Prices!D2259</f>
        <v/>
      </c>
      <c r="E2259">
        <f>Prices!E2259</f>
        <v/>
      </c>
      <c r="F2259">
        <f>Prices!F2259</f>
        <v/>
      </c>
      <c r="G2259">
        <f>IF(AND(2257&gt;=16,TEXT(A2259,"yyyy-mm")&lt;&gt;TEXT(A2260,"yyyy-mm")),1,0)</f>
        <v/>
      </c>
      <c r="H2259">
        <f>IF(OR(H2258=1,G2259=1),1,0)</f>
        <v/>
      </c>
      <c r="I2259">
        <f>IF(H2258=0,1,SUMPRODUCT(J2258:N2258,B2259:F2259)+O2258*(1+0.00023125256064071564))</f>
        <v/>
      </c>
      <c r="J2259">
        <f>IF(G2259=1,0.2*R2259/B2259,J2258)</f>
        <v/>
      </c>
      <c r="K2259">
        <f>IF(G2259=1,0.2*R2259/C2259,K2258)</f>
        <v/>
      </c>
      <c r="L2259">
        <f>IF(G2259=1,0.2*R2259/D2259,L2258)</f>
        <v/>
      </c>
      <c r="M2259">
        <f>IF(G2259=1,0.2*R2259/E2259,M2258)</f>
        <v/>
      </c>
      <c r="N2259">
        <f>IF(G2259=1,0.2*R2259/F2259,N2258)</f>
        <v/>
      </c>
      <c r="O2259">
        <f>IF(G2259=1,R2259*(1-1.0),IF(H2258=0,1,O2258*(1+0.00023125256064071564)))</f>
        <v/>
      </c>
      <c r="P2259">
        <f>IF(G2259=1,IF(H2258=0,1,ABS(0.2-J2258*B2259/I2259)+ABS(0.2-K2258*C2259/I2259)+ABS(0.2-L2258*D2259/I2259)+ABS(0.2-M2258*E2259/I2259)+ABS(0.2-N2258*F2259/I2259)),0)</f>
        <v/>
      </c>
      <c r="Q2259">
        <f>P2259*0.0015</f>
        <v/>
      </c>
      <c r="R2259">
        <f>I2259*(1-Q2259)</f>
        <v/>
      </c>
      <c r="S2259">
        <f>R2259/R2258-1</f>
        <v/>
      </c>
      <c r="T2259">
        <f>MAX(T2258,R2259)</f>
        <v/>
      </c>
      <c r="U2259">
        <f>R2259/T2259-1</f>
        <v/>
      </c>
      <c r="V2259" t="n">
        <v>4.293582456039777</v>
      </c>
      <c r="W2259" s="5">
        <f>R2259-V2259</f>
        <v/>
      </c>
    </row>
    <row r="2260">
      <c r="A2260" s="3" t="n">
        <v>41759</v>
      </c>
      <c r="B2260">
        <f>Prices!B2260</f>
        <v/>
      </c>
      <c r="C2260">
        <f>Prices!C2260</f>
        <v/>
      </c>
      <c r="D2260">
        <f>Prices!D2260</f>
        <v/>
      </c>
      <c r="E2260">
        <f>Prices!E2260</f>
        <v/>
      </c>
      <c r="F2260">
        <f>Prices!F2260</f>
        <v/>
      </c>
      <c r="G2260">
        <f>IF(AND(2258&gt;=16,TEXT(A2260,"yyyy-mm")&lt;&gt;TEXT(A2261,"yyyy-mm")),1,0)</f>
        <v/>
      </c>
      <c r="H2260">
        <f>IF(OR(H2259=1,G2260=1),1,0)</f>
        <v/>
      </c>
      <c r="I2260">
        <f>IF(H2259=0,1,SUMPRODUCT(J2259:N2259,B2260:F2260)+O2259*(1+0.00023125256064071564))</f>
        <v/>
      </c>
      <c r="J2260">
        <f>IF(G2260=1,0.2*R2260/B2260,J2259)</f>
        <v/>
      </c>
      <c r="K2260">
        <f>IF(G2260=1,0.2*R2260/C2260,K2259)</f>
        <v/>
      </c>
      <c r="L2260">
        <f>IF(G2260=1,0.2*R2260/D2260,L2259)</f>
        <v/>
      </c>
      <c r="M2260">
        <f>IF(G2260=1,0.2*R2260/E2260,M2259)</f>
        <v/>
      </c>
      <c r="N2260">
        <f>IF(G2260=1,0.2*R2260/F2260,N2259)</f>
        <v/>
      </c>
      <c r="O2260">
        <f>IF(G2260=1,R2260*(1-1.0),IF(H2259=0,1,O2259*(1+0.00023125256064071564)))</f>
        <v/>
      </c>
      <c r="P2260">
        <f>IF(G2260=1,IF(H2259=0,1,ABS(0.2-J2259*B2260/I2260)+ABS(0.2-K2259*C2260/I2260)+ABS(0.2-L2259*D2260/I2260)+ABS(0.2-M2259*E2260/I2260)+ABS(0.2-N2259*F2260/I2260)),0)</f>
        <v/>
      </c>
      <c r="Q2260">
        <f>P2260*0.0015</f>
        <v/>
      </c>
      <c r="R2260">
        <f>I2260*(1-Q2260)</f>
        <v/>
      </c>
      <c r="S2260">
        <f>R2260/R2259-1</f>
        <v/>
      </c>
      <c r="T2260">
        <f>MAX(T2259,R2260)</f>
        <v/>
      </c>
      <c r="U2260">
        <f>R2260/T2260-1</f>
        <v/>
      </c>
      <c r="V2260" t="n">
        <v>4.259215617105076</v>
      </c>
      <c r="W2260" s="5">
        <f>R2260-V2260</f>
        <v/>
      </c>
    </row>
    <row r="2261">
      <c r="A2261" s="3" t="n">
        <v>41761</v>
      </c>
      <c r="B2261">
        <f>Prices!B2261</f>
        <v/>
      </c>
      <c r="C2261">
        <f>Prices!C2261</f>
        <v/>
      </c>
      <c r="D2261">
        <f>Prices!D2261</f>
        <v/>
      </c>
      <c r="E2261">
        <f>Prices!E2261</f>
        <v/>
      </c>
      <c r="F2261">
        <f>Prices!F2261</f>
        <v/>
      </c>
      <c r="G2261">
        <f>IF(AND(2259&gt;=16,TEXT(A2261,"yyyy-mm")&lt;&gt;TEXT(A2262,"yyyy-mm")),1,0)</f>
        <v/>
      </c>
      <c r="H2261">
        <f>IF(OR(H2260=1,G2261=1),1,0)</f>
        <v/>
      </c>
      <c r="I2261">
        <f>IF(H2260=0,1,SUMPRODUCT(J2260:N2260,B2261:F2261)+O2260*(1+0.00023125256064071564))</f>
        <v/>
      </c>
      <c r="J2261">
        <f>IF(G2261=1,0.2*R2261/B2261,J2260)</f>
        <v/>
      </c>
      <c r="K2261">
        <f>IF(G2261=1,0.2*R2261/C2261,K2260)</f>
        <v/>
      </c>
      <c r="L2261">
        <f>IF(G2261=1,0.2*R2261/D2261,L2260)</f>
        <v/>
      </c>
      <c r="M2261">
        <f>IF(G2261=1,0.2*R2261/E2261,M2260)</f>
        <v/>
      </c>
      <c r="N2261">
        <f>IF(G2261=1,0.2*R2261/F2261,N2260)</f>
        <v/>
      </c>
      <c r="O2261">
        <f>IF(G2261=1,R2261*(1-1.0),IF(H2260=0,1,O2260*(1+0.00023125256064071564)))</f>
        <v/>
      </c>
      <c r="P2261">
        <f>IF(G2261=1,IF(H2260=0,1,ABS(0.2-J2260*B2261/I2261)+ABS(0.2-K2260*C2261/I2261)+ABS(0.2-L2260*D2261/I2261)+ABS(0.2-M2260*E2261/I2261)+ABS(0.2-N2260*F2261/I2261)),0)</f>
        <v/>
      </c>
      <c r="Q2261">
        <f>P2261*0.0015</f>
        <v/>
      </c>
      <c r="R2261">
        <f>I2261*(1-Q2261)</f>
        <v/>
      </c>
      <c r="S2261">
        <f>R2261/R2260-1</f>
        <v/>
      </c>
      <c r="T2261">
        <f>MAX(T2260,R2261)</f>
        <v/>
      </c>
      <c r="U2261">
        <f>R2261/T2261-1</f>
        <v/>
      </c>
      <c r="V2261" t="n">
        <v>4.286752129330734</v>
      </c>
      <c r="W2261" s="5">
        <f>R2261-V2261</f>
        <v/>
      </c>
    </row>
    <row r="2262">
      <c r="A2262" s="3" t="n">
        <v>41764</v>
      </c>
      <c r="B2262">
        <f>Prices!B2262</f>
        <v/>
      </c>
      <c r="C2262">
        <f>Prices!C2262</f>
        <v/>
      </c>
      <c r="D2262">
        <f>Prices!D2262</f>
        <v/>
      </c>
      <c r="E2262">
        <f>Prices!E2262</f>
        <v/>
      </c>
      <c r="F2262">
        <f>Prices!F2262</f>
        <v/>
      </c>
      <c r="G2262">
        <f>IF(AND(2260&gt;=16,TEXT(A2262,"yyyy-mm")&lt;&gt;TEXT(A2263,"yyyy-mm")),1,0)</f>
        <v/>
      </c>
      <c r="H2262">
        <f>IF(OR(H2261=1,G2262=1),1,0)</f>
        <v/>
      </c>
      <c r="I2262">
        <f>IF(H2261=0,1,SUMPRODUCT(J2261:N2261,B2262:F2262)+O2261*(1+0.00023125256064071564))</f>
        <v/>
      </c>
      <c r="J2262">
        <f>IF(G2262=1,0.2*R2262/B2262,J2261)</f>
        <v/>
      </c>
      <c r="K2262">
        <f>IF(G2262=1,0.2*R2262/C2262,K2261)</f>
        <v/>
      </c>
      <c r="L2262">
        <f>IF(G2262=1,0.2*R2262/D2262,L2261)</f>
        <v/>
      </c>
      <c r="M2262">
        <f>IF(G2262=1,0.2*R2262/E2262,M2261)</f>
        <v/>
      </c>
      <c r="N2262">
        <f>IF(G2262=1,0.2*R2262/F2262,N2261)</f>
        <v/>
      </c>
      <c r="O2262">
        <f>IF(G2262=1,R2262*(1-1.0),IF(H2261=0,1,O2261*(1+0.00023125256064071564)))</f>
        <v/>
      </c>
      <c r="P2262">
        <f>IF(G2262=1,IF(H2261=0,1,ABS(0.2-J2261*B2262/I2262)+ABS(0.2-K2261*C2262/I2262)+ABS(0.2-L2261*D2262/I2262)+ABS(0.2-M2261*E2262/I2262)+ABS(0.2-N2261*F2262/I2262)),0)</f>
        <v/>
      </c>
      <c r="Q2262">
        <f>P2262*0.0015</f>
        <v/>
      </c>
      <c r="R2262">
        <f>I2262*(1-Q2262)</f>
        <v/>
      </c>
      <c r="S2262">
        <f>R2262/R2261-1</f>
        <v/>
      </c>
      <c r="T2262">
        <f>MAX(T2261,R2262)</f>
        <v/>
      </c>
      <c r="U2262">
        <f>R2262/T2262-1</f>
        <v/>
      </c>
      <c r="V2262" t="n">
        <v>4.274176425501606</v>
      </c>
      <c r="W2262" s="5">
        <f>R2262-V2262</f>
        <v/>
      </c>
    </row>
    <row r="2263">
      <c r="A2263" s="3" t="n">
        <v>41765</v>
      </c>
      <c r="B2263">
        <f>Prices!B2263</f>
        <v/>
      </c>
      <c r="C2263">
        <f>Prices!C2263</f>
        <v/>
      </c>
      <c r="D2263">
        <f>Prices!D2263</f>
        <v/>
      </c>
      <c r="E2263">
        <f>Prices!E2263</f>
        <v/>
      </c>
      <c r="F2263">
        <f>Prices!F2263</f>
        <v/>
      </c>
      <c r="G2263">
        <f>IF(AND(2261&gt;=16,TEXT(A2263,"yyyy-mm")&lt;&gt;TEXT(A2264,"yyyy-mm")),1,0)</f>
        <v/>
      </c>
      <c r="H2263">
        <f>IF(OR(H2262=1,G2263=1),1,0)</f>
        <v/>
      </c>
      <c r="I2263">
        <f>IF(H2262=0,1,SUMPRODUCT(J2262:N2262,B2263:F2263)+O2262*(1+0.00023125256064071564))</f>
        <v/>
      </c>
      <c r="J2263">
        <f>IF(G2263=1,0.2*R2263/B2263,J2262)</f>
        <v/>
      </c>
      <c r="K2263">
        <f>IF(G2263=1,0.2*R2263/C2263,K2262)</f>
        <v/>
      </c>
      <c r="L2263">
        <f>IF(G2263=1,0.2*R2263/D2263,L2262)</f>
        <v/>
      </c>
      <c r="M2263">
        <f>IF(G2263=1,0.2*R2263/E2263,M2262)</f>
        <v/>
      </c>
      <c r="N2263">
        <f>IF(G2263=1,0.2*R2263/F2263,N2262)</f>
        <v/>
      </c>
      <c r="O2263">
        <f>IF(G2263=1,R2263*(1-1.0),IF(H2262=0,1,O2262*(1+0.00023125256064071564)))</f>
        <v/>
      </c>
      <c r="P2263">
        <f>IF(G2263=1,IF(H2262=0,1,ABS(0.2-J2262*B2263/I2263)+ABS(0.2-K2262*C2263/I2263)+ABS(0.2-L2262*D2263/I2263)+ABS(0.2-M2262*E2263/I2263)+ABS(0.2-N2262*F2263/I2263)),0)</f>
        <v/>
      </c>
      <c r="Q2263">
        <f>P2263*0.0015</f>
        <v/>
      </c>
      <c r="R2263">
        <f>I2263*(1-Q2263)</f>
        <v/>
      </c>
      <c r="S2263">
        <f>R2263/R2262-1</f>
        <v/>
      </c>
      <c r="T2263">
        <f>MAX(T2262,R2263)</f>
        <v/>
      </c>
      <c r="U2263">
        <f>R2263/T2263-1</f>
        <v/>
      </c>
      <c r="V2263" t="n">
        <v>4.280746449816743</v>
      </c>
      <c r="W2263" s="5">
        <f>R2263-V2263</f>
        <v/>
      </c>
    </row>
    <row r="2264">
      <c r="A2264" s="3" t="n">
        <v>41766</v>
      </c>
      <c r="B2264">
        <f>Prices!B2264</f>
        <v/>
      </c>
      <c r="C2264">
        <f>Prices!C2264</f>
        <v/>
      </c>
      <c r="D2264">
        <f>Prices!D2264</f>
        <v/>
      </c>
      <c r="E2264">
        <f>Prices!E2264</f>
        <v/>
      </c>
      <c r="F2264">
        <f>Prices!F2264</f>
        <v/>
      </c>
      <c r="G2264">
        <f>IF(AND(2262&gt;=16,TEXT(A2264,"yyyy-mm")&lt;&gt;TEXT(A2265,"yyyy-mm")),1,0)</f>
        <v/>
      </c>
      <c r="H2264">
        <f>IF(OR(H2263=1,G2264=1),1,0)</f>
        <v/>
      </c>
      <c r="I2264">
        <f>IF(H2263=0,1,SUMPRODUCT(J2263:N2263,B2264:F2264)+O2263*(1+0.00023125256064071564))</f>
        <v/>
      </c>
      <c r="J2264">
        <f>IF(G2264=1,0.2*R2264/B2264,J2263)</f>
        <v/>
      </c>
      <c r="K2264">
        <f>IF(G2264=1,0.2*R2264/C2264,K2263)</f>
        <v/>
      </c>
      <c r="L2264">
        <f>IF(G2264=1,0.2*R2264/D2264,L2263)</f>
        <v/>
      </c>
      <c r="M2264">
        <f>IF(G2264=1,0.2*R2264/E2264,M2263)</f>
        <v/>
      </c>
      <c r="N2264">
        <f>IF(G2264=1,0.2*R2264/F2264,N2263)</f>
        <v/>
      </c>
      <c r="O2264">
        <f>IF(G2264=1,R2264*(1-1.0),IF(H2263=0,1,O2263*(1+0.00023125256064071564)))</f>
        <v/>
      </c>
      <c r="P2264">
        <f>IF(G2264=1,IF(H2263=0,1,ABS(0.2-J2263*B2264/I2264)+ABS(0.2-K2263*C2264/I2264)+ABS(0.2-L2263*D2264/I2264)+ABS(0.2-M2263*E2264/I2264)+ABS(0.2-N2263*F2264/I2264)),0)</f>
        <v/>
      </c>
      <c r="Q2264">
        <f>P2264*0.0015</f>
        <v/>
      </c>
      <c r="R2264">
        <f>I2264*(1-Q2264)</f>
        <v/>
      </c>
      <c r="S2264">
        <f>R2264/R2263-1</f>
        <v/>
      </c>
      <c r="T2264">
        <f>MAX(T2263,R2264)</f>
        <v/>
      </c>
      <c r="U2264">
        <f>R2264/T2264-1</f>
        <v/>
      </c>
      <c r="V2264" t="n">
        <v>4.263322268650508</v>
      </c>
      <c r="W2264" s="5">
        <f>R2264-V2264</f>
        <v/>
      </c>
    </row>
    <row r="2265">
      <c r="A2265" s="3" t="n">
        <v>41767</v>
      </c>
      <c r="B2265">
        <f>Prices!B2265</f>
        <v/>
      </c>
      <c r="C2265">
        <f>Prices!C2265</f>
        <v/>
      </c>
      <c r="D2265">
        <f>Prices!D2265</f>
        <v/>
      </c>
      <c r="E2265">
        <f>Prices!E2265</f>
        <v/>
      </c>
      <c r="F2265">
        <f>Prices!F2265</f>
        <v/>
      </c>
      <c r="G2265">
        <f>IF(AND(2263&gt;=16,TEXT(A2265,"yyyy-mm")&lt;&gt;TEXT(A2266,"yyyy-mm")),1,0)</f>
        <v/>
      </c>
      <c r="H2265">
        <f>IF(OR(H2264=1,G2265=1),1,0)</f>
        <v/>
      </c>
      <c r="I2265">
        <f>IF(H2264=0,1,SUMPRODUCT(J2264:N2264,B2265:F2265)+O2264*(1+0.00023125256064071564))</f>
        <v/>
      </c>
      <c r="J2265">
        <f>IF(G2265=1,0.2*R2265/B2265,J2264)</f>
        <v/>
      </c>
      <c r="K2265">
        <f>IF(G2265=1,0.2*R2265/C2265,K2264)</f>
        <v/>
      </c>
      <c r="L2265">
        <f>IF(G2265=1,0.2*R2265/D2265,L2264)</f>
        <v/>
      </c>
      <c r="M2265">
        <f>IF(G2265=1,0.2*R2265/E2265,M2264)</f>
        <v/>
      </c>
      <c r="N2265">
        <f>IF(G2265=1,0.2*R2265/F2265,N2264)</f>
        <v/>
      </c>
      <c r="O2265">
        <f>IF(G2265=1,R2265*(1-1.0),IF(H2264=0,1,O2264*(1+0.00023125256064071564)))</f>
        <v/>
      </c>
      <c r="P2265">
        <f>IF(G2265=1,IF(H2264=0,1,ABS(0.2-J2264*B2265/I2265)+ABS(0.2-K2264*C2265/I2265)+ABS(0.2-L2264*D2265/I2265)+ABS(0.2-M2264*E2265/I2265)+ABS(0.2-N2264*F2265/I2265)),0)</f>
        <v/>
      </c>
      <c r="Q2265">
        <f>P2265*0.0015</f>
        <v/>
      </c>
      <c r="R2265">
        <f>I2265*(1-Q2265)</f>
        <v/>
      </c>
      <c r="S2265">
        <f>R2265/R2264-1</f>
        <v/>
      </c>
      <c r="T2265">
        <f>MAX(T2264,R2265)</f>
        <v/>
      </c>
      <c r="U2265">
        <f>R2265/T2265-1</f>
        <v/>
      </c>
      <c r="V2265" t="n">
        <v>4.269744601533728</v>
      </c>
      <c r="W2265" s="5">
        <f>R2265-V2265</f>
        <v/>
      </c>
    </row>
    <row r="2266">
      <c r="A2266" s="3" t="n">
        <v>41768</v>
      </c>
      <c r="B2266">
        <f>Prices!B2266</f>
        <v/>
      </c>
      <c r="C2266">
        <f>Prices!C2266</f>
        <v/>
      </c>
      <c r="D2266">
        <f>Prices!D2266</f>
        <v/>
      </c>
      <c r="E2266">
        <f>Prices!E2266</f>
        <v/>
      </c>
      <c r="F2266">
        <f>Prices!F2266</f>
        <v/>
      </c>
      <c r="G2266">
        <f>IF(AND(2264&gt;=16,TEXT(A2266,"yyyy-mm")&lt;&gt;TEXT(A2267,"yyyy-mm")),1,0)</f>
        <v/>
      </c>
      <c r="H2266">
        <f>IF(OR(H2265=1,G2266=1),1,0)</f>
        <v/>
      </c>
      <c r="I2266">
        <f>IF(H2265=0,1,SUMPRODUCT(J2265:N2265,B2266:F2266)+O2265*(1+0.00023125256064071564))</f>
        <v/>
      </c>
      <c r="J2266">
        <f>IF(G2266=1,0.2*R2266/B2266,J2265)</f>
        <v/>
      </c>
      <c r="K2266">
        <f>IF(G2266=1,0.2*R2266/C2266,K2265)</f>
        <v/>
      </c>
      <c r="L2266">
        <f>IF(G2266=1,0.2*R2266/D2266,L2265)</f>
        <v/>
      </c>
      <c r="M2266">
        <f>IF(G2266=1,0.2*R2266/E2266,M2265)</f>
        <v/>
      </c>
      <c r="N2266">
        <f>IF(G2266=1,0.2*R2266/F2266,N2265)</f>
        <v/>
      </c>
      <c r="O2266">
        <f>IF(G2266=1,R2266*(1-1.0),IF(H2265=0,1,O2265*(1+0.00023125256064071564)))</f>
        <v/>
      </c>
      <c r="P2266">
        <f>IF(G2266=1,IF(H2265=0,1,ABS(0.2-J2265*B2266/I2266)+ABS(0.2-K2265*C2266/I2266)+ABS(0.2-L2265*D2266/I2266)+ABS(0.2-M2265*E2266/I2266)+ABS(0.2-N2265*F2266/I2266)),0)</f>
        <v/>
      </c>
      <c r="Q2266">
        <f>P2266*0.0015</f>
        <v/>
      </c>
      <c r="R2266">
        <f>I2266*(1-Q2266)</f>
        <v/>
      </c>
      <c r="S2266">
        <f>R2266/R2265-1</f>
        <v/>
      </c>
      <c r="T2266">
        <f>MAX(T2265,R2266)</f>
        <v/>
      </c>
      <c r="U2266">
        <f>R2266/T2266-1</f>
        <v/>
      </c>
      <c r="V2266" t="n">
        <v>4.318548275503799</v>
      </c>
      <c r="W2266" s="5">
        <f>R2266-V2266</f>
        <v/>
      </c>
    </row>
    <row r="2267">
      <c r="A2267" s="3" t="n">
        <v>41771</v>
      </c>
      <c r="B2267">
        <f>Prices!B2267</f>
        <v/>
      </c>
      <c r="C2267">
        <f>Prices!C2267</f>
        <v/>
      </c>
      <c r="D2267">
        <f>Prices!D2267</f>
        <v/>
      </c>
      <c r="E2267">
        <f>Prices!E2267</f>
        <v/>
      </c>
      <c r="F2267">
        <f>Prices!F2267</f>
        <v/>
      </c>
      <c r="G2267">
        <f>IF(AND(2265&gt;=16,TEXT(A2267,"yyyy-mm")&lt;&gt;TEXT(A2268,"yyyy-mm")),1,0)</f>
        <v/>
      </c>
      <c r="H2267">
        <f>IF(OR(H2266=1,G2267=1),1,0)</f>
        <v/>
      </c>
      <c r="I2267">
        <f>IF(H2266=0,1,SUMPRODUCT(J2266:N2266,B2267:F2267)+O2266*(1+0.00023125256064071564))</f>
        <v/>
      </c>
      <c r="J2267">
        <f>IF(G2267=1,0.2*R2267/B2267,J2266)</f>
        <v/>
      </c>
      <c r="K2267">
        <f>IF(G2267=1,0.2*R2267/C2267,K2266)</f>
        <v/>
      </c>
      <c r="L2267">
        <f>IF(G2267=1,0.2*R2267/D2267,L2266)</f>
        <v/>
      </c>
      <c r="M2267">
        <f>IF(G2267=1,0.2*R2267/E2267,M2266)</f>
        <v/>
      </c>
      <c r="N2267">
        <f>IF(G2267=1,0.2*R2267/F2267,N2266)</f>
        <v/>
      </c>
      <c r="O2267">
        <f>IF(G2267=1,R2267*(1-1.0),IF(H2266=0,1,O2266*(1+0.00023125256064071564)))</f>
        <v/>
      </c>
      <c r="P2267">
        <f>IF(G2267=1,IF(H2266=0,1,ABS(0.2-J2266*B2267/I2267)+ABS(0.2-K2266*C2267/I2267)+ABS(0.2-L2266*D2267/I2267)+ABS(0.2-M2266*E2267/I2267)+ABS(0.2-N2266*F2267/I2267)),0)</f>
        <v/>
      </c>
      <c r="Q2267">
        <f>P2267*0.0015</f>
        <v/>
      </c>
      <c r="R2267">
        <f>I2267*(1-Q2267)</f>
        <v/>
      </c>
      <c r="S2267">
        <f>R2267/R2266-1</f>
        <v/>
      </c>
      <c r="T2267">
        <f>MAX(T2266,R2267)</f>
        <v/>
      </c>
      <c r="U2267">
        <f>R2267/T2267-1</f>
        <v/>
      </c>
      <c r="V2267" t="n">
        <v>4.363635443751141</v>
      </c>
      <c r="W2267" s="5">
        <f>R2267-V2267</f>
        <v/>
      </c>
    </row>
    <row r="2268">
      <c r="A2268" s="3" t="n">
        <v>41772</v>
      </c>
      <c r="B2268">
        <f>Prices!B2268</f>
        <v/>
      </c>
      <c r="C2268">
        <f>Prices!C2268</f>
        <v/>
      </c>
      <c r="D2268">
        <f>Prices!D2268</f>
        <v/>
      </c>
      <c r="E2268">
        <f>Prices!E2268</f>
        <v/>
      </c>
      <c r="F2268">
        <f>Prices!F2268</f>
        <v/>
      </c>
      <c r="G2268">
        <f>IF(AND(2266&gt;=16,TEXT(A2268,"yyyy-mm")&lt;&gt;TEXT(A2269,"yyyy-mm")),1,0)</f>
        <v/>
      </c>
      <c r="H2268">
        <f>IF(OR(H2267=1,G2268=1),1,0)</f>
        <v/>
      </c>
      <c r="I2268">
        <f>IF(H2267=0,1,SUMPRODUCT(J2267:N2267,B2268:F2268)+O2267*(1+0.00023125256064071564))</f>
        <v/>
      </c>
      <c r="J2268">
        <f>IF(G2268=1,0.2*R2268/B2268,J2267)</f>
        <v/>
      </c>
      <c r="K2268">
        <f>IF(G2268=1,0.2*R2268/C2268,K2267)</f>
        <v/>
      </c>
      <c r="L2268">
        <f>IF(G2268=1,0.2*R2268/D2268,L2267)</f>
        <v/>
      </c>
      <c r="M2268">
        <f>IF(G2268=1,0.2*R2268/E2268,M2267)</f>
        <v/>
      </c>
      <c r="N2268">
        <f>IF(G2268=1,0.2*R2268/F2268,N2267)</f>
        <v/>
      </c>
      <c r="O2268">
        <f>IF(G2268=1,R2268*(1-1.0),IF(H2267=0,1,O2267*(1+0.00023125256064071564)))</f>
        <v/>
      </c>
      <c r="P2268">
        <f>IF(G2268=1,IF(H2267=0,1,ABS(0.2-J2267*B2268/I2268)+ABS(0.2-K2267*C2268/I2268)+ABS(0.2-L2267*D2268/I2268)+ABS(0.2-M2267*E2268/I2268)+ABS(0.2-N2267*F2268/I2268)),0)</f>
        <v/>
      </c>
      <c r="Q2268">
        <f>P2268*0.0015</f>
        <v/>
      </c>
      <c r="R2268">
        <f>I2268*(1-Q2268)</f>
        <v/>
      </c>
      <c r="S2268">
        <f>R2268/R2267-1</f>
        <v/>
      </c>
      <c r="T2268">
        <f>MAX(T2267,R2268)</f>
        <v/>
      </c>
      <c r="U2268">
        <f>R2268/T2268-1</f>
        <v/>
      </c>
      <c r="V2268" t="n">
        <v>4.423371361088241</v>
      </c>
      <c r="W2268" s="5">
        <f>R2268-V2268</f>
        <v/>
      </c>
    </row>
    <row r="2269">
      <c r="A2269" s="3" t="n">
        <v>41773</v>
      </c>
      <c r="B2269">
        <f>Prices!B2269</f>
        <v/>
      </c>
      <c r="C2269">
        <f>Prices!C2269</f>
        <v/>
      </c>
      <c r="D2269">
        <f>Prices!D2269</f>
        <v/>
      </c>
      <c r="E2269">
        <f>Prices!E2269</f>
        <v/>
      </c>
      <c r="F2269">
        <f>Prices!F2269</f>
        <v/>
      </c>
      <c r="G2269">
        <f>IF(AND(2267&gt;=16,TEXT(A2269,"yyyy-mm")&lt;&gt;TEXT(A2270,"yyyy-mm")),1,0)</f>
        <v/>
      </c>
      <c r="H2269">
        <f>IF(OR(H2268=1,G2269=1),1,0)</f>
        <v/>
      </c>
      <c r="I2269">
        <f>IF(H2268=0,1,SUMPRODUCT(J2268:N2268,B2269:F2269)+O2268*(1+0.00023125256064071564))</f>
        <v/>
      </c>
      <c r="J2269">
        <f>IF(G2269=1,0.2*R2269/B2269,J2268)</f>
        <v/>
      </c>
      <c r="K2269">
        <f>IF(G2269=1,0.2*R2269/C2269,K2268)</f>
        <v/>
      </c>
      <c r="L2269">
        <f>IF(G2269=1,0.2*R2269/D2269,L2268)</f>
        <v/>
      </c>
      <c r="M2269">
        <f>IF(G2269=1,0.2*R2269/E2269,M2268)</f>
        <v/>
      </c>
      <c r="N2269">
        <f>IF(G2269=1,0.2*R2269/F2269,N2268)</f>
        <v/>
      </c>
      <c r="O2269">
        <f>IF(G2269=1,R2269*(1-1.0),IF(H2268=0,1,O2268*(1+0.00023125256064071564)))</f>
        <v/>
      </c>
      <c r="P2269">
        <f>IF(G2269=1,IF(H2268=0,1,ABS(0.2-J2268*B2269/I2269)+ABS(0.2-K2268*C2269/I2269)+ABS(0.2-L2268*D2269/I2269)+ABS(0.2-M2268*E2269/I2269)+ABS(0.2-N2268*F2269/I2269)),0)</f>
        <v/>
      </c>
      <c r="Q2269">
        <f>P2269*0.0015</f>
        <v/>
      </c>
      <c r="R2269">
        <f>I2269*(1-Q2269)</f>
        <v/>
      </c>
      <c r="S2269">
        <f>R2269/R2268-1</f>
        <v/>
      </c>
      <c r="T2269">
        <f>MAX(T2268,R2269)</f>
        <v/>
      </c>
      <c r="U2269">
        <f>R2269/T2269-1</f>
        <v/>
      </c>
      <c r="V2269" t="n">
        <v>4.462759936912656</v>
      </c>
      <c r="W2269" s="5">
        <f>R2269-V2269</f>
        <v/>
      </c>
    </row>
    <row r="2270">
      <c r="A2270" s="3" t="n">
        <v>41774</v>
      </c>
      <c r="B2270">
        <f>Prices!B2270</f>
        <v/>
      </c>
      <c r="C2270">
        <f>Prices!C2270</f>
        <v/>
      </c>
      <c r="D2270">
        <f>Prices!D2270</f>
        <v/>
      </c>
      <c r="E2270">
        <f>Prices!E2270</f>
        <v/>
      </c>
      <c r="F2270">
        <f>Prices!F2270</f>
        <v/>
      </c>
      <c r="G2270">
        <f>IF(AND(2268&gt;=16,TEXT(A2270,"yyyy-mm")&lt;&gt;TEXT(A2271,"yyyy-mm")),1,0)</f>
        <v/>
      </c>
      <c r="H2270">
        <f>IF(OR(H2269=1,G2270=1),1,0)</f>
        <v/>
      </c>
      <c r="I2270">
        <f>IF(H2269=0,1,SUMPRODUCT(J2269:N2269,B2270:F2270)+O2269*(1+0.00023125256064071564))</f>
        <v/>
      </c>
      <c r="J2270">
        <f>IF(G2270=1,0.2*R2270/B2270,J2269)</f>
        <v/>
      </c>
      <c r="K2270">
        <f>IF(G2270=1,0.2*R2270/C2270,K2269)</f>
        <v/>
      </c>
      <c r="L2270">
        <f>IF(G2270=1,0.2*R2270/D2270,L2269)</f>
        <v/>
      </c>
      <c r="M2270">
        <f>IF(G2270=1,0.2*R2270/E2270,M2269)</f>
        <v/>
      </c>
      <c r="N2270">
        <f>IF(G2270=1,0.2*R2270/F2270,N2269)</f>
        <v/>
      </c>
      <c r="O2270">
        <f>IF(G2270=1,R2270*(1-1.0),IF(H2269=0,1,O2269*(1+0.00023125256064071564)))</f>
        <v/>
      </c>
      <c r="P2270">
        <f>IF(G2270=1,IF(H2269=0,1,ABS(0.2-J2269*B2270/I2270)+ABS(0.2-K2269*C2270/I2270)+ABS(0.2-L2269*D2270/I2270)+ABS(0.2-M2269*E2270/I2270)+ABS(0.2-N2269*F2270/I2270)),0)</f>
        <v/>
      </c>
      <c r="Q2270">
        <f>P2270*0.0015</f>
        <v/>
      </c>
      <c r="R2270">
        <f>I2270*(1-Q2270)</f>
        <v/>
      </c>
      <c r="S2270">
        <f>R2270/R2269-1</f>
        <v/>
      </c>
      <c r="T2270">
        <f>MAX(T2269,R2270)</f>
        <v/>
      </c>
      <c r="U2270">
        <f>R2270/T2270-1</f>
        <v/>
      </c>
      <c r="V2270" t="n">
        <v>4.431591592559943</v>
      </c>
      <c r="W2270" s="5">
        <f>R2270-V2270</f>
        <v/>
      </c>
    </row>
    <row r="2271">
      <c r="A2271" s="3" t="n">
        <v>41775</v>
      </c>
      <c r="B2271">
        <f>Prices!B2271</f>
        <v/>
      </c>
      <c r="C2271">
        <f>Prices!C2271</f>
        <v/>
      </c>
      <c r="D2271">
        <f>Prices!D2271</f>
        <v/>
      </c>
      <c r="E2271">
        <f>Prices!E2271</f>
        <v/>
      </c>
      <c r="F2271">
        <f>Prices!F2271</f>
        <v/>
      </c>
      <c r="G2271">
        <f>IF(AND(2269&gt;=16,TEXT(A2271,"yyyy-mm")&lt;&gt;TEXT(A2272,"yyyy-mm")),1,0)</f>
        <v/>
      </c>
      <c r="H2271">
        <f>IF(OR(H2270=1,G2271=1),1,0)</f>
        <v/>
      </c>
      <c r="I2271">
        <f>IF(H2270=0,1,SUMPRODUCT(J2270:N2270,B2271:F2271)+O2270*(1+0.00023125256064071564))</f>
        <v/>
      </c>
      <c r="J2271">
        <f>IF(G2271=1,0.2*R2271/B2271,J2270)</f>
        <v/>
      </c>
      <c r="K2271">
        <f>IF(G2271=1,0.2*R2271/C2271,K2270)</f>
        <v/>
      </c>
      <c r="L2271">
        <f>IF(G2271=1,0.2*R2271/D2271,L2270)</f>
        <v/>
      </c>
      <c r="M2271">
        <f>IF(G2271=1,0.2*R2271/E2271,M2270)</f>
        <v/>
      </c>
      <c r="N2271">
        <f>IF(G2271=1,0.2*R2271/F2271,N2270)</f>
        <v/>
      </c>
      <c r="O2271">
        <f>IF(G2271=1,R2271*(1-1.0),IF(H2270=0,1,O2270*(1+0.00023125256064071564)))</f>
        <v/>
      </c>
      <c r="P2271">
        <f>IF(G2271=1,IF(H2270=0,1,ABS(0.2-J2270*B2271/I2271)+ABS(0.2-K2270*C2271/I2271)+ABS(0.2-L2270*D2271/I2271)+ABS(0.2-M2270*E2271/I2271)+ABS(0.2-N2270*F2271/I2271)),0)</f>
        <v/>
      </c>
      <c r="Q2271">
        <f>P2271*0.0015</f>
        <v/>
      </c>
      <c r="R2271">
        <f>I2271*(1-Q2271)</f>
        <v/>
      </c>
      <c r="S2271">
        <f>R2271/R2270-1</f>
        <v/>
      </c>
      <c r="T2271">
        <f>MAX(T2270,R2271)</f>
        <v/>
      </c>
      <c r="U2271">
        <f>R2271/T2271-1</f>
        <v/>
      </c>
      <c r="V2271" t="n">
        <v>4.465255512148381</v>
      </c>
      <c r="W2271" s="5">
        <f>R2271-V2271</f>
        <v/>
      </c>
    </row>
    <row r="2272">
      <c r="A2272" s="3" t="n">
        <v>41778</v>
      </c>
      <c r="B2272">
        <f>Prices!B2272</f>
        <v/>
      </c>
      <c r="C2272">
        <f>Prices!C2272</f>
        <v/>
      </c>
      <c r="D2272">
        <f>Prices!D2272</f>
        <v/>
      </c>
      <c r="E2272">
        <f>Prices!E2272</f>
        <v/>
      </c>
      <c r="F2272">
        <f>Prices!F2272</f>
        <v/>
      </c>
      <c r="G2272">
        <f>IF(AND(2270&gt;=16,TEXT(A2272,"yyyy-mm")&lt;&gt;TEXT(A2273,"yyyy-mm")),1,0)</f>
        <v/>
      </c>
      <c r="H2272">
        <f>IF(OR(H2271=1,G2272=1),1,0)</f>
        <v/>
      </c>
      <c r="I2272">
        <f>IF(H2271=0,1,SUMPRODUCT(J2271:N2271,B2272:F2272)+O2271*(1+0.00023125256064071564))</f>
        <v/>
      </c>
      <c r="J2272">
        <f>IF(G2272=1,0.2*R2272/B2272,J2271)</f>
        <v/>
      </c>
      <c r="K2272">
        <f>IF(G2272=1,0.2*R2272/C2272,K2271)</f>
        <v/>
      </c>
      <c r="L2272">
        <f>IF(G2272=1,0.2*R2272/D2272,L2271)</f>
        <v/>
      </c>
      <c r="M2272">
        <f>IF(G2272=1,0.2*R2272/E2272,M2271)</f>
        <v/>
      </c>
      <c r="N2272">
        <f>IF(G2272=1,0.2*R2272/F2272,N2271)</f>
        <v/>
      </c>
      <c r="O2272">
        <f>IF(G2272=1,R2272*(1-1.0),IF(H2271=0,1,O2271*(1+0.00023125256064071564)))</f>
        <v/>
      </c>
      <c r="P2272">
        <f>IF(G2272=1,IF(H2271=0,1,ABS(0.2-J2271*B2272/I2272)+ABS(0.2-K2271*C2272/I2272)+ABS(0.2-L2271*D2272/I2272)+ABS(0.2-M2271*E2272/I2272)+ABS(0.2-N2271*F2272/I2272)),0)</f>
        <v/>
      </c>
      <c r="Q2272">
        <f>P2272*0.0015</f>
        <v/>
      </c>
      <c r="R2272">
        <f>I2272*(1-Q2272)</f>
        <v/>
      </c>
      <c r="S2272">
        <f>R2272/R2271-1</f>
        <v/>
      </c>
      <c r="T2272">
        <f>MAX(T2271,R2272)</f>
        <v/>
      </c>
      <c r="U2272">
        <f>R2272/T2272-1</f>
        <v/>
      </c>
      <c r="V2272" t="n">
        <v>4.529445136414876</v>
      </c>
      <c r="W2272" s="5">
        <f>R2272-V2272</f>
        <v/>
      </c>
    </row>
    <row r="2273">
      <c r="A2273" s="3" t="n">
        <v>41779</v>
      </c>
      <c r="B2273">
        <f>Prices!B2273</f>
        <v/>
      </c>
      <c r="C2273">
        <f>Prices!C2273</f>
        <v/>
      </c>
      <c r="D2273">
        <f>Prices!D2273</f>
        <v/>
      </c>
      <c r="E2273">
        <f>Prices!E2273</f>
        <v/>
      </c>
      <c r="F2273">
        <f>Prices!F2273</f>
        <v/>
      </c>
      <c r="G2273">
        <f>IF(AND(2271&gt;=16,TEXT(A2273,"yyyy-mm")&lt;&gt;TEXT(A2274,"yyyy-mm")),1,0)</f>
        <v/>
      </c>
      <c r="H2273">
        <f>IF(OR(H2272=1,G2273=1),1,0)</f>
        <v/>
      </c>
      <c r="I2273">
        <f>IF(H2272=0,1,SUMPRODUCT(J2272:N2272,B2273:F2273)+O2272*(1+0.00023125256064071564))</f>
        <v/>
      </c>
      <c r="J2273">
        <f>IF(G2273=1,0.2*R2273/B2273,J2272)</f>
        <v/>
      </c>
      <c r="K2273">
        <f>IF(G2273=1,0.2*R2273/C2273,K2272)</f>
        <v/>
      </c>
      <c r="L2273">
        <f>IF(G2273=1,0.2*R2273/D2273,L2272)</f>
        <v/>
      </c>
      <c r="M2273">
        <f>IF(G2273=1,0.2*R2273/E2273,M2272)</f>
        <v/>
      </c>
      <c r="N2273">
        <f>IF(G2273=1,0.2*R2273/F2273,N2272)</f>
        <v/>
      </c>
      <c r="O2273">
        <f>IF(G2273=1,R2273*(1-1.0),IF(H2272=0,1,O2272*(1+0.00023125256064071564)))</f>
        <v/>
      </c>
      <c r="P2273">
        <f>IF(G2273=1,IF(H2272=0,1,ABS(0.2-J2272*B2273/I2273)+ABS(0.2-K2272*C2273/I2273)+ABS(0.2-L2272*D2273/I2273)+ABS(0.2-M2272*E2273/I2273)+ABS(0.2-N2272*F2273/I2273)),0)</f>
        <v/>
      </c>
      <c r="Q2273">
        <f>P2273*0.0015</f>
        <v/>
      </c>
      <c r="R2273">
        <f>I2273*(1-Q2273)</f>
        <v/>
      </c>
      <c r="S2273">
        <f>R2273/R2272-1</f>
        <v/>
      </c>
      <c r="T2273">
        <f>MAX(T2272,R2273)</f>
        <v/>
      </c>
      <c r="U2273">
        <f>R2273/T2273-1</f>
        <v/>
      </c>
      <c r="V2273" t="n">
        <v>4.58835897473246</v>
      </c>
      <c r="W2273" s="5">
        <f>R2273-V2273</f>
        <v/>
      </c>
    </row>
    <row r="2274">
      <c r="A2274" s="3" t="n">
        <v>41780</v>
      </c>
      <c r="B2274">
        <f>Prices!B2274</f>
        <v/>
      </c>
      <c r="C2274">
        <f>Prices!C2274</f>
        <v/>
      </c>
      <c r="D2274">
        <f>Prices!D2274</f>
        <v/>
      </c>
      <c r="E2274">
        <f>Prices!E2274</f>
        <v/>
      </c>
      <c r="F2274">
        <f>Prices!F2274</f>
        <v/>
      </c>
      <c r="G2274">
        <f>IF(AND(2272&gt;=16,TEXT(A2274,"yyyy-mm")&lt;&gt;TEXT(A2275,"yyyy-mm")),1,0)</f>
        <v/>
      </c>
      <c r="H2274">
        <f>IF(OR(H2273=1,G2274=1),1,0)</f>
        <v/>
      </c>
      <c r="I2274">
        <f>IF(H2273=0,1,SUMPRODUCT(J2273:N2273,B2274:F2274)+O2273*(1+0.00023125256064071564))</f>
        <v/>
      </c>
      <c r="J2274">
        <f>IF(G2274=1,0.2*R2274/B2274,J2273)</f>
        <v/>
      </c>
      <c r="K2274">
        <f>IF(G2274=1,0.2*R2274/C2274,K2273)</f>
        <v/>
      </c>
      <c r="L2274">
        <f>IF(G2274=1,0.2*R2274/D2274,L2273)</f>
        <v/>
      </c>
      <c r="M2274">
        <f>IF(G2274=1,0.2*R2274/E2274,M2273)</f>
        <v/>
      </c>
      <c r="N2274">
        <f>IF(G2274=1,0.2*R2274/F2274,N2273)</f>
        <v/>
      </c>
      <c r="O2274">
        <f>IF(G2274=1,R2274*(1-1.0),IF(H2273=0,1,O2273*(1+0.00023125256064071564)))</f>
        <v/>
      </c>
      <c r="P2274">
        <f>IF(G2274=1,IF(H2273=0,1,ABS(0.2-J2273*B2274/I2274)+ABS(0.2-K2273*C2274/I2274)+ABS(0.2-L2273*D2274/I2274)+ABS(0.2-M2273*E2274/I2274)+ABS(0.2-N2273*F2274/I2274)),0)</f>
        <v/>
      </c>
      <c r="Q2274">
        <f>P2274*0.0015</f>
        <v/>
      </c>
      <c r="R2274">
        <f>I2274*(1-Q2274)</f>
        <v/>
      </c>
      <c r="S2274">
        <f>R2274/R2273-1</f>
        <v/>
      </c>
      <c r="T2274">
        <f>MAX(T2273,R2274)</f>
        <v/>
      </c>
      <c r="U2274">
        <f>R2274/T2274-1</f>
        <v/>
      </c>
      <c r="V2274" t="n">
        <v>4.62880567076009</v>
      </c>
      <c r="W2274" s="5">
        <f>R2274-V2274</f>
        <v/>
      </c>
    </row>
    <row r="2275">
      <c r="A2275" s="3" t="n">
        <v>41781</v>
      </c>
      <c r="B2275">
        <f>Prices!B2275</f>
        <v/>
      </c>
      <c r="C2275">
        <f>Prices!C2275</f>
        <v/>
      </c>
      <c r="D2275">
        <f>Prices!D2275</f>
        <v/>
      </c>
      <c r="E2275">
        <f>Prices!E2275</f>
        <v/>
      </c>
      <c r="F2275">
        <f>Prices!F2275</f>
        <v/>
      </c>
      <c r="G2275">
        <f>IF(AND(2273&gt;=16,TEXT(A2275,"yyyy-mm")&lt;&gt;TEXT(A2276,"yyyy-mm")),1,0)</f>
        <v/>
      </c>
      <c r="H2275">
        <f>IF(OR(H2274=1,G2275=1),1,0)</f>
        <v/>
      </c>
      <c r="I2275">
        <f>IF(H2274=0,1,SUMPRODUCT(J2274:N2274,B2275:F2275)+O2274*(1+0.00023125256064071564))</f>
        <v/>
      </c>
      <c r="J2275">
        <f>IF(G2275=1,0.2*R2275/B2275,J2274)</f>
        <v/>
      </c>
      <c r="K2275">
        <f>IF(G2275=1,0.2*R2275/C2275,K2274)</f>
        <v/>
      </c>
      <c r="L2275">
        <f>IF(G2275=1,0.2*R2275/D2275,L2274)</f>
        <v/>
      </c>
      <c r="M2275">
        <f>IF(G2275=1,0.2*R2275/E2275,M2274)</f>
        <v/>
      </c>
      <c r="N2275">
        <f>IF(G2275=1,0.2*R2275/F2275,N2274)</f>
        <v/>
      </c>
      <c r="O2275">
        <f>IF(G2275=1,R2275*(1-1.0),IF(H2274=0,1,O2274*(1+0.00023125256064071564)))</f>
        <v/>
      </c>
      <c r="P2275">
        <f>IF(G2275=1,IF(H2274=0,1,ABS(0.2-J2274*B2275/I2275)+ABS(0.2-K2274*C2275/I2275)+ABS(0.2-L2274*D2275/I2275)+ABS(0.2-M2274*E2275/I2275)+ABS(0.2-N2274*F2275/I2275)),0)</f>
        <v/>
      </c>
      <c r="Q2275">
        <f>P2275*0.0015</f>
        <v/>
      </c>
      <c r="R2275">
        <f>I2275*(1-Q2275)</f>
        <v/>
      </c>
      <c r="S2275">
        <f>R2275/R2274-1</f>
        <v/>
      </c>
      <c r="T2275">
        <f>MAX(T2274,R2275)</f>
        <v/>
      </c>
      <c r="U2275">
        <f>R2275/T2275-1</f>
        <v/>
      </c>
      <c r="V2275" t="n">
        <v>4.697617967383921</v>
      </c>
      <c r="W2275" s="5">
        <f>R2275-V2275</f>
        <v/>
      </c>
    </row>
    <row r="2276">
      <c r="A2276" s="3" t="n">
        <v>41782</v>
      </c>
      <c r="B2276">
        <f>Prices!B2276</f>
        <v/>
      </c>
      <c r="C2276">
        <f>Prices!C2276</f>
        <v/>
      </c>
      <c r="D2276">
        <f>Prices!D2276</f>
        <v/>
      </c>
      <c r="E2276">
        <f>Prices!E2276</f>
        <v/>
      </c>
      <c r="F2276">
        <f>Prices!F2276</f>
        <v/>
      </c>
      <c r="G2276">
        <f>IF(AND(2274&gt;=16,TEXT(A2276,"yyyy-mm")&lt;&gt;TEXT(A2277,"yyyy-mm")),1,0)</f>
        <v/>
      </c>
      <c r="H2276">
        <f>IF(OR(H2275=1,G2276=1),1,0)</f>
        <v/>
      </c>
      <c r="I2276">
        <f>IF(H2275=0,1,SUMPRODUCT(J2275:N2275,B2276:F2276)+O2275*(1+0.00023125256064071564))</f>
        <v/>
      </c>
      <c r="J2276">
        <f>IF(G2276=1,0.2*R2276/B2276,J2275)</f>
        <v/>
      </c>
      <c r="K2276">
        <f>IF(G2276=1,0.2*R2276/C2276,K2275)</f>
        <v/>
      </c>
      <c r="L2276">
        <f>IF(G2276=1,0.2*R2276/D2276,L2275)</f>
        <v/>
      </c>
      <c r="M2276">
        <f>IF(G2276=1,0.2*R2276/E2276,M2275)</f>
        <v/>
      </c>
      <c r="N2276">
        <f>IF(G2276=1,0.2*R2276/F2276,N2275)</f>
        <v/>
      </c>
      <c r="O2276">
        <f>IF(G2276=1,R2276*(1-1.0),IF(H2275=0,1,O2275*(1+0.00023125256064071564)))</f>
        <v/>
      </c>
      <c r="P2276">
        <f>IF(G2276=1,IF(H2275=0,1,ABS(0.2-J2275*B2276/I2276)+ABS(0.2-K2275*C2276/I2276)+ABS(0.2-L2275*D2276/I2276)+ABS(0.2-M2275*E2276/I2276)+ABS(0.2-N2275*F2276/I2276)),0)</f>
        <v/>
      </c>
      <c r="Q2276">
        <f>P2276*0.0015</f>
        <v/>
      </c>
      <c r="R2276">
        <f>I2276*(1-Q2276)</f>
        <v/>
      </c>
      <c r="S2276">
        <f>R2276/R2275-1</f>
        <v/>
      </c>
      <c r="T2276">
        <f>MAX(T2275,R2276)</f>
        <v/>
      </c>
      <c r="U2276">
        <f>R2276/T2276-1</f>
        <v/>
      </c>
      <c r="V2276" t="n">
        <v>4.761409290786012</v>
      </c>
      <c r="W2276" s="5">
        <f>R2276-V2276</f>
        <v/>
      </c>
    </row>
    <row r="2277">
      <c r="A2277" s="3" t="n">
        <v>41785</v>
      </c>
      <c r="B2277">
        <f>Prices!B2277</f>
        <v/>
      </c>
      <c r="C2277">
        <f>Prices!C2277</f>
        <v/>
      </c>
      <c r="D2277">
        <f>Prices!D2277</f>
        <v/>
      </c>
      <c r="E2277">
        <f>Prices!E2277</f>
        <v/>
      </c>
      <c r="F2277">
        <f>Prices!F2277</f>
        <v/>
      </c>
      <c r="G2277">
        <f>IF(AND(2275&gt;=16,TEXT(A2277,"yyyy-mm")&lt;&gt;TEXT(A2278,"yyyy-mm")),1,0)</f>
        <v/>
      </c>
      <c r="H2277">
        <f>IF(OR(H2276=1,G2277=1),1,0)</f>
        <v/>
      </c>
      <c r="I2277">
        <f>IF(H2276=0,1,SUMPRODUCT(J2276:N2276,B2277:F2277)+O2276*(1+0.00023125256064071564))</f>
        <v/>
      </c>
      <c r="J2277">
        <f>IF(G2277=1,0.2*R2277/B2277,J2276)</f>
        <v/>
      </c>
      <c r="K2277">
        <f>IF(G2277=1,0.2*R2277/C2277,K2276)</f>
        <v/>
      </c>
      <c r="L2277">
        <f>IF(G2277=1,0.2*R2277/D2277,L2276)</f>
        <v/>
      </c>
      <c r="M2277">
        <f>IF(G2277=1,0.2*R2277/E2277,M2276)</f>
        <v/>
      </c>
      <c r="N2277">
        <f>IF(G2277=1,0.2*R2277/F2277,N2276)</f>
        <v/>
      </c>
      <c r="O2277">
        <f>IF(G2277=1,R2277*(1-1.0),IF(H2276=0,1,O2276*(1+0.00023125256064071564)))</f>
        <v/>
      </c>
      <c r="P2277">
        <f>IF(G2277=1,IF(H2276=0,1,ABS(0.2-J2276*B2277/I2277)+ABS(0.2-K2276*C2277/I2277)+ABS(0.2-L2276*D2277/I2277)+ABS(0.2-M2276*E2277/I2277)+ABS(0.2-N2276*F2277/I2277)),0)</f>
        <v/>
      </c>
      <c r="Q2277">
        <f>P2277*0.0015</f>
        <v/>
      </c>
      <c r="R2277">
        <f>I2277*(1-Q2277)</f>
        <v/>
      </c>
      <c r="S2277">
        <f>R2277/R2276-1</f>
        <v/>
      </c>
      <c r="T2277">
        <f>MAX(T2276,R2277)</f>
        <v/>
      </c>
      <c r="U2277">
        <f>R2277/T2277-1</f>
        <v/>
      </c>
      <c r="V2277" t="n">
        <v>4.683921932932145</v>
      </c>
      <c r="W2277" s="5">
        <f>R2277-V2277</f>
        <v/>
      </c>
    </row>
    <row r="2278">
      <c r="A2278" s="3" t="n">
        <v>41786</v>
      </c>
      <c r="B2278">
        <f>Prices!B2278</f>
        <v/>
      </c>
      <c r="C2278">
        <f>Prices!C2278</f>
        <v/>
      </c>
      <c r="D2278">
        <f>Prices!D2278</f>
        <v/>
      </c>
      <c r="E2278">
        <f>Prices!E2278</f>
        <v/>
      </c>
      <c r="F2278">
        <f>Prices!F2278</f>
        <v/>
      </c>
      <c r="G2278">
        <f>IF(AND(2276&gt;=16,TEXT(A2278,"yyyy-mm")&lt;&gt;TEXT(A2279,"yyyy-mm")),1,0)</f>
        <v/>
      </c>
      <c r="H2278">
        <f>IF(OR(H2277=1,G2278=1),1,0)</f>
        <v/>
      </c>
      <c r="I2278">
        <f>IF(H2277=0,1,SUMPRODUCT(J2277:N2277,B2278:F2278)+O2277*(1+0.00023125256064071564))</f>
        <v/>
      </c>
      <c r="J2278">
        <f>IF(G2278=1,0.2*R2278/B2278,J2277)</f>
        <v/>
      </c>
      <c r="K2278">
        <f>IF(G2278=1,0.2*R2278/C2278,K2277)</f>
        <v/>
      </c>
      <c r="L2278">
        <f>IF(G2278=1,0.2*R2278/D2278,L2277)</f>
        <v/>
      </c>
      <c r="M2278">
        <f>IF(G2278=1,0.2*R2278/E2278,M2277)</f>
        <v/>
      </c>
      <c r="N2278">
        <f>IF(G2278=1,0.2*R2278/F2278,N2277)</f>
        <v/>
      </c>
      <c r="O2278">
        <f>IF(G2278=1,R2278*(1-1.0),IF(H2277=0,1,O2277*(1+0.00023125256064071564)))</f>
        <v/>
      </c>
      <c r="P2278">
        <f>IF(G2278=1,IF(H2277=0,1,ABS(0.2-J2277*B2278/I2278)+ABS(0.2-K2277*C2278/I2278)+ABS(0.2-L2277*D2278/I2278)+ABS(0.2-M2277*E2278/I2278)+ABS(0.2-N2277*F2278/I2278)),0)</f>
        <v/>
      </c>
      <c r="Q2278">
        <f>P2278*0.0015</f>
        <v/>
      </c>
      <c r="R2278">
        <f>I2278*(1-Q2278)</f>
        <v/>
      </c>
      <c r="S2278">
        <f>R2278/R2277-1</f>
        <v/>
      </c>
      <c r="T2278">
        <f>MAX(T2277,R2278)</f>
        <v/>
      </c>
      <c r="U2278">
        <f>R2278/T2278-1</f>
        <v/>
      </c>
      <c r="V2278" t="n">
        <v>4.677491149698866</v>
      </c>
      <c r="W2278" s="5">
        <f>R2278-V2278</f>
        <v/>
      </c>
    </row>
    <row r="2279">
      <c r="A2279" s="3" t="n">
        <v>41787</v>
      </c>
      <c r="B2279">
        <f>Prices!B2279</f>
        <v/>
      </c>
      <c r="C2279">
        <f>Prices!C2279</f>
        <v/>
      </c>
      <c r="D2279">
        <f>Prices!D2279</f>
        <v/>
      </c>
      <c r="E2279">
        <f>Prices!E2279</f>
        <v/>
      </c>
      <c r="F2279">
        <f>Prices!F2279</f>
        <v/>
      </c>
      <c r="G2279">
        <f>IF(AND(2277&gt;=16,TEXT(A2279,"yyyy-mm")&lt;&gt;TEXT(A2280,"yyyy-mm")),1,0)</f>
        <v/>
      </c>
      <c r="H2279">
        <f>IF(OR(H2278=1,G2279=1),1,0)</f>
        <v/>
      </c>
      <c r="I2279">
        <f>IF(H2278=0,1,SUMPRODUCT(J2278:N2278,B2279:F2279)+O2278*(1+0.00023125256064071564))</f>
        <v/>
      </c>
      <c r="J2279">
        <f>IF(G2279=1,0.2*R2279/B2279,J2278)</f>
        <v/>
      </c>
      <c r="K2279">
        <f>IF(G2279=1,0.2*R2279/C2279,K2278)</f>
        <v/>
      </c>
      <c r="L2279">
        <f>IF(G2279=1,0.2*R2279/D2279,L2278)</f>
        <v/>
      </c>
      <c r="M2279">
        <f>IF(G2279=1,0.2*R2279/E2279,M2278)</f>
        <v/>
      </c>
      <c r="N2279">
        <f>IF(G2279=1,0.2*R2279/F2279,N2278)</f>
        <v/>
      </c>
      <c r="O2279">
        <f>IF(G2279=1,R2279*(1-1.0),IF(H2278=0,1,O2278*(1+0.00023125256064071564)))</f>
        <v/>
      </c>
      <c r="P2279">
        <f>IF(G2279=1,IF(H2278=0,1,ABS(0.2-J2278*B2279/I2279)+ABS(0.2-K2278*C2279/I2279)+ABS(0.2-L2278*D2279/I2279)+ABS(0.2-M2278*E2279/I2279)+ABS(0.2-N2278*F2279/I2279)),0)</f>
        <v/>
      </c>
      <c r="Q2279">
        <f>P2279*0.0015</f>
        <v/>
      </c>
      <c r="R2279">
        <f>I2279*(1-Q2279)</f>
        <v/>
      </c>
      <c r="S2279">
        <f>R2279/R2278-1</f>
        <v/>
      </c>
      <c r="T2279">
        <f>MAX(T2278,R2279)</f>
        <v/>
      </c>
      <c r="U2279">
        <f>R2279/T2279-1</f>
        <v/>
      </c>
      <c r="V2279" t="n">
        <v>4.704100491017689</v>
      </c>
      <c r="W2279" s="5">
        <f>R2279-V2279</f>
        <v/>
      </c>
    </row>
    <row r="2280">
      <c r="A2280" s="3" t="n">
        <v>41788</v>
      </c>
      <c r="B2280">
        <f>Prices!B2280</f>
        <v/>
      </c>
      <c r="C2280">
        <f>Prices!C2280</f>
        <v/>
      </c>
      <c r="D2280">
        <f>Prices!D2280</f>
        <v/>
      </c>
      <c r="E2280">
        <f>Prices!E2280</f>
        <v/>
      </c>
      <c r="F2280">
        <f>Prices!F2280</f>
        <v/>
      </c>
      <c r="G2280">
        <f>IF(AND(2278&gt;=16,TEXT(A2280,"yyyy-mm")&lt;&gt;TEXT(A2281,"yyyy-mm")),1,0)</f>
        <v/>
      </c>
      <c r="H2280">
        <f>IF(OR(H2279=1,G2280=1),1,0)</f>
        <v/>
      </c>
      <c r="I2280">
        <f>IF(H2279=0,1,SUMPRODUCT(J2279:N2279,B2280:F2280)+O2279*(1+0.00023125256064071564))</f>
        <v/>
      </c>
      <c r="J2280">
        <f>IF(G2280=1,0.2*R2280/B2280,J2279)</f>
        <v/>
      </c>
      <c r="K2280">
        <f>IF(G2280=1,0.2*R2280/C2280,K2279)</f>
        <v/>
      </c>
      <c r="L2280">
        <f>IF(G2280=1,0.2*R2280/D2280,L2279)</f>
        <v/>
      </c>
      <c r="M2280">
        <f>IF(G2280=1,0.2*R2280/E2280,M2279)</f>
        <v/>
      </c>
      <c r="N2280">
        <f>IF(G2280=1,0.2*R2280/F2280,N2279)</f>
        <v/>
      </c>
      <c r="O2280">
        <f>IF(G2280=1,R2280*(1-1.0),IF(H2279=0,1,O2279*(1+0.00023125256064071564)))</f>
        <v/>
      </c>
      <c r="P2280">
        <f>IF(G2280=1,IF(H2279=0,1,ABS(0.2-J2279*B2280/I2280)+ABS(0.2-K2279*C2280/I2280)+ABS(0.2-L2279*D2280/I2280)+ABS(0.2-M2279*E2280/I2280)+ABS(0.2-N2279*F2280/I2280)),0)</f>
        <v/>
      </c>
      <c r="Q2280">
        <f>P2280*0.0015</f>
        <v/>
      </c>
      <c r="R2280">
        <f>I2280*(1-Q2280)</f>
        <v/>
      </c>
      <c r="S2280">
        <f>R2280/R2279-1</f>
        <v/>
      </c>
      <c r="T2280">
        <f>MAX(T2279,R2280)</f>
        <v/>
      </c>
      <c r="U2280">
        <f>R2280/T2280-1</f>
        <v/>
      </c>
      <c r="V2280" t="n">
        <v>4.681414535180889</v>
      </c>
      <c r="W2280" s="5">
        <f>R2280-V2280</f>
        <v/>
      </c>
    </row>
    <row r="2281">
      <c r="A2281" s="3" t="n">
        <v>41789</v>
      </c>
      <c r="B2281">
        <f>Prices!B2281</f>
        <v/>
      </c>
      <c r="C2281">
        <f>Prices!C2281</f>
        <v/>
      </c>
      <c r="D2281">
        <f>Prices!D2281</f>
        <v/>
      </c>
      <c r="E2281">
        <f>Prices!E2281</f>
        <v/>
      </c>
      <c r="F2281">
        <f>Prices!F2281</f>
        <v/>
      </c>
      <c r="G2281">
        <f>IF(AND(2279&gt;=16,TEXT(A2281,"yyyy-mm")&lt;&gt;TEXT(A2282,"yyyy-mm")),1,0)</f>
        <v/>
      </c>
      <c r="H2281">
        <f>IF(OR(H2280=1,G2281=1),1,0)</f>
        <v/>
      </c>
      <c r="I2281">
        <f>IF(H2280=0,1,SUMPRODUCT(J2280:N2280,B2281:F2281)+O2280*(1+0.00023125256064071564))</f>
        <v/>
      </c>
      <c r="J2281">
        <f>IF(G2281=1,0.2*R2281/B2281,J2280)</f>
        <v/>
      </c>
      <c r="K2281">
        <f>IF(G2281=1,0.2*R2281/C2281,K2280)</f>
        <v/>
      </c>
      <c r="L2281">
        <f>IF(G2281=1,0.2*R2281/D2281,L2280)</f>
        <v/>
      </c>
      <c r="M2281">
        <f>IF(G2281=1,0.2*R2281/E2281,M2280)</f>
        <v/>
      </c>
      <c r="N2281">
        <f>IF(G2281=1,0.2*R2281/F2281,N2280)</f>
        <v/>
      </c>
      <c r="O2281">
        <f>IF(G2281=1,R2281*(1-1.0),IF(H2280=0,1,O2280*(1+0.00023125256064071564)))</f>
        <v/>
      </c>
      <c r="P2281">
        <f>IF(G2281=1,IF(H2280=0,1,ABS(0.2-J2280*B2281/I2281)+ABS(0.2-K2280*C2281/I2281)+ABS(0.2-L2280*D2281/I2281)+ABS(0.2-M2280*E2281/I2281)+ABS(0.2-N2280*F2281/I2281)),0)</f>
        <v/>
      </c>
      <c r="Q2281">
        <f>P2281*0.0015</f>
        <v/>
      </c>
      <c r="R2281">
        <f>I2281*(1-Q2281)</f>
        <v/>
      </c>
      <c r="S2281">
        <f>R2281/R2280-1</f>
        <v/>
      </c>
      <c r="T2281">
        <f>MAX(T2280,R2281)</f>
        <v/>
      </c>
      <c r="U2281">
        <f>R2281/T2281-1</f>
        <v/>
      </c>
      <c r="V2281" t="n">
        <v>4.703606301724925</v>
      </c>
      <c r="W2281" s="5">
        <f>R2281-V2281</f>
        <v/>
      </c>
    </row>
    <row r="2282">
      <c r="A2282" s="3" t="n">
        <v>41792</v>
      </c>
      <c r="B2282">
        <f>Prices!B2282</f>
        <v/>
      </c>
      <c r="C2282">
        <f>Prices!C2282</f>
        <v/>
      </c>
      <c r="D2282">
        <f>Prices!D2282</f>
        <v/>
      </c>
      <c r="E2282">
        <f>Prices!E2282</f>
        <v/>
      </c>
      <c r="F2282">
        <f>Prices!F2282</f>
        <v/>
      </c>
      <c r="G2282">
        <f>IF(AND(2280&gt;=16,TEXT(A2282,"yyyy-mm")&lt;&gt;TEXT(A2283,"yyyy-mm")),1,0)</f>
        <v/>
      </c>
      <c r="H2282">
        <f>IF(OR(H2281=1,G2282=1),1,0)</f>
        <v/>
      </c>
      <c r="I2282">
        <f>IF(H2281=0,1,SUMPRODUCT(J2281:N2281,B2282:F2282)+O2281*(1+0.00023125256064071564))</f>
        <v/>
      </c>
      <c r="J2282">
        <f>IF(G2282=1,0.2*R2282/B2282,J2281)</f>
        <v/>
      </c>
      <c r="K2282">
        <f>IF(G2282=1,0.2*R2282/C2282,K2281)</f>
        <v/>
      </c>
      <c r="L2282">
        <f>IF(G2282=1,0.2*R2282/D2282,L2281)</f>
        <v/>
      </c>
      <c r="M2282">
        <f>IF(G2282=1,0.2*R2282/E2282,M2281)</f>
        <v/>
      </c>
      <c r="N2282">
        <f>IF(G2282=1,0.2*R2282/F2282,N2281)</f>
        <v/>
      </c>
      <c r="O2282">
        <f>IF(G2282=1,R2282*(1-1.0),IF(H2281=0,1,O2281*(1+0.00023125256064071564)))</f>
        <v/>
      </c>
      <c r="P2282">
        <f>IF(G2282=1,IF(H2281=0,1,ABS(0.2-J2281*B2282/I2282)+ABS(0.2-K2281*C2282/I2282)+ABS(0.2-L2281*D2282/I2282)+ABS(0.2-M2281*E2282/I2282)+ABS(0.2-N2281*F2282/I2282)),0)</f>
        <v/>
      </c>
      <c r="Q2282">
        <f>P2282*0.0015</f>
        <v/>
      </c>
      <c r="R2282">
        <f>I2282*(1-Q2282)</f>
        <v/>
      </c>
      <c r="S2282">
        <f>R2282/R2281-1</f>
        <v/>
      </c>
      <c r="T2282">
        <f>MAX(T2281,R2282)</f>
        <v/>
      </c>
      <c r="U2282">
        <f>R2282/T2282-1</f>
        <v/>
      </c>
      <c r="V2282" t="n">
        <v>4.767423486041212</v>
      </c>
      <c r="W2282" s="5">
        <f>R2282-V2282</f>
        <v/>
      </c>
    </row>
    <row r="2283">
      <c r="A2283" s="3" t="n">
        <v>41793</v>
      </c>
      <c r="B2283">
        <f>Prices!B2283</f>
        <v/>
      </c>
      <c r="C2283">
        <f>Prices!C2283</f>
        <v/>
      </c>
      <c r="D2283">
        <f>Prices!D2283</f>
        <v/>
      </c>
      <c r="E2283">
        <f>Prices!E2283</f>
        <v/>
      </c>
      <c r="F2283">
        <f>Prices!F2283</f>
        <v/>
      </c>
      <c r="G2283">
        <f>IF(AND(2281&gt;=16,TEXT(A2283,"yyyy-mm")&lt;&gt;TEXT(A2284,"yyyy-mm")),1,0)</f>
        <v/>
      </c>
      <c r="H2283">
        <f>IF(OR(H2282=1,G2283=1),1,0)</f>
        <v/>
      </c>
      <c r="I2283">
        <f>IF(H2282=0,1,SUMPRODUCT(J2282:N2282,B2283:F2283)+O2282*(1+0.00023125256064071564))</f>
        <v/>
      </c>
      <c r="J2283">
        <f>IF(G2283=1,0.2*R2283/B2283,J2282)</f>
        <v/>
      </c>
      <c r="K2283">
        <f>IF(G2283=1,0.2*R2283/C2283,K2282)</f>
        <v/>
      </c>
      <c r="L2283">
        <f>IF(G2283=1,0.2*R2283/D2283,L2282)</f>
        <v/>
      </c>
      <c r="M2283">
        <f>IF(G2283=1,0.2*R2283/E2283,M2282)</f>
        <v/>
      </c>
      <c r="N2283">
        <f>IF(G2283=1,0.2*R2283/F2283,N2282)</f>
        <v/>
      </c>
      <c r="O2283">
        <f>IF(G2283=1,R2283*(1-1.0),IF(H2282=0,1,O2282*(1+0.00023125256064071564)))</f>
        <v/>
      </c>
      <c r="P2283">
        <f>IF(G2283=1,IF(H2282=0,1,ABS(0.2-J2282*B2283/I2283)+ABS(0.2-K2282*C2283/I2283)+ABS(0.2-L2282*D2283/I2283)+ABS(0.2-M2282*E2283/I2283)+ABS(0.2-N2282*F2283/I2283)),0)</f>
        <v/>
      </c>
      <c r="Q2283">
        <f>P2283*0.0015</f>
        <v/>
      </c>
      <c r="R2283">
        <f>I2283*(1-Q2283)</f>
        <v/>
      </c>
      <c r="S2283">
        <f>R2283/R2282-1</f>
        <v/>
      </c>
      <c r="T2283">
        <f>MAX(T2282,R2283)</f>
        <v/>
      </c>
      <c r="U2283">
        <f>R2283/T2283-1</f>
        <v/>
      </c>
      <c r="V2283" t="n">
        <v>4.801198594518806</v>
      </c>
      <c r="W2283" s="5">
        <f>R2283-V2283</f>
        <v/>
      </c>
    </row>
    <row r="2284">
      <c r="A2284" s="3" t="n">
        <v>41794</v>
      </c>
      <c r="B2284">
        <f>Prices!B2284</f>
        <v/>
      </c>
      <c r="C2284">
        <f>Prices!C2284</f>
        <v/>
      </c>
      <c r="D2284">
        <f>Prices!D2284</f>
        <v/>
      </c>
      <c r="E2284">
        <f>Prices!E2284</f>
        <v/>
      </c>
      <c r="F2284">
        <f>Prices!F2284</f>
        <v/>
      </c>
      <c r="G2284">
        <f>IF(AND(2282&gt;=16,TEXT(A2284,"yyyy-mm")&lt;&gt;TEXT(A2285,"yyyy-mm")),1,0)</f>
        <v/>
      </c>
      <c r="H2284">
        <f>IF(OR(H2283=1,G2284=1),1,0)</f>
        <v/>
      </c>
      <c r="I2284">
        <f>IF(H2283=0,1,SUMPRODUCT(J2283:N2283,B2284:F2284)+O2283*(1+0.00023125256064071564))</f>
        <v/>
      </c>
      <c r="J2284">
        <f>IF(G2284=1,0.2*R2284/B2284,J2283)</f>
        <v/>
      </c>
      <c r="K2284">
        <f>IF(G2284=1,0.2*R2284/C2284,K2283)</f>
        <v/>
      </c>
      <c r="L2284">
        <f>IF(G2284=1,0.2*R2284/D2284,L2283)</f>
        <v/>
      </c>
      <c r="M2284">
        <f>IF(G2284=1,0.2*R2284/E2284,M2283)</f>
        <v/>
      </c>
      <c r="N2284">
        <f>IF(G2284=1,0.2*R2284/F2284,N2283)</f>
        <v/>
      </c>
      <c r="O2284">
        <f>IF(G2284=1,R2284*(1-1.0),IF(H2283=0,1,O2283*(1+0.00023125256064071564)))</f>
        <v/>
      </c>
      <c r="P2284">
        <f>IF(G2284=1,IF(H2283=0,1,ABS(0.2-J2283*B2284/I2284)+ABS(0.2-K2283*C2284/I2284)+ABS(0.2-L2283*D2284/I2284)+ABS(0.2-M2283*E2284/I2284)+ABS(0.2-N2283*F2284/I2284)),0)</f>
        <v/>
      </c>
      <c r="Q2284">
        <f>P2284*0.0015</f>
        <v/>
      </c>
      <c r="R2284">
        <f>I2284*(1-Q2284)</f>
        <v/>
      </c>
      <c r="S2284">
        <f>R2284/R2283-1</f>
        <v/>
      </c>
      <c r="T2284">
        <f>MAX(T2283,R2284)</f>
        <v/>
      </c>
      <c r="U2284">
        <f>R2284/T2284-1</f>
        <v/>
      </c>
      <c r="V2284" t="n">
        <v>4.84346777715908</v>
      </c>
      <c r="W2284" s="5">
        <f>R2284-V2284</f>
        <v/>
      </c>
    </row>
    <row r="2285">
      <c r="A2285" s="3" t="n">
        <v>41795</v>
      </c>
      <c r="B2285">
        <f>Prices!B2285</f>
        <v/>
      </c>
      <c r="C2285">
        <f>Prices!C2285</f>
        <v/>
      </c>
      <c r="D2285">
        <f>Prices!D2285</f>
        <v/>
      </c>
      <c r="E2285">
        <f>Prices!E2285</f>
        <v/>
      </c>
      <c r="F2285">
        <f>Prices!F2285</f>
        <v/>
      </c>
      <c r="G2285">
        <f>IF(AND(2283&gt;=16,TEXT(A2285,"yyyy-mm")&lt;&gt;TEXT(A2286,"yyyy-mm")),1,0)</f>
        <v/>
      </c>
      <c r="H2285">
        <f>IF(OR(H2284=1,G2285=1),1,0)</f>
        <v/>
      </c>
      <c r="I2285">
        <f>IF(H2284=0,1,SUMPRODUCT(J2284:N2284,B2285:F2285)+O2284*(1+0.00023125256064071564))</f>
        <v/>
      </c>
      <c r="J2285">
        <f>IF(G2285=1,0.2*R2285/B2285,J2284)</f>
        <v/>
      </c>
      <c r="K2285">
        <f>IF(G2285=1,0.2*R2285/C2285,K2284)</f>
        <v/>
      </c>
      <c r="L2285">
        <f>IF(G2285=1,0.2*R2285/D2285,L2284)</f>
        <v/>
      </c>
      <c r="M2285">
        <f>IF(G2285=1,0.2*R2285/E2285,M2284)</f>
        <v/>
      </c>
      <c r="N2285">
        <f>IF(G2285=1,0.2*R2285/F2285,N2284)</f>
        <v/>
      </c>
      <c r="O2285">
        <f>IF(G2285=1,R2285*(1-1.0),IF(H2284=0,1,O2284*(1+0.00023125256064071564)))</f>
        <v/>
      </c>
      <c r="P2285">
        <f>IF(G2285=1,IF(H2284=0,1,ABS(0.2-J2284*B2285/I2285)+ABS(0.2-K2284*C2285/I2285)+ABS(0.2-L2284*D2285/I2285)+ABS(0.2-M2284*E2285/I2285)+ABS(0.2-N2284*F2285/I2285)),0)</f>
        <v/>
      </c>
      <c r="Q2285">
        <f>P2285*0.0015</f>
        <v/>
      </c>
      <c r="R2285">
        <f>I2285*(1-Q2285)</f>
        <v/>
      </c>
      <c r="S2285">
        <f>R2285/R2284-1</f>
        <v/>
      </c>
      <c r="T2285">
        <f>MAX(T2284,R2285)</f>
        <v/>
      </c>
      <c r="U2285">
        <f>R2285/T2285-1</f>
        <v/>
      </c>
      <c r="V2285" t="n">
        <v>4.898317641184855</v>
      </c>
      <c r="W2285" s="5">
        <f>R2285-V2285</f>
        <v/>
      </c>
    </row>
    <row r="2286">
      <c r="A2286" s="3" t="n">
        <v>41796</v>
      </c>
      <c r="B2286">
        <f>Prices!B2286</f>
        <v/>
      </c>
      <c r="C2286">
        <f>Prices!C2286</f>
        <v/>
      </c>
      <c r="D2286">
        <f>Prices!D2286</f>
        <v/>
      </c>
      <c r="E2286">
        <f>Prices!E2286</f>
        <v/>
      </c>
      <c r="F2286">
        <f>Prices!F2286</f>
        <v/>
      </c>
      <c r="G2286">
        <f>IF(AND(2284&gt;=16,TEXT(A2286,"yyyy-mm")&lt;&gt;TEXT(A2287,"yyyy-mm")),1,0)</f>
        <v/>
      </c>
      <c r="H2286">
        <f>IF(OR(H2285=1,G2286=1),1,0)</f>
        <v/>
      </c>
      <c r="I2286">
        <f>IF(H2285=0,1,SUMPRODUCT(J2285:N2285,B2286:F2286)+O2285*(1+0.00023125256064071564))</f>
        <v/>
      </c>
      <c r="J2286">
        <f>IF(G2286=1,0.2*R2286/B2286,J2285)</f>
        <v/>
      </c>
      <c r="K2286">
        <f>IF(G2286=1,0.2*R2286/C2286,K2285)</f>
        <v/>
      </c>
      <c r="L2286">
        <f>IF(G2286=1,0.2*R2286/D2286,L2285)</f>
        <v/>
      </c>
      <c r="M2286">
        <f>IF(G2286=1,0.2*R2286/E2286,M2285)</f>
        <v/>
      </c>
      <c r="N2286">
        <f>IF(G2286=1,0.2*R2286/F2286,N2285)</f>
        <v/>
      </c>
      <c r="O2286">
        <f>IF(G2286=1,R2286*(1-1.0),IF(H2285=0,1,O2285*(1+0.00023125256064071564)))</f>
        <v/>
      </c>
      <c r="P2286">
        <f>IF(G2286=1,IF(H2285=0,1,ABS(0.2-J2285*B2286/I2286)+ABS(0.2-K2285*C2286/I2286)+ABS(0.2-L2285*D2286/I2286)+ABS(0.2-M2285*E2286/I2286)+ABS(0.2-N2285*F2286/I2286)),0)</f>
        <v/>
      </c>
      <c r="Q2286">
        <f>P2286*0.0015</f>
        <v/>
      </c>
      <c r="R2286">
        <f>I2286*(1-Q2286)</f>
        <v/>
      </c>
      <c r="S2286">
        <f>R2286/R2285-1</f>
        <v/>
      </c>
      <c r="T2286">
        <f>MAX(T2285,R2286)</f>
        <v/>
      </c>
      <c r="U2286">
        <f>R2286/T2286-1</f>
        <v/>
      </c>
      <c r="V2286" t="n">
        <v>4.974428898412561</v>
      </c>
      <c r="W2286" s="5">
        <f>R2286-V2286</f>
        <v/>
      </c>
    </row>
    <row r="2287">
      <c r="A2287" s="3" t="n">
        <v>41799</v>
      </c>
      <c r="B2287">
        <f>Prices!B2287</f>
        <v/>
      </c>
      <c r="C2287">
        <f>Prices!C2287</f>
        <v/>
      </c>
      <c r="D2287">
        <f>Prices!D2287</f>
        <v/>
      </c>
      <c r="E2287">
        <f>Prices!E2287</f>
        <v/>
      </c>
      <c r="F2287">
        <f>Prices!F2287</f>
        <v/>
      </c>
      <c r="G2287">
        <f>IF(AND(2285&gt;=16,TEXT(A2287,"yyyy-mm")&lt;&gt;TEXT(A2288,"yyyy-mm")),1,0)</f>
        <v/>
      </c>
      <c r="H2287">
        <f>IF(OR(H2286=1,G2287=1),1,0)</f>
        <v/>
      </c>
      <c r="I2287">
        <f>IF(H2286=0,1,SUMPRODUCT(J2286:N2286,B2287:F2287)+O2286*(1+0.00023125256064071564))</f>
        <v/>
      </c>
      <c r="J2287">
        <f>IF(G2287=1,0.2*R2287/B2287,J2286)</f>
        <v/>
      </c>
      <c r="K2287">
        <f>IF(G2287=1,0.2*R2287/C2287,K2286)</f>
        <v/>
      </c>
      <c r="L2287">
        <f>IF(G2287=1,0.2*R2287/D2287,L2286)</f>
        <v/>
      </c>
      <c r="M2287">
        <f>IF(G2287=1,0.2*R2287/E2287,M2286)</f>
        <v/>
      </c>
      <c r="N2287">
        <f>IF(G2287=1,0.2*R2287/F2287,N2286)</f>
        <v/>
      </c>
      <c r="O2287">
        <f>IF(G2287=1,R2287*(1-1.0),IF(H2286=0,1,O2286*(1+0.00023125256064071564)))</f>
        <v/>
      </c>
      <c r="P2287">
        <f>IF(G2287=1,IF(H2286=0,1,ABS(0.2-J2286*B2287/I2287)+ABS(0.2-K2286*C2287/I2287)+ABS(0.2-L2286*D2287/I2287)+ABS(0.2-M2286*E2287/I2287)+ABS(0.2-N2286*F2287/I2287)),0)</f>
        <v/>
      </c>
      <c r="Q2287">
        <f>P2287*0.0015</f>
        <v/>
      </c>
      <c r="R2287">
        <f>I2287*(1-Q2287)</f>
        <v/>
      </c>
      <c r="S2287">
        <f>R2287/R2286-1</f>
        <v/>
      </c>
      <c r="T2287">
        <f>MAX(T2286,R2287)</f>
        <v/>
      </c>
      <c r="U2287">
        <f>R2287/T2287-1</f>
        <v/>
      </c>
      <c r="V2287" t="n">
        <v>5.044713871579428</v>
      </c>
      <c r="W2287" s="5">
        <f>R2287-V2287</f>
        <v/>
      </c>
    </row>
    <row r="2288">
      <c r="A2288" s="3" t="n">
        <v>41800</v>
      </c>
      <c r="B2288">
        <f>Prices!B2288</f>
        <v/>
      </c>
      <c r="C2288">
        <f>Prices!C2288</f>
        <v/>
      </c>
      <c r="D2288">
        <f>Prices!D2288</f>
        <v/>
      </c>
      <c r="E2288">
        <f>Prices!E2288</f>
        <v/>
      </c>
      <c r="F2288">
        <f>Prices!F2288</f>
        <v/>
      </c>
      <c r="G2288">
        <f>IF(AND(2286&gt;=16,TEXT(A2288,"yyyy-mm")&lt;&gt;TEXT(A2289,"yyyy-mm")),1,0)</f>
        <v/>
      </c>
      <c r="H2288">
        <f>IF(OR(H2287=1,G2288=1),1,0)</f>
        <v/>
      </c>
      <c r="I2288">
        <f>IF(H2287=0,1,SUMPRODUCT(J2287:N2287,B2288:F2288)+O2287*(1+0.00023125256064071564))</f>
        <v/>
      </c>
      <c r="J2288">
        <f>IF(G2288=1,0.2*R2288/B2288,J2287)</f>
        <v/>
      </c>
      <c r="K2288">
        <f>IF(G2288=1,0.2*R2288/C2288,K2287)</f>
        <v/>
      </c>
      <c r="L2288">
        <f>IF(G2288=1,0.2*R2288/D2288,L2287)</f>
        <v/>
      </c>
      <c r="M2288">
        <f>IF(G2288=1,0.2*R2288/E2288,M2287)</f>
        <v/>
      </c>
      <c r="N2288">
        <f>IF(G2288=1,0.2*R2288/F2288,N2287)</f>
        <v/>
      </c>
      <c r="O2288">
        <f>IF(G2288=1,R2288*(1-1.0),IF(H2287=0,1,O2287*(1+0.00023125256064071564)))</f>
        <v/>
      </c>
      <c r="P2288">
        <f>IF(G2288=1,IF(H2287=0,1,ABS(0.2-J2287*B2288/I2288)+ABS(0.2-K2287*C2288/I2288)+ABS(0.2-L2287*D2288/I2288)+ABS(0.2-M2287*E2288/I2288)+ABS(0.2-N2287*F2288/I2288)),0)</f>
        <v/>
      </c>
      <c r="Q2288">
        <f>P2288*0.0015</f>
        <v/>
      </c>
      <c r="R2288">
        <f>I2288*(1-Q2288)</f>
        <v/>
      </c>
      <c r="S2288">
        <f>R2288/R2287-1</f>
        <v/>
      </c>
      <c r="T2288">
        <f>MAX(T2287,R2288)</f>
        <v/>
      </c>
      <c r="U2288">
        <f>R2288/T2288-1</f>
        <v/>
      </c>
      <c r="V2288" t="n">
        <v>5.049510454574088</v>
      </c>
      <c r="W2288" s="5">
        <f>R2288-V2288</f>
        <v/>
      </c>
    </row>
    <row r="2289">
      <c r="A2289" s="3" t="n">
        <v>41801</v>
      </c>
      <c r="B2289">
        <f>Prices!B2289</f>
        <v/>
      </c>
      <c r="C2289">
        <f>Prices!C2289</f>
        <v/>
      </c>
      <c r="D2289">
        <f>Prices!D2289</f>
        <v/>
      </c>
      <c r="E2289">
        <f>Prices!E2289</f>
        <v/>
      </c>
      <c r="F2289">
        <f>Prices!F2289</f>
        <v/>
      </c>
      <c r="G2289">
        <f>IF(AND(2287&gt;=16,TEXT(A2289,"yyyy-mm")&lt;&gt;TEXT(A2290,"yyyy-mm")),1,0)</f>
        <v/>
      </c>
      <c r="H2289">
        <f>IF(OR(H2288=1,G2289=1),1,0)</f>
        <v/>
      </c>
      <c r="I2289">
        <f>IF(H2288=0,1,SUMPRODUCT(J2288:N2288,B2289:F2289)+O2288*(1+0.00023125256064071564))</f>
        <v/>
      </c>
      <c r="J2289">
        <f>IF(G2289=1,0.2*R2289/B2289,J2288)</f>
        <v/>
      </c>
      <c r="K2289">
        <f>IF(G2289=1,0.2*R2289/C2289,K2288)</f>
        <v/>
      </c>
      <c r="L2289">
        <f>IF(G2289=1,0.2*R2289/D2289,L2288)</f>
        <v/>
      </c>
      <c r="M2289">
        <f>IF(G2289=1,0.2*R2289/E2289,M2288)</f>
        <v/>
      </c>
      <c r="N2289">
        <f>IF(G2289=1,0.2*R2289/F2289,N2288)</f>
        <v/>
      </c>
      <c r="O2289">
        <f>IF(G2289=1,R2289*(1-1.0),IF(H2288=0,1,O2288*(1+0.00023125256064071564)))</f>
        <v/>
      </c>
      <c r="P2289">
        <f>IF(G2289=1,IF(H2288=0,1,ABS(0.2-J2288*B2289/I2289)+ABS(0.2-K2288*C2289/I2289)+ABS(0.2-L2288*D2289/I2289)+ABS(0.2-M2288*E2289/I2289)+ABS(0.2-N2288*F2289/I2289)),0)</f>
        <v/>
      </c>
      <c r="Q2289">
        <f>P2289*0.0015</f>
        <v/>
      </c>
      <c r="R2289">
        <f>I2289*(1-Q2289)</f>
        <v/>
      </c>
      <c r="S2289">
        <f>R2289/R2288-1</f>
        <v/>
      </c>
      <c r="T2289">
        <f>MAX(T2288,R2289)</f>
        <v/>
      </c>
      <c r="U2289">
        <f>R2289/T2289-1</f>
        <v/>
      </c>
      <c r="V2289" t="n">
        <v>5.030269716031986</v>
      </c>
      <c r="W2289" s="5">
        <f>R2289-V2289</f>
        <v/>
      </c>
    </row>
    <row r="2290">
      <c r="A2290" s="3" t="n">
        <v>41802</v>
      </c>
      <c r="B2290">
        <f>Prices!B2290</f>
        <v/>
      </c>
      <c r="C2290">
        <f>Prices!C2290</f>
        <v/>
      </c>
      <c r="D2290">
        <f>Prices!D2290</f>
        <v/>
      </c>
      <c r="E2290">
        <f>Prices!E2290</f>
        <v/>
      </c>
      <c r="F2290">
        <f>Prices!F2290</f>
        <v/>
      </c>
      <c r="G2290">
        <f>IF(AND(2288&gt;=16,TEXT(A2290,"yyyy-mm")&lt;&gt;TEXT(A2291,"yyyy-mm")),1,0)</f>
        <v/>
      </c>
      <c r="H2290">
        <f>IF(OR(H2289=1,G2290=1),1,0)</f>
        <v/>
      </c>
      <c r="I2290">
        <f>IF(H2289=0,1,SUMPRODUCT(J2289:N2289,B2290:F2290)+O2289*(1+0.00023125256064071564))</f>
        <v/>
      </c>
      <c r="J2290">
        <f>IF(G2290=1,0.2*R2290/B2290,J2289)</f>
        <v/>
      </c>
      <c r="K2290">
        <f>IF(G2290=1,0.2*R2290/C2290,K2289)</f>
        <v/>
      </c>
      <c r="L2290">
        <f>IF(G2290=1,0.2*R2290/D2290,L2289)</f>
        <v/>
      </c>
      <c r="M2290">
        <f>IF(G2290=1,0.2*R2290/E2290,M2289)</f>
        <v/>
      </c>
      <c r="N2290">
        <f>IF(G2290=1,0.2*R2290/F2290,N2289)</f>
        <v/>
      </c>
      <c r="O2290">
        <f>IF(G2290=1,R2290*(1-1.0),IF(H2289=0,1,O2289*(1+0.00023125256064071564)))</f>
        <v/>
      </c>
      <c r="P2290">
        <f>IF(G2290=1,IF(H2289=0,1,ABS(0.2-J2289*B2290/I2290)+ABS(0.2-K2289*C2290/I2290)+ABS(0.2-L2289*D2290/I2290)+ABS(0.2-M2289*E2290/I2290)+ABS(0.2-N2289*F2290/I2290)),0)</f>
        <v/>
      </c>
      <c r="Q2290">
        <f>P2290*0.0015</f>
        <v/>
      </c>
      <c r="R2290">
        <f>I2290*(1-Q2290)</f>
        <v/>
      </c>
      <c r="S2290">
        <f>R2290/R2289-1</f>
        <v/>
      </c>
      <c r="T2290">
        <f>MAX(T2289,R2290)</f>
        <v/>
      </c>
      <c r="U2290">
        <f>R2290/T2290-1</f>
        <v/>
      </c>
      <c r="V2290" t="n">
        <v>5.049026731225197</v>
      </c>
      <c r="W2290" s="5">
        <f>R2290-V2290</f>
        <v/>
      </c>
    </row>
    <row r="2291">
      <c r="A2291" s="3" t="n">
        <v>41803</v>
      </c>
      <c r="B2291">
        <f>Prices!B2291</f>
        <v/>
      </c>
      <c r="C2291">
        <f>Prices!C2291</f>
        <v/>
      </c>
      <c r="D2291">
        <f>Prices!D2291</f>
        <v/>
      </c>
      <c r="E2291">
        <f>Prices!E2291</f>
        <v/>
      </c>
      <c r="F2291">
        <f>Prices!F2291</f>
        <v/>
      </c>
      <c r="G2291">
        <f>IF(AND(2289&gt;=16,TEXT(A2291,"yyyy-mm")&lt;&gt;TEXT(A2292,"yyyy-mm")),1,0)</f>
        <v/>
      </c>
      <c r="H2291">
        <f>IF(OR(H2290=1,G2291=1),1,0)</f>
        <v/>
      </c>
      <c r="I2291">
        <f>IF(H2290=0,1,SUMPRODUCT(J2290:N2290,B2291:F2291)+O2290*(1+0.00023125256064071564))</f>
        <v/>
      </c>
      <c r="J2291">
        <f>IF(G2291=1,0.2*R2291/B2291,J2290)</f>
        <v/>
      </c>
      <c r="K2291">
        <f>IF(G2291=1,0.2*R2291/C2291,K2290)</f>
        <v/>
      </c>
      <c r="L2291">
        <f>IF(G2291=1,0.2*R2291/D2291,L2290)</f>
        <v/>
      </c>
      <c r="M2291">
        <f>IF(G2291=1,0.2*R2291/E2291,M2290)</f>
        <v/>
      </c>
      <c r="N2291">
        <f>IF(G2291=1,0.2*R2291/F2291,N2290)</f>
        <v/>
      </c>
      <c r="O2291">
        <f>IF(G2291=1,R2291*(1-1.0),IF(H2290=0,1,O2290*(1+0.00023125256064071564)))</f>
        <v/>
      </c>
      <c r="P2291">
        <f>IF(G2291=1,IF(H2290=0,1,ABS(0.2-J2290*B2291/I2291)+ABS(0.2-K2290*C2291/I2291)+ABS(0.2-L2290*D2291/I2291)+ABS(0.2-M2290*E2291/I2291)+ABS(0.2-N2290*F2291/I2291)),0)</f>
        <v/>
      </c>
      <c r="Q2291">
        <f>P2291*0.0015</f>
        <v/>
      </c>
      <c r="R2291">
        <f>I2291*(1-Q2291)</f>
        <v/>
      </c>
      <c r="S2291">
        <f>R2291/R2290-1</f>
        <v/>
      </c>
      <c r="T2291">
        <f>MAX(T2290,R2291)</f>
        <v/>
      </c>
      <c r="U2291">
        <f>R2291/T2291-1</f>
        <v/>
      </c>
      <c r="V2291" t="n">
        <v>4.963276596486532</v>
      </c>
      <c r="W2291" s="5">
        <f>R2291-V2291</f>
        <v/>
      </c>
    </row>
    <row r="2292">
      <c r="A2292" s="3" t="n">
        <v>41806</v>
      </c>
      <c r="B2292">
        <f>Prices!B2292</f>
        <v/>
      </c>
      <c r="C2292">
        <f>Prices!C2292</f>
        <v/>
      </c>
      <c r="D2292">
        <f>Prices!D2292</f>
        <v/>
      </c>
      <c r="E2292">
        <f>Prices!E2292</f>
        <v/>
      </c>
      <c r="F2292">
        <f>Prices!F2292</f>
        <v/>
      </c>
      <c r="G2292">
        <f>IF(AND(2290&gt;=16,TEXT(A2292,"yyyy-mm")&lt;&gt;TEXT(A2293,"yyyy-mm")),1,0)</f>
        <v/>
      </c>
      <c r="H2292">
        <f>IF(OR(H2291=1,G2292=1),1,0)</f>
        <v/>
      </c>
      <c r="I2292">
        <f>IF(H2291=0,1,SUMPRODUCT(J2291:N2291,B2292:F2292)+O2291*(1+0.00023125256064071564))</f>
        <v/>
      </c>
      <c r="J2292">
        <f>IF(G2292=1,0.2*R2292/B2292,J2291)</f>
        <v/>
      </c>
      <c r="K2292">
        <f>IF(G2292=1,0.2*R2292/C2292,K2291)</f>
        <v/>
      </c>
      <c r="L2292">
        <f>IF(G2292=1,0.2*R2292/D2292,L2291)</f>
        <v/>
      </c>
      <c r="M2292">
        <f>IF(G2292=1,0.2*R2292/E2292,M2291)</f>
        <v/>
      </c>
      <c r="N2292">
        <f>IF(G2292=1,0.2*R2292/F2292,N2291)</f>
        <v/>
      </c>
      <c r="O2292">
        <f>IF(G2292=1,R2292*(1-1.0),IF(H2291=0,1,O2291*(1+0.00023125256064071564)))</f>
        <v/>
      </c>
      <c r="P2292">
        <f>IF(G2292=1,IF(H2291=0,1,ABS(0.2-J2291*B2292/I2292)+ABS(0.2-K2291*C2292/I2292)+ABS(0.2-L2291*D2292/I2292)+ABS(0.2-M2291*E2292/I2292)+ABS(0.2-N2291*F2292/I2292)),0)</f>
        <v/>
      </c>
      <c r="Q2292">
        <f>P2292*0.0015</f>
        <v/>
      </c>
      <c r="R2292">
        <f>I2292*(1-Q2292)</f>
        <v/>
      </c>
      <c r="S2292">
        <f>R2292/R2291-1</f>
        <v/>
      </c>
      <c r="T2292">
        <f>MAX(T2291,R2292)</f>
        <v/>
      </c>
      <c r="U2292">
        <f>R2292/T2292-1</f>
        <v/>
      </c>
      <c r="V2292" t="n">
        <v>4.98664531033948</v>
      </c>
      <c r="W2292" s="5">
        <f>R2292-V2292</f>
        <v/>
      </c>
    </row>
    <row r="2293">
      <c r="A2293" s="3" t="n">
        <v>41807</v>
      </c>
      <c r="B2293">
        <f>Prices!B2293</f>
        <v/>
      </c>
      <c r="C2293">
        <f>Prices!C2293</f>
        <v/>
      </c>
      <c r="D2293">
        <f>Prices!D2293</f>
        <v/>
      </c>
      <c r="E2293">
        <f>Prices!E2293</f>
        <v/>
      </c>
      <c r="F2293">
        <f>Prices!F2293</f>
        <v/>
      </c>
      <c r="G2293">
        <f>IF(AND(2291&gt;=16,TEXT(A2293,"yyyy-mm")&lt;&gt;TEXT(A2294,"yyyy-mm")),1,0)</f>
        <v/>
      </c>
      <c r="H2293">
        <f>IF(OR(H2292=1,G2293=1),1,0)</f>
        <v/>
      </c>
      <c r="I2293">
        <f>IF(H2292=0,1,SUMPRODUCT(J2292:N2292,B2293:F2293)+O2292*(1+0.00023125256064071564))</f>
        <v/>
      </c>
      <c r="J2293">
        <f>IF(G2293=1,0.2*R2293/B2293,J2292)</f>
        <v/>
      </c>
      <c r="K2293">
        <f>IF(G2293=1,0.2*R2293/C2293,K2292)</f>
        <v/>
      </c>
      <c r="L2293">
        <f>IF(G2293=1,0.2*R2293/D2293,L2292)</f>
        <v/>
      </c>
      <c r="M2293">
        <f>IF(G2293=1,0.2*R2293/E2293,M2292)</f>
        <v/>
      </c>
      <c r="N2293">
        <f>IF(G2293=1,0.2*R2293/F2293,N2292)</f>
        <v/>
      </c>
      <c r="O2293">
        <f>IF(G2293=1,R2293*(1-1.0),IF(H2292=0,1,O2292*(1+0.00023125256064071564)))</f>
        <v/>
      </c>
      <c r="P2293">
        <f>IF(G2293=1,IF(H2292=0,1,ABS(0.2-J2292*B2293/I2293)+ABS(0.2-K2292*C2293/I2293)+ABS(0.2-L2292*D2293/I2293)+ABS(0.2-M2292*E2293/I2293)+ABS(0.2-N2292*F2293/I2293)),0)</f>
        <v/>
      </c>
      <c r="Q2293">
        <f>P2293*0.0015</f>
        <v/>
      </c>
      <c r="R2293">
        <f>I2293*(1-Q2293)</f>
        <v/>
      </c>
      <c r="S2293">
        <f>R2293/R2292-1</f>
        <v/>
      </c>
      <c r="T2293">
        <f>MAX(T2292,R2293)</f>
        <v/>
      </c>
      <c r="U2293">
        <f>R2293/T2293-1</f>
        <v/>
      </c>
      <c r="V2293" t="n">
        <v>5.053064586997767</v>
      </c>
      <c r="W2293" s="5">
        <f>R2293-V2293</f>
        <v/>
      </c>
    </row>
    <row r="2294">
      <c r="A2294" s="3" t="n">
        <v>41808</v>
      </c>
      <c r="B2294">
        <f>Prices!B2294</f>
        <v/>
      </c>
      <c r="C2294">
        <f>Prices!C2294</f>
        <v/>
      </c>
      <c r="D2294">
        <f>Prices!D2294</f>
        <v/>
      </c>
      <c r="E2294">
        <f>Prices!E2294</f>
        <v/>
      </c>
      <c r="F2294">
        <f>Prices!F2294</f>
        <v/>
      </c>
      <c r="G2294">
        <f>IF(AND(2292&gt;=16,TEXT(A2294,"yyyy-mm")&lt;&gt;TEXT(A2295,"yyyy-mm")),1,0)</f>
        <v/>
      </c>
      <c r="H2294">
        <f>IF(OR(H2293=1,G2294=1),1,0)</f>
        <v/>
      </c>
      <c r="I2294">
        <f>IF(H2293=0,1,SUMPRODUCT(J2293:N2293,B2294:F2294)+O2293*(1+0.00023125256064071564))</f>
        <v/>
      </c>
      <c r="J2294">
        <f>IF(G2294=1,0.2*R2294/B2294,J2293)</f>
        <v/>
      </c>
      <c r="K2294">
        <f>IF(G2294=1,0.2*R2294/C2294,K2293)</f>
        <v/>
      </c>
      <c r="L2294">
        <f>IF(G2294=1,0.2*R2294/D2294,L2293)</f>
        <v/>
      </c>
      <c r="M2294">
        <f>IF(G2294=1,0.2*R2294/E2294,M2293)</f>
        <v/>
      </c>
      <c r="N2294">
        <f>IF(G2294=1,0.2*R2294/F2294,N2293)</f>
        <v/>
      </c>
      <c r="O2294">
        <f>IF(G2294=1,R2294*(1-1.0),IF(H2293=0,1,O2293*(1+0.00023125256064071564)))</f>
        <v/>
      </c>
      <c r="P2294">
        <f>IF(G2294=1,IF(H2293=0,1,ABS(0.2-J2293*B2294/I2294)+ABS(0.2-K2293*C2294/I2294)+ABS(0.2-L2293*D2294/I2294)+ABS(0.2-M2293*E2294/I2294)+ABS(0.2-N2293*F2294/I2294)),0)</f>
        <v/>
      </c>
      <c r="Q2294">
        <f>P2294*0.0015</f>
        <v/>
      </c>
      <c r="R2294">
        <f>I2294*(1-Q2294)</f>
        <v/>
      </c>
      <c r="S2294">
        <f>R2294/R2293-1</f>
        <v/>
      </c>
      <c r="T2294">
        <f>MAX(T2293,R2294)</f>
        <v/>
      </c>
      <c r="U2294">
        <f>R2294/T2294-1</f>
        <v/>
      </c>
      <c r="V2294" t="n">
        <v>5.02348518985194</v>
      </c>
      <c r="W2294" s="5">
        <f>R2294-V2294</f>
        <v/>
      </c>
    </row>
    <row r="2295">
      <c r="A2295" s="3" t="n">
        <v>41809</v>
      </c>
      <c r="B2295">
        <f>Prices!B2295</f>
        <v/>
      </c>
      <c r="C2295">
        <f>Prices!C2295</f>
        <v/>
      </c>
      <c r="D2295">
        <f>Prices!D2295</f>
        <v/>
      </c>
      <c r="E2295">
        <f>Prices!E2295</f>
        <v/>
      </c>
      <c r="F2295">
        <f>Prices!F2295</f>
        <v/>
      </c>
      <c r="G2295">
        <f>IF(AND(2293&gt;=16,TEXT(A2295,"yyyy-mm")&lt;&gt;TEXT(A2296,"yyyy-mm")),1,0)</f>
        <v/>
      </c>
      <c r="H2295">
        <f>IF(OR(H2294=1,G2295=1),1,0)</f>
        <v/>
      </c>
      <c r="I2295">
        <f>IF(H2294=0,1,SUMPRODUCT(J2294:N2294,B2295:F2295)+O2294*(1+0.00023125256064071564))</f>
        <v/>
      </c>
      <c r="J2295">
        <f>IF(G2295=1,0.2*R2295/B2295,J2294)</f>
        <v/>
      </c>
      <c r="K2295">
        <f>IF(G2295=1,0.2*R2295/C2295,K2294)</f>
        <v/>
      </c>
      <c r="L2295">
        <f>IF(G2295=1,0.2*R2295/D2295,L2294)</f>
        <v/>
      </c>
      <c r="M2295">
        <f>IF(G2295=1,0.2*R2295/E2295,M2294)</f>
        <v/>
      </c>
      <c r="N2295">
        <f>IF(G2295=1,0.2*R2295/F2295,N2294)</f>
        <v/>
      </c>
      <c r="O2295">
        <f>IF(G2295=1,R2295*(1-1.0),IF(H2294=0,1,O2294*(1+0.00023125256064071564)))</f>
        <v/>
      </c>
      <c r="P2295">
        <f>IF(G2295=1,IF(H2294=0,1,ABS(0.2-J2294*B2295/I2295)+ABS(0.2-K2294*C2295/I2295)+ABS(0.2-L2294*D2295/I2295)+ABS(0.2-M2294*E2295/I2295)+ABS(0.2-N2294*F2295/I2295)),0)</f>
        <v/>
      </c>
      <c r="Q2295">
        <f>P2295*0.0015</f>
        <v/>
      </c>
      <c r="R2295">
        <f>I2295*(1-Q2295)</f>
        <v/>
      </c>
      <c r="S2295">
        <f>R2295/R2294-1</f>
        <v/>
      </c>
      <c r="T2295">
        <f>MAX(T2294,R2295)</f>
        <v/>
      </c>
      <c r="U2295">
        <f>R2295/T2295-1</f>
        <v/>
      </c>
      <c r="V2295" t="n">
        <v>5.023515791019975</v>
      </c>
      <c r="W2295" s="5">
        <f>R2295-V2295</f>
        <v/>
      </c>
    </row>
    <row r="2296">
      <c r="A2296" s="3" t="n">
        <v>41810</v>
      </c>
      <c r="B2296">
        <f>Prices!B2296</f>
        <v/>
      </c>
      <c r="C2296">
        <f>Prices!C2296</f>
        <v/>
      </c>
      <c r="D2296">
        <f>Prices!D2296</f>
        <v/>
      </c>
      <c r="E2296">
        <f>Prices!E2296</f>
        <v/>
      </c>
      <c r="F2296">
        <f>Prices!F2296</f>
        <v/>
      </c>
      <c r="G2296">
        <f>IF(AND(2294&gt;=16,TEXT(A2296,"yyyy-mm")&lt;&gt;TEXT(A2297,"yyyy-mm")),1,0)</f>
        <v/>
      </c>
      <c r="H2296">
        <f>IF(OR(H2295=1,G2296=1),1,0)</f>
        <v/>
      </c>
      <c r="I2296">
        <f>IF(H2295=0,1,SUMPRODUCT(J2295:N2295,B2296:F2296)+O2295*(1+0.00023125256064071564))</f>
        <v/>
      </c>
      <c r="J2296">
        <f>IF(G2296=1,0.2*R2296/B2296,J2295)</f>
        <v/>
      </c>
      <c r="K2296">
        <f>IF(G2296=1,0.2*R2296/C2296,K2295)</f>
        <v/>
      </c>
      <c r="L2296">
        <f>IF(G2296=1,0.2*R2296/D2296,L2295)</f>
        <v/>
      </c>
      <c r="M2296">
        <f>IF(G2296=1,0.2*R2296/E2296,M2295)</f>
        <v/>
      </c>
      <c r="N2296">
        <f>IF(G2296=1,0.2*R2296/F2296,N2295)</f>
        <v/>
      </c>
      <c r="O2296">
        <f>IF(G2296=1,R2296*(1-1.0),IF(H2295=0,1,O2295*(1+0.00023125256064071564)))</f>
        <v/>
      </c>
      <c r="P2296">
        <f>IF(G2296=1,IF(H2295=0,1,ABS(0.2-J2295*B2296/I2296)+ABS(0.2-K2295*C2296/I2296)+ABS(0.2-L2295*D2296/I2296)+ABS(0.2-M2295*E2296/I2296)+ABS(0.2-N2295*F2296/I2296)),0)</f>
        <v/>
      </c>
      <c r="Q2296">
        <f>P2296*0.0015</f>
        <v/>
      </c>
      <c r="R2296">
        <f>I2296*(1-Q2296)</f>
        <v/>
      </c>
      <c r="S2296">
        <f>R2296/R2295-1</f>
        <v/>
      </c>
      <c r="T2296">
        <f>MAX(T2295,R2296)</f>
        <v/>
      </c>
      <c r="U2296">
        <f>R2296/T2296-1</f>
        <v/>
      </c>
      <c r="V2296" t="n">
        <v>5.010061398009485</v>
      </c>
      <c r="W2296" s="5">
        <f>R2296-V2296</f>
        <v/>
      </c>
    </row>
    <row r="2297">
      <c r="A2297" s="3" t="n">
        <v>41813</v>
      </c>
      <c r="B2297">
        <f>Prices!B2297</f>
        <v/>
      </c>
      <c r="C2297">
        <f>Prices!C2297</f>
        <v/>
      </c>
      <c r="D2297">
        <f>Prices!D2297</f>
        <v/>
      </c>
      <c r="E2297">
        <f>Prices!E2297</f>
        <v/>
      </c>
      <c r="F2297">
        <f>Prices!F2297</f>
        <v/>
      </c>
      <c r="G2297">
        <f>IF(AND(2295&gt;=16,TEXT(A2297,"yyyy-mm")&lt;&gt;TEXT(A2298,"yyyy-mm")),1,0)</f>
        <v/>
      </c>
      <c r="H2297">
        <f>IF(OR(H2296=1,G2297=1),1,0)</f>
        <v/>
      </c>
      <c r="I2297">
        <f>IF(H2296=0,1,SUMPRODUCT(J2296:N2296,B2297:F2297)+O2296*(1+0.00023125256064071564))</f>
        <v/>
      </c>
      <c r="J2297">
        <f>IF(G2297=1,0.2*R2297/B2297,J2296)</f>
        <v/>
      </c>
      <c r="K2297">
        <f>IF(G2297=1,0.2*R2297/C2297,K2296)</f>
        <v/>
      </c>
      <c r="L2297">
        <f>IF(G2297=1,0.2*R2297/D2297,L2296)</f>
        <v/>
      </c>
      <c r="M2297">
        <f>IF(G2297=1,0.2*R2297/E2297,M2296)</f>
        <v/>
      </c>
      <c r="N2297">
        <f>IF(G2297=1,0.2*R2297/F2297,N2296)</f>
        <v/>
      </c>
      <c r="O2297">
        <f>IF(G2297=1,R2297*(1-1.0),IF(H2296=0,1,O2296*(1+0.00023125256064071564)))</f>
        <v/>
      </c>
      <c r="P2297">
        <f>IF(G2297=1,IF(H2296=0,1,ABS(0.2-J2296*B2297/I2297)+ABS(0.2-K2296*C2297/I2297)+ABS(0.2-L2296*D2297/I2297)+ABS(0.2-M2296*E2297/I2297)+ABS(0.2-N2296*F2297/I2297)),0)</f>
        <v/>
      </c>
      <c r="Q2297">
        <f>P2297*0.0015</f>
        <v/>
      </c>
      <c r="R2297">
        <f>I2297*(1-Q2297)</f>
        <v/>
      </c>
      <c r="S2297">
        <f>R2297/R2296-1</f>
        <v/>
      </c>
      <c r="T2297">
        <f>MAX(T2296,R2297)</f>
        <v/>
      </c>
      <c r="U2297">
        <f>R2297/T2297-1</f>
        <v/>
      </c>
      <c r="V2297" t="n">
        <v>5.038557396065753</v>
      </c>
      <c r="W2297" s="5">
        <f>R2297-V2297</f>
        <v/>
      </c>
    </row>
    <row r="2298">
      <c r="A2298" s="3" t="n">
        <v>41814</v>
      </c>
      <c r="B2298">
        <f>Prices!B2298</f>
        <v/>
      </c>
      <c r="C2298">
        <f>Prices!C2298</f>
        <v/>
      </c>
      <c r="D2298">
        <f>Prices!D2298</f>
        <v/>
      </c>
      <c r="E2298">
        <f>Prices!E2298</f>
        <v/>
      </c>
      <c r="F2298">
        <f>Prices!F2298</f>
        <v/>
      </c>
      <c r="G2298">
        <f>IF(AND(2296&gt;=16,TEXT(A2298,"yyyy-mm")&lt;&gt;TEXT(A2299,"yyyy-mm")),1,0)</f>
        <v/>
      </c>
      <c r="H2298">
        <f>IF(OR(H2297=1,G2298=1),1,0)</f>
        <v/>
      </c>
      <c r="I2298">
        <f>IF(H2297=0,1,SUMPRODUCT(J2297:N2297,B2298:F2298)+O2297*(1+0.00023125256064071564))</f>
        <v/>
      </c>
      <c r="J2298">
        <f>IF(G2298=1,0.2*R2298/B2298,J2297)</f>
        <v/>
      </c>
      <c r="K2298">
        <f>IF(G2298=1,0.2*R2298/C2298,K2297)</f>
        <v/>
      </c>
      <c r="L2298">
        <f>IF(G2298=1,0.2*R2298/D2298,L2297)</f>
        <v/>
      </c>
      <c r="M2298">
        <f>IF(G2298=1,0.2*R2298/E2298,M2297)</f>
        <v/>
      </c>
      <c r="N2298">
        <f>IF(G2298=1,0.2*R2298/F2298,N2297)</f>
        <v/>
      </c>
      <c r="O2298">
        <f>IF(G2298=1,R2298*(1-1.0),IF(H2297=0,1,O2297*(1+0.00023125256064071564)))</f>
        <v/>
      </c>
      <c r="P2298">
        <f>IF(G2298=1,IF(H2297=0,1,ABS(0.2-J2297*B2298/I2298)+ABS(0.2-K2297*C2298/I2298)+ABS(0.2-L2297*D2298/I2298)+ABS(0.2-M2297*E2298/I2298)+ABS(0.2-N2297*F2298/I2298)),0)</f>
        <v/>
      </c>
      <c r="Q2298">
        <f>P2298*0.0015</f>
        <v/>
      </c>
      <c r="R2298">
        <f>I2298*(1-Q2298)</f>
        <v/>
      </c>
      <c r="S2298">
        <f>R2298/R2297-1</f>
        <v/>
      </c>
      <c r="T2298">
        <f>MAX(T2297,R2298)</f>
        <v/>
      </c>
      <c r="U2298">
        <f>R2298/T2298-1</f>
        <v/>
      </c>
      <c r="V2298" t="n">
        <v>5.106356042940844</v>
      </c>
      <c r="W2298" s="5">
        <f>R2298-V2298</f>
        <v/>
      </c>
    </row>
    <row r="2299">
      <c r="A2299" s="3" t="n">
        <v>41815</v>
      </c>
      <c r="B2299">
        <f>Prices!B2299</f>
        <v/>
      </c>
      <c r="C2299">
        <f>Prices!C2299</f>
        <v/>
      </c>
      <c r="D2299">
        <f>Prices!D2299</f>
        <v/>
      </c>
      <c r="E2299">
        <f>Prices!E2299</f>
        <v/>
      </c>
      <c r="F2299">
        <f>Prices!F2299</f>
        <v/>
      </c>
      <c r="G2299">
        <f>IF(AND(2297&gt;=16,TEXT(A2299,"yyyy-mm")&lt;&gt;TEXT(A2300,"yyyy-mm")),1,0)</f>
        <v/>
      </c>
      <c r="H2299">
        <f>IF(OR(H2298=1,G2299=1),1,0)</f>
        <v/>
      </c>
      <c r="I2299">
        <f>IF(H2298=0,1,SUMPRODUCT(J2298:N2298,B2299:F2299)+O2298*(1+0.00023125256064071564))</f>
        <v/>
      </c>
      <c r="J2299">
        <f>IF(G2299=1,0.2*R2299/B2299,J2298)</f>
        <v/>
      </c>
      <c r="K2299">
        <f>IF(G2299=1,0.2*R2299/C2299,K2298)</f>
        <v/>
      </c>
      <c r="L2299">
        <f>IF(G2299=1,0.2*R2299/D2299,L2298)</f>
        <v/>
      </c>
      <c r="M2299">
        <f>IF(G2299=1,0.2*R2299/E2299,M2298)</f>
        <v/>
      </c>
      <c r="N2299">
        <f>IF(G2299=1,0.2*R2299/F2299,N2298)</f>
        <v/>
      </c>
      <c r="O2299">
        <f>IF(G2299=1,R2299*(1-1.0),IF(H2298=0,1,O2298*(1+0.00023125256064071564)))</f>
        <v/>
      </c>
      <c r="P2299">
        <f>IF(G2299=1,IF(H2298=0,1,ABS(0.2-J2298*B2299/I2299)+ABS(0.2-K2298*C2299/I2299)+ABS(0.2-L2298*D2299/I2299)+ABS(0.2-M2298*E2299/I2299)+ABS(0.2-N2298*F2299/I2299)),0)</f>
        <v/>
      </c>
      <c r="Q2299">
        <f>P2299*0.0015</f>
        <v/>
      </c>
      <c r="R2299">
        <f>I2299*(1-Q2299)</f>
        <v/>
      </c>
      <c r="S2299">
        <f>R2299/R2298-1</f>
        <v/>
      </c>
      <c r="T2299">
        <f>MAX(T2298,R2299)</f>
        <v/>
      </c>
      <c r="U2299">
        <f>R2299/T2299-1</f>
        <v/>
      </c>
      <c r="V2299" t="n">
        <v>5.124584438599181</v>
      </c>
      <c r="W2299" s="5">
        <f>R2299-V2299</f>
        <v/>
      </c>
    </row>
    <row r="2300">
      <c r="A2300" s="3" t="n">
        <v>41816</v>
      </c>
      <c r="B2300">
        <f>Prices!B2300</f>
        <v/>
      </c>
      <c r="C2300">
        <f>Prices!C2300</f>
        <v/>
      </c>
      <c r="D2300">
        <f>Prices!D2300</f>
        <v/>
      </c>
      <c r="E2300">
        <f>Prices!E2300</f>
        <v/>
      </c>
      <c r="F2300">
        <f>Prices!F2300</f>
        <v/>
      </c>
      <c r="G2300">
        <f>IF(AND(2298&gt;=16,TEXT(A2300,"yyyy-mm")&lt;&gt;TEXT(A2301,"yyyy-mm")),1,0)</f>
        <v/>
      </c>
      <c r="H2300">
        <f>IF(OR(H2299=1,G2300=1),1,0)</f>
        <v/>
      </c>
      <c r="I2300">
        <f>IF(H2299=0,1,SUMPRODUCT(J2299:N2299,B2300:F2300)+O2299*(1+0.00023125256064071564))</f>
        <v/>
      </c>
      <c r="J2300">
        <f>IF(G2300=1,0.2*R2300/B2300,J2299)</f>
        <v/>
      </c>
      <c r="K2300">
        <f>IF(G2300=1,0.2*R2300/C2300,K2299)</f>
        <v/>
      </c>
      <c r="L2300">
        <f>IF(G2300=1,0.2*R2300/D2300,L2299)</f>
        <v/>
      </c>
      <c r="M2300">
        <f>IF(G2300=1,0.2*R2300/E2300,M2299)</f>
        <v/>
      </c>
      <c r="N2300">
        <f>IF(G2300=1,0.2*R2300/F2300,N2299)</f>
        <v/>
      </c>
      <c r="O2300">
        <f>IF(G2300=1,R2300*(1-1.0),IF(H2299=0,1,O2299*(1+0.00023125256064071564)))</f>
        <v/>
      </c>
      <c r="P2300">
        <f>IF(G2300=1,IF(H2299=0,1,ABS(0.2-J2299*B2300/I2300)+ABS(0.2-K2299*C2300/I2300)+ABS(0.2-L2299*D2300/I2300)+ABS(0.2-M2299*E2300/I2300)+ABS(0.2-N2299*F2300/I2300)),0)</f>
        <v/>
      </c>
      <c r="Q2300">
        <f>P2300*0.0015</f>
        <v/>
      </c>
      <c r="R2300">
        <f>I2300*(1-Q2300)</f>
        <v/>
      </c>
      <c r="S2300">
        <f>R2300/R2299-1</f>
        <v/>
      </c>
      <c r="T2300">
        <f>MAX(T2299,R2300)</f>
        <v/>
      </c>
      <c r="U2300">
        <f>R2300/T2300-1</f>
        <v/>
      </c>
      <c r="V2300" t="n">
        <v>5.116136598028836</v>
      </c>
      <c r="W2300" s="5">
        <f>R2300-V2300</f>
        <v/>
      </c>
    </row>
    <row r="2301">
      <c r="A2301" s="3" t="n">
        <v>41817</v>
      </c>
      <c r="B2301">
        <f>Prices!B2301</f>
        <v/>
      </c>
      <c r="C2301">
        <f>Prices!C2301</f>
        <v/>
      </c>
      <c r="D2301">
        <f>Prices!D2301</f>
        <v/>
      </c>
      <c r="E2301">
        <f>Prices!E2301</f>
        <v/>
      </c>
      <c r="F2301">
        <f>Prices!F2301</f>
        <v/>
      </c>
      <c r="G2301">
        <f>IF(AND(2299&gt;=16,TEXT(A2301,"yyyy-mm")&lt;&gt;TEXT(A2302,"yyyy-mm")),1,0)</f>
        <v/>
      </c>
      <c r="H2301">
        <f>IF(OR(H2300=1,G2301=1),1,0)</f>
        <v/>
      </c>
      <c r="I2301">
        <f>IF(H2300=0,1,SUMPRODUCT(J2300:N2300,B2301:F2301)+O2300*(1+0.00023125256064071564))</f>
        <v/>
      </c>
      <c r="J2301">
        <f>IF(G2301=1,0.2*R2301/B2301,J2300)</f>
        <v/>
      </c>
      <c r="K2301">
        <f>IF(G2301=1,0.2*R2301/C2301,K2300)</f>
        <v/>
      </c>
      <c r="L2301">
        <f>IF(G2301=1,0.2*R2301/D2301,L2300)</f>
        <v/>
      </c>
      <c r="M2301">
        <f>IF(G2301=1,0.2*R2301/E2301,M2300)</f>
        <v/>
      </c>
      <c r="N2301">
        <f>IF(G2301=1,0.2*R2301/F2301,N2300)</f>
        <v/>
      </c>
      <c r="O2301">
        <f>IF(G2301=1,R2301*(1-1.0),IF(H2300=0,1,O2300*(1+0.00023125256064071564)))</f>
        <v/>
      </c>
      <c r="P2301">
        <f>IF(G2301=1,IF(H2300=0,1,ABS(0.2-J2300*B2301/I2301)+ABS(0.2-K2300*C2301/I2301)+ABS(0.2-L2300*D2301/I2301)+ABS(0.2-M2300*E2301/I2301)+ABS(0.2-N2300*F2301/I2301)),0)</f>
        <v/>
      </c>
      <c r="Q2301">
        <f>P2301*0.0015</f>
        <v/>
      </c>
      <c r="R2301">
        <f>I2301*(1-Q2301)</f>
        <v/>
      </c>
      <c r="S2301">
        <f>R2301/R2300-1</f>
        <v/>
      </c>
      <c r="T2301">
        <f>MAX(T2300,R2301)</f>
        <v/>
      </c>
      <c r="U2301">
        <f>R2301/T2301-1</f>
        <v/>
      </c>
      <c r="V2301" t="n">
        <v>5.162810768378742</v>
      </c>
      <c r="W2301" s="5">
        <f>R2301-V2301</f>
        <v/>
      </c>
    </row>
    <row r="2302">
      <c r="A2302" s="3" t="n">
        <v>41820</v>
      </c>
      <c r="B2302">
        <f>Prices!B2302</f>
        <v/>
      </c>
      <c r="C2302">
        <f>Prices!C2302</f>
        <v/>
      </c>
      <c r="D2302">
        <f>Prices!D2302</f>
        <v/>
      </c>
      <c r="E2302">
        <f>Prices!E2302</f>
        <v/>
      </c>
      <c r="F2302">
        <f>Prices!F2302</f>
        <v/>
      </c>
      <c r="G2302">
        <f>IF(AND(2300&gt;=16,TEXT(A2302,"yyyy-mm")&lt;&gt;TEXT(A2303,"yyyy-mm")),1,0)</f>
        <v/>
      </c>
      <c r="H2302">
        <f>IF(OR(H2301=1,G2302=1),1,0)</f>
        <v/>
      </c>
      <c r="I2302">
        <f>IF(H2301=0,1,SUMPRODUCT(J2301:N2301,B2302:F2302)+O2301*(1+0.00023125256064071564))</f>
        <v/>
      </c>
      <c r="J2302">
        <f>IF(G2302=1,0.2*R2302/B2302,J2301)</f>
        <v/>
      </c>
      <c r="K2302">
        <f>IF(G2302=1,0.2*R2302/C2302,K2301)</f>
        <v/>
      </c>
      <c r="L2302">
        <f>IF(G2302=1,0.2*R2302/D2302,L2301)</f>
        <v/>
      </c>
      <c r="M2302">
        <f>IF(G2302=1,0.2*R2302/E2302,M2301)</f>
        <v/>
      </c>
      <c r="N2302">
        <f>IF(G2302=1,0.2*R2302/F2302,N2301)</f>
        <v/>
      </c>
      <c r="O2302">
        <f>IF(G2302=1,R2302*(1-1.0),IF(H2301=0,1,O2301*(1+0.00023125256064071564)))</f>
        <v/>
      </c>
      <c r="P2302">
        <f>IF(G2302=1,IF(H2301=0,1,ABS(0.2-J2301*B2302/I2302)+ABS(0.2-K2301*C2302/I2302)+ABS(0.2-L2301*D2302/I2302)+ABS(0.2-M2301*E2302/I2302)+ABS(0.2-N2301*F2302/I2302)),0)</f>
        <v/>
      </c>
      <c r="Q2302">
        <f>P2302*0.0015</f>
        <v/>
      </c>
      <c r="R2302">
        <f>I2302*(1-Q2302)</f>
        <v/>
      </c>
      <c r="S2302">
        <f>R2302/R2301-1</f>
        <v/>
      </c>
      <c r="T2302">
        <f>MAX(T2301,R2302)</f>
        <v/>
      </c>
      <c r="U2302">
        <f>R2302/T2302-1</f>
        <v/>
      </c>
      <c r="V2302" t="n">
        <v>5.243732716412071</v>
      </c>
      <c r="W2302" s="5">
        <f>R2302-V2302</f>
        <v/>
      </c>
    </row>
    <row r="2303">
      <c r="A2303" s="3" t="n">
        <v>41821</v>
      </c>
      <c r="B2303">
        <f>Prices!B2303</f>
        <v/>
      </c>
      <c r="C2303">
        <f>Prices!C2303</f>
        <v/>
      </c>
      <c r="D2303">
        <f>Prices!D2303</f>
        <v/>
      </c>
      <c r="E2303">
        <f>Prices!E2303</f>
        <v/>
      </c>
      <c r="F2303">
        <f>Prices!F2303</f>
        <v/>
      </c>
      <c r="G2303">
        <f>IF(AND(2301&gt;=16,TEXT(A2303,"yyyy-mm")&lt;&gt;TEXT(A2304,"yyyy-mm")),1,0)</f>
        <v/>
      </c>
      <c r="H2303">
        <f>IF(OR(H2302=1,G2303=1),1,0)</f>
        <v/>
      </c>
      <c r="I2303">
        <f>IF(H2302=0,1,SUMPRODUCT(J2302:N2302,B2303:F2303)+O2302*(1+0.00023125256064071564))</f>
        <v/>
      </c>
      <c r="J2303">
        <f>IF(G2303=1,0.2*R2303/B2303,J2302)</f>
        <v/>
      </c>
      <c r="K2303">
        <f>IF(G2303=1,0.2*R2303/C2303,K2302)</f>
        <v/>
      </c>
      <c r="L2303">
        <f>IF(G2303=1,0.2*R2303/D2303,L2302)</f>
        <v/>
      </c>
      <c r="M2303">
        <f>IF(G2303=1,0.2*R2303/E2303,M2302)</f>
        <v/>
      </c>
      <c r="N2303">
        <f>IF(G2303=1,0.2*R2303/F2303,N2302)</f>
        <v/>
      </c>
      <c r="O2303">
        <f>IF(G2303=1,R2303*(1-1.0),IF(H2302=0,1,O2302*(1+0.00023125256064071564)))</f>
        <v/>
      </c>
      <c r="P2303">
        <f>IF(G2303=1,IF(H2302=0,1,ABS(0.2-J2302*B2303/I2303)+ABS(0.2-K2302*C2303/I2303)+ABS(0.2-L2302*D2303/I2303)+ABS(0.2-M2302*E2303/I2303)+ABS(0.2-N2302*F2303/I2303)),0)</f>
        <v/>
      </c>
      <c r="Q2303">
        <f>P2303*0.0015</f>
        <v/>
      </c>
      <c r="R2303">
        <f>I2303*(1-Q2303)</f>
        <v/>
      </c>
      <c r="S2303">
        <f>R2303/R2302-1</f>
        <v/>
      </c>
      <c r="T2303">
        <f>MAX(T2302,R2303)</f>
        <v/>
      </c>
      <c r="U2303">
        <f>R2303/T2303-1</f>
        <v/>
      </c>
      <c r="V2303" t="n">
        <v>5.261354900582652</v>
      </c>
      <c r="W2303" s="5">
        <f>R2303-V2303</f>
        <v/>
      </c>
    </row>
    <row r="2304">
      <c r="A2304" s="3" t="n">
        <v>41822</v>
      </c>
      <c r="B2304">
        <f>Prices!B2304</f>
        <v/>
      </c>
      <c r="C2304">
        <f>Prices!C2304</f>
        <v/>
      </c>
      <c r="D2304">
        <f>Prices!D2304</f>
        <v/>
      </c>
      <c r="E2304">
        <f>Prices!E2304</f>
        <v/>
      </c>
      <c r="F2304">
        <f>Prices!F2304</f>
        <v/>
      </c>
      <c r="G2304">
        <f>IF(AND(2302&gt;=16,TEXT(A2304,"yyyy-mm")&lt;&gt;TEXT(A2305,"yyyy-mm")),1,0)</f>
        <v/>
      </c>
      <c r="H2304">
        <f>IF(OR(H2303=1,G2304=1),1,0)</f>
        <v/>
      </c>
      <c r="I2304">
        <f>IF(H2303=0,1,SUMPRODUCT(J2303:N2303,B2304:F2304)+O2303*(1+0.00023125256064071564))</f>
        <v/>
      </c>
      <c r="J2304">
        <f>IF(G2304=1,0.2*R2304/B2304,J2303)</f>
        <v/>
      </c>
      <c r="K2304">
        <f>IF(G2304=1,0.2*R2304/C2304,K2303)</f>
        <v/>
      </c>
      <c r="L2304">
        <f>IF(G2304=1,0.2*R2304/D2304,L2303)</f>
        <v/>
      </c>
      <c r="M2304">
        <f>IF(G2304=1,0.2*R2304/E2304,M2303)</f>
        <v/>
      </c>
      <c r="N2304">
        <f>IF(G2304=1,0.2*R2304/F2304,N2303)</f>
        <v/>
      </c>
      <c r="O2304">
        <f>IF(G2304=1,R2304*(1-1.0),IF(H2303=0,1,O2303*(1+0.00023125256064071564)))</f>
        <v/>
      </c>
      <c r="P2304">
        <f>IF(G2304=1,IF(H2303=0,1,ABS(0.2-J2303*B2304/I2304)+ABS(0.2-K2303*C2304/I2304)+ABS(0.2-L2303*D2304/I2304)+ABS(0.2-M2303*E2304/I2304)+ABS(0.2-N2303*F2304/I2304)),0)</f>
        <v/>
      </c>
      <c r="Q2304">
        <f>P2304*0.0015</f>
        <v/>
      </c>
      <c r="R2304">
        <f>I2304*(1-Q2304)</f>
        <v/>
      </c>
      <c r="S2304">
        <f>R2304/R2303-1</f>
        <v/>
      </c>
      <c r="T2304">
        <f>MAX(T2303,R2304)</f>
        <v/>
      </c>
      <c r="U2304">
        <f>R2304/T2304-1</f>
        <v/>
      </c>
      <c r="V2304" t="n">
        <v>5.313319267614876</v>
      </c>
      <c r="W2304" s="5">
        <f>R2304-V2304</f>
        <v/>
      </c>
    </row>
    <row r="2305">
      <c r="A2305" s="3" t="n">
        <v>41823</v>
      </c>
      <c r="B2305">
        <f>Prices!B2305</f>
        <v/>
      </c>
      <c r="C2305">
        <f>Prices!C2305</f>
        <v/>
      </c>
      <c r="D2305">
        <f>Prices!D2305</f>
        <v/>
      </c>
      <c r="E2305">
        <f>Prices!E2305</f>
        <v/>
      </c>
      <c r="F2305">
        <f>Prices!F2305</f>
        <v/>
      </c>
      <c r="G2305">
        <f>IF(AND(2303&gt;=16,TEXT(A2305,"yyyy-mm")&lt;&gt;TEXT(A2306,"yyyy-mm")),1,0)</f>
        <v/>
      </c>
      <c r="H2305">
        <f>IF(OR(H2304=1,G2305=1),1,0)</f>
        <v/>
      </c>
      <c r="I2305">
        <f>IF(H2304=0,1,SUMPRODUCT(J2304:N2304,B2305:F2305)+O2304*(1+0.00023125256064071564))</f>
        <v/>
      </c>
      <c r="J2305">
        <f>IF(G2305=1,0.2*R2305/B2305,J2304)</f>
        <v/>
      </c>
      <c r="K2305">
        <f>IF(G2305=1,0.2*R2305/C2305,K2304)</f>
        <v/>
      </c>
      <c r="L2305">
        <f>IF(G2305=1,0.2*R2305/D2305,L2304)</f>
        <v/>
      </c>
      <c r="M2305">
        <f>IF(G2305=1,0.2*R2305/E2305,M2304)</f>
        <v/>
      </c>
      <c r="N2305">
        <f>IF(G2305=1,0.2*R2305/F2305,N2304)</f>
        <v/>
      </c>
      <c r="O2305">
        <f>IF(G2305=1,R2305*(1-1.0),IF(H2304=0,1,O2304*(1+0.00023125256064071564)))</f>
        <v/>
      </c>
      <c r="P2305">
        <f>IF(G2305=1,IF(H2304=0,1,ABS(0.2-J2304*B2305/I2305)+ABS(0.2-K2304*C2305/I2305)+ABS(0.2-L2304*D2305/I2305)+ABS(0.2-M2304*E2305/I2305)+ABS(0.2-N2304*F2305/I2305)),0)</f>
        <v/>
      </c>
      <c r="Q2305">
        <f>P2305*0.0015</f>
        <v/>
      </c>
      <c r="R2305">
        <f>I2305*(1-Q2305)</f>
        <v/>
      </c>
      <c r="S2305">
        <f>R2305/R2304-1</f>
        <v/>
      </c>
      <c r="T2305">
        <f>MAX(T2304,R2305)</f>
        <v/>
      </c>
      <c r="U2305">
        <f>R2305/T2305-1</f>
        <v/>
      </c>
      <c r="V2305" t="n">
        <v>5.310692689179549</v>
      </c>
      <c r="W2305" s="5">
        <f>R2305-V2305</f>
        <v/>
      </c>
    </row>
    <row r="2306">
      <c r="A2306" s="3" t="n">
        <v>41824</v>
      </c>
      <c r="B2306">
        <f>Prices!B2306</f>
        <v/>
      </c>
      <c r="C2306">
        <f>Prices!C2306</f>
        <v/>
      </c>
      <c r="D2306">
        <f>Prices!D2306</f>
        <v/>
      </c>
      <c r="E2306">
        <f>Prices!E2306</f>
        <v/>
      </c>
      <c r="F2306">
        <f>Prices!F2306</f>
        <v/>
      </c>
      <c r="G2306">
        <f>IF(AND(2304&gt;=16,TEXT(A2306,"yyyy-mm")&lt;&gt;TEXT(A2307,"yyyy-mm")),1,0)</f>
        <v/>
      </c>
      <c r="H2306">
        <f>IF(OR(H2305=1,G2306=1),1,0)</f>
        <v/>
      </c>
      <c r="I2306">
        <f>IF(H2305=0,1,SUMPRODUCT(J2305:N2305,B2306:F2306)+O2305*(1+0.00023125256064071564))</f>
        <v/>
      </c>
      <c r="J2306">
        <f>IF(G2306=1,0.2*R2306/B2306,J2305)</f>
        <v/>
      </c>
      <c r="K2306">
        <f>IF(G2306=1,0.2*R2306/C2306,K2305)</f>
        <v/>
      </c>
      <c r="L2306">
        <f>IF(G2306=1,0.2*R2306/D2306,L2305)</f>
        <v/>
      </c>
      <c r="M2306">
        <f>IF(G2306=1,0.2*R2306/E2306,M2305)</f>
        <v/>
      </c>
      <c r="N2306">
        <f>IF(G2306=1,0.2*R2306/F2306,N2305)</f>
        <v/>
      </c>
      <c r="O2306">
        <f>IF(G2306=1,R2306*(1-1.0),IF(H2305=0,1,O2305*(1+0.00023125256064071564)))</f>
        <v/>
      </c>
      <c r="P2306">
        <f>IF(G2306=1,IF(H2305=0,1,ABS(0.2-J2305*B2306/I2306)+ABS(0.2-K2305*C2306/I2306)+ABS(0.2-L2305*D2306/I2306)+ABS(0.2-M2305*E2306/I2306)+ABS(0.2-N2305*F2306/I2306)),0)</f>
        <v/>
      </c>
      <c r="Q2306">
        <f>P2306*0.0015</f>
        <v/>
      </c>
      <c r="R2306">
        <f>I2306*(1-Q2306)</f>
        <v/>
      </c>
      <c r="S2306">
        <f>R2306/R2305-1</f>
        <v/>
      </c>
      <c r="T2306">
        <f>MAX(T2305,R2306)</f>
        <v/>
      </c>
      <c r="U2306">
        <f>R2306/T2306-1</f>
        <v/>
      </c>
      <c r="V2306" t="n">
        <v>5.32782913500062</v>
      </c>
      <c r="W2306" s="5">
        <f>R2306-V2306</f>
        <v/>
      </c>
    </row>
    <row r="2307">
      <c r="A2307" s="3" t="n">
        <v>41827</v>
      </c>
      <c r="B2307">
        <f>Prices!B2307</f>
        <v/>
      </c>
      <c r="C2307">
        <f>Prices!C2307</f>
        <v/>
      </c>
      <c r="D2307">
        <f>Prices!D2307</f>
        <v/>
      </c>
      <c r="E2307">
        <f>Prices!E2307</f>
        <v/>
      </c>
      <c r="F2307">
        <f>Prices!F2307</f>
        <v/>
      </c>
      <c r="G2307">
        <f>IF(AND(2305&gt;=16,TEXT(A2307,"yyyy-mm")&lt;&gt;TEXT(A2308,"yyyy-mm")),1,0)</f>
        <v/>
      </c>
      <c r="H2307">
        <f>IF(OR(H2306=1,G2307=1),1,0)</f>
        <v/>
      </c>
      <c r="I2307">
        <f>IF(H2306=0,1,SUMPRODUCT(J2306:N2306,B2307:F2307)+O2306*(1+0.00023125256064071564))</f>
        <v/>
      </c>
      <c r="J2307">
        <f>IF(G2307=1,0.2*R2307/B2307,J2306)</f>
        <v/>
      </c>
      <c r="K2307">
        <f>IF(G2307=1,0.2*R2307/C2307,K2306)</f>
        <v/>
      </c>
      <c r="L2307">
        <f>IF(G2307=1,0.2*R2307/D2307,L2306)</f>
        <v/>
      </c>
      <c r="M2307">
        <f>IF(G2307=1,0.2*R2307/E2307,M2306)</f>
        <v/>
      </c>
      <c r="N2307">
        <f>IF(G2307=1,0.2*R2307/F2307,N2306)</f>
        <v/>
      </c>
      <c r="O2307">
        <f>IF(G2307=1,R2307*(1-1.0),IF(H2306=0,1,O2306*(1+0.00023125256064071564)))</f>
        <v/>
      </c>
      <c r="P2307">
        <f>IF(G2307=1,IF(H2306=0,1,ABS(0.2-J2306*B2307/I2307)+ABS(0.2-K2306*C2307/I2307)+ABS(0.2-L2306*D2307/I2307)+ABS(0.2-M2306*E2307/I2307)+ABS(0.2-N2306*F2307/I2307)),0)</f>
        <v/>
      </c>
      <c r="Q2307">
        <f>P2307*0.0015</f>
        <v/>
      </c>
      <c r="R2307">
        <f>I2307*(1-Q2307)</f>
        <v/>
      </c>
      <c r="S2307">
        <f>R2307/R2306-1</f>
        <v/>
      </c>
      <c r="T2307">
        <f>MAX(T2306,R2307)</f>
        <v/>
      </c>
      <c r="U2307">
        <f>R2307/T2307-1</f>
        <v/>
      </c>
      <c r="V2307" t="n">
        <v>5.340483050202703</v>
      </c>
      <c r="W2307" s="5">
        <f>R2307-V2307</f>
        <v/>
      </c>
    </row>
    <row r="2308">
      <c r="A2308" s="3" t="n">
        <v>41828</v>
      </c>
      <c r="B2308">
        <f>Prices!B2308</f>
        <v/>
      </c>
      <c r="C2308">
        <f>Prices!C2308</f>
        <v/>
      </c>
      <c r="D2308">
        <f>Prices!D2308</f>
        <v/>
      </c>
      <c r="E2308">
        <f>Prices!E2308</f>
        <v/>
      </c>
      <c r="F2308">
        <f>Prices!F2308</f>
        <v/>
      </c>
      <c r="G2308">
        <f>IF(AND(2306&gt;=16,TEXT(A2308,"yyyy-mm")&lt;&gt;TEXT(A2309,"yyyy-mm")),1,0)</f>
        <v/>
      </c>
      <c r="H2308">
        <f>IF(OR(H2307=1,G2308=1),1,0)</f>
        <v/>
      </c>
      <c r="I2308">
        <f>IF(H2307=0,1,SUMPRODUCT(J2307:N2307,B2308:F2308)+O2307*(1+0.00023125256064071564))</f>
        <v/>
      </c>
      <c r="J2308">
        <f>IF(G2308=1,0.2*R2308/B2308,J2307)</f>
        <v/>
      </c>
      <c r="K2308">
        <f>IF(G2308=1,0.2*R2308/C2308,K2307)</f>
        <v/>
      </c>
      <c r="L2308">
        <f>IF(G2308=1,0.2*R2308/D2308,L2307)</f>
        <v/>
      </c>
      <c r="M2308">
        <f>IF(G2308=1,0.2*R2308/E2308,M2307)</f>
        <v/>
      </c>
      <c r="N2308">
        <f>IF(G2308=1,0.2*R2308/F2308,N2307)</f>
        <v/>
      </c>
      <c r="O2308">
        <f>IF(G2308=1,R2308*(1-1.0),IF(H2307=0,1,O2307*(1+0.00023125256064071564)))</f>
        <v/>
      </c>
      <c r="P2308">
        <f>IF(G2308=1,IF(H2307=0,1,ABS(0.2-J2307*B2308/I2308)+ABS(0.2-K2307*C2308/I2308)+ABS(0.2-L2307*D2308/I2308)+ABS(0.2-M2307*E2308/I2308)+ABS(0.2-N2307*F2308/I2308)),0)</f>
        <v/>
      </c>
      <c r="Q2308">
        <f>P2308*0.0015</f>
        <v/>
      </c>
      <c r="R2308">
        <f>I2308*(1-Q2308)</f>
        <v/>
      </c>
      <c r="S2308">
        <f>R2308/R2307-1</f>
        <v/>
      </c>
      <c r="T2308">
        <f>MAX(T2307,R2308)</f>
        <v/>
      </c>
      <c r="U2308">
        <f>R2308/T2308-1</f>
        <v/>
      </c>
      <c r="V2308" t="n">
        <v>5.174673825916734</v>
      </c>
      <c r="W2308" s="5">
        <f>R2308-V2308</f>
        <v/>
      </c>
    </row>
    <row r="2309">
      <c r="A2309" s="3" t="n">
        <v>41829</v>
      </c>
      <c r="B2309">
        <f>Prices!B2309</f>
        <v/>
      </c>
      <c r="C2309">
        <f>Prices!C2309</f>
        <v/>
      </c>
      <c r="D2309">
        <f>Prices!D2309</f>
        <v/>
      </c>
      <c r="E2309">
        <f>Prices!E2309</f>
        <v/>
      </c>
      <c r="F2309">
        <f>Prices!F2309</f>
        <v/>
      </c>
      <c r="G2309">
        <f>IF(AND(2307&gt;=16,TEXT(A2309,"yyyy-mm")&lt;&gt;TEXT(A2310,"yyyy-mm")),1,0)</f>
        <v/>
      </c>
      <c r="H2309">
        <f>IF(OR(H2308=1,G2309=1),1,0)</f>
        <v/>
      </c>
      <c r="I2309">
        <f>IF(H2308=0,1,SUMPRODUCT(J2308:N2308,B2309:F2309)+O2308*(1+0.00023125256064071564))</f>
        <v/>
      </c>
      <c r="J2309">
        <f>IF(G2309=1,0.2*R2309/B2309,J2308)</f>
        <v/>
      </c>
      <c r="K2309">
        <f>IF(G2309=1,0.2*R2309/C2309,K2308)</f>
        <v/>
      </c>
      <c r="L2309">
        <f>IF(G2309=1,0.2*R2309/D2309,L2308)</f>
        <v/>
      </c>
      <c r="M2309">
        <f>IF(G2309=1,0.2*R2309/E2309,M2308)</f>
        <v/>
      </c>
      <c r="N2309">
        <f>IF(G2309=1,0.2*R2309/F2309,N2308)</f>
        <v/>
      </c>
      <c r="O2309">
        <f>IF(G2309=1,R2309*(1-1.0),IF(H2308=0,1,O2308*(1+0.00023125256064071564)))</f>
        <v/>
      </c>
      <c r="P2309">
        <f>IF(G2309=1,IF(H2308=0,1,ABS(0.2-J2308*B2309/I2309)+ABS(0.2-K2308*C2309/I2309)+ABS(0.2-L2308*D2309/I2309)+ABS(0.2-M2308*E2309/I2309)+ABS(0.2-N2308*F2309/I2309)),0)</f>
        <v/>
      </c>
      <c r="Q2309">
        <f>P2309*0.0015</f>
        <v/>
      </c>
      <c r="R2309">
        <f>I2309*(1-Q2309)</f>
        <v/>
      </c>
      <c r="S2309">
        <f>R2309/R2308-1</f>
        <v/>
      </c>
      <c r="T2309">
        <f>MAX(T2308,R2309)</f>
        <v/>
      </c>
      <c r="U2309">
        <f>R2309/T2309-1</f>
        <v/>
      </c>
      <c r="V2309" t="n">
        <v>5.094582003757506</v>
      </c>
      <c r="W2309" s="5">
        <f>R2309-V2309</f>
        <v/>
      </c>
    </row>
    <row r="2310">
      <c r="A2310" s="3" t="n">
        <v>41830</v>
      </c>
      <c r="B2310">
        <f>Prices!B2310</f>
        <v/>
      </c>
      <c r="C2310">
        <f>Prices!C2310</f>
        <v/>
      </c>
      <c r="D2310">
        <f>Prices!D2310</f>
        <v/>
      </c>
      <c r="E2310">
        <f>Prices!E2310</f>
        <v/>
      </c>
      <c r="F2310">
        <f>Prices!F2310</f>
        <v/>
      </c>
      <c r="G2310">
        <f>IF(AND(2308&gt;=16,TEXT(A2310,"yyyy-mm")&lt;&gt;TEXT(A2311,"yyyy-mm")),1,0)</f>
        <v/>
      </c>
      <c r="H2310">
        <f>IF(OR(H2309=1,G2310=1),1,0)</f>
        <v/>
      </c>
      <c r="I2310">
        <f>IF(H2309=0,1,SUMPRODUCT(J2309:N2309,B2310:F2310)+O2309*(1+0.00023125256064071564))</f>
        <v/>
      </c>
      <c r="J2310">
        <f>IF(G2310=1,0.2*R2310/B2310,J2309)</f>
        <v/>
      </c>
      <c r="K2310">
        <f>IF(G2310=1,0.2*R2310/C2310,K2309)</f>
        <v/>
      </c>
      <c r="L2310">
        <f>IF(G2310=1,0.2*R2310/D2310,L2309)</f>
        <v/>
      </c>
      <c r="M2310">
        <f>IF(G2310=1,0.2*R2310/E2310,M2309)</f>
        <v/>
      </c>
      <c r="N2310">
        <f>IF(G2310=1,0.2*R2310/F2310,N2309)</f>
        <v/>
      </c>
      <c r="O2310">
        <f>IF(G2310=1,R2310*(1-1.0),IF(H2309=0,1,O2309*(1+0.00023125256064071564)))</f>
        <v/>
      </c>
      <c r="P2310">
        <f>IF(G2310=1,IF(H2309=0,1,ABS(0.2-J2309*B2310/I2310)+ABS(0.2-K2309*C2310/I2310)+ABS(0.2-L2309*D2310/I2310)+ABS(0.2-M2309*E2310/I2310)+ABS(0.2-N2309*F2310/I2310)),0)</f>
        <v/>
      </c>
      <c r="Q2310">
        <f>P2310*0.0015</f>
        <v/>
      </c>
      <c r="R2310">
        <f>I2310*(1-Q2310)</f>
        <v/>
      </c>
      <c r="S2310">
        <f>R2310/R2309-1</f>
        <v/>
      </c>
      <c r="T2310">
        <f>MAX(T2309,R2310)</f>
        <v/>
      </c>
      <c r="U2310">
        <f>R2310/T2310-1</f>
        <v/>
      </c>
      <c r="V2310" t="n">
        <v>5.100584807557282</v>
      </c>
      <c r="W2310" s="5">
        <f>R2310-V2310</f>
        <v/>
      </c>
    </row>
    <row r="2311">
      <c r="A2311" s="3" t="n">
        <v>41831</v>
      </c>
      <c r="B2311">
        <f>Prices!B2311</f>
        <v/>
      </c>
      <c r="C2311">
        <f>Prices!C2311</f>
        <v/>
      </c>
      <c r="D2311">
        <f>Prices!D2311</f>
        <v/>
      </c>
      <c r="E2311">
        <f>Prices!E2311</f>
        <v/>
      </c>
      <c r="F2311">
        <f>Prices!F2311</f>
        <v/>
      </c>
      <c r="G2311">
        <f>IF(AND(2309&gt;=16,TEXT(A2311,"yyyy-mm")&lt;&gt;TEXT(A2312,"yyyy-mm")),1,0)</f>
        <v/>
      </c>
      <c r="H2311">
        <f>IF(OR(H2310=1,G2311=1),1,0)</f>
        <v/>
      </c>
      <c r="I2311">
        <f>IF(H2310=0,1,SUMPRODUCT(J2310:N2310,B2311:F2311)+O2310*(1+0.00023125256064071564))</f>
        <v/>
      </c>
      <c r="J2311">
        <f>IF(G2311=1,0.2*R2311/B2311,J2310)</f>
        <v/>
      </c>
      <c r="K2311">
        <f>IF(G2311=1,0.2*R2311/C2311,K2310)</f>
        <v/>
      </c>
      <c r="L2311">
        <f>IF(G2311=1,0.2*R2311/D2311,L2310)</f>
        <v/>
      </c>
      <c r="M2311">
        <f>IF(G2311=1,0.2*R2311/E2311,M2310)</f>
        <v/>
      </c>
      <c r="N2311">
        <f>IF(G2311=1,0.2*R2311/F2311,N2310)</f>
        <v/>
      </c>
      <c r="O2311">
        <f>IF(G2311=1,R2311*(1-1.0),IF(H2310=0,1,O2310*(1+0.00023125256064071564)))</f>
        <v/>
      </c>
      <c r="P2311">
        <f>IF(G2311=1,IF(H2310=0,1,ABS(0.2-J2310*B2311/I2311)+ABS(0.2-K2310*C2311/I2311)+ABS(0.2-L2310*D2311/I2311)+ABS(0.2-M2310*E2311/I2311)+ABS(0.2-N2310*F2311/I2311)),0)</f>
        <v/>
      </c>
      <c r="Q2311">
        <f>P2311*0.0015</f>
        <v/>
      </c>
      <c r="R2311">
        <f>I2311*(1-Q2311)</f>
        <v/>
      </c>
      <c r="S2311">
        <f>R2311/R2310-1</f>
        <v/>
      </c>
      <c r="T2311">
        <f>MAX(T2310,R2311)</f>
        <v/>
      </c>
      <c r="U2311">
        <f>R2311/T2311-1</f>
        <v/>
      </c>
      <c r="V2311" t="n">
        <v>5.028140691268067</v>
      </c>
      <c r="W2311" s="5">
        <f>R2311-V2311</f>
        <v/>
      </c>
    </row>
    <row r="2312">
      <c r="A2312" s="3" t="n">
        <v>41834</v>
      </c>
      <c r="B2312">
        <f>Prices!B2312</f>
        <v/>
      </c>
      <c r="C2312">
        <f>Prices!C2312</f>
        <v/>
      </c>
      <c r="D2312">
        <f>Prices!D2312</f>
        <v/>
      </c>
      <c r="E2312">
        <f>Prices!E2312</f>
        <v/>
      </c>
      <c r="F2312">
        <f>Prices!F2312</f>
        <v/>
      </c>
      <c r="G2312">
        <f>IF(AND(2310&gt;=16,TEXT(A2312,"yyyy-mm")&lt;&gt;TEXT(A2313,"yyyy-mm")),1,0)</f>
        <v/>
      </c>
      <c r="H2312">
        <f>IF(OR(H2311=1,G2312=1),1,0)</f>
        <v/>
      </c>
      <c r="I2312">
        <f>IF(H2311=0,1,SUMPRODUCT(J2311:N2311,B2312:F2312)+O2311*(1+0.00023125256064071564))</f>
        <v/>
      </c>
      <c r="J2312">
        <f>IF(G2312=1,0.2*R2312/B2312,J2311)</f>
        <v/>
      </c>
      <c r="K2312">
        <f>IF(G2312=1,0.2*R2312/C2312,K2311)</f>
        <v/>
      </c>
      <c r="L2312">
        <f>IF(G2312=1,0.2*R2312/D2312,L2311)</f>
        <v/>
      </c>
      <c r="M2312">
        <f>IF(G2312=1,0.2*R2312/E2312,M2311)</f>
        <v/>
      </c>
      <c r="N2312">
        <f>IF(G2312=1,0.2*R2312/F2312,N2311)</f>
        <v/>
      </c>
      <c r="O2312">
        <f>IF(G2312=1,R2312*(1-1.0),IF(H2311=0,1,O2311*(1+0.00023125256064071564)))</f>
        <v/>
      </c>
      <c r="P2312">
        <f>IF(G2312=1,IF(H2311=0,1,ABS(0.2-J2311*B2312/I2312)+ABS(0.2-K2311*C2312/I2312)+ABS(0.2-L2311*D2312/I2312)+ABS(0.2-M2311*E2312/I2312)+ABS(0.2-N2311*F2312/I2312)),0)</f>
        <v/>
      </c>
      <c r="Q2312">
        <f>P2312*0.0015</f>
        <v/>
      </c>
      <c r="R2312">
        <f>I2312*(1-Q2312)</f>
        <v/>
      </c>
      <c r="S2312">
        <f>R2312/R2311-1</f>
        <v/>
      </c>
      <c r="T2312">
        <f>MAX(T2311,R2312)</f>
        <v/>
      </c>
      <c r="U2312">
        <f>R2312/T2312-1</f>
        <v/>
      </c>
      <c r="V2312" t="n">
        <v>5.023802502553081</v>
      </c>
      <c r="W2312" s="5">
        <f>R2312-V2312</f>
        <v/>
      </c>
    </row>
    <row r="2313">
      <c r="A2313" s="3" t="n">
        <v>41835</v>
      </c>
      <c r="B2313">
        <f>Prices!B2313</f>
        <v/>
      </c>
      <c r="C2313">
        <f>Prices!C2313</f>
        <v/>
      </c>
      <c r="D2313">
        <f>Prices!D2313</f>
        <v/>
      </c>
      <c r="E2313">
        <f>Prices!E2313</f>
        <v/>
      </c>
      <c r="F2313">
        <f>Prices!F2313</f>
        <v/>
      </c>
      <c r="G2313">
        <f>IF(AND(2311&gt;=16,TEXT(A2313,"yyyy-mm")&lt;&gt;TEXT(A2314,"yyyy-mm")),1,0)</f>
        <v/>
      </c>
      <c r="H2313">
        <f>IF(OR(H2312=1,G2313=1),1,0)</f>
        <v/>
      </c>
      <c r="I2313">
        <f>IF(H2312=0,1,SUMPRODUCT(J2312:N2312,B2313:F2313)+O2312*(1+0.00023125256064071564))</f>
        <v/>
      </c>
      <c r="J2313">
        <f>IF(G2313=1,0.2*R2313/B2313,J2312)</f>
        <v/>
      </c>
      <c r="K2313">
        <f>IF(G2313=1,0.2*R2313/C2313,K2312)</f>
        <v/>
      </c>
      <c r="L2313">
        <f>IF(G2313=1,0.2*R2313/D2313,L2312)</f>
        <v/>
      </c>
      <c r="M2313">
        <f>IF(G2313=1,0.2*R2313/E2313,M2312)</f>
        <v/>
      </c>
      <c r="N2313">
        <f>IF(G2313=1,0.2*R2313/F2313,N2312)</f>
        <v/>
      </c>
      <c r="O2313">
        <f>IF(G2313=1,R2313*(1-1.0),IF(H2312=0,1,O2312*(1+0.00023125256064071564)))</f>
        <v/>
      </c>
      <c r="P2313">
        <f>IF(G2313=1,IF(H2312=0,1,ABS(0.2-J2312*B2313/I2313)+ABS(0.2-K2312*C2313/I2313)+ABS(0.2-L2312*D2313/I2313)+ABS(0.2-M2312*E2313/I2313)+ABS(0.2-N2312*F2313/I2313)),0)</f>
        <v/>
      </c>
      <c r="Q2313">
        <f>P2313*0.0015</f>
        <v/>
      </c>
      <c r="R2313">
        <f>I2313*(1-Q2313)</f>
        <v/>
      </c>
      <c r="S2313">
        <f>R2313/R2312-1</f>
        <v/>
      </c>
      <c r="T2313">
        <f>MAX(T2312,R2313)</f>
        <v/>
      </c>
      <c r="U2313">
        <f>R2313/T2313-1</f>
        <v/>
      </c>
      <c r="V2313" t="n">
        <v>5.109020654219561</v>
      </c>
      <c r="W2313" s="5">
        <f>R2313-V2313</f>
        <v/>
      </c>
    </row>
    <row r="2314">
      <c r="A2314" s="3" t="n">
        <v>41836</v>
      </c>
      <c r="B2314">
        <f>Prices!B2314</f>
        <v/>
      </c>
      <c r="C2314">
        <f>Prices!C2314</f>
        <v/>
      </c>
      <c r="D2314">
        <f>Prices!D2314</f>
        <v/>
      </c>
      <c r="E2314">
        <f>Prices!E2314</f>
        <v/>
      </c>
      <c r="F2314">
        <f>Prices!F2314</f>
        <v/>
      </c>
      <c r="G2314">
        <f>IF(AND(2312&gt;=16,TEXT(A2314,"yyyy-mm")&lt;&gt;TEXT(A2315,"yyyy-mm")),1,0)</f>
        <v/>
      </c>
      <c r="H2314">
        <f>IF(OR(H2313=1,G2314=1),1,0)</f>
        <v/>
      </c>
      <c r="I2314">
        <f>IF(H2313=0,1,SUMPRODUCT(J2313:N2313,B2314:F2314)+O2313*(1+0.00023125256064071564))</f>
        <v/>
      </c>
      <c r="J2314">
        <f>IF(G2314=1,0.2*R2314/B2314,J2313)</f>
        <v/>
      </c>
      <c r="K2314">
        <f>IF(G2314=1,0.2*R2314/C2314,K2313)</f>
        <v/>
      </c>
      <c r="L2314">
        <f>IF(G2314=1,0.2*R2314/D2314,L2313)</f>
        <v/>
      </c>
      <c r="M2314">
        <f>IF(G2314=1,0.2*R2314/E2314,M2313)</f>
        <v/>
      </c>
      <c r="N2314">
        <f>IF(G2314=1,0.2*R2314/F2314,N2313)</f>
        <v/>
      </c>
      <c r="O2314">
        <f>IF(G2314=1,R2314*(1-1.0),IF(H2313=0,1,O2313*(1+0.00023125256064071564)))</f>
        <v/>
      </c>
      <c r="P2314">
        <f>IF(G2314=1,IF(H2313=0,1,ABS(0.2-J2313*B2314/I2314)+ABS(0.2-K2313*C2314/I2314)+ABS(0.2-L2313*D2314/I2314)+ABS(0.2-M2313*E2314/I2314)+ABS(0.2-N2313*F2314/I2314)),0)</f>
        <v/>
      </c>
      <c r="Q2314">
        <f>P2314*0.0015</f>
        <v/>
      </c>
      <c r="R2314">
        <f>I2314*(1-Q2314)</f>
        <v/>
      </c>
      <c r="S2314">
        <f>R2314/R2313-1</f>
        <v/>
      </c>
      <c r="T2314">
        <f>MAX(T2313,R2314)</f>
        <v/>
      </c>
      <c r="U2314">
        <f>R2314/T2314-1</f>
        <v/>
      </c>
      <c r="V2314" t="n">
        <v>5.170618150045546</v>
      </c>
      <c r="W2314" s="5">
        <f>R2314-V2314</f>
        <v/>
      </c>
    </row>
    <row r="2315">
      <c r="A2315" s="3" t="n">
        <v>41837</v>
      </c>
      <c r="B2315">
        <f>Prices!B2315</f>
        <v/>
      </c>
      <c r="C2315">
        <f>Prices!C2315</f>
        <v/>
      </c>
      <c r="D2315">
        <f>Prices!D2315</f>
        <v/>
      </c>
      <c r="E2315">
        <f>Prices!E2315</f>
        <v/>
      </c>
      <c r="F2315">
        <f>Prices!F2315</f>
        <v/>
      </c>
      <c r="G2315">
        <f>IF(AND(2313&gt;=16,TEXT(A2315,"yyyy-mm")&lt;&gt;TEXT(A2316,"yyyy-mm")),1,0)</f>
        <v/>
      </c>
      <c r="H2315">
        <f>IF(OR(H2314=1,G2315=1),1,0)</f>
        <v/>
      </c>
      <c r="I2315">
        <f>IF(H2314=0,1,SUMPRODUCT(J2314:N2314,B2315:F2315)+O2314*(1+0.00023125256064071564))</f>
        <v/>
      </c>
      <c r="J2315">
        <f>IF(G2315=1,0.2*R2315/B2315,J2314)</f>
        <v/>
      </c>
      <c r="K2315">
        <f>IF(G2315=1,0.2*R2315/C2315,K2314)</f>
        <v/>
      </c>
      <c r="L2315">
        <f>IF(G2315=1,0.2*R2315/D2315,L2314)</f>
        <v/>
      </c>
      <c r="M2315">
        <f>IF(G2315=1,0.2*R2315/E2315,M2314)</f>
        <v/>
      </c>
      <c r="N2315">
        <f>IF(G2315=1,0.2*R2315/F2315,N2314)</f>
        <v/>
      </c>
      <c r="O2315">
        <f>IF(G2315=1,R2315*(1-1.0),IF(H2314=0,1,O2314*(1+0.00023125256064071564)))</f>
        <v/>
      </c>
      <c r="P2315">
        <f>IF(G2315=1,IF(H2314=0,1,ABS(0.2-J2314*B2315/I2315)+ABS(0.2-K2314*C2315/I2315)+ABS(0.2-L2314*D2315/I2315)+ABS(0.2-M2314*E2315/I2315)+ABS(0.2-N2314*F2315/I2315)),0)</f>
        <v/>
      </c>
      <c r="Q2315">
        <f>P2315*0.0015</f>
        <v/>
      </c>
      <c r="R2315">
        <f>I2315*(1-Q2315)</f>
        <v/>
      </c>
      <c r="S2315">
        <f>R2315/R2314-1</f>
        <v/>
      </c>
      <c r="T2315">
        <f>MAX(T2314,R2315)</f>
        <v/>
      </c>
      <c r="U2315">
        <f>R2315/T2315-1</f>
        <v/>
      </c>
      <c r="V2315" t="n">
        <v>5.230162672683672</v>
      </c>
      <c r="W2315" s="5">
        <f>R2315-V2315</f>
        <v/>
      </c>
    </row>
    <row r="2316">
      <c r="A2316" s="3" t="n">
        <v>41838</v>
      </c>
      <c r="B2316">
        <f>Prices!B2316</f>
        <v/>
      </c>
      <c r="C2316">
        <f>Prices!C2316</f>
        <v/>
      </c>
      <c r="D2316">
        <f>Prices!D2316</f>
        <v/>
      </c>
      <c r="E2316">
        <f>Prices!E2316</f>
        <v/>
      </c>
      <c r="F2316">
        <f>Prices!F2316</f>
        <v/>
      </c>
      <c r="G2316">
        <f>IF(AND(2314&gt;=16,TEXT(A2316,"yyyy-mm")&lt;&gt;TEXT(A2317,"yyyy-mm")),1,0)</f>
        <v/>
      </c>
      <c r="H2316">
        <f>IF(OR(H2315=1,G2316=1),1,0)</f>
        <v/>
      </c>
      <c r="I2316">
        <f>IF(H2315=0,1,SUMPRODUCT(J2315:N2315,B2316:F2316)+O2315*(1+0.00023125256064071564))</f>
        <v/>
      </c>
      <c r="J2316">
        <f>IF(G2316=1,0.2*R2316/B2316,J2315)</f>
        <v/>
      </c>
      <c r="K2316">
        <f>IF(G2316=1,0.2*R2316/C2316,K2315)</f>
        <v/>
      </c>
      <c r="L2316">
        <f>IF(G2316=1,0.2*R2316/D2316,L2315)</f>
        <v/>
      </c>
      <c r="M2316">
        <f>IF(G2316=1,0.2*R2316/E2316,M2315)</f>
        <v/>
      </c>
      <c r="N2316">
        <f>IF(G2316=1,0.2*R2316/F2316,N2315)</f>
        <v/>
      </c>
      <c r="O2316">
        <f>IF(G2316=1,R2316*(1-1.0),IF(H2315=0,1,O2315*(1+0.00023125256064071564)))</f>
        <v/>
      </c>
      <c r="P2316">
        <f>IF(G2316=1,IF(H2315=0,1,ABS(0.2-J2315*B2316/I2316)+ABS(0.2-K2315*C2316/I2316)+ABS(0.2-L2315*D2316/I2316)+ABS(0.2-M2315*E2316/I2316)+ABS(0.2-N2315*F2316/I2316)),0)</f>
        <v/>
      </c>
      <c r="Q2316">
        <f>P2316*0.0015</f>
        <v/>
      </c>
      <c r="R2316">
        <f>I2316*(1-Q2316)</f>
        <v/>
      </c>
      <c r="S2316">
        <f>R2316/R2315-1</f>
        <v/>
      </c>
      <c r="T2316">
        <f>MAX(T2315,R2316)</f>
        <v/>
      </c>
      <c r="U2316">
        <f>R2316/T2316-1</f>
        <v/>
      </c>
      <c r="V2316" t="n">
        <v>5.217757499047706</v>
      </c>
      <c r="W2316" s="5">
        <f>R2316-V2316</f>
        <v/>
      </c>
    </row>
    <row r="2317">
      <c r="A2317" s="3" t="n">
        <v>41841</v>
      </c>
      <c r="B2317">
        <f>Prices!B2317</f>
        <v/>
      </c>
      <c r="C2317">
        <f>Prices!C2317</f>
        <v/>
      </c>
      <c r="D2317">
        <f>Prices!D2317</f>
        <v/>
      </c>
      <c r="E2317">
        <f>Prices!E2317</f>
        <v/>
      </c>
      <c r="F2317">
        <f>Prices!F2317</f>
        <v/>
      </c>
      <c r="G2317">
        <f>IF(AND(2315&gt;=16,TEXT(A2317,"yyyy-mm")&lt;&gt;TEXT(A2318,"yyyy-mm")),1,0)</f>
        <v/>
      </c>
      <c r="H2317">
        <f>IF(OR(H2316=1,G2317=1),1,0)</f>
        <v/>
      </c>
      <c r="I2317">
        <f>IF(H2316=0,1,SUMPRODUCT(J2316:N2316,B2317:F2317)+O2316*(1+0.00023125256064071564))</f>
        <v/>
      </c>
      <c r="J2317">
        <f>IF(G2317=1,0.2*R2317/B2317,J2316)</f>
        <v/>
      </c>
      <c r="K2317">
        <f>IF(G2317=1,0.2*R2317/C2317,K2316)</f>
        <v/>
      </c>
      <c r="L2317">
        <f>IF(G2317=1,0.2*R2317/D2317,L2316)</f>
        <v/>
      </c>
      <c r="M2317">
        <f>IF(G2317=1,0.2*R2317/E2317,M2316)</f>
        <v/>
      </c>
      <c r="N2317">
        <f>IF(G2317=1,0.2*R2317/F2317,N2316)</f>
        <v/>
      </c>
      <c r="O2317">
        <f>IF(G2317=1,R2317*(1-1.0),IF(H2316=0,1,O2316*(1+0.00023125256064071564)))</f>
        <v/>
      </c>
      <c r="P2317">
        <f>IF(G2317=1,IF(H2316=0,1,ABS(0.2-J2316*B2317/I2317)+ABS(0.2-K2316*C2317/I2317)+ABS(0.2-L2316*D2317/I2317)+ABS(0.2-M2316*E2317/I2317)+ABS(0.2-N2316*F2317/I2317)),0)</f>
        <v/>
      </c>
      <c r="Q2317">
        <f>P2317*0.0015</f>
        <v/>
      </c>
      <c r="R2317">
        <f>I2317*(1-Q2317)</f>
        <v/>
      </c>
      <c r="S2317">
        <f>R2317/R2316-1</f>
        <v/>
      </c>
      <c r="T2317">
        <f>MAX(T2316,R2317)</f>
        <v/>
      </c>
      <c r="U2317">
        <f>R2317/T2317-1</f>
        <v/>
      </c>
      <c r="V2317" t="n">
        <v>5.236848112275919</v>
      </c>
      <c r="W2317" s="5">
        <f>R2317-V2317</f>
        <v/>
      </c>
    </row>
    <row r="2318">
      <c r="A2318" s="3" t="n">
        <v>41842</v>
      </c>
      <c r="B2318">
        <f>Prices!B2318</f>
        <v/>
      </c>
      <c r="C2318">
        <f>Prices!C2318</f>
        <v/>
      </c>
      <c r="D2318">
        <f>Prices!D2318</f>
        <v/>
      </c>
      <c r="E2318">
        <f>Prices!E2318</f>
        <v/>
      </c>
      <c r="F2318">
        <f>Prices!F2318</f>
        <v/>
      </c>
      <c r="G2318">
        <f>IF(AND(2316&gt;=16,TEXT(A2318,"yyyy-mm")&lt;&gt;TEXT(A2319,"yyyy-mm")),1,0)</f>
        <v/>
      </c>
      <c r="H2318">
        <f>IF(OR(H2317=1,G2318=1),1,0)</f>
        <v/>
      </c>
      <c r="I2318">
        <f>IF(H2317=0,1,SUMPRODUCT(J2317:N2317,B2318:F2318)+O2317*(1+0.00023125256064071564))</f>
        <v/>
      </c>
      <c r="J2318">
        <f>IF(G2318=1,0.2*R2318/B2318,J2317)</f>
        <v/>
      </c>
      <c r="K2318">
        <f>IF(G2318=1,0.2*R2318/C2318,K2317)</f>
        <v/>
      </c>
      <c r="L2318">
        <f>IF(G2318=1,0.2*R2318/D2318,L2317)</f>
        <v/>
      </c>
      <c r="M2318">
        <f>IF(G2318=1,0.2*R2318/E2318,M2317)</f>
        <v/>
      </c>
      <c r="N2318">
        <f>IF(G2318=1,0.2*R2318/F2318,N2317)</f>
        <v/>
      </c>
      <c r="O2318">
        <f>IF(G2318=1,R2318*(1-1.0),IF(H2317=0,1,O2317*(1+0.00023125256064071564)))</f>
        <v/>
      </c>
      <c r="P2318">
        <f>IF(G2318=1,IF(H2317=0,1,ABS(0.2-J2317*B2318/I2318)+ABS(0.2-K2317*C2318/I2318)+ABS(0.2-L2317*D2318/I2318)+ABS(0.2-M2317*E2318/I2318)+ABS(0.2-N2317*F2318/I2318)),0)</f>
        <v/>
      </c>
      <c r="Q2318">
        <f>P2318*0.0015</f>
        <v/>
      </c>
      <c r="R2318">
        <f>I2318*(1-Q2318)</f>
        <v/>
      </c>
      <c r="S2318">
        <f>R2318/R2317-1</f>
        <v/>
      </c>
      <c r="T2318">
        <f>MAX(T2317,R2318)</f>
        <v/>
      </c>
      <c r="U2318">
        <f>R2318/T2318-1</f>
        <v/>
      </c>
      <c r="V2318" t="n">
        <v>5.254375030260339</v>
      </c>
      <c r="W2318" s="5">
        <f>R2318-V2318</f>
        <v/>
      </c>
    </row>
    <row r="2319">
      <c r="A2319" s="3" t="n">
        <v>41843</v>
      </c>
      <c r="B2319">
        <f>Prices!B2319</f>
        <v/>
      </c>
      <c r="C2319">
        <f>Prices!C2319</f>
        <v/>
      </c>
      <c r="D2319">
        <f>Prices!D2319</f>
        <v/>
      </c>
      <c r="E2319">
        <f>Prices!E2319</f>
        <v/>
      </c>
      <c r="F2319">
        <f>Prices!F2319</f>
        <v/>
      </c>
      <c r="G2319">
        <f>IF(AND(2317&gt;=16,TEXT(A2319,"yyyy-mm")&lt;&gt;TEXT(A2320,"yyyy-mm")),1,0)</f>
        <v/>
      </c>
      <c r="H2319">
        <f>IF(OR(H2318=1,G2319=1),1,0)</f>
        <v/>
      </c>
      <c r="I2319">
        <f>IF(H2318=0,1,SUMPRODUCT(J2318:N2318,B2319:F2319)+O2318*(1+0.00023125256064071564))</f>
        <v/>
      </c>
      <c r="J2319">
        <f>IF(G2319=1,0.2*R2319/B2319,J2318)</f>
        <v/>
      </c>
      <c r="K2319">
        <f>IF(G2319=1,0.2*R2319/C2319,K2318)</f>
        <v/>
      </c>
      <c r="L2319">
        <f>IF(G2319=1,0.2*R2319/D2319,L2318)</f>
        <v/>
      </c>
      <c r="M2319">
        <f>IF(G2319=1,0.2*R2319/E2319,M2318)</f>
        <v/>
      </c>
      <c r="N2319">
        <f>IF(G2319=1,0.2*R2319/F2319,N2318)</f>
        <v/>
      </c>
      <c r="O2319">
        <f>IF(G2319=1,R2319*(1-1.0),IF(H2318=0,1,O2318*(1+0.00023125256064071564)))</f>
        <v/>
      </c>
      <c r="P2319">
        <f>IF(G2319=1,IF(H2318=0,1,ABS(0.2-J2318*B2319/I2319)+ABS(0.2-K2318*C2319/I2319)+ABS(0.2-L2318*D2319/I2319)+ABS(0.2-M2318*E2319/I2319)+ABS(0.2-N2318*F2319/I2319)),0)</f>
        <v/>
      </c>
      <c r="Q2319">
        <f>P2319*0.0015</f>
        <v/>
      </c>
      <c r="R2319">
        <f>I2319*(1-Q2319)</f>
        <v/>
      </c>
      <c r="S2319">
        <f>R2319/R2318-1</f>
        <v/>
      </c>
      <c r="T2319">
        <f>MAX(T2318,R2319)</f>
        <v/>
      </c>
      <c r="U2319">
        <f>R2319/T2319-1</f>
        <v/>
      </c>
      <c r="V2319" t="n">
        <v>5.260998638966854</v>
      </c>
      <c r="W2319" s="5">
        <f>R2319-V2319</f>
        <v/>
      </c>
    </row>
    <row r="2320">
      <c r="A2320" s="3" t="n">
        <v>41844</v>
      </c>
      <c r="B2320">
        <f>Prices!B2320</f>
        <v/>
      </c>
      <c r="C2320">
        <f>Prices!C2320</f>
        <v/>
      </c>
      <c r="D2320">
        <f>Prices!D2320</f>
        <v/>
      </c>
      <c r="E2320">
        <f>Prices!E2320</f>
        <v/>
      </c>
      <c r="F2320">
        <f>Prices!F2320</f>
        <v/>
      </c>
      <c r="G2320">
        <f>IF(AND(2318&gt;=16,TEXT(A2320,"yyyy-mm")&lt;&gt;TEXT(A2321,"yyyy-mm")),1,0)</f>
        <v/>
      </c>
      <c r="H2320">
        <f>IF(OR(H2319=1,G2320=1),1,0)</f>
        <v/>
      </c>
      <c r="I2320">
        <f>IF(H2319=0,1,SUMPRODUCT(J2319:N2319,B2320:F2320)+O2319*(1+0.00023125256064071564))</f>
        <v/>
      </c>
      <c r="J2320">
        <f>IF(G2320=1,0.2*R2320/B2320,J2319)</f>
        <v/>
      </c>
      <c r="K2320">
        <f>IF(G2320=1,0.2*R2320/C2320,K2319)</f>
        <v/>
      </c>
      <c r="L2320">
        <f>IF(G2320=1,0.2*R2320/D2320,L2319)</f>
        <v/>
      </c>
      <c r="M2320">
        <f>IF(G2320=1,0.2*R2320/E2320,M2319)</f>
        <v/>
      </c>
      <c r="N2320">
        <f>IF(G2320=1,0.2*R2320/F2320,N2319)</f>
        <v/>
      </c>
      <c r="O2320">
        <f>IF(G2320=1,R2320*(1-1.0),IF(H2319=0,1,O2319*(1+0.00023125256064071564)))</f>
        <v/>
      </c>
      <c r="P2320">
        <f>IF(G2320=1,IF(H2319=0,1,ABS(0.2-J2319*B2320/I2320)+ABS(0.2-K2319*C2320/I2320)+ABS(0.2-L2319*D2320/I2320)+ABS(0.2-M2319*E2320/I2320)+ABS(0.2-N2319*F2320/I2320)),0)</f>
        <v/>
      </c>
      <c r="Q2320">
        <f>P2320*0.0015</f>
        <v/>
      </c>
      <c r="R2320">
        <f>I2320*(1-Q2320)</f>
        <v/>
      </c>
      <c r="S2320">
        <f>R2320/R2319-1</f>
        <v/>
      </c>
      <c r="T2320">
        <f>MAX(T2319,R2320)</f>
        <v/>
      </c>
      <c r="U2320">
        <f>R2320/T2320-1</f>
        <v/>
      </c>
      <c r="V2320" t="n">
        <v>5.249440882061045</v>
      </c>
      <c r="W2320" s="5">
        <f>R2320-V2320</f>
        <v/>
      </c>
    </row>
    <row r="2321">
      <c r="A2321" s="3" t="n">
        <v>41845</v>
      </c>
      <c r="B2321">
        <f>Prices!B2321</f>
        <v/>
      </c>
      <c r="C2321">
        <f>Prices!C2321</f>
        <v/>
      </c>
      <c r="D2321">
        <f>Prices!D2321</f>
        <v/>
      </c>
      <c r="E2321">
        <f>Prices!E2321</f>
        <v/>
      </c>
      <c r="F2321">
        <f>Prices!F2321</f>
        <v/>
      </c>
      <c r="G2321">
        <f>IF(AND(2319&gt;=16,TEXT(A2321,"yyyy-mm")&lt;&gt;TEXT(A2322,"yyyy-mm")),1,0)</f>
        <v/>
      </c>
      <c r="H2321">
        <f>IF(OR(H2320=1,G2321=1),1,0)</f>
        <v/>
      </c>
      <c r="I2321">
        <f>IF(H2320=0,1,SUMPRODUCT(J2320:N2320,B2321:F2321)+O2320*(1+0.00023125256064071564))</f>
        <v/>
      </c>
      <c r="J2321">
        <f>IF(G2321=1,0.2*R2321/B2321,J2320)</f>
        <v/>
      </c>
      <c r="K2321">
        <f>IF(G2321=1,0.2*R2321/C2321,K2320)</f>
        <v/>
      </c>
      <c r="L2321">
        <f>IF(G2321=1,0.2*R2321/D2321,L2320)</f>
        <v/>
      </c>
      <c r="M2321">
        <f>IF(G2321=1,0.2*R2321/E2321,M2320)</f>
        <v/>
      </c>
      <c r="N2321">
        <f>IF(G2321=1,0.2*R2321/F2321,N2320)</f>
        <v/>
      </c>
      <c r="O2321">
        <f>IF(G2321=1,R2321*(1-1.0),IF(H2320=0,1,O2320*(1+0.00023125256064071564)))</f>
        <v/>
      </c>
      <c r="P2321">
        <f>IF(G2321=1,IF(H2320=0,1,ABS(0.2-J2320*B2321/I2321)+ABS(0.2-K2320*C2321/I2321)+ABS(0.2-L2320*D2321/I2321)+ABS(0.2-M2320*E2321/I2321)+ABS(0.2-N2320*F2321/I2321)),0)</f>
        <v/>
      </c>
      <c r="Q2321">
        <f>P2321*0.0015</f>
        <v/>
      </c>
      <c r="R2321">
        <f>I2321*(1-Q2321)</f>
        <v/>
      </c>
      <c r="S2321">
        <f>R2321/R2320-1</f>
        <v/>
      </c>
      <c r="T2321">
        <f>MAX(T2320,R2321)</f>
        <v/>
      </c>
      <c r="U2321">
        <f>R2321/T2321-1</f>
        <v/>
      </c>
      <c r="V2321" t="n">
        <v>5.213939488873554</v>
      </c>
      <c r="W2321" s="5">
        <f>R2321-V2321</f>
        <v/>
      </c>
    </row>
    <row r="2322">
      <c r="A2322" s="3" t="n">
        <v>41848</v>
      </c>
      <c r="B2322">
        <f>Prices!B2322</f>
        <v/>
      </c>
      <c r="C2322">
        <f>Prices!C2322</f>
        <v/>
      </c>
      <c r="D2322">
        <f>Prices!D2322</f>
        <v/>
      </c>
      <c r="E2322">
        <f>Prices!E2322</f>
        <v/>
      </c>
      <c r="F2322">
        <f>Prices!F2322</f>
        <v/>
      </c>
      <c r="G2322">
        <f>IF(AND(2320&gt;=16,TEXT(A2322,"yyyy-mm")&lt;&gt;TEXT(A2323,"yyyy-mm")),1,0)</f>
        <v/>
      </c>
      <c r="H2322">
        <f>IF(OR(H2321=1,G2322=1),1,0)</f>
        <v/>
      </c>
      <c r="I2322">
        <f>IF(H2321=0,1,SUMPRODUCT(J2321:N2321,B2322:F2322)+O2321*(1+0.00023125256064071564))</f>
        <v/>
      </c>
      <c r="J2322">
        <f>IF(G2322=1,0.2*R2322/B2322,J2321)</f>
        <v/>
      </c>
      <c r="K2322">
        <f>IF(G2322=1,0.2*R2322/C2322,K2321)</f>
        <v/>
      </c>
      <c r="L2322">
        <f>IF(G2322=1,0.2*R2322/D2322,L2321)</f>
        <v/>
      </c>
      <c r="M2322">
        <f>IF(G2322=1,0.2*R2322/E2322,M2321)</f>
        <v/>
      </c>
      <c r="N2322">
        <f>IF(G2322=1,0.2*R2322/F2322,N2321)</f>
        <v/>
      </c>
      <c r="O2322">
        <f>IF(G2322=1,R2322*(1-1.0),IF(H2321=0,1,O2321*(1+0.00023125256064071564)))</f>
        <v/>
      </c>
      <c r="P2322">
        <f>IF(G2322=1,IF(H2321=0,1,ABS(0.2-J2321*B2322/I2322)+ABS(0.2-K2321*C2322/I2322)+ABS(0.2-L2321*D2322/I2322)+ABS(0.2-M2321*E2322/I2322)+ABS(0.2-N2321*F2322/I2322)),0)</f>
        <v/>
      </c>
      <c r="Q2322">
        <f>P2322*0.0015</f>
        <v/>
      </c>
      <c r="R2322">
        <f>I2322*(1-Q2322)</f>
        <v/>
      </c>
      <c r="S2322">
        <f>R2322/R2321-1</f>
        <v/>
      </c>
      <c r="T2322">
        <f>MAX(T2321,R2322)</f>
        <v/>
      </c>
      <c r="U2322">
        <f>R2322/T2322-1</f>
        <v/>
      </c>
      <c r="V2322" t="n">
        <v>5.198810186278931</v>
      </c>
      <c r="W2322" s="5">
        <f>R2322-V2322</f>
        <v/>
      </c>
    </row>
    <row r="2323">
      <c r="A2323" s="3" t="n">
        <v>41850</v>
      </c>
      <c r="B2323">
        <f>Prices!B2323</f>
        <v/>
      </c>
      <c r="C2323">
        <f>Prices!C2323</f>
        <v/>
      </c>
      <c r="D2323">
        <f>Prices!D2323</f>
        <v/>
      </c>
      <c r="E2323">
        <f>Prices!E2323</f>
        <v/>
      </c>
      <c r="F2323">
        <f>Prices!F2323</f>
        <v/>
      </c>
      <c r="G2323">
        <f>IF(AND(2321&gt;=16,TEXT(A2323,"yyyy-mm")&lt;&gt;TEXT(A2324,"yyyy-mm")),1,0)</f>
        <v/>
      </c>
      <c r="H2323">
        <f>IF(OR(H2322=1,G2323=1),1,0)</f>
        <v/>
      </c>
      <c r="I2323">
        <f>IF(H2322=0,1,SUMPRODUCT(J2322:N2322,B2323:F2323)+O2322*(1+0.00023125256064071564))</f>
        <v/>
      </c>
      <c r="J2323">
        <f>IF(G2323=1,0.2*R2323/B2323,J2322)</f>
        <v/>
      </c>
      <c r="K2323">
        <f>IF(G2323=1,0.2*R2323/C2323,K2322)</f>
        <v/>
      </c>
      <c r="L2323">
        <f>IF(G2323=1,0.2*R2323/D2323,L2322)</f>
        <v/>
      </c>
      <c r="M2323">
        <f>IF(G2323=1,0.2*R2323/E2323,M2322)</f>
        <v/>
      </c>
      <c r="N2323">
        <f>IF(G2323=1,0.2*R2323/F2323,N2322)</f>
        <v/>
      </c>
      <c r="O2323">
        <f>IF(G2323=1,R2323*(1-1.0),IF(H2322=0,1,O2322*(1+0.00023125256064071564)))</f>
        <v/>
      </c>
      <c r="P2323">
        <f>IF(G2323=1,IF(H2322=0,1,ABS(0.2-J2322*B2323/I2323)+ABS(0.2-K2322*C2323/I2323)+ABS(0.2-L2322*D2323/I2323)+ABS(0.2-M2322*E2323/I2323)+ABS(0.2-N2322*F2323/I2323)),0)</f>
        <v/>
      </c>
      <c r="Q2323">
        <f>P2323*0.0015</f>
        <v/>
      </c>
      <c r="R2323">
        <f>I2323*(1-Q2323)</f>
        <v/>
      </c>
      <c r="S2323">
        <f>R2323/R2322-1</f>
        <v/>
      </c>
      <c r="T2323">
        <f>MAX(T2322,R2323)</f>
        <v/>
      </c>
      <c r="U2323">
        <f>R2323/T2323-1</f>
        <v/>
      </c>
      <c r="V2323" t="n">
        <v>5.232519013213865</v>
      </c>
      <c r="W2323" s="5">
        <f>R2323-V2323</f>
        <v/>
      </c>
    </row>
    <row r="2324">
      <c r="A2324" s="3" t="n">
        <v>41851</v>
      </c>
      <c r="B2324">
        <f>Prices!B2324</f>
        <v/>
      </c>
      <c r="C2324">
        <f>Prices!C2324</f>
        <v/>
      </c>
      <c r="D2324">
        <f>Prices!D2324</f>
        <v/>
      </c>
      <c r="E2324">
        <f>Prices!E2324</f>
        <v/>
      </c>
      <c r="F2324">
        <f>Prices!F2324</f>
        <v/>
      </c>
      <c r="G2324">
        <f>IF(AND(2322&gt;=16,TEXT(A2324,"yyyy-mm")&lt;&gt;TEXT(A2325,"yyyy-mm")),1,0)</f>
        <v/>
      </c>
      <c r="H2324">
        <f>IF(OR(H2323=1,G2324=1),1,0)</f>
        <v/>
      </c>
      <c r="I2324">
        <f>IF(H2323=0,1,SUMPRODUCT(J2323:N2323,B2324:F2324)+O2323*(1+0.00023125256064071564))</f>
        <v/>
      </c>
      <c r="J2324">
        <f>IF(G2324=1,0.2*R2324/B2324,J2323)</f>
        <v/>
      </c>
      <c r="K2324">
        <f>IF(G2324=1,0.2*R2324/C2324,K2323)</f>
        <v/>
      </c>
      <c r="L2324">
        <f>IF(G2324=1,0.2*R2324/D2324,L2323)</f>
        <v/>
      </c>
      <c r="M2324">
        <f>IF(G2324=1,0.2*R2324/E2324,M2323)</f>
        <v/>
      </c>
      <c r="N2324">
        <f>IF(G2324=1,0.2*R2324/F2324,N2323)</f>
        <v/>
      </c>
      <c r="O2324">
        <f>IF(G2324=1,R2324*(1-1.0),IF(H2323=0,1,O2323*(1+0.00023125256064071564)))</f>
        <v/>
      </c>
      <c r="P2324">
        <f>IF(G2324=1,IF(H2323=0,1,ABS(0.2-J2323*B2324/I2324)+ABS(0.2-K2323*C2324/I2324)+ABS(0.2-L2323*D2324/I2324)+ABS(0.2-M2323*E2324/I2324)+ABS(0.2-N2323*F2324/I2324)),0)</f>
        <v/>
      </c>
      <c r="Q2324">
        <f>P2324*0.0015</f>
        <v/>
      </c>
      <c r="R2324">
        <f>I2324*(1-Q2324)</f>
        <v/>
      </c>
      <c r="S2324">
        <f>R2324/R2323-1</f>
        <v/>
      </c>
      <c r="T2324">
        <f>MAX(T2323,R2324)</f>
        <v/>
      </c>
      <c r="U2324">
        <f>R2324/T2324-1</f>
        <v/>
      </c>
      <c r="V2324" t="n">
        <v>5.23869636707528</v>
      </c>
      <c r="W2324" s="5">
        <f>R2324-V2324</f>
        <v/>
      </c>
    </row>
    <row r="2325">
      <c r="A2325" s="3" t="n">
        <v>41852</v>
      </c>
      <c r="B2325">
        <f>Prices!B2325</f>
        <v/>
      </c>
      <c r="C2325">
        <f>Prices!C2325</f>
        <v/>
      </c>
      <c r="D2325">
        <f>Prices!D2325</f>
        <v/>
      </c>
      <c r="E2325">
        <f>Prices!E2325</f>
        <v/>
      </c>
      <c r="F2325">
        <f>Prices!F2325</f>
        <v/>
      </c>
      <c r="G2325">
        <f>IF(AND(2323&gt;=16,TEXT(A2325,"yyyy-mm")&lt;&gt;TEXT(A2326,"yyyy-mm")),1,0)</f>
        <v/>
      </c>
      <c r="H2325">
        <f>IF(OR(H2324=1,G2325=1),1,0)</f>
        <v/>
      </c>
      <c r="I2325">
        <f>IF(H2324=0,1,SUMPRODUCT(J2324:N2324,B2325:F2325)+O2324*(1+0.00023125256064071564))</f>
        <v/>
      </c>
      <c r="J2325">
        <f>IF(G2325=1,0.2*R2325/B2325,J2324)</f>
        <v/>
      </c>
      <c r="K2325">
        <f>IF(G2325=1,0.2*R2325/C2325,K2324)</f>
        <v/>
      </c>
      <c r="L2325">
        <f>IF(G2325=1,0.2*R2325/D2325,L2324)</f>
        <v/>
      </c>
      <c r="M2325">
        <f>IF(G2325=1,0.2*R2325/E2325,M2324)</f>
        <v/>
      </c>
      <c r="N2325">
        <f>IF(G2325=1,0.2*R2325/F2325,N2324)</f>
        <v/>
      </c>
      <c r="O2325">
        <f>IF(G2325=1,R2325*(1-1.0),IF(H2324=0,1,O2324*(1+0.00023125256064071564)))</f>
        <v/>
      </c>
      <c r="P2325">
        <f>IF(G2325=1,IF(H2324=0,1,ABS(0.2-J2324*B2325/I2325)+ABS(0.2-K2324*C2325/I2325)+ABS(0.2-L2324*D2325/I2325)+ABS(0.2-M2324*E2325/I2325)+ABS(0.2-N2324*F2325/I2325)),0)</f>
        <v/>
      </c>
      <c r="Q2325">
        <f>P2325*0.0015</f>
        <v/>
      </c>
      <c r="R2325">
        <f>I2325*(1-Q2325)</f>
        <v/>
      </c>
      <c r="S2325">
        <f>R2325/R2324-1</f>
        <v/>
      </c>
      <c r="T2325">
        <f>MAX(T2324,R2325)</f>
        <v/>
      </c>
      <c r="U2325">
        <f>R2325/T2325-1</f>
        <v/>
      </c>
      <c r="V2325" t="n">
        <v>5.181467619905534</v>
      </c>
      <c r="W2325" s="5">
        <f>R2325-V2325</f>
        <v/>
      </c>
    </row>
    <row r="2326">
      <c r="A2326" s="3" t="n">
        <v>41855</v>
      </c>
      <c r="B2326">
        <f>Prices!B2326</f>
        <v/>
      </c>
      <c r="C2326">
        <f>Prices!C2326</f>
        <v/>
      </c>
      <c r="D2326">
        <f>Prices!D2326</f>
        <v/>
      </c>
      <c r="E2326">
        <f>Prices!E2326</f>
        <v/>
      </c>
      <c r="F2326">
        <f>Prices!F2326</f>
        <v/>
      </c>
      <c r="G2326">
        <f>IF(AND(2324&gt;=16,TEXT(A2326,"yyyy-mm")&lt;&gt;TEXT(A2327,"yyyy-mm")),1,0)</f>
        <v/>
      </c>
      <c r="H2326">
        <f>IF(OR(H2325=1,G2326=1),1,0)</f>
        <v/>
      </c>
      <c r="I2326">
        <f>IF(H2325=0,1,SUMPRODUCT(J2325:N2325,B2326:F2326)+O2325*(1+0.00023125256064071564))</f>
        <v/>
      </c>
      <c r="J2326">
        <f>IF(G2326=1,0.2*R2326/B2326,J2325)</f>
        <v/>
      </c>
      <c r="K2326">
        <f>IF(G2326=1,0.2*R2326/C2326,K2325)</f>
        <v/>
      </c>
      <c r="L2326">
        <f>IF(G2326=1,0.2*R2326/D2326,L2325)</f>
        <v/>
      </c>
      <c r="M2326">
        <f>IF(G2326=1,0.2*R2326/E2326,M2325)</f>
        <v/>
      </c>
      <c r="N2326">
        <f>IF(G2326=1,0.2*R2326/F2326,N2325)</f>
        <v/>
      </c>
      <c r="O2326">
        <f>IF(G2326=1,R2326*(1-1.0),IF(H2325=0,1,O2325*(1+0.00023125256064071564)))</f>
        <v/>
      </c>
      <c r="P2326">
        <f>IF(G2326=1,IF(H2325=0,1,ABS(0.2-J2325*B2326/I2326)+ABS(0.2-K2325*C2326/I2326)+ABS(0.2-L2325*D2326/I2326)+ABS(0.2-M2325*E2326/I2326)+ABS(0.2-N2325*F2326/I2326)),0)</f>
        <v/>
      </c>
      <c r="Q2326">
        <f>P2326*0.0015</f>
        <v/>
      </c>
      <c r="R2326">
        <f>I2326*(1-Q2326)</f>
        <v/>
      </c>
      <c r="S2326">
        <f>R2326/R2325-1</f>
        <v/>
      </c>
      <c r="T2326">
        <f>MAX(T2325,R2326)</f>
        <v/>
      </c>
      <c r="U2326">
        <f>R2326/T2326-1</f>
        <v/>
      </c>
      <c r="V2326" t="n">
        <v>5.248117293685379</v>
      </c>
      <c r="W2326" s="5">
        <f>R2326-V2326</f>
        <v/>
      </c>
    </row>
    <row r="2327">
      <c r="A2327" s="3" t="n">
        <v>41856</v>
      </c>
      <c r="B2327">
        <f>Prices!B2327</f>
        <v/>
      </c>
      <c r="C2327">
        <f>Prices!C2327</f>
        <v/>
      </c>
      <c r="D2327">
        <f>Prices!D2327</f>
        <v/>
      </c>
      <c r="E2327">
        <f>Prices!E2327</f>
        <v/>
      </c>
      <c r="F2327">
        <f>Prices!F2327</f>
        <v/>
      </c>
      <c r="G2327">
        <f>IF(AND(2325&gt;=16,TEXT(A2327,"yyyy-mm")&lt;&gt;TEXT(A2328,"yyyy-mm")),1,0)</f>
        <v/>
      </c>
      <c r="H2327">
        <f>IF(OR(H2326=1,G2327=1),1,0)</f>
        <v/>
      </c>
      <c r="I2327">
        <f>IF(H2326=0,1,SUMPRODUCT(J2326:N2326,B2327:F2327)+O2326*(1+0.00023125256064071564))</f>
        <v/>
      </c>
      <c r="J2327">
        <f>IF(G2327=1,0.2*R2327/B2327,J2326)</f>
        <v/>
      </c>
      <c r="K2327">
        <f>IF(G2327=1,0.2*R2327/C2327,K2326)</f>
        <v/>
      </c>
      <c r="L2327">
        <f>IF(G2327=1,0.2*R2327/D2327,L2326)</f>
        <v/>
      </c>
      <c r="M2327">
        <f>IF(G2327=1,0.2*R2327/E2327,M2326)</f>
        <v/>
      </c>
      <c r="N2327">
        <f>IF(G2327=1,0.2*R2327/F2327,N2326)</f>
        <v/>
      </c>
      <c r="O2327">
        <f>IF(G2327=1,R2327*(1-1.0),IF(H2326=0,1,O2326*(1+0.00023125256064071564)))</f>
        <v/>
      </c>
      <c r="P2327">
        <f>IF(G2327=1,IF(H2326=0,1,ABS(0.2-J2326*B2327/I2327)+ABS(0.2-K2326*C2327/I2327)+ABS(0.2-L2326*D2327/I2327)+ABS(0.2-M2326*E2327/I2327)+ABS(0.2-N2326*F2327/I2327)),0)</f>
        <v/>
      </c>
      <c r="Q2327">
        <f>P2327*0.0015</f>
        <v/>
      </c>
      <c r="R2327">
        <f>I2327*(1-Q2327)</f>
        <v/>
      </c>
      <c r="S2327">
        <f>R2327/R2326-1</f>
        <v/>
      </c>
      <c r="T2327">
        <f>MAX(T2326,R2327)</f>
        <v/>
      </c>
      <c r="U2327">
        <f>R2327/T2327-1</f>
        <v/>
      </c>
      <c r="V2327" t="n">
        <v>5.294316386782629</v>
      </c>
      <c r="W2327" s="5">
        <f>R2327-V2327</f>
        <v/>
      </c>
    </row>
    <row r="2328">
      <c r="A2328" s="3" t="n">
        <v>41857</v>
      </c>
      <c r="B2328">
        <f>Prices!B2328</f>
        <v/>
      </c>
      <c r="C2328">
        <f>Prices!C2328</f>
        <v/>
      </c>
      <c r="D2328">
        <f>Prices!D2328</f>
        <v/>
      </c>
      <c r="E2328">
        <f>Prices!E2328</f>
        <v/>
      </c>
      <c r="F2328">
        <f>Prices!F2328</f>
        <v/>
      </c>
      <c r="G2328">
        <f>IF(AND(2326&gt;=16,TEXT(A2328,"yyyy-mm")&lt;&gt;TEXT(A2329,"yyyy-mm")),1,0)</f>
        <v/>
      </c>
      <c r="H2328">
        <f>IF(OR(H2327=1,G2328=1),1,0)</f>
        <v/>
      </c>
      <c r="I2328">
        <f>IF(H2327=0,1,SUMPRODUCT(J2327:N2327,B2328:F2328)+O2327*(1+0.00023125256064071564))</f>
        <v/>
      </c>
      <c r="J2328">
        <f>IF(G2328=1,0.2*R2328/B2328,J2327)</f>
        <v/>
      </c>
      <c r="K2328">
        <f>IF(G2328=1,0.2*R2328/C2328,K2327)</f>
        <v/>
      </c>
      <c r="L2328">
        <f>IF(G2328=1,0.2*R2328/D2328,L2327)</f>
        <v/>
      </c>
      <c r="M2328">
        <f>IF(G2328=1,0.2*R2328/E2328,M2327)</f>
        <v/>
      </c>
      <c r="N2328">
        <f>IF(G2328=1,0.2*R2328/F2328,N2327)</f>
        <v/>
      </c>
      <c r="O2328">
        <f>IF(G2328=1,R2328*(1-1.0),IF(H2327=0,1,O2327*(1+0.00023125256064071564)))</f>
        <v/>
      </c>
      <c r="P2328">
        <f>IF(G2328=1,IF(H2327=0,1,ABS(0.2-J2327*B2328/I2328)+ABS(0.2-K2327*C2328/I2328)+ABS(0.2-L2327*D2328/I2328)+ABS(0.2-M2327*E2328/I2328)+ABS(0.2-N2327*F2328/I2328)),0)</f>
        <v/>
      </c>
      <c r="Q2328">
        <f>P2328*0.0015</f>
        <v/>
      </c>
      <c r="R2328">
        <f>I2328*(1-Q2328)</f>
        <v/>
      </c>
      <c r="S2328">
        <f>R2328/R2327-1</f>
        <v/>
      </c>
      <c r="T2328">
        <f>MAX(T2327,R2328)</f>
        <v/>
      </c>
      <c r="U2328">
        <f>R2328/T2328-1</f>
        <v/>
      </c>
      <c r="V2328" t="n">
        <v>5.26283191210089</v>
      </c>
      <c r="W2328" s="5">
        <f>R2328-V2328</f>
        <v/>
      </c>
    </row>
    <row r="2329">
      <c r="A2329" s="3" t="n">
        <v>41858</v>
      </c>
      <c r="B2329">
        <f>Prices!B2329</f>
        <v/>
      </c>
      <c r="C2329">
        <f>Prices!C2329</f>
        <v/>
      </c>
      <c r="D2329">
        <f>Prices!D2329</f>
        <v/>
      </c>
      <c r="E2329">
        <f>Prices!E2329</f>
        <v/>
      </c>
      <c r="F2329">
        <f>Prices!F2329</f>
        <v/>
      </c>
      <c r="G2329">
        <f>IF(AND(2327&gt;=16,TEXT(A2329,"yyyy-mm")&lt;&gt;TEXT(A2330,"yyyy-mm")),1,0)</f>
        <v/>
      </c>
      <c r="H2329">
        <f>IF(OR(H2328=1,G2329=1),1,0)</f>
        <v/>
      </c>
      <c r="I2329">
        <f>IF(H2328=0,1,SUMPRODUCT(J2328:N2328,B2329:F2329)+O2328*(1+0.00023125256064071564))</f>
        <v/>
      </c>
      <c r="J2329">
        <f>IF(G2329=1,0.2*R2329/B2329,J2328)</f>
        <v/>
      </c>
      <c r="K2329">
        <f>IF(G2329=1,0.2*R2329/C2329,K2328)</f>
        <v/>
      </c>
      <c r="L2329">
        <f>IF(G2329=1,0.2*R2329/D2329,L2328)</f>
        <v/>
      </c>
      <c r="M2329">
        <f>IF(G2329=1,0.2*R2329/E2329,M2328)</f>
        <v/>
      </c>
      <c r="N2329">
        <f>IF(G2329=1,0.2*R2329/F2329,N2328)</f>
        <v/>
      </c>
      <c r="O2329">
        <f>IF(G2329=1,R2329*(1-1.0),IF(H2328=0,1,O2328*(1+0.00023125256064071564)))</f>
        <v/>
      </c>
      <c r="P2329">
        <f>IF(G2329=1,IF(H2328=0,1,ABS(0.2-J2328*B2329/I2329)+ABS(0.2-K2328*C2329/I2329)+ABS(0.2-L2328*D2329/I2329)+ABS(0.2-M2328*E2329/I2329)+ABS(0.2-N2328*F2329/I2329)),0)</f>
        <v/>
      </c>
      <c r="Q2329">
        <f>P2329*0.0015</f>
        <v/>
      </c>
      <c r="R2329">
        <f>I2329*(1-Q2329)</f>
        <v/>
      </c>
      <c r="S2329">
        <f>R2329/R2328-1</f>
        <v/>
      </c>
      <c r="T2329">
        <f>MAX(T2328,R2329)</f>
        <v/>
      </c>
      <c r="U2329">
        <f>R2329/T2329-1</f>
        <v/>
      </c>
      <c r="V2329" t="n">
        <v>5.244943386827238</v>
      </c>
      <c r="W2329" s="5">
        <f>R2329-V2329</f>
        <v/>
      </c>
    </row>
    <row r="2330">
      <c r="A2330" s="3" t="n">
        <v>41859</v>
      </c>
      <c r="B2330">
        <f>Prices!B2330</f>
        <v/>
      </c>
      <c r="C2330">
        <f>Prices!C2330</f>
        <v/>
      </c>
      <c r="D2330">
        <f>Prices!D2330</f>
        <v/>
      </c>
      <c r="E2330">
        <f>Prices!E2330</f>
        <v/>
      </c>
      <c r="F2330">
        <f>Prices!F2330</f>
        <v/>
      </c>
      <c r="G2330">
        <f>IF(AND(2328&gt;=16,TEXT(A2330,"yyyy-mm")&lt;&gt;TEXT(A2331,"yyyy-mm")),1,0)</f>
        <v/>
      </c>
      <c r="H2330">
        <f>IF(OR(H2329=1,G2330=1),1,0)</f>
        <v/>
      </c>
      <c r="I2330">
        <f>IF(H2329=0,1,SUMPRODUCT(J2329:N2329,B2330:F2330)+O2329*(1+0.00023125256064071564))</f>
        <v/>
      </c>
      <c r="J2330">
        <f>IF(G2330=1,0.2*R2330/B2330,J2329)</f>
        <v/>
      </c>
      <c r="K2330">
        <f>IF(G2330=1,0.2*R2330/C2330,K2329)</f>
        <v/>
      </c>
      <c r="L2330">
        <f>IF(G2330=1,0.2*R2330/D2330,L2329)</f>
        <v/>
      </c>
      <c r="M2330">
        <f>IF(G2330=1,0.2*R2330/E2330,M2329)</f>
        <v/>
      </c>
      <c r="N2330">
        <f>IF(G2330=1,0.2*R2330/F2330,N2329)</f>
        <v/>
      </c>
      <c r="O2330">
        <f>IF(G2330=1,R2330*(1-1.0),IF(H2329=0,1,O2329*(1+0.00023125256064071564)))</f>
        <v/>
      </c>
      <c r="P2330">
        <f>IF(G2330=1,IF(H2329=0,1,ABS(0.2-J2329*B2330/I2330)+ABS(0.2-K2329*C2330/I2330)+ABS(0.2-L2329*D2330/I2330)+ABS(0.2-M2329*E2330/I2330)+ABS(0.2-N2329*F2330/I2330)),0)</f>
        <v/>
      </c>
      <c r="Q2330">
        <f>P2330*0.0015</f>
        <v/>
      </c>
      <c r="R2330">
        <f>I2330*(1-Q2330)</f>
        <v/>
      </c>
      <c r="S2330">
        <f>R2330/R2329-1</f>
        <v/>
      </c>
      <c r="T2330">
        <f>MAX(T2329,R2330)</f>
        <v/>
      </c>
      <c r="U2330">
        <f>R2330/T2330-1</f>
        <v/>
      </c>
      <c r="V2330" t="n">
        <v>5.163591984924412</v>
      </c>
      <c r="W2330" s="5">
        <f>R2330-V2330</f>
        <v/>
      </c>
    </row>
    <row r="2331">
      <c r="A2331" s="3" t="n">
        <v>41862</v>
      </c>
      <c r="B2331">
        <f>Prices!B2331</f>
        <v/>
      </c>
      <c r="C2331">
        <f>Prices!C2331</f>
        <v/>
      </c>
      <c r="D2331">
        <f>Prices!D2331</f>
        <v/>
      </c>
      <c r="E2331">
        <f>Prices!E2331</f>
        <v/>
      </c>
      <c r="F2331">
        <f>Prices!F2331</f>
        <v/>
      </c>
      <c r="G2331">
        <f>IF(AND(2329&gt;=16,TEXT(A2331,"yyyy-mm")&lt;&gt;TEXT(A2332,"yyyy-mm")),1,0)</f>
        <v/>
      </c>
      <c r="H2331">
        <f>IF(OR(H2330=1,G2331=1),1,0)</f>
        <v/>
      </c>
      <c r="I2331">
        <f>IF(H2330=0,1,SUMPRODUCT(J2330:N2330,B2331:F2331)+O2330*(1+0.00023125256064071564))</f>
        <v/>
      </c>
      <c r="J2331">
        <f>IF(G2331=1,0.2*R2331/B2331,J2330)</f>
        <v/>
      </c>
      <c r="K2331">
        <f>IF(G2331=1,0.2*R2331/C2331,K2330)</f>
        <v/>
      </c>
      <c r="L2331">
        <f>IF(G2331=1,0.2*R2331/D2331,L2330)</f>
        <v/>
      </c>
      <c r="M2331">
        <f>IF(G2331=1,0.2*R2331/E2331,M2330)</f>
        <v/>
      </c>
      <c r="N2331">
        <f>IF(G2331=1,0.2*R2331/F2331,N2330)</f>
        <v/>
      </c>
      <c r="O2331">
        <f>IF(G2331=1,R2331*(1-1.0),IF(H2330=0,1,O2330*(1+0.00023125256064071564)))</f>
        <v/>
      </c>
      <c r="P2331">
        <f>IF(G2331=1,IF(H2330=0,1,ABS(0.2-J2330*B2331/I2331)+ABS(0.2-K2330*C2331/I2331)+ABS(0.2-L2330*D2331/I2331)+ABS(0.2-M2330*E2331/I2331)+ABS(0.2-N2330*F2331/I2331)),0)</f>
        <v/>
      </c>
      <c r="Q2331">
        <f>P2331*0.0015</f>
        <v/>
      </c>
      <c r="R2331">
        <f>I2331*(1-Q2331)</f>
        <v/>
      </c>
      <c r="S2331">
        <f>R2331/R2330-1</f>
        <v/>
      </c>
      <c r="T2331">
        <f>MAX(T2330,R2331)</f>
        <v/>
      </c>
      <c r="U2331">
        <f>R2331/T2331-1</f>
        <v/>
      </c>
      <c r="V2331" t="n">
        <v>5.199911932340624</v>
      </c>
      <c r="W2331" s="5">
        <f>R2331-V2331</f>
        <v/>
      </c>
    </row>
    <row r="2332">
      <c r="A2332" s="3" t="n">
        <v>41863</v>
      </c>
      <c r="B2332">
        <f>Prices!B2332</f>
        <v/>
      </c>
      <c r="C2332">
        <f>Prices!C2332</f>
        <v/>
      </c>
      <c r="D2332">
        <f>Prices!D2332</f>
        <v/>
      </c>
      <c r="E2332">
        <f>Prices!E2332</f>
        <v/>
      </c>
      <c r="F2332">
        <f>Prices!F2332</f>
        <v/>
      </c>
      <c r="G2332">
        <f>IF(AND(2330&gt;=16,TEXT(A2332,"yyyy-mm")&lt;&gt;TEXT(A2333,"yyyy-mm")),1,0)</f>
        <v/>
      </c>
      <c r="H2332">
        <f>IF(OR(H2331=1,G2332=1),1,0)</f>
        <v/>
      </c>
      <c r="I2332">
        <f>IF(H2331=0,1,SUMPRODUCT(J2331:N2331,B2332:F2332)+O2331*(1+0.00023125256064071564))</f>
        <v/>
      </c>
      <c r="J2332">
        <f>IF(G2332=1,0.2*R2332/B2332,J2331)</f>
        <v/>
      </c>
      <c r="K2332">
        <f>IF(G2332=1,0.2*R2332/C2332,K2331)</f>
        <v/>
      </c>
      <c r="L2332">
        <f>IF(G2332=1,0.2*R2332/D2332,L2331)</f>
        <v/>
      </c>
      <c r="M2332">
        <f>IF(G2332=1,0.2*R2332/E2332,M2331)</f>
        <v/>
      </c>
      <c r="N2332">
        <f>IF(G2332=1,0.2*R2332/F2332,N2331)</f>
        <v/>
      </c>
      <c r="O2332">
        <f>IF(G2332=1,R2332*(1-1.0),IF(H2331=0,1,O2331*(1+0.00023125256064071564)))</f>
        <v/>
      </c>
      <c r="P2332">
        <f>IF(G2332=1,IF(H2331=0,1,ABS(0.2-J2331*B2332/I2332)+ABS(0.2-K2331*C2332/I2332)+ABS(0.2-L2331*D2332/I2332)+ABS(0.2-M2331*E2332/I2332)+ABS(0.2-N2331*F2332/I2332)),0)</f>
        <v/>
      </c>
      <c r="Q2332">
        <f>P2332*0.0015</f>
        <v/>
      </c>
      <c r="R2332">
        <f>I2332*(1-Q2332)</f>
        <v/>
      </c>
      <c r="S2332">
        <f>R2332/R2331-1</f>
        <v/>
      </c>
      <c r="T2332">
        <f>MAX(T2331,R2332)</f>
        <v/>
      </c>
      <c r="U2332">
        <f>R2332/T2332-1</f>
        <v/>
      </c>
      <c r="V2332" t="n">
        <v>5.239615523945597</v>
      </c>
      <c r="W2332" s="5">
        <f>R2332-V2332</f>
        <v/>
      </c>
    </row>
    <row r="2333">
      <c r="A2333" s="3" t="n">
        <v>41864</v>
      </c>
      <c r="B2333">
        <f>Prices!B2333</f>
        <v/>
      </c>
      <c r="C2333">
        <f>Prices!C2333</f>
        <v/>
      </c>
      <c r="D2333">
        <f>Prices!D2333</f>
        <v/>
      </c>
      <c r="E2333">
        <f>Prices!E2333</f>
        <v/>
      </c>
      <c r="F2333">
        <f>Prices!F2333</f>
        <v/>
      </c>
      <c r="G2333">
        <f>IF(AND(2331&gt;=16,TEXT(A2333,"yyyy-mm")&lt;&gt;TEXT(A2334,"yyyy-mm")),1,0)</f>
        <v/>
      </c>
      <c r="H2333">
        <f>IF(OR(H2332=1,G2333=1),1,0)</f>
        <v/>
      </c>
      <c r="I2333">
        <f>IF(H2332=0,1,SUMPRODUCT(J2332:N2332,B2333:F2333)+O2332*(1+0.00023125256064071564))</f>
        <v/>
      </c>
      <c r="J2333">
        <f>IF(G2333=1,0.2*R2333/B2333,J2332)</f>
        <v/>
      </c>
      <c r="K2333">
        <f>IF(G2333=1,0.2*R2333/C2333,K2332)</f>
        <v/>
      </c>
      <c r="L2333">
        <f>IF(G2333=1,0.2*R2333/D2333,L2332)</f>
        <v/>
      </c>
      <c r="M2333">
        <f>IF(G2333=1,0.2*R2333/E2333,M2332)</f>
        <v/>
      </c>
      <c r="N2333">
        <f>IF(G2333=1,0.2*R2333/F2333,N2332)</f>
        <v/>
      </c>
      <c r="O2333">
        <f>IF(G2333=1,R2333*(1-1.0),IF(H2332=0,1,O2332*(1+0.00023125256064071564)))</f>
        <v/>
      </c>
      <c r="P2333">
        <f>IF(G2333=1,IF(H2332=0,1,ABS(0.2-J2332*B2333/I2333)+ABS(0.2-K2332*C2333/I2333)+ABS(0.2-L2332*D2333/I2333)+ABS(0.2-M2332*E2333/I2333)+ABS(0.2-N2332*F2333/I2333)),0)</f>
        <v/>
      </c>
      <c r="Q2333">
        <f>P2333*0.0015</f>
        <v/>
      </c>
      <c r="R2333">
        <f>I2333*(1-Q2333)</f>
        <v/>
      </c>
      <c r="S2333">
        <f>R2333/R2332-1</f>
        <v/>
      </c>
      <c r="T2333">
        <f>MAX(T2332,R2333)</f>
        <v/>
      </c>
      <c r="U2333">
        <f>R2333/T2333-1</f>
        <v/>
      </c>
      <c r="V2333" t="n">
        <v>5.184684890541479</v>
      </c>
      <c r="W2333" s="5">
        <f>R2333-V2333</f>
        <v/>
      </c>
    </row>
    <row r="2334">
      <c r="A2334" s="3" t="n">
        <v>41865</v>
      </c>
      <c r="B2334">
        <f>Prices!B2334</f>
        <v/>
      </c>
      <c r="C2334">
        <f>Prices!C2334</f>
        <v/>
      </c>
      <c r="D2334">
        <f>Prices!D2334</f>
        <v/>
      </c>
      <c r="E2334">
        <f>Prices!E2334</f>
        <v/>
      </c>
      <c r="F2334">
        <f>Prices!F2334</f>
        <v/>
      </c>
      <c r="G2334">
        <f>IF(AND(2332&gt;=16,TEXT(A2334,"yyyy-mm")&lt;&gt;TEXT(A2335,"yyyy-mm")),1,0)</f>
        <v/>
      </c>
      <c r="H2334">
        <f>IF(OR(H2333=1,G2334=1),1,0)</f>
        <v/>
      </c>
      <c r="I2334">
        <f>IF(H2333=0,1,SUMPRODUCT(J2333:N2333,B2334:F2334)+O2333*(1+0.00023125256064071564))</f>
        <v/>
      </c>
      <c r="J2334">
        <f>IF(G2334=1,0.2*R2334/B2334,J2333)</f>
        <v/>
      </c>
      <c r="K2334">
        <f>IF(G2334=1,0.2*R2334/C2334,K2333)</f>
        <v/>
      </c>
      <c r="L2334">
        <f>IF(G2334=1,0.2*R2334/D2334,L2333)</f>
        <v/>
      </c>
      <c r="M2334">
        <f>IF(G2334=1,0.2*R2334/E2334,M2333)</f>
        <v/>
      </c>
      <c r="N2334">
        <f>IF(G2334=1,0.2*R2334/F2334,N2333)</f>
        <v/>
      </c>
      <c r="O2334">
        <f>IF(G2334=1,R2334*(1-1.0),IF(H2333=0,1,O2333*(1+0.00023125256064071564)))</f>
        <v/>
      </c>
      <c r="P2334">
        <f>IF(G2334=1,IF(H2333=0,1,ABS(0.2-J2333*B2334/I2334)+ABS(0.2-K2333*C2334/I2334)+ABS(0.2-L2333*D2334/I2334)+ABS(0.2-M2333*E2334/I2334)+ABS(0.2-N2333*F2334/I2334)),0)</f>
        <v/>
      </c>
      <c r="Q2334">
        <f>P2334*0.0015</f>
        <v/>
      </c>
      <c r="R2334">
        <f>I2334*(1-Q2334)</f>
        <v/>
      </c>
      <c r="S2334">
        <f>R2334/R2333-1</f>
        <v/>
      </c>
      <c r="T2334">
        <f>MAX(T2333,R2334)</f>
        <v/>
      </c>
      <c r="U2334">
        <f>R2334/T2334-1</f>
        <v/>
      </c>
      <c r="V2334" t="n">
        <v>5.230456336984762</v>
      </c>
      <c r="W2334" s="5">
        <f>R2334-V2334</f>
        <v/>
      </c>
    </row>
    <row r="2335">
      <c r="A2335" s="3" t="n">
        <v>41869</v>
      </c>
      <c r="B2335">
        <f>Prices!B2335</f>
        <v/>
      </c>
      <c r="C2335">
        <f>Prices!C2335</f>
        <v/>
      </c>
      <c r="D2335">
        <f>Prices!D2335</f>
        <v/>
      </c>
      <c r="E2335">
        <f>Prices!E2335</f>
        <v/>
      </c>
      <c r="F2335">
        <f>Prices!F2335</f>
        <v/>
      </c>
      <c r="G2335">
        <f>IF(AND(2333&gt;=16,TEXT(A2335,"yyyy-mm")&lt;&gt;TEXT(A2336,"yyyy-mm")),1,0)</f>
        <v/>
      </c>
      <c r="H2335">
        <f>IF(OR(H2334=1,G2335=1),1,0)</f>
        <v/>
      </c>
      <c r="I2335">
        <f>IF(H2334=0,1,SUMPRODUCT(J2334:N2334,B2335:F2335)+O2334*(1+0.00023125256064071564))</f>
        <v/>
      </c>
      <c r="J2335">
        <f>IF(G2335=1,0.2*R2335/B2335,J2334)</f>
        <v/>
      </c>
      <c r="K2335">
        <f>IF(G2335=1,0.2*R2335/C2335,K2334)</f>
        <v/>
      </c>
      <c r="L2335">
        <f>IF(G2335=1,0.2*R2335/D2335,L2334)</f>
        <v/>
      </c>
      <c r="M2335">
        <f>IF(G2335=1,0.2*R2335/E2335,M2334)</f>
        <v/>
      </c>
      <c r="N2335">
        <f>IF(G2335=1,0.2*R2335/F2335,N2334)</f>
        <v/>
      </c>
      <c r="O2335">
        <f>IF(G2335=1,R2335*(1-1.0),IF(H2334=0,1,O2334*(1+0.00023125256064071564)))</f>
        <v/>
      </c>
      <c r="P2335">
        <f>IF(G2335=1,IF(H2334=0,1,ABS(0.2-J2334*B2335/I2335)+ABS(0.2-K2334*C2335/I2335)+ABS(0.2-L2334*D2335/I2335)+ABS(0.2-M2334*E2335/I2335)+ABS(0.2-N2334*F2335/I2335)),0)</f>
        <v/>
      </c>
      <c r="Q2335">
        <f>P2335*0.0015</f>
        <v/>
      </c>
      <c r="R2335">
        <f>I2335*(1-Q2335)</f>
        <v/>
      </c>
      <c r="S2335">
        <f>R2335/R2334-1</f>
        <v/>
      </c>
      <c r="T2335">
        <f>MAX(T2334,R2335)</f>
        <v/>
      </c>
      <c r="U2335">
        <f>R2335/T2335-1</f>
        <v/>
      </c>
      <c r="V2335" t="n">
        <v>5.321304756167764</v>
      </c>
      <c r="W2335" s="5">
        <f>R2335-V2335</f>
        <v/>
      </c>
    </row>
    <row r="2336">
      <c r="A2336" s="3" t="n">
        <v>41870</v>
      </c>
      <c r="B2336">
        <f>Prices!B2336</f>
        <v/>
      </c>
      <c r="C2336">
        <f>Prices!C2336</f>
        <v/>
      </c>
      <c r="D2336">
        <f>Prices!D2336</f>
        <v/>
      </c>
      <c r="E2336">
        <f>Prices!E2336</f>
        <v/>
      </c>
      <c r="F2336">
        <f>Prices!F2336</f>
        <v/>
      </c>
      <c r="G2336">
        <f>IF(AND(2334&gt;=16,TEXT(A2336,"yyyy-mm")&lt;&gt;TEXT(A2337,"yyyy-mm")),1,0)</f>
        <v/>
      </c>
      <c r="H2336">
        <f>IF(OR(H2335=1,G2336=1),1,0)</f>
        <v/>
      </c>
      <c r="I2336">
        <f>IF(H2335=0,1,SUMPRODUCT(J2335:N2335,B2336:F2336)+O2335*(1+0.00023125256064071564))</f>
        <v/>
      </c>
      <c r="J2336">
        <f>IF(G2336=1,0.2*R2336/B2336,J2335)</f>
        <v/>
      </c>
      <c r="K2336">
        <f>IF(G2336=1,0.2*R2336/C2336,K2335)</f>
        <v/>
      </c>
      <c r="L2336">
        <f>IF(G2336=1,0.2*R2336/D2336,L2335)</f>
        <v/>
      </c>
      <c r="M2336">
        <f>IF(G2336=1,0.2*R2336/E2336,M2335)</f>
        <v/>
      </c>
      <c r="N2336">
        <f>IF(G2336=1,0.2*R2336/F2336,N2335)</f>
        <v/>
      </c>
      <c r="O2336">
        <f>IF(G2336=1,R2336*(1-1.0),IF(H2335=0,1,O2335*(1+0.00023125256064071564)))</f>
        <v/>
      </c>
      <c r="P2336">
        <f>IF(G2336=1,IF(H2335=0,1,ABS(0.2-J2335*B2336/I2336)+ABS(0.2-K2335*C2336/I2336)+ABS(0.2-L2335*D2336/I2336)+ABS(0.2-M2335*E2336/I2336)+ABS(0.2-N2335*F2336/I2336)),0)</f>
        <v/>
      </c>
      <c r="Q2336">
        <f>P2336*0.0015</f>
        <v/>
      </c>
      <c r="R2336">
        <f>I2336*(1-Q2336)</f>
        <v/>
      </c>
      <c r="S2336">
        <f>R2336/R2335-1</f>
        <v/>
      </c>
      <c r="T2336">
        <f>MAX(T2335,R2336)</f>
        <v/>
      </c>
      <c r="U2336">
        <f>R2336/T2336-1</f>
        <v/>
      </c>
      <c r="V2336" t="n">
        <v>5.374841803540959</v>
      </c>
      <c r="W2336" s="5">
        <f>R2336-V2336</f>
        <v/>
      </c>
    </row>
    <row r="2337">
      <c r="A2337" s="3" t="n">
        <v>41871</v>
      </c>
      <c r="B2337">
        <f>Prices!B2337</f>
        <v/>
      </c>
      <c r="C2337">
        <f>Prices!C2337</f>
        <v/>
      </c>
      <c r="D2337">
        <f>Prices!D2337</f>
        <v/>
      </c>
      <c r="E2337">
        <f>Prices!E2337</f>
        <v/>
      </c>
      <c r="F2337">
        <f>Prices!F2337</f>
        <v/>
      </c>
      <c r="G2337">
        <f>IF(AND(2335&gt;=16,TEXT(A2337,"yyyy-mm")&lt;&gt;TEXT(A2338,"yyyy-mm")),1,0)</f>
        <v/>
      </c>
      <c r="H2337">
        <f>IF(OR(H2336=1,G2337=1),1,0)</f>
        <v/>
      </c>
      <c r="I2337">
        <f>IF(H2336=0,1,SUMPRODUCT(J2336:N2336,B2337:F2337)+O2336*(1+0.00023125256064071564))</f>
        <v/>
      </c>
      <c r="J2337">
        <f>IF(G2337=1,0.2*R2337/B2337,J2336)</f>
        <v/>
      </c>
      <c r="K2337">
        <f>IF(G2337=1,0.2*R2337/C2337,K2336)</f>
        <v/>
      </c>
      <c r="L2337">
        <f>IF(G2337=1,0.2*R2337/D2337,L2336)</f>
        <v/>
      </c>
      <c r="M2337">
        <f>IF(G2337=1,0.2*R2337/E2337,M2336)</f>
        <v/>
      </c>
      <c r="N2337">
        <f>IF(G2337=1,0.2*R2337/F2337,N2336)</f>
        <v/>
      </c>
      <c r="O2337">
        <f>IF(G2337=1,R2337*(1-1.0),IF(H2336=0,1,O2336*(1+0.00023125256064071564)))</f>
        <v/>
      </c>
      <c r="P2337">
        <f>IF(G2337=1,IF(H2336=0,1,ABS(0.2-J2336*B2337/I2337)+ABS(0.2-K2336*C2337/I2337)+ABS(0.2-L2336*D2337/I2337)+ABS(0.2-M2336*E2337/I2337)+ABS(0.2-N2336*F2337/I2337)),0)</f>
        <v/>
      </c>
      <c r="Q2337">
        <f>P2337*0.0015</f>
        <v/>
      </c>
      <c r="R2337">
        <f>I2337*(1-Q2337)</f>
        <v/>
      </c>
      <c r="S2337">
        <f>R2337/R2336-1</f>
        <v/>
      </c>
      <c r="T2337">
        <f>MAX(T2336,R2337)</f>
        <v/>
      </c>
      <c r="U2337">
        <f>R2337/T2337-1</f>
        <v/>
      </c>
      <c r="V2337" t="n">
        <v>5.385147803424083</v>
      </c>
      <c r="W2337" s="5">
        <f>R2337-V2337</f>
        <v/>
      </c>
    </row>
    <row r="2338">
      <c r="A2338" s="3" t="n">
        <v>41872</v>
      </c>
      <c r="B2338">
        <f>Prices!B2338</f>
        <v/>
      </c>
      <c r="C2338">
        <f>Prices!C2338</f>
        <v/>
      </c>
      <c r="D2338">
        <f>Prices!D2338</f>
        <v/>
      </c>
      <c r="E2338">
        <f>Prices!E2338</f>
        <v/>
      </c>
      <c r="F2338">
        <f>Prices!F2338</f>
        <v/>
      </c>
      <c r="G2338">
        <f>IF(AND(2336&gt;=16,TEXT(A2338,"yyyy-mm")&lt;&gt;TEXT(A2339,"yyyy-mm")),1,0)</f>
        <v/>
      </c>
      <c r="H2338">
        <f>IF(OR(H2337=1,G2338=1),1,0)</f>
        <v/>
      </c>
      <c r="I2338">
        <f>IF(H2337=0,1,SUMPRODUCT(J2337:N2337,B2338:F2338)+O2337*(1+0.00023125256064071564))</f>
        <v/>
      </c>
      <c r="J2338">
        <f>IF(G2338=1,0.2*R2338/B2338,J2337)</f>
        <v/>
      </c>
      <c r="K2338">
        <f>IF(G2338=1,0.2*R2338/C2338,K2337)</f>
        <v/>
      </c>
      <c r="L2338">
        <f>IF(G2338=1,0.2*R2338/D2338,L2337)</f>
        <v/>
      </c>
      <c r="M2338">
        <f>IF(G2338=1,0.2*R2338/E2338,M2337)</f>
        <v/>
      </c>
      <c r="N2338">
        <f>IF(G2338=1,0.2*R2338/F2338,N2337)</f>
        <v/>
      </c>
      <c r="O2338">
        <f>IF(G2338=1,R2338*(1-1.0),IF(H2337=0,1,O2337*(1+0.00023125256064071564)))</f>
        <v/>
      </c>
      <c r="P2338">
        <f>IF(G2338=1,IF(H2337=0,1,ABS(0.2-J2337*B2338/I2338)+ABS(0.2-K2337*C2338/I2338)+ABS(0.2-L2337*D2338/I2338)+ABS(0.2-M2337*E2338/I2338)+ABS(0.2-N2337*F2338/I2338)),0)</f>
        <v/>
      </c>
      <c r="Q2338">
        <f>P2338*0.0015</f>
        <v/>
      </c>
      <c r="R2338">
        <f>I2338*(1-Q2338)</f>
        <v/>
      </c>
      <c r="S2338">
        <f>R2338/R2337-1</f>
        <v/>
      </c>
      <c r="T2338">
        <f>MAX(T2337,R2338)</f>
        <v/>
      </c>
      <c r="U2338">
        <f>R2338/T2338-1</f>
        <v/>
      </c>
      <c r="V2338" t="n">
        <v>5.403958955012668</v>
      </c>
      <c r="W2338" s="5">
        <f>R2338-V2338</f>
        <v/>
      </c>
    </row>
    <row r="2339">
      <c r="A2339" s="3" t="n">
        <v>41873</v>
      </c>
      <c r="B2339">
        <f>Prices!B2339</f>
        <v/>
      </c>
      <c r="C2339">
        <f>Prices!C2339</f>
        <v/>
      </c>
      <c r="D2339">
        <f>Prices!D2339</f>
        <v/>
      </c>
      <c r="E2339">
        <f>Prices!E2339</f>
        <v/>
      </c>
      <c r="F2339">
        <f>Prices!F2339</f>
        <v/>
      </c>
      <c r="G2339">
        <f>IF(AND(2337&gt;=16,TEXT(A2339,"yyyy-mm")&lt;&gt;TEXT(A2340,"yyyy-mm")),1,0)</f>
        <v/>
      </c>
      <c r="H2339">
        <f>IF(OR(H2338=1,G2339=1),1,0)</f>
        <v/>
      </c>
      <c r="I2339">
        <f>IF(H2338=0,1,SUMPRODUCT(J2338:N2338,B2339:F2339)+O2338*(1+0.00023125256064071564))</f>
        <v/>
      </c>
      <c r="J2339">
        <f>IF(G2339=1,0.2*R2339/B2339,J2338)</f>
        <v/>
      </c>
      <c r="K2339">
        <f>IF(G2339=1,0.2*R2339/C2339,K2338)</f>
        <v/>
      </c>
      <c r="L2339">
        <f>IF(G2339=1,0.2*R2339/D2339,L2338)</f>
        <v/>
      </c>
      <c r="M2339">
        <f>IF(G2339=1,0.2*R2339/E2339,M2338)</f>
        <v/>
      </c>
      <c r="N2339">
        <f>IF(G2339=1,0.2*R2339/F2339,N2338)</f>
        <v/>
      </c>
      <c r="O2339">
        <f>IF(G2339=1,R2339*(1-1.0),IF(H2338=0,1,O2338*(1+0.00023125256064071564)))</f>
        <v/>
      </c>
      <c r="P2339">
        <f>IF(G2339=1,IF(H2338=0,1,ABS(0.2-J2338*B2339/I2339)+ABS(0.2-K2338*C2339/I2339)+ABS(0.2-L2338*D2339/I2339)+ABS(0.2-M2338*E2339/I2339)+ABS(0.2-N2338*F2339/I2339)),0)</f>
        <v/>
      </c>
      <c r="Q2339">
        <f>P2339*0.0015</f>
        <v/>
      </c>
      <c r="R2339">
        <f>I2339*(1-Q2339)</f>
        <v/>
      </c>
      <c r="S2339">
        <f>R2339/R2338-1</f>
        <v/>
      </c>
      <c r="T2339">
        <f>MAX(T2338,R2339)</f>
        <v/>
      </c>
      <c r="U2339">
        <f>R2339/T2339-1</f>
        <v/>
      </c>
      <c r="V2339" t="n">
        <v>5.408400435778546</v>
      </c>
      <c r="W2339" s="5">
        <f>R2339-V2339</f>
        <v/>
      </c>
    </row>
    <row r="2340">
      <c r="A2340" s="3" t="n">
        <v>41876</v>
      </c>
      <c r="B2340">
        <f>Prices!B2340</f>
        <v/>
      </c>
      <c r="C2340">
        <f>Prices!C2340</f>
        <v/>
      </c>
      <c r="D2340">
        <f>Prices!D2340</f>
        <v/>
      </c>
      <c r="E2340">
        <f>Prices!E2340</f>
        <v/>
      </c>
      <c r="F2340">
        <f>Prices!F2340</f>
        <v/>
      </c>
      <c r="G2340">
        <f>IF(AND(2338&gt;=16,TEXT(A2340,"yyyy-mm")&lt;&gt;TEXT(A2341,"yyyy-mm")),1,0)</f>
        <v/>
      </c>
      <c r="H2340">
        <f>IF(OR(H2339=1,G2340=1),1,0)</f>
        <v/>
      </c>
      <c r="I2340">
        <f>IF(H2339=0,1,SUMPRODUCT(J2339:N2339,B2340:F2340)+O2339*(1+0.00023125256064071564))</f>
        <v/>
      </c>
      <c r="J2340">
        <f>IF(G2340=1,0.2*R2340/B2340,J2339)</f>
        <v/>
      </c>
      <c r="K2340">
        <f>IF(G2340=1,0.2*R2340/C2340,K2339)</f>
        <v/>
      </c>
      <c r="L2340">
        <f>IF(G2340=1,0.2*R2340/D2340,L2339)</f>
        <v/>
      </c>
      <c r="M2340">
        <f>IF(G2340=1,0.2*R2340/E2340,M2339)</f>
        <v/>
      </c>
      <c r="N2340">
        <f>IF(G2340=1,0.2*R2340/F2340,N2339)</f>
        <v/>
      </c>
      <c r="O2340">
        <f>IF(G2340=1,R2340*(1-1.0),IF(H2339=0,1,O2339*(1+0.00023125256064071564)))</f>
        <v/>
      </c>
      <c r="P2340">
        <f>IF(G2340=1,IF(H2339=0,1,ABS(0.2-J2339*B2340/I2340)+ABS(0.2-K2339*C2340/I2340)+ABS(0.2-L2339*D2340/I2340)+ABS(0.2-M2339*E2340/I2340)+ABS(0.2-N2339*F2340/I2340)),0)</f>
        <v/>
      </c>
      <c r="Q2340">
        <f>P2340*0.0015</f>
        <v/>
      </c>
      <c r="R2340">
        <f>I2340*(1-Q2340)</f>
        <v/>
      </c>
      <c r="S2340">
        <f>R2340/R2339-1</f>
        <v/>
      </c>
      <c r="T2340">
        <f>MAX(T2339,R2340)</f>
        <v/>
      </c>
      <c r="U2340">
        <f>R2340/T2340-1</f>
        <v/>
      </c>
      <c r="V2340" t="n">
        <v>5.399278867609372</v>
      </c>
      <c r="W2340" s="5">
        <f>R2340-V2340</f>
        <v/>
      </c>
    </row>
    <row r="2341">
      <c r="A2341" s="3" t="n">
        <v>41877</v>
      </c>
      <c r="B2341">
        <f>Prices!B2341</f>
        <v/>
      </c>
      <c r="C2341">
        <f>Prices!C2341</f>
        <v/>
      </c>
      <c r="D2341">
        <f>Prices!D2341</f>
        <v/>
      </c>
      <c r="E2341">
        <f>Prices!E2341</f>
        <v/>
      </c>
      <c r="F2341">
        <f>Prices!F2341</f>
        <v/>
      </c>
      <c r="G2341">
        <f>IF(AND(2339&gt;=16,TEXT(A2341,"yyyy-mm")&lt;&gt;TEXT(A2342,"yyyy-mm")),1,0)</f>
        <v/>
      </c>
      <c r="H2341">
        <f>IF(OR(H2340=1,G2341=1),1,0)</f>
        <v/>
      </c>
      <c r="I2341">
        <f>IF(H2340=0,1,SUMPRODUCT(J2340:N2340,B2341:F2341)+O2340*(1+0.00023125256064071564))</f>
        <v/>
      </c>
      <c r="J2341">
        <f>IF(G2341=1,0.2*R2341/B2341,J2340)</f>
        <v/>
      </c>
      <c r="K2341">
        <f>IF(G2341=1,0.2*R2341/C2341,K2340)</f>
        <v/>
      </c>
      <c r="L2341">
        <f>IF(G2341=1,0.2*R2341/D2341,L2340)</f>
        <v/>
      </c>
      <c r="M2341">
        <f>IF(G2341=1,0.2*R2341/E2341,M2340)</f>
        <v/>
      </c>
      <c r="N2341">
        <f>IF(G2341=1,0.2*R2341/F2341,N2340)</f>
        <v/>
      </c>
      <c r="O2341">
        <f>IF(G2341=1,R2341*(1-1.0),IF(H2340=0,1,O2340*(1+0.00023125256064071564)))</f>
        <v/>
      </c>
      <c r="P2341">
        <f>IF(G2341=1,IF(H2340=0,1,ABS(0.2-J2340*B2341/I2341)+ABS(0.2-K2340*C2341/I2341)+ABS(0.2-L2340*D2341/I2341)+ABS(0.2-M2340*E2341/I2341)+ABS(0.2-N2340*F2341/I2341)),0)</f>
        <v/>
      </c>
      <c r="Q2341">
        <f>P2341*0.0015</f>
        <v/>
      </c>
      <c r="R2341">
        <f>I2341*(1-Q2341)</f>
        <v/>
      </c>
      <c r="S2341">
        <f>R2341/R2340-1</f>
        <v/>
      </c>
      <c r="T2341">
        <f>MAX(T2340,R2341)</f>
        <v/>
      </c>
      <c r="U2341">
        <f>R2341/T2341-1</f>
        <v/>
      </c>
      <c r="V2341" t="n">
        <v>5.410913018271114</v>
      </c>
      <c r="W2341" s="5">
        <f>R2341-V2341</f>
        <v/>
      </c>
    </row>
    <row r="2342">
      <c r="A2342" s="3" t="n">
        <v>41878</v>
      </c>
      <c r="B2342">
        <f>Prices!B2342</f>
        <v/>
      </c>
      <c r="C2342">
        <f>Prices!C2342</f>
        <v/>
      </c>
      <c r="D2342">
        <f>Prices!D2342</f>
        <v/>
      </c>
      <c r="E2342">
        <f>Prices!E2342</f>
        <v/>
      </c>
      <c r="F2342">
        <f>Prices!F2342</f>
        <v/>
      </c>
      <c r="G2342">
        <f>IF(AND(2340&gt;=16,TEXT(A2342,"yyyy-mm")&lt;&gt;TEXT(A2343,"yyyy-mm")),1,0)</f>
        <v/>
      </c>
      <c r="H2342">
        <f>IF(OR(H2341=1,G2342=1),1,0)</f>
        <v/>
      </c>
      <c r="I2342">
        <f>IF(H2341=0,1,SUMPRODUCT(J2341:N2341,B2342:F2342)+O2341*(1+0.00023125256064071564))</f>
        <v/>
      </c>
      <c r="J2342">
        <f>IF(G2342=1,0.2*R2342/B2342,J2341)</f>
        <v/>
      </c>
      <c r="K2342">
        <f>IF(G2342=1,0.2*R2342/C2342,K2341)</f>
        <v/>
      </c>
      <c r="L2342">
        <f>IF(G2342=1,0.2*R2342/D2342,L2341)</f>
        <v/>
      </c>
      <c r="M2342">
        <f>IF(G2342=1,0.2*R2342/E2342,M2341)</f>
        <v/>
      </c>
      <c r="N2342">
        <f>IF(G2342=1,0.2*R2342/F2342,N2341)</f>
        <v/>
      </c>
      <c r="O2342">
        <f>IF(G2342=1,R2342*(1-1.0),IF(H2341=0,1,O2341*(1+0.00023125256064071564)))</f>
        <v/>
      </c>
      <c r="P2342">
        <f>IF(G2342=1,IF(H2341=0,1,ABS(0.2-J2341*B2342/I2342)+ABS(0.2-K2341*C2342/I2342)+ABS(0.2-L2341*D2342/I2342)+ABS(0.2-M2341*E2342/I2342)+ABS(0.2-N2341*F2342/I2342)),0)</f>
        <v/>
      </c>
      <c r="Q2342">
        <f>P2342*0.0015</f>
        <v/>
      </c>
      <c r="R2342">
        <f>I2342*(1-Q2342)</f>
        <v/>
      </c>
      <c r="S2342">
        <f>R2342/R2341-1</f>
        <v/>
      </c>
      <c r="T2342">
        <f>MAX(T2341,R2342)</f>
        <v/>
      </c>
      <c r="U2342">
        <f>R2342/T2342-1</f>
        <v/>
      </c>
      <c r="V2342" t="n">
        <v>5.451271549719771</v>
      </c>
      <c r="W2342" s="5">
        <f>R2342-V2342</f>
        <v/>
      </c>
    </row>
    <row r="2343">
      <c r="A2343" s="3" t="n">
        <v>41879</v>
      </c>
      <c r="B2343">
        <f>Prices!B2343</f>
        <v/>
      </c>
      <c r="C2343">
        <f>Prices!C2343</f>
        <v/>
      </c>
      <c r="D2343">
        <f>Prices!D2343</f>
        <v/>
      </c>
      <c r="E2343">
        <f>Prices!E2343</f>
        <v/>
      </c>
      <c r="F2343">
        <f>Prices!F2343</f>
        <v/>
      </c>
      <c r="G2343">
        <f>IF(AND(2341&gt;=16,TEXT(A2343,"yyyy-mm")&lt;&gt;TEXT(A2344,"yyyy-mm")),1,0)</f>
        <v/>
      </c>
      <c r="H2343">
        <f>IF(OR(H2342=1,G2343=1),1,0)</f>
        <v/>
      </c>
      <c r="I2343">
        <f>IF(H2342=0,1,SUMPRODUCT(J2342:N2342,B2343:F2343)+O2342*(1+0.00023125256064071564))</f>
        <v/>
      </c>
      <c r="J2343">
        <f>IF(G2343=1,0.2*R2343/B2343,J2342)</f>
        <v/>
      </c>
      <c r="K2343">
        <f>IF(G2343=1,0.2*R2343/C2343,K2342)</f>
        <v/>
      </c>
      <c r="L2343">
        <f>IF(G2343=1,0.2*R2343/D2343,L2342)</f>
        <v/>
      </c>
      <c r="M2343">
        <f>IF(G2343=1,0.2*R2343/E2343,M2342)</f>
        <v/>
      </c>
      <c r="N2343">
        <f>IF(G2343=1,0.2*R2343/F2343,N2342)</f>
        <v/>
      </c>
      <c r="O2343">
        <f>IF(G2343=1,R2343*(1-1.0),IF(H2342=0,1,O2342*(1+0.00023125256064071564)))</f>
        <v/>
      </c>
      <c r="P2343">
        <f>IF(G2343=1,IF(H2342=0,1,ABS(0.2-J2342*B2343/I2343)+ABS(0.2-K2342*C2343/I2343)+ABS(0.2-L2342*D2343/I2343)+ABS(0.2-M2342*E2343/I2343)+ABS(0.2-N2342*F2343/I2343)),0)</f>
        <v/>
      </c>
      <c r="Q2343">
        <f>P2343*0.0015</f>
        <v/>
      </c>
      <c r="R2343">
        <f>I2343*(1-Q2343)</f>
        <v/>
      </c>
      <c r="S2343">
        <f>R2343/R2342-1</f>
        <v/>
      </c>
      <c r="T2343">
        <f>MAX(T2342,R2343)</f>
        <v/>
      </c>
      <c r="U2343">
        <f>R2343/T2343-1</f>
        <v/>
      </c>
      <c r="V2343" t="n">
        <v>5.440441138176352</v>
      </c>
      <c r="W2343" s="5">
        <f>R2343-V2343</f>
        <v/>
      </c>
    </row>
    <row r="2344">
      <c r="A2344" s="3" t="n">
        <v>41883</v>
      </c>
      <c r="B2344">
        <f>Prices!B2344</f>
        <v/>
      </c>
      <c r="C2344">
        <f>Prices!C2344</f>
        <v/>
      </c>
      <c r="D2344">
        <f>Prices!D2344</f>
        <v/>
      </c>
      <c r="E2344">
        <f>Prices!E2344</f>
        <v/>
      </c>
      <c r="F2344">
        <f>Prices!F2344</f>
        <v/>
      </c>
      <c r="G2344">
        <f>IF(AND(2342&gt;=16,TEXT(A2344,"yyyy-mm")&lt;&gt;TEXT(A2345,"yyyy-mm")),1,0)</f>
        <v/>
      </c>
      <c r="H2344">
        <f>IF(OR(H2343=1,G2344=1),1,0)</f>
        <v/>
      </c>
      <c r="I2344">
        <f>IF(H2343=0,1,SUMPRODUCT(J2343:N2343,B2344:F2344)+O2343*(1+0.00023125256064071564))</f>
        <v/>
      </c>
      <c r="J2344">
        <f>IF(G2344=1,0.2*R2344/B2344,J2343)</f>
        <v/>
      </c>
      <c r="K2344">
        <f>IF(G2344=1,0.2*R2344/C2344,K2343)</f>
        <v/>
      </c>
      <c r="L2344">
        <f>IF(G2344=1,0.2*R2344/D2344,L2343)</f>
        <v/>
      </c>
      <c r="M2344">
        <f>IF(G2344=1,0.2*R2344/E2344,M2343)</f>
        <v/>
      </c>
      <c r="N2344">
        <f>IF(G2344=1,0.2*R2344/F2344,N2343)</f>
        <v/>
      </c>
      <c r="O2344">
        <f>IF(G2344=1,R2344*(1-1.0),IF(H2343=0,1,O2343*(1+0.00023125256064071564)))</f>
        <v/>
      </c>
      <c r="P2344">
        <f>IF(G2344=1,IF(H2343=0,1,ABS(0.2-J2343*B2344/I2344)+ABS(0.2-K2343*C2344/I2344)+ABS(0.2-L2343*D2344/I2344)+ABS(0.2-M2343*E2344/I2344)+ABS(0.2-N2343*F2344/I2344)),0)</f>
        <v/>
      </c>
      <c r="Q2344">
        <f>P2344*0.0015</f>
        <v/>
      </c>
      <c r="R2344">
        <f>I2344*(1-Q2344)</f>
        <v/>
      </c>
      <c r="S2344">
        <f>R2344/R2343-1</f>
        <v/>
      </c>
      <c r="T2344">
        <f>MAX(T2343,R2344)</f>
        <v/>
      </c>
      <c r="U2344">
        <f>R2344/T2344-1</f>
        <v/>
      </c>
      <c r="V2344" t="n">
        <v>5.520692278994508</v>
      </c>
      <c r="W2344" s="5">
        <f>R2344-V2344</f>
        <v/>
      </c>
    </row>
    <row r="2345">
      <c r="A2345" s="3" t="n">
        <v>41884</v>
      </c>
      <c r="B2345">
        <f>Prices!B2345</f>
        <v/>
      </c>
      <c r="C2345">
        <f>Prices!C2345</f>
        <v/>
      </c>
      <c r="D2345">
        <f>Prices!D2345</f>
        <v/>
      </c>
      <c r="E2345">
        <f>Prices!E2345</f>
        <v/>
      </c>
      <c r="F2345">
        <f>Prices!F2345</f>
        <v/>
      </c>
      <c r="G2345">
        <f>IF(AND(2343&gt;=16,TEXT(A2345,"yyyy-mm")&lt;&gt;TEXT(A2346,"yyyy-mm")),1,0)</f>
        <v/>
      </c>
      <c r="H2345">
        <f>IF(OR(H2344=1,G2345=1),1,0)</f>
        <v/>
      </c>
      <c r="I2345">
        <f>IF(H2344=0,1,SUMPRODUCT(J2344:N2344,B2345:F2345)+O2344*(1+0.00023125256064071564))</f>
        <v/>
      </c>
      <c r="J2345">
        <f>IF(G2345=1,0.2*R2345/B2345,J2344)</f>
        <v/>
      </c>
      <c r="K2345">
        <f>IF(G2345=1,0.2*R2345/C2345,K2344)</f>
        <v/>
      </c>
      <c r="L2345">
        <f>IF(G2345=1,0.2*R2345/D2345,L2344)</f>
        <v/>
      </c>
      <c r="M2345">
        <f>IF(G2345=1,0.2*R2345/E2345,M2344)</f>
        <v/>
      </c>
      <c r="N2345">
        <f>IF(G2345=1,0.2*R2345/F2345,N2344)</f>
        <v/>
      </c>
      <c r="O2345">
        <f>IF(G2345=1,R2345*(1-1.0),IF(H2344=0,1,O2344*(1+0.00023125256064071564)))</f>
        <v/>
      </c>
      <c r="P2345">
        <f>IF(G2345=1,IF(H2344=0,1,ABS(0.2-J2344*B2345/I2345)+ABS(0.2-K2344*C2345/I2345)+ABS(0.2-L2344*D2345/I2345)+ABS(0.2-M2344*E2345/I2345)+ABS(0.2-N2344*F2345/I2345)),0)</f>
        <v/>
      </c>
      <c r="Q2345">
        <f>P2345*0.0015</f>
        <v/>
      </c>
      <c r="R2345">
        <f>I2345*(1-Q2345)</f>
        <v/>
      </c>
      <c r="S2345">
        <f>R2345/R2344-1</f>
        <v/>
      </c>
      <c r="T2345">
        <f>MAX(T2344,R2345)</f>
        <v/>
      </c>
      <c r="U2345">
        <f>R2345/T2345-1</f>
        <v/>
      </c>
      <c r="V2345" t="n">
        <v>5.582074909506476</v>
      </c>
      <c r="W2345" s="5">
        <f>R2345-V2345</f>
        <v/>
      </c>
    </row>
    <row r="2346">
      <c r="A2346" s="3" t="n">
        <v>41885</v>
      </c>
      <c r="B2346">
        <f>Prices!B2346</f>
        <v/>
      </c>
      <c r="C2346">
        <f>Prices!C2346</f>
        <v/>
      </c>
      <c r="D2346">
        <f>Prices!D2346</f>
        <v/>
      </c>
      <c r="E2346">
        <f>Prices!E2346</f>
        <v/>
      </c>
      <c r="F2346">
        <f>Prices!F2346</f>
        <v/>
      </c>
      <c r="G2346">
        <f>IF(AND(2344&gt;=16,TEXT(A2346,"yyyy-mm")&lt;&gt;TEXT(A2347,"yyyy-mm")),1,0)</f>
        <v/>
      </c>
      <c r="H2346">
        <f>IF(OR(H2345=1,G2346=1),1,0)</f>
        <v/>
      </c>
      <c r="I2346">
        <f>IF(H2345=0,1,SUMPRODUCT(J2345:N2345,B2346:F2346)+O2345*(1+0.00023125256064071564))</f>
        <v/>
      </c>
      <c r="J2346">
        <f>IF(G2346=1,0.2*R2346/B2346,J2345)</f>
        <v/>
      </c>
      <c r="K2346">
        <f>IF(G2346=1,0.2*R2346/C2346,K2345)</f>
        <v/>
      </c>
      <c r="L2346">
        <f>IF(G2346=1,0.2*R2346/D2346,L2345)</f>
        <v/>
      </c>
      <c r="M2346">
        <f>IF(G2346=1,0.2*R2346/E2346,M2345)</f>
        <v/>
      </c>
      <c r="N2346">
        <f>IF(G2346=1,0.2*R2346/F2346,N2345)</f>
        <v/>
      </c>
      <c r="O2346">
        <f>IF(G2346=1,R2346*(1-1.0),IF(H2345=0,1,O2345*(1+0.00023125256064071564)))</f>
        <v/>
      </c>
      <c r="P2346">
        <f>IF(G2346=1,IF(H2345=0,1,ABS(0.2-J2345*B2346/I2346)+ABS(0.2-K2345*C2346/I2346)+ABS(0.2-L2345*D2346/I2346)+ABS(0.2-M2345*E2346/I2346)+ABS(0.2-N2345*F2346/I2346)),0)</f>
        <v/>
      </c>
      <c r="Q2346">
        <f>P2346*0.0015</f>
        <v/>
      </c>
      <c r="R2346">
        <f>I2346*(1-Q2346)</f>
        <v/>
      </c>
      <c r="S2346">
        <f>R2346/R2345-1</f>
        <v/>
      </c>
      <c r="T2346">
        <f>MAX(T2345,R2346)</f>
        <v/>
      </c>
      <c r="U2346">
        <f>R2346/T2346-1</f>
        <v/>
      </c>
      <c r="V2346" t="n">
        <v>5.637188870539388</v>
      </c>
      <c r="W2346" s="5">
        <f>R2346-V2346</f>
        <v/>
      </c>
    </row>
    <row r="2347">
      <c r="A2347" s="3" t="n">
        <v>41886</v>
      </c>
      <c r="B2347">
        <f>Prices!B2347</f>
        <v/>
      </c>
      <c r="C2347">
        <f>Prices!C2347</f>
        <v/>
      </c>
      <c r="D2347">
        <f>Prices!D2347</f>
        <v/>
      </c>
      <c r="E2347">
        <f>Prices!E2347</f>
        <v/>
      </c>
      <c r="F2347">
        <f>Prices!F2347</f>
        <v/>
      </c>
      <c r="G2347">
        <f>IF(AND(2345&gt;=16,TEXT(A2347,"yyyy-mm")&lt;&gt;TEXT(A2348,"yyyy-mm")),1,0)</f>
        <v/>
      </c>
      <c r="H2347">
        <f>IF(OR(H2346=1,G2347=1),1,0)</f>
        <v/>
      </c>
      <c r="I2347">
        <f>IF(H2346=0,1,SUMPRODUCT(J2346:N2346,B2347:F2347)+O2346*(1+0.00023125256064071564))</f>
        <v/>
      </c>
      <c r="J2347">
        <f>IF(G2347=1,0.2*R2347/B2347,J2346)</f>
        <v/>
      </c>
      <c r="K2347">
        <f>IF(G2347=1,0.2*R2347/C2347,K2346)</f>
        <v/>
      </c>
      <c r="L2347">
        <f>IF(G2347=1,0.2*R2347/D2347,L2346)</f>
        <v/>
      </c>
      <c r="M2347">
        <f>IF(G2347=1,0.2*R2347/E2347,M2346)</f>
        <v/>
      </c>
      <c r="N2347">
        <f>IF(G2347=1,0.2*R2347/F2347,N2346)</f>
        <v/>
      </c>
      <c r="O2347">
        <f>IF(G2347=1,R2347*(1-1.0),IF(H2346=0,1,O2346*(1+0.00023125256064071564)))</f>
        <v/>
      </c>
      <c r="P2347">
        <f>IF(G2347=1,IF(H2346=0,1,ABS(0.2-J2346*B2347/I2347)+ABS(0.2-K2346*C2347/I2347)+ABS(0.2-L2346*D2347/I2347)+ABS(0.2-M2346*E2347/I2347)+ABS(0.2-N2346*F2347/I2347)),0)</f>
        <v/>
      </c>
      <c r="Q2347">
        <f>P2347*0.0015</f>
        <v/>
      </c>
      <c r="R2347">
        <f>I2347*(1-Q2347)</f>
        <v/>
      </c>
      <c r="S2347">
        <f>R2347/R2346-1</f>
        <v/>
      </c>
      <c r="T2347">
        <f>MAX(T2346,R2347)</f>
        <v/>
      </c>
      <c r="U2347">
        <f>R2347/T2347-1</f>
        <v/>
      </c>
      <c r="V2347" t="n">
        <v>5.643598583858283</v>
      </c>
      <c r="W2347" s="5">
        <f>R2347-V2347</f>
        <v/>
      </c>
    </row>
    <row r="2348">
      <c r="A2348" s="3" t="n">
        <v>41887</v>
      </c>
      <c r="B2348">
        <f>Prices!B2348</f>
        <v/>
      </c>
      <c r="C2348">
        <f>Prices!C2348</f>
        <v/>
      </c>
      <c r="D2348">
        <f>Prices!D2348</f>
        <v/>
      </c>
      <c r="E2348">
        <f>Prices!E2348</f>
        <v/>
      </c>
      <c r="F2348">
        <f>Prices!F2348</f>
        <v/>
      </c>
      <c r="G2348">
        <f>IF(AND(2346&gt;=16,TEXT(A2348,"yyyy-mm")&lt;&gt;TEXT(A2349,"yyyy-mm")),1,0)</f>
        <v/>
      </c>
      <c r="H2348">
        <f>IF(OR(H2347=1,G2348=1),1,0)</f>
        <v/>
      </c>
      <c r="I2348">
        <f>IF(H2347=0,1,SUMPRODUCT(J2347:N2347,B2348:F2348)+O2347*(1+0.00023125256064071564))</f>
        <v/>
      </c>
      <c r="J2348">
        <f>IF(G2348=1,0.2*R2348/B2348,J2347)</f>
        <v/>
      </c>
      <c r="K2348">
        <f>IF(G2348=1,0.2*R2348/C2348,K2347)</f>
        <v/>
      </c>
      <c r="L2348">
        <f>IF(G2348=1,0.2*R2348/D2348,L2347)</f>
        <v/>
      </c>
      <c r="M2348">
        <f>IF(G2348=1,0.2*R2348/E2348,M2347)</f>
        <v/>
      </c>
      <c r="N2348">
        <f>IF(G2348=1,0.2*R2348/F2348,N2347)</f>
        <v/>
      </c>
      <c r="O2348">
        <f>IF(G2348=1,R2348*(1-1.0),IF(H2347=0,1,O2347*(1+0.00023125256064071564)))</f>
        <v/>
      </c>
      <c r="P2348">
        <f>IF(G2348=1,IF(H2347=0,1,ABS(0.2-J2347*B2348/I2348)+ABS(0.2-K2347*C2348/I2348)+ABS(0.2-L2347*D2348/I2348)+ABS(0.2-M2347*E2348/I2348)+ABS(0.2-N2347*F2348/I2348)),0)</f>
        <v/>
      </c>
      <c r="Q2348">
        <f>P2348*0.0015</f>
        <v/>
      </c>
      <c r="R2348">
        <f>I2348*(1-Q2348)</f>
        <v/>
      </c>
      <c r="S2348">
        <f>R2348/R2347-1</f>
        <v/>
      </c>
      <c r="T2348">
        <f>MAX(T2347,R2348)</f>
        <v/>
      </c>
      <c r="U2348">
        <f>R2348/T2348-1</f>
        <v/>
      </c>
      <c r="V2348" t="n">
        <v>5.661459345996553</v>
      </c>
      <c r="W2348" s="5">
        <f>R2348-V2348</f>
        <v/>
      </c>
    </row>
    <row r="2349">
      <c r="A2349" s="3" t="n">
        <v>41890</v>
      </c>
      <c r="B2349">
        <f>Prices!B2349</f>
        <v/>
      </c>
      <c r="C2349">
        <f>Prices!C2349</f>
        <v/>
      </c>
      <c r="D2349">
        <f>Prices!D2349</f>
        <v/>
      </c>
      <c r="E2349">
        <f>Prices!E2349</f>
        <v/>
      </c>
      <c r="F2349">
        <f>Prices!F2349</f>
        <v/>
      </c>
      <c r="G2349">
        <f>IF(AND(2347&gt;=16,TEXT(A2349,"yyyy-mm")&lt;&gt;TEXT(A2350,"yyyy-mm")),1,0)</f>
        <v/>
      </c>
      <c r="H2349">
        <f>IF(OR(H2348=1,G2349=1),1,0)</f>
        <v/>
      </c>
      <c r="I2349">
        <f>IF(H2348=0,1,SUMPRODUCT(J2348:N2348,B2349:F2349)+O2348*(1+0.00023125256064071564))</f>
        <v/>
      </c>
      <c r="J2349">
        <f>IF(G2349=1,0.2*R2349/B2349,J2348)</f>
        <v/>
      </c>
      <c r="K2349">
        <f>IF(G2349=1,0.2*R2349/C2349,K2348)</f>
        <v/>
      </c>
      <c r="L2349">
        <f>IF(G2349=1,0.2*R2349/D2349,L2348)</f>
        <v/>
      </c>
      <c r="M2349">
        <f>IF(G2349=1,0.2*R2349/E2349,M2348)</f>
        <v/>
      </c>
      <c r="N2349">
        <f>IF(G2349=1,0.2*R2349/F2349,N2348)</f>
        <v/>
      </c>
      <c r="O2349">
        <f>IF(G2349=1,R2349*(1-1.0),IF(H2348=0,1,O2348*(1+0.00023125256064071564)))</f>
        <v/>
      </c>
      <c r="P2349">
        <f>IF(G2349=1,IF(H2348=0,1,ABS(0.2-J2348*B2349/I2349)+ABS(0.2-K2348*C2349/I2349)+ABS(0.2-L2348*D2349/I2349)+ABS(0.2-M2348*E2349/I2349)+ABS(0.2-N2348*F2349/I2349)),0)</f>
        <v/>
      </c>
      <c r="Q2349">
        <f>P2349*0.0015</f>
        <v/>
      </c>
      <c r="R2349">
        <f>I2349*(1-Q2349)</f>
        <v/>
      </c>
      <c r="S2349">
        <f>R2349/R2348-1</f>
        <v/>
      </c>
      <c r="T2349">
        <f>MAX(T2348,R2349)</f>
        <v/>
      </c>
      <c r="U2349">
        <f>R2349/T2349-1</f>
        <v/>
      </c>
      <c r="V2349" t="n">
        <v>5.740135561462701</v>
      </c>
      <c r="W2349" s="5">
        <f>R2349-V2349</f>
        <v/>
      </c>
    </row>
    <row r="2350">
      <c r="A2350" s="3" t="n">
        <v>41891</v>
      </c>
      <c r="B2350">
        <f>Prices!B2350</f>
        <v/>
      </c>
      <c r="C2350">
        <f>Prices!C2350</f>
        <v/>
      </c>
      <c r="D2350">
        <f>Prices!D2350</f>
        <v/>
      </c>
      <c r="E2350">
        <f>Prices!E2350</f>
        <v/>
      </c>
      <c r="F2350">
        <f>Prices!F2350</f>
        <v/>
      </c>
      <c r="G2350">
        <f>IF(AND(2348&gt;=16,TEXT(A2350,"yyyy-mm")&lt;&gt;TEXT(A2351,"yyyy-mm")),1,0)</f>
        <v/>
      </c>
      <c r="H2350">
        <f>IF(OR(H2349=1,G2350=1),1,0)</f>
        <v/>
      </c>
      <c r="I2350">
        <f>IF(H2349=0,1,SUMPRODUCT(J2349:N2349,B2350:F2350)+O2349*(1+0.00023125256064071564))</f>
        <v/>
      </c>
      <c r="J2350">
        <f>IF(G2350=1,0.2*R2350/B2350,J2349)</f>
        <v/>
      </c>
      <c r="K2350">
        <f>IF(G2350=1,0.2*R2350/C2350,K2349)</f>
        <v/>
      </c>
      <c r="L2350">
        <f>IF(G2350=1,0.2*R2350/D2350,L2349)</f>
        <v/>
      </c>
      <c r="M2350">
        <f>IF(G2350=1,0.2*R2350/E2350,M2349)</f>
        <v/>
      </c>
      <c r="N2350">
        <f>IF(G2350=1,0.2*R2350/F2350,N2349)</f>
        <v/>
      </c>
      <c r="O2350">
        <f>IF(G2350=1,R2350*(1-1.0),IF(H2349=0,1,O2349*(1+0.00023125256064071564)))</f>
        <v/>
      </c>
      <c r="P2350">
        <f>IF(G2350=1,IF(H2349=0,1,ABS(0.2-J2349*B2350/I2350)+ABS(0.2-K2349*C2350/I2350)+ABS(0.2-L2349*D2350/I2350)+ABS(0.2-M2349*E2350/I2350)+ABS(0.2-N2349*F2350/I2350)),0)</f>
        <v/>
      </c>
      <c r="Q2350">
        <f>P2350*0.0015</f>
        <v/>
      </c>
      <c r="R2350">
        <f>I2350*(1-Q2350)</f>
        <v/>
      </c>
      <c r="S2350">
        <f>R2350/R2349-1</f>
        <v/>
      </c>
      <c r="T2350">
        <f>MAX(T2349,R2350)</f>
        <v/>
      </c>
      <c r="U2350">
        <f>R2350/T2350-1</f>
        <v/>
      </c>
      <c r="V2350" t="n">
        <v>5.759847476424692</v>
      </c>
      <c r="W2350" s="5">
        <f>R2350-V2350</f>
        <v/>
      </c>
    </row>
    <row r="2351">
      <c r="A2351" s="3" t="n">
        <v>41892</v>
      </c>
      <c r="B2351">
        <f>Prices!B2351</f>
        <v/>
      </c>
      <c r="C2351">
        <f>Prices!C2351</f>
        <v/>
      </c>
      <c r="D2351">
        <f>Prices!D2351</f>
        <v/>
      </c>
      <c r="E2351">
        <f>Prices!E2351</f>
        <v/>
      </c>
      <c r="F2351">
        <f>Prices!F2351</f>
        <v/>
      </c>
      <c r="G2351">
        <f>IF(AND(2349&gt;=16,TEXT(A2351,"yyyy-mm")&lt;&gt;TEXT(A2352,"yyyy-mm")),1,0)</f>
        <v/>
      </c>
      <c r="H2351">
        <f>IF(OR(H2350=1,G2351=1),1,0)</f>
        <v/>
      </c>
      <c r="I2351">
        <f>IF(H2350=0,1,SUMPRODUCT(J2350:N2350,B2351:F2351)+O2350*(1+0.00023125256064071564))</f>
        <v/>
      </c>
      <c r="J2351">
        <f>IF(G2351=1,0.2*R2351/B2351,J2350)</f>
        <v/>
      </c>
      <c r="K2351">
        <f>IF(G2351=1,0.2*R2351/C2351,K2350)</f>
        <v/>
      </c>
      <c r="L2351">
        <f>IF(G2351=1,0.2*R2351/D2351,L2350)</f>
        <v/>
      </c>
      <c r="M2351">
        <f>IF(G2351=1,0.2*R2351/E2351,M2350)</f>
        <v/>
      </c>
      <c r="N2351">
        <f>IF(G2351=1,0.2*R2351/F2351,N2350)</f>
        <v/>
      </c>
      <c r="O2351">
        <f>IF(G2351=1,R2351*(1-1.0),IF(H2350=0,1,O2350*(1+0.00023125256064071564)))</f>
        <v/>
      </c>
      <c r="P2351">
        <f>IF(G2351=1,IF(H2350=0,1,ABS(0.2-J2350*B2351/I2351)+ABS(0.2-K2350*C2351/I2351)+ABS(0.2-L2350*D2351/I2351)+ABS(0.2-M2350*E2351/I2351)+ABS(0.2-N2350*F2351/I2351)),0)</f>
        <v/>
      </c>
      <c r="Q2351">
        <f>P2351*0.0015</f>
        <v/>
      </c>
      <c r="R2351">
        <f>I2351*(1-Q2351)</f>
        <v/>
      </c>
      <c r="S2351">
        <f>R2351/R2350-1</f>
        <v/>
      </c>
      <c r="T2351">
        <f>MAX(T2350,R2351)</f>
        <v/>
      </c>
      <c r="U2351">
        <f>R2351/T2351-1</f>
        <v/>
      </c>
      <c r="V2351" t="n">
        <v>5.747968509397692</v>
      </c>
      <c r="W2351" s="5">
        <f>R2351-V2351</f>
        <v/>
      </c>
    </row>
    <row r="2352">
      <c r="A2352" s="3" t="n">
        <v>41893</v>
      </c>
      <c r="B2352">
        <f>Prices!B2352</f>
        <v/>
      </c>
      <c r="C2352">
        <f>Prices!C2352</f>
        <v/>
      </c>
      <c r="D2352">
        <f>Prices!D2352</f>
        <v/>
      </c>
      <c r="E2352">
        <f>Prices!E2352</f>
        <v/>
      </c>
      <c r="F2352">
        <f>Prices!F2352</f>
        <v/>
      </c>
      <c r="G2352">
        <f>IF(AND(2350&gt;=16,TEXT(A2352,"yyyy-mm")&lt;&gt;TEXT(A2353,"yyyy-mm")),1,0)</f>
        <v/>
      </c>
      <c r="H2352">
        <f>IF(OR(H2351=1,G2352=1),1,0)</f>
        <v/>
      </c>
      <c r="I2352">
        <f>IF(H2351=0,1,SUMPRODUCT(J2351:N2351,B2352:F2352)+O2351*(1+0.00023125256064071564))</f>
        <v/>
      </c>
      <c r="J2352">
        <f>IF(G2352=1,0.2*R2352/B2352,J2351)</f>
        <v/>
      </c>
      <c r="K2352">
        <f>IF(G2352=1,0.2*R2352/C2352,K2351)</f>
        <v/>
      </c>
      <c r="L2352">
        <f>IF(G2352=1,0.2*R2352/D2352,L2351)</f>
        <v/>
      </c>
      <c r="M2352">
        <f>IF(G2352=1,0.2*R2352/E2352,M2351)</f>
        <v/>
      </c>
      <c r="N2352">
        <f>IF(G2352=1,0.2*R2352/F2352,N2351)</f>
        <v/>
      </c>
      <c r="O2352">
        <f>IF(G2352=1,R2352*(1-1.0),IF(H2351=0,1,O2351*(1+0.00023125256064071564)))</f>
        <v/>
      </c>
      <c r="P2352">
        <f>IF(G2352=1,IF(H2351=0,1,ABS(0.2-J2351*B2352/I2352)+ABS(0.2-K2351*C2352/I2352)+ABS(0.2-L2351*D2352/I2352)+ABS(0.2-M2351*E2352/I2352)+ABS(0.2-N2351*F2352/I2352)),0)</f>
        <v/>
      </c>
      <c r="Q2352">
        <f>P2352*0.0015</f>
        <v/>
      </c>
      <c r="R2352">
        <f>I2352*(1-Q2352)</f>
        <v/>
      </c>
      <c r="S2352">
        <f>R2352/R2351-1</f>
        <v/>
      </c>
      <c r="T2352">
        <f>MAX(T2351,R2352)</f>
        <v/>
      </c>
      <c r="U2352">
        <f>R2352/T2352-1</f>
        <v/>
      </c>
      <c r="V2352" t="n">
        <v>5.812058434972391</v>
      </c>
      <c r="W2352" s="5">
        <f>R2352-V2352</f>
        <v/>
      </c>
    </row>
    <row r="2353">
      <c r="A2353" s="3" t="n">
        <v>41894</v>
      </c>
      <c r="B2353">
        <f>Prices!B2353</f>
        <v/>
      </c>
      <c r="C2353">
        <f>Prices!C2353</f>
        <v/>
      </c>
      <c r="D2353">
        <f>Prices!D2353</f>
        <v/>
      </c>
      <c r="E2353">
        <f>Prices!E2353</f>
        <v/>
      </c>
      <c r="F2353">
        <f>Prices!F2353</f>
        <v/>
      </c>
      <c r="G2353">
        <f>IF(AND(2351&gt;=16,TEXT(A2353,"yyyy-mm")&lt;&gt;TEXT(A2354,"yyyy-mm")),1,0)</f>
        <v/>
      </c>
      <c r="H2353">
        <f>IF(OR(H2352=1,G2353=1),1,0)</f>
        <v/>
      </c>
      <c r="I2353">
        <f>IF(H2352=0,1,SUMPRODUCT(J2352:N2352,B2353:F2353)+O2352*(1+0.00023125256064071564))</f>
        <v/>
      </c>
      <c r="J2353">
        <f>IF(G2353=1,0.2*R2353/B2353,J2352)</f>
        <v/>
      </c>
      <c r="K2353">
        <f>IF(G2353=1,0.2*R2353/C2353,K2352)</f>
        <v/>
      </c>
      <c r="L2353">
        <f>IF(G2353=1,0.2*R2353/D2353,L2352)</f>
        <v/>
      </c>
      <c r="M2353">
        <f>IF(G2353=1,0.2*R2353/E2353,M2352)</f>
        <v/>
      </c>
      <c r="N2353">
        <f>IF(G2353=1,0.2*R2353/F2353,N2352)</f>
        <v/>
      </c>
      <c r="O2353">
        <f>IF(G2353=1,R2353*(1-1.0),IF(H2352=0,1,O2352*(1+0.00023125256064071564)))</f>
        <v/>
      </c>
      <c r="P2353">
        <f>IF(G2353=1,IF(H2352=0,1,ABS(0.2-J2352*B2353/I2353)+ABS(0.2-K2352*C2353/I2353)+ABS(0.2-L2352*D2353/I2353)+ABS(0.2-M2352*E2353/I2353)+ABS(0.2-N2352*F2353/I2353)),0)</f>
        <v/>
      </c>
      <c r="Q2353">
        <f>P2353*0.0015</f>
        <v/>
      </c>
      <c r="R2353">
        <f>I2353*(1-Q2353)</f>
        <v/>
      </c>
      <c r="S2353">
        <f>R2353/R2352-1</f>
        <v/>
      </c>
      <c r="T2353">
        <f>MAX(T2352,R2353)</f>
        <v/>
      </c>
      <c r="U2353">
        <f>R2353/T2353-1</f>
        <v/>
      </c>
      <c r="V2353" t="n">
        <v>5.855767481314177</v>
      </c>
      <c r="W2353" s="5">
        <f>R2353-V2353</f>
        <v/>
      </c>
    </row>
    <row r="2354">
      <c r="A2354" s="3" t="n">
        <v>41897</v>
      </c>
      <c r="B2354">
        <f>Prices!B2354</f>
        <v/>
      </c>
      <c r="C2354">
        <f>Prices!C2354</f>
        <v/>
      </c>
      <c r="D2354">
        <f>Prices!D2354</f>
        <v/>
      </c>
      <c r="E2354">
        <f>Prices!E2354</f>
        <v/>
      </c>
      <c r="F2354">
        <f>Prices!F2354</f>
        <v/>
      </c>
      <c r="G2354">
        <f>IF(AND(2352&gt;=16,TEXT(A2354,"yyyy-mm")&lt;&gt;TEXT(A2355,"yyyy-mm")),1,0)</f>
        <v/>
      </c>
      <c r="H2354">
        <f>IF(OR(H2353=1,G2354=1),1,0)</f>
        <v/>
      </c>
      <c r="I2354">
        <f>IF(H2353=0,1,SUMPRODUCT(J2353:N2353,B2354:F2354)+O2353*(1+0.00023125256064071564))</f>
        <v/>
      </c>
      <c r="J2354">
        <f>IF(G2354=1,0.2*R2354/B2354,J2353)</f>
        <v/>
      </c>
      <c r="K2354">
        <f>IF(G2354=1,0.2*R2354/C2354,K2353)</f>
        <v/>
      </c>
      <c r="L2354">
        <f>IF(G2354=1,0.2*R2354/D2354,L2353)</f>
        <v/>
      </c>
      <c r="M2354">
        <f>IF(G2354=1,0.2*R2354/E2354,M2353)</f>
        <v/>
      </c>
      <c r="N2354">
        <f>IF(G2354=1,0.2*R2354/F2354,N2353)</f>
        <v/>
      </c>
      <c r="O2354">
        <f>IF(G2354=1,R2354*(1-1.0),IF(H2353=0,1,O2353*(1+0.00023125256064071564)))</f>
        <v/>
      </c>
      <c r="P2354">
        <f>IF(G2354=1,IF(H2353=0,1,ABS(0.2-J2353*B2354/I2354)+ABS(0.2-K2353*C2354/I2354)+ABS(0.2-L2353*D2354/I2354)+ABS(0.2-M2353*E2354/I2354)+ABS(0.2-N2353*F2354/I2354)),0)</f>
        <v/>
      </c>
      <c r="Q2354">
        <f>P2354*0.0015</f>
        <v/>
      </c>
      <c r="R2354">
        <f>I2354*(1-Q2354)</f>
        <v/>
      </c>
      <c r="S2354">
        <f>R2354/R2353-1</f>
        <v/>
      </c>
      <c r="T2354">
        <f>MAX(T2353,R2354)</f>
        <v/>
      </c>
      <c r="U2354">
        <f>R2354/T2354-1</f>
        <v/>
      </c>
      <c r="V2354" t="n">
        <v>5.873164216495909</v>
      </c>
      <c r="W2354" s="5">
        <f>R2354-V2354</f>
        <v/>
      </c>
    </row>
    <row r="2355">
      <c r="A2355" s="3" t="n">
        <v>41898</v>
      </c>
      <c r="B2355">
        <f>Prices!B2355</f>
        <v/>
      </c>
      <c r="C2355">
        <f>Prices!C2355</f>
        <v/>
      </c>
      <c r="D2355">
        <f>Prices!D2355</f>
        <v/>
      </c>
      <c r="E2355">
        <f>Prices!E2355</f>
        <v/>
      </c>
      <c r="F2355">
        <f>Prices!F2355</f>
        <v/>
      </c>
      <c r="G2355">
        <f>IF(AND(2353&gt;=16,TEXT(A2355,"yyyy-mm")&lt;&gt;TEXT(A2356,"yyyy-mm")),1,0)</f>
        <v/>
      </c>
      <c r="H2355">
        <f>IF(OR(H2354=1,G2355=1),1,0)</f>
        <v/>
      </c>
      <c r="I2355">
        <f>IF(H2354=0,1,SUMPRODUCT(J2354:N2354,B2355:F2355)+O2354*(1+0.00023125256064071564))</f>
        <v/>
      </c>
      <c r="J2355">
        <f>IF(G2355=1,0.2*R2355/B2355,J2354)</f>
        <v/>
      </c>
      <c r="K2355">
        <f>IF(G2355=1,0.2*R2355/C2355,K2354)</f>
        <v/>
      </c>
      <c r="L2355">
        <f>IF(G2355=1,0.2*R2355/D2355,L2354)</f>
        <v/>
      </c>
      <c r="M2355">
        <f>IF(G2355=1,0.2*R2355/E2355,M2354)</f>
        <v/>
      </c>
      <c r="N2355">
        <f>IF(G2355=1,0.2*R2355/F2355,N2354)</f>
        <v/>
      </c>
      <c r="O2355">
        <f>IF(G2355=1,R2355*(1-1.0),IF(H2354=0,1,O2354*(1+0.00023125256064071564)))</f>
        <v/>
      </c>
      <c r="P2355">
        <f>IF(G2355=1,IF(H2354=0,1,ABS(0.2-J2354*B2355/I2355)+ABS(0.2-K2354*C2355/I2355)+ABS(0.2-L2354*D2355/I2355)+ABS(0.2-M2354*E2355/I2355)+ABS(0.2-N2354*F2355/I2355)),0)</f>
        <v/>
      </c>
      <c r="Q2355">
        <f>P2355*0.0015</f>
        <v/>
      </c>
      <c r="R2355">
        <f>I2355*(1-Q2355)</f>
        <v/>
      </c>
      <c r="S2355">
        <f>R2355/R2354-1</f>
        <v/>
      </c>
      <c r="T2355">
        <f>MAX(T2354,R2355)</f>
        <v/>
      </c>
      <c r="U2355">
        <f>R2355/T2355-1</f>
        <v/>
      </c>
      <c r="V2355" t="n">
        <v>5.697082939477739</v>
      </c>
      <c r="W2355" s="5">
        <f>R2355-V2355</f>
        <v/>
      </c>
    </row>
    <row r="2356">
      <c r="A2356" s="3" t="n">
        <v>41899</v>
      </c>
      <c r="B2356">
        <f>Prices!B2356</f>
        <v/>
      </c>
      <c r="C2356">
        <f>Prices!C2356</f>
        <v/>
      </c>
      <c r="D2356">
        <f>Prices!D2356</f>
        <v/>
      </c>
      <c r="E2356">
        <f>Prices!E2356</f>
        <v/>
      </c>
      <c r="F2356">
        <f>Prices!F2356</f>
        <v/>
      </c>
      <c r="G2356">
        <f>IF(AND(2354&gt;=16,TEXT(A2356,"yyyy-mm")&lt;&gt;TEXT(A2357,"yyyy-mm")),1,0)</f>
        <v/>
      </c>
      <c r="H2356">
        <f>IF(OR(H2355=1,G2356=1),1,0)</f>
        <v/>
      </c>
      <c r="I2356">
        <f>IF(H2355=0,1,SUMPRODUCT(J2355:N2355,B2356:F2356)+O2355*(1+0.00023125256064071564))</f>
        <v/>
      </c>
      <c r="J2356">
        <f>IF(G2356=1,0.2*R2356/B2356,J2355)</f>
        <v/>
      </c>
      <c r="K2356">
        <f>IF(G2356=1,0.2*R2356/C2356,K2355)</f>
        <v/>
      </c>
      <c r="L2356">
        <f>IF(G2356=1,0.2*R2356/D2356,L2355)</f>
        <v/>
      </c>
      <c r="M2356">
        <f>IF(G2356=1,0.2*R2356/E2356,M2355)</f>
        <v/>
      </c>
      <c r="N2356">
        <f>IF(G2356=1,0.2*R2356/F2356,N2355)</f>
        <v/>
      </c>
      <c r="O2356">
        <f>IF(G2356=1,R2356*(1-1.0),IF(H2355=0,1,O2355*(1+0.00023125256064071564)))</f>
        <v/>
      </c>
      <c r="P2356">
        <f>IF(G2356=1,IF(H2355=0,1,ABS(0.2-J2355*B2356/I2356)+ABS(0.2-K2355*C2356/I2356)+ABS(0.2-L2355*D2356/I2356)+ABS(0.2-M2355*E2356/I2356)+ABS(0.2-N2355*F2356/I2356)),0)</f>
        <v/>
      </c>
      <c r="Q2356">
        <f>P2356*0.0015</f>
        <v/>
      </c>
      <c r="R2356">
        <f>I2356*(1-Q2356)</f>
        <v/>
      </c>
      <c r="S2356">
        <f>R2356/R2355-1</f>
        <v/>
      </c>
      <c r="T2356">
        <f>MAX(T2355,R2356)</f>
        <v/>
      </c>
      <c r="U2356">
        <f>R2356/T2356-1</f>
        <v/>
      </c>
      <c r="V2356" t="n">
        <v>5.714644669138226</v>
      </c>
      <c r="W2356" s="5">
        <f>R2356-V2356</f>
        <v/>
      </c>
    </row>
    <row r="2357">
      <c r="A2357" s="3" t="n">
        <v>41900</v>
      </c>
      <c r="B2357">
        <f>Prices!B2357</f>
        <v/>
      </c>
      <c r="C2357">
        <f>Prices!C2357</f>
        <v/>
      </c>
      <c r="D2357">
        <f>Prices!D2357</f>
        <v/>
      </c>
      <c r="E2357">
        <f>Prices!E2357</f>
        <v/>
      </c>
      <c r="F2357">
        <f>Prices!F2357</f>
        <v/>
      </c>
      <c r="G2357">
        <f>IF(AND(2355&gt;=16,TEXT(A2357,"yyyy-mm")&lt;&gt;TEXT(A2358,"yyyy-mm")),1,0)</f>
        <v/>
      </c>
      <c r="H2357">
        <f>IF(OR(H2356=1,G2357=1),1,0)</f>
        <v/>
      </c>
      <c r="I2357">
        <f>IF(H2356=0,1,SUMPRODUCT(J2356:N2356,B2357:F2357)+O2356*(1+0.00023125256064071564))</f>
        <v/>
      </c>
      <c r="J2357">
        <f>IF(G2357=1,0.2*R2357/B2357,J2356)</f>
        <v/>
      </c>
      <c r="K2357">
        <f>IF(G2357=1,0.2*R2357/C2357,K2356)</f>
        <v/>
      </c>
      <c r="L2357">
        <f>IF(G2357=1,0.2*R2357/D2357,L2356)</f>
        <v/>
      </c>
      <c r="M2357">
        <f>IF(G2357=1,0.2*R2357/E2357,M2356)</f>
        <v/>
      </c>
      <c r="N2357">
        <f>IF(G2357=1,0.2*R2357/F2357,N2356)</f>
        <v/>
      </c>
      <c r="O2357">
        <f>IF(G2357=1,R2357*(1-1.0),IF(H2356=0,1,O2356*(1+0.00023125256064071564)))</f>
        <v/>
      </c>
      <c r="P2357">
        <f>IF(G2357=1,IF(H2356=0,1,ABS(0.2-J2356*B2357/I2357)+ABS(0.2-K2356*C2357/I2357)+ABS(0.2-L2356*D2357/I2357)+ABS(0.2-M2356*E2357/I2357)+ABS(0.2-N2356*F2357/I2357)),0)</f>
        <v/>
      </c>
      <c r="Q2357">
        <f>P2357*0.0015</f>
        <v/>
      </c>
      <c r="R2357">
        <f>I2357*(1-Q2357)</f>
        <v/>
      </c>
      <c r="S2357">
        <f>R2357/R2356-1</f>
        <v/>
      </c>
      <c r="T2357">
        <f>MAX(T2356,R2357)</f>
        <v/>
      </c>
      <c r="U2357">
        <f>R2357/T2357-1</f>
        <v/>
      </c>
      <c r="V2357" t="n">
        <v>5.825010527109796</v>
      </c>
      <c r="W2357" s="5">
        <f>R2357-V2357</f>
        <v/>
      </c>
    </row>
    <row r="2358">
      <c r="A2358" s="3" t="n">
        <v>41901</v>
      </c>
      <c r="B2358">
        <f>Prices!B2358</f>
        <v/>
      </c>
      <c r="C2358">
        <f>Prices!C2358</f>
        <v/>
      </c>
      <c r="D2358">
        <f>Prices!D2358</f>
        <v/>
      </c>
      <c r="E2358">
        <f>Prices!E2358</f>
        <v/>
      </c>
      <c r="F2358">
        <f>Prices!F2358</f>
        <v/>
      </c>
      <c r="G2358">
        <f>IF(AND(2356&gt;=16,TEXT(A2358,"yyyy-mm")&lt;&gt;TEXT(A2359,"yyyy-mm")),1,0)</f>
        <v/>
      </c>
      <c r="H2358">
        <f>IF(OR(H2357=1,G2358=1),1,0)</f>
        <v/>
      </c>
      <c r="I2358">
        <f>IF(H2357=0,1,SUMPRODUCT(J2357:N2357,B2358:F2358)+O2357*(1+0.00023125256064071564))</f>
        <v/>
      </c>
      <c r="J2358">
        <f>IF(G2358=1,0.2*R2358/B2358,J2357)</f>
        <v/>
      </c>
      <c r="K2358">
        <f>IF(G2358=1,0.2*R2358/C2358,K2357)</f>
        <v/>
      </c>
      <c r="L2358">
        <f>IF(G2358=1,0.2*R2358/D2358,L2357)</f>
        <v/>
      </c>
      <c r="M2358">
        <f>IF(G2358=1,0.2*R2358/E2358,M2357)</f>
        <v/>
      </c>
      <c r="N2358">
        <f>IF(G2358=1,0.2*R2358/F2358,N2357)</f>
        <v/>
      </c>
      <c r="O2358">
        <f>IF(G2358=1,R2358*(1-1.0),IF(H2357=0,1,O2357*(1+0.00023125256064071564)))</f>
        <v/>
      </c>
      <c r="P2358">
        <f>IF(G2358=1,IF(H2357=0,1,ABS(0.2-J2357*B2358/I2358)+ABS(0.2-K2357*C2358/I2358)+ABS(0.2-L2357*D2358/I2358)+ABS(0.2-M2357*E2358/I2358)+ABS(0.2-N2357*F2358/I2358)),0)</f>
        <v/>
      </c>
      <c r="Q2358">
        <f>P2358*0.0015</f>
        <v/>
      </c>
      <c r="R2358">
        <f>I2358*(1-Q2358)</f>
        <v/>
      </c>
      <c r="S2358">
        <f>R2358/R2357-1</f>
        <v/>
      </c>
      <c r="T2358">
        <f>MAX(T2357,R2358)</f>
        <v/>
      </c>
      <c r="U2358">
        <f>R2358/T2358-1</f>
        <v/>
      </c>
      <c r="V2358" t="n">
        <v>5.836615925920618</v>
      </c>
      <c r="W2358" s="5">
        <f>R2358-V2358</f>
        <v/>
      </c>
    </row>
    <row r="2359">
      <c r="A2359" s="3" t="n">
        <v>41904</v>
      </c>
      <c r="B2359">
        <f>Prices!B2359</f>
        <v/>
      </c>
      <c r="C2359">
        <f>Prices!C2359</f>
        <v/>
      </c>
      <c r="D2359">
        <f>Prices!D2359</f>
        <v/>
      </c>
      <c r="E2359">
        <f>Prices!E2359</f>
        <v/>
      </c>
      <c r="F2359">
        <f>Prices!F2359</f>
        <v/>
      </c>
      <c r="G2359">
        <f>IF(AND(2357&gt;=16,TEXT(A2359,"yyyy-mm")&lt;&gt;TEXT(A2360,"yyyy-mm")),1,0)</f>
        <v/>
      </c>
      <c r="H2359">
        <f>IF(OR(H2358=1,G2359=1),1,0)</f>
        <v/>
      </c>
      <c r="I2359">
        <f>IF(H2358=0,1,SUMPRODUCT(J2358:N2358,B2359:F2359)+O2358*(1+0.00023125256064071564))</f>
        <v/>
      </c>
      <c r="J2359">
        <f>IF(G2359=1,0.2*R2359/B2359,J2358)</f>
        <v/>
      </c>
      <c r="K2359">
        <f>IF(G2359=1,0.2*R2359/C2359,K2358)</f>
        <v/>
      </c>
      <c r="L2359">
        <f>IF(G2359=1,0.2*R2359/D2359,L2358)</f>
        <v/>
      </c>
      <c r="M2359">
        <f>IF(G2359=1,0.2*R2359/E2359,M2358)</f>
        <v/>
      </c>
      <c r="N2359">
        <f>IF(G2359=1,0.2*R2359/F2359,N2358)</f>
        <v/>
      </c>
      <c r="O2359">
        <f>IF(G2359=1,R2359*(1-1.0),IF(H2358=0,1,O2358*(1+0.00023125256064071564)))</f>
        <v/>
      </c>
      <c r="P2359">
        <f>IF(G2359=1,IF(H2358=0,1,ABS(0.2-J2358*B2359/I2359)+ABS(0.2-K2358*C2359/I2359)+ABS(0.2-L2358*D2359/I2359)+ABS(0.2-M2358*E2359/I2359)+ABS(0.2-N2358*F2359/I2359)),0)</f>
        <v/>
      </c>
      <c r="Q2359">
        <f>P2359*0.0015</f>
        <v/>
      </c>
      <c r="R2359">
        <f>I2359*(1-Q2359)</f>
        <v/>
      </c>
      <c r="S2359">
        <f>R2359/R2358-1</f>
        <v/>
      </c>
      <c r="T2359">
        <f>MAX(T2358,R2359)</f>
        <v/>
      </c>
      <c r="U2359">
        <f>R2359/T2359-1</f>
        <v/>
      </c>
      <c r="V2359" t="n">
        <v>5.825756679977753</v>
      </c>
      <c r="W2359" s="5">
        <f>R2359-V2359</f>
        <v/>
      </c>
    </row>
    <row r="2360">
      <c r="A2360" s="3" t="n">
        <v>41905</v>
      </c>
      <c r="B2360">
        <f>Prices!B2360</f>
        <v/>
      </c>
      <c r="C2360">
        <f>Prices!C2360</f>
        <v/>
      </c>
      <c r="D2360">
        <f>Prices!D2360</f>
        <v/>
      </c>
      <c r="E2360">
        <f>Prices!E2360</f>
        <v/>
      </c>
      <c r="F2360">
        <f>Prices!F2360</f>
        <v/>
      </c>
      <c r="G2360">
        <f>IF(AND(2358&gt;=16,TEXT(A2360,"yyyy-mm")&lt;&gt;TEXT(A2361,"yyyy-mm")),1,0)</f>
        <v/>
      </c>
      <c r="H2360">
        <f>IF(OR(H2359=1,G2360=1),1,0)</f>
        <v/>
      </c>
      <c r="I2360">
        <f>IF(H2359=0,1,SUMPRODUCT(J2359:N2359,B2360:F2360)+O2359*(1+0.00023125256064071564))</f>
        <v/>
      </c>
      <c r="J2360">
        <f>IF(G2360=1,0.2*R2360/B2360,J2359)</f>
        <v/>
      </c>
      <c r="K2360">
        <f>IF(G2360=1,0.2*R2360/C2360,K2359)</f>
        <v/>
      </c>
      <c r="L2360">
        <f>IF(G2360=1,0.2*R2360/D2360,L2359)</f>
        <v/>
      </c>
      <c r="M2360">
        <f>IF(G2360=1,0.2*R2360/E2360,M2359)</f>
        <v/>
      </c>
      <c r="N2360">
        <f>IF(G2360=1,0.2*R2360/F2360,N2359)</f>
        <v/>
      </c>
      <c r="O2360">
        <f>IF(G2360=1,R2360*(1-1.0),IF(H2359=0,1,O2359*(1+0.00023125256064071564)))</f>
        <v/>
      </c>
      <c r="P2360">
        <f>IF(G2360=1,IF(H2359=0,1,ABS(0.2-J2359*B2360/I2360)+ABS(0.2-K2359*C2360/I2360)+ABS(0.2-L2359*D2360/I2360)+ABS(0.2-M2359*E2360/I2360)+ABS(0.2-N2359*F2360/I2360)),0)</f>
        <v/>
      </c>
      <c r="Q2360">
        <f>P2360*0.0015</f>
        <v/>
      </c>
      <c r="R2360">
        <f>I2360*(1-Q2360)</f>
        <v/>
      </c>
      <c r="S2360">
        <f>R2360/R2359-1</f>
        <v/>
      </c>
      <c r="T2360">
        <f>MAX(T2359,R2360)</f>
        <v/>
      </c>
      <c r="U2360">
        <f>R2360/T2360-1</f>
        <v/>
      </c>
      <c r="V2360" t="n">
        <v>5.709166762686601</v>
      </c>
      <c r="W2360" s="5">
        <f>R2360-V2360</f>
        <v/>
      </c>
    </row>
    <row r="2361">
      <c r="A2361" s="3" t="n">
        <v>41906</v>
      </c>
      <c r="B2361">
        <f>Prices!B2361</f>
        <v/>
      </c>
      <c r="C2361">
        <f>Prices!C2361</f>
        <v/>
      </c>
      <c r="D2361">
        <f>Prices!D2361</f>
        <v/>
      </c>
      <c r="E2361">
        <f>Prices!E2361</f>
        <v/>
      </c>
      <c r="F2361">
        <f>Prices!F2361</f>
        <v/>
      </c>
      <c r="G2361">
        <f>IF(AND(2359&gt;=16,TEXT(A2361,"yyyy-mm")&lt;&gt;TEXT(A2362,"yyyy-mm")),1,0)</f>
        <v/>
      </c>
      <c r="H2361">
        <f>IF(OR(H2360=1,G2361=1),1,0)</f>
        <v/>
      </c>
      <c r="I2361">
        <f>IF(H2360=0,1,SUMPRODUCT(J2360:N2360,B2361:F2361)+O2360*(1+0.00023125256064071564))</f>
        <v/>
      </c>
      <c r="J2361">
        <f>IF(G2361=1,0.2*R2361/B2361,J2360)</f>
        <v/>
      </c>
      <c r="K2361">
        <f>IF(G2361=1,0.2*R2361/C2361,K2360)</f>
        <v/>
      </c>
      <c r="L2361">
        <f>IF(G2361=1,0.2*R2361/D2361,L2360)</f>
        <v/>
      </c>
      <c r="M2361">
        <f>IF(G2361=1,0.2*R2361/E2361,M2360)</f>
        <v/>
      </c>
      <c r="N2361">
        <f>IF(G2361=1,0.2*R2361/F2361,N2360)</f>
        <v/>
      </c>
      <c r="O2361">
        <f>IF(G2361=1,R2361*(1-1.0),IF(H2360=0,1,O2360*(1+0.00023125256064071564)))</f>
        <v/>
      </c>
      <c r="P2361">
        <f>IF(G2361=1,IF(H2360=0,1,ABS(0.2-J2360*B2361/I2361)+ABS(0.2-K2360*C2361/I2361)+ABS(0.2-L2360*D2361/I2361)+ABS(0.2-M2360*E2361/I2361)+ABS(0.2-N2360*F2361/I2361)),0)</f>
        <v/>
      </c>
      <c r="Q2361">
        <f>P2361*0.0015</f>
        <v/>
      </c>
      <c r="R2361">
        <f>I2361*(1-Q2361)</f>
        <v/>
      </c>
      <c r="S2361">
        <f>R2361/R2360-1</f>
        <v/>
      </c>
      <c r="T2361">
        <f>MAX(T2360,R2361)</f>
        <v/>
      </c>
      <c r="U2361">
        <f>R2361/T2361-1</f>
        <v/>
      </c>
      <c r="V2361" t="n">
        <v>5.650462179089848</v>
      </c>
      <c r="W2361" s="5">
        <f>R2361-V2361</f>
        <v/>
      </c>
    </row>
    <row r="2362">
      <c r="A2362" s="3" t="n">
        <v>41907</v>
      </c>
      <c r="B2362">
        <f>Prices!B2362</f>
        <v/>
      </c>
      <c r="C2362">
        <f>Prices!C2362</f>
        <v/>
      </c>
      <c r="D2362">
        <f>Prices!D2362</f>
        <v/>
      </c>
      <c r="E2362">
        <f>Prices!E2362</f>
        <v/>
      </c>
      <c r="F2362">
        <f>Prices!F2362</f>
        <v/>
      </c>
      <c r="G2362">
        <f>IF(AND(2360&gt;=16,TEXT(A2362,"yyyy-mm")&lt;&gt;TEXT(A2363,"yyyy-mm")),1,0)</f>
        <v/>
      </c>
      <c r="H2362">
        <f>IF(OR(H2361=1,G2362=1),1,0)</f>
        <v/>
      </c>
      <c r="I2362">
        <f>IF(H2361=0,1,SUMPRODUCT(J2361:N2361,B2362:F2362)+O2361*(1+0.00023125256064071564))</f>
        <v/>
      </c>
      <c r="J2362">
        <f>IF(G2362=1,0.2*R2362/B2362,J2361)</f>
        <v/>
      </c>
      <c r="K2362">
        <f>IF(G2362=1,0.2*R2362/C2362,K2361)</f>
        <v/>
      </c>
      <c r="L2362">
        <f>IF(G2362=1,0.2*R2362/D2362,L2361)</f>
        <v/>
      </c>
      <c r="M2362">
        <f>IF(G2362=1,0.2*R2362/E2362,M2361)</f>
        <v/>
      </c>
      <c r="N2362">
        <f>IF(G2362=1,0.2*R2362/F2362,N2361)</f>
        <v/>
      </c>
      <c r="O2362">
        <f>IF(G2362=1,R2362*(1-1.0),IF(H2361=0,1,O2361*(1+0.00023125256064071564)))</f>
        <v/>
      </c>
      <c r="P2362">
        <f>IF(G2362=1,IF(H2361=0,1,ABS(0.2-J2361*B2362/I2362)+ABS(0.2-K2361*C2362/I2362)+ABS(0.2-L2361*D2362/I2362)+ABS(0.2-M2361*E2362/I2362)+ABS(0.2-N2361*F2362/I2362)),0)</f>
        <v/>
      </c>
      <c r="Q2362">
        <f>P2362*0.0015</f>
        <v/>
      </c>
      <c r="R2362">
        <f>I2362*(1-Q2362)</f>
        <v/>
      </c>
      <c r="S2362">
        <f>R2362/R2361-1</f>
        <v/>
      </c>
      <c r="T2362">
        <f>MAX(T2361,R2362)</f>
        <v/>
      </c>
      <c r="U2362">
        <f>R2362/T2362-1</f>
        <v/>
      </c>
      <c r="V2362" t="n">
        <v>5.545401819537854</v>
      </c>
      <c r="W2362" s="5">
        <f>R2362-V2362</f>
        <v/>
      </c>
    </row>
    <row r="2363">
      <c r="A2363" s="3" t="n">
        <v>41908</v>
      </c>
      <c r="B2363">
        <f>Prices!B2363</f>
        <v/>
      </c>
      <c r="C2363">
        <f>Prices!C2363</f>
        <v/>
      </c>
      <c r="D2363">
        <f>Prices!D2363</f>
        <v/>
      </c>
      <c r="E2363">
        <f>Prices!E2363</f>
        <v/>
      </c>
      <c r="F2363">
        <f>Prices!F2363</f>
        <v/>
      </c>
      <c r="G2363">
        <f>IF(AND(2361&gt;=16,TEXT(A2363,"yyyy-mm")&lt;&gt;TEXT(A2364,"yyyy-mm")),1,0)</f>
        <v/>
      </c>
      <c r="H2363">
        <f>IF(OR(H2362=1,G2363=1),1,0)</f>
        <v/>
      </c>
      <c r="I2363">
        <f>IF(H2362=0,1,SUMPRODUCT(J2362:N2362,B2363:F2363)+O2362*(1+0.00023125256064071564))</f>
        <v/>
      </c>
      <c r="J2363">
        <f>IF(G2363=1,0.2*R2363/B2363,J2362)</f>
        <v/>
      </c>
      <c r="K2363">
        <f>IF(G2363=1,0.2*R2363/C2363,K2362)</f>
        <v/>
      </c>
      <c r="L2363">
        <f>IF(G2363=1,0.2*R2363/D2363,L2362)</f>
        <v/>
      </c>
      <c r="M2363">
        <f>IF(G2363=1,0.2*R2363/E2363,M2362)</f>
        <v/>
      </c>
      <c r="N2363">
        <f>IF(G2363=1,0.2*R2363/F2363,N2362)</f>
        <v/>
      </c>
      <c r="O2363">
        <f>IF(G2363=1,R2363*(1-1.0),IF(H2362=0,1,O2362*(1+0.00023125256064071564)))</f>
        <v/>
      </c>
      <c r="P2363">
        <f>IF(G2363=1,IF(H2362=0,1,ABS(0.2-J2362*B2363/I2363)+ABS(0.2-K2362*C2363/I2363)+ABS(0.2-L2362*D2363/I2363)+ABS(0.2-M2362*E2363/I2363)+ABS(0.2-N2362*F2363/I2363)),0)</f>
        <v/>
      </c>
      <c r="Q2363">
        <f>P2363*0.0015</f>
        <v/>
      </c>
      <c r="R2363">
        <f>I2363*(1-Q2363)</f>
        <v/>
      </c>
      <c r="S2363">
        <f>R2363/R2362-1</f>
        <v/>
      </c>
      <c r="T2363">
        <f>MAX(T2362,R2363)</f>
        <v/>
      </c>
      <c r="U2363">
        <f>R2363/T2363-1</f>
        <v/>
      </c>
      <c r="V2363" t="n">
        <v>5.59668173069068</v>
      </c>
      <c r="W2363" s="5">
        <f>R2363-V2363</f>
        <v/>
      </c>
    </row>
    <row r="2364">
      <c r="A2364" s="3" t="n">
        <v>41911</v>
      </c>
      <c r="B2364">
        <f>Prices!B2364</f>
        <v/>
      </c>
      <c r="C2364">
        <f>Prices!C2364</f>
        <v/>
      </c>
      <c r="D2364">
        <f>Prices!D2364</f>
        <v/>
      </c>
      <c r="E2364">
        <f>Prices!E2364</f>
        <v/>
      </c>
      <c r="F2364">
        <f>Prices!F2364</f>
        <v/>
      </c>
      <c r="G2364">
        <f>IF(AND(2362&gt;=16,TEXT(A2364,"yyyy-mm")&lt;&gt;TEXT(A2365,"yyyy-mm")),1,0)</f>
        <v/>
      </c>
      <c r="H2364">
        <f>IF(OR(H2363=1,G2364=1),1,0)</f>
        <v/>
      </c>
      <c r="I2364">
        <f>IF(H2363=0,1,SUMPRODUCT(J2363:N2363,B2364:F2364)+O2363*(1+0.00023125256064071564))</f>
        <v/>
      </c>
      <c r="J2364">
        <f>IF(G2364=1,0.2*R2364/B2364,J2363)</f>
        <v/>
      </c>
      <c r="K2364">
        <f>IF(G2364=1,0.2*R2364/C2364,K2363)</f>
        <v/>
      </c>
      <c r="L2364">
        <f>IF(G2364=1,0.2*R2364/D2364,L2363)</f>
        <v/>
      </c>
      <c r="M2364">
        <f>IF(G2364=1,0.2*R2364/E2364,M2363)</f>
        <v/>
      </c>
      <c r="N2364">
        <f>IF(G2364=1,0.2*R2364/F2364,N2363)</f>
        <v/>
      </c>
      <c r="O2364">
        <f>IF(G2364=1,R2364*(1-1.0),IF(H2363=0,1,O2363*(1+0.00023125256064071564)))</f>
        <v/>
      </c>
      <c r="P2364">
        <f>IF(G2364=1,IF(H2363=0,1,ABS(0.2-J2363*B2364/I2364)+ABS(0.2-K2363*C2364/I2364)+ABS(0.2-L2363*D2364/I2364)+ABS(0.2-M2363*E2364/I2364)+ABS(0.2-N2363*F2364/I2364)),0)</f>
        <v/>
      </c>
      <c r="Q2364">
        <f>P2364*0.0015</f>
        <v/>
      </c>
      <c r="R2364">
        <f>I2364*(1-Q2364)</f>
        <v/>
      </c>
      <c r="S2364">
        <f>R2364/R2363-1</f>
        <v/>
      </c>
      <c r="T2364">
        <f>MAX(T2363,R2364)</f>
        <v/>
      </c>
      <c r="U2364">
        <f>R2364/T2364-1</f>
        <v/>
      </c>
      <c r="V2364" t="n">
        <v>5.679190098037307</v>
      </c>
      <c r="W2364" s="5">
        <f>R2364-V2364</f>
        <v/>
      </c>
    </row>
    <row r="2365">
      <c r="A2365" s="3" t="n">
        <v>41912</v>
      </c>
      <c r="B2365">
        <f>Prices!B2365</f>
        <v/>
      </c>
      <c r="C2365">
        <f>Prices!C2365</f>
        <v/>
      </c>
      <c r="D2365">
        <f>Prices!D2365</f>
        <v/>
      </c>
      <c r="E2365">
        <f>Prices!E2365</f>
        <v/>
      </c>
      <c r="F2365">
        <f>Prices!F2365</f>
        <v/>
      </c>
      <c r="G2365">
        <f>IF(AND(2363&gt;=16,TEXT(A2365,"yyyy-mm")&lt;&gt;TEXT(A2366,"yyyy-mm")),1,0)</f>
        <v/>
      </c>
      <c r="H2365">
        <f>IF(OR(H2364=1,G2365=1),1,0)</f>
        <v/>
      </c>
      <c r="I2365">
        <f>IF(H2364=0,1,SUMPRODUCT(J2364:N2364,B2365:F2365)+O2364*(1+0.00023125256064071564))</f>
        <v/>
      </c>
      <c r="J2365">
        <f>IF(G2365=1,0.2*R2365/B2365,J2364)</f>
        <v/>
      </c>
      <c r="K2365">
        <f>IF(G2365=1,0.2*R2365/C2365,K2364)</f>
        <v/>
      </c>
      <c r="L2365">
        <f>IF(G2365=1,0.2*R2365/D2365,L2364)</f>
        <v/>
      </c>
      <c r="M2365">
        <f>IF(G2365=1,0.2*R2365/E2365,M2364)</f>
        <v/>
      </c>
      <c r="N2365">
        <f>IF(G2365=1,0.2*R2365/F2365,N2364)</f>
        <v/>
      </c>
      <c r="O2365">
        <f>IF(G2365=1,R2365*(1-1.0),IF(H2364=0,1,O2364*(1+0.00023125256064071564)))</f>
        <v/>
      </c>
      <c r="P2365">
        <f>IF(G2365=1,IF(H2364=0,1,ABS(0.2-J2364*B2365/I2365)+ABS(0.2-K2364*C2365/I2365)+ABS(0.2-L2364*D2365/I2365)+ABS(0.2-M2364*E2365/I2365)+ABS(0.2-N2364*F2365/I2365)),0)</f>
        <v/>
      </c>
      <c r="Q2365">
        <f>P2365*0.0015</f>
        <v/>
      </c>
      <c r="R2365">
        <f>I2365*(1-Q2365)</f>
        <v/>
      </c>
      <c r="S2365">
        <f>R2365/R2364-1</f>
        <v/>
      </c>
      <c r="T2365">
        <f>MAX(T2364,R2365)</f>
        <v/>
      </c>
      <c r="U2365">
        <f>R2365/T2365-1</f>
        <v/>
      </c>
      <c r="V2365" t="n">
        <v>5.701030553896908</v>
      </c>
      <c r="W2365" s="5">
        <f>R2365-V2365</f>
        <v/>
      </c>
    </row>
    <row r="2366">
      <c r="A2366" s="3" t="n">
        <v>41913</v>
      </c>
      <c r="B2366">
        <f>Prices!B2366</f>
        <v/>
      </c>
      <c r="C2366">
        <f>Prices!C2366</f>
        <v/>
      </c>
      <c r="D2366">
        <f>Prices!D2366</f>
        <v/>
      </c>
      <c r="E2366">
        <f>Prices!E2366</f>
        <v/>
      </c>
      <c r="F2366">
        <f>Prices!F2366</f>
        <v/>
      </c>
      <c r="G2366">
        <f>IF(AND(2364&gt;=16,TEXT(A2366,"yyyy-mm")&lt;&gt;TEXT(A2367,"yyyy-mm")),1,0)</f>
        <v/>
      </c>
      <c r="H2366">
        <f>IF(OR(H2365=1,G2366=1),1,0)</f>
        <v/>
      </c>
      <c r="I2366">
        <f>IF(H2365=0,1,SUMPRODUCT(J2365:N2365,B2366:F2366)+O2365*(1+0.00023125256064071564))</f>
        <v/>
      </c>
      <c r="J2366">
        <f>IF(G2366=1,0.2*R2366/B2366,J2365)</f>
        <v/>
      </c>
      <c r="K2366">
        <f>IF(G2366=1,0.2*R2366/C2366,K2365)</f>
        <v/>
      </c>
      <c r="L2366">
        <f>IF(G2366=1,0.2*R2366/D2366,L2365)</f>
        <v/>
      </c>
      <c r="M2366">
        <f>IF(G2366=1,0.2*R2366/E2366,M2365)</f>
        <v/>
      </c>
      <c r="N2366">
        <f>IF(G2366=1,0.2*R2366/F2366,N2365)</f>
        <v/>
      </c>
      <c r="O2366">
        <f>IF(G2366=1,R2366*(1-1.0),IF(H2365=0,1,O2365*(1+0.00023125256064071564)))</f>
        <v/>
      </c>
      <c r="P2366">
        <f>IF(G2366=1,IF(H2365=0,1,ABS(0.2-J2365*B2366/I2366)+ABS(0.2-K2365*C2366/I2366)+ABS(0.2-L2365*D2366/I2366)+ABS(0.2-M2365*E2366/I2366)+ABS(0.2-N2365*F2366/I2366)),0)</f>
        <v/>
      </c>
      <c r="Q2366">
        <f>P2366*0.0015</f>
        <v/>
      </c>
      <c r="R2366">
        <f>I2366*(1-Q2366)</f>
        <v/>
      </c>
      <c r="S2366">
        <f>R2366/R2365-1</f>
        <v/>
      </c>
      <c r="T2366">
        <f>MAX(T2365,R2366)</f>
        <v/>
      </c>
      <c r="U2366">
        <f>R2366/T2366-1</f>
        <v/>
      </c>
      <c r="V2366" t="n">
        <v>5.696348699447194</v>
      </c>
      <c r="W2366" s="5">
        <f>R2366-V2366</f>
        <v/>
      </c>
    </row>
    <row r="2367">
      <c r="A2367" s="3" t="n">
        <v>41919</v>
      </c>
      <c r="B2367">
        <f>Prices!B2367</f>
        <v/>
      </c>
      <c r="C2367">
        <f>Prices!C2367</f>
        <v/>
      </c>
      <c r="D2367">
        <f>Prices!D2367</f>
        <v/>
      </c>
      <c r="E2367">
        <f>Prices!E2367</f>
        <v/>
      </c>
      <c r="F2367">
        <f>Prices!F2367</f>
        <v/>
      </c>
      <c r="G2367">
        <f>IF(AND(2365&gt;=16,TEXT(A2367,"yyyy-mm")&lt;&gt;TEXT(A2368,"yyyy-mm")),1,0)</f>
        <v/>
      </c>
      <c r="H2367">
        <f>IF(OR(H2366=1,G2367=1),1,0)</f>
        <v/>
      </c>
      <c r="I2367">
        <f>IF(H2366=0,1,SUMPRODUCT(J2366:N2366,B2367:F2367)+O2366*(1+0.00023125256064071564))</f>
        <v/>
      </c>
      <c r="J2367">
        <f>IF(G2367=1,0.2*R2367/B2367,J2366)</f>
        <v/>
      </c>
      <c r="K2367">
        <f>IF(G2367=1,0.2*R2367/C2367,K2366)</f>
        <v/>
      </c>
      <c r="L2367">
        <f>IF(G2367=1,0.2*R2367/D2367,L2366)</f>
        <v/>
      </c>
      <c r="M2367">
        <f>IF(G2367=1,0.2*R2367/E2367,M2366)</f>
        <v/>
      </c>
      <c r="N2367">
        <f>IF(G2367=1,0.2*R2367/F2367,N2366)</f>
        <v/>
      </c>
      <c r="O2367">
        <f>IF(G2367=1,R2367*(1-1.0),IF(H2366=0,1,O2366*(1+0.00023125256064071564)))</f>
        <v/>
      </c>
      <c r="P2367">
        <f>IF(G2367=1,IF(H2366=0,1,ABS(0.2-J2366*B2367/I2367)+ABS(0.2-K2366*C2367/I2367)+ABS(0.2-L2366*D2367/I2367)+ABS(0.2-M2366*E2367/I2367)+ABS(0.2-N2366*F2367/I2367)),0)</f>
        <v/>
      </c>
      <c r="Q2367">
        <f>P2367*0.0015</f>
        <v/>
      </c>
      <c r="R2367">
        <f>I2367*(1-Q2367)</f>
        <v/>
      </c>
      <c r="S2367">
        <f>R2367/R2366-1</f>
        <v/>
      </c>
      <c r="T2367">
        <f>MAX(T2366,R2367)</f>
        <v/>
      </c>
      <c r="U2367">
        <f>R2367/T2367-1</f>
        <v/>
      </c>
      <c r="V2367" t="n">
        <v>5.643785006268358</v>
      </c>
      <c r="W2367" s="5">
        <f>R2367-V2367</f>
        <v/>
      </c>
    </row>
    <row r="2368">
      <c r="A2368" s="3" t="n">
        <v>41920</v>
      </c>
      <c r="B2368">
        <f>Prices!B2368</f>
        <v/>
      </c>
      <c r="C2368">
        <f>Prices!C2368</f>
        <v/>
      </c>
      <c r="D2368">
        <f>Prices!D2368</f>
        <v/>
      </c>
      <c r="E2368">
        <f>Prices!E2368</f>
        <v/>
      </c>
      <c r="F2368">
        <f>Prices!F2368</f>
        <v/>
      </c>
      <c r="G2368">
        <f>IF(AND(2366&gt;=16,TEXT(A2368,"yyyy-mm")&lt;&gt;TEXT(A2369,"yyyy-mm")),1,0)</f>
        <v/>
      </c>
      <c r="H2368">
        <f>IF(OR(H2367=1,G2368=1),1,0)</f>
        <v/>
      </c>
      <c r="I2368">
        <f>IF(H2367=0,1,SUMPRODUCT(J2367:N2367,B2368:F2368)+O2367*(1+0.00023125256064071564))</f>
        <v/>
      </c>
      <c r="J2368">
        <f>IF(G2368=1,0.2*R2368/B2368,J2367)</f>
        <v/>
      </c>
      <c r="K2368">
        <f>IF(G2368=1,0.2*R2368/C2368,K2367)</f>
        <v/>
      </c>
      <c r="L2368">
        <f>IF(G2368=1,0.2*R2368/D2368,L2367)</f>
        <v/>
      </c>
      <c r="M2368">
        <f>IF(G2368=1,0.2*R2368/E2368,M2367)</f>
        <v/>
      </c>
      <c r="N2368">
        <f>IF(G2368=1,0.2*R2368/F2368,N2367)</f>
        <v/>
      </c>
      <c r="O2368">
        <f>IF(G2368=1,R2368*(1-1.0),IF(H2367=0,1,O2367*(1+0.00023125256064071564)))</f>
        <v/>
      </c>
      <c r="P2368">
        <f>IF(G2368=1,IF(H2367=0,1,ABS(0.2-J2367*B2368/I2368)+ABS(0.2-K2367*C2368/I2368)+ABS(0.2-L2367*D2368/I2368)+ABS(0.2-M2367*E2368/I2368)+ABS(0.2-N2367*F2368/I2368)),0)</f>
        <v/>
      </c>
      <c r="Q2368">
        <f>P2368*0.0015</f>
        <v/>
      </c>
      <c r="R2368">
        <f>I2368*(1-Q2368)</f>
        <v/>
      </c>
      <c r="S2368">
        <f>R2368/R2367-1</f>
        <v/>
      </c>
      <c r="T2368">
        <f>MAX(T2367,R2368)</f>
        <v/>
      </c>
      <c r="U2368">
        <f>R2368/T2368-1</f>
        <v/>
      </c>
      <c r="V2368" t="n">
        <v>5.606742929626669</v>
      </c>
      <c r="W2368" s="5">
        <f>R2368-V2368</f>
        <v/>
      </c>
    </row>
    <row r="2369">
      <c r="A2369" s="3" t="n">
        <v>41921</v>
      </c>
      <c r="B2369">
        <f>Prices!B2369</f>
        <v/>
      </c>
      <c r="C2369">
        <f>Prices!C2369</f>
        <v/>
      </c>
      <c r="D2369">
        <f>Prices!D2369</f>
        <v/>
      </c>
      <c r="E2369">
        <f>Prices!E2369</f>
        <v/>
      </c>
      <c r="F2369">
        <f>Prices!F2369</f>
        <v/>
      </c>
      <c r="G2369">
        <f>IF(AND(2367&gt;=16,TEXT(A2369,"yyyy-mm")&lt;&gt;TEXT(A2370,"yyyy-mm")),1,0)</f>
        <v/>
      </c>
      <c r="H2369">
        <f>IF(OR(H2368=1,G2369=1),1,0)</f>
        <v/>
      </c>
      <c r="I2369">
        <f>IF(H2368=0,1,SUMPRODUCT(J2368:N2368,B2369:F2369)+O2368*(1+0.00023125256064071564))</f>
        <v/>
      </c>
      <c r="J2369">
        <f>IF(G2369=1,0.2*R2369/B2369,J2368)</f>
        <v/>
      </c>
      <c r="K2369">
        <f>IF(G2369=1,0.2*R2369/C2369,K2368)</f>
        <v/>
      </c>
      <c r="L2369">
        <f>IF(G2369=1,0.2*R2369/D2369,L2368)</f>
        <v/>
      </c>
      <c r="M2369">
        <f>IF(G2369=1,0.2*R2369/E2369,M2368)</f>
        <v/>
      </c>
      <c r="N2369">
        <f>IF(G2369=1,0.2*R2369/F2369,N2368)</f>
        <v/>
      </c>
      <c r="O2369">
        <f>IF(G2369=1,R2369*(1-1.0),IF(H2368=0,1,O2368*(1+0.00023125256064071564)))</f>
        <v/>
      </c>
      <c r="P2369">
        <f>IF(G2369=1,IF(H2368=0,1,ABS(0.2-J2368*B2369/I2369)+ABS(0.2-K2368*C2369/I2369)+ABS(0.2-L2368*D2369/I2369)+ABS(0.2-M2368*E2369/I2369)+ABS(0.2-N2368*F2369/I2369)),0)</f>
        <v/>
      </c>
      <c r="Q2369">
        <f>P2369*0.0015</f>
        <v/>
      </c>
      <c r="R2369">
        <f>I2369*(1-Q2369)</f>
        <v/>
      </c>
      <c r="S2369">
        <f>R2369/R2368-1</f>
        <v/>
      </c>
      <c r="T2369">
        <f>MAX(T2368,R2369)</f>
        <v/>
      </c>
      <c r="U2369">
        <f>R2369/T2369-1</f>
        <v/>
      </c>
      <c r="V2369" t="n">
        <v>5.693493340323485</v>
      </c>
      <c r="W2369" s="5">
        <f>R2369-V2369</f>
        <v/>
      </c>
    </row>
    <row r="2370">
      <c r="A2370" s="3" t="n">
        <v>41922</v>
      </c>
      <c r="B2370">
        <f>Prices!B2370</f>
        <v/>
      </c>
      <c r="C2370">
        <f>Prices!C2370</f>
        <v/>
      </c>
      <c r="D2370">
        <f>Prices!D2370</f>
        <v/>
      </c>
      <c r="E2370">
        <f>Prices!E2370</f>
        <v/>
      </c>
      <c r="F2370">
        <f>Prices!F2370</f>
        <v/>
      </c>
      <c r="G2370">
        <f>IF(AND(2368&gt;=16,TEXT(A2370,"yyyy-mm")&lt;&gt;TEXT(A2371,"yyyy-mm")),1,0)</f>
        <v/>
      </c>
      <c r="H2370">
        <f>IF(OR(H2369=1,G2370=1),1,0)</f>
        <v/>
      </c>
      <c r="I2370">
        <f>IF(H2369=0,1,SUMPRODUCT(J2369:N2369,B2370:F2370)+O2369*(1+0.00023125256064071564))</f>
        <v/>
      </c>
      <c r="J2370">
        <f>IF(G2370=1,0.2*R2370/B2370,J2369)</f>
        <v/>
      </c>
      <c r="K2370">
        <f>IF(G2370=1,0.2*R2370/C2370,K2369)</f>
        <v/>
      </c>
      <c r="L2370">
        <f>IF(G2370=1,0.2*R2370/D2370,L2369)</f>
        <v/>
      </c>
      <c r="M2370">
        <f>IF(G2370=1,0.2*R2370/E2370,M2369)</f>
        <v/>
      </c>
      <c r="N2370">
        <f>IF(G2370=1,0.2*R2370/F2370,N2369)</f>
        <v/>
      </c>
      <c r="O2370">
        <f>IF(G2370=1,R2370*(1-1.0),IF(H2369=0,1,O2369*(1+0.00023125256064071564)))</f>
        <v/>
      </c>
      <c r="P2370">
        <f>IF(G2370=1,IF(H2369=0,1,ABS(0.2-J2369*B2370/I2370)+ABS(0.2-K2369*C2370/I2370)+ABS(0.2-L2369*D2370/I2370)+ABS(0.2-M2369*E2370/I2370)+ABS(0.2-N2369*F2370/I2370)),0)</f>
        <v/>
      </c>
      <c r="Q2370">
        <f>P2370*0.0015</f>
        <v/>
      </c>
      <c r="R2370">
        <f>I2370*(1-Q2370)</f>
        <v/>
      </c>
      <c r="S2370">
        <f>R2370/R2369-1</f>
        <v/>
      </c>
      <c r="T2370">
        <f>MAX(T2369,R2370)</f>
        <v/>
      </c>
      <c r="U2370">
        <f>R2370/T2370-1</f>
        <v/>
      </c>
      <c r="V2370" t="n">
        <v>5.627693208542079</v>
      </c>
      <c r="W2370" s="5">
        <f>R2370-V2370</f>
        <v/>
      </c>
    </row>
    <row r="2371">
      <c r="A2371" s="3" t="n">
        <v>41925</v>
      </c>
      <c r="B2371">
        <f>Prices!B2371</f>
        <v/>
      </c>
      <c r="C2371">
        <f>Prices!C2371</f>
        <v/>
      </c>
      <c r="D2371">
        <f>Prices!D2371</f>
        <v/>
      </c>
      <c r="E2371">
        <f>Prices!E2371</f>
        <v/>
      </c>
      <c r="F2371">
        <f>Prices!F2371</f>
        <v/>
      </c>
      <c r="G2371">
        <f>IF(AND(2369&gt;=16,TEXT(A2371,"yyyy-mm")&lt;&gt;TEXT(A2372,"yyyy-mm")),1,0)</f>
        <v/>
      </c>
      <c r="H2371">
        <f>IF(OR(H2370=1,G2371=1),1,0)</f>
        <v/>
      </c>
      <c r="I2371">
        <f>IF(H2370=0,1,SUMPRODUCT(J2370:N2370,B2371:F2371)+O2370*(1+0.00023125256064071564))</f>
        <v/>
      </c>
      <c r="J2371">
        <f>IF(G2371=1,0.2*R2371/B2371,J2370)</f>
        <v/>
      </c>
      <c r="K2371">
        <f>IF(G2371=1,0.2*R2371/C2371,K2370)</f>
        <v/>
      </c>
      <c r="L2371">
        <f>IF(G2371=1,0.2*R2371/D2371,L2370)</f>
        <v/>
      </c>
      <c r="M2371">
        <f>IF(G2371=1,0.2*R2371/E2371,M2370)</f>
        <v/>
      </c>
      <c r="N2371">
        <f>IF(G2371=1,0.2*R2371/F2371,N2370)</f>
        <v/>
      </c>
      <c r="O2371">
        <f>IF(G2371=1,R2371*(1-1.0),IF(H2370=0,1,O2370*(1+0.00023125256064071564)))</f>
        <v/>
      </c>
      <c r="P2371">
        <f>IF(G2371=1,IF(H2370=0,1,ABS(0.2-J2370*B2371/I2371)+ABS(0.2-K2370*C2371/I2371)+ABS(0.2-L2370*D2371/I2371)+ABS(0.2-M2370*E2371/I2371)+ABS(0.2-N2370*F2371/I2371)),0)</f>
        <v/>
      </c>
      <c r="Q2371">
        <f>P2371*0.0015</f>
        <v/>
      </c>
      <c r="R2371">
        <f>I2371*(1-Q2371)</f>
        <v/>
      </c>
      <c r="S2371">
        <f>R2371/R2370-1</f>
        <v/>
      </c>
      <c r="T2371">
        <f>MAX(T2370,R2371)</f>
        <v/>
      </c>
      <c r="U2371">
        <f>R2371/T2371-1</f>
        <v/>
      </c>
      <c r="V2371" t="n">
        <v>5.657433730870804</v>
      </c>
      <c r="W2371" s="5">
        <f>R2371-V2371</f>
        <v/>
      </c>
    </row>
    <row r="2372">
      <c r="A2372" s="3" t="n">
        <v>41926</v>
      </c>
      <c r="B2372">
        <f>Prices!B2372</f>
        <v/>
      </c>
      <c r="C2372">
        <f>Prices!C2372</f>
        <v/>
      </c>
      <c r="D2372">
        <f>Prices!D2372</f>
        <v/>
      </c>
      <c r="E2372">
        <f>Prices!E2372</f>
        <v/>
      </c>
      <c r="F2372">
        <f>Prices!F2372</f>
        <v/>
      </c>
      <c r="G2372">
        <f>IF(AND(2370&gt;=16,TEXT(A2372,"yyyy-mm")&lt;&gt;TEXT(A2373,"yyyy-mm")),1,0)</f>
        <v/>
      </c>
      <c r="H2372">
        <f>IF(OR(H2371=1,G2372=1),1,0)</f>
        <v/>
      </c>
      <c r="I2372">
        <f>IF(H2371=0,1,SUMPRODUCT(J2371:N2371,B2372:F2372)+O2371*(1+0.00023125256064071564))</f>
        <v/>
      </c>
      <c r="J2372">
        <f>IF(G2372=1,0.2*R2372/B2372,J2371)</f>
        <v/>
      </c>
      <c r="K2372">
        <f>IF(G2372=1,0.2*R2372/C2372,K2371)</f>
        <v/>
      </c>
      <c r="L2372">
        <f>IF(G2372=1,0.2*R2372/D2372,L2371)</f>
        <v/>
      </c>
      <c r="M2372">
        <f>IF(G2372=1,0.2*R2372/E2372,M2371)</f>
        <v/>
      </c>
      <c r="N2372">
        <f>IF(G2372=1,0.2*R2372/F2372,N2371)</f>
        <v/>
      </c>
      <c r="O2372">
        <f>IF(G2372=1,R2372*(1-1.0),IF(H2371=0,1,O2371*(1+0.00023125256064071564)))</f>
        <v/>
      </c>
      <c r="P2372">
        <f>IF(G2372=1,IF(H2371=0,1,ABS(0.2-J2371*B2372/I2372)+ABS(0.2-K2371*C2372/I2372)+ABS(0.2-L2371*D2372/I2372)+ABS(0.2-M2371*E2372/I2372)+ABS(0.2-N2371*F2372/I2372)),0)</f>
        <v/>
      </c>
      <c r="Q2372">
        <f>P2372*0.0015</f>
        <v/>
      </c>
      <c r="R2372">
        <f>I2372*(1-Q2372)</f>
        <v/>
      </c>
      <c r="S2372">
        <f>R2372/R2371-1</f>
        <v/>
      </c>
      <c r="T2372">
        <f>MAX(T2371,R2372)</f>
        <v/>
      </c>
      <c r="U2372">
        <f>R2372/T2372-1</f>
        <v/>
      </c>
      <c r="V2372" t="n">
        <v>5.641884505098941</v>
      </c>
      <c r="W2372" s="5">
        <f>R2372-V2372</f>
        <v/>
      </c>
    </row>
    <row r="2373">
      <c r="A2373" s="3" t="n">
        <v>41928</v>
      </c>
      <c r="B2373">
        <f>Prices!B2373</f>
        <v/>
      </c>
      <c r="C2373">
        <f>Prices!C2373</f>
        <v/>
      </c>
      <c r="D2373">
        <f>Prices!D2373</f>
        <v/>
      </c>
      <c r="E2373">
        <f>Prices!E2373</f>
        <v/>
      </c>
      <c r="F2373">
        <f>Prices!F2373</f>
        <v/>
      </c>
      <c r="G2373">
        <f>IF(AND(2371&gt;=16,TEXT(A2373,"yyyy-mm")&lt;&gt;TEXT(A2374,"yyyy-mm")),1,0)</f>
        <v/>
      </c>
      <c r="H2373">
        <f>IF(OR(H2372=1,G2373=1),1,0)</f>
        <v/>
      </c>
      <c r="I2373">
        <f>IF(H2372=0,1,SUMPRODUCT(J2372:N2372,B2373:F2373)+O2372*(1+0.00023125256064071564))</f>
        <v/>
      </c>
      <c r="J2373">
        <f>IF(G2373=1,0.2*R2373/B2373,J2372)</f>
        <v/>
      </c>
      <c r="K2373">
        <f>IF(G2373=1,0.2*R2373/C2373,K2372)</f>
        <v/>
      </c>
      <c r="L2373">
        <f>IF(G2373=1,0.2*R2373/D2373,L2372)</f>
        <v/>
      </c>
      <c r="M2373">
        <f>IF(G2373=1,0.2*R2373/E2373,M2372)</f>
        <v/>
      </c>
      <c r="N2373">
        <f>IF(G2373=1,0.2*R2373/F2373,N2372)</f>
        <v/>
      </c>
      <c r="O2373">
        <f>IF(G2373=1,R2373*(1-1.0),IF(H2372=0,1,O2372*(1+0.00023125256064071564)))</f>
        <v/>
      </c>
      <c r="P2373">
        <f>IF(G2373=1,IF(H2372=0,1,ABS(0.2-J2372*B2373/I2373)+ABS(0.2-K2372*C2373/I2373)+ABS(0.2-L2372*D2373/I2373)+ABS(0.2-M2372*E2373/I2373)+ABS(0.2-N2372*F2373/I2373)),0)</f>
        <v/>
      </c>
      <c r="Q2373">
        <f>P2373*0.0015</f>
        <v/>
      </c>
      <c r="R2373">
        <f>I2373*(1-Q2373)</f>
        <v/>
      </c>
      <c r="S2373">
        <f>R2373/R2372-1</f>
        <v/>
      </c>
      <c r="T2373">
        <f>MAX(T2372,R2373)</f>
        <v/>
      </c>
      <c r="U2373">
        <f>R2373/T2373-1</f>
        <v/>
      </c>
      <c r="V2373" t="n">
        <v>5.496493906561896</v>
      </c>
      <c r="W2373" s="5">
        <f>R2373-V2373</f>
        <v/>
      </c>
    </row>
    <row r="2374">
      <c r="A2374" s="3" t="n">
        <v>41929</v>
      </c>
      <c r="B2374">
        <f>Prices!B2374</f>
        <v/>
      </c>
      <c r="C2374">
        <f>Prices!C2374</f>
        <v/>
      </c>
      <c r="D2374">
        <f>Prices!D2374</f>
        <v/>
      </c>
      <c r="E2374">
        <f>Prices!E2374</f>
        <v/>
      </c>
      <c r="F2374">
        <f>Prices!F2374</f>
        <v/>
      </c>
      <c r="G2374">
        <f>IF(AND(2372&gt;=16,TEXT(A2374,"yyyy-mm")&lt;&gt;TEXT(A2375,"yyyy-mm")),1,0)</f>
        <v/>
      </c>
      <c r="H2374">
        <f>IF(OR(H2373=1,G2374=1),1,0)</f>
        <v/>
      </c>
      <c r="I2374">
        <f>IF(H2373=0,1,SUMPRODUCT(J2373:N2373,B2374:F2374)+O2373*(1+0.00023125256064071564))</f>
        <v/>
      </c>
      <c r="J2374">
        <f>IF(G2374=1,0.2*R2374/B2374,J2373)</f>
        <v/>
      </c>
      <c r="K2374">
        <f>IF(G2374=1,0.2*R2374/C2374,K2373)</f>
        <v/>
      </c>
      <c r="L2374">
        <f>IF(G2374=1,0.2*R2374/D2374,L2373)</f>
        <v/>
      </c>
      <c r="M2374">
        <f>IF(G2374=1,0.2*R2374/E2374,M2373)</f>
        <v/>
      </c>
      <c r="N2374">
        <f>IF(G2374=1,0.2*R2374/F2374,N2373)</f>
        <v/>
      </c>
      <c r="O2374">
        <f>IF(G2374=1,R2374*(1-1.0),IF(H2373=0,1,O2373*(1+0.00023125256064071564)))</f>
        <v/>
      </c>
      <c r="P2374">
        <f>IF(G2374=1,IF(H2373=0,1,ABS(0.2-J2373*B2374/I2374)+ABS(0.2-K2373*C2374/I2374)+ABS(0.2-L2373*D2374/I2374)+ABS(0.2-M2373*E2374/I2374)+ABS(0.2-N2373*F2374/I2374)),0)</f>
        <v/>
      </c>
      <c r="Q2374">
        <f>P2374*0.0015</f>
        <v/>
      </c>
      <c r="R2374">
        <f>I2374*(1-Q2374)</f>
        <v/>
      </c>
      <c r="S2374">
        <f>R2374/R2373-1</f>
        <v/>
      </c>
      <c r="T2374">
        <f>MAX(T2373,R2374)</f>
        <v/>
      </c>
      <c r="U2374">
        <f>R2374/T2374-1</f>
        <v/>
      </c>
      <c r="V2374" t="n">
        <v>5.504645625301187</v>
      </c>
      <c r="W2374" s="5">
        <f>R2374-V2374</f>
        <v/>
      </c>
    </row>
    <row r="2375">
      <c r="A2375" s="3" t="n">
        <v>41932</v>
      </c>
      <c r="B2375">
        <f>Prices!B2375</f>
        <v/>
      </c>
      <c r="C2375">
        <f>Prices!C2375</f>
        <v/>
      </c>
      <c r="D2375">
        <f>Prices!D2375</f>
        <v/>
      </c>
      <c r="E2375">
        <f>Prices!E2375</f>
        <v/>
      </c>
      <c r="F2375">
        <f>Prices!F2375</f>
        <v/>
      </c>
      <c r="G2375">
        <f>IF(AND(2373&gt;=16,TEXT(A2375,"yyyy-mm")&lt;&gt;TEXT(A2376,"yyyy-mm")),1,0)</f>
        <v/>
      </c>
      <c r="H2375">
        <f>IF(OR(H2374=1,G2375=1),1,0)</f>
        <v/>
      </c>
      <c r="I2375">
        <f>IF(H2374=0,1,SUMPRODUCT(J2374:N2374,B2375:F2375)+O2374*(1+0.00023125256064071564))</f>
        <v/>
      </c>
      <c r="J2375">
        <f>IF(G2375=1,0.2*R2375/B2375,J2374)</f>
        <v/>
      </c>
      <c r="K2375">
        <f>IF(G2375=1,0.2*R2375/C2375,K2374)</f>
        <v/>
      </c>
      <c r="L2375">
        <f>IF(G2375=1,0.2*R2375/D2375,L2374)</f>
        <v/>
      </c>
      <c r="M2375">
        <f>IF(G2375=1,0.2*R2375/E2375,M2374)</f>
        <v/>
      </c>
      <c r="N2375">
        <f>IF(G2375=1,0.2*R2375/F2375,N2374)</f>
        <v/>
      </c>
      <c r="O2375">
        <f>IF(G2375=1,R2375*(1-1.0),IF(H2374=0,1,O2374*(1+0.00023125256064071564)))</f>
        <v/>
      </c>
      <c r="P2375">
        <f>IF(G2375=1,IF(H2374=0,1,ABS(0.2-J2374*B2375/I2375)+ABS(0.2-K2374*C2375/I2375)+ABS(0.2-L2374*D2375/I2375)+ABS(0.2-M2374*E2375/I2375)+ABS(0.2-N2374*F2375/I2375)),0)</f>
        <v/>
      </c>
      <c r="Q2375">
        <f>P2375*0.0015</f>
        <v/>
      </c>
      <c r="R2375">
        <f>I2375*(1-Q2375)</f>
        <v/>
      </c>
      <c r="S2375">
        <f>R2375/R2374-1</f>
        <v/>
      </c>
      <c r="T2375">
        <f>MAX(T2374,R2375)</f>
        <v/>
      </c>
      <c r="U2375">
        <f>R2375/T2375-1</f>
        <v/>
      </c>
      <c r="V2375" t="n">
        <v>5.575763691757578</v>
      </c>
      <c r="W2375" s="5">
        <f>R2375-V2375</f>
        <v/>
      </c>
    </row>
    <row r="2376">
      <c r="A2376" s="3" t="n">
        <v>41933</v>
      </c>
      <c r="B2376">
        <f>Prices!B2376</f>
        <v/>
      </c>
      <c r="C2376">
        <f>Prices!C2376</f>
        <v/>
      </c>
      <c r="D2376">
        <f>Prices!D2376</f>
        <v/>
      </c>
      <c r="E2376">
        <f>Prices!E2376</f>
        <v/>
      </c>
      <c r="F2376">
        <f>Prices!F2376</f>
        <v/>
      </c>
      <c r="G2376">
        <f>IF(AND(2374&gt;=16,TEXT(A2376,"yyyy-mm")&lt;&gt;TEXT(A2377,"yyyy-mm")),1,0)</f>
        <v/>
      </c>
      <c r="H2376">
        <f>IF(OR(H2375=1,G2376=1),1,0)</f>
        <v/>
      </c>
      <c r="I2376">
        <f>IF(H2375=0,1,SUMPRODUCT(J2375:N2375,B2376:F2376)+O2375*(1+0.00023125256064071564))</f>
        <v/>
      </c>
      <c r="J2376">
        <f>IF(G2376=1,0.2*R2376/B2376,J2375)</f>
        <v/>
      </c>
      <c r="K2376">
        <f>IF(G2376=1,0.2*R2376/C2376,K2375)</f>
        <v/>
      </c>
      <c r="L2376">
        <f>IF(G2376=1,0.2*R2376/D2376,L2375)</f>
        <v/>
      </c>
      <c r="M2376">
        <f>IF(G2376=1,0.2*R2376/E2376,M2375)</f>
        <v/>
      </c>
      <c r="N2376">
        <f>IF(G2376=1,0.2*R2376/F2376,N2375)</f>
        <v/>
      </c>
      <c r="O2376">
        <f>IF(G2376=1,R2376*(1-1.0),IF(H2375=0,1,O2375*(1+0.00023125256064071564)))</f>
        <v/>
      </c>
      <c r="P2376">
        <f>IF(G2376=1,IF(H2375=0,1,ABS(0.2-J2375*B2376/I2376)+ABS(0.2-K2375*C2376/I2376)+ABS(0.2-L2375*D2376/I2376)+ABS(0.2-M2375*E2376/I2376)+ABS(0.2-N2375*F2376/I2376)),0)</f>
        <v/>
      </c>
      <c r="Q2376">
        <f>P2376*0.0015</f>
        <v/>
      </c>
      <c r="R2376">
        <f>I2376*(1-Q2376)</f>
        <v/>
      </c>
      <c r="S2376">
        <f>R2376/R2375-1</f>
        <v/>
      </c>
      <c r="T2376">
        <f>MAX(T2375,R2376)</f>
        <v/>
      </c>
      <c r="U2376">
        <f>R2376/T2376-1</f>
        <v/>
      </c>
      <c r="V2376" t="n">
        <v>5.620883002324833</v>
      </c>
      <c r="W2376" s="5">
        <f>R2376-V2376</f>
        <v/>
      </c>
    </row>
    <row r="2377">
      <c r="A2377" s="3" t="n">
        <v>41934</v>
      </c>
      <c r="B2377">
        <f>Prices!B2377</f>
        <v/>
      </c>
      <c r="C2377">
        <f>Prices!C2377</f>
        <v/>
      </c>
      <c r="D2377">
        <f>Prices!D2377</f>
        <v/>
      </c>
      <c r="E2377">
        <f>Prices!E2377</f>
        <v/>
      </c>
      <c r="F2377">
        <f>Prices!F2377</f>
        <v/>
      </c>
      <c r="G2377">
        <f>IF(AND(2375&gt;=16,TEXT(A2377,"yyyy-mm")&lt;&gt;TEXT(A2378,"yyyy-mm")),1,0)</f>
        <v/>
      </c>
      <c r="H2377">
        <f>IF(OR(H2376=1,G2377=1),1,0)</f>
        <v/>
      </c>
      <c r="I2377">
        <f>IF(H2376=0,1,SUMPRODUCT(J2376:N2376,B2377:F2377)+O2376*(1+0.00023125256064071564))</f>
        <v/>
      </c>
      <c r="J2377">
        <f>IF(G2377=1,0.2*R2377/B2377,J2376)</f>
        <v/>
      </c>
      <c r="K2377">
        <f>IF(G2377=1,0.2*R2377/C2377,K2376)</f>
        <v/>
      </c>
      <c r="L2377">
        <f>IF(G2377=1,0.2*R2377/D2377,L2376)</f>
        <v/>
      </c>
      <c r="M2377">
        <f>IF(G2377=1,0.2*R2377/E2377,M2376)</f>
        <v/>
      </c>
      <c r="N2377">
        <f>IF(G2377=1,0.2*R2377/F2377,N2376)</f>
        <v/>
      </c>
      <c r="O2377">
        <f>IF(G2377=1,R2377*(1-1.0),IF(H2376=0,1,O2376*(1+0.00023125256064071564)))</f>
        <v/>
      </c>
      <c r="P2377">
        <f>IF(G2377=1,IF(H2376=0,1,ABS(0.2-J2376*B2377/I2377)+ABS(0.2-K2376*C2377/I2377)+ABS(0.2-L2376*D2377/I2377)+ABS(0.2-M2376*E2377/I2377)+ABS(0.2-N2376*F2377/I2377)),0)</f>
        <v/>
      </c>
      <c r="Q2377">
        <f>P2377*0.0015</f>
        <v/>
      </c>
      <c r="R2377">
        <f>I2377*(1-Q2377)</f>
        <v/>
      </c>
      <c r="S2377">
        <f>R2377/R2376-1</f>
        <v/>
      </c>
      <c r="T2377">
        <f>MAX(T2376,R2377)</f>
        <v/>
      </c>
      <c r="U2377">
        <f>R2377/T2377-1</f>
        <v/>
      </c>
      <c r="V2377" t="n">
        <v>5.682003142170703</v>
      </c>
      <c r="W2377" s="5">
        <f>R2377-V2377</f>
        <v/>
      </c>
    </row>
    <row r="2378">
      <c r="A2378" s="3" t="n">
        <v>41935</v>
      </c>
      <c r="B2378">
        <f>Prices!B2378</f>
        <v/>
      </c>
      <c r="C2378">
        <f>Prices!C2378</f>
        <v/>
      </c>
      <c r="D2378">
        <f>Prices!D2378</f>
        <v/>
      </c>
      <c r="E2378">
        <f>Prices!E2378</f>
        <v/>
      </c>
      <c r="F2378">
        <f>Prices!F2378</f>
        <v/>
      </c>
      <c r="G2378">
        <f>IF(AND(2376&gt;=16,TEXT(A2378,"yyyy-mm")&lt;&gt;TEXT(A2379,"yyyy-mm")),1,0)</f>
        <v/>
      </c>
      <c r="H2378">
        <f>IF(OR(H2377=1,G2378=1),1,0)</f>
        <v/>
      </c>
      <c r="I2378">
        <f>IF(H2377=0,1,SUMPRODUCT(J2377:N2377,B2378:F2378)+O2377*(1+0.00023125256064071564))</f>
        <v/>
      </c>
      <c r="J2378">
        <f>IF(G2378=1,0.2*R2378/B2378,J2377)</f>
        <v/>
      </c>
      <c r="K2378">
        <f>IF(G2378=1,0.2*R2378/C2378,K2377)</f>
        <v/>
      </c>
      <c r="L2378">
        <f>IF(G2378=1,0.2*R2378/D2378,L2377)</f>
        <v/>
      </c>
      <c r="M2378">
        <f>IF(G2378=1,0.2*R2378/E2378,M2377)</f>
        <v/>
      </c>
      <c r="N2378">
        <f>IF(G2378=1,0.2*R2378/F2378,N2377)</f>
        <v/>
      </c>
      <c r="O2378">
        <f>IF(G2378=1,R2378*(1-1.0),IF(H2377=0,1,O2377*(1+0.00023125256064071564)))</f>
        <v/>
      </c>
      <c r="P2378">
        <f>IF(G2378=1,IF(H2377=0,1,ABS(0.2-J2377*B2378/I2378)+ABS(0.2-K2377*C2378/I2378)+ABS(0.2-L2377*D2378/I2378)+ABS(0.2-M2377*E2378/I2378)+ABS(0.2-N2377*F2378/I2378)),0)</f>
        <v/>
      </c>
      <c r="Q2378">
        <f>P2378*0.0015</f>
        <v/>
      </c>
      <c r="R2378">
        <f>I2378*(1-Q2378)</f>
        <v/>
      </c>
      <c r="S2378">
        <f>R2378/R2377-1</f>
        <v/>
      </c>
      <c r="T2378">
        <f>MAX(T2377,R2378)</f>
        <v/>
      </c>
      <c r="U2378">
        <f>R2378/T2378-1</f>
        <v/>
      </c>
      <c r="V2378" t="n">
        <v>5.722758348805067</v>
      </c>
      <c r="W2378" s="5">
        <f>R2378-V2378</f>
        <v/>
      </c>
    </row>
    <row r="2379">
      <c r="A2379" s="3" t="n">
        <v>41939</v>
      </c>
      <c r="B2379">
        <f>Prices!B2379</f>
        <v/>
      </c>
      <c r="C2379">
        <f>Prices!C2379</f>
        <v/>
      </c>
      <c r="D2379">
        <f>Prices!D2379</f>
        <v/>
      </c>
      <c r="E2379">
        <f>Prices!E2379</f>
        <v/>
      </c>
      <c r="F2379">
        <f>Prices!F2379</f>
        <v/>
      </c>
      <c r="G2379">
        <f>IF(AND(2377&gt;=16,TEXT(A2379,"yyyy-mm")&lt;&gt;TEXT(A2380,"yyyy-mm")),1,0)</f>
        <v/>
      </c>
      <c r="H2379">
        <f>IF(OR(H2378=1,G2379=1),1,0)</f>
        <v/>
      </c>
      <c r="I2379">
        <f>IF(H2378=0,1,SUMPRODUCT(J2378:N2378,B2379:F2379)+O2378*(1+0.00023125256064071564))</f>
        <v/>
      </c>
      <c r="J2379">
        <f>IF(G2379=1,0.2*R2379/B2379,J2378)</f>
        <v/>
      </c>
      <c r="K2379">
        <f>IF(G2379=1,0.2*R2379/C2379,K2378)</f>
        <v/>
      </c>
      <c r="L2379">
        <f>IF(G2379=1,0.2*R2379/D2379,L2378)</f>
        <v/>
      </c>
      <c r="M2379">
        <f>IF(G2379=1,0.2*R2379/E2379,M2378)</f>
        <v/>
      </c>
      <c r="N2379">
        <f>IF(G2379=1,0.2*R2379/F2379,N2378)</f>
        <v/>
      </c>
      <c r="O2379">
        <f>IF(G2379=1,R2379*(1-1.0),IF(H2378=0,1,O2378*(1+0.00023125256064071564)))</f>
        <v/>
      </c>
      <c r="P2379">
        <f>IF(G2379=1,IF(H2378=0,1,ABS(0.2-J2378*B2379/I2379)+ABS(0.2-K2378*C2379/I2379)+ABS(0.2-L2378*D2379/I2379)+ABS(0.2-M2378*E2379/I2379)+ABS(0.2-N2378*F2379/I2379)),0)</f>
        <v/>
      </c>
      <c r="Q2379">
        <f>P2379*0.0015</f>
        <v/>
      </c>
      <c r="R2379">
        <f>I2379*(1-Q2379)</f>
        <v/>
      </c>
      <c r="S2379">
        <f>R2379/R2378-1</f>
        <v/>
      </c>
      <c r="T2379">
        <f>MAX(T2378,R2379)</f>
        <v/>
      </c>
      <c r="U2379">
        <f>R2379/T2379-1</f>
        <v/>
      </c>
      <c r="V2379" t="n">
        <v>5.694490596965145</v>
      </c>
      <c r="W2379" s="5">
        <f>R2379-V2379</f>
        <v/>
      </c>
    </row>
    <row r="2380">
      <c r="A2380" s="3" t="n">
        <v>41940</v>
      </c>
      <c r="B2380">
        <f>Prices!B2380</f>
        <v/>
      </c>
      <c r="C2380">
        <f>Prices!C2380</f>
        <v/>
      </c>
      <c r="D2380">
        <f>Prices!D2380</f>
        <v/>
      </c>
      <c r="E2380">
        <f>Prices!E2380</f>
        <v/>
      </c>
      <c r="F2380">
        <f>Prices!F2380</f>
        <v/>
      </c>
      <c r="G2380">
        <f>IF(AND(2378&gt;=16,TEXT(A2380,"yyyy-mm")&lt;&gt;TEXT(A2381,"yyyy-mm")),1,0)</f>
        <v/>
      </c>
      <c r="H2380">
        <f>IF(OR(H2379=1,G2380=1),1,0)</f>
        <v/>
      </c>
      <c r="I2380">
        <f>IF(H2379=0,1,SUMPRODUCT(J2379:N2379,B2380:F2380)+O2379*(1+0.00023125256064071564))</f>
        <v/>
      </c>
      <c r="J2380">
        <f>IF(G2380=1,0.2*R2380/B2380,J2379)</f>
        <v/>
      </c>
      <c r="K2380">
        <f>IF(G2380=1,0.2*R2380/C2380,K2379)</f>
        <v/>
      </c>
      <c r="L2380">
        <f>IF(G2380=1,0.2*R2380/D2380,L2379)</f>
        <v/>
      </c>
      <c r="M2380">
        <f>IF(G2380=1,0.2*R2380/E2380,M2379)</f>
        <v/>
      </c>
      <c r="N2380">
        <f>IF(G2380=1,0.2*R2380/F2380,N2379)</f>
        <v/>
      </c>
      <c r="O2380">
        <f>IF(G2380=1,R2380*(1-1.0),IF(H2379=0,1,O2379*(1+0.00023125256064071564)))</f>
        <v/>
      </c>
      <c r="P2380">
        <f>IF(G2380=1,IF(H2379=0,1,ABS(0.2-J2379*B2380/I2380)+ABS(0.2-K2379*C2380/I2380)+ABS(0.2-L2379*D2380/I2380)+ABS(0.2-M2379*E2380/I2380)+ABS(0.2-N2379*F2380/I2380)),0)</f>
        <v/>
      </c>
      <c r="Q2380">
        <f>P2380*0.0015</f>
        <v/>
      </c>
      <c r="R2380">
        <f>I2380*(1-Q2380)</f>
        <v/>
      </c>
      <c r="S2380">
        <f>R2380/R2379-1</f>
        <v/>
      </c>
      <c r="T2380">
        <f>MAX(T2379,R2380)</f>
        <v/>
      </c>
      <c r="U2380">
        <f>R2380/T2380-1</f>
        <v/>
      </c>
      <c r="V2380" t="n">
        <v>5.712726238777079</v>
      </c>
      <c r="W2380" s="5">
        <f>R2380-V2380</f>
        <v/>
      </c>
    </row>
    <row r="2381">
      <c r="A2381" s="3" t="n">
        <v>41941</v>
      </c>
      <c r="B2381">
        <f>Prices!B2381</f>
        <v/>
      </c>
      <c r="C2381">
        <f>Prices!C2381</f>
        <v/>
      </c>
      <c r="D2381">
        <f>Prices!D2381</f>
        <v/>
      </c>
      <c r="E2381">
        <f>Prices!E2381</f>
        <v/>
      </c>
      <c r="F2381">
        <f>Prices!F2381</f>
        <v/>
      </c>
      <c r="G2381">
        <f>IF(AND(2379&gt;=16,TEXT(A2381,"yyyy-mm")&lt;&gt;TEXT(A2382,"yyyy-mm")),1,0)</f>
        <v/>
      </c>
      <c r="H2381">
        <f>IF(OR(H2380=1,G2381=1),1,0)</f>
        <v/>
      </c>
      <c r="I2381">
        <f>IF(H2380=0,1,SUMPRODUCT(J2380:N2380,B2381:F2381)+O2380*(1+0.00023125256064071564))</f>
        <v/>
      </c>
      <c r="J2381">
        <f>IF(G2381=1,0.2*R2381/B2381,J2380)</f>
        <v/>
      </c>
      <c r="K2381">
        <f>IF(G2381=1,0.2*R2381/C2381,K2380)</f>
        <v/>
      </c>
      <c r="L2381">
        <f>IF(G2381=1,0.2*R2381/D2381,L2380)</f>
        <v/>
      </c>
      <c r="M2381">
        <f>IF(G2381=1,0.2*R2381/E2381,M2380)</f>
        <v/>
      </c>
      <c r="N2381">
        <f>IF(G2381=1,0.2*R2381/F2381,N2380)</f>
        <v/>
      </c>
      <c r="O2381">
        <f>IF(G2381=1,R2381*(1-1.0),IF(H2380=0,1,O2380*(1+0.00023125256064071564)))</f>
        <v/>
      </c>
      <c r="P2381">
        <f>IF(G2381=1,IF(H2380=0,1,ABS(0.2-J2380*B2381/I2381)+ABS(0.2-K2380*C2381/I2381)+ABS(0.2-L2380*D2381/I2381)+ABS(0.2-M2380*E2381/I2381)+ABS(0.2-N2380*F2381/I2381)),0)</f>
        <v/>
      </c>
      <c r="Q2381">
        <f>P2381*0.0015</f>
        <v/>
      </c>
      <c r="R2381">
        <f>I2381*(1-Q2381)</f>
        <v/>
      </c>
      <c r="S2381">
        <f>R2381/R2380-1</f>
        <v/>
      </c>
      <c r="T2381">
        <f>MAX(T2380,R2381)</f>
        <v/>
      </c>
      <c r="U2381">
        <f>R2381/T2381-1</f>
        <v/>
      </c>
      <c r="V2381" t="n">
        <v>5.757757324501161</v>
      </c>
      <c r="W2381" s="5">
        <f>R2381-V2381</f>
        <v/>
      </c>
    </row>
    <row r="2382">
      <c r="A2382" s="3" t="n">
        <v>41942</v>
      </c>
      <c r="B2382">
        <f>Prices!B2382</f>
        <v/>
      </c>
      <c r="C2382">
        <f>Prices!C2382</f>
        <v/>
      </c>
      <c r="D2382">
        <f>Prices!D2382</f>
        <v/>
      </c>
      <c r="E2382">
        <f>Prices!E2382</f>
        <v/>
      </c>
      <c r="F2382">
        <f>Prices!F2382</f>
        <v/>
      </c>
      <c r="G2382">
        <f>IF(AND(2380&gt;=16,TEXT(A2382,"yyyy-mm")&lt;&gt;TEXT(A2383,"yyyy-mm")),1,0)</f>
        <v/>
      </c>
      <c r="H2382">
        <f>IF(OR(H2381=1,G2382=1),1,0)</f>
        <v/>
      </c>
      <c r="I2382">
        <f>IF(H2381=0,1,SUMPRODUCT(J2381:N2381,B2382:F2382)+O2381*(1+0.00023125256064071564))</f>
        <v/>
      </c>
      <c r="J2382">
        <f>IF(G2382=1,0.2*R2382/B2382,J2381)</f>
        <v/>
      </c>
      <c r="K2382">
        <f>IF(G2382=1,0.2*R2382/C2382,K2381)</f>
        <v/>
      </c>
      <c r="L2382">
        <f>IF(G2382=1,0.2*R2382/D2382,L2381)</f>
        <v/>
      </c>
      <c r="M2382">
        <f>IF(G2382=1,0.2*R2382/E2382,M2381)</f>
        <v/>
      </c>
      <c r="N2382">
        <f>IF(G2382=1,0.2*R2382/F2382,N2381)</f>
        <v/>
      </c>
      <c r="O2382">
        <f>IF(G2382=1,R2382*(1-1.0),IF(H2381=0,1,O2381*(1+0.00023125256064071564)))</f>
        <v/>
      </c>
      <c r="P2382">
        <f>IF(G2382=1,IF(H2381=0,1,ABS(0.2-J2381*B2382/I2382)+ABS(0.2-K2381*C2382/I2382)+ABS(0.2-L2381*D2382/I2382)+ABS(0.2-M2381*E2382/I2382)+ABS(0.2-N2381*F2382/I2382)),0)</f>
        <v/>
      </c>
      <c r="Q2382">
        <f>P2382*0.0015</f>
        <v/>
      </c>
      <c r="R2382">
        <f>I2382*(1-Q2382)</f>
        <v/>
      </c>
      <c r="S2382">
        <f>R2382/R2381-1</f>
        <v/>
      </c>
      <c r="T2382">
        <f>MAX(T2381,R2382)</f>
        <v/>
      </c>
      <c r="U2382">
        <f>R2382/T2382-1</f>
        <v/>
      </c>
      <c r="V2382" t="n">
        <v>5.81255136256399</v>
      </c>
      <c r="W2382" s="5">
        <f>R2382-V2382</f>
        <v/>
      </c>
    </row>
    <row r="2383">
      <c r="A2383" s="3" t="n">
        <v>41943</v>
      </c>
      <c r="B2383">
        <f>Prices!B2383</f>
        <v/>
      </c>
      <c r="C2383">
        <f>Prices!C2383</f>
        <v/>
      </c>
      <c r="D2383">
        <f>Prices!D2383</f>
        <v/>
      </c>
      <c r="E2383">
        <f>Prices!E2383</f>
        <v/>
      </c>
      <c r="F2383">
        <f>Prices!F2383</f>
        <v/>
      </c>
      <c r="G2383">
        <f>IF(AND(2381&gt;=16,TEXT(A2383,"yyyy-mm")&lt;&gt;TEXT(A2384,"yyyy-mm")),1,0)</f>
        <v/>
      </c>
      <c r="H2383">
        <f>IF(OR(H2382=1,G2383=1),1,0)</f>
        <v/>
      </c>
      <c r="I2383">
        <f>IF(H2382=0,1,SUMPRODUCT(J2382:N2382,B2383:F2383)+O2382*(1+0.00023125256064071564))</f>
        <v/>
      </c>
      <c r="J2383">
        <f>IF(G2383=1,0.2*R2383/B2383,J2382)</f>
        <v/>
      </c>
      <c r="K2383">
        <f>IF(G2383=1,0.2*R2383/C2383,K2382)</f>
        <v/>
      </c>
      <c r="L2383">
        <f>IF(G2383=1,0.2*R2383/D2383,L2382)</f>
        <v/>
      </c>
      <c r="M2383">
        <f>IF(G2383=1,0.2*R2383/E2383,M2382)</f>
        <v/>
      </c>
      <c r="N2383">
        <f>IF(G2383=1,0.2*R2383/F2383,N2382)</f>
        <v/>
      </c>
      <c r="O2383">
        <f>IF(G2383=1,R2383*(1-1.0),IF(H2382=0,1,O2382*(1+0.00023125256064071564)))</f>
        <v/>
      </c>
      <c r="P2383">
        <f>IF(G2383=1,IF(H2382=0,1,ABS(0.2-J2382*B2383/I2383)+ABS(0.2-K2382*C2383/I2383)+ABS(0.2-L2382*D2383/I2383)+ABS(0.2-M2382*E2383/I2383)+ABS(0.2-N2382*F2383/I2383)),0)</f>
        <v/>
      </c>
      <c r="Q2383">
        <f>P2383*0.0015</f>
        <v/>
      </c>
      <c r="R2383">
        <f>I2383*(1-Q2383)</f>
        <v/>
      </c>
      <c r="S2383">
        <f>R2383/R2382-1</f>
        <v/>
      </c>
      <c r="T2383">
        <f>MAX(T2382,R2383)</f>
        <v/>
      </c>
      <c r="U2383">
        <f>R2383/T2383-1</f>
        <v/>
      </c>
      <c r="V2383" t="n">
        <v>5.915882080810854</v>
      </c>
      <c r="W2383" s="5">
        <f>R2383-V2383</f>
        <v/>
      </c>
    </row>
    <row r="2384">
      <c r="A2384" s="3" t="n">
        <v>41946</v>
      </c>
      <c r="B2384">
        <f>Prices!B2384</f>
        <v/>
      </c>
      <c r="C2384">
        <f>Prices!C2384</f>
        <v/>
      </c>
      <c r="D2384">
        <f>Prices!D2384</f>
        <v/>
      </c>
      <c r="E2384">
        <f>Prices!E2384</f>
        <v/>
      </c>
      <c r="F2384">
        <f>Prices!F2384</f>
        <v/>
      </c>
      <c r="G2384">
        <f>IF(AND(2382&gt;=16,TEXT(A2384,"yyyy-mm")&lt;&gt;TEXT(A2385,"yyyy-mm")),1,0)</f>
        <v/>
      </c>
      <c r="H2384">
        <f>IF(OR(H2383=1,G2384=1),1,0)</f>
        <v/>
      </c>
      <c r="I2384">
        <f>IF(H2383=0,1,SUMPRODUCT(J2383:N2383,B2384:F2384)+O2383*(1+0.00023125256064071564))</f>
        <v/>
      </c>
      <c r="J2384">
        <f>IF(G2384=1,0.2*R2384/B2384,J2383)</f>
        <v/>
      </c>
      <c r="K2384">
        <f>IF(G2384=1,0.2*R2384/C2384,K2383)</f>
        <v/>
      </c>
      <c r="L2384">
        <f>IF(G2384=1,0.2*R2384/D2384,L2383)</f>
        <v/>
      </c>
      <c r="M2384">
        <f>IF(G2384=1,0.2*R2384/E2384,M2383)</f>
        <v/>
      </c>
      <c r="N2384">
        <f>IF(G2384=1,0.2*R2384/F2384,N2383)</f>
        <v/>
      </c>
      <c r="O2384">
        <f>IF(G2384=1,R2384*(1-1.0),IF(H2383=0,1,O2383*(1+0.00023125256064071564)))</f>
        <v/>
      </c>
      <c r="P2384">
        <f>IF(G2384=1,IF(H2383=0,1,ABS(0.2-J2383*B2384/I2384)+ABS(0.2-K2383*C2384/I2384)+ABS(0.2-L2383*D2384/I2384)+ABS(0.2-M2383*E2384/I2384)+ABS(0.2-N2383*F2384/I2384)),0)</f>
        <v/>
      </c>
      <c r="Q2384">
        <f>P2384*0.0015</f>
        <v/>
      </c>
      <c r="R2384">
        <f>I2384*(1-Q2384)</f>
        <v/>
      </c>
      <c r="S2384">
        <f>R2384/R2383-1</f>
        <v/>
      </c>
      <c r="T2384">
        <f>MAX(T2383,R2384)</f>
        <v/>
      </c>
      <c r="U2384">
        <f>R2384/T2384-1</f>
        <v/>
      </c>
      <c r="V2384" t="n">
        <v>5.960463776376704</v>
      </c>
      <c r="W2384" s="5">
        <f>R2384-V2384</f>
        <v/>
      </c>
    </row>
    <row r="2385">
      <c r="A2385" s="3" t="n">
        <v>41948</v>
      </c>
      <c r="B2385">
        <f>Prices!B2385</f>
        <v/>
      </c>
      <c r="C2385">
        <f>Prices!C2385</f>
        <v/>
      </c>
      <c r="D2385">
        <f>Prices!D2385</f>
        <v/>
      </c>
      <c r="E2385">
        <f>Prices!E2385</f>
        <v/>
      </c>
      <c r="F2385">
        <f>Prices!F2385</f>
        <v/>
      </c>
      <c r="G2385">
        <f>IF(AND(2383&gt;=16,TEXT(A2385,"yyyy-mm")&lt;&gt;TEXT(A2386,"yyyy-mm")),1,0)</f>
        <v/>
      </c>
      <c r="H2385">
        <f>IF(OR(H2384=1,G2385=1),1,0)</f>
        <v/>
      </c>
      <c r="I2385">
        <f>IF(H2384=0,1,SUMPRODUCT(J2384:N2384,B2385:F2385)+O2384*(1+0.00023125256064071564))</f>
        <v/>
      </c>
      <c r="J2385">
        <f>IF(G2385=1,0.2*R2385/B2385,J2384)</f>
        <v/>
      </c>
      <c r="K2385">
        <f>IF(G2385=1,0.2*R2385/C2385,K2384)</f>
        <v/>
      </c>
      <c r="L2385">
        <f>IF(G2385=1,0.2*R2385/D2385,L2384)</f>
        <v/>
      </c>
      <c r="M2385">
        <f>IF(G2385=1,0.2*R2385/E2385,M2384)</f>
        <v/>
      </c>
      <c r="N2385">
        <f>IF(G2385=1,0.2*R2385/F2385,N2384)</f>
        <v/>
      </c>
      <c r="O2385">
        <f>IF(G2385=1,R2385*(1-1.0),IF(H2384=0,1,O2384*(1+0.00023125256064071564)))</f>
        <v/>
      </c>
      <c r="P2385">
        <f>IF(G2385=1,IF(H2384=0,1,ABS(0.2-J2384*B2385/I2385)+ABS(0.2-K2384*C2385/I2385)+ABS(0.2-L2384*D2385/I2385)+ABS(0.2-M2384*E2385/I2385)+ABS(0.2-N2384*F2385/I2385)),0)</f>
        <v/>
      </c>
      <c r="Q2385">
        <f>P2385*0.0015</f>
        <v/>
      </c>
      <c r="R2385">
        <f>I2385*(1-Q2385)</f>
        <v/>
      </c>
      <c r="S2385">
        <f>R2385/R2384-1</f>
        <v/>
      </c>
      <c r="T2385">
        <f>MAX(T2384,R2385)</f>
        <v/>
      </c>
      <c r="U2385">
        <f>R2385/T2385-1</f>
        <v/>
      </c>
      <c r="V2385" t="n">
        <v>5.978578040129465</v>
      </c>
      <c r="W2385" s="5">
        <f>R2385-V2385</f>
        <v/>
      </c>
    </row>
    <row r="2386">
      <c r="A2386" s="3" t="n">
        <v>41950</v>
      </c>
      <c r="B2386">
        <f>Prices!B2386</f>
        <v/>
      </c>
      <c r="C2386">
        <f>Prices!C2386</f>
        <v/>
      </c>
      <c r="D2386">
        <f>Prices!D2386</f>
        <v/>
      </c>
      <c r="E2386">
        <f>Prices!E2386</f>
        <v/>
      </c>
      <c r="F2386">
        <f>Prices!F2386</f>
        <v/>
      </c>
      <c r="G2386">
        <f>IF(AND(2384&gt;=16,TEXT(A2386,"yyyy-mm")&lt;&gt;TEXT(A2387,"yyyy-mm")),1,0)</f>
        <v/>
      </c>
      <c r="H2386">
        <f>IF(OR(H2385=1,G2386=1),1,0)</f>
        <v/>
      </c>
      <c r="I2386">
        <f>IF(H2385=0,1,SUMPRODUCT(J2385:N2385,B2386:F2386)+O2385*(1+0.00023125256064071564))</f>
        <v/>
      </c>
      <c r="J2386">
        <f>IF(G2386=1,0.2*R2386/B2386,J2385)</f>
        <v/>
      </c>
      <c r="K2386">
        <f>IF(G2386=1,0.2*R2386/C2386,K2385)</f>
        <v/>
      </c>
      <c r="L2386">
        <f>IF(G2386=1,0.2*R2386/D2386,L2385)</f>
        <v/>
      </c>
      <c r="M2386">
        <f>IF(G2386=1,0.2*R2386/E2386,M2385)</f>
        <v/>
      </c>
      <c r="N2386">
        <f>IF(G2386=1,0.2*R2386/F2386,N2385)</f>
        <v/>
      </c>
      <c r="O2386">
        <f>IF(G2386=1,R2386*(1-1.0),IF(H2385=0,1,O2385*(1+0.00023125256064071564)))</f>
        <v/>
      </c>
      <c r="P2386">
        <f>IF(G2386=1,IF(H2385=0,1,ABS(0.2-J2385*B2386/I2386)+ABS(0.2-K2385*C2386/I2386)+ABS(0.2-L2385*D2386/I2386)+ABS(0.2-M2385*E2386/I2386)+ABS(0.2-N2385*F2386/I2386)),0)</f>
        <v/>
      </c>
      <c r="Q2386">
        <f>P2386*0.0015</f>
        <v/>
      </c>
      <c r="R2386">
        <f>I2386*(1-Q2386)</f>
        <v/>
      </c>
      <c r="S2386">
        <f>R2386/R2385-1</f>
        <v/>
      </c>
      <c r="T2386">
        <f>MAX(T2385,R2386)</f>
        <v/>
      </c>
      <c r="U2386">
        <f>R2386/T2386-1</f>
        <v/>
      </c>
      <c r="V2386" t="n">
        <v>6.00294898438804</v>
      </c>
      <c r="W2386" s="5">
        <f>R2386-V2386</f>
        <v/>
      </c>
    </row>
    <row r="2387">
      <c r="A2387" s="3" t="n">
        <v>41953</v>
      </c>
      <c r="B2387">
        <f>Prices!B2387</f>
        <v/>
      </c>
      <c r="C2387">
        <f>Prices!C2387</f>
        <v/>
      </c>
      <c r="D2387">
        <f>Prices!D2387</f>
        <v/>
      </c>
      <c r="E2387">
        <f>Prices!E2387</f>
        <v/>
      </c>
      <c r="F2387">
        <f>Prices!F2387</f>
        <v/>
      </c>
      <c r="G2387">
        <f>IF(AND(2385&gt;=16,TEXT(A2387,"yyyy-mm")&lt;&gt;TEXT(A2388,"yyyy-mm")),1,0)</f>
        <v/>
      </c>
      <c r="H2387">
        <f>IF(OR(H2386=1,G2387=1),1,0)</f>
        <v/>
      </c>
      <c r="I2387">
        <f>IF(H2386=0,1,SUMPRODUCT(J2386:N2386,B2387:F2387)+O2386*(1+0.00023125256064071564))</f>
        <v/>
      </c>
      <c r="J2387">
        <f>IF(G2387=1,0.2*R2387/B2387,J2386)</f>
        <v/>
      </c>
      <c r="K2387">
        <f>IF(G2387=1,0.2*R2387/C2387,K2386)</f>
        <v/>
      </c>
      <c r="L2387">
        <f>IF(G2387=1,0.2*R2387/D2387,L2386)</f>
        <v/>
      </c>
      <c r="M2387">
        <f>IF(G2387=1,0.2*R2387/E2387,M2386)</f>
        <v/>
      </c>
      <c r="N2387">
        <f>IF(G2387=1,0.2*R2387/F2387,N2386)</f>
        <v/>
      </c>
      <c r="O2387">
        <f>IF(G2387=1,R2387*(1-1.0),IF(H2386=0,1,O2386*(1+0.00023125256064071564)))</f>
        <v/>
      </c>
      <c r="P2387">
        <f>IF(G2387=1,IF(H2386=0,1,ABS(0.2-J2386*B2387/I2387)+ABS(0.2-K2386*C2387/I2387)+ABS(0.2-L2386*D2387/I2387)+ABS(0.2-M2386*E2387/I2387)+ABS(0.2-N2386*F2387/I2387)),0)</f>
        <v/>
      </c>
      <c r="Q2387">
        <f>P2387*0.0015</f>
        <v/>
      </c>
      <c r="R2387">
        <f>I2387*(1-Q2387)</f>
        <v/>
      </c>
      <c r="S2387">
        <f>R2387/R2386-1</f>
        <v/>
      </c>
      <c r="T2387">
        <f>MAX(T2386,R2387)</f>
        <v/>
      </c>
      <c r="U2387">
        <f>R2387/T2387-1</f>
        <v/>
      </c>
      <c r="V2387" t="n">
        <v>6.039533036786643</v>
      </c>
      <c r="W2387" s="5">
        <f>R2387-V2387</f>
        <v/>
      </c>
    </row>
    <row r="2388">
      <c r="A2388" s="3" t="n">
        <v>41954</v>
      </c>
      <c r="B2388">
        <f>Prices!B2388</f>
        <v/>
      </c>
      <c r="C2388">
        <f>Prices!C2388</f>
        <v/>
      </c>
      <c r="D2388">
        <f>Prices!D2388</f>
        <v/>
      </c>
      <c r="E2388">
        <f>Prices!E2388</f>
        <v/>
      </c>
      <c r="F2388">
        <f>Prices!F2388</f>
        <v/>
      </c>
      <c r="G2388">
        <f>IF(AND(2386&gt;=16,TEXT(A2388,"yyyy-mm")&lt;&gt;TEXT(A2389,"yyyy-mm")),1,0)</f>
        <v/>
      </c>
      <c r="H2388">
        <f>IF(OR(H2387=1,G2388=1),1,0)</f>
        <v/>
      </c>
      <c r="I2388">
        <f>IF(H2387=0,1,SUMPRODUCT(J2387:N2387,B2388:F2388)+O2387*(1+0.00023125256064071564))</f>
        <v/>
      </c>
      <c r="J2388">
        <f>IF(G2388=1,0.2*R2388/B2388,J2387)</f>
        <v/>
      </c>
      <c r="K2388">
        <f>IF(G2388=1,0.2*R2388/C2388,K2387)</f>
        <v/>
      </c>
      <c r="L2388">
        <f>IF(G2388=1,0.2*R2388/D2388,L2387)</f>
        <v/>
      </c>
      <c r="M2388">
        <f>IF(G2388=1,0.2*R2388/E2388,M2387)</f>
        <v/>
      </c>
      <c r="N2388">
        <f>IF(G2388=1,0.2*R2388/F2388,N2387)</f>
        <v/>
      </c>
      <c r="O2388">
        <f>IF(G2388=1,R2388*(1-1.0),IF(H2387=0,1,O2387*(1+0.00023125256064071564)))</f>
        <v/>
      </c>
      <c r="P2388">
        <f>IF(G2388=1,IF(H2387=0,1,ABS(0.2-J2387*B2388/I2388)+ABS(0.2-K2387*C2388/I2388)+ABS(0.2-L2387*D2388/I2388)+ABS(0.2-M2387*E2388/I2388)+ABS(0.2-N2387*F2388/I2388)),0)</f>
        <v/>
      </c>
      <c r="Q2388">
        <f>P2388*0.0015</f>
        <v/>
      </c>
      <c r="R2388">
        <f>I2388*(1-Q2388)</f>
        <v/>
      </c>
      <c r="S2388">
        <f>R2388/R2387-1</f>
        <v/>
      </c>
      <c r="T2388">
        <f>MAX(T2387,R2388)</f>
        <v/>
      </c>
      <c r="U2388">
        <f>R2388/T2388-1</f>
        <v/>
      </c>
      <c r="V2388" t="n">
        <v>6.080211156200837</v>
      </c>
      <c r="W2388" s="5">
        <f>R2388-V2388</f>
        <v/>
      </c>
    </row>
    <row r="2389">
      <c r="A2389" s="3" t="n">
        <v>41955</v>
      </c>
      <c r="B2389">
        <f>Prices!B2389</f>
        <v/>
      </c>
      <c r="C2389">
        <f>Prices!C2389</f>
        <v/>
      </c>
      <c r="D2389">
        <f>Prices!D2389</f>
        <v/>
      </c>
      <c r="E2389">
        <f>Prices!E2389</f>
        <v/>
      </c>
      <c r="F2389">
        <f>Prices!F2389</f>
        <v/>
      </c>
      <c r="G2389">
        <f>IF(AND(2387&gt;=16,TEXT(A2389,"yyyy-mm")&lt;&gt;TEXT(A2390,"yyyy-mm")),1,0)</f>
        <v/>
      </c>
      <c r="H2389">
        <f>IF(OR(H2388=1,G2389=1),1,0)</f>
        <v/>
      </c>
      <c r="I2389">
        <f>IF(H2388=0,1,SUMPRODUCT(J2388:N2388,B2389:F2389)+O2388*(1+0.00023125256064071564))</f>
        <v/>
      </c>
      <c r="J2389">
        <f>IF(G2389=1,0.2*R2389/B2389,J2388)</f>
        <v/>
      </c>
      <c r="K2389">
        <f>IF(G2389=1,0.2*R2389/C2389,K2388)</f>
        <v/>
      </c>
      <c r="L2389">
        <f>IF(G2389=1,0.2*R2389/D2389,L2388)</f>
        <v/>
      </c>
      <c r="M2389">
        <f>IF(G2389=1,0.2*R2389/E2389,M2388)</f>
        <v/>
      </c>
      <c r="N2389">
        <f>IF(G2389=1,0.2*R2389/F2389,N2388)</f>
        <v/>
      </c>
      <c r="O2389">
        <f>IF(G2389=1,R2389*(1-1.0),IF(H2388=0,1,O2388*(1+0.00023125256064071564)))</f>
        <v/>
      </c>
      <c r="P2389">
        <f>IF(G2389=1,IF(H2388=0,1,ABS(0.2-J2388*B2389/I2389)+ABS(0.2-K2388*C2389/I2389)+ABS(0.2-L2388*D2389/I2389)+ABS(0.2-M2388*E2389/I2389)+ABS(0.2-N2388*F2389/I2389)),0)</f>
        <v/>
      </c>
      <c r="Q2389">
        <f>P2389*0.0015</f>
        <v/>
      </c>
      <c r="R2389">
        <f>I2389*(1-Q2389)</f>
        <v/>
      </c>
      <c r="S2389">
        <f>R2389/R2388-1</f>
        <v/>
      </c>
      <c r="T2389">
        <f>MAX(T2388,R2389)</f>
        <v/>
      </c>
      <c r="U2389">
        <f>R2389/T2389-1</f>
        <v/>
      </c>
      <c r="V2389" t="n">
        <v>6.101614784627799</v>
      </c>
      <c r="W2389" s="5">
        <f>R2389-V2389</f>
        <v/>
      </c>
    </row>
    <row r="2390">
      <c r="A2390" s="3" t="n">
        <v>41956</v>
      </c>
      <c r="B2390">
        <f>Prices!B2390</f>
        <v/>
      </c>
      <c r="C2390">
        <f>Prices!C2390</f>
        <v/>
      </c>
      <c r="D2390">
        <f>Prices!D2390</f>
        <v/>
      </c>
      <c r="E2390">
        <f>Prices!E2390</f>
        <v/>
      </c>
      <c r="F2390">
        <f>Prices!F2390</f>
        <v/>
      </c>
      <c r="G2390">
        <f>IF(AND(2388&gt;=16,TEXT(A2390,"yyyy-mm")&lt;&gt;TEXT(A2391,"yyyy-mm")),1,0)</f>
        <v/>
      </c>
      <c r="H2390">
        <f>IF(OR(H2389=1,G2390=1),1,0)</f>
        <v/>
      </c>
      <c r="I2390">
        <f>IF(H2389=0,1,SUMPRODUCT(J2389:N2389,B2390:F2390)+O2389*(1+0.00023125256064071564))</f>
        <v/>
      </c>
      <c r="J2390">
        <f>IF(G2390=1,0.2*R2390/B2390,J2389)</f>
        <v/>
      </c>
      <c r="K2390">
        <f>IF(G2390=1,0.2*R2390/C2390,K2389)</f>
        <v/>
      </c>
      <c r="L2390">
        <f>IF(G2390=1,0.2*R2390/D2390,L2389)</f>
        <v/>
      </c>
      <c r="M2390">
        <f>IF(G2390=1,0.2*R2390/E2390,M2389)</f>
        <v/>
      </c>
      <c r="N2390">
        <f>IF(G2390=1,0.2*R2390/F2390,N2389)</f>
        <v/>
      </c>
      <c r="O2390">
        <f>IF(G2390=1,R2390*(1-1.0),IF(H2389=0,1,O2389*(1+0.00023125256064071564)))</f>
        <v/>
      </c>
      <c r="P2390">
        <f>IF(G2390=1,IF(H2389=0,1,ABS(0.2-J2389*B2390/I2390)+ABS(0.2-K2389*C2390/I2390)+ABS(0.2-L2389*D2390/I2390)+ABS(0.2-M2389*E2390/I2390)+ABS(0.2-N2389*F2390/I2390)),0)</f>
        <v/>
      </c>
      <c r="Q2390">
        <f>P2390*0.0015</f>
        <v/>
      </c>
      <c r="R2390">
        <f>I2390*(1-Q2390)</f>
        <v/>
      </c>
      <c r="S2390">
        <f>R2390/R2389-1</f>
        <v/>
      </c>
      <c r="T2390">
        <f>MAX(T2389,R2390)</f>
        <v/>
      </c>
      <c r="U2390">
        <f>R2390/T2390-1</f>
        <v/>
      </c>
      <c r="V2390" t="n">
        <v>6.094387435495091</v>
      </c>
      <c r="W2390" s="5">
        <f>R2390-V2390</f>
        <v/>
      </c>
    </row>
    <row r="2391">
      <c r="A2391" s="3" t="n">
        <v>41957</v>
      </c>
      <c r="B2391">
        <f>Prices!B2391</f>
        <v/>
      </c>
      <c r="C2391">
        <f>Prices!C2391</f>
        <v/>
      </c>
      <c r="D2391">
        <f>Prices!D2391</f>
        <v/>
      </c>
      <c r="E2391">
        <f>Prices!E2391</f>
        <v/>
      </c>
      <c r="F2391">
        <f>Prices!F2391</f>
        <v/>
      </c>
      <c r="G2391">
        <f>IF(AND(2389&gt;=16,TEXT(A2391,"yyyy-mm")&lt;&gt;TEXT(A2392,"yyyy-mm")),1,0)</f>
        <v/>
      </c>
      <c r="H2391">
        <f>IF(OR(H2390=1,G2391=1),1,0)</f>
        <v/>
      </c>
      <c r="I2391">
        <f>IF(H2390=0,1,SUMPRODUCT(J2390:N2390,B2391:F2391)+O2390*(1+0.00023125256064071564))</f>
        <v/>
      </c>
      <c r="J2391">
        <f>IF(G2391=1,0.2*R2391/B2391,J2390)</f>
        <v/>
      </c>
      <c r="K2391">
        <f>IF(G2391=1,0.2*R2391/C2391,K2390)</f>
        <v/>
      </c>
      <c r="L2391">
        <f>IF(G2391=1,0.2*R2391/D2391,L2390)</f>
        <v/>
      </c>
      <c r="M2391">
        <f>IF(G2391=1,0.2*R2391/E2391,M2390)</f>
        <v/>
      </c>
      <c r="N2391">
        <f>IF(G2391=1,0.2*R2391/F2391,N2390)</f>
        <v/>
      </c>
      <c r="O2391">
        <f>IF(G2391=1,R2391*(1-1.0),IF(H2390=0,1,O2390*(1+0.00023125256064071564)))</f>
        <v/>
      </c>
      <c r="P2391">
        <f>IF(G2391=1,IF(H2390=0,1,ABS(0.2-J2390*B2391/I2391)+ABS(0.2-K2390*C2391/I2391)+ABS(0.2-L2390*D2391/I2391)+ABS(0.2-M2390*E2391/I2391)+ABS(0.2-N2390*F2391/I2391)),0)</f>
        <v/>
      </c>
      <c r="Q2391">
        <f>P2391*0.0015</f>
        <v/>
      </c>
      <c r="R2391">
        <f>I2391*(1-Q2391)</f>
        <v/>
      </c>
      <c r="S2391">
        <f>R2391/R2390-1</f>
        <v/>
      </c>
      <c r="T2391">
        <f>MAX(T2390,R2391)</f>
        <v/>
      </c>
      <c r="U2391">
        <f>R2391/T2391-1</f>
        <v/>
      </c>
      <c r="V2391" t="n">
        <v>6.121323089298087</v>
      </c>
      <c r="W2391" s="5">
        <f>R2391-V2391</f>
        <v/>
      </c>
    </row>
    <row r="2392">
      <c r="A2392" s="3" t="n">
        <v>41960</v>
      </c>
      <c r="B2392">
        <f>Prices!B2392</f>
        <v/>
      </c>
      <c r="C2392">
        <f>Prices!C2392</f>
        <v/>
      </c>
      <c r="D2392">
        <f>Prices!D2392</f>
        <v/>
      </c>
      <c r="E2392">
        <f>Prices!E2392</f>
        <v/>
      </c>
      <c r="F2392">
        <f>Prices!F2392</f>
        <v/>
      </c>
      <c r="G2392">
        <f>IF(AND(2390&gt;=16,TEXT(A2392,"yyyy-mm")&lt;&gt;TEXT(A2393,"yyyy-mm")),1,0)</f>
        <v/>
      </c>
      <c r="H2392">
        <f>IF(OR(H2391=1,G2392=1),1,0)</f>
        <v/>
      </c>
      <c r="I2392">
        <f>IF(H2391=0,1,SUMPRODUCT(J2391:N2391,B2392:F2392)+O2391*(1+0.00023125256064071564))</f>
        <v/>
      </c>
      <c r="J2392">
        <f>IF(G2392=1,0.2*R2392/B2392,J2391)</f>
        <v/>
      </c>
      <c r="K2392">
        <f>IF(G2392=1,0.2*R2392/C2392,K2391)</f>
        <v/>
      </c>
      <c r="L2392">
        <f>IF(G2392=1,0.2*R2392/D2392,L2391)</f>
        <v/>
      </c>
      <c r="M2392">
        <f>IF(G2392=1,0.2*R2392/E2392,M2391)</f>
        <v/>
      </c>
      <c r="N2392">
        <f>IF(G2392=1,0.2*R2392/F2392,N2391)</f>
        <v/>
      </c>
      <c r="O2392">
        <f>IF(G2392=1,R2392*(1-1.0),IF(H2391=0,1,O2391*(1+0.00023125256064071564)))</f>
        <v/>
      </c>
      <c r="P2392">
        <f>IF(G2392=1,IF(H2391=0,1,ABS(0.2-J2391*B2392/I2392)+ABS(0.2-K2391*C2392/I2392)+ABS(0.2-L2391*D2392/I2392)+ABS(0.2-M2391*E2392/I2392)+ABS(0.2-N2391*F2392/I2392)),0)</f>
        <v/>
      </c>
      <c r="Q2392">
        <f>P2392*0.0015</f>
        <v/>
      </c>
      <c r="R2392">
        <f>I2392*(1-Q2392)</f>
        <v/>
      </c>
      <c r="S2392">
        <f>R2392/R2391-1</f>
        <v/>
      </c>
      <c r="T2392">
        <f>MAX(T2391,R2392)</f>
        <v/>
      </c>
      <c r="U2392">
        <f>R2392/T2392-1</f>
        <v/>
      </c>
      <c r="V2392" t="n">
        <v>6.164457006955562</v>
      </c>
      <c r="W2392" s="5">
        <f>R2392-V2392</f>
        <v/>
      </c>
    </row>
    <row r="2393">
      <c r="A2393" s="3" t="n">
        <v>41961</v>
      </c>
      <c r="B2393">
        <f>Prices!B2393</f>
        <v/>
      </c>
      <c r="C2393">
        <f>Prices!C2393</f>
        <v/>
      </c>
      <c r="D2393">
        <f>Prices!D2393</f>
        <v/>
      </c>
      <c r="E2393">
        <f>Prices!E2393</f>
        <v/>
      </c>
      <c r="F2393">
        <f>Prices!F2393</f>
        <v/>
      </c>
      <c r="G2393">
        <f>IF(AND(2391&gt;=16,TEXT(A2393,"yyyy-mm")&lt;&gt;TEXT(A2394,"yyyy-mm")),1,0)</f>
        <v/>
      </c>
      <c r="H2393">
        <f>IF(OR(H2392=1,G2393=1),1,0)</f>
        <v/>
      </c>
      <c r="I2393">
        <f>IF(H2392=0,1,SUMPRODUCT(J2392:N2392,B2393:F2393)+O2392*(1+0.00023125256064071564))</f>
        <v/>
      </c>
      <c r="J2393">
        <f>IF(G2393=1,0.2*R2393/B2393,J2392)</f>
        <v/>
      </c>
      <c r="K2393">
        <f>IF(G2393=1,0.2*R2393/C2393,K2392)</f>
        <v/>
      </c>
      <c r="L2393">
        <f>IF(G2393=1,0.2*R2393/D2393,L2392)</f>
        <v/>
      </c>
      <c r="M2393">
        <f>IF(G2393=1,0.2*R2393/E2393,M2392)</f>
        <v/>
      </c>
      <c r="N2393">
        <f>IF(G2393=1,0.2*R2393/F2393,N2392)</f>
        <v/>
      </c>
      <c r="O2393">
        <f>IF(G2393=1,R2393*(1-1.0),IF(H2392=0,1,O2392*(1+0.00023125256064071564)))</f>
        <v/>
      </c>
      <c r="P2393">
        <f>IF(G2393=1,IF(H2392=0,1,ABS(0.2-J2392*B2393/I2393)+ABS(0.2-K2392*C2393/I2393)+ABS(0.2-L2392*D2393/I2393)+ABS(0.2-M2392*E2393/I2393)+ABS(0.2-N2392*F2393/I2393)),0)</f>
        <v/>
      </c>
      <c r="Q2393">
        <f>P2393*0.0015</f>
        <v/>
      </c>
      <c r="R2393">
        <f>I2393*(1-Q2393)</f>
        <v/>
      </c>
      <c r="S2393">
        <f>R2393/R2392-1</f>
        <v/>
      </c>
      <c r="T2393">
        <f>MAX(T2392,R2393)</f>
        <v/>
      </c>
      <c r="U2393">
        <f>R2393/T2393-1</f>
        <v/>
      </c>
      <c r="V2393" t="n">
        <v>6.186595206673987</v>
      </c>
      <c r="W2393" s="5">
        <f>R2393-V2393</f>
        <v/>
      </c>
    </row>
    <row r="2394">
      <c r="A2394" s="3" t="n">
        <v>41962</v>
      </c>
      <c r="B2394">
        <f>Prices!B2394</f>
        <v/>
      </c>
      <c r="C2394">
        <f>Prices!C2394</f>
        <v/>
      </c>
      <c r="D2394">
        <f>Prices!D2394</f>
        <v/>
      </c>
      <c r="E2394">
        <f>Prices!E2394</f>
        <v/>
      </c>
      <c r="F2394">
        <f>Prices!F2394</f>
        <v/>
      </c>
      <c r="G2394">
        <f>IF(AND(2392&gt;=16,TEXT(A2394,"yyyy-mm")&lt;&gt;TEXT(A2395,"yyyy-mm")),1,0)</f>
        <v/>
      </c>
      <c r="H2394">
        <f>IF(OR(H2393=1,G2394=1),1,0)</f>
        <v/>
      </c>
      <c r="I2394">
        <f>IF(H2393=0,1,SUMPRODUCT(J2393:N2393,B2394:F2394)+O2393*(1+0.00023125256064071564))</f>
        <v/>
      </c>
      <c r="J2394">
        <f>IF(G2394=1,0.2*R2394/B2394,J2393)</f>
        <v/>
      </c>
      <c r="K2394">
        <f>IF(G2394=1,0.2*R2394/C2394,K2393)</f>
        <v/>
      </c>
      <c r="L2394">
        <f>IF(G2394=1,0.2*R2394/D2394,L2393)</f>
        <v/>
      </c>
      <c r="M2394">
        <f>IF(G2394=1,0.2*R2394/E2394,M2393)</f>
        <v/>
      </c>
      <c r="N2394">
        <f>IF(G2394=1,0.2*R2394/F2394,N2393)</f>
        <v/>
      </c>
      <c r="O2394">
        <f>IF(G2394=1,R2394*(1-1.0),IF(H2393=0,1,O2393*(1+0.00023125256064071564)))</f>
        <v/>
      </c>
      <c r="P2394">
        <f>IF(G2394=1,IF(H2393=0,1,ABS(0.2-J2393*B2394/I2394)+ABS(0.2-K2393*C2394/I2394)+ABS(0.2-L2393*D2394/I2394)+ABS(0.2-M2393*E2394/I2394)+ABS(0.2-N2393*F2394/I2394)),0)</f>
        <v/>
      </c>
      <c r="Q2394">
        <f>P2394*0.0015</f>
        <v/>
      </c>
      <c r="R2394">
        <f>I2394*(1-Q2394)</f>
        <v/>
      </c>
      <c r="S2394">
        <f>R2394/R2393-1</f>
        <v/>
      </c>
      <c r="T2394">
        <f>MAX(T2393,R2394)</f>
        <v/>
      </c>
      <c r="U2394">
        <f>R2394/T2394-1</f>
        <v/>
      </c>
      <c r="V2394" t="n">
        <v>6.160555389662956</v>
      </c>
      <c r="W2394" s="5">
        <f>R2394-V2394</f>
        <v/>
      </c>
    </row>
    <row r="2395">
      <c r="A2395" s="3" t="n">
        <v>41963</v>
      </c>
      <c r="B2395">
        <f>Prices!B2395</f>
        <v/>
      </c>
      <c r="C2395">
        <f>Prices!C2395</f>
        <v/>
      </c>
      <c r="D2395">
        <f>Prices!D2395</f>
        <v/>
      </c>
      <c r="E2395">
        <f>Prices!E2395</f>
        <v/>
      </c>
      <c r="F2395">
        <f>Prices!F2395</f>
        <v/>
      </c>
      <c r="G2395">
        <f>IF(AND(2393&gt;=16,TEXT(A2395,"yyyy-mm")&lt;&gt;TEXT(A2396,"yyyy-mm")),1,0)</f>
        <v/>
      </c>
      <c r="H2395">
        <f>IF(OR(H2394=1,G2395=1),1,0)</f>
        <v/>
      </c>
      <c r="I2395">
        <f>IF(H2394=0,1,SUMPRODUCT(J2394:N2394,B2395:F2395)+O2394*(1+0.00023125256064071564))</f>
        <v/>
      </c>
      <c r="J2395">
        <f>IF(G2395=1,0.2*R2395/B2395,J2394)</f>
        <v/>
      </c>
      <c r="K2395">
        <f>IF(G2395=1,0.2*R2395/C2395,K2394)</f>
        <v/>
      </c>
      <c r="L2395">
        <f>IF(G2395=1,0.2*R2395/D2395,L2394)</f>
        <v/>
      </c>
      <c r="M2395">
        <f>IF(G2395=1,0.2*R2395/E2395,M2394)</f>
        <v/>
      </c>
      <c r="N2395">
        <f>IF(G2395=1,0.2*R2395/F2395,N2394)</f>
        <v/>
      </c>
      <c r="O2395">
        <f>IF(G2395=1,R2395*(1-1.0),IF(H2394=0,1,O2394*(1+0.00023125256064071564)))</f>
        <v/>
      </c>
      <c r="P2395">
        <f>IF(G2395=1,IF(H2394=0,1,ABS(0.2-J2394*B2395/I2395)+ABS(0.2-K2394*C2395/I2395)+ABS(0.2-L2394*D2395/I2395)+ABS(0.2-M2394*E2395/I2395)+ABS(0.2-N2394*F2395/I2395)),0)</f>
        <v/>
      </c>
      <c r="Q2395">
        <f>P2395*0.0015</f>
        <v/>
      </c>
      <c r="R2395">
        <f>I2395*(1-Q2395)</f>
        <v/>
      </c>
      <c r="S2395">
        <f>R2395/R2394-1</f>
        <v/>
      </c>
      <c r="T2395">
        <f>MAX(T2394,R2395)</f>
        <v/>
      </c>
      <c r="U2395">
        <f>R2395/T2395-1</f>
        <v/>
      </c>
      <c r="V2395" t="n">
        <v>6.155869991326618</v>
      </c>
      <c r="W2395" s="5">
        <f>R2395-V2395</f>
        <v/>
      </c>
    </row>
    <row r="2396">
      <c r="A2396" s="3" t="n">
        <v>41964</v>
      </c>
      <c r="B2396">
        <f>Prices!B2396</f>
        <v/>
      </c>
      <c r="C2396">
        <f>Prices!C2396</f>
        <v/>
      </c>
      <c r="D2396">
        <f>Prices!D2396</f>
        <v/>
      </c>
      <c r="E2396">
        <f>Prices!E2396</f>
        <v/>
      </c>
      <c r="F2396">
        <f>Prices!F2396</f>
        <v/>
      </c>
      <c r="G2396">
        <f>IF(AND(2394&gt;=16,TEXT(A2396,"yyyy-mm")&lt;&gt;TEXT(A2397,"yyyy-mm")),1,0)</f>
        <v/>
      </c>
      <c r="H2396">
        <f>IF(OR(H2395=1,G2396=1),1,0)</f>
        <v/>
      </c>
      <c r="I2396">
        <f>IF(H2395=0,1,SUMPRODUCT(J2395:N2395,B2396:F2396)+O2395*(1+0.00023125256064071564))</f>
        <v/>
      </c>
      <c r="J2396">
        <f>IF(G2396=1,0.2*R2396/B2396,J2395)</f>
        <v/>
      </c>
      <c r="K2396">
        <f>IF(G2396=1,0.2*R2396/C2396,K2395)</f>
        <v/>
      </c>
      <c r="L2396">
        <f>IF(G2396=1,0.2*R2396/D2396,L2395)</f>
        <v/>
      </c>
      <c r="M2396">
        <f>IF(G2396=1,0.2*R2396/E2396,M2395)</f>
        <v/>
      </c>
      <c r="N2396">
        <f>IF(G2396=1,0.2*R2396/F2396,N2395)</f>
        <v/>
      </c>
      <c r="O2396">
        <f>IF(G2396=1,R2396*(1-1.0),IF(H2395=0,1,O2395*(1+0.00023125256064071564)))</f>
        <v/>
      </c>
      <c r="P2396">
        <f>IF(G2396=1,IF(H2395=0,1,ABS(0.2-J2395*B2396/I2396)+ABS(0.2-K2395*C2396/I2396)+ABS(0.2-L2395*D2396/I2396)+ABS(0.2-M2395*E2396/I2396)+ABS(0.2-N2395*F2396/I2396)),0)</f>
        <v/>
      </c>
      <c r="Q2396">
        <f>P2396*0.0015</f>
        <v/>
      </c>
      <c r="R2396">
        <f>I2396*(1-Q2396)</f>
        <v/>
      </c>
      <c r="S2396">
        <f>R2396/R2395-1</f>
        <v/>
      </c>
      <c r="T2396">
        <f>MAX(T2395,R2396)</f>
        <v/>
      </c>
      <c r="U2396">
        <f>R2396/T2396-1</f>
        <v/>
      </c>
      <c r="V2396" t="n">
        <v>6.132992414082051</v>
      </c>
      <c r="W2396" s="5">
        <f>R2396-V2396</f>
        <v/>
      </c>
    </row>
    <row r="2397">
      <c r="A2397" s="3" t="n">
        <v>41967</v>
      </c>
      <c r="B2397">
        <f>Prices!B2397</f>
        <v/>
      </c>
      <c r="C2397">
        <f>Prices!C2397</f>
        <v/>
      </c>
      <c r="D2397">
        <f>Prices!D2397</f>
        <v/>
      </c>
      <c r="E2397">
        <f>Prices!E2397</f>
        <v/>
      </c>
      <c r="F2397">
        <f>Prices!F2397</f>
        <v/>
      </c>
      <c r="G2397">
        <f>IF(AND(2395&gt;=16,TEXT(A2397,"yyyy-mm")&lt;&gt;TEXT(A2398,"yyyy-mm")),1,0)</f>
        <v/>
      </c>
      <c r="H2397">
        <f>IF(OR(H2396=1,G2397=1),1,0)</f>
        <v/>
      </c>
      <c r="I2397">
        <f>IF(H2396=0,1,SUMPRODUCT(J2396:N2396,B2397:F2397)+O2396*(1+0.00023125256064071564))</f>
        <v/>
      </c>
      <c r="J2397">
        <f>IF(G2397=1,0.2*R2397/B2397,J2396)</f>
        <v/>
      </c>
      <c r="K2397">
        <f>IF(G2397=1,0.2*R2397/C2397,K2396)</f>
        <v/>
      </c>
      <c r="L2397">
        <f>IF(G2397=1,0.2*R2397/D2397,L2396)</f>
        <v/>
      </c>
      <c r="M2397">
        <f>IF(G2397=1,0.2*R2397/E2397,M2396)</f>
        <v/>
      </c>
      <c r="N2397">
        <f>IF(G2397=1,0.2*R2397/F2397,N2396)</f>
        <v/>
      </c>
      <c r="O2397">
        <f>IF(G2397=1,R2397*(1-1.0),IF(H2396=0,1,O2396*(1+0.00023125256064071564)))</f>
        <v/>
      </c>
      <c r="P2397">
        <f>IF(G2397=1,IF(H2396=0,1,ABS(0.2-J2396*B2397/I2397)+ABS(0.2-K2396*C2397/I2397)+ABS(0.2-L2396*D2397/I2397)+ABS(0.2-M2396*E2397/I2397)+ABS(0.2-N2396*F2397/I2397)),0)</f>
        <v/>
      </c>
      <c r="Q2397">
        <f>P2397*0.0015</f>
        <v/>
      </c>
      <c r="R2397">
        <f>I2397*(1-Q2397)</f>
        <v/>
      </c>
      <c r="S2397">
        <f>R2397/R2396-1</f>
        <v/>
      </c>
      <c r="T2397">
        <f>MAX(T2396,R2397)</f>
        <v/>
      </c>
      <c r="U2397">
        <f>R2397/T2397-1</f>
        <v/>
      </c>
      <c r="V2397" t="n">
        <v>6.143307213652787</v>
      </c>
      <c r="W2397" s="5">
        <f>R2397-V2397</f>
        <v/>
      </c>
    </row>
    <row r="2398">
      <c r="A2398" s="3" t="n">
        <v>41968</v>
      </c>
      <c r="B2398">
        <f>Prices!B2398</f>
        <v/>
      </c>
      <c r="C2398">
        <f>Prices!C2398</f>
        <v/>
      </c>
      <c r="D2398">
        <f>Prices!D2398</f>
        <v/>
      </c>
      <c r="E2398">
        <f>Prices!E2398</f>
        <v/>
      </c>
      <c r="F2398">
        <f>Prices!F2398</f>
        <v/>
      </c>
      <c r="G2398">
        <f>IF(AND(2396&gt;=16,TEXT(A2398,"yyyy-mm")&lt;&gt;TEXT(A2399,"yyyy-mm")),1,0)</f>
        <v/>
      </c>
      <c r="H2398">
        <f>IF(OR(H2397=1,G2398=1),1,0)</f>
        <v/>
      </c>
      <c r="I2398">
        <f>IF(H2397=0,1,SUMPRODUCT(J2397:N2397,B2398:F2398)+O2397*(1+0.00023125256064071564))</f>
        <v/>
      </c>
      <c r="J2398">
        <f>IF(G2398=1,0.2*R2398/B2398,J2397)</f>
        <v/>
      </c>
      <c r="K2398">
        <f>IF(G2398=1,0.2*R2398/C2398,K2397)</f>
        <v/>
      </c>
      <c r="L2398">
        <f>IF(G2398=1,0.2*R2398/D2398,L2397)</f>
        <v/>
      </c>
      <c r="M2398">
        <f>IF(G2398=1,0.2*R2398/E2398,M2397)</f>
        <v/>
      </c>
      <c r="N2398">
        <f>IF(G2398=1,0.2*R2398/F2398,N2397)</f>
        <v/>
      </c>
      <c r="O2398">
        <f>IF(G2398=1,R2398*(1-1.0),IF(H2397=0,1,O2397*(1+0.00023125256064071564)))</f>
        <v/>
      </c>
      <c r="P2398">
        <f>IF(G2398=1,IF(H2397=0,1,ABS(0.2-J2397*B2398/I2398)+ABS(0.2-K2397*C2398/I2398)+ABS(0.2-L2397*D2398/I2398)+ABS(0.2-M2397*E2398/I2398)+ABS(0.2-N2397*F2398/I2398)),0)</f>
        <v/>
      </c>
      <c r="Q2398">
        <f>P2398*0.0015</f>
        <v/>
      </c>
      <c r="R2398">
        <f>I2398*(1-Q2398)</f>
        <v/>
      </c>
      <c r="S2398">
        <f>R2398/R2397-1</f>
        <v/>
      </c>
      <c r="T2398">
        <f>MAX(T2397,R2398)</f>
        <v/>
      </c>
      <c r="U2398">
        <f>R2398/T2398-1</f>
        <v/>
      </c>
      <c r="V2398" t="n">
        <v>6.077031591151521</v>
      </c>
      <c r="W2398" s="5">
        <f>R2398-V2398</f>
        <v/>
      </c>
    </row>
    <row r="2399">
      <c r="A2399" s="3" t="n">
        <v>41969</v>
      </c>
      <c r="B2399">
        <f>Prices!B2399</f>
        <v/>
      </c>
      <c r="C2399">
        <f>Prices!C2399</f>
        <v/>
      </c>
      <c r="D2399">
        <f>Prices!D2399</f>
        <v/>
      </c>
      <c r="E2399">
        <f>Prices!E2399</f>
        <v/>
      </c>
      <c r="F2399">
        <f>Prices!F2399</f>
        <v/>
      </c>
      <c r="G2399">
        <f>IF(AND(2397&gt;=16,TEXT(A2399,"yyyy-mm")&lt;&gt;TEXT(A2400,"yyyy-mm")),1,0)</f>
        <v/>
      </c>
      <c r="H2399">
        <f>IF(OR(H2398=1,G2399=1),1,0)</f>
        <v/>
      </c>
      <c r="I2399">
        <f>IF(H2398=0,1,SUMPRODUCT(J2398:N2398,B2399:F2399)+O2398*(1+0.00023125256064071564))</f>
        <v/>
      </c>
      <c r="J2399">
        <f>IF(G2399=1,0.2*R2399/B2399,J2398)</f>
        <v/>
      </c>
      <c r="K2399">
        <f>IF(G2399=1,0.2*R2399/C2399,K2398)</f>
        <v/>
      </c>
      <c r="L2399">
        <f>IF(G2399=1,0.2*R2399/D2399,L2398)</f>
        <v/>
      </c>
      <c r="M2399">
        <f>IF(G2399=1,0.2*R2399/E2399,M2398)</f>
        <v/>
      </c>
      <c r="N2399">
        <f>IF(G2399=1,0.2*R2399/F2399,N2398)</f>
        <v/>
      </c>
      <c r="O2399">
        <f>IF(G2399=1,R2399*(1-1.0),IF(H2398=0,1,O2398*(1+0.00023125256064071564)))</f>
        <v/>
      </c>
      <c r="P2399">
        <f>IF(G2399=1,IF(H2398=0,1,ABS(0.2-J2398*B2399/I2399)+ABS(0.2-K2398*C2399/I2399)+ABS(0.2-L2398*D2399/I2399)+ABS(0.2-M2398*E2399/I2399)+ABS(0.2-N2398*F2399/I2399)),0)</f>
        <v/>
      </c>
      <c r="Q2399">
        <f>P2399*0.0015</f>
        <v/>
      </c>
      <c r="R2399">
        <f>I2399*(1-Q2399)</f>
        <v/>
      </c>
      <c r="S2399">
        <f>R2399/R2398-1</f>
        <v/>
      </c>
      <c r="T2399">
        <f>MAX(T2398,R2399)</f>
        <v/>
      </c>
      <c r="U2399">
        <f>R2399/T2399-1</f>
        <v/>
      </c>
      <c r="V2399" t="n">
        <v>6.101151824488853</v>
      </c>
      <c r="W2399" s="5">
        <f>R2399-V2399</f>
        <v/>
      </c>
    </row>
    <row r="2400">
      <c r="A2400" s="3" t="n">
        <v>41970</v>
      </c>
      <c r="B2400">
        <f>Prices!B2400</f>
        <v/>
      </c>
      <c r="C2400">
        <f>Prices!C2400</f>
        <v/>
      </c>
      <c r="D2400">
        <f>Prices!D2400</f>
        <v/>
      </c>
      <c r="E2400">
        <f>Prices!E2400</f>
        <v/>
      </c>
      <c r="F2400">
        <f>Prices!F2400</f>
        <v/>
      </c>
      <c r="G2400">
        <f>IF(AND(2398&gt;=16,TEXT(A2400,"yyyy-mm")&lt;&gt;TEXT(A2401,"yyyy-mm")),1,0)</f>
        <v/>
      </c>
      <c r="H2400">
        <f>IF(OR(H2399=1,G2400=1),1,0)</f>
        <v/>
      </c>
      <c r="I2400">
        <f>IF(H2399=0,1,SUMPRODUCT(J2399:N2399,B2400:F2400)+O2399*(1+0.00023125256064071564))</f>
        <v/>
      </c>
      <c r="J2400">
        <f>IF(G2400=1,0.2*R2400/B2400,J2399)</f>
        <v/>
      </c>
      <c r="K2400">
        <f>IF(G2400=1,0.2*R2400/C2400,K2399)</f>
        <v/>
      </c>
      <c r="L2400">
        <f>IF(G2400=1,0.2*R2400/D2400,L2399)</f>
        <v/>
      </c>
      <c r="M2400">
        <f>IF(G2400=1,0.2*R2400/E2400,M2399)</f>
        <v/>
      </c>
      <c r="N2400">
        <f>IF(G2400=1,0.2*R2400/F2400,N2399)</f>
        <v/>
      </c>
      <c r="O2400">
        <f>IF(G2400=1,R2400*(1-1.0),IF(H2399=0,1,O2399*(1+0.00023125256064071564)))</f>
        <v/>
      </c>
      <c r="P2400">
        <f>IF(G2400=1,IF(H2399=0,1,ABS(0.2-J2399*B2400/I2400)+ABS(0.2-K2399*C2400/I2400)+ABS(0.2-L2399*D2400/I2400)+ABS(0.2-M2399*E2400/I2400)+ABS(0.2-N2399*F2400/I2400)),0)</f>
        <v/>
      </c>
      <c r="Q2400">
        <f>P2400*0.0015</f>
        <v/>
      </c>
      <c r="R2400">
        <f>I2400*(1-Q2400)</f>
        <v/>
      </c>
      <c r="S2400">
        <f>R2400/R2399-1</f>
        <v/>
      </c>
      <c r="T2400">
        <f>MAX(T2399,R2400)</f>
        <v/>
      </c>
      <c r="U2400">
        <f>R2400/T2400-1</f>
        <v/>
      </c>
      <c r="V2400" t="n">
        <v>6.13839966417562</v>
      </c>
      <c r="W2400" s="5">
        <f>R2400-V2400</f>
        <v/>
      </c>
    </row>
    <row r="2401">
      <c r="A2401" s="3" t="n">
        <v>41971</v>
      </c>
      <c r="B2401">
        <f>Prices!B2401</f>
        <v/>
      </c>
      <c r="C2401">
        <f>Prices!C2401</f>
        <v/>
      </c>
      <c r="D2401">
        <f>Prices!D2401</f>
        <v/>
      </c>
      <c r="E2401">
        <f>Prices!E2401</f>
        <v/>
      </c>
      <c r="F2401">
        <f>Prices!F2401</f>
        <v/>
      </c>
      <c r="G2401">
        <f>IF(AND(2399&gt;=16,TEXT(A2401,"yyyy-mm")&lt;&gt;TEXT(A2402,"yyyy-mm")),1,0)</f>
        <v/>
      </c>
      <c r="H2401">
        <f>IF(OR(H2400=1,G2401=1),1,0)</f>
        <v/>
      </c>
      <c r="I2401">
        <f>IF(H2400=0,1,SUMPRODUCT(J2400:N2400,B2401:F2401)+O2400*(1+0.00023125256064071564))</f>
        <v/>
      </c>
      <c r="J2401">
        <f>IF(G2401=1,0.2*R2401/B2401,J2400)</f>
        <v/>
      </c>
      <c r="K2401">
        <f>IF(G2401=1,0.2*R2401/C2401,K2400)</f>
        <v/>
      </c>
      <c r="L2401">
        <f>IF(G2401=1,0.2*R2401/D2401,L2400)</f>
        <v/>
      </c>
      <c r="M2401">
        <f>IF(G2401=1,0.2*R2401/E2401,M2400)</f>
        <v/>
      </c>
      <c r="N2401">
        <f>IF(G2401=1,0.2*R2401/F2401,N2400)</f>
        <v/>
      </c>
      <c r="O2401">
        <f>IF(G2401=1,R2401*(1-1.0),IF(H2400=0,1,O2400*(1+0.00023125256064071564)))</f>
        <v/>
      </c>
      <c r="P2401">
        <f>IF(G2401=1,IF(H2400=0,1,ABS(0.2-J2400*B2401/I2401)+ABS(0.2-K2400*C2401/I2401)+ABS(0.2-L2400*D2401/I2401)+ABS(0.2-M2400*E2401/I2401)+ABS(0.2-N2400*F2401/I2401)),0)</f>
        <v/>
      </c>
      <c r="Q2401">
        <f>P2401*0.0015</f>
        <v/>
      </c>
      <c r="R2401">
        <f>I2401*(1-Q2401)</f>
        <v/>
      </c>
      <c r="S2401">
        <f>R2401/R2400-1</f>
        <v/>
      </c>
      <c r="T2401">
        <f>MAX(T2400,R2401)</f>
        <v/>
      </c>
      <c r="U2401">
        <f>R2401/T2401-1</f>
        <v/>
      </c>
      <c r="V2401" t="n">
        <v>6.19547210113966</v>
      </c>
      <c r="W2401" s="5">
        <f>R2401-V2401</f>
        <v/>
      </c>
    </row>
    <row r="2402">
      <c r="A2402" s="3" t="n">
        <v>41974</v>
      </c>
      <c r="B2402">
        <f>Prices!B2402</f>
        <v/>
      </c>
      <c r="C2402">
        <f>Prices!C2402</f>
        <v/>
      </c>
      <c r="D2402">
        <f>Prices!D2402</f>
        <v/>
      </c>
      <c r="E2402">
        <f>Prices!E2402</f>
        <v/>
      </c>
      <c r="F2402">
        <f>Prices!F2402</f>
        <v/>
      </c>
      <c r="G2402">
        <f>IF(AND(2400&gt;=16,TEXT(A2402,"yyyy-mm")&lt;&gt;TEXT(A2403,"yyyy-mm")),1,0)</f>
        <v/>
      </c>
      <c r="H2402">
        <f>IF(OR(H2401=1,G2402=1),1,0)</f>
        <v/>
      </c>
      <c r="I2402">
        <f>IF(H2401=0,1,SUMPRODUCT(J2401:N2401,B2402:F2402)+O2401*(1+0.00023125256064071564))</f>
        <v/>
      </c>
      <c r="J2402">
        <f>IF(G2402=1,0.2*R2402/B2402,J2401)</f>
        <v/>
      </c>
      <c r="K2402">
        <f>IF(G2402=1,0.2*R2402/C2402,K2401)</f>
        <v/>
      </c>
      <c r="L2402">
        <f>IF(G2402=1,0.2*R2402/D2402,L2401)</f>
        <v/>
      </c>
      <c r="M2402">
        <f>IF(G2402=1,0.2*R2402/E2402,M2401)</f>
        <v/>
      </c>
      <c r="N2402">
        <f>IF(G2402=1,0.2*R2402/F2402,N2401)</f>
        <v/>
      </c>
      <c r="O2402">
        <f>IF(G2402=1,R2402*(1-1.0),IF(H2401=0,1,O2401*(1+0.00023125256064071564)))</f>
        <v/>
      </c>
      <c r="P2402">
        <f>IF(G2402=1,IF(H2401=0,1,ABS(0.2-J2401*B2402/I2402)+ABS(0.2-K2401*C2402/I2402)+ABS(0.2-L2401*D2402/I2402)+ABS(0.2-M2401*E2402/I2402)+ABS(0.2-N2401*F2402/I2402)),0)</f>
        <v/>
      </c>
      <c r="Q2402">
        <f>P2402*0.0015</f>
        <v/>
      </c>
      <c r="R2402">
        <f>I2402*(1-Q2402)</f>
        <v/>
      </c>
      <c r="S2402">
        <f>R2402/R2401-1</f>
        <v/>
      </c>
      <c r="T2402">
        <f>MAX(T2401,R2402)</f>
        <v/>
      </c>
      <c r="U2402">
        <f>R2402/T2402-1</f>
        <v/>
      </c>
      <c r="V2402" t="n">
        <v>6.200986434435467</v>
      </c>
      <c r="W2402" s="5">
        <f>R2402-V2402</f>
        <v/>
      </c>
    </row>
    <row r="2403">
      <c r="A2403" s="3" t="n">
        <v>41975</v>
      </c>
      <c r="B2403">
        <f>Prices!B2403</f>
        <v/>
      </c>
      <c r="C2403">
        <f>Prices!C2403</f>
        <v/>
      </c>
      <c r="D2403">
        <f>Prices!D2403</f>
        <v/>
      </c>
      <c r="E2403">
        <f>Prices!E2403</f>
        <v/>
      </c>
      <c r="F2403">
        <f>Prices!F2403</f>
        <v/>
      </c>
      <c r="G2403">
        <f>IF(AND(2401&gt;=16,TEXT(A2403,"yyyy-mm")&lt;&gt;TEXT(A2404,"yyyy-mm")),1,0)</f>
        <v/>
      </c>
      <c r="H2403">
        <f>IF(OR(H2402=1,G2403=1),1,0)</f>
        <v/>
      </c>
      <c r="I2403">
        <f>IF(H2402=0,1,SUMPRODUCT(J2402:N2402,B2403:F2403)+O2402*(1+0.00023125256064071564))</f>
        <v/>
      </c>
      <c r="J2403">
        <f>IF(G2403=1,0.2*R2403/B2403,J2402)</f>
        <v/>
      </c>
      <c r="K2403">
        <f>IF(G2403=1,0.2*R2403/C2403,K2402)</f>
        <v/>
      </c>
      <c r="L2403">
        <f>IF(G2403=1,0.2*R2403/D2403,L2402)</f>
        <v/>
      </c>
      <c r="M2403">
        <f>IF(G2403=1,0.2*R2403/E2403,M2402)</f>
        <v/>
      </c>
      <c r="N2403">
        <f>IF(G2403=1,0.2*R2403/F2403,N2402)</f>
        <v/>
      </c>
      <c r="O2403">
        <f>IF(G2403=1,R2403*(1-1.0),IF(H2402=0,1,O2402*(1+0.00023125256064071564)))</f>
        <v/>
      </c>
      <c r="P2403">
        <f>IF(G2403=1,IF(H2402=0,1,ABS(0.2-J2402*B2403/I2403)+ABS(0.2-K2402*C2403/I2403)+ABS(0.2-L2402*D2403/I2403)+ABS(0.2-M2402*E2403/I2403)+ABS(0.2-N2402*F2403/I2403)),0)</f>
        <v/>
      </c>
      <c r="Q2403">
        <f>P2403*0.0015</f>
        <v/>
      </c>
      <c r="R2403">
        <f>I2403*(1-Q2403)</f>
        <v/>
      </c>
      <c r="S2403">
        <f>R2403/R2402-1</f>
        <v/>
      </c>
      <c r="T2403">
        <f>MAX(T2402,R2403)</f>
        <v/>
      </c>
      <c r="U2403">
        <f>R2403/T2403-1</f>
        <v/>
      </c>
      <c r="V2403" t="n">
        <v>6.221743993174558</v>
      </c>
      <c r="W2403" s="5">
        <f>R2403-V2403</f>
        <v/>
      </c>
    </row>
    <row r="2404">
      <c r="A2404" s="3" t="n">
        <v>41976</v>
      </c>
      <c r="B2404">
        <f>Prices!B2404</f>
        <v/>
      </c>
      <c r="C2404">
        <f>Prices!C2404</f>
        <v/>
      </c>
      <c r="D2404">
        <f>Prices!D2404</f>
        <v/>
      </c>
      <c r="E2404">
        <f>Prices!E2404</f>
        <v/>
      </c>
      <c r="F2404">
        <f>Prices!F2404</f>
        <v/>
      </c>
      <c r="G2404">
        <f>IF(AND(2402&gt;=16,TEXT(A2404,"yyyy-mm")&lt;&gt;TEXT(A2405,"yyyy-mm")),1,0)</f>
        <v/>
      </c>
      <c r="H2404">
        <f>IF(OR(H2403=1,G2404=1),1,0)</f>
        <v/>
      </c>
      <c r="I2404">
        <f>IF(H2403=0,1,SUMPRODUCT(J2403:N2403,B2404:F2404)+O2403*(1+0.00023125256064071564))</f>
        <v/>
      </c>
      <c r="J2404">
        <f>IF(G2404=1,0.2*R2404/B2404,J2403)</f>
        <v/>
      </c>
      <c r="K2404">
        <f>IF(G2404=1,0.2*R2404/C2404,K2403)</f>
        <v/>
      </c>
      <c r="L2404">
        <f>IF(G2404=1,0.2*R2404/D2404,L2403)</f>
        <v/>
      </c>
      <c r="M2404">
        <f>IF(G2404=1,0.2*R2404/E2404,M2403)</f>
        <v/>
      </c>
      <c r="N2404">
        <f>IF(G2404=1,0.2*R2404/F2404,N2403)</f>
        <v/>
      </c>
      <c r="O2404">
        <f>IF(G2404=1,R2404*(1-1.0),IF(H2403=0,1,O2403*(1+0.00023125256064071564)))</f>
        <v/>
      </c>
      <c r="P2404">
        <f>IF(G2404=1,IF(H2403=0,1,ABS(0.2-J2403*B2404/I2404)+ABS(0.2-K2403*C2404/I2404)+ABS(0.2-L2403*D2404/I2404)+ABS(0.2-M2403*E2404/I2404)+ABS(0.2-N2403*F2404/I2404)),0)</f>
        <v/>
      </c>
      <c r="Q2404">
        <f>P2404*0.0015</f>
        <v/>
      </c>
      <c r="R2404">
        <f>I2404*(1-Q2404)</f>
        <v/>
      </c>
      <c r="S2404">
        <f>R2404/R2403-1</f>
        <v/>
      </c>
      <c r="T2404">
        <f>MAX(T2403,R2404)</f>
        <v/>
      </c>
      <c r="U2404">
        <f>R2404/T2404-1</f>
        <v/>
      </c>
      <c r="V2404" t="n">
        <v>6.293863568284125</v>
      </c>
      <c r="W2404" s="5">
        <f>R2404-V2404</f>
        <v/>
      </c>
    </row>
    <row r="2405">
      <c r="A2405" s="3" t="n">
        <v>41977</v>
      </c>
      <c r="B2405">
        <f>Prices!B2405</f>
        <v/>
      </c>
      <c r="C2405">
        <f>Prices!C2405</f>
        <v/>
      </c>
      <c r="D2405">
        <f>Prices!D2405</f>
        <v/>
      </c>
      <c r="E2405">
        <f>Prices!E2405</f>
        <v/>
      </c>
      <c r="F2405">
        <f>Prices!F2405</f>
        <v/>
      </c>
      <c r="G2405">
        <f>IF(AND(2403&gt;=16,TEXT(A2405,"yyyy-mm")&lt;&gt;TEXT(A2406,"yyyy-mm")),1,0)</f>
        <v/>
      </c>
      <c r="H2405">
        <f>IF(OR(H2404=1,G2405=1),1,0)</f>
        <v/>
      </c>
      <c r="I2405">
        <f>IF(H2404=0,1,SUMPRODUCT(J2404:N2404,B2405:F2405)+O2404*(1+0.00023125256064071564))</f>
        <v/>
      </c>
      <c r="J2405">
        <f>IF(G2405=1,0.2*R2405/B2405,J2404)</f>
        <v/>
      </c>
      <c r="K2405">
        <f>IF(G2405=1,0.2*R2405/C2405,K2404)</f>
        <v/>
      </c>
      <c r="L2405">
        <f>IF(G2405=1,0.2*R2405/D2405,L2404)</f>
        <v/>
      </c>
      <c r="M2405">
        <f>IF(G2405=1,0.2*R2405/E2405,M2404)</f>
        <v/>
      </c>
      <c r="N2405">
        <f>IF(G2405=1,0.2*R2405/F2405,N2404)</f>
        <v/>
      </c>
      <c r="O2405">
        <f>IF(G2405=1,R2405*(1-1.0),IF(H2404=0,1,O2404*(1+0.00023125256064071564)))</f>
        <v/>
      </c>
      <c r="P2405">
        <f>IF(G2405=1,IF(H2404=0,1,ABS(0.2-J2404*B2405/I2405)+ABS(0.2-K2404*C2405/I2405)+ABS(0.2-L2404*D2405/I2405)+ABS(0.2-M2404*E2405/I2405)+ABS(0.2-N2404*F2405/I2405)),0)</f>
        <v/>
      </c>
      <c r="Q2405">
        <f>P2405*0.0015</f>
        <v/>
      </c>
      <c r="R2405">
        <f>I2405*(1-Q2405)</f>
        <v/>
      </c>
      <c r="S2405">
        <f>R2405/R2404-1</f>
        <v/>
      </c>
      <c r="T2405">
        <f>MAX(T2404,R2405)</f>
        <v/>
      </c>
      <c r="U2405">
        <f>R2405/T2405-1</f>
        <v/>
      </c>
      <c r="V2405" t="n">
        <v>6.320999149003645</v>
      </c>
      <c r="W2405" s="5">
        <f>R2405-V2405</f>
        <v/>
      </c>
    </row>
    <row r="2406">
      <c r="A2406" s="3" t="n">
        <v>41978</v>
      </c>
      <c r="B2406">
        <f>Prices!B2406</f>
        <v/>
      </c>
      <c r="C2406">
        <f>Prices!C2406</f>
        <v/>
      </c>
      <c r="D2406">
        <f>Prices!D2406</f>
        <v/>
      </c>
      <c r="E2406">
        <f>Prices!E2406</f>
        <v/>
      </c>
      <c r="F2406">
        <f>Prices!F2406</f>
        <v/>
      </c>
      <c r="G2406">
        <f>IF(AND(2404&gt;=16,TEXT(A2406,"yyyy-mm")&lt;&gt;TEXT(A2407,"yyyy-mm")),1,0)</f>
        <v/>
      </c>
      <c r="H2406">
        <f>IF(OR(H2405=1,G2406=1),1,0)</f>
        <v/>
      </c>
      <c r="I2406">
        <f>IF(H2405=0,1,SUMPRODUCT(J2405:N2405,B2406:F2406)+O2405*(1+0.00023125256064071564))</f>
        <v/>
      </c>
      <c r="J2406">
        <f>IF(G2406=1,0.2*R2406/B2406,J2405)</f>
        <v/>
      </c>
      <c r="K2406">
        <f>IF(G2406=1,0.2*R2406/C2406,K2405)</f>
        <v/>
      </c>
      <c r="L2406">
        <f>IF(G2406=1,0.2*R2406/D2406,L2405)</f>
        <v/>
      </c>
      <c r="M2406">
        <f>IF(G2406=1,0.2*R2406/E2406,M2405)</f>
        <v/>
      </c>
      <c r="N2406">
        <f>IF(G2406=1,0.2*R2406/F2406,N2405)</f>
        <v/>
      </c>
      <c r="O2406">
        <f>IF(G2406=1,R2406*(1-1.0),IF(H2405=0,1,O2405*(1+0.00023125256064071564)))</f>
        <v/>
      </c>
      <c r="P2406">
        <f>IF(G2406=1,IF(H2405=0,1,ABS(0.2-J2405*B2406/I2406)+ABS(0.2-K2405*C2406/I2406)+ABS(0.2-L2405*D2406/I2406)+ABS(0.2-M2405*E2406/I2406)+ABS(0.2-N2405*F2406/I2406)),0)</f>
        <v/>
      </c>
      <c r="Q2406">
        <f>P2406*0.0015</f>
        <v/>
      </c>
      <c r="R2406">
        <f>I2406*(1-Q2406)</f>
        <v/>
      </c>
      <c r="S2406">
        <f>R2406/R2405-1</f>
        <v/>
      </c>
      <c r="T2406">
        <f>MAX(T2405,R2406)</f>
        <v/>
      </c>
      <c r="U2406">
        <f>R2406/T2406-1</f>
        <v/>
      </c>
      <c r="V2406" t="n">
        <v>6.301260277076394</v>
      </c>
      <c r="W2406" s="5">
        <f>R2406-V2406</f>
        <v/>
      </c>
    </row>
    <row r="2407">
      <c r="A2407" s="3" t="n">
        <v>41981</v>
      </c>
      <c r="B2407">
        <f>Prices!B2407</f>
        <v/>
      </c>
      <c r="C2407">
        <f>Prices!C2407</f>
        <v/>
      </c>
      <c r="D2407">
        <f>Prices!D2407</f>
        <v/>
      </c>
      <c r="E2407">
        <f>Prices!E2407</f>
        <v/>
      </c>
      <c r="F2407">
        <f>Prices!F2407</f>
        <v/>
      </c>
      <c r="G2407">
        <f>IF(AND(2405&gt;=16,TEXT(A2407,"yyyy-mm")&lt;&gt;TEXT(A2408,"yyyy-mm")),1,0)</f>
        <v/>
      </c>
      <c r="H2407">
        <f>IF(OR(H2406=1,G2407=1),1,0)</f>
        <v/>
      </c>
      <c r="I2407">
        <f>IF(H2406=0,1,SUMPRODUCT(J2406:N2406,B2407:F2407)+O2406*(1+0.00023125256064071564))</f>
        <v/>
      </c>
      <c r="J2407">
        <f>IF(G2407=1,0.2*R2407/B2407,J2406)</f>
        <v/>
      </c>
      <c r="K2407">
        <f>IF(G2407=1,0.2*R2407/C2407,K2406)</f>
        <v/>
      </c>
      <c r="L2407">
        <f>IF(G2407=1,0.2*R2407/D2407,L2406)</f>
        <v/>
      </c>
      <c r="M2407">
        <f>IF(G2407=1,0.2*R2407/E2407,M2406)</f>
        <v/>
      </c>
      <c r="N2407">
        <f>IF(G2407=1,0.2*R2407/F2407,N2406)</f>
        <v/>
      </c>
      <c r="O2407">
        <f>IF(G2407=1,R2407*(1-1.0),IF(H2406=0,1,O2406*(1+0.00023125256064071564)))</f>
        <v/>
      </c>
      <c r="P2407">
        <f>IF(G2407=1,IF(H2406=0,1,ABS(0.2-J2406*B2407/I2407)+ABS(0.2-K2406*C2407/I2407)+ABS(0.2-L2406*D2407/I2407)+ABS(0.2-M2406*E2407/I2407)+ABS(0.2-N2406*F2407/I2407)),0)</f>
        <v/>
      </c>
      <c r="Q2407">
        <f>P2407*0.0015</f>
        <v/>
      </c>
      <c r="R2407">
        <f>I2407*(1-Q2407)</f>
        <v/>
      </c>
      <c r="S2407">
        <f>R2407/R2406-1</f>
        <v/>
      </c>
      <c r="T2407">
        <f>MAX(T2406,R2407)</f>
        <v/>
      </c>
      <c r="U2407">
        <f>R2407/T2407-1</f>
        <v/>
      </c>
      <c r="V2407" t="n">
        <v>6.233107703993031</v>
      </c>
      <c r="W2407" s="5">
        <f>R2407-V2407</f>
        <v/>
      </c>
    </row>
    <row r="2408">
      <c r="A2408" s="3" t="n">
        <v>41982</v>
      </c>
      <c r="B2408">
        <f>Prices!B2408</f>
        <v/>
      </c>
      <c r="C2408">
        <f>Prices!C2408</f>
        <v/>
      </c>
      <c r="D2408">
        <f>Prices!D2408</f>
        <v/>
      </c>
      <c r="E2408">
        <f>Prices!E2408</f>
        <v/>
      </c>
      <c r="F2408">
        <f>Prices!F2408</f>
        <v/>
      </c>
      <c r="G2408">
        <f>IF(AND(2406&gt;=16,TEXT(A2408,"yyyy-mm")&lt;&gt;TEXT(A2409,"yyyy-mm")),1,0)</f>
        <v/>
      </c>
      <c r="H2408">
        <f>IF(OR(H2407=1,G2408=1),1,0)</f>
        <v/>
      </c>
      <c r="I2408">
        <f>IF(H2407=0,1,SUMPRODUCT(J2407:N2407,B2408:F2408)+O2407*(1+0.00023125256064071564))</f>
        <v/>
      </c>
      <c r="J2408">
        <f>IF(G2408=1,0.2*R2408/B2408,J2407)</f>
        <v/>
      </c>
      <c r="K2408">
        <f>IF(G2408=1,0.2*R2408/C2408,K2407)</f>
        <v/>
      </c>
      <c r="L2408">
        <f>IF(G2408=1,0.2*R2408/D2408,L2407)</f>
        <v/>
      </c>
      <c r="M2408">
        <f>IF(G2408=1,0.2*R2408/E2408,M2407)</f>
        <v/>
      </c>
      <c r="N2408">
        <f>IF(G2408=1,0.2*R2408/F2408,N2407)</f>
        <v/>
      </c>
      <c r="O2408">
        <f>IF(G2408=1,R2408*(1-1.0),IF(H2407=0,1,O2407*(1+0.00023125256064071564)))</f>
        <v/>
      </c>
      <c r="P2408">
        <f>IF(G2408=1,IF(H2407=0,1,ABS(0.2-J2407*B2408/I2408)+ABS(0.2-K2407*C2408/I2408)+ABS(0.2-L2407*D2408/I2408)+ABS(0.2-M2407*E2408/I2408)+ABS(0.2-N2407*F2408/I2408)),0)</f>
        <v/>
      </c>
      <c r="Q2408">
        <f>P2408*0.0015</f>
        <v/>
      </c>
      <c r="R2408">
        <f>I2408*(1-Q2408)</f>
        <v/>
      </c>
      <c r="S2408">
        <f>R2408/R2407-1</f>
        <v/>
      </c>
      <c r="T2408">
        <f>MAX(T2407,R2408)</f>
        <v/>
      </c>
      <c r="U2408">
        <f>R2408/T2408-1</f>
        <v/>
      </c>
      <c r="V2408" t="n">
        <v>6.150179482847435</v>
      </c>
      <c r="W2408" s="5">
        <f>R2408-V2408</f>
        <v/>
      </c>
    </row>
    <row r="2409">
      <c r="A2409" s="3" t="n">
        <v>41983</v>
      </c>
      <c r="B2409">
        <f>Prices!B2409</f>
        <v/>
      </c>
      <c r="C2409">
        <f>Prices!C2409</f>
        <v/>
      </c>
      <c r="D2409">
        <f>Prices!D2409</f>
        <v/>
      </c>
      <c r="E2409">
        <f>Prices!E2409</f>
        <v/>
      </c>
      <c r="F2409">
        <f>Prices!F2409</f>
        <v/>
      </c>
      <c r="G2409">
        <f>IF(AND(2407&gt;=16,TEXT(A2409,"yyyy-mm")&lt;&gt;TEXT(A2410,"yyyy-mm")),1,0)</f>
        <v/>
      </c>
      <c r="H2409">
        <f>IF(OR(H2408=1,G2409=1),1,0)</f>
        <v/>
      </c>
      <c r="I2409">
        <f>IF(H2408=0,1,SUMPRODUCT(J2408:N2408,B2409:F2409)+O2408*(1+0.00023125256064071564))</f>
        <v/>
      </c>
      <c r="J2409">
        <f>IF(G2409=1,0.2*R2409/B2409,J2408)</f>
        <v/>
      </c>
      <c r="K2409">
        <f>IF(G2409=1,0.2*R2409/C2409,K2408)</f>
        <v/>
      </c>
      <c r="L2409">
        <f>IF(G2409=1,0.2*R2409/D2409,L2408)</f>
        <v/>
      </c>
      <c r="M2409">
        <f>IF(G2409=1,0.2*R2409/E2409,M2408)</f>
        <v/>
      </c>
      <c r="N2409">
        <f>IF(G2409=1,0.2*R2409/F2409,N2408)</f>
        <v/>
      </c>
      <c r="O2409">
        <f>IF(G2409=1,R2409*(1-1.0),IF(H2408=0,1,O2408*(1+0.00023125256064071564)))</f>
        <v/>
      </c>
      <c r="P2409">
        <f>IF(G2409=1,IF(H2408=0,1,ABS(0.2-J2408*B2409/I2409)+ABS(0.2-K2408*C2409/I2409)+ABS(0.2-L2408*D2409/I2409)+ABS(0.2-M2408*E2409/I2409)+ABS(0.2-N2408*F2409/I2409)),0)</f>
        <v/>
      </c>
      <c r="Q2409">
        <f>P2409*0.0015</f>
        <v/>
      </c>
      <c r="R2409">
        <f>I2409*(1-Q2409)</f>
        <v/>
      </c>
      <c r="S2409">
        <f>R2409/R2408-1</f>
        <v/>
      </c>
      <c r="T2409">
        <f>MAX(T2408,R2409)</f>
        <v/>
      </c>
      <c r="U2409">
        <f>R2409/T2409-1</f>
        <v/>
      </c>
      <c r="V2409" t="n">
        <v>6.200943978342297</v>
      </c>
      <c r="W2409" s="5">
        <f>R2409-V2409</f>
        <v/>
      </c>
    </row>
    <row r="2410">
      <c r="A2410" s="3" t="n">
        <v>41984</v>
      </c>
      <c r="B2410">
        <f>Prices!B2410</f>
        <v/>
      </c>
      <c r="C2410">
        <f>Prices!C2410</f>
        <v/>
      </c>
      <c r="D2410">
        <f>Prices!D2410</f>
        <v/>
      </c>
      <c r="E2410">
        <f>Prices!E2410</f>
        <v/>
      </c>
      <c r="F2410">
        <f>Prices!F2410</f>
        <v/>
      </c>
      <c r="G2410">
        <f>IF(AND(2408&gt;=16,TEXT(A2410,"yyyy-mm")&lt;&gt;TEXT(A2411,"yyyy-mm")),1,0)</f>
        <v/>
      </c>
      <c r="H2410">
        <f>IF(OR(H2409=1,G2410=1),1,0)</f>
        <v/>
      </c>
      <c r="I2410">
        <f>IF(H2409=0,1,SUMPRODUCT(J2409:N2409,B2410:F2410)+O2409*(1+0.00023125256064071564))</f>
        <v/>
      </c>
      <c r="J2410">
        <f>IF(G2410=1,0.2*R2410/B2410,J2409)</f>
        <v/>
      </c>
      <c r="K2410">
        <f>IF(G2410=1,0.2*R2410/C2410,K2409)</f>
        <v/>
      </c>
      <c r="L2410">
        <f>IF(G2410=1,0.2*R2410/D2410,L2409)</f>
        <v/>
      </c>
      <c r="M2410">
        <f>IF(G2410=1,0.2*R2410/E2410,M2409)</f>
        <v/>
      </c>
      <c r="N2410">
        <f>IF(G2410=1,0.2*R2410/F2410,N2409)</f>
        <v/>
      </c>
      <c r="O2410">
        <f>IF(G2410=1,R2410*(1-1.0),IF(H2409=0,1,O2409*(1+0.00023125256064071564)))</f>
        <v/>
      </c>
      <c r="P2410">
        <f>IF(G2410=1,IF(H2409=0,1,ABS(0.2-J2409*B2410/I2410)+ABS(0.2-K2409*C2410/I2410)+ABS(0.2-L2409*D2410/I2410)+ABS(0.2-M2409*E2410/I2410)+ABS(0.2-N2409*F2410/I2410)),0)</f>
        <v/>
      </c>
      <c r="Q2410">
        <f>P2410*0.0015</f>
        <v/>
      </c>
      <c r="R2410">
        <f>I2410*(1-Q2410)</f>
        <v/>
      </c>
      <c r="S2410">
        <f>R2410/R2409-1</f>
        <v/>
      </c>
      <c r="T2410">
        <f>MAX(T2409,R2410)</f>
        <v/>
      </c>
      <c r="U2410">
        <f>R2410/T2410-1</f>
        <v/>
      </c>
      <c r="V2410" t="n">
        <v>6.152614730667499</v>
      </c>
      <c r="W2410" s="5">
        <f>R2410-V2410</f>
        <v/>
      </c>
    </row>
    <row r="2411">
      <c r="A2411" s="3" t="n">
        <v>41985</v>
      </c>
      <c r="B2411">
        <f>Prices!B2411</f>
        <v/>
      </c>
      <c r="C2411">
        <f>Prices!C2411</f>
        <v/>
      </c>
      <c r="D2411">
        <f>Prices!D2411</f>
        <v/>
      </c>
      <c r="E2411">
        <f>Prices!E2411</f>
        <v/>
      </c>
      <c r="F2411">
        <f>Prices!F2411</f>
        <v/>
      </c>
      <c r="G2411">
        <f>IF(AND(2409&gt;=16,TEXT(A2411,"yyyy-mm")&lt;&gt;TEXT(A2412,"yyyy-mm")),1,0)</f>
        <v/>
      </c>
      <c r="H2411">
        <f>IF(OR(H2410=1,G2411=1),1,0)</f>
        <v/>
      </c>
      <c r="I2411">
        <f>IF(H2410=0,1,SUMPRODUCT(J2410:N2410,B2411:F2411)+O2410*(1+0.00023125256064071564))</f>
        <v/>
      </c>
      <c r="J2411">
        <f>IF(G2411=1,0.2*R2411/B2411,J2410)</f>
        <v/>
      </c>
      <c r="K2411">
        <f>IF(G2411=1,0.2*R2411/C2411,K2410)</f>
        <v/>
      </c>
      <c r="L2411">
        <f>IF(G2411=1,0.2*R2411/D2411,L2410)</f>
        <v/>
      </c>
      <c r="M2411">
        <f>IF(G2411=1,0.2*R2411/E2411,M2410)</f>
        <v/>
      </c>
      <c r="N2411">
        <f>IF(G2411=1,0.2*R2411/F2411,N2410)</f>
        <v/>
      </c>
      <c r="O2411">
        <f>IF(G2411=1,R2411*(1-1.0),IF(H2410=0,1,O2410*(1+0.00023125256064071564)))</f>
        <v/>
      </c>
      <c r="P2411">
        <f>IF(G2411=1,IF(H2410=0,1,ABS(0.2-J2410*B2411/I2411)+ABS(0.2-K2410*C2411/I2411)+ABS(0.2-L2410*D2411/I2411)+ABS(0.2-M2410*E2411/I2411)+ABS(0.2-N2410*F2411/I2411)),0)</f>
        <v/>
      </c>
      <c r="Q2411">
        <f>P2411*0.0015</f>
        <v/>
      </c>
      <c r="R2411">
        <f>I2411*(1-Q2411)</f>
        <v/>
      </c>
      <c r="S2411">
        <f>R2411/R2410-1</f>
        <v/>
      </c>
      <c r="T2411">
        <f>MAX(T2410,R2411)</f>
        <v/>
      </c>
      <c r="U2411">
        <f>R2411/T2411-1</f>
        <v/>
      </c>
      <c r="V2411" t="n">
        <v>6.090865137060385</v>
      </c>
      <c r="W2411" s="5">
        <f>R2411-V2411</f>
        <v/>
      </c>
    </row>
    <row r="2412">
      <c r="A2412" s="3" t="n">
        <v>41988</v>
      </c>
      <c r="B2412">
        <f>Prices!B2412</f>
        <v/>
      </c>
      <c r="C2412">
        <f>Prices!C2412</f>
        <v/>
      </c>
      <c r="D2412">
        <f>Prices!D2412</f>
        <v/>
      </c>
      <c r="E2412">
        <f>Prices!E2412</f>
        <v/>
      </c>
      <c r="F2412">
        <f>Prices!F2412</f>
        <v/>
      </c>
      <c r="G2412">
        <f>IF(AND(2410&gt;=16,TEXT(A2412,"yyyy-mm")&lt;&gt;TEXT(A2413,"yyyy-mm")),1,0)</f>
        <v/>
      </c>
      <c r="H2412">
        <f>IF(OR(H2411=1,G2412=1),1,0)</f>
        <v/>
      </c>
      <c r="I2412">
        <f>IF(H2411=0,1,SUMPRODUCT(J2411:N2411,B2412:F2412)+O2411*(1+0.00023125256064071564))</f>
        <v/>
      </c>
      <c r="J2412">
        <f>IF(G2412=1,0.2*R2412/B2412,J2411)</f>
        <v/>
      </c>
      <c r="K2412">
        <f>IF(G2412=1,0.2*R2412/C2412,K2411)</f>
        <v/>
      </c>
      <c r="L2412">
        <f>IF(G2412=1,0.2*R2412/D2412,L2411)</f>
        <v/>
      </c>
      <c r="M2412">
        <f>IF(G2412=1,0.2*R2412/E2412,M2411)</f>
        <v/>
      </c>
      <c r="N2412">
        <f>IF(G2412=1,0.2*R2412/F2412,N2411)</f>
        <v/>
      </c>
      <c r="O2412">
        <f>IF(G2412=1,R2412*(1-1.0),IF(H2411=0,1,O2411*(1+0.00023125256064071564)))</f>
        <v/>
      </c>
      <c r="P2412">
        <f>IF(G2412=1,IF(H2411=0,1,ABS(0.2-J2411*B2412/I2412)+ABS(0.2-K2411*C2412/I2412)+ABS(0.2-L2411*D2412/I2412)+ABS(0.2-M2411*E2412/I2412)+ABS(0.2-N2411*F2412/I2412)),0)</f>
        <v/>
      </c>
      <c r="Q2412">
        <f>P2412*0.0015</f>
        <v/>
      </c>
      <c r="R2412">
        <f>I2412*(1-Q2412)</f>
        <v/>
      </c>
      <c r="S2412">
        <f>R2412/R2411-1</f>
        <v/>
      </c>
      <c r="T2412">
        <f>MAX(T2411,R2412)</f>
        <v/>
      </c>
      <c r="U2412">
        <f>R2412/T2412-1</f>
        <v/>
      </c>
      <c r="V2412" t="n">
        <v>6.049320160878334</v>
      </c>
      <c r="W2412" s="5">
        <f>R2412-V2412</f>
        <v/>
      </c>
    </row>
    <row r="2413">
      <c r="A2413" s="3" t="n">
        <v>41989</v>
      </c>
      <c r="B2413">
        <f>Prices!B2413</f>
        <v/>
      </c>
      <c r="C2413">
        <f>Prices!C2413</f>
        <v/>
      </c>
      <c r="D2413">
        <f>Prices!D2413</f>
        <v/>
      </c>
      <c r="E2413">
        <f>Prices!E2413</f>
        <v/>
      </c>
      <c r="F2413">
        <f>Prices!F2413</f>
        <v/>
      </c>
      <c r="G2413">
        <f>IF(AND(2411&gt;=16,TEXT(A2413,"yyyy-mm")&lt;&gt;TEXT(A2414,"yyyy-mm")),1,0)</f>
        <v/>
      </c>
      <c r="H2413">
        <f>IF(OR(H2412=1,G2413=1),1,0)</f>
        <v/>
      </c>
      <c r="I2413">
        <f>IF(H2412=0,1,SUMPRODUCT(J2412:N2412,B2413:F2413)+O2412*(1+0.00023125256064071564))</f>
        <v/>
      </c>
      <c r="J2413">
        <f>IF(G2413=1,0.2*R2413/B2413,J2412)</f>
        <v/>
      </c>
      <c r="K2413">
        <f>IF(G2413=1,0.2*R2413/C2413,K2412)</f>
        <v/>
      </c>
      <c r="L2413">
        <f>IF(G2413=1,0.2*R2413/D2413,L2412)</f>
        <v/>
      </c>
      <c r="M2413">
        <f>IF(G2413=1,0.2*R2413/E2413,M2412)</f>
        <v/>
      </c>
      <c r="N2413">
        <f>IF(G2413=1,0.2*R2413/F2413,N2412)</f>
        <v/>
      </c>
      <c r="O2413">
        <f>IF(G2413=1,R2413*(1-1.0),IF(H2412=0,1,O2412*(1+0.00023125256064071564)))</f>
        <v/>
      </c>
      <c r="P2413">
        <f>IF(G2413=1,IF(H2412=0,1,ABS(0.2-J2412*B2413/I2413)+ABS(0.2-K2412*C2413/I2413)+ABS(0.2-L2412*D2413/I2413)+ABS(0.2-M2412*E2413/I2413)+ABS(0.2-N2412*F2413/I2413)),0)</f>
        <v/>
      </c>
      <c r="Q2413">
        <f>P2413*0.0015</f>
        <v/>
      </c>
      <c r="R2413">
        <f>I2413*(1-Q2413)</f>
        <v/>
      </c>
      <c r="S2413">
        <f>R2413/R2412-1</f>
        <v/>
      </c>
      <c r="T2413">
        <f>MAX(T2412,R2413)</f>
        <v/>
      </c>
      <c r="U2413">
        <f>R2413/T2413-1</f>
        <v/>
      </c>
      <c r="V2413" t="n">
        <v>5.892560754515257</v>
      </c>
      <c r="W2413" s="5">
        <f>R2413-V2413</f>
        <v/>
      </c>
    </row>
    <row r="2414">
      <c r="A2414" s="3" t="n">
        <v>41990</v>
      </c>
      <c r="B2414">
        <f>Prices!B2414</f>
        <v/>
      </c>
      <c r="C2414">
        <f>Prices!C2414</f>
        <v/>
      </c>
      <c r="D2414">
        <f>Prices!D2414</f>
        <v/>
      </c>
      <c r="E2414">
        <f>Prices!E2414</f>
        <v/>
      </c>
      <c r="F2414">
        <f>Prices!F2414</f>
        <v/>
      </c>
      <c r="G2414">
        <f>IF(AND(2412&gt;=16,TEXT(A2414,"yyyy-mm")&lt;&gt;TEXT(A2415,"yyyy-mm")),1,0)</f>
        <v/>
      </c>
      <c r="H2414">
        <f>IF(OR(H2413=1,G2414=1),1,0)</f>
        <v/>
      </c>
      <c r="I2414">
        <f>IF(H2413=0,1,SUMPRODUCT(J2413:N2413,B2414:F2414)+O2413*(1+0.00023125256064071564))</f>
        <v/>
      </c>
      <c r="J2414">
        <f>IF(G2414=1,0.2*R2414/B2414,J2413)</f>
        <v/>
      </c>
      <c r="K2414">
        <f>IF(G2414=1,0.2*R2414/C2414,K2413)</f>
        <v/>
      </c>
      <c r="L2414">
        <f>IF(G2414=1,0.2*R2414/D2414,L2413)</f>
        <v/>
      </c>
      <c r="M2414">
        <f>IF(G2414=1,0.2*R2414/E2414,M2413)</f>
        <v/>
      </c>
      <c r="N2414">
        <f>IF(G2414=1,0.2*R2414/F2414,N2413)</f>
        <v/>
      </c>
      <c r="O2414">
        <f>IF(G2414=1,R2414*(1-1.0),IF(H2413=0,1,O2413*(1+0.00023125256064071564)))</f>
        <v/>
      </c>
      <c r="P2414">
        <f>IF(G2414=1,IF(H2413=0,1,ABS(0.2-J2413*B2414/I2414)+ABS(0.2-K2413*C2414/I2414)+ABS(0.2-L2413*D2414/I2414)+ABS(0.2-M2413*E2414/I2414)+ABS(0.2-N2413*F2414/I2414)),0)</f>
        <v/>
      </c>
      <c r="Q2414">
        <f>P2414*0.0015</f>
        <v/>
      </c>
      <c r="R2414">
        <f>I2414*(1-Q2414)</f>
        <v/>
      </c>
      <c r="S2414">
        <f>R2414/R2413-1</f>
        <v/>
      </c>
      <c r="T2414">
        <f>MAX(T2413,R2414)</f>
        <v/>
      </c>
      <c r="U2414">
        <f>R2414/T2414-1</f>
        <v/>
      </c>
      <c r="V2414" t="n">
        <v>5.833219759081117</v>
      </c>
      <c r="W2414" s="5">
        <f>R2414-V2414</f>
        <v/>
      </c>
    </row>
    <row r="2415">
      <c r="A2415" s="3" t="n">
        <v>41991</v>
      </c>
      <c r="B2415">
        <f>Prices!B2415</f>
        <v/>
      </c>
      <c r="C2415">
        <f>Prices!C2415</f>
        <v/>
      </c>
      <c r="D2415">
        <f>Prices!D2415</f>
        <v/>
      </c>
      <c r="E2415">
        <f>Prices!E2415</f>
        <v/>
      </c>
      <c r="F2415">
        <f>Prices!F2415</f>
        <v/>
      </c>
      <c r="G2415">
        <f>IF(AND(2413&gt;=16,TEXT(A2415,"yyyy-mm")&lt;&gt;TEXT(A2416,"yyyy-mm")),1,0)</f>
        <v/>
      </c>
      <c r="H2415">
        <f>IF(OR(H2414=1,G2415=1),1,0)</f>
        <v/>
      </c>
      <c r="I2415">
        <f>IF(H2414=0,1,SUMPRODUCT(J2414:N2414,B2415:F2415)+O2414*(1+0.00023125256064071564))</f>
        <v/>
      </c>
      <c r="J2415">
        <f>IF(G2415=1,0.2*R2415/B2415,J2414)</f>
        <v/>
      </c>
      <c r="K2415">
        <f>IF(G2415=1,0.2*R2415/C2415,K2414)</f>
        <v/>
      </c>
      <c r="L2415">
        <f>IF(G2415=1,0.2*R2415/D2415,L2414)</f>
        <v/>
      </c>
      <c r="M2415">
        <f>IF(G2415=1,0.2*R2415/E2415,M2414)</f>
        <v/>
      </c>
      <c r="N2415">
        <f>IF(G2415=1,0.2*R2415/F2415,N2414)</f>
        <v/>
      </c>
      <c r="O2415">
        <f>IF(G2415=1,R2415*(1-1.0),IF(H2414=0,1,O2414*(1+0.00023125256064071564)))</f>
        <v/>
      </c>
      <c r="P2415">
        <f>IF(G2415=1,IF(H2414=0,1,ABS(0.2-J2414*B2415/I2415)+ABS(0.2-K2414*C2415/I2415)+ABS(0.2-L2414*D2415/I2415)+ABS(0.2-M2414*E2415/I2415)+ABS(0.2-N2414*F2415/I2415)),0)</f>
        <v/>
      </c>
      <c r="Q2415">
        <f>P2415*0.0015</f>
        <v/>
      </c>
      <c r="R2415">
        <f>I2415*(1-Q2415)</f>
        <v/>
      </c>
      <c r="S2415">
        <f>R2415/R2414-1</f>
        <v/>
      </c>
      <c r="T2415">
        <f>MAX(T2414,R2415)</f>
        <v/>
      </c>
      <c r="U2415">
        <f>R2415/T2415-1</f>
        <v/>
      </c>
      <c r="V2415" t="n">
        <v>6.005481139949004</v>
      </c>
      <c r="W2415" s="5">
        <f>R2415-V2415</f>
        <v/>
      </c>
    </row>
    <row r="2416">
      <c r="A2416" s="3" t="n">
        <v>41992</v>
      </c>
      <c r="B2416">
        <f>Prices!B2416</f>
        <v/>
      </c>
      <c r="C2416">
        <f>Prices!C2416</f>
        <v/>
      </c>
      <c r="D2416">
        <f>Prices!D2416</f>
        <v/>
      </c>
      <c r="E2416">
        <f>Prices!E2416</f>
        <v/>
      </c>
      <c r="F2416">
        <f>Prices!F2416</f>
        <v/>
      </c>
      <c r="G2416">
        <f>IF(AND(2414&gt;=16,TEXT(A2416,"yyyy-mm")&lt;&gt;TEXT(A2417,"yyyy-mm")),1,0)</f>
        <v/>
      </c>
      <c r="H2416">
        <f>IF(OR(H2415=1,G2416=1),1,0)</f>
        <v/>
      </c>
      <c r="I2416">
        <f>IF(H2415=0,1,SUMPRODUCT(J2415:N2415,B2416:F2416)+O2415*(1+0.00023125256064071564))</f>
        <v/>
      </c>
      <c r="J2416">
        <f>IF(G2416=1,0.2*R2416/B2416,J2415)</f>
        <v/>
      </c>
      <c r="K2416">
        <f>IF(G2416=1,0.2*R2416/C2416,K2415)</f>
        <v/>
      </c>
      <c r="L2416">
        <f>IF(G2416=1,0.2*R2416/D2416,L2415)</f>
        <v/>
      </c>
      <c r="M2416">
        <f>IF(G2416=1,0.2*R2416/E2416,M2415)</f>
        <v/>
      </c>
      <c r="N2416">
        <f>IF(G2416=1,0.2*R2416/F2416,N2415)</f>
        <v/>
      </c>
      <c r="O2416">
        <f>IF(G2416=1,R2416*(1-1.0),IF(H2415=0,1,O2415*(1+0.00023125256064071564)))</f>
        <v/>
      </c>
      <c r="P2416">
        <f>IF(G2416=1,IF(H2415=0,1,ABS(0.2-J2415*B2416/I2416)+ABS(0.2-K2415*C2416/I2416)+ABS(0.2-L2415*D2416/I2416)+ABS(0.2-M2415*E2416/I2416)+ABS(0.2-N2415*F2416/I2416)),0)</f>
        <v/>
      </c>
      <c r="Q2416">
        <f>P2416*0.0015</f>
        <v/>
      </c>
      <c r="R2416">
        <f>I2416*(1-Q2416)</f>
        <v/>
      </c>
      <c r="S2416">
        <f>R2416/R2415-1</f>
        <v/>
      </c>
      <c r="T2416">
        <f>MAX(T2415,R2416)</f>
        <v/>
      </c>
      <c r="U2416">
        <f>R2416/T2416-1</f>
        <v/>
      </c>
      <c r="V2416" t="n">
        <v>6.05105137996664</v>
      </c>
      <c r="W2416" s="5">
        <f>R2416-V2416</f>
        <v/>
      </c>
    </row>
    <row r="2417">
      <c r="A2417" s="3" t="n">
        <v>41995</v>
      </c>
      <c r="B2417">
        <f>Prices!B2417</f>
        <v/>
      </c>
      <c r="C2417">
        <f>Prices!C2417</f>
        <v/>
      </c>
      <c r="D2417">
        <f>Prices!D2417</f>
        <v/>
      </c>
      <c r="E2417">
        <f>Prices!E2417</f>
        <v/>
      </c>
      <c r="F2417">
        <f>Prices!F2417</f>
        <v/>
      </c>
      <c r="G2417">
        <f>IF(AND(2415&gt;=16,TEXT(A2417,"yyyy-mm")&lt;&gt;TEXT(A2418,"yyyy-mm")),1,0)</f>
        <v/>
      </c>
      <c r="H2417">
        <f>IF(OR(H2416=1,G2417=1),1,0)</f>
        <v/>
      </c>
      <c r="I2417">
        <f>IF(H2416=0,1,SUMPRODUCT(J2416:N2416,B2417:F2417)+O2416*(1+0.00023125256064071564))</f>
        <v/>
      </c>
      <c r="J2417">
        <f>IF(G2417=1,0.2*R2417/B2417,J2416)</f>
        <v/>
      </c>
      <c r="K2417">
        <f>IF(G2417=1,0.2*R2417/C2417,K2416)</f>
        <v/>
      </c>
      <c r="L2417">
        <f>IF(G2417=1,0.2*R2417/D2417,L2416)</f>
        <v/>
      </c>
      <c r="M2417">
        <f>IF(G2417=1,0.2*R2417/E2417,M2416)</f>
        <v/>
      </c>
      <c r="N2417">
        <f>IF(G2417=1,0.2*R2417/F2417,N2416)</f>
        <v/>
      </c>
      <c r="O2417">
        <f>IF(G2417=1,R2417*(1-1.0),IF(H2416=0,1,O2416*(1+0.00023125256064071564)))</f>
        <v/>
      </c>
      <c r="P2417">
        <f>IF(G2417=1,IF(H2416=0,1,ABS(0.2-J2416*B2417/I2417)+ABS(0.2-K2416*C2417/I2417)+ABS(0.2-L2416*D2417/I2417)+ABS(0.2-M2416*E2417/I2417)+ABS(0.2-N2416*F2417/I2417)),0)</f>
        <v/>
      </c>
      <c r="Q2417">
        <f>P2417*0.0015</f>
        <v/>
      </c>
      <c r="R2417">
        <f>I2417*(1-Q2417)</f>
        <v/>
      </c>
      <c r="S2417">
        <f>R2417/R2416-1</f>
        <v/>
      </c>
      <c r="T2417">
        <f>MAX(T2416,R2417)</f>
        <v/>
      </c>
      <c r="U2417">
        <f>R2417/T2417-1</f>
        <v/>
      </c>
      <c r="V2417" t="n">
        <v>6.09845825897921</v>
      </c>
      <c r="W2417" s="5">
        <f>R2417-V2417</f>
        <v/>
      </c>
    </row>
    <row r="2418">
      <c r="A2418" s="3" t="n">
        <v>41996</v>
      </c>
      <c r="B2418">
        <f>Prices!B2418</f>
        <v/>
      </c>
      <c r="C2418">
        <f>Prices!C2418</f>
        <v/>
      </c>
      <c r="D2418">
        <f>Prices!D2418</f>
        <v/>
      </c>
      <c r="E2418">
        <f>Prices!E2418</f>
        <v/>
      </c>
      <c r="F2418">
        <f>Prices!F2418</f>
        <v/>
      </c>
      <c r="G2418">
        <f>IF(AND(2416&gt;=16,TEXT(A2418,"yyyy-mm")&lt;&gt;TEXT(A2419,"yyyy-mm")),1,0)</f>
        <v/>
      </c>
      <c r="H2418">
        <f>IF(OR(H2417=1,G2418=1),1,0)</f>
        <v/>
      </c>
      <c r="I2418">
        <f>IF(H2417=0,1,SUMPRODUCT(J2417:N2417,B2418:F2418)+O2417*(1+0.00023125256064071564))</f>
        <v/>
      </c>
      <c r="J2418">
        <f>IF(G2418=1,0.2*R2418/B2418,J2417)</f>
        <v/>
      </c>
      <c r="K2418">
        <f>IF(G2418=1,0.2*R2418/C2418,K2417)</f>
        <v/>
      </c>
      <c r="L2418">
        <f>IF(G2418=1,0.2*R2418/D2418,L2417)</f>
        <v/>
      </c>
      <c r="M2418">
        <f>IF(G2418=1,0.2*R2418/E2418,M2417)</f>
        <v/>
      </c>
      <c r="N2418">
        <f>IF(G2418=1,0.2*R2418/F2418,N2417)</f>
        <v/>
      </c>
      <c r="O2418">
        <f>IF(G2418=1,R2418*(1-1.0),IF(H2417=0,1,O2417*(1+0.00023125256064071564)))</f>
        <v/>
      </c>
      <c r="P2418">
        <f>IF(G2418=1,IF(H2417=0,1,ABS(0.2-J2417*B2418/I2418)+ABS(0.2-K2417*C2418/I2418)+ABS(0.2-L2417*D2418/I2418)+ABS(0.2-M2417*E2418/I2418)+ABS(0.2-N2417*F2418/I2418)),0)</f>
        <v/>
      </c>
      <c r="Q2418">
        <f>P2418*0.0015</f>
        <v/>
      </c>
      <c r="R2418">
        <f>I2418*(1-Q2418)</f>
        <v/>
      </c>
      <c r="S2418">
        <f>R2418/R2417-1</f>
        <v/>
      </c>
      <c r="T2418">
        <f>MAX(T2417,R2418)</f>
        <v/>
      </c>
      <c r="U2418">
        <f>R2418/T2418-1</f>
        <v/>
      </c>
      <c r="V2418" t="n">
        <v>6.071129821394329</v>
      </c>
      <c r="W2418" s="5">
        <f>R2418-V2418</f>
        <v/>
      </c>
    </row>
    <row r="2419">
      <c r="A2419" s="3" t="n">
        <v>41997</v>
      </c>
      <c r="B2419">
        <f>Prices!B2419</f>
        <v/>
      </c>
      <c r="C2419">
        <f>Prices!C2419</f>
        <v/>
      </c>
      <c r="D2419">
        <f>Prices!D2419</f>
        <v/>
      </c>
      <c r="E2419">
        <f>Prices!E2419</f>
        <v/>
      </c>
      <c r="F2419">
        <f>Prices!F2419</f>
        <v/>
      </c>
      <c r="G2419">
        <f>IF(AND(2417&gt;=16,TEXT(A2419,"yyyy-mm")&lt;&gt;TEXT(A2420,"yyyy-mm")),1,0)</f>
        <v/>
      </c>
      <c r="H2419">
        <f>IF(OR(H2418=1,G2419=1),1,0)</f>
        <v/>
      </c>
      <c r="I2419">
        <f>IF(H2418=0,1,SUMPRODUCT(J2418:N2418,B2419:F2419)+O2418*(1+0.00023125256064071564))</f>
        <v/>
      </c>
      <c r="J2419">
        <f>IF(G2419=1,0.2*R2419/B2419,J2418)</f>
        <v/>
      </c>
      <c r="K2419">
        <f>IF(G2419=1,0.2*R2419/C2419,K2418)</f>
        <v/>
      </c>
      <c r="L2419">
        <f>IF(G2419=1,0.2*R2419/D2419,L2418)</f>
        <v/>
      </c>
      <c r="M2419">
        <f>IF(G2419=1,0.2*R2419/E2419,M2418)</f>
        <v/>
      </c>
      <c r="N2419">
        <f>IF(G2419=1,0.2*R2419/F2419,N2418)</f>
        <v/>
      </c>
      <c r="O2419">
        <f>IF(G2419=1,R2419*(1-1.0),IF(H2418=0,1,O2418*(1+0.00023125256064071564)))</f>
        <v/>
      </c>
      <c r="P2419">
        <f>IF(G2419=1,IF(H2418=0,1,ABS(0.2-J2418*B2419/I2419)+ABS(0.2-K2418*C2419/I2419)+ABS(0.2-L2418*D2419/I2419)+ABS(0.2-M2418*E2419/I2419)+ABS(0.2-N2418*F2419/I2419)),0)</f>
        <v/>
      </c>
      <c r="Q2419">
        <f>P2419*0.0015</f>
        <v/>
      </c>
      <c r="R2419">
        <f>I2419*(1-Q2419)</f>
        <v/>
      </c>
      <c r="S2419">
        <f>R2419/R2418-1</f>
        <v/>
      </c>
      <c r="T2419">
        <f>MAX(T2418,R2419)</f>
        <v/>
      </c>
      <c r="U2419">
        <f>R2419/T2419-1</f>
        <v/>
      </c>
      <c r="V2419" t="n">
        <v>6.037077626078576</v>
      </c>
      <c r="W2419" s="5">
        <f>R2419-V2419</f>
        <v/>
      </c>
    </row>
    <row r="2420">
      <c r="A2420" s="3" t="n">
        <v>41999</v>
      </c>
      <c r="B2420">
        <f>Prices!B2420</f>
        <v/>
      </c>
      <c r="C2420">
        <f>Prices!C2420</f>
        <v/>
      </c>
      <c r="D2420">
        <f>Prices!D2420</f>
        <v/>
      </c>
      <c r="E2420">
        <f>Prices!E2420</f>
        <v/>
      </c>
      <c r="F2420">
        <f>Prices!F2420</f>
        <v/>
      </c>
      <c r="G2420">
        <f>IF(AND(2418&gt;=16,TEXT(A2420,"yyyy-mm")&lt;&gt;TEXT(A2421,"yyyy-mm")),1,0)</f>
        <v/>
      </c>
      <c r="H2420">
        <f>IF(OR(H2419=1,G2420=1),1,0)</f>
        <v/>
      </c>
      <c r="I2420">
        <f>IF(H2419=0,1,SUMPRODUCT(J2419:N2419,B2420:F2420)+O2419*(1+0.00023125256064071564))</f>
        <v/>
      </c>
      <c r="J2420">
        <f>IF(G2420=1,0.2*R2420/B2420,J2419)</f>
        <v/>
      </c>
      <c r="K2420">
        <f>IF(G2420=1,0.2*R2420/C2420,K2419)</f>
        <v/>
      </c>
      <c r="L2420">
        <f>IF(G2420=1,0.2*R2420/D2420,L2419)</f>
        <v/>
      </c>
      <c r="M2420">
        <f>IF(G2420=1,0.2*R2420/E2420,M2419)</f>
        <v/>
      </c>
      <c r="N2420">
        <f>IF(G2420=1,0.2*R2420/F2420,N2419)</f>
        <v/>
      </c>
      <c r="O2420">
        <f>IF(G2420=1,R2420*(1-1.0),IF(H2419=0,1,O2419*(1+0.00023125256064071564)))</f>
        <v/>
      </c>
      <c r="P2420">
        <f>IF(G2420=1,IF(H2419=0,1,ABS(0.2-J2419*B2420/I2420)+ABS(0.2-K2419*C2420/I2420)+ABS(0.2-L2419*D2420/I2420)+ABS(0.2-M2419*E2420/I2420)+ABS(0.2-N2419*F2420/I2420)),0)</f>
        <v/>
      </c>
      <c r="Q2420">
        <f>P2420*0.0015</f>
        <v/>
      </c>
      <c r="R2420">
        <f>I2420*(1-Q2420)</f>
        <v/>
      </c>
      <c r="S2420">
        <f>R2420/R2419-1</f>
        <v/>
      </c>
      <c r="T2420">
        <f>MAX(T2419,R2420)</f>
        <v/>
      </c>
      <c r="U2420">
        <f>R2420/T2420-1</f>
        <v/>
      </c>
      <c r="V2420" t="n">
        <v>6.063913477846051</v>
      </c>
      <c r="W2420" s="5">
        <f>R2420-V2420</f>
        <v/>
      </c>
    </row>
    <row r="2421">
      <c r="A2421" s="3" t="n">
        <v>42002</v>
      </c>
      <c r="B2421">
        <f>Prices!B2421</f>
        <v/>
      </c>
      <c r="C2421">
        <f>Prices!C2421</f>
        <v/>
      </c>
      <c r="D2421">
        <f>Prices!D2421</f>
        <v/>
      </c>
      <c r="E2421">
        <f>Prices!E2421</f>
        <v/>
      </c>
      <c r="F2421">
        <f>Prices!F2421</f>
        <v/>
      </c>
      <c r="G2421">
        <f>IF(AND(2419&gt;=16,TEXT(A2421,"yyyy-mm")&lt;&gt;TEXT(A2422,"yyyy-mm")),1,0)</f>
        <v/>
      </c>
      <c r="H2421">
        <f>IF(OR(H2420=1,G2421=1),1,0)</f>
        <v/>
      </c>
      <c r="I2421">
        <f>IF(H2420=0,1,SUMPRODUCT(J2420:N2420,B2421:F2421)+O2420*(1+0.00023125256064071564))</f>
        <v/>
      </c>
      <c r="J2421">
        <f>IF(G2421=1,0.2*R2421/B2421,J2420)</f>
        <v/>
      </c>
      <c r="K2421">
        <f>IF(G2421=1,0.2*R2421/C2421,K2420)</f>
        <v/>
      </c>
      <c r="L2421">
        <f>IF(G2421=1,0.2*R2421/D2421,L2420)</f>
        <v/>
      </c>
      <c r="M2421">
        <f>IF(G2421=1,0.2*R2421/E2421,M2420)</f>
        <v/>
      </c>
      <c r="N2421">
        <f>IF(G2421=1,0.2*R2421/F2421,N2420)</f>
        <v/>
      </c>
      <c r="O2421">
        <f>IF(G2421=1,R2421*(1-1.0),IF(H2420=0,1,O2420*(1+0.00023125256064071564)))</f>
        <v/>
      </c>
      <c r="P2421">
        <f>IF(G2421=1,IF(H2420=0,1,ABS(0.2-J2420*B2421/I2421)+ABS(0.2-K2420*C2421/I2421)+ABS(0.2-L2420*D2421/I2421)+ABS(0.2-M2420*E2421/I2421)+ABS(0.2-N2420*F2421/I2421)),0)</f>
        <v/>
      </c>
      <c r="Q2421">
        <f>P2421*0.0015</f>
        <v/>
      </c>
      <c r="R2421">
        <f>I2421*(1-Q2421)</f>
        <v/>
      </c>
      <c r="S2421">
        <f>R2421/R2420-1</f>
        <v/>
      </c>
      <c r="T2421">
        <f>MAX(T2420,R2421)</f>
        <v/>
      </c>
      <c r="U2421">
        <f>R2421/T2421-1</f>
        <v/>
      </c>
      <c r="V2421" t="n">
        <v>6.119120718724752</v>
      </c>
      <c r="W2421" s="5">
        <f>R2421-V2421</f>
        <v/>
      </c>
    </row>
    <row r="2422">
      <c r="A2422" s="3" t="n">
        <v>42003</v>
      </c>
      <c r="B2422">
        <f>Prices!B2422</f>
        <v/>
      </c>
      <c r="C2422">
        <f>Prices!C2422</f>
        <v/>
      </c>
      <c r="D2422">
        <f>Prices!D2422</f>
        <v/>
      </c>
      <c r="E2422">
        <f>Prices!E2422</f>
        <v/>
      </c>
      <c r="F2422">
        <f>Prices!F2422</f>
        <v/>
      </c>
      <c r="G2422">
        <f>IF(AND(2420&gt;=16,TEXT(A2422,"yyyy-mm")&lt;&gt;TEXT(A2423,"yyyy-mm")),1,0)</f>
        <v/>
      </c>
      <c r="H2422">
        <f>IF(OR(H2421=1,G2422=1),1,0)</f>
        <v/>
      </c>
      <c r="I2422">
        <f>IF(H2421=0,1,SUMPRODUCT(J2421:N2421,B2422:F2422)+O2421*(1+0.00023125256064071564))</f>
        <v/>
      </c>
      <c r="J2422">
        <f>IF(G2422=1,0.2*R2422/B2422,J2421)</f>
        <v/>
      </c>
      <c r="K2422">
        <f>IF(G2422=1,0.2*R2422/C2422,K2421)</f>
        <v/>
      </c>
      <c r="L2422">
        <f>IF(G2422=1,0.2*R2422/D2422,L2421)</f>
        <v/>
      </c>
      <c r="M2422">
        <f>IF(G2422=1,0.2*R2422/E2422,M2421)</f>
        <v/>
      </c>
      <c r="N2422">
        <f>IF(G2422=1,0.2*R2422/F2422,N2421)</f>
        <v/>
      </c>
      <c r="O2422">
        <f>IF(G2422=1,R2422*(1-1.0),IF(H2421=0,1,O2421*(1+0.00023125256064071564)))</f>
        <v/>
      </c>
      <c r="P2422">
        <f>IF(G2422=1,IF(H2421=0,1,ABS(0.2-J2421*B2422/I2422)+ABS(0.2-K2421*C2422/I2422)+ABS(0.2-L2421*D2422/I2422)+ABS(0.2-M2421*E2422/I2422)+ABS(0.2-N2421*F2422/I2422)),0)</f>
        <v/>
      </c>
      <c r="Q2422">
        <f>P2422*0.0015</f>
        <v/>
      </c>
      <c r="R2422">
        <f>I2422*(1-Q2422)</f>
        <v/>
      </c>
      <c r="S2422">
        <f>R2422/R2421-1</f>
        <v/>
      </c>
      <c r="T2422">
        <f>MAX(T2421,R2422)</f>
        <v/>
      </c>
      <c r="U2422">
        <f>R2422/T2422-1</f>
        <v/>
      </c>
      <c r="V2422" t="n">
        <v>6.144482476914249</v>
      </c>
      <c r="W2422" s="5">
        <f>R2422-V2422</f>
        <v/>
      </c>
    </row>
    <row r="2423">
      <c r="A2423" s="3" t="n">
        <v>42004</v>
      </c>
      <c r="B2423">
        <f>Prices!B2423</f>
        <v/>
      </c>
      <c r="C2423">
        <f>Prices!C2423</f>
        <v/>
      </c>
      <c r="D2423">
        <f>Prices!D2423</f>
        <v/>
      </c>
      <c r="E2423">
        <f>Prices!E2423</f>
        <v/>
      </c>
      <c r="F2423">
        <f>Prices!F2423</f>
        <v/>
      </c>
      <c r="G2423">
        <f>IF(AND(2421&gt;=16,TEXT(A2423,"yyyy-mm")&lt;&gt;TEXT(A2424,"yyyy-mm")),1,0)</f>
        <v/>
      </c>
      <c r="H2423">
        <f>IF(OR(H2422=1,G2423=1),1,0)</f>
        <v/>
      </c>
      <c r="I2423">
        <f>IF(H2422=0,1,SUMPRODUCT(J2422:N2422,B2423:F2423)+O2422*(1+0.00023125256064071564))</f>
        <v/>
      </c>
      <c r="J2423">
        <f>IF(G2423=1,0.2*R2423/B2423,J2422)</f>
        <v/>
      </c>
      <c r="K2423">
        <f>IF(G2423=1,0.2*R2423/C2423,K2422)</f>
        <v/>
      </c>
      <c r="L2423">
        <f>IF(G2423=1,0.2*R2423/D2423,L2422)</f>
        <v/>
      </c>
      <c r="M2423">
        <f>IF(G2423=1,0.2*R2423/E2423,M2422)</f>
        <v/>
      </c>
      <c r="N2423">
        <f>IF(G2423=1,0.2*R2423/F2423,N2422)</f>
        <v/>
      </c>
      <c r="O2423">
        <f>IF(G2423=1,R2423*(1-1.0),IF(H2422=0,1,O2422*(1+0.00023125256064071564)))</f>
        <v/>
      </c>
      <c r="P2423">
        <f>IF(G2423=1,IF(H2422=0,1,ABS(0.2-J2422*B2423/I2423)+ABS(0.2-K2422*C2423/I2423)+ABS(0.2-L2422*D2423/I2423)+ABS(0.2-M2422*E2423/I2423)+ABS(0.2-N2422*F2423/I2423)),0)</f>
        <v/>
      </c>
      <c r="Q2423">
        <f>P2423*0.0015</f>
        <v/>
      </c>
      <c r="R2423">
        <f>I2423*(1-Q2423)</f>
        <v/>
      </c>
      <c r="S2423">
        <f>R2423/R2422-1</f>
        <v/>
      </c>
      <c r="T2423">
        <f>MAX(T2422,R2423)</f>
        <v/>
      </c>
      <c r="U2423">
        <f>R2423/T2423-1</f>
        <v/>
      </c>
      <c r="V2423" t="n">
        <v>6.211591771588988</v>
      </c>
      <c r="W2423" s="5">
        <f>R2423-V2423</f>
        <v/>
      </c>
    </row>
    <row r="2424">
      <c r="A2424" s="3" t="n">
        <v>42005</v>
      </c>
      <c r="B2424">
        <f>Prices!B2424</f>
        <v/>
      </c>
      <c r="C2424">
        <f>Prices!C2424</f>
        <v/>
      </c>
      <c r="D2424">
        <f>Prices!D2424</f>
        <v/>
      </c>
      <c r="E2424">
        <f>Prices!E2424</f>
        <v/>
      </c>
      <c r="F2424">
        <f>Prices!F2424</f>
        <v/>
      </c>
      <c r="G2424">
        <f>IF(AND(2422&gt;=16,TEXT(A2424,"yyyy-mm")&lt;&gt;TEXT(A2425,"yyyy-mm")),1,0)</f>
        <v/>
      </c>
      <c r="H2424">
        <f>IF(OR(H2423=1,G2424=1),1,0)</f>
        <v/>
      </c>
      <c r="I2424">
        <f>IF(H2423=0,1,SUMPRODUCT(J2423:N2423,B2424:F2424)+O2423*(1+0.00023125256064071564))</f>
        <v/>
      </c>
      <c r="J2424">
        <f>IF(G2424=1,0.2*R2424/B2424,J2423)</f>
        <v/>
      </c>
      <c r="K2424">
        <f>IF(G2424=1,0.2*R2424/C2424,K2423)</f>
        <v/>
      </c>
      <c r="L2424">
        <f>IF(G2424=1,0.2*R2424/D2424,L2423)</f>
        <v/>
      </c>
      <c r="M2424">
        <f>IF(G2424=1,0.2*R2424/E2424,M2423)</f>
        <v/>
      </c>
      <c r="N2424">
        <f>IF(G2424=1,0.2*R2424/F2424,N2423)</f>
        <v/>
      </c>
      <c r="O2424">
        <f>IF(G2424=1,R2424*(1-1.0),IF(H2423=0,1,O2423*(1+0.00023125256064071564)))</f>
        <v/>
      </c>
      <c r="P2424">
        <f>IF(G2424=1,IF(H2423=0,1,ABS(0.2-J2423*B2424/I2424)+ABS(0.2-K2423*C2424/I2424)+ABS(0.2-L2423*D2424/I2424)+ABS(0.2-M2423*E2424/I2424)+ABS(0.2-N2423*F2424/I2424)),0)</f>
        <v/>
      </c>
      <c r="Q2424">
        <f>P2424*0.0015</f>
        <v/>
      </c>
      <c r="R2424">
        <f>I2424*(1-Q2424)</f>
        <v/>
      </c>
      <c r="S2424">
        <f>R2424/R2423-1</f>
        <v/>
      </c>
      <c r="T2424">
        <f>MAX(T2423,R2424)</f>
        <v/>
      </c>
      <c r="U2424">
        <f>R2424/T2424-1</f>
        <v/>
      </c>
      <c r="V2424" t="n">
        <v>6.23512046311034</v>
      </c>
      <c r="W2424" s="5">
        <f>R2424-V2424</f>
        <v/>
      </c>
    </row>
    <row r="2425">
      <c r="A2425" s="3" t="n">
        <v>42006</v>
      </c>
      <c r="B2425">
        <f>Prices!B2425</f>
        <v/>
      </c>
      <c r="C2425">
        <f>Prices!C2425</f>
        <v/>
      </c>
      <c r="D2425">
        <f>Prices!D2425</f>
        <v/>
      </c>
      <c r="E2425">
        <f>Prices!E2425</f>
        <v/>
      </c>
      <c r="F2425">
        <f>Prices!F2425</f>
        <v/>
      </c>
      <c r="G2425">
        <f>IF(AND(2423&gt;=16,TEXT(A2425,"yyyy-mm")&lt;&gt;TEXT(A2426,"yyyy-mm")),1,0)</f>
        <v/>
      </c>
      <c r="H2425">
        <f>IF(OR(H2424=1,G2425=1),1,0)</f>
        <v/>
      </c>
      <c r="I2425">
        <f>IF(H2424=0,1,SUMPRODUCT(J2424:N2424,B2425:F2425)+O2424*(1+0.00023125256064071564))</f>
        <v/>
      </c>
      <c r="J2425">
        <f>IF(G2425=1,0.2*R2425/B2425,J2424)</f>
        <v/>
      </c>
      <c r="K2425">
        <f>IF(G2425=1,0.2*R2425/C2425,K2424)</f>
        <v/>
      </c>
      <c r="L2425">
        <f>IF(G2425=1,0.2*R2425/D2425,L2424)</f>
        <v/>
      </c>
      <c r="M2425">
        <f>IF(G2425=1,0.2*R2425/E2425,M2424)</f>
        <v/>
      </c>
      <c r="N2425">
        <f>IF(G2425=1,0.2*R2425/F2425,N2424)</f>
        <v/>
      </c>
      <c r="O2425">
        <f>IF(G2425=1,R2425*(1-1.0),IF(H2424=0,1,O2424*(1+0.00023125256064071564)))</f>
        <v/>
      </c>
      <c r="P2425">
        <f>IF(G2425=1,IF(H2424=0,1,ABS(0.2-J2424*B2425/I2425)+ABS(0.2-K2424*C2425/I2425)+ABS(0.2-L2424*D2425/I2425)+ABS(0.2-M2424*E2425/I2425)+ABS(0.2-N2424*F2425/I2425)),0)</f>
        <v/>
      </c>
      <c r="Q2425">
        <f>P2425*0.0015</f>
        <v/>
      </c>
      <c r="R2425">
        <f>I2425*(1-Q2425)</f>
        <v/>
      </c>
      <c r="S2425">
        <f>R2425/R2424-1</f>
        <v/>
      </c>
      <c r="T2425">
        <f>MAX(T2424,R2425)</f>
        <v/>
      </c>
      <c r="U2425">
        <f>R2425/T2425-1</f>
        <v/>
      </c>
      <c r="V2425" t="n">
        <v>6.295386986347091</v>
      </c>
      <c r="W2425" s="5">
        <f>R2425-V2425</f>
        <v/>
      </c>
    </row>
    <row r="2426">
      <c r="A2426" s="3" t="n">
        <v>42009</v>
      </c>
      <c r="B2426">
        <f>Prices!B2426</f>
        <v/>
      </c>
      <c r="C2426">
        <f>Prices!C2426</f>
        <v/>
      </c>
      <c r="D2426">
        <f>Prices!D2426</f>
        <v/>
      </c>
      <c r="E2426">
        <f>Prices!E2426</f>
        <v/>
      </c>
      <c r="F2426">
        <f>Prices!F2426</f>
        <v/>
      </c>
      <c r="G2426">
        <f>IF(AND(2424&gt;=16,TEXT(A2426,"yyyy-mm")&lt;&gt;TEXT(A2427,"yyyy-mm")),1,0)</f>
        <v/>
      </c>
      <c r="H2426">
        <f>IF(OR(H2425=1,G2426=1),1,0)</f>
        <v/>
      </c>
      <c r="I2426">
        <f>IF(H2425=0,1,SUMPRODUCT(J2425:N2425,B2426:F2426)+O2425*(1+0.00023125256064071564))</f>
        <v/>
      </c>
      <c r="J2426">
        <f>IF(G2426=1,0.2*R2426/B2426,J2425)</f>
        <v/>
      </c>
      <c r="K2426">
        <f>IF(G2426=1,0.2*R2426/C2426,K2425)</f>
        <v/>
      </c>
      <c r="L2426">
        <f>IF(G2426=1,0.2*R2426/D2426,L2425)</f>
        <v/>
      </c>
      <c r="M2426">
        <f>IF(G2426=1,0.2*R2426/E2426,M2425)</f>
        <v/>
      </c>
      <c r="N2426">
        <f>IF(G2426=1,0.2*R2426/F2426,N2425)</f>
        <v/>
      </c>
      <c r="O2426">
        <f>IF(G2426=1,R2426*(1-1.0),IF(H2425=0,1,O2425*(1+0.00023125256064071564)))</f>
        <v/>
      </c>
      <c r="P2426">
        <f>IF(G2426=1,IF(H2425=0,1,ABS(0.2-J2425*B2426/I2426)+ABS(0.2-K2425*C2426/I2426)+ABS(0.2-L2425*D2426/I2426)+ABS(0.2-M2425*E2426/I2426)+ABS(0.2-N2425*F2426/I2426)),0)</f>
        <v/>
      </c>
      <c r="Q2426">
        <f>P2426*0.0015</f>
        <v/>
      </c>
      <c r="R2426">
        <f>I2426*(1-Q2426)</f>
        <v/>
      </c>
      <c r="S2426">
        <f>R2426/R2425-1</f>
        <v/>
      </c>
      <c r="T2426">
        <f>MAX(T2425,R2426)</f>
        <v/>
      </c>
      <c r="U2426">
        <f>R2426/T2426-1</f>
        <v/>
      </c>
      <c r="V2426" t="n">
        <v>6.29101779319373</v>
      </c>
      <c r="W2426" s="5">
        <f>R2426-V2426</f>
        <v/>
      </c>
    </row>
    <row r="2427">
      <c r="A2427" s="3" t="n">
        <v>42010</v>
      </c>
      <c r="B2427">
        <f>Prices!B2427</f>
        <v/>
      </c>
      <c r="C2427">
        <f>Prices!C2427</f>
        <v/>
      </c>
      <c r="D2427">
        <f>Prices!D2427</f>
        <v/>
      </c>
      <c r="E2427">
        <f>Prices!E2427</f>
        <v/>
      </c>
      <c r="F2427">
        <f>Prices!F2427</f>
        <v/>
      </c>
      <c r="G2427">
        <f>IF(AND(2425&gt;=16,TEXT(A2427,"yyyy-mm")&lt;&gt;TEXT(A2428,"yyyy-mm")),1,0)</f>
        <v/>
      </c>
      <c r="H2427">
        <f>IF(OR(H2426=1,G2427=1),1,0)</f>
        <v/>
      </c>
      <c r="I2427">
        <f>IF(H2426=0,1,SUMPRODUCT(J2426:N2426,B2427:F2427)+O2426*(1+0.00023125256064071564))</f>
        <v/>
      </c>
      <c r="J2427">
        <f>IF(G2427=1,0.2*R2427/B2427,J2426)</f>
        <v/>
      </c>
      <c r="K2427">
        <f>IF(G2427=1,0.2*R2427/C2427,K2426)</f>
        <v/>
      </c>
      <c r="L2427">
        <f>IF(G2427=1,0.2*R2427/D2427,L2426)</f>
        <v/>
      </c>
      <c r="M2427">
        <f>IF(G2427=1,0.2*R2427/E2427,M2426)</f>
        <v/>
      </c>
      <c r="N2427">
        <f>IF(G2427=1,0.2*R2427/F2427,N2426)</f>
        <v/>
      </c>
      <c r="O2427">
        <f>IF(G2427=1,R2427*(1-1.0),IF(H2426=0,1,O2426*(1+0.00023125256064071564)))</f>
        <v/>
      </c>
      <c r="P2427">
        <f>IF(G2427=1,IF(H2426=0,1,ABS(0.2-J2426*B2427/I2427)+ABS(0.2-K2426*C2427/I2427)+ABS(0.2-L2426*D2427/I2427)+ABS(0.2-M2426*E2427/I2427)+ABS(0.2-N2426*F2427/I2427)),0)</f>
        <v/>
      </c>
      <c r="Q2427">
        <f>P2427*0.0015</f>
        <v/>
      </c>
      <c r="R2427">
        <f>I2427*(1-Q2427)</f>
        <v/>
      </c>
      <c r="S2427">
        <f>R2427/R2426-1</f>
        <v/>
      </c>
      <c r="T2427">
        <f>MAX(T2426,R2427)</f>
        <v/>
      </c>
      <c r="U2427">
        <f>R2427/T2427-1</f>
        <v/>
      </c>
      <c r="V2427" t="n">
        <v>6.107591501022643</v>
      </c>
      <c r="W2427" s="5">
        <f>R2427-V2427</f>
        <v/>
      </c>
    </row>
    <row r="2428">
      <c r="A2428" s="3" t="n">
        <v>42011</v>
      </c>
      <c r="B2428">
        <f>Prices!B2428</f>
        <v/>
      </c>
      <c r="C2428">
        <f>Prices!C2428</f>
        <v/>
      </c>
      <c r="D2428">
        <f>Prices!D2428</f>
        <v/>
      </c>
      <c r="E2428">
        <f>Prices!E2428</f>
        <v/>
      </c>
      <c r="F2428">
        <f>Prices!F2428</f>
        <v/>
      </c>
      <c r="G2428">
        <f>IF(AND(2426&gt;=16,TEXT(A2428,"yyyy-mm")&lt;&gt;TEXT(A2429,"yyyy-mm")),1,0)</f>
        <v/>
      </c>
      <c r="H2428">
        <f>IF(OR(H2427=1,G2428=1),1,0)</f>
        <v/>
      </c>
      <c r="I2428">
        <f>IF(H2427=0,1,SUMPRODUCT(J2427:N2427,B2428:F2428)+O2427*(1+0.00023125256064071564))</f>
        <v/>
      </c>
      <c r="J2428">
        <f>IF(G2428=1,0.2*R2428/B2428,J2427)</f>
        <v/>
      </c>
      <c r="K2428">
        <f>IF(G2428=1,0.2*R2428/C2428,K2427)</f>
        <v/>
      </c>
      <c r="L2428">
        <f>IF(G2428=1,0.2*R2428/D2428,L2427)</f>
        <v/>
      </c>
      <c r="M2428">
        <f>IF(G2428=1,0.2*R2428/E2428,M2427)</f>
        <v/>
      </c>
      <c r="N2428">
        <f>IF(G2428=1,0.2*R2428/F2428,N2427)</f>
        <v/>
      </c>
      <c r="O2428">
        <f>IF(G2428=1,R2428*(1-1.0),IF(H2427=0,1,O2427*(1+0.00023125256064071564)))</f>
        <v/>
      </c>
      <c r="P2428">
        <f>IF(G2428=1,IF(H2427=0,1,ABS(0.2-J2427*B2428/I2428)+ABS(0.2-K2427*C2428/I2428)+ABS(0.2-L2427*D2428/I2428)+ABS(0.2-M2427*E2428/I2428)+ABS(0.2-N2427*F2428/I2428)),0)</f>
        <v/>
      </c>
      <c r="Q2428">
        <f>P2428*0.0015</f>
        <v/>
      </c>
      <c r="R2428">
        <f>I2428*(1-Q2428)</f>
        <v/>
      </c>
      <c r="S2428">
        <f>R2428/R2427-1</f>
        <v/>
      </c>
      <c r="T2428">
        <f>MAX(T2427,R2428)</f>
        <v/>
      </c>
      <c r="U2428">
        <f>R2428/T2428-1</f>
        <v/>
      </c>
      <c r="V2428" t="n">
        <v>6.122414950243629</v>
      </c>
      <c r="W2428" s="5">
        <f>R2428-V2428</f>
        <v/>
      </c>
    </row>
    <row r="2429">
      <c r="A2429" s="3" t="n">
        <v>42012</v>
      </c>
      <c r="B2429">
        <f>Prices!B2429</f>
        <v/>
      </c>
      <c r="C2429">
        <f>Prices!C2429</f>
        <v/>
      </c>
      <c r="D2429">
        <f>Prices!D2429</f>
        <v/>
      </c>
      <c r="E2429">
        <f>Prices!E2429</f>
        <v/>
      </c>
      <c r="F2429">
        <f>Prices!F2429</f>
        <v/>
      </c>
      <c r="G2429">
        <f>IF(AND(2427&gt;=16,TEXT(A2429,"yyyy-mm")&lt;&gt;TEXT(A2430,"yyyy-mm")),1,0)</f>
        <v/>
      </c>
      <c r="H2429">
        <f>IF(OR(H2428=1,G2429=1),1,0)</f>
        <v/>
      </c>
      <c r="I2429">
        <f>IF(H2428=0,1,SUMPRODUCT(J2428:N2428,B2429:F2429)+O2428*(1+0.00023125256064071564))</f>
        <v/>
      </c>
      <c r="J2429">
        <f>IF(G2429=1,0.2*R2429/B2429,J2428)</f>
        <v/>
      </c>
      <c r="K2429">
        <f>IF(G2429=1,0.2*R2429/C2429,K2428)</f>
        <v/>
      </c>
      <c r="L2429">
        <f>IF(G2429=1,0.2*R2429/D2429,L2428)</f>
        <v/>
      </c>
      <c r="M2429">
        <f>IF(G2429=1,0.2*R2429/E2429,M2428)</f>
        <v/>
      </c>
      <c r="N2429">
        <f>IF(G2429=1,0.2*R2429/F2429,N2428)</f>
        <v/>
      </c>
      <c r="O2429">
        <f>IF(G2429=1,R2429*(1-1.0),IF(H2428=0,1,O2428*(1+0.00023125256064071564)))</f>
        <v/>
      </c>
      <c r="P2429">
        <f>IF(G2429=1,IF(H2428=0,1,ABS(0.2-J2428*B2429/I2429)+ABS(0.2-K2428*C2429/I2429)+ABS(0.2-L2428*D2429/I2429)+ABS(0.2-M2428*E2429/I2429)+ABS(0.2-N2428*F2429/I2429)),0)</f>
        <v/>
      </c>
      <c r="Q2429">
        <f>P2429*0.0015</f>
        <v/>
      </c>
      <c r="R2429">
        <f>I2429*(1-Q2429)</f>
        <v/>
      </c>
      <c r="S2429">
        <f>R2429/R2428-1</f>
        <v/>
      </c>
      <c r="T2429">
        <f>MAX(T2428,R2429)</f>
        <v/>
      </c>
      <c r="U2429">
        <f>R2429/T2429-1</f>
        <v/>
      </c>
      <c r="V2429" t="n">
        <v>6.236957853453335</v>
      </c>
      <c r="W2429" s="5">
        <f>R2429-V2429</f>
        <v/>
      </c>
    </row>
    <row r="2430">
      <c r="A2430" s="3" t="n">
        <v>42013</v>
      </c>
      <c r="B2430">
        <f>Prices!B2430</f>
        <v/>
      </c>
      <c r="C2430">
        <f>Prices!C2430</f>
        <v/>
      </c>
      <c r="D2430">
        <f>Prices!D2430</f>
        <v/>
      </c>
      <c r="E2430">
        <f>Prices!E2430</f>
        <v/>
      </c>
      <c r="F2430">
        <f>Prices!F2430</f>
        <v/>
      </c>
      <c r="G2430">
        <f>IF(AND(2428&gt;=16,TEXT(A2430,"yyyy-mm")&lt;&gt;TEXT(A2431,"yyyy-mm")),1,0)</f>
        <v/>
      </c>
      <c r="H2430">
        <f>IF(OR(H2429=1,G2430=1),1,0)</f>
        <v/>
      </c>
      <c r="I2430">
        <f>IF(H2429=0,1,SUMPRODUCT(J2429:N2429,B2430:F2430)+O2429*(1+0.00023125256064071564))</f>
        <v/>
      </c>
      <c r="J2430">
        <f>IF(G2430=1,0.2*R2430/B2430,J2429)</f>
        <v/>
      </c>
      <c r="K2430">
        <f>IF(G2430=1,0.2*R2430/C2430,K2429)</f>
        <v/>
      </c>
      <c r="L2430">
        <f>IF(G2430=1,0.2*R2430/D2430,L2429)</f>
        <v/>
      </c>
      <c r="M2430">
        <f>IF(G2430=1,0.2*R2430/E2430,M2429)</f>
        <v/>
      </c>
      <c r="N2430">
        <f>IF(G2430=1,0.2*R2430/F2430,N2429)</f>
        <v/>
      </c>
      <c r="O2430">
        <f>IF(G2430=1,R2430*(1-1.0),IF(H2429=0,1,O2429*(1+0.00023125256064071564)))</f>
        <v/>
      </c>
      <c r="P2430">
        <f>IF(G2430=1,IF(H2429=0,1,ABS(0.2-J2429*B2430/I2430)+ABS(0.2-K2429*C2430/I2430)+ABS(0.2-L2429*D2430/I2430)+ABS(0.2-M2429*E2430/I2430)+ABS(0.2-N2429*F2430/I2430)),0)</f>
        <v/>
      </c>
      <c r="Q2430">
        <f>P2430*0.0015</f>
        <v/>
      </c>
      <c r="R2430">
        <f>I2430*(1-Q2430)</f>
        <v/>
      </c>
      <c r="S2430">
        <f>R2430/R2429-1</f>
        <v/>
      </c>
      <c r="T2430">
        <f>MAX(T2429,R2430)</f>
        <v/>
      </c>
      <c r="U2430">
        <f>R2430/T2430-1</f>
        <v/>
      </c>
      <c r="V2430" t="n">
        <v>6.261032047496543</v>
      </c>
      <c r="W2430" s="5">
        <f>R2430-V2430</f>
        <v/>
      </c>
    </row>
    <row r="2431">
      <c r="A2431" s="3" t="n">
        <v>42016</v>
      </c>
      <c r="B2431">
        <f>Prices!B2431</f>
        <v/>
      </c>
      <c r="C2431">
        <f>Prices!C2431</f>
        <v/>
      </c>
      <c r="D2431">
        <f>Prices!D2431</f>
        <v/>
      </c>
      <c r="E2431">
        <f>Prices!E2431</f>
        <v/>
      </c>
      <c r="F2431">
        <f>Prices!F2431</f>
        <v/>
      </c>
      <c r="G2431">
        <f>IF(AND(2429&gt;=16,TEXT(A2431,"yyyy-mm")&lt;&gt;TEXT(A2432,"yyyy-mm")),1,0)</f>
        <v/>
      </c>
      <c r="H2431">
        <f>IF(OR(H2430=1,G2431=1),1,0)</f>
        <v/>
      </c>
      <c r="I2431">
        <f>IF(H2430=0,1,SUMPRODUCT(J2430:N2430,B2431:F2431)+O2430*(1+0.00023125256064071564))</f>
        <v/>
      </c>
      <c r="J2431">
        <f>IF(G2431=1,0.2*R2431/B2431,J2430)</f>
        <v/>
      </c>
      <c r="K2431">
        <f>IF(G2431=1,0.2*R2431/C2431,K2430)</f>
        <v/>
      </c>
      <c r="L2431">
        <f>IF(G2431=1,0.2*R2431/D2431,L2430)</f>
        <v/>
      </c>
      <c r="M2431">
        <f>IF(G2431=1,0.2*R2431/E2431,M2430)</f>
        <v/>
      </c>
      <c r="N2431">
        <f>IF(G2431=1,0.2*R2431/F2431,N2430)</f>
        <v/>
      </c>
      <c r="O2431">
        <f>IF(G2431=1,R2431*(1-1.0),IF(H2430=0,1,O2430*(1+0.00023125256064071564)))</f>
        <v/>
      </c>
      <c r="P2431">
        <f>IF(G2431=1,IF(H2430=0,1,ABS(0.2-J2430*B2431/I2431)+ABS(0.2-K2430*C2431/I2431)+ABS(0.2-L2430*D2431/I2431)+ABS(0.2-M2430*E2431/I2431)+ABS(0.2-N2430*F2431/I2431)),0)</f>
        <v/>
      </c>
      <c r="Q2431">
        <f>P2431*0.0015</f>
        <v/>
      </c>
      <c r="R2431">
        <f>I2431*(1-Q2431)</f>
        <v/>
      </c>
      <c r="S2431">
        <f>R2431/R2430-1</f>
        <v/>
      </c>
      <c r="T2431">
        <f>MAX(T2430,R2431)</f>
        <v/>
      </c>
      <c r="U2431">
        <f>R2431/T2431-1</f>
        <v/>
      </c>
      <c r="V2431" t="n">
        <v>6.304454415093088</v>
      </c>
      <c r="W2431" s="5">
        <f>R2431-V2431</f>
        <v/>
      </c>
    </row>
    <row r="2432">
      <c r="A2432" s="3" t="n">
        <v>42017</v>
      </c>
      <c r="B2432">
        <f>Prices!B2432</f>
        <v/>
      </c>
      <c r="C2432">
        <f>Prices!C2432</f>
        <v/>
      </c>
      <c r="D2432">
        <f>Prices!D2432</f>
        <v/>
      </c>
      <c r="E2432">
        <f>Prices!E2432</f>
        <v/>
      </c>
      <c r="F2432">
        <f>Prices!F2432</f>
        <v/>
      </c>
      <c r="G2432">
        <f>IF(AND(2430&gt;=16,TEXT(A2432,"yyyy-mm")&lt;&gt;TEXT(A2433,"yyyy-mm")),1,0)</f>
        <v/>
      </c>
      <c r="H2432">
        <f>IF(OR(H2431=1,G2432=1),1,0)</f>
        <v/>
      </c>
      <c r="I2432">
        <f>IF(H2431=0,1,SUMPRODUCT(J2431:N2431,B2432:F2432)+O2431*(1+0.00023125256064071564))</f>
        <v/>
      </c>
      <c r="J2432">
        <f>IF(G2432=1,0.2*R2432/B2432,J2431)</f>
        <v/>
      </c>
      <c r="K2432">
        <f>IF(G2432=1,0.2*R2432/C2432,K2431)</f>
        <v/>
      </c>
      <c r="L2432">
        <f>IF(G2432=1,0.2*R2432/D2432,L2431)</f>
        <v/>
      </c>
      <c r="M2432">
        <f>IF(G2432=1,0.2*R2432/E2432,M2431)</f>
        <v/>
      </c>
      <c r="N2432">
        <f>IF(G2432=1,0.2*R2432/F2432,N2431)</f>
        <v/>
      </c>
      <c r="O2432">
        <f>IF(G2432=1,R2432*(1-1.0),IF(H2431=0,1,O2431*(1+0.00023125256064071564)))</f>
        <v/>
      </c>
      <c r="P2432">
        <f>IF(G2432=1,IF(H2431=0,1,ABS(0.2-J2431*B2432/I2432)+ABS(0.2-K2431*C2432/I2432)+ABS(0.2-L2431*D2432/I2432)+ABS(0.2-M2431*E2432/I2432)+ABS(0.2-N2431*F2432/I2432)),0)</f>
        <v/>
      </c>
      <c r="Q2432">
        <f>P2432*0.0015</f>
        <v/>
      </c>
      <c r="R2432">
        <f>I2432*(1-Q2432)</f>
        <v/>
      </c>
      <c r="S2432">
        <f>R2432/R2431-1</f>
        <v/>
      </c>
      <c r="T2432">
        <f>MAX(T2431,R2432)</f>
        <v/>
      </c>
      <c r="U2432">
        <f>R2432/T2432-1</f>
        <v/>
      </c>
      <c r="V2432" t="n">
        <v>6.306546406187641</v>
      </c>
      <c r="W2432" s="5">
        <f>R2432-V2432</f>
        <v/>
      </c>
    </row>
    <row r="2433">
      <c r="A2433" s="3" t="n">
        <v>42018</v>
      </c>
      <c r="B2433">
        <f>Prices!B2433</f>
        <v/>
      </c>
      <c r="C2433">
        <f>Prices!C2433</f>
        <v/>
      </c>
      <c r="D2433">
        <f>Prices!D2433</f>
        <v/>
      </c>
      <c r="E2433">
        <f>Prices!E2433</f>
        <v/>
      </c>
      <c r="F2433">
        <f>Prices!F2433</f>
        <v/>
      </c>
      <c r="G2433">
        <f>IF(AND(2431&gt;=16,TEXT(A2433,"yyyy-mm")&lt;&gt;TEXT(A2434,"yyyy-mm")),1,0)</f>
        <v/>
      </c>
      <c r="H2433">
        <f>IF(OR(H2432=1,G2433=1),1,0)</f>
        <v/>
      </c>
      <c r="I2433">
        <f>IF(H2432=0,1,SUMPRODUCT(J2432:N2432,B2433:F2433)+O2432*(1+0.00023125256064071564))</f>
        <v/>
      </c>
      <c r="J2433">
        <f>IF(G2433=1,0.2*R2433/B2433,J2432)</f>
        <v/>
      </c>
      <c r="K2433">
        <f>IF(G2433=1,0.2*R2433/C2433,K2432)</f>
        <v/>
      </c>
      <c r="L2433">
        <f>IF(G2433=1,0.2*R2433/D2433,L2432)</f>
        <v/>
      </c>
      <c r="M2433">
        <f>IF(G2433=1,0.2*R2433/E2433,M2432)</f>
        <v/>
      </c>
      <c r="N2433">
        <f>IF(G2433=1,0.2*R2433/F2433,N2432)</f>
        <v/>
      </c>
      <c r="O2433">
        <f>IF(G2433=1,R2433*(1-1.0),IF(H2432=0,1,O2432*(1+0.00023125256064071564)))</f>
        <v/>
      </c>
      <c r="P2433">
        <f>IF(G2433=1,IF(H2432=0,1,ABS(0.2-J2432*B2433/I2433)+ABS(0.2-K2432*C2433/I2433)+ABS(0.2-L2432*D2433/I2433)+ABS(0.2-M2432*E2433/I2433)+ABS(0.2-N2432*F2433/I2433)),0)</f>
        <v/>
      </c>
      <c r="Q2433">
        <f>P2433*0.0015</f>
        <v/>
      </c>
      <c r="R2433">
        <f>I2433*(1-Q2433)</f>
        <v/>
      </c>
      <c r="S2433">
        <f>R2433/R2432-1</f>
        <v/>
      </c>
      <c r="T2433">
        <f>MAX(T2432,R2433)</f>
        <v/>
      </c>
      <c r="U2433">
        <f>R2433/T2433-1</f>
        <v/>
      </c>
      <c r="V2433" t="n">
        <v>6.299977136880547</v>
      </c>
      <c r="W2433" s="5">
        <f>R2433-V2433</f>
        <v/>
      </c>
    </row>
    <row r="2434">
      <c r="A2434" s="3" t="n">
        <v>42019</v>
      </c>
      <c r="B2434">
        <f>Prices!B2434</f>
        <v/>
      </c>
      <c r="C2434">
        <f>Prices!C2434</f>
        <v/>
      </c>
      <c r="D2434">
        <f>Prices!D2434</f>
        <v/>
      </c>
      <c r="E2434">
        <f>Prices!E2434</f>
        <v/>
      </c>
      <c r="F2434">
        <f>Prices!F2434</f>
        <v/>
      </c>
      <c r="G2434">
        <f>IF(AND(2432&gt;=16,TEXT(A2434,"yyyy-mm")&lt;&gt;TEXT(A2435,"yyyy-mm")),1,0)</f>
        <v/>
      </c>
      <c r="H2434">
        <f>IF(OR(H2433=1,G2434=1),1,0)</f>
        <v/>
      </c>
      <c r="I2434">
        <f>IF(H2433=0,1,SUMPRODUCT(J2433:N2433,B2434:F2434)+O2433*(1+0.00023125256064071564))</f>
        <v/>
      </c>
      <c r="J2434">
        <f>IF(G2434=1,0.2*R2434/B2434,J2433)</f>
        <v/>
      </c>
      <c r="K2434">
        <f>IF(G2434=1,0.2*R2434/C2434,K2433)</f>
        <v/>
      </c>
      <c r="L2434">
        <f>IF(G2434=1,0.2*R2434/D2434,L2433)</f>
        <v/>
      </c>
      <c r="M2434">
        <f>IF(G2434=1,0.2*R2434/E2434,M2433)</f>
        <v/>
      </c>
      <c r="N2434">
        <f>IF(G2434=1,0.2*R2434/F2434,N2433)</f>
        <v/>
      </c>
      <c r="O2434">
        <f>IF(G2434=1,R2434*(1-1.0),IF(H2433=0,1,O2433*(1+0.00023125256064071564)))</f>
        <v/>
      </c>
      <c r="P2434">
        <f>IF(G2434=1,IF(H2433=0,1,ABS(0.2-J2433*B2434/I2434)+ABS(0.2-K2433*C2434/I2434)+ABS(0.2-L2433*D2434/I2434)+ABS(0.2-M2433*E2434/I2434)+ABS(0.2-N2433*F2434/I2434)),0)</f>
        <v/>
      </c>
      <c r="Q2434">
        <f>P2434*0.0015</f>
        <v/>
      </c>
      <c r="R2434">
        <f>I2434*(1-Q2434)</f>
        <v/>
      </c>
      <c r="S2434">
        <f>R2434/R2433-1</f>
        <v/>
      </c>
      <c r="T2434">
        <f>MAX(T2433,R2434)</f>
        <v/>
      </c>
      <c r="U2434">
        <f>R2434/T2434-1</f>
        <v/>
      </c>
      <c r="V2434" t="n">
        <v>6.383409067984267</v>
      </c>
      <c r="W2434" s="5">
        <f>R2434-V2434</f>
        <v/>
      </c>
    </row>
    <row r="2435">
      <c r="A2435" s="3" t="n">
        <v>42020</v>
      </c>
      <c r="B2435">
        <f>Prices!B2435</f>
        <v/>
      </c>
      <c r="C2435">
        <f>Prices!C2435</f>
        <v/>
      </c>
      <c r="D2435">
        <f>Prices!D2435</f>
        <v/>
      </c>
      <c r="E2435">
        <f>Prices!E2435</f>
        <v/>
      </c>
      <c r="F2435">
        <f>Prices!F2435</f>
        <v/>
      </c>
      <c r="G2435">
        <f>IF(AND(2433&gt;=16,TEXT(A2435,"yyyy-mm")&lt;&gt;TEXT(A2436,"yyyy-mm")),1,0)</f>
        <v/>
      </c>
      <c r="H2435">
        <f>IF(OR(H2434=1,G2435=1),1,0)</f>
        <v/>
      </c>
      <c r="I2435">
        <f>IF(H2434=0,1,SUMPRODUCT(J2434:N2434,B2435:F2435)+O2434*(1+0.00023125256064071564))</f>
        <v/>
      </c>
      <c r="J2435">
        <f>IF(G2435=1,0.2*R2435/B2435,J2434)</f>
        <v/>
      </c>
      <c r="K2435">
        <f>IF(G2435=1,0.2*R2435/C2435,K2434)</f>
        <v/>
      </c>
      <c r="L2435">
        <f>IF(G2435=1,0.2*R2435/D2435,L2434)</f>
        <v/>
      </c>
      <c r="M2435">
        <f>IF(G2435=1,0.2*R2435/E2435,M2434)</f>
        <v/>
      </c>
      <c r="N2435">
        <f>IF(G2435=1,0.2*R2435/F2435,N2434)</f>
        <v/>
      </c>
      <c r="O2435">
        <f>IF(G2435=1,R2435*(1-1.0),IF(H2434=0,1,O2434*(1+0.00023125256064071564)))</f>
        <v/>
      </c>
      <c r="P2435">
        <f>IF(G2435=1,IF(H2434=0,1,ABS(0.2-J2434*B2435/I2435)+ABS(0.2-K2434*C2435/I2435)+ABS(0.2-L2434*D2435/I2435)+ABS(0.2-M2434*E2435/I2435)+ABS(0.2-N2434*F2435/I2435)),0)</f>
        <v/>
      </c>
      <c r="Q2435">
        <f>P2435*0.0015</f>
        <v/>
      </c>
      <c r="R2435">
        <f>I2435*(1-Q2435)</f>
        <v/>
      </c>
      <c r="S2435">
        <f>R2435/R2434-1</f>
        <v/>
      </c>
      <c r="T2435">
        <f>MAX(T2434,R2435)</f>
        <v/>
      </c>
      <c r="U2435">
        <f>R2435/T2435-1</f>
        <v/>
      </c>
      <c r="V2435" t="n">
        <v>6.413450360758795</v>
      </c>
      <c r="W2435" s="5">
        <f>R2435-V2435</f>
        <v/>
      </c>
    </row>
    <row r="2436">
      <c r="A2436" s="3" t="n">
        <v>42023</v>
      </c>
      <c r="B2436">
        <f>Prices!B2436</f>
        <v/>
      </c>
      <c r="C2436">
        <f>Prices!C2436</f>
        <v/>
      </c>
      <c r="D2436">
        <f>Prices!D2436</f>
        <v/>
      </c>
      <c r="E2436">
        <f>Prices!E2436</f>
        <v/>
      </c>
      <c r="F2436">
        <f>Prices!F2436</f>
        <v/>
      </c>
      <c r="G2436">
        <f>IF(AND(2434&gt;=16,TEXT(A2436,"yyyy-mm")&lt;&gt;TEXT(A2437,"yyyy-mm")),1,0)</f>
        <v/>
      </c>
      <c r="H2436">
        <f>IF(OR(H2435=1,G2436=1),1,0)</f>
        <v/>
      </c>
      <c r="I2436">
        <f>IF(H2435=0,1,SUMPRODUCT(J2435:N2435,B2436:F2436)+O2435*(1+0.00023125256064071564))</f>
        <v/>
      </c>
      <c r="J2436">
        <f>IF(G2436=1,0.2*R2436/B2436,J2435)</f>
        <v/>
      </c>
      <c r="K2436">
        <f>IF(G2436=1,0.2*R2436/C2436,K2435)</f>
        <v/>
      </c>
      <c r="L2436">
        <f>IF(G2436=1,0.2*R2436/D2436,L2435)</f>
        <v/>
      </c>
      <c r="M2436">
        <f>IF(G2436=1,0.2*R2436/E2436,M2435)</f>
        <v/>
      </c>
      <c r="N2436">
        <f>IF(G2436=1,0.2*R2436/F2436,N2435)</f>
        <v/>
      </c>
      <c r="O2436">
        <f>IF(G2436=1,R2436*(1-1.0),IF(H2435=0,1,O2435*(1+0.00023125256064071564)))</f>
        <v/>
      </c>
      <c r="P2436">
        <f>IF(G2436=1,IF(H2435=0,1,ABS(0.2-J2435*B2436/I2436)+ABS(0.2-K2435*C2436/I2436)+ABS(0.2-L2435*D2436/I2436)+ABS(0.2-M2435*E2436/I2436)+ABS(0.2-N2435*F2436/I2436)),0)</f>
        <v/>
      </c>
      <c r="Q2436">
        <f>P2436*0.0015</f>
        <v/>
      </c>
      <c r="R2436">
        <f>I2436*(1-Q2436)</f>
        <v/>
      </c>
      <c r="S2436">
        <f>R2436/R2435-1</f>
        <v/>
      </c>
      <c r="T2436">
        <f>MAX(T2435,R2436)</f>
        <v/>
      </c>
      <c r="U2436">
        <f>R2436/T2436-1</f>
        <v/>
      </c>
      <c r="V2436" t="n">
        <v>6.435247903120414</v>
      </c>
      <c r="W2436" s="5">
        <f>R2436-V2436</f>
        <v/>
      </c>
    </row>
    <row r="2437">
      <c r="A2437" s="3" t="n">
        <v>42024</v>
      </c>
      <c r="B2437">
        <f>Prices!B2437</f>
        <v/>
      </c>
      <c r="C2437">
        <f>Prices!C2437</f>
        <v/>
      </c>
      <c r="D2437">
        <f>Prices!D2437</f>
        <v/>
      </c>
      <c r="E2437">
        <f>Prices!E2437</f>
        <v/>
      </c>
      <c r="F2437">
        <f>Prices!F2437</f>
        <v/>
      </c>
      <c r="G2437">
        <f>IF(AND(2435&gt;=16,TEXT(A2437,"yyyy-mm")&lt;&gt;TEXT(A2438,"yyyy-mm")),1,0)</f>
        <v/>
      </c>
      <c r="H2437">
        <f>IF(OR(H2436=1,G2437=1),1,0)</f>
        <v/>
      </c>
      <c r="I2437">
        <f>IF(H2436=0,1,SUMPRODUCT(J2436:N2436,B2437:F2437)+O2436*(1+0.00023125256064071564))</f>
        <v/>
      </c>
      <c r="J2437">
        <f>IF(G2437=1,0.2*R2437/B2437,J2436)</f>
        <v/>
      </c>
      <c r="K2437">
        <f>IF(G2437=1,0.2*R2437/C2437,K2436)</f>
        <v/>
      </c>
      <c r="L2437">
        <f>IF(G2437=1,0.2*R2437/D2437,L2436)</f>
        <v/>
      </c>
      <c r="M2437">
        <f>IF(G2437=1,0.2*R2437/E2437,M2436)</f>
        <v/>
      </c>
      <c r="N2437">
        <f>IF(G2437=1,0.2*R2437/F2437,N2436)</f>
        <v/>
      </c>
      <c r="O2437">
        <f>IF(G2437=1,R2437*(1-1.0),IF(H2436=0,1,O2436*(1+0.00023125256064071564)))</f>
        <v/>
      </c>
      <c r="P2437">
        <f>IF(G2437=1,IF(H2436=0,1,ABS(0.2-J2436*B2437/I2437)+ABS(0.2-K2436*C2437/I2437)+ABS(0.2-L2436*D2437/I2437)+ABS(0.2-M2436*E2437/I2437)+ABS(0.2-N2436*F2437/I2437)),0)</f>
        <v/>
      </c>
      <c r="Q2437">
        <f>P2437*0.0015</f>
        <v/>
      </c>
      <c r="R2437">
        <f>I2437*(1-Q2437)</f>
        <v/>
      </c>
      <c r="S2437">
        <f>R2437/R2436-1</f>
        <v/>
      </c>
      <c r="T2437">
        <f>MAX(T2436,R2437)</f>
        <v/>
      </c>
      <c r="U2437">
        <f>R2437/T2437-1</f>
        <v/>
      </c>
      <c r="V2437" t="n">
        <v>6.459525252144501</v>
      </c>
      <c r="W2437" s="5">
        <f>R2437-V2437</f>
        <v/>
      </c>
    </row>
    <row r="2438">
      <c r="A2438" s="3" t="n">
        <v>42025</v>
      </c>
      <c r="B2438">
        <f>Prices!B2438</f>
        <v/>
      </c>
      <c r="C2438">
        <f>Prices!C2438</f>
        <v/>
      </c>
      <c r="D2438">
        <f>Prices!D2438</f>
        <v/>
      </c>
      <c r="E2438">
        <f>Prices!E2438</f>
        <v/>
      </c>
      <c r="F2438">
        <f>Prices!F2438</f>
        <v/>
      </c>
      <c r="G2438">
        <f>IF(AND(2436&gt;=16,TEXT(A2438,"yyyy-mm")&lt;&gt;TEXT(A2439,"yyyy-mm")),1,0)</f>
        <v/>
      </c>
      <c r="H2438">
        <f>IF(OR(H2437=1,G2438=1),1,0)</f>
        <v/>
      </c>
      <c r="I2438">
        <f>IF(H2437=0,1,SUMPRODUCT(J2437:N2437,B2438:F2438)+O2437*(1+0.00023125256064071564))</f>
        <v/>
      </c>
      <c r="J2438">
        <f>IF(G2438=1,0.2*R2438/B2438,J2437)</f>
        <v/>
      </c>
      <c r="K2438">
        <f>IF(G2438=1,0.2*R2438/C2438,K2437)</f>
        <v/>
      </c>
      <c r="L2438">
        <f>IF(G2438=1,0.2*R2438/D2438,L2437)</f>
        <v/>
      </c>
      <c r="M2438">
        <f>IF(G2438=1,0.2*R2438/E2438,M2437)</f>
        <v/>
      </c>
      <c r="N2438">
        <f>IF(G2438=1,0.2*R2438/F2438,N2437)</f>
        <v/>
      </c>
      <c r="O2438">
        <f>IF(G2438=1,R2438*(1-1.0),IF(H2437=0,1,O2437*(1+0.00023125256064071564)))</f>
        <v/>
      </c>
      <c r="P2438">
        <f>IF(G2438=1,IF(H2437=0,1,ABS(0.2-J2437*B2438/I2438)+ABS(0.2-K2437*C2438/I2438)+ABS(0.2-L2437*D2438/I2438)+ABS(0.2-M2437*E2438/I2438)+ABS(0.2-N2437*F2438/I2438)),0)</f>
        <v/>
      </c>
      <c r="Q2438">
        <f>P2438*0.0015</f>
        <v/>
      </c>
      <c r="R2438">
        <f>I2438*(1-Q2438)</f>
        <v/>
      </c>
      <c r="S2438">
        <f>R2438/R2437-1</f>
        <v/>
      </c>
      <c r="T2438">
        <f>MAX(T2437,R2438)</f>
        <v/>
      </c>
      <c r="U2438">
        <f>R2438/T2438-1</f>
        <v/>
      </c>
      <c r="V2438" t="n">
        <v>6.46721714544288</v>
      </c>
      <c r="W2438" s="5">
        <f>R2438-V2438</f>
        <v/>
      </c>
    </row>
    <row r="2439">
      <c r="A2439" s="3" t="n">
        <v>42026</v>
      </c>
      <c r="B2439">
        <f>Prices!B2439</f>
        <v/>
      </c>
      <c r="C2439">
        <f>Prices!C2439</f>
        <v/>
      </c>
      <c r="D2439">
        <f>Prices!D2439</f>
        <v/>
      </c>
      <c r="E2439">
        <f>Prices!E2439</f>
        <v/>
      </c>
      <c r="F2439">
        <f>Prices!F2439</f>
        <v/>
      </c>
      <c r="G2439">
        <f>IF(AND(2437&gt;=16,TEXT(A2439,"yyyy-mm")&lt;&gt;TEXT(A2440,"yyyy-mm")),1,0)</f>
        <v/>
      </c>
      <c r="H2439">
        <f>IF(OR(H2438=1,G2439=1),1,0)</f>
        <v/>
      </c>
      <c r="I2439">
        <f>IF(H2438=0,1,SUMPRODUCT(J2438:N2438,B2439:F2439)+O2438*(1+0.00023125256064071564))</f>
        <v/>
      </c>
      <c r="J2439">
        <f>IF(G2439=1,0.2*R2439/B2439,J2438)</f>
        <v/>
      </c>
      <c r="K2439">
        <f>IF(G2439=1,0.2*R2439/C2439,K2438)</f>
        <v/>
      </c>
      <c r="L2439">
        <f>IF(G2439=1,0.2*R2439/D2439,L2438)</f>
        <v/>
      </c>
      <c r="M2439">
        <f>IF(G2439=1,0.2*R2439/E2439,M2438)</f>
        <v/>
      </c>
      <c r="N2439">
        <f>IF(G2439=1,0.2*R2439/F2439,N2438)</f>
        <v/>
      </c>
      <c r="O2439">
        <f>IF(G2439=1,R2439*(1-1.0),IF(H2438=0,1,O2438*(1+0.00023125256064071564)))</f>
        <v/>
      </c>
      <c r="P2439">
        <f>IF(G2439=1,IF(H2438=0,1,ABS(0.2-J2438*B2439/I2439)+ABS(0.2-K2438*C2439/I2439)+ABS(0.2-L2438*D2439/I2439)+ABS(0.2-M2438*E2439/I2439)+ABS(0.2-N2438*F2439/I2439)),0)</f>
        <v/>
      </c>
      <c r="Q2439">
        <f>P2439*0.0015</f>
        <v/>
      </c>
      <c r="R2439">
        <f>I2439*(1-Q2439)</f>
        <v/>
      </c>
      <c r="S2439">
        <f>R2439/R2438-1</f>
        <v/>
      </c>
      <c r="T2439">
        <f>MAX(T2438,R2439)</f>
        <v/>
      </c>
      <c r="U2439">
        <f>R2439/T2439-1</f>
        <v/>
      </c>
      <c r="V2439" t="n">
        <v>6.489992437423804</v>
      </c>
      <c r="W2439" s="5">
        <f>R2439-V2439</f>
        <v/>
      </c>
    </row>
    <row r="2440">
      <c r="A2440" s="3" t="n">
        <v>42027</v>
      </c>
      <c r="B2440">
        <f>Prices!B2440</f>
        <v/>
      </c>
      <c r="C2440">
        <f>Prices!C2440</f>
        <v/>
      </c>
      <c r="D2440">
        <f>Prices!D2440</f>
        <v/>
      </c>
      <c r="E2440">
        <f>Prices!E2440</f>
        <v/>
      </c>
      <c r="F2440">
        <f>Prices!F2440</f>
        <v/>
      </c>
      <c r="G2440">
        <f>IF(AND(2438&gt;=16,TEXT(A2440,"yyyy-mm")&lt;&gt;TEXT(A2441,"yyyy-mm")),1,0)</f>
        <v/>
      </c>
      <c r="H2440">
        <f>IF(OR(H2439=1,G2440=1),1,0)</f>
        <v/>
      </c>
      <c r="I2440">
        <f>IF(H2439=0,1,SUMPRODUCT(J2439:N2439,B2440:F2440)+O2439*(1+0.00023125256064071564))</f>
        <v/>
      </c>
      <c r="J2440">
        <f>IF(G2440=1,0.2*R2440/B2440,J2439)</f>
        <v/>
      </c>
      <c r="K2440">
        <f>IF(G2440=1,0.2*R2440/C2440,K2439)</f>
        <v/>
      </c>
      <c r="L2440">
        <f>IF(G2440=1,0.2*R2440/D2440,L2439)</f>
        <v/>
      </c>
      <c r="M2440">
        <f>IF(G2440=1,0.2*R2440/E2440,M2439)</f>
        <v/>
      </c>
      <c r="N2440">
        <f>IF(G2440=1,0.2*R2440/F2440,N2439)</f>
        <v/>
      </c>
      <c r="O2440">
        <f>IF(G2440=1,R2440*(1-1.0),IF(H2439=0,1,O2439*(1+0.00023125256064071564)))</f>
        <v/>
      </c>
      <c r="P2440">
        <f>IF(G2440=1,IF(H2439=0,1,ABS(0.2-J2439*B2440/I2440)+ABS(0.2-K2439*C2440/I2440)+ABS(0.2-L2439*D2440/I2440)+ABS(0.2-M2439*E2440/I2440)+ABS(0.2-N2439*F2440/I2440)),0)</f>
        <v/>
      </c>
      <c r="Q2440">
        <f>P2440*0.0015</f>
        <v/>
      </c>
      <c r="R2440">
        <f>I2440*(1-Q2440)</f>
        <v/>
      </c>
      <c r="S2440">
        <f>R2440/R2439-1</f>
        <v/>
      </c>
      <c r="T2440">
        <f>MAX(T2439,R2440)</f>
        <v/>
      </c>
      <c r="U2440">
        <f>R2440/T2440-1</f>
        <v/>
      </c>
      <c r="V2440" t="n">
        <v>6.48806562405767</v>
      </c>
      <c r="W2440" s="5">
        <f>R2440-V2440</f>
        <v/>
      </c>
    </row>
    <row r="2441">
      <c r="A2441" s="3" t="n">
        <v>42031</v>
      </c>
      <c r="B2441">
        <f>Prices!B2441</f>
        <v/>
      </c>
      <c r="C2441">
        <f>Prices!C2441</f>
        <v/>
      </c>
      <c r="D2441">
        <f>Prices!D2441</f>
        <v/>
      </c>
      <c r="E2441">
        <f>Prices!E2441</f>
        <v/>
      </c>
      <c r="F2441">
        <f>Prices!F2441</f>
        <v/>
      </c>
      <c r="G2441">
        <f>IF(AND(2439&gt;=16,TEXT(A2441,"yyyy-mm")&lt;&gt;TEXT(A2442,"yyyy-mm")),1,0)</f>
        <v/>
      </c>
      <c r="H2441">
        <f>IF(OR(H2440=1,G2441=1),1,0)</f>
        <v/>
      </c>
      <c r="I2441">
        <f>IF(H2440=0,1,SUMPRODUCT(J2440:N2440,B2441:F2441)+O2440*(1+0.00023125256064071564))</f>
        <v/>
      </c>
      <c r="J2441">
        <f>IF(G2441=1,0.2*R2441/B2441,J2440)</f>
        <v/>
      </c>
      <c r="K2441">
        <f>IF(G2441=1,0.2*R2441/C2441,K2440)</f>
        <v/>
      </c>
      <c r="L2441">
        <f>IF(G2441=1,0.2*R2441/D2441,L2440)</f>
        <v/>
      </c>
      <c r="M2441">
        <f>IF(G2441=1,0.2*R2441/E2441,M2440)</f>
        <v/>
      </c>
      <c r="N2441">
        <f>IF(G2441=1,0.2*R2441/F2441,N2440)</f>
        <v/>
      </c>
      <c r="O2441">
        <f>IF(G2441=1,R2441*(1-1.0),IF(H2440=0,1,O2440*(1+0.00023125256064071564)))</f>
        <v/>
      </c>
      <c r="P2441">
        <f>IF(G2441=1,IF(H2440=0,1,ABS(0.2-J2440*B2441/I2441)+ABS(0.2-K2440*C2441/I2441)+ABS(0.2-L2440*D2441/I2441)+ABS(0.2-M2440*E2441/I2441)+ABS(0.2-N2440*F2441/I2441)),0)</f>
        <v/>
      </c>
      <c r="Q2441">
        <f>P2441*0.0015</f>
        <v/>
      </c>
      <c r="R2441">
        <f>I2441*(1-Q2441)</f>
        <v/>
      </c>
      <c r="S2441">
        <f>R2441/R2440-1</f>
        <v/>
      </c>
      <c r="T2441">
        <f>MAX(T2440,R2441)</f>
        <v/>
      </c>
      <c r="U2441">
        <f>R2441/T2441-1</f>
        <v/>
      </c>
      <c r="V2441" t="n">
        <v>6.51193940002615</v>
      </c>
      <c r="W2441" s="5">
        <f>R2441-V2441</f>
        <v/>
      </c>
    </row>
    <row r="2442">
      <c r="A2442" s="3" t="n">
        <v>42032</v>
      </c>
      <c r="B2442">
        <f>Prices!B2442</f>
        <v/>
      </c>
      <c r="C2442">
        <f>Prices!C2442</f>
        <v/>
      </c>
      <c r="D2442">
        <f>Prices!D2442</f>
        <v/>
      </c>
      <c r="E2442">
        <f>Prices!E2442</f>
        <v/>
      </c>
      <c r="F2442">
        <f>Prices!F2442</f>
        <v/>
      </c>
      <c r="G2442">
        <f>IF(AND(2440&gt;=16,TEXT(A2442,"yyyy-mm")&lt;&gt;TEXT(A2443,"yyyy-mm")),1,0)</f>
        <v/>
      </c>
      <c r="H2442">
        <f>IF(OR(H2441=1,G2442=1),1,0)</f>
        <v/>
      </c>
      <c r="I2442">
        <f>IF(H2441=0,1,SUMPRODUCT(J2441:N2441,B2442:F2442)+O2441*(1+0.00023125256064071564))</f>
        <v/>
      </c>
      <c r="J2442">
        <f>IF(G2442=1,0.2*R2442/B2442,J2441)</f>
        <v/>
      </c>
      <c r="K2442">
        <f>IF(G2442=1,0.2*R2442/C2442,K2441)</f>
        <v/>
      </c>
      <c r="L2442">
        <f>IF(G2442=1,0.2*R2442/D2442,L2441)</f>
        <v/>
      </c>
      <c r="M2442">
        <f>IF(G2442=1,0.2*R2442/E2442,M2441)</f>
        <v/>
      </c>
      <c r="N2442">
        <f>IF(G2442=1,0.2*R2442/F2442,N2441)</f>
        <v/>
      </c>
      <c r="O2442">
        <f>IF(G2442=1,R2442*(1-1.0),IF(H2441=0,1,O2441*(1+0.00023125256064071564)))</f>
        <v/>
      </c>
      <c r="P2442">
        <f>IF(G2442=1,IF(H2441=0,1,ABS(0.2-J2441*B2442/I2442)+ABS(0.2-K2441*C2442/I2442)+ABS(0.2-L2441*D2442/I2442)+ABS(0.2-M2441*E2442/I2442)+ABS(0.2-N2441*F2442/I2442)),0)</f>
        <v/>
      </c>
      <c r="Q2442">
        <f>P2442*0.0015</f>
        <v/>
      </c>
      <c r="R2442">
        <f>I2442*(1-Q2442)</f>
        <v/>
      </c>
      <c r="S2442">
        <f>R2442/R2441-1</f>
        <v/>
      </c>
      <c r="T2442">
        <f>MAX(T2441,R2442)</f>
        <v/>
      </c>
      <c r="U2442">
        <f>R2442/T2442-1</f>
        <v/>
      </c>
      <c r="V2442" t="n">
        <v>6.553836359877364</v>
      </c>
      <c r="W2442" s="5">
        <f>R2442-V2442</f>
        <v/>
      </c>
    </row>
    <row r="2443">
      <c r="A2443" s="3" t="n">
        <v>42033</v>
      </c>
      <c r="B2443">
        <f>Prices!B2443</f>
        <v/>
      </c>
      <c r="C2443">
        <f>Prices!C2443</f>
        <v/>
      </c>
      <c r="D2443">
        <f>Prices!D2443</f>
        <v/>
      </c>
      <c r="E2443">
        <f>Prices!E2443</f>
        <v/>
      </c>
      <c r="F2443">
        <f>Prices!F2443</f>
        <v/>
      </c>
      <c r="G2443">
        <f>IF(AND(2441&gt;=16,TEXT(A2443,"yyyy-mm")&lt;&gt;TEXT(A2444,"yyyy-mm")),1,0)</f>
        <v/>
      </c>
      <c r="H2443">
        <f>IF(OR(H2442=1,G2443=1),1,0)</f>
        <v/>
      </c>
      <c r="I2443">
        <f>IF(H2442=0,1,SUMPRODUCT(J2442:N2442,B2443:F2443)+O2442*(1+0.00023125256064071564))</f>
        <v/>
      </c>
      <c r="J2443">
        <f>IF(G2443=1,0.2*R2443/B2443,J2442)</f>
        <v/>
      </c>
      <c r="K2443">
        <f>IF(G2443=1,0.2*R2443/C2443,K2442)</f>
        <v/>
      </c>
      <c r="L2443">
        <f>IF(G2443=1,0.2*R2443/D2443,L2442)</f>
        <v/>
      </c>
      <c r="M2443">
        <f>IF(G2443=1,0.2*R2443/E2443,M2442)</f>
        <v/>
      </c>
      <c r="N2443">
        <f>IF(G2443=1,0.2*R2443/F2443,N2442)</f>
        <v/>
      </c>
      <c r="O2443">
        <f>IF(G2443=1,R2443*(1-1.0),IF(H2442=0,1,O2442*(1+0.00023125256064071564)))</f>
        <v/>
      </c>
      <c r="P2443">
        <f>IF(G2443=1,IF(H2442=0,1,ABS(0.2-J2442*B2443/I2443)+ABS(0.2-K2442*C2443/I2443)+ABS(0.2-L2442*D2443/I2443)+ABS(0.2-M2442*E2443/I2443)+ABS(0.2-N2442*F2443/I2443)),0)</f>
        <v/>
      </c>
      <c r="Q2443">
        <f>P2443*0.0015</f>
        <v/>
      </c>
      <c r="R2443">
        <f>I2443*(1-Q2443)</f>
        <v/>
      </c>
      <c r="S2443">
        <f>R2443/R2442-1</f>
        <v/>
      </c>
      <c r="T2443">
        <f>MAX(T2442,R2443)</f>
        <v/>
      </c>
      <c r="U2443">
        <f>R2443/T2443-1</f>
        <v/>
      </c>
      <c r="V2443" t="n">
        <v>6.546114135286786</v>
      </c>
      <c r="W2443" s="5">
        <f>R2443-V2443</f>
        <v/>
      </c>
    </row>
    <row r="2444">
      <c r="A2444" s="3" t="n">
        <v>42034</v>
      </c>
      <c r="B2444">
        <f>Prices!B2444</f>
        <v/>
      </c>
      <c r="C2444">
        <f>Prices!C2444</f>
        <v/>
      </c>
      <c r="D2444">
        <f>Prices!D2444</f>
        <v/>
      </c>
      <c r="E2444">
        <f>Prices!E2444</f>
        <v/>
      </c>
      <c r="F2444">
        <f>Prices!F2444</f>
        <v/>
      </c>
      <c r="G2444">
        <f>IF(AND(2442&gt;=16,TEXT(A2444,"yyyy-mm")&lt;&gt;TEXT(A2445,"yyyy-mm")),1,0)</f>
        <v/>
      </c>
      <c r="H2444">
        <f>IF(OR(H2443=1,G2444=1),1,0)</f>
        <v/>
      </c>
      <c r="I2444">
        <f>IF(H2443=0,1,SUMPRODUCT(J2443:N2443,B2444:F2444)+O2443*(1+0.00023125256064071564))</f>
        <v/>
      </c>
      <c r="J2444">
        <f>IF(G2444=1,0.2*R2444/B2444,J2443)</f>
        <v/>
      </c>
      <c r="K2444">
        <f>IF(G2444=1,0.2*R2444/C2444,K2443)</f>
        <v/>
      </c>
      <c r="L2444">
        <f>IF(G2444=1,0.2*R2444/D2444,L2443)</f>
        <v/>
      </c>
      <c r="M2444">
        <f>IF(G2444=1,0.2*R2444/E2444,M2443)</f>
        <v/>
      </c>
      <c r="N2444">
        <f>IF(G2444=1,0.2*R2444/F2444,N2443)</f>
        <v/>
      </c>
      <c r="O2444">
        <f>IF(G2444=1,R2444*(1-1.0),IF(H2443=0,1,O2443*(1+0.00023125256064071564)))</f>
        <v/>
      </c>
      <c r="P2444">
        <f>IF(G2444=1,IF(H2443=0,1,ABS(0.2-J2443*B2444/I2444)+ABS(0.2-K2443*C2444/I2444)+ABS(0.2-L2443*D2444/I2444)+ABS(0.2-M2443*E2444/I2444)+ABS(0.2-N2443*F2444/I2444)),0)</f>
        <v/>
      </c>
      <c r="Q2444">
        <f>P2444*0.0015</f>
        <v/>
      </c>
      <c r="R2444">
        <f>I2444*(1-Q2444)</f>
        <v/>
      </c>
      <c r="S2444">
        <f>R2444/R2443-1</f>
        <v/>
      </c>
      <c r="T2444">
        <f>MAX(T2443,R2444)</f>
        <v/>
      </c>
      <c r="U2444">
        <f>R2444/T2444-1</f>
        <v/>
      </c>
      <c r="V2444" t="n">
        <v>6.516736298686347</v>
      </c>
      <c r="W2444" s="5">
        <f>R2444-V2444</f>
        <v/>
      </c>
    </row>
    <row r="2445">
      <c r="A2445" s="3" t="n">
        <v>42037</v>
      </c>
      <c r="B2445">
        <f>Prices!B2445</f>
        <v/>
      </c>
      <c r="C2445">
        <f>Prices!C2445</f>
        <v/>
      </c>
      <c r="D2445">
        <f>Prices!D2445</f>
        <v/>
      </c>
      <c r="E2445">
        <f>Prices!E2445</f>
        <v/>
      </c>
      <c r="F2445">
        <f>Prices!F2445</f>
        <v/>
      </c>
      <c r="G2445">
        <f>IF(AND(2443&gt;=16,TEXT(A2445,"yyyy-mm")&lt;&gt;TEXT(A2446,"yyyy-mm")),1,0)</f>
        <v/>
      </c>
      <c r="H2445">
        <f>IF(OR(H2444=1,G2445=1),1,0)</f>
        <v/>
      </c>
      <c r="I2445">
        <f>IF(H2444=0,1,SUMPRODUCT(J2444:N2444,B2445:F2445)+O2444*(1+0.00023125256064071564))</f>
        <v/>
      </c>
      <c r="J2445">
        <f>IF(G2445=1,0.2*R2445/B2445,J2444)</f>
        <v/>
      </c>
      <c r="K2445">
        <f>IF(G2445=1,0.2*R2445/C2445,K2444)</f>
        <v/>
      </c>
      <c r="L2445">
        <f>IF(G2445=1,0.2*R2445/D2445,L2444)</f>
        <v/>
      </c>
      <c r="M2445">
        <f>IF(G2445=1,0.2*R2445/E2445,M2444)</f>
        <v/>
      </c>
      <c r="N2445">
        <f>IF(G2445=1,0.2*R2445/F2445,N2444)</f>
        <v/>
      </c>
      <c r="O2445">
        <f>IF(G2445=1,R2445*(1-1.0),IF(H2444=0,1,O2444*(1+0.00023125256064071564)))</f>
        <v/>
      </c>
      <c r="P2445">
        <f>IF(G2445=1,IF(H2444=0,1,ABS(0.2-J2444*B2445/I2445)+ABS(0.2-K2444*C2445/I2445)+ABS(0.2-L2444*D2445/I2445)+ABS(0.2-M2444*E2445/I2445)+ABS(0.2-N2444*F2445/I2445)),0)</f>
        <v/>
      </c>
      <c r="Q2445">
        <f>P2445*0.0015</f>
        <v/>
      </c>
      <c r="R2445">
        <f>I2445*(1-Q2445)</f>
        <v/>
      </c>
      <c r="S2445">
        <f>R2445/R2444-1</f>
        <v/>
      </c>
      <c r="T2445">
        <f>MAX(T2444,R2445)</f>
        <v/>
      </c>
      <c r="U2445">
        <f>R2445/T2445-1</f>
        <v/>
      </c>
      <c r="V2445" t="n">
        <v>6.531488534676851</v>
      </c>
      <c r="W2445" s="5">
        <f>R2445-V2445</f>
        <v/>
      </c>
    </row>
    <row r="2446">
      <c r="A2446" s="3" t="n">
        <v>42038</v>
      </c>
      <c r="B2446">
        <f>Prices!B2446</f>
        <v/>
      </c>
      <c r="C2446">
        <f>Prices!C2446</f>
        <v/>
      </c>
      <c r="D2446">
        <f>Prices!D2446</f>
        <v/>
      </c>
      <c r="E2446">
        <f>Prices!E2446</f>
        <v/>
      </c>
      <c r="F2446">
        <f>Prices!F2446</f>
        <v/>
      </c>
      <c r="G2446">
        <f>IF(AND(2444&gt;=16,TEXT(A2446,"yyyy-mm")&lt;&gt;TEXT(A2447,"yyyy-mm")),1,0)</f>
        <v/>
      </c>
      <c r="H2446">
        <f>IF(OR(H2445=1,G2446=1),1,0)</f>
        <v/>
      </c>
      <c r="I2446">
        <f>IF(H2445=0,1,SUMPRODUCT(J2445:N2445,B2446:F2446)+O2445*(1+0.00023125256064071564))</f>
        <v/>
      </c>
      <c r="J2446">
        <f>IF(G2446=1,0.2*R2446/B2446,J2445)</f>
        <v/>
      </c>
      <c r="K2446">
        <f>IF(G2446=1,0.2*R2446/C2446,K2445)</f>
        <v/>
      </c>
      <c r="L2446">
        <f>IF(G2446=1,0.2*R2446/D2446,L2445)</f>
        <v/>
      </c>
      <c r="M2446">
        <f>IF(G2446=1,0.2*R2446/E2446,M2445)</f>
        <v/>
      </c>
      <c r="N2446">
        <f>IF(G2446=1,0.2*R2446/F2446,N2445)</f>
        <v/>
      </c>
      <c r="O2446">
        <f>IF(G2446=1,R2446*(1-1.0),IF(H2445=0,1,O2445*(1+0.00023125256064071564)))</f>
        <v/>
      </c>
      <c r="P2446">
        <f>IF(G2446=1,IF(H2445=0,1,ABS(0.2-J2445*B2446/I2446)+ABS(0.2-K2445*C2446/I2446)+ABS(0.2-L2445*D2446/I2446)+ABS(0.2-M2445*E2446/I2446)+ABS(0.2-N2445*F2446/I2446)),0)</f>
        <v/>
      </c>
      <c r="Q2446">
        <f>P2446*0.0015</f>
        <v/>
      </c>
      <c r="R2446">
        <f>I2446*(1-Q2446)</f>
        <v/>
      </c>
      <c r="S2446">
        <f>R2446/R2445-1</f>
        <v/>
      </c>
      <c r="T2446">
        <f>MAX(T2445,R2446)</f>
        <v/>
      </c>
      <c r="U2446">
        <f>R2446/T2446-1</f>
        <v/>
      </c>
      <c r="V2446" t="n">
        <v>6.497671970542619</v>
      </c>
      <c r="W2446" s="5">
        <f>R2446-V2446</f>
        <v/>
      </c>
    </row>
    <row r="2447">
      <c r="A2447" s="3" t="n">
        <v>42039</v>
      </c>
      <c r="B2447">
        <f>Prices!B2447</f>
        <v/>
      </c>
      <c r="C2447">
        <f>Prices!C2447</f>
        <v/>
      </c>
      <c r="D2447">
        <f>Prices!D2447</f>
        <v/>
      </c>
      <c r="E2447">
        <f>Prices!E2447</f>
        <v/>
      </c>
      <c r="F2447">
        <f>Prices!F2447</f>
        <v/>
      </c>
      <c r="G2447">
        <f>IF(AND(2445&gt;=16,TEXT(A2447,"yyyy-mm")&lt;&gt;TEXT(A2448,"yyyy-mm")),1,0)</f>
        <v/>
      </c>
      <c r="H2447">
        <f>IF(OR(H2446=1,G2447=1),1,0)</f>
        <v/>
      </c>
      <c r="I2447">
        <f>IF(H2446=0,1,SUMPRODUCT(J2446:N2446,B2447:F2447)+O2446*(1+0.00023125256064071564))</f>
        <v/>
      </c>
      <c r="J2447">
        <f>IF(G2447=1,0.2*R2447/B2447,J2446)</f>
        <v/>
      </c>
      <c r="K2447">
        <f>IF(G2447=1,0.2*R2447/C2447,K2446)</f>
        <v/>
      </c>
      <c r="L2447">
        <f>IF(G2447=1,0.2*R2447/D2447,L2446)</f>
        <v/>
      </c>
      <c r="M2447">
        <f>IF(G2447=1,0.2*R2447/E2447,M2446)</f>
        <v/>
      </c>
      <c r="N2447">
        <f>IF(G2447=1,0.2*R2447/F2447,N2446)</f>
        <v/>
      </c>
      <c r="O2447">
        <f>IF(G2447=1,R2447*(1-1.0),IF(H2446=0,1,O2446*(1+0.00023125256064071564)))</f>
        <v/>
      </c>
      <c r="P2447">
        <f>IF(G2447=1,IF(H2446=0,1,ABS(0.2-J2446*B2447/I2447)+ABS(0.2-K2446*C2447/I2447)+ABS(0.2-L2446*D2447/I2447)+ABS(0.2-M2446*E2447/I2447)+ABS(0.2-N2446*F2447/I2447)),0)</f>
        <v/>
      </c>
      <c r="Q2447">
        <f>P2447*0.0015</f>
        <v/>
      </c>
      <c r="R2447">
        <f>I2447*(1-Q2447)</f>
        <v/>
      </c>
      <c r="S2447">
        <f>R2447/R2446-1</f>
        <v/>
      </c>
      <c r="T2447">
        <f>MAX(T2446,R2447)</f>
        <v/>
      </c>
      <c r="U2447">
        <f>R2447/T2447-1</f>
        <v/>
      </c>
      <c r="V2447" t="n">
        <v>6.487418339260845</v>
      </c>
      <c r="W2447" s="5">
        <f>R2447-V2447</f>
        <v/>
      </c>
    </row>
    <row r="2448">
      <c r="A2448" s="3" t="n">
        <v>42040</v>
      </c>
      <c r="B2448">
        <f>Prices!B2448</f>
        <v/>
      </c>
      <c r="C2448">
        <f>Prices!C2448</f>
        <v/>
      </c>
      <c r="D2448">
        <f>Prices!D2448</f>
        <v/>
      </c>
      <c r="E2448">
        <f>Prices!E2448</f>
        <v/>
      </c>
      <c r="F2448">
        <f>Prices!F2448</f>
        <v/>
      </c>
      <c r="G2448">
        <f>IF(AND(2446&gt;=16,TEXT(A2448,"yyyy-mm")&lt;&gt;TEXT(A2449,"yyyy-mm")),1,0)</f>
        <v/>
      </c>
      <c r="H2448">
        <f>IF(OR(H2447=1,G2448=1),1,0)</f>
        <v/>
      </c>
      <c r="I2448">
        <f>IF(H2447=0,1,SUMPRODUCT(J2447:N2447,B2448:F2448)+O2447*(1+0.00023125256064071564))</f>
        <v/>
      </c>
      <c r="J2448">
        <f>IF(G2448=1,0.2*R2448/B2448,J2447)</f>
        <v/>
      </c>
      <c r="K2448">
        <f>IF(G2448=1,0.2*R2448/C2448,K2447)</f>
        <v/>
      </c>
      <c r="L2448">
        <f>IF(G2448=1,0.2*R2448/D2448,L2447)</f>
        <v/>
      </c>
      <c r="M2448">
        <f>IF(G2448=1,0.2*R2448/E2448,M2447)</f>
        <v/>
      </c>
      <c r="N2448">
        <f>IF(G2448=1,0.2*R2448/F2448,N2447)</f>
        <v/>
      </c>
      <c r="O2448">
        <f>IF(G2448=1,R2448*(1-1.0),IF(H2447=0,1,O2447*(1+0.00023125256064071564)))</f>
        <v/>
      </c>
      <c r="P2448">
        <f>IF(G2448=1,IF(H2447=0,1,ABS(0.2-J2447*B2448/I2448)+ABS(0.2-K2447*C2448/I2448)+ABS(0.2-L2447*D2448/I2448)+ABS(0.2-M2447*E2448/I2448)+ABS(0.2-N2447*F2448/I2448)),0)</f>
        <v/>
      </c>
      <c r="Q2448">
        <f>P2448*0.0015</f>
        <v/>
      </c>
      <c r="R2448">
        <f>I2448*(1-Q2448)</f>
        <v/>
      </c>
      <c r="S2448">
        <f>R2448/R2447-1</f>
        <v/>
      </c>
      <c r="T2448">
        <f>MAX(T2447,R2448)</f>
        <v/>
      </c>
      <c r="U2448">
        <f>R2448/T2448-1</f>
        <v/>
      </c>
      <c r="V2448" t="n">
        <v>6.431437523271918</v>
      </c>
      <c r="W2448" s="5">
        <f>R2448-V2448</f>
        <v/>
      </c>
    </row>
    <row r="2449">
      <c r="A2449" s="3" t="n">
        <v>42041</v>
      </c>
      <c r="B2449">
        <f>Prices!B2449</f>
        <v/>
      </c>
      <c r="C2449">
        <f>Prices!C2449</f>
        <v/>
      </c>
      <c r="D2449">
        <f>Prices!D2449</f>
        <v/>
      </c>
      <c r="E2449">
        <f>Prices!E2449</f>
        <v/>
      </c>
      <c r="F2449">
        <f>Prices!F2449</f>
        <v/>
      </c>
      <c r="G2449">
        <f>IF(AND(2447&gt;=16,TEXT(A2449,"yyyy-mm")&lt;&gt;TEXT(A2450,"yyyy-mm")),1,0)</f>
        <v/>
      </c>
      <c r="H2449">
        <f>IF(OR(H2448=1,G2449=1),1,0)</f>
        <v/>
      </c>
      <c r="I2449">
        <f>IF(H2448=0,1,SUMPRODUCT(J2448:N2448,B2449:F2449)+O2448*(1+0.00023125256064071564))</f>
        <v/>
      </c>
      <c r="J2449">
        <f>IF(G2449=1,0.2*R2449/B2449,J2448)</f>
        <v/>
      </c>
      <c r="K2449">
        <f>IF(G2449=1,0.2*R2449/C2449,K2448)</f>
        <v/>
      </c>
      <c r="L2449">
        <f>IF(G2449=1,0.2*R2449/D2449,L2448)</f>
        <v/>
      </c>
      <c r="M2449">
        <f>IF(G2449=1,0.2*R2449/E2449,M2448)</f>
        <v/>
      </c>
      <c r="N2449">
        <f>IF(G2449=1,0.2*R2449/F2449,N2448)</f>
        <v/>
      </c>
      <c r="O2449">
        <f>IF(G2449=1,R2449*(1-1.0),IF(H2448=0,1,O2448*(1+0.00023125256064071564)))</f>
        <v/>
      </c>
      <c r="P2449">
        <f>IF(G2449=1,IF(H2448=0,1,ABS(0.2-J2448*B2449/I2449)+ABS(0.2-K2448*C2449/I2449)+ABS(0.2-L2448*D2449/I2449)+ABS(0.2-M2448*E2449/I2449)+ABS(0.2-N2448*F2449/I2449)),0)</f>
        <v/>
      </c>
      <c r="Q2449">
        <f>P2449*0.0015</f>
        <v/>
      </c>
      <c r="R2449">
        <f>I2449*(1-Q2449)</f>
        <v/>
      </c>
      <c r="S2449">
        <f>R2449/R2448-1</f>
        <v/>
      </c>
      <c r="T2449">
        <f>MAX(T2448,R2449)</f>
        <v/>
      </c>
      <c r="U2449">
        <f>R2449/T2449-1</f>
        <v/>
      </c>
      <c r="V2449" t="n">
        <v>6.360223569321724</v>
      </c>
      <c r="W2449" s="5">
        <f>R2449-V2449</f>
        <v/>
      </c>
    </row>
    <row r="2450">
      <c r="A2450" s="3" t="n">
        <v>42044</v>
      </c>
      <c r="B2450">
        <f>Prices!B2450</f>
        <v/>
      </c>
      <c r="C2450">
        <f>Prices!C2450</f>
        <v/>
      </c>
      <c r="D2450">
        <f>Prices!D2450</f>
        <v/>
      </c>
      <c r="E2450">
        <f>Prices!E2450</f>
        <v/>
      </c>
      <c r="F2450">
        <f>Prices!F2450</f>
        <v/>
      </c>
      <c r="G2450">
        <f>IF(AND(2448&gt;=16,TEXT(A2450,"yyyy-mm")&lt;&gt;TEXT(A2451,"yyyy-mm")),1,0)</f>
        <v/>
      </c>
      <c r="H2450">
        <f>IF(OR(H2449=1,G2450=1),1,0)</f>
        <v/>
      </c>
      <c r="I2450">
        <f>IF(H2449=0,1,SUMPRODUCT(J2449:N2449,B2450:F2450)+O2449*(1+0.00023125256064071564))</f>
        <v/>
      </c>
      <c r="J2450">
        <f>IF(G2450=1,0.2*R2450/B2450,J2449)</f>
        <v/>
      </c>
      <c r="K2450">
        <f>IF(G2450=1,0.2*R2450/C2450,K2449)</f>
        <v/>
      </c>
      <c r="L2450">
        <f>IF(G2450=1,0.2*R2450/D2450,L2449)</f>
        <v/>
      </c>
      <c r="M2450">
        <f>IF(G2450=1,0.2*R2450/E2450,M2449)</f>
        <v/>
      </c>
      <c r="N2450">
        <f>IF(G2450=1,0.2*R2450/F2450,N2449)</f>
        <v/>
      </c>
      <c r="O2450">
        <f>IF(G2450=1,R2450*(1-1.0),IF(H2449=0,1,O2449*(1+0.00023125256064071564)))</f>
        <v/>
      </c>
      <c r="P2450">
        <f>IF(G2450=1,IF(H2449=0,1,ABS(0.2-J2449*B2450/I2450)+ABS(0.2-K2449*C2450/I2450)+ABS(0.2-L2449*D2450/I2450)+ABS(0.2-M2449*E2450/I2450)+ABS(0.2-N2449*F2450/I2450)),0)</f>
        <v/>
      </c>
      <c r="Q2450">
        <f>P2450*0.0015</f>
        <v/>
      </c>
      <c r="R2450">
        <f>I2450*(1-Q2450)</f>
        <v/>
      </c>
      <c r="S2450">
        <f>R2450/R2449-1</f>
        <v/>
      </c>
      <c r="T2450">
        <f>MAX(T2449,R2450)</f>
        <v/>
      </c>
      <c r="U2450">
        <f>R2450/T2450-1</f>
        <v/>
      </c>
      <c r="V2450" t="n">
        <v>6.258891812016491</v>
      </c>
      <c r="W2450" s="5">
        <f>R2450-V2450</f>
        <v/>
      </c>
    </row>
    <row r="2451">
      <c r="A2451" s="3" t="n">
        <v>42045</v>
      </c>
      <c r="B2451">
        <f>Prices!B2451</f>
        <v/>
      </c>
      <c r="C2451">
        <f>Prices!C2451</f>
        <v/>
      </c>
      <c r="D2451">
        <f>Prices!D2451</f>
        <v/>
      </c>
      <c r="E2451">
        <f>Prices!E2451</f>
        <v/>
      </c>
      <c r="F2451">
        <f>Prices!F2451</f>
        <v/>
      </c>
      <c r="G2451">
        <f>IF(AND(2449&gt;=16,TEXT(A2451,"yyyy-mm")&lt;&gt;TEXT(A2452,"yyyy-mm")),1,0)</f>
        <v/>
      </c>
      <c r="H2451">
        <f>IF(OR(H2450=1,G2451=1),1,0)</f>
        <v/>
      </c>
      <c r="I2451">
        <f>IF(H2450=0,1,SUMPRODUCT(J2450:N2450,B2451:F2451)+O2450*(1+0.00023125256064071564))</f>
        <v/>
      </c>
      <c r="J2451">
        <f>IF(G2451=1,0.2*R2451/B2451,J2450)</f>
        <v/>
      </c>
      <c r="K2451">
        <f>IF(G2451=1,0.2*R2451/C2451,K2450)</f>
        <v/>
      </c>
      <c r="L2451">
        <f>IF(G2451=1,0.2*R2451/D2451,L2450)</f>
        <v/>
      </c>
      <c r="M2451">
        <f>IF(G2451=1,0.2*R2451/E2451,M2450)</f>
        <v/>
      </c>
      <c r="N2451">
        <f>IF(G2451=1,0.2*R2451/F2451,N2450)</f>
        <v/>
      </c>
      <c r="O2451">
        <f>IF(G2451=1,R2451*(1-1.0),IF(H2450=0,1,O2450*(1+0.00023125256064071564)))</f>
        <v/>
      </c>
      <c r="P2451">
        <f>IF(G2451=1,IF(H2450=0,1,ABS(0.2-J2450*B2451/I2451)+ABS(0.2-K2450*C2451/I2451)+ABS(0.2-L2450*D2451/I2451)+ABS(0.2-M2450*E2451/I2451)+ABS(0.2-N2450*F2451/I2451)),0)</f>
        <v/>
      </c>
      <c r="Q2451">
        <f>P2451*0.0015</f>
        <v/>
      </c>
      <c r="R2451">
        <f>I2451*(1-Q2451)</f>
        <v/>
      </c>
      <c r="S2451">
        <f>R2451/R2450-1</f>
        <v/>
      </c>
      <c r="T2451">
        <f>MAX(T2450,R2451)</f>
        <v/>
      </c>
      <c r="U2451">
        <f>R2451/T2451-1</f>
        <v/>
      </c>
      <c r="V2451" t="n">
        <v>6.284128379591693</v>
      </c>
      <c r="W2451" s="5">
        <f>R2451-V2451</f>
        <v/>
      </c>
    </row>
    <row r="2452">
      <c r="A2452" s="3" t="n">
        <v>42046</v>
      </c>
      <c r="B2452">
        <f>Prices!B2452</f>
        <v/>
      </c>
      <c r="C2452">
        <f>Prices!C2452</f>
        <v/>
      </c>
      <c r="D2452">
        <f>Prices!D2452</f>
        <v/>
      </c>
      <c r="E2452">
        <f>Prices!E2452</f>
        <v/>
      </c>
      <c r="F2452">
        <f>Prices!F2452</f>
        <v/>
      </c>
      <c r="G2452">
        <f>IF(AND(2450&gt;=16,TEXT(A2452,"yyyy-mm")&lt;&gt;TEXT(A2453,"yyyy-mm")),1,0)</f>
        <v/>
      </c>
      <c r="H2452">
        <f>IF(OR(H2451=1,G2452=1),1,0)</f>
        <v/>
      </c>
      <c r="I2452">
        <f>IF(H2451=0,1,SUMPRODUCT(J2451:N2451,B2452:F2452)+O2451*(1+0.00023125256064071564))</f>
        <v/>
      </c>
      <c r="J2452">
        <f>IF(G2452=1,0.2*R2452/B2452,J2451)</f>
        <v/>
      </c>
      <c r="K2452">
        <f>IF(G2452=1,0.2*R2452/C2452,K2451)</f>
        <v/>
      </c>
      <c r="L2452">
        <f>IF(G2452=1,0.2*R2452/D2452,L2451)</f>
        <v/>
      </c>
      <c r="M2452">
        <f>IF(G2452=1,0.2*R2452/E2452,M2451)</f>
        <v/>
      </c>
      <c r="N2452">
        <f>IF(G2452=1,0.2*R2452/F2452,N2451)</f>
        <v/>
      </c>
      <c r="O2452">
        <f>IF(G2452=1,R2452*(1-1.0),IF(H2451=0,1,O2451*(1+0.00023125256064071564)))</f>
        <v/>
      </c>
      <c r="P2452">
        <f>IF(G2452=1,IF(H2451=0,1,ABS(0.2-J2451*B2452/I2452)+ABS(0.2-K2451*C2452/I2452)+ABS(0.2-L2451*D2452/I2452)+ABS(0.2-M2451*E2452/I2452)+ABS(0.2-N2451*F2452/I2452)),0)</f>
        <v/>
      </c>
      <c r="Q2452">
        <f>P2452*0.0015</f>
        <v/>
      </c>
      <c r="R2452">
        <f>I2452*(1-Q2452)</f>
        <v/>
      </c>
      <c r="S2452">
        <f>R2452/R2451-1</f>
        <v/>
      </c>
      <c r="T2452">
        <f>MAX(T2451,R2452)</f>
        <v/>
      </c>
      <c r="U2452">
        <f>R2452/T2452-1</f>
        <v/>
      </c>
      <c r="V2452" t="n">
        <v>6.401862159737478</v>
      </c>
      <c r="W2452" s="5">
        <f>R2452-V2452</f>
        <v/>
      </c>
    </row>
    <row r="2453">
      <c r="A2453" s="3" t="n">
        <v>42047</v>
      </c>
      <c r="B2453">
        <f>Prices!B2453</f>
        <v/>
      </c>
      <c r="C2453">
        <f>Prices!C2453</f>
        <v/>
      </c>
      <c r="D2453">
        <f>Prices!D2453</f>
        <v/>
      </c>
      <c r="E2453">
        <f>Prices!E2453</f>
        <v/>
      </c>
      <c r="F2453">
        <f>Prices!F2453</f>
        <v/>
      </c>
      <c r="G2453">
        <f>IF(AND(2451&gt;=16,TEXT(A2453,"yyyy-mm")&lt;&gt;TEXT(A2454,"yyyy-mm")),1,0)</f>
        <v/>
      </c>
      <c r="H2453">
        <f>IF(OR(H2452=1,G2453=1),1,0)</f>
        <v/>
      </c>
      <c r="I2453">
        <f>IF(H2452=0,1,SUMPRODUCT(J2452:N2452,B2453:F2453)+O2452*(1+0.00023125256064071564))</f>
        <v/>
      </c>
      <c r="J2453">
        <f>IF(G2453=1,0.2*R2453/B2453,J2452)</f>
        <v/>
      </c>
      <c r="K2453">
        <f>IF(G2453=1,0.2*R2453/C2453,K2452)</f>
        <v/>
      </c>
      <c r="L2453">
        <f>IF(G2453=1,0.2*R2453/D2453,L2452)</f>
        <v/>
      </c>
      <c r="M2453">
        <f>IF(G2453=1,0.2*R2453/E2453,M2452)</f>
        <v/>
      </c>
      <c r="N2453">
        <f>IF(G2453=1,0.2*R2453/F2453,N2452)</f>
        <v/>
      </c>
      <c r="O2453">
        <f>IF(G2453=1,R2453*(1-1.0),IF(H2452=0,1,O2452*(1+0.00023125256064071564)))</f>
        <v/>
      </c>
      <c r="P2453">
        <f>IF(G2453=1,IF(H2452=0,1,ABS(0.2-J2452*B2453/I2453)+ABS(0.2-K2452*C2453/I2453)+ABS(0.2-L2452*D2453/I2453)+ABS(0.2-M2452*E2453/I2453)+ABS(0.2-N2452*F2453/I2453)),0)</f>
        <v/>
      </c>
      <c r="Q2453">
        <f>P2453*0.0015</f>
        <v/>
      </c>
      <c r="R2453">
        <f>I2453*(1-Q2453)</f>
        <v/>
      </c>
      <c r="S2453">
        <f>R2453/R2452-1</f>
        <v/>
      </c>
      <c r="T2453">
        <f>MAX(T2452,R2453)</f>
        <v/>
      </c>
      <c r="U2453">
        <f>R2453/T2453-1</f>
        <v/>
      </c>
      <c r="V2453" t="n">
        <v>6.473877026268197</v>
      </c>
      <c r="W2453" s="5">
        <f>R2453-V2453</f>
        <v/>
      </c>
    </row>
    <row r="2454">
      <c r="A2454" s="3" t="n">
        <v>42048</v>
      </c>
      <c r="B2454">
        <f>Prices!B2454</f>
        <v/>
      </c>
      <c r="C2454">
        <f>Prices!C2454</f>
        <v/>
      </c>
      <c r="D2454">
        <f>Prices!D2454</f>
        <v/>
      </c>
      <c r="E2454">
        <f>Prices!E2454</f>
        <v/>
      </c>
      <c r="F2454">
        <f>Prices!F2454</f>
        <v/>
      </c>
      <c r="G2454">
        <f>IF(AND(2452&gt;=16,TEXT(A2454,"yyyy-mm")&lt;&gt;TEXT(A2455,"yyyy-mm")),1,0)</f>
        <v/>
      </c>
      <c r="H2454">
        <f>IF(OR(H2453=1,G2454=1),1,0)</f>
        <v/>
      </c>
      <c r="I2454">
        <f>IF(H2453=0,1,SUMPRODUCT(J2453:N2453,B2454:F2454)+O2453*(1+0.00023125256064071564))</f>
        <v/>
      </c>
      <c r="J2454">
        <f>IF(G2454=1,0.2*R2454/B2454,J2453)</f>
        <v/>
      </c>
      <c r="K2454">
        <f>IF(G2454=1,0.2*R2454/C2454,K2453)</f>
        <v/>
      </c>
      <c r="L2454">
        <f>IF(G2454=1,0.2*R2454/D2454,L2453)</f>
        <v/>
      </c>
      <c r="M2454">
        <f>IF(G2454=1,0.2*R2454/E2454,M2453)</f>
        <v/>
      </c>
      <c r="N2454">
        <f>IF(G2454=1,0.2*R2454/F2454,N2453)</f>
        <v/>
      </c>
      <c r="O2454">
        <f>IF(G2454=1,R2454*(1-1.0),IF(H2453=0,1,O2453*(1+0.00023125256064071564)))</f>
        <v/>
      </c>
      <c r="P2454">
        <f>IF(G2454=1,IF(H2453=0,1,ABS(0.2-J2453*B2454/I2454)+ABS(0.2-K2453*C2454/I2454)+ABS(0.2-L2453*D2454/I2454)+ABS(0.2-M2453*E2454/I2454)+ABS(0.2-N2453*F2454/I2454)),0)</f>
        <v/>
      </c>
      <c r="Q2454">
        <f>P2454*0.0015</f>
        <v/>
      </c>
      <c r="R2454">
        <f>I2454*(1-Q2454)</f>
        <v/>
      </c>
      <c r="S2454">
        <f>R2454/R2453-1</f>
        <v/>
      </c>
      <c r="T2454">
        <f>MAX(T2453,R2454)</f>
        <v/>
      </c>
      <c r="U2454">
        <f>R2454/T2454-1</f>
        <v/>
      </c>
      <c r="V2454" t="n">
        <v>6.534126344052383</v>
      </c>
      <c r="W2454" s="5">
        <f>R2454-V2454</f>
        <v/>
      </c>
    </row>
    <row r="2455">
      <c r="A2455" s="3" t="n">
        <v>42051</v>
      </c>
      <c r="B2455">
        <f>Prices!B2455</f>
        <v/>
      </c>
      <c r="C2455">
        <f>Prices!C2455</f>
        <v/>
      </c>
      <c r="D2455">
        <f>Prices!D2455</f>
        <v/>
      </c>
      <c r="E2455">
        <f>Prices!E2455</f>
        <v/>
      </c>
      <c r="F2455">
        <f>Prices!F2455</f>
        <v/>
      </c>
      <c r="G2455">
        <f>IF(AND(2453&gt;=16,TEXT(A2455,"yyyy-mm")&lt;&gt;TEXT(A2456,"yyyy-mm")),1,0)</f>
        <v/>
      </c>
      <c r="H2455">
        <f>IF(OR(H2454=1,G2455=1),1,0)</f>
        <v/>
      </c>
      <c r="I2455">
        <f>IF(H2454=0,1,SUMPRODUCT(J2454:N2454,B2455:F2455)+O2454*(1+0.00023125256064071564))</f>
        <v/>
      </c>
      <c r="J2455">
        <f>IF(G2455=1,0.2*R2455/B2455,J2454)</f>
        <v/>
      </c>
      <c r="K2455">
        <f>IF(G2455=1,0.2*R2455/C2455,K2454)</f>
        <v/>
      </c>
      <c r="L2455">
        <f>IF(G2455=1,0.2*R2455/D2455,L2454)</f>
        <v/>
      </c>
      <c r="M2455">
        <f>IF(G2455=1,0.2*R2455/E2455,M2454)</f>
        <v/>
      </c>
      <c r="N2455">
        <f>IF(G2455=1,0.2*R2455/F2455,N2454)</f>
        <v/>
      </c>
      <c r="O2455">
        <f>IF(G2455=1,R2455*(1-1.0),IF(H2454=0,1,O2454*(1+0.00023125256064071564)))</f>
        <v/>
      </c>
      <c r="P2455">
        <f>IF(G2455=1,IF(H2454=0,1,ABS(0.2-J2454*B2455/I2455)+ABS(0.2-K2454*C2455/I2455)+ABS(0.2-L2454*D2455/I2455)+ABS(0.2-M2454*E2455/I2455)+ABS(0.2-N2454*F2455/I2455)),0)</f>
        <v/>
      </c>
      <c r="Q2455">
        <f>P2455*0.0015</f>
        <v/>
      </c>
      <c r="R2455">
        <f>I2455*(1-Q2455)</f>
        <v/>
      </c>
      <c r="S2455">
        <f>R2455/R2454-1</f>
        <v/>
      </c>
      <c r="T2455">
        <f>MAX(T2454,R2455)</f>
        <v/>
      </c>
      <c r="U2455">
        <f>R2455/T2455-1</f>
        <v/>
      </c>
      <c r="V2455" t="n">
        <v>6.528915691679653</v>
      </c>
      <c r="W2455" s="5">
        <f>R2455-V2455</f>
        <v/>
      </c>
    </row>
    <row r="2456">
      <c r="A2456" s="3" t="n">
        <v>42053</v>
      </c>
      <c r="B2456">
        <f>Prices!B2456</f>
        <v/>
      </c>
      <c r="C2456">
        <f>Prices!C2456</f>
        <v/>
      </c>
      <c r="D2456">
        <f>Prices!D2456</f>
        <v/>
      </c>
      <c r="E2456">
        <f>Prices!E2456</f>
        <v/>
      </c>
      <c r="F2456">
        <f>Prices!F2456</f>
        <v/>
      </c>
      <c r="G2456">
        <f>IF(AND(2454&gt;=16,TEXT(A2456,"yyyy-mm")&lt;&gt;TEXT(A2457,"yyyy-mm")),1,0)</f>
        <v/>
      </c>
      <c r="H2456">
        <f>IF(OR(H2455=1,G2456=1),1,0)</f>
        <v/>
      </c>
      <c r="I2456">
        <f>IF(H2455=0,1,SUMPRODUCT(J2455:N2455,B2456:F2456)+O2455*(1+0.00023125256064071564))</f>
        <v/>
      </c>
      <c r="J2456">
        <f>IF(G2456=1,0.2*R2456/B2456,J2455)</f>
        <v/>
      </c>
      <c r="K2456">
        <f>IF(G2456=1,0.2*R2456/C2456,K2455)</f>
        <v/>
      </c>
      <c r="L2456">
        <f>IF(G2456=1,0.2*R2456/D2456,L2455)</f>
        <v/>
      </c>
      <c r="M2456">
        <f>IF(G2456=1,0.2*R2456/E2456,M2455)</f>
        <v/>
      </c>
      <c r="N2456">
        <f>IF(G2456=1,0.2*R2456/F2456,N2455)</f>
        <v/>
      </c>
      <c r="O2456">
        <f>IF(G2456=1,R2456*(1-1.0),IF(H2455=0,1,O2455*(1+0.00023125256064071564)))</f>
        <v/>
      </c>
      <c r="P2456">
        <f>IF(G2456=1,IF(H2455=0,1,ABS(0.2-J2455*B2456/I2456)+ABS(0.2-K2455*C2456/I2456)+ABS(0.2-L2455*D2456/I2456)+ABS(0.2-M2455*E2456/I2456)+ABS(0.2-N2455*F2456/I2456)),0)</f>
        <v/>
      </c>
      <c r="Q2456">
        <f>P2456*0.0015</f>
        <v/>
      </c>
      <c r="R2456">
        <f>I2456*(1-Q2456)</f>
        <v/>
      </c>
      <c r="S2456">
        <f>R2456/R2455-1</f>
        <v/>
      </c>
      <c r="T2456">
        <f>MAX(T2455,R2456)</f>
        <v/>
      </c>
      <c r="U2456">
        <f>R2456/T2456-1</f>
        <v/>
      </c>
      <c r="V2456" t="n">
        <v>6.586356006440833</v>
      </c>
      <c r="W2456" s="5">
        <f>R2456-V2456</f>
        <v/>
      </c>
    </row>
    <row r="2457">
      <c r="A2457" s="3" t="n">
        <v>42054</v>
      </c>
      <c r="B2457">
        <f>Prices!B2457</f>
        <v/>
      </c>
      <c r="C2457">
        <f>Prices!C2457</f>
        <v/>
      </c>
      <c r="D2457">
        <f>Prices!D2457</f>
        <v/>
      </c>
      <c r="E2457">
        <f>Prices!E2457</f>
        <v/>
      </c>
      <c r="F2457">
        <f>Prices!F2457</f>
        <v/>
      </c>
      <c r="G2457">
        <f>IF(AND(2455&gt;=16,TEXT(A2457,"yyyy-mm")&lt;&gt;TEXT(A2458,"yyyy-mm")),1,0)</f>
        <v/>
      </c>
      <c r="H2457">
        <f>IF(OR(H2456=1,G2457=1),1,0)</f>
        <v/>
      </c>
      <c r="I2457">
        <f>IF(H2456=0,1,SUMPRODUCT(J2456:N2456,B2457:F2457)+O2456*(1+0.00023125256064071564))</f>
        <v/>
      </c>
      <c r="J2457">
        <f>IF(G2457=1,0.2*R2457/B2457,J2456)</f>
        <v/>
      </c>
      <c r="K2457">
        <f>IF(G2457=1,0.2*R2457/C2457,K2456)</f>
        <v/>
      </c>
      <c r="L2457">
        <f>IF(G2457=1,0.2*R2457/D2457,L2456)</f>
        <v/>
      </c>
      <c r="M2457">
        <f>IF(G2457=1,0.2*R2457/E2457,M2456)</f>
        <v/>
      </c>
      <c r="N2457">
        <f>IF(G2457=1,0.2*R2457/F2457,N2456)</f>
        <v/>
      </c>
      <c r="O2457">
        <f>IF(G2457=1,R2457*(1-1.0),IF(H2456=0,1,O2456*(1+0.00023125256064071564)))</f>
        <v/>
      </c>
      <c r="P2457">
        <f>IF(G2457=1,IF(H2456=0,1,ABS(0.2-J2456*B2457/I2457)+ABS(0.2-K2456*C2457/I2457)+ABS(0.2-L2456*D2457/I2457)+ABS(0.2-M2456*E2457/I2457)+ABS(0.2-N2456*F2457/I2457)),0)</f>
        <v/>
      </c>
      <c r="Q2457">
        <f>P2457*0.0015</f>
        <v/>
      </c>
      <c r="R2457">
        <f>I2457*(1-Q2457)</f>
        <v/>
      </c>
      <c r="S2457">
        <f>R2457/R2456-1</f>
        <v/>
      </c>
      <c r="T2457">
        <f>MAX(T2456,R2457)</f>
        <v/>
      </c>
      <c r="U2457">
        <f>R2457/T2457-1</f>
        <v/>
      </c>
      <c r="V2457" t="n">
        <v>6.581120199628873</v>
      </c>
      <c r="W2457" s="5">
        <f>R2457-V2457</f>
        <v/>
      </c>
    </row>
    <row r="2458">
      <c r="A2458" s="3" t="n">
        <v>42055</v>
      </c>
      <c r="B2458">
        <f>Prices!B2458</f>
        <v/>
      </c>
      <c r="C2458">
        <f>Prices!C2458</f>
        <v/>
      </c>
      <c r="D2458">
        <f>Prices!D2458</f>
        <v/>
      </c>
      <c r="E2458">
        <f>Prices!E2458</f>
        <v/>
      </c>
      <c r="F2458">
        <f>Prices!F2458</f>
        <v/>
      </c>
      <c r="G2458">
        <f>IF(AND(2456&gt;=16,TEXT(A2458,"yyyy-mm")&lt;&gt;TEXT(A2459,"yyyy-mm")),1,0)</f>
        <v/>
      </c>
      <c r="H2458">
        <f>IF(OR(H2457=1,G2458=1),1,0)</f>
        <v/>
      </c>
      <c r="I2458">
        <f>IF(H2457=0,1,SUMPRODUCT(J2457:N2457,B2458:F2458)+O2457*(1+0.00023125256064071564))</f>
        <v/>
      </c>
      <c r="J2458">
        <f>IF(G2458=1,0.2*R2458/B2458,J2457)</f>
        <v/>
      </c>
      <c r="K2458">
        <f>IF(G2458=1,0.2*R2458/C2458,K2457)</f>
        <v/>
      </c>
      <c r="L2458">
        <f>IF(G2458=1,0.2*R2458/D2458,L2457)</f>
        <v/>
      </c>
      <c r="M2458">
        <f>IF(G2458=1,0.2*R2458/E2458,M2457)</f>
        <v/>
      </c>
      <c r="N2458">
        <f>IF(G2458=1,0.2*R2458/F2458,N2457)</f>
        <v/>
      </c>
      <c r="O2458">
        <f>IF(G2458=1,R2458*(1-1.0),IF(H2457=0,1,O2457*(1+0.00023125256064071564)))</f>
        <v/>
      </c>
      <c r="P2458">
        <f>IF(G2458=1,IF(H2457=0,1,ABS(0.2-J2457*B2458/I2458)+ABS(0.2-K2457*C2458/I2458)+ABS(0.2-L2457*D2458/I2458)+ABS(0.2-M2457*E2458/I2458)+ABS(0.2-N2457*F2458/I2458)),0)</f>
        <v/>
      </c>
      <c r="Q2458">
        <f>P2458*0.0015</f>
        <v/>
      </c>
      <c r="R2458">
        <f>I2458*(1-Q2458)</f>
        <v/>
      </c>
      <c r="S2458">
        <f>R2458/R2457-1</f>
        <v/>
      </c>
      <c r="T2458">
        <f>MAX(T2457,R2458)</f>
        <v/>
      </c>
      <c r="U2458">
        <f>R2458/T2458-1</f>
        <v/>
      </c>
      <c r="V2458" t="n">
        <v>6.570229976068129</v>
      </c>
      <c r="W2458" s="5">
        <f>R2458-V2458</f>
        <v/>
      </c>
    </row>
    <row r="2459">
      <c r="A2459" s="3" t="n">
        <v>42058</v>
      </c>
      <c r="B2459">
        <f>Prices!B2459</f>
        <v/>
      </c>
      <c r="C2459">
        <f>Prices!C2459</f>
        <v/>
      </c>
      <c r="D2459">
        <f>Prices!D2459</f>
        <v/>
      </c>
      <c r="E2459">
        <f>Prices!E2459</f>
        <v/>
      </c>
      <c r="F2459">
        <f>Prices!F2459</f>
        <v/>
      </c>
      <c r="G2459">
        <f>IF(AND(2457&gt;=16,TEXT(A2459,"yyyy-mm")&lt;&gt;TEXT(A2460,"yyyy-mm")),1,0)</f>
        <v/>
      </c>
      <c r="H2459">
        <f>IF(OR(H2458=1,G2459=1),1,0)</f>
        <v/>
      </c>
      <c r="I2459">
        <f>IF(H2458=0,1,SUMPRODUCT(J2458:N2458,B2459:F2459)+O2458*(1+0.00023125256064071564))</f>
        <v/>
      </c>
      <c r="J2459">
        <f>IF(G2459=1,0.2*R2459/B2459,J2458)</f>
        <v/>
      </c>
      <c r="K2459">
        <f>IF(G2459=1,0.2*R2459/C2459,K2458)</f>
        <v/>
      </c>
      <c r="L2459">
        <f>IF(G2459=1,0.2*R2459/D2459,L2458)</f>
        <v/>
      </c>
      <c r="M2459">
        <f>IF(G2459=1,0.2*R2459/E2459,M2458)</f>
        <v/>
      </c>
      <c r="N2459">
        <f>IF(G2459=1,0.2*R2459/F2459,N2458)</f>
        <v/>
      </c>
      <c r="O2459">
        <f>IF(G2459=1,R2459*(1-1.0),IF(H2458=0,1,O2458*(1+0.00023125256064071564)))</f>
        <v/>
      </c>
      <c r="P2459">
        <f>IF(G2459=1,IF(H2458=0,1,ABS(0.2-J2458*B2459/I2459)+ABS(0.2-K2458*C2459/I2459)+ABS(0.2-L2458*D2459/I2459)+ABS(0.2-M2458*E2459/I2459)+ABS(0.2-N2458*F2459/I2459)),0)</f>
        <v/>
      </c>
      <c r="Q2459">
        <f>P2459*0.0015</f>
        <v/>
      </c>
      <c r="R2459">
        <f>I2459*(1-Q2459)</f>
        <v/>
      </c>
      <c r="S2459">
        <f>R2459/R2458-1</f>
        <v/>
      </c>
      <c r="T2459">
        <f>MAX(T2458,R2459)</f>
        <v/>
      </c>
      <c r="U2459">
        <f>R2459/T2459-1</f>
        <v/>
      </c>
      <c r="V2459" t="n">
        <v>6.513556121860682</v>
      </c>
      <c r="W2459" s="5">
        <f>R2459-V2459</f>
        <v/>
      </c>
    </row>
    <row r="2460">
      <c r="A2460" s="3" t="n">
        <v>42059</v>
      </c>
      <c r="B2460">
        <f>Prices!B2460</f>
        <v/>
      </c>
      <c r="C2460">
        <f>Prices!C2460</f>
        <v/>
      </c>
      <c r="D2460">
        <f>Prices!D2460</f>
        <v/>
      </c>
      <c r="E2460">
        <f>Prices!E2460</f>
        <v/>
      </c>
      <c r="F2460">
        <f>Prices!F2460</f>
        <v/>
      </c>
      <c r="G2460">
        <f>IF(AND(2458&gt;=16,TEXT(A2460,"yyyy-mm")&lt;&gt;TEXT(A2461,"yyyy-mm")),1,0)</f>
        <v/>
      </c>
      <c r="H2460">
        <f>IF(OR(H2459=1,G2460=1),1,0)</f>
        <v/>
      </c>
      <c r="I2460">
        <f>IF(H2459=0,1,SUMPRODUCT(J2459:N2459,B2460:F2460)+O2459*(1+0.00023125256064071564))</f>
        <v/>
      </c>
      <c r="J2460">
        <f>IF(G2460=1,0.2*R2460/B2460,J2459)</f>
        <v/>
      </c>
      <c r="K2460">
        <f>IF(G2460=1,0.2*R2460/C2460,K2459)</f>
        <v/>
      </c>
      <c r="L2460">
        <f>IF(G2460=1,0.2*R2460/D2460,L2459)</f>
        <v/>
      </c>
      <c r="M2460">
        <f>IF(G2460=1,0.2*R2460/E2460,M2459)</f>
        <v/>
      </c>
      <c r="N2460">
        <f>IF(G2460=1,0.2*R2460/F2460,N2459)</f>
        <v/>
      </c>
      <c r="O2460">
        <f>IF(G2460=1,R2460*(1-1.0),IF(H2459=0,1,O2459*(1+0.00023125256064071564)))</f>
        <v/>
      </c>
      <c r="P2460">
        <f>IF(G2460=1,IF(H2459=0,1,ABS(0.2-J2459*B2460/I2460)+ABS(0.2-K2459*C2460/I2460)+ABS(0.2-L2459*D2460/I2460)+ABS(0.2-M2459*E2460/I2460)+ABS(0.2-N2459*F2460/I2460)),0)</f>
        <v/>
      </c>
      <c r="Q2460">
        <f>P2460*0.0015</f>
        <v/>
      </c>
      <c r="R2460">
        <f>I2460*(1-Q2460)</f>
        <v/>
      </c>
      <c r="S2460">
        <f>R2460/R2459-1</f>
        <v/>
      </c>
      <c r="T2460">
        <f>MAX(T2459,R2460)</f>
        <v/>
      </c>
      <c r="U2460">
        <f>R2460/T2460-1</f>
        <v/>
      </c>
      <c r="V2460" t="n">
        <v>6.508955324709455</v>
      </c>
      <c r="W2460" s="5">
        <f>R2460-V2460</f>
        <v/>
      </c>
    </row>
    <row r="2461">
      <c r="A2461" s="3" t="n">
        <v>42060</v>
      </c>
      <c r="B2461">
        <f>Prices!B2461</f>
        <v/>
      </c>
      <c r="C2461">
        <f>Prices!C2461</f>
        <v/>
      </c>
      <c r="D2461">
        <f>Prices!D2461</f>
        <v/>
      </c>
      <c r="E2461">
        <f>Prices!E2461</f>
        <v/>
      </c>
      <c r="F2461">
        <f>Prices!F2461</f>
        <v/>
      </c>
      <c r="G2461">
        <f>IF(AND(2459&gt;=16,TEXT(A2461,"yyyy-mm")&lt;&gt;TEXT(A2462,"yyyy-mm")),1,0)</f>
        <v/>
      </c>
      <c r="H2461">
        <f>IF(OR(H2460=1,G2461=1),1,0)</f>
        <v/>
      </c>
      <c r="I2461">
        <f>IF(H2460=0,1,SUMPRODUCT(J2460:N2460,B2461:F2461)+O2460*(1+0.00023125256064071564))</f>
        <v/>
      </c>
      <c r="J2461">
        <f>IF(G2461=1,0.2*R2461/B2461,J2460)</f>
        <v/>
      </c>
      <c r="K2461">
        <f>IF(G2461=1,0.2*R2461/C2461,K2460)</f>
        <v/>
      </c>
      <c r="L2461">
        <f>IF(G2461=1,0.2*R2461/D2461,L2460)</f>
        <v/>
      </c>
      <c r="M2461">
        <f>IF(G2461=1,0.2*R2461/E2461,M2460)</f>
        <v/>
      </c>
      <c r="N2461">
        <f>IF(G2461=1,0.2*R2461/F2461,N2460)</f>
        <v/>
      </c>
      <c r="O2461">
        <f>IF(G2461=1,R2461*(1-1.0),IF(H2460=0,1,O2460*(1+0.00023125256064071564)))</f>
        <v/>
      </c>
      <c r="P2461">
        <f>IF(G2461=1,IF(H2460=0,1,ABS(0.2-J2460*B2461/I2461)+ABS(0.2-K2460*C2461/I2461)+ABS(0.2-L2460*D2461/I2461)+ABS(0.2-M2460*E2461/I2461)+ABS(0.2-N2460*F2461/I2461)),0)</f>
        <v/>
      </c>
      <c r="Q2461">
        <f>P2461*0.0015</f>
        <v/>
      </c>
      <c r="R2461">
        <f>I2461*(1-Q2461)</f>
        <v/>
      </c>
      <c r="S2461">
        <f>R2461/R2460-1</f>
        <v/>
      </c>
      <c r="T2461">
        <f>MAX(T2460,R2461)</f>
        <v/>
      </c>
      <c r="U2461">
        <f>R2461/T2461-1</f>
        <v/>
      </c>
      <c r="V2461" t="n">
        <v>6.503648379729576</v>
      </c>
      <c r="W2461" s="5">
        <f>R2461-V2461</f>
        <v/>
      </c>
    </row>
    <row r="2462">
      <c r="A2462" s="3" t="n">
        <v>42061</v>
      </c>
      <c r="B2462">
        <f>Prices!B2462</f>
        <v/>
      </c>
      <c r="C2462">
        <f>Prices!C2462</f>
        <v/>
      </c>
      <c r="D2462">
        <f>Prices!D2462</f>
        <v/>
      </c>
      <c r="E2462">
        <f>Prices!E2462</f>
        <v/>
      </c>
      <c r="F2462">
        <f>Prices!F2462</f>
        <v/>
      </c>
      <c r="G2462">
        <f>IF(AND(2460&gt;=16,TEXT(A2462,"yyyy-mm")&lt;&gt;TEXT(A2463,"yyyy-mm")),1,0)</f>
        <v/>
      </c>
      <c r="H2462">
        <f>IF(OR(H2461=1,G2462=1),1,0)</f>
        <v/>
      </c>
      <c r="I2462">
        <f>IF(H2461=0,1,SUMPRODUCT(J2461:N2461,B2462:F2462)+O2461*(1+0.00023125256064071564))</f>
        <v/>
      </c>
      <c r="J2462">
        <f>IF(G2462=1,0.2*R2462/B2462,J2461)</f>
        <v/>
      </c>
      <c r="K2462">
        <f>IF(G2462=1,0.2*R2462/C2462,K2461)</f>
        <v/>
      </c>
      <c r="L2462">
        <f>IF(G2462=1,0.2*R2462/D2462,L2461)</f>
        <v/>
      </c>
      <c r="M2462">
        <f>IF(G2462=1,0.2*R2462/E2462,M2461)</f>
        <v/>
      </c>
      <c r="N2462">
        <f>IF(G2462=1,0.2*R2462/F2462,N2461)</f>
        <v/>
      </c>
      <c r="O2462">
        <f>IF(G2462=1,R2462*(1-1.0),IF(H2461=0,1,O2461*(1+0.00023125256064071564)))</f>
        <v/>
      </c>
      <c r="P2462">
        <f>IF(G2462=1,IF(H2461=0,1,ABS(0.2-J2461*B2462/I2462)+ABS(0.2-K2461*C2462/I2462)+ABS(0.2-L2461*D2462/I2462)+ABS(0.2-M2461*E2462/I2462)+ABS(0.2-N2461*F2462/I2462)),0)</f>
        <v/>
      </c>
      <c r="Q2462">
        <f>P2462*0.0015</f>
        <v/>
      </c>
      <c r="R2462">
        <f>I2462*(1-Q2462)</f>
        <v/>
      </c>
      <c r="S2462">
        <f>R2462/R2461-1</f>
        <v/>
      </c>
      <c r="T2462">
        <f>MAX(T2461,R2462)</f>
        <v/>
      </c>
      <c r="U2462">
        <f>R2462/T2462-1</f>
        <v/>
      </c>
      <c r="V2462" t="n">
        <v>6.426317348738907</v>
      </c>
      <c r="W2462" s="5">
        <f>R2462-V2462</f>
        <v/>
      </c>
    </row>
    <row r="2463">
      <c r="A2463" s="3" t="n">
        <v>42062</v>
      </c>
      <c r="B2463">
        <f>Prices!B2463</f>
        <v/>
      </c>
      <c r="C2463">
        <f>Prices!C2463</f>
        <v/>
      </c>
      <c r="D2463">
        <f>Prices!D2463</f>
        <v/>
      </c>
      <c r="E2463">
        <f>Prices!E2463</f>
        <v/>
      </c>
      <c r="F2463">
        <f>Prices!F2463</f>
        <v/>
      </c>
      <c r="G2463">
        <f>IF(AND(2461&gt;=16,TEXT(A2463,"yyyy-mm")&lt;&gt;TEXT(A2464,"yyyy-mm")),1,0)</f>
        <v/>
      </c>
      <c r="H2463">
        <f>IF(OR(H2462=1,G2463=1),1,0)</f>
        <v/>
      </c>
      <c r="I2463">
        <f>IF(H2462=0,1,SUMPRODUCT(J2462:N2462,B2463:F2463)+O2462*(1+0.00023125256064071564))</f>
        <v/>
      </c>
      <c r="J2463">
        <f>IF(G2463=1,0.2*R2463/B2463,J2462)</f>
        <v/>
      </c>
      <c r="K2463">
        <f>IF(G2463=1,0.2*R2463/C2463,K2462)</f>
        <v/>
      </c>
      <c r="L2463">
        <f>IF(G2463=1,0.2*R2463/D2463,L2462)</f>
        <v/>
      </c>
      <c r="M2463">
        <f>IF(G2463=1,0.2*R2463/E2463,M2462)</f>
        <v/>
      </c>
      <c r="N2463">
        <f>IF(G2463=1,0.2*R2463/F2463,N2462)</f>
        <v/>
      </c>
      <c r="O2463">
        <f>IF(G2463=1,R2463*(1-1.0),IF(H2462=0,1,O2462*(1+0.00023125256064071564)))</f>
        <v/>
      </c>
      <c r="P2463">
        <f>IF(G2463=1,IF(H2462=0,1,ABS(0.2-J2462*B2463/I2463)+ABS(0.2-K2462*C2463/I2463)+ABS(0.2-L2462*D2463/I2463)+ABS(0.2-M2462*E2463/I2463)+ABS(0.2-N2462*F2463/I2463)),0)</f>
        <v/>
      </c>
      <c r="Q2463">
        <f>P2463*0.0015</f>
        <v/>
      </c>
      <c r="R2463">
        <f>I2463*(1-Q2463)</f>
        <v/>
      </c>
      <c r="S2463">
        <f>R2463/R2462-1</f>
        <v/>
      </c>
      <c r="T2463">
        <f>MAX(T2462,R2463)</f>
        <v/>
      </c>
      <c r="U2463">
        <f>R2463/T2463-1</f>
        <v/>
      </c>
      <c r="V2463" t="n">
        <v>6.544066828089395</v>
      </c>
      <c r="W2463" s="5">
        <f>R2463-V2463</f>
        <v/>
      </c>
    </row>
    <row r="2464">
      <c r="A2464" s="3" t="n">
        <v>42063</v>
      </c>
      <c r="B2464">
        <f>Prices!B2464</f>
        <v/>
      </c>
      <c r="C2464">
        <f>Prices!C2464</f>
        <v/>
      </c>
      <c r="D2464">
        <f>Prices!D2464</f>
        <v/>
      </c>
      <c r="E2464">
        <f>Prices!E2464</f>
        <v/>
      </c>
      <c r="F2464">
        <f>Prices!F2464</f>
        <v/>
      </c>
      <c r="G2464">
        <f>IF(AND(2462&gt;=16,TEXT(A2464,"yyyy-mm")&lt;&gt;TEXT(A2465,"yyyy-mm")),1,0)</f>
        <v/>
      </c>
      <c r="H2464">
        <f>IF(OR(H2463=1,G2464=1),1,0)</f>
        <v/>
      </c>
      <c r="I2464">
        <f>IF(H2463=0,1,SUMPRODUCT(J2463:N2463,B2464:F2464)+O2463*(1+0.00023125256064071564))</f>
        <v/>
      </c>
      <c r="J2464">
        <f>IF(G2464=1,0.2*R2464/B2464,J2463)</f>
        <v/>
      </c>
      <c r="K2464">
        <f>IF(G2464=1,0.2*R2464/C2464,K2463)</f>
        <v/>
      </c>
      <c r="L2464">
        <f>IF(G2464=1,0.2*R2464/D2464,L2463)</f>
        <v/>
      </c>
      <c r="M2464">
        <f>IF(G2464=1,0.2*R2464/E2464,M2463)</f>
        <v/>
      </c>
      <c r="N2464">
        <f>IF(G2464=1,0.2*R2464/F2464,N2463)</f>
        <v/>
      </c>
      <c r="O2464">
        <f>IF(G2464=1,R2464*(1-1.0),IF(H2463=0,1,O2463*(1+0.00023125256064071564)))</f>
        <v/>
      </c>
      <c r="P2464">
        <f>IF(G2464=1,IF(H2463=0,1,ABS(0.2-J2463*B2464/I2464)+ABS(0.2-K2463*C2464/I2464)+ABS(0.2-L2463*D2464/I2464)+ABS(0.2-M2463*E2464/I2464)+ABS(0.2-N2463*F2464/I2464)),0)</f>
        <v/>
      </c>
      <c r="Q2464">
        <f>P2464*0.0015</f>
        <v/>
      </c>
      <c r="R2464">
        <f>I2464*(1-Q2464)</f>
        <v/>
      </c>
      <c r="S2464">
        <f>R2464/R2463-1</f>
        <v/>
      </c>
      <c r="T2464">
        <f>MAX(T2463,R2464)</f>
        <v/>
      </c>
      <c r="U2464">
        <f>R2464/T2464-1</f>
        <v/>
      </c>
      <c r="V2464" t="n">
        <v>6.565763289476887</v>
      </c>
      <c r="W2464" s="5">
        <f>R2464-V2464</f>
        <v/>
      </c>
    </row>
    <row r="2465">
      <c r="A2465" s="3" t="n">
        <v>42065</v>
      </c>
      <c r="B2465">
        <f>Prices!B2465</f>
        <v/>
      </c>
      <c r="C2465">
        <f>Prices!C2465</f>
        <v/>
      </c>
      <c r="D2465">
        <f>Prices!D2465</f>
        <v/>
      </c>
      <c r="E2465">
        <f>Prices!E2465</f>
        <v/>
      </c>
      <c r="F2465">
        <f>Prices!F2465</f>
        <v/>
      </c>
      <c r="G2465">
        <f>IF(AND(2463&gt;=16,TEXT(A2465,"yyyy-mm")&lt;&gt;TEXT(A2466,"yyyy-mm")),1,0)</f>
        <v/>
      </c>
      <c r="H2465">
        <f>IF(OR(H2464=1,G2465=1),1,0)</f>
        <v/>
      </c>
      <c r="I2465">
        <f>IF(H2464=0,1,SUMPRODUCT(J2464:N2464,B2465:F2465)+O2464*(1+0.00023125256064071564))</f>
        <v/>
      </c>
      <c r="J2465">
        <f>IF(G2465=1,0.2*R2465/B2465,J2464)</f>
        <v/>
      </c>
      <c r="K2465">
        <f>IF(G2465=1,0.2*R2465/C2465,K2464)</f>
        <v/>
      </c>
      <c r="L2465">
        <f>IF(G2465=1,0.2*R2465/D2465,L2464)</f>
        <v/>
      </c>
      <c r="M2465">
        <f>IF(G2465=1,0.2*R2465/E2465,M2464)</f>
        <v/>
      </c>
      <c r="N2465">
        <f>IF(G2465=1,0.2*R2465/F2465,N2464)</f>
        <v/>
      </c>
      <c r="O2465">
        <f>IF(G2465=1,R2465*(1-1.0),IF(H2464=0,1,O2464*(1+0.00023125256064071564)))</f>
        <v/>
      </c>
      <c r="P2465">
        <f>IF(G2465=1,IF(H2464=0,1,ABS(0.2-J2464*B2465/I2465)+ABS(0.2-K2464*C2465/I2465)+ABS(0.2-L2464*D2465/I2465)+ABS(0.2-M2464*E2465/I2465)+ABS(0.2-N2464*F2465/I2465)),0)</f>
        <v/>
      </c>
      <c r="Q2465">
        <f>P2465*0.0015</f>
        <v/>
      </c>
      <c r="R2465">
        <f>I2465*(1-Q2465)</f>
        <v/>
      </c>
      <c r="S2465">
        <f>R2465/R2464-1</f>
        <v/>
      </c>
      <c r="T2465">
        <f>MAX(T2464,R2465)</f>
        <v/>
      </c>
      <c r="U2465">
        <f>R2465/T2465-1</f>
        <v/>
      </c>
      <c r="V2465" t="n">
        <v>6.680499548677668</v>
      </c>
      <c r="W2465" s="5">
        <f>R2465-V2465</f>
        <v/>
      </c>
    </row>
    <row r="2466">
      <c r="A2466" s="3" t="n">
        <v>42066</v>
      </c>
      <c r="B2466">
        <f>Prices!B2466</f>
        <v/>
      </c>
      <c r="C2466">
        <f>Prices!C2466</f>
        <v/>
      </c>
      <c r="D2466">
        <f>Prices!D2466</f>
        <v/>
      </c>
      <c r="E2466">
        <f>Prices!E2466</f>
        <v/>
      </c>
      <c r="F2466">
        <f>Prices!F2466</f>
        <v/>
      </c>
      <c r="G2466">
        <f>IF(AND(2464&gt;=16,TEXT(A2466,"yyyy-mm")&lt;&gt;TEXT(A2467,"yyyy-mm")),1,0)</f>
        <v/>
      </c>
      <c r="H2466">
        <f>IF(OR(H2465=1,G2466=1),1,0)</f>
        <v/>
      </c>
      <c r="I2466">
        <f>IF(H2465=0,1,SUMPRODUCT(J2465:N2465,B2466:F2466)+O2465*(1+0.00023125256064071564))</f>
        <v/>
      </c>
      <c r="J2466">
        <f>IF(G2466=1,0.2*R2466/B2466,J2465)</f>
        <v/>
      </c>
      <c r="K2466">
        <f>IF(G2466=1,0.2*R2466/C2466,K2465)</f>
        <v/>
      </c>
      <c r="L2466">
        <f>IF(G2466=1,0.2*R2466/D2466,L2465)</f>
        <v/>
      </c>
      <c r="M2466">
        <f>IF(G2466=1,0.2*R2466/E2466,M2465)</f>
        <v/>
      </c>
      <c r="N2466">
        <f>IF(G2466=1,0.2*R2466/F2466,N2465)</f>
        <v/>
      </c>
      <c r="O2466">
        <f>IF(G2466=1,R2466*(1-1.0),IF(H2465=0,1,O2465*(1+0.00023125256064071564)))</f>
        <v/>
      </c>
      <c r="P2466">
        <f>IF(G2466=1,IF(H2465=0,1,ABS(0.2-J2465*B2466/I2466)+ABS(0.2-K2465*C2466/I2466)+ABS(0.2-L2465*D2466/I2466)+ABS(0.2-M2465*E2466/I2466)+ABS(0.2-N2465*F2466/I2466)),0)</f>
        <v/>
      </c>
      <c r="Q2466">
        <f>P2466*0.0015</f>
        <v/>
      </c>
      <c r="R2466">
        <f>I2466*(1-Q2466)</f>
        <v/>
      </c>
      <c r="S2466">
        <f>R2466/R2465-1</f>
        <v/>
      </c>
      <c r="T2466">
        <f>MAX(T2465,R2466)</f>
        <v/>
      </c>
      <c r="U2466">
        <f>R2466/T2466-1</f>
        <v/>
      </c>
      <c r="V2466" t="n">
        <v>6.763410072590853</v>
      </c>
      <c r="W2466" s="5">
        <f>R2466-V2466</f>
        <v/>
      </c>
    </row>
    <row r="2467">
      <c r="A2467" s="3" t="n">
        <v>42067</v>
      </c>
      <c r="B2467">
        <f>Prices!B2467</f>
        <v/>
      </c>
      <c r="C2467">
        <f>Prices!C2467</f>
        <v/>
      </c>
      <c r="D2467">
        <f>Prices!D2467</f>
        <v/>
      </c>
      <c r="E2467">
        <f>Prices!E2467</f>
        <v/>
      </c>
      <c r="F2467">
        <f>Prices!F2467</f>
        <v/>
      </c>
      <c r="G2467">
        <f>IF(AND(2465&gt;=16,TEXT(A2467,"yyyy-mm")&lt;&gt;TEXT(A2468,"yyyy-mm")),1,0)</f>
        <v/>
      </c>
      <c r="H2467">
        <f>IF(OR(H2466=1,G2467=1),1,0)</f>
        <v/>
      </c>
      <c r="I2467">
        <f>IF(H2466=0,1,SUMPRODUCT(J2466:N2466,B2467:F2467)+O2466*(1+0.00023125256064071564))</f>
        <v/>
      </c>
      <c r="J2467">
        <f>IF(G2467=1,0.2*R2467/B2467,J2466)</f>
        <v/>
      </c>
      <c r="K2467">
        <f>IF(G2467=1,0.2*R2467/C2467,K2466)</f>
        <v/>
      </c>
      <c r="L2467">
        <f>IF(G2467=1,0.2*R2467/D2467,L2466)</f>
        <v/>
      </c>
      <c r="M2467">
        <f>IF(G2467=1,0.2*R2467/E2467,M2466)</f>
        <v/>
      </c>
      <c r="N2467">
        <f>IF(G2467=1,0.2*R2467/F2467,N2466)</f>
        <v/>
      </c>
      <c r="O2467">
        <f>IF(G2467=1,R2467*(1-1.0),IF(H2466=0,1,O2466*(1+0.00023125256064071564)))</f>
        <v/>
      </c>
      <c r="P2467">
        <f>IF(G2467=1,IF(H2466=0,1,ABS(0.2-J2466*B2467/I2467)+ABS(0.2-K2466*C2467/I2467)+ABS(0.2-L2466*D2467/I2467)+ABS(0.2-M2466*E2467/I2467)+ABS(0.2-N2466*F2467/I2467)),0)</f>
        <v/>
      </c>
      <c r="Q2467">
        <f>P2467*0.0015</f>
        <v/>
      </c>
      <c r="R2467">
        <f>I2467*(1-Q2467)</f>
        <v/>
      </c>
      <c r="S2467">
        <f>R2467/R2466-1</f>
        <v/>
      </c>
      <c r="T2467">
        <f>MAX(T2466,R2467)</f>
        <v/>
      </c>
      <c r="U2467">
        <f>R2467/T2467-1</f>
        <v/>
      </c>
      <c r="V2467" t="n">
        <v>6.681309111133335</v>
      </c>
      <c r="W2467" s="5">
        <f>R2467-V2467</f>
        <v/>
      </c>
    </row>
    <row r="2468">
      <c r="A2468" s="3" t="n">
        <v>42068</v>
      </c>
      <c r="B2468">
        <f>Prices!B2468</f>
        <v/>
      </c>
      <c r="C2468">
        <f>Prices!C2468</f>
        <v/>
      </c>
      <c r="D2468">
        <f>Prices!D2468</f>
        <v/>
      </c>
      <c r="E2468">
        <f>Prices!E2468</f>
        <v/>
      </c>
      <c r="F2468">
        <f>Prices!F2468</f>
        <v/>
      </c>
      <c r="G2468">
        <f>IF(AND(2466&gt;=16,TEXT(A2468,"yyyy-mm")&lt;&gt;TEXT(A2469,"yyyy-mm")),1,0)</f>
        <v/>
      </c>
      <c r="H2468">
        <f>IF(OR(H2467=1,G2468=1),1,0)</f>
        <v/>
      </c>
      <c r="I2468">
        <f>IF(H2467=0,1,SUMPRODUCT(J2467:N2467,B2468:F2468)+O2467*(1+0.00023125256064071564))</f>
        <v/>
      </c>
      <c r="J2468">
        <f>IF(G2468=1,0.2*R2468/B2468,J2467)</f>
        <v/>
      </c>
      <c r="K2468">
        <f>IF(G2468=1,0.2*R2468/C2468,K2467)</f>
        <v/>
      </c>
      <c r="L2468">
        <f>IF(G2468=1,0.2*R2468/D2468,L2467)</f>
        <v/>
      </c>
      <c r="M2468">
        <f>IF(G2468=1,0.2*R2468/E2468,M2467)</f>
        <v/>
      </c>
      <c r="N2468">
        <f>IF(G2468=1,0.2*R2468/F2468,N2467)</f>
        <v/>
      </c>
      <c r="O2468">
        <f>IF(G2468=1,R2468*(1-1.0),IF(H2467=0,1,O2467*(1+0.00023125256064071564)))</f>
        <v/>
      </c>
      <c r="P2468">
        <f>IF(G2468=1,IF(H2467=0,1,ABS(0.2-J2467*B2468/I2468)+ABS(0.2-K2467*C2468/I2468)+ABS(0.2-L2467*D2468/I2468)+ABS(0.2-M2467*E2468/I2468)+ABS(0.2-N2467*F2468/I2468)),0)</f>
        <v/>
      </c>
      <c r="Q2468">
        <f>P2468*0.0015</f>
        <v/>
      </c>
      <c r="R2468">
        <f>I2468*(1-Q2468)</f>
        <v/>
      </c>
      <c r="S2468">
        <f>R2468/R2467-1</f>
        <v/>
      </c>
      <c r="T2468">
        <f>MAX(T2467,R2468)</f>
        <v/>
      </c>
      <c r="U2468">
        <f>R2468/T2468-1</f>
        <v/>
      </c>
      <c r="V2468" t="n">
        <v>6.754098008975924</v>
      </c>
      <c r="W2468" s="5">
        <f>R2468-V2468</f>
        <v/>
      </c>
    </row>
    <row r="2469">
      <c r="A2469" s="3" t="n">
        <v>42072</v>
      </c>
      <c r="B2469">
        <f>Prices!B2469</f>
        <v/>
      </c>
      <c r="C2469">
        <f>Prices!C2469</f>
        <v/>
      </c>
      <c r="D2469">
        <f>Prices!D2469</f>
        <v/>
      </c>
      <c r="E2469">
        <f>Prices!E2469</f>
        <v/>
      </c>
      <c r="F2469">
        <f>Prices!F2469</f>
        <v/>
      </c>
      <c r="G2469">
        <f>IF(AND(2467&gt;=16,TEXT(A2469,"yyyy-mm")&lt;&gt;TEXT(A2470,"yyyy-mm")),1,0)</f>
        <v/>
      </c>
      <c r="H2469">
        <f>IF(OR(H2468=1,G2469=1),1,0)</f>
        <v/>
      </c>
      <c r="I2469">
        <f>IF(H2468=0,1,SUMPRODUCT(J2468:N2468,B2469:F2469)+O2468*(1+0.00023125256064071564))</f>
        <v/>
      </c>
      <c r="J2469">
        <f>IF(G2469=1,0.2*R2469/B2469,J2468)</f>
        <v/>
      </c>
      <c r="K2469">
        <f>IF(G2469=1,0.2*R2469/C2469,K2468)</f>
        <v/>
      </c>
      <c r="L2469">
        <f>IF(G2469=1,0.2*R2469/D2469,L2468)</f>
        <v/>
      </c>
      <c r="M2469">
        <f>IF(G2469=1,0.2*R2469/E2469,M2468)</f>
        <v/>
      </c>
      <c r="N2469">
        <f>IF(G2469=1,0.2*R2469/F2469,N2468)</f>
        <v/>
      </c>
      <c r="O2469">
        <f>IF(G2469=1,R2469*(1-1.0),IF(H2468=0,1,O2468*(1+0.00023125256064071564)))</f>
        <v/>
      </c>
      <c r="P2469">
        <f>IF(G2469=1,IF(H2468=0,1,ABS(0.2-J2468*B2469/I2469)+ABS(0.2-K2468*C2469/I2469)+ABS(0.2-L2468*D2469/I2469)+ABS(0.2-M2468*E2469/I2469)+ABS(0.2-N2468*F2469/I2469)),0)</f>
        <v/>
      </c>
      <c r="Q2469">
        <f>P2469*0.0015</f>
        <v/>
      </c>
      <c r="R2469">
        <f>I2469*(1-Q2469)</f>
        <v/>
      </c>
      <c r="S2469">
        <f>R2469/R2468-1</f>
        <v/>
      </c>
      <c r="T2469">
        <f>MAX(T2468,R2469)</f>
        <v/>
      </c>
      <c r="U2469">
        <f>R2469/T2469-1</f>
        <v/>
      </c>
      <c r="V2469" t="n">
        <v>6.681864151483365</v>
      </c>
      <c r="W2469" s="5">
        <f>R2469-V2469</f>
        <v/>
      </c>
    </row>
    <row r="2470">
      <c r="A2470" s="3" t="n">
        <v>42073</v>
      </c>
      <c r="B2470">
        <f>Prices!B2470</f>
        <v/>
      </c>
      <c r="C2470">
        <f>Prices!C2470</f>
        <v/>
      </c>
      <c r="D2470">
        <f>Prices!D2470</f>
        <v/>
      </c>
      <c r="E2470">
        <f>Prices!E2470</f>
        <v/>
      </c>
      <c r="F2470">
        <f>Prices!F2470</f>
        <v/>
      </c>
      <c r="G2470">
        <f>IF(AND(2468&gt;=16,TEXT(A2470,"yyyy-mm")&lt;&gt;TEXT(A2471,"yyyy-mm")),1,0)</f>
        <v/>
      </c>
      <c r="H2470">
        <f>IF(OR(H2469=1,G2470=1),1,0)</f>
        <v/>
      </c>
      <c r="I2470">
        <f>IF(H2469=0,1,SUMPRODUCT(J2469:N2469,B2470:F2470)+O2469*(1+0.00023125256064071564))</f>
        <v/>
      </c>
      <c r="J2470">
        <f>IF(G2470=1,0.2*R2470/B2470,J2469)</f>
        <v/>
      </c>
      <c r="K2470">
        <f>IF(G2470=1,0.2*R2470/C2470,K2469)</f>
        <v/>
      </c>
      <c r="L2470">
        <f>IF(G2470=1,0.2*R2470/D2470,L2469)</f>
        <v/>
      </c>
      <c r="M2470">
        <f>IF(G2470=1,0.2*R2470/E2470,M2469)</f>
        <v/>
      </c>
      <c r="N2470">
        <f>IF(G2470=1,0.2*R2470/F2470,N2469)</f>
        <v/>
      </c>
      <c r="O2470">
        <f>IF(G2470=1,R2470*(1-1.0),IF(H2469=0,1,O2469*(1+0.00023125256064071564)))</f>
        <v/>
      </c>
      <c r="P2470">
        <f>IF(G2470=1,IF(H2469=0,1,ABS(0.2-J2469*B2470/I2470)+ABS(0.2-K2469*C2470/I2470)+ABS(0.2-L2469*D2470/I2470)+ABS(0.2-M2469*E2470/I2470)+ABS(0.2-N2469*F2470/I2470)),0)</f>
        <v/>
      </c>
      <c r="Q2470">
        <f>P2470*0.0015</f>
        <v/>
      </c>
      <c r="R2470">
        <f>I2470*(1-Q2470)</f>
        <v/>
      </c>
      <c r="S2470">
        <f>R2470/R2469-1</f>
        <v/>
      </c>
      <c r="T2470">
        <f>MAX(T2469,R2470)</f>
        <v/>
      </c>
      <c r="U2470">
        <f>R2470/T2470-1</f>
        <v/>
      </c>
      <c r="V2470" t="n">
        <v>6.67897622795469</v>
      </c>
      <c r="W2470" s="5">
        <f>R2470-V2470</f>
        <v/>
      </c>
    </row>
    <row r="2471">
      <c r="A2471" s="3" t="n">
        <v>42074</v>
      </c>
      <c r="B2471">
        <f>Prices!B2471</f>
        <v/>
      </c>
      <c r="C2471">
        <f>Prices!C2471</f>
        <v/>
      </c>
      <c r="D2471">
        <f>Prices!D2471</f>
        <v/>
      </c>
      <c r="E2471">
        <f>Prices!E2471</f>
        <v/>
      </c>
      <c r="F2471">
        <f>Prices!F2471</f>
        <v/>
      </c>
      <c r="G2471">
        <f>IF(AND(2469&gt;=16,TEXT(A2471,"yyyy-mm")&lt;&gt;TEXT(A2472,"yyyy-mm")),1,0)</f>
        <v/>
      </c>
      <c r="H2471">
        <f>IF(OR(H2470=1,G2471=1),1,0)</f>
        <v/>
      </c>
      <c r="I2471">
        <f>IF(H2470=0,1,SUMPRODUCT(J2470:N2470,B2471:F2471)+O2470*(1+0.00023125256064071564))</f>
        <v/>
      </c>
      <c r="J2471">
        <f>IF(G2471=1,0.2*R2471/B2471,J2470)</f>
        <v/>
      </c>
      <c r="K2471">
        <f>IF(G2471=1,0.2*R2471/C2471,K2470)</f>
        <v/>
      </c>
      <c r="L2471">
        <f>IF(G2471=1,0.2*R2471/D2471,L2470)</f>
        <v/>
      </c>
      <c r="M2471">
        <f>IF(G2471=1,0.2*R2471/E2471,M2470)</f>
        <v/>
      </c>
      <c r="N2471">
        <f>IF(G2471=1,0.2*R2471/F2471,N2470)</f>
        <v/>
      </c>
      <c r="O2471">
        <f>IF(G2471=1,R2471*(1-1.0),IF(H2470=0,1,O2470*(1+0.00023125256064071564)))</f>
        <v/>
      </c>
      <c r="P2471">
        <f>IF(G2471=1,IF(H2470=0,1,ABS(0.2-J2470*B2471/I2471)+ABS(0.2-K2470*C2471/I2471)+ABS(0.2-L2470*D2471/I2471)+ABS(0.2-M2470*E2471/I2471)+ABS(0.2-N2470*F2471/I2471)),0)</f>
        <v/>
      </c>
      <c r="Q2471">
        <f>P2471*0.0015</f>
        <v/>
      </c>
      <c r="R2471">
        <f>I2471*(1-Q2471)</f>
        <v/>
      </c>
      <c r="S2471">
        <f>R2471/R2470-1</f>
        <v/>
      </c>
      <c r="T2471">
        <f>MAX(T2470,R2471)</f>
        <v/>
      </c>
      <c r="U2471">
        <f>R2471/T2471-1</f>
        <v/>
      </c>
      <c r="V2471" t="n">
        <v>6.663461756741543</v>
      </c>
      <c r="W2471" s="5">
        <f>R2471-V2471</f>
        <v/>
      </c>
    </row>
    <row r="2472">
      <c r="A2472" s="3" t="n">
        <v>42075</v>
      </c>
      <c r="B2472">
        <f>Prices!B2472</f>
        <v/>
      </c>
      <c r="C2472">
        <f>Prices!C2472</f>
        <v/>
      </c>
      <c r="D2472">
        <f>Prices!D2472</f>
        <v/>
      </c>
      <c r="E2472">
        <f>Prices!E2472</f>
        <v/>
      </c>
      <c r="F2472">
        <f>Prices!F2472</f>
        <v/>
      </c>
      <c r="G2472">
        <f>IF(AND(2470&gt;=16,TEXT(A2472,"yyyy-mm")&lt;&gt;TEXT(A2473,"yyyy-mm")),1,0)</f>
        <v/>
      </c>
      <c r="H2472">
        <f>IF(OR(H2471=1,G2472=1),1,0)</f>
        <v/>
      </c>
      <c r="I2472">
        <f>IF(H2471=0,1,SUMPRODUCT(J2471:N2471,B2472:F2472)+O2471*(1+0.00023125256064071564))</f>
        <v/>
      </c>
      <c r="J2472">
        <f>IF(G2472=1,0.2*R2472/B2472,J2471)</f>
        <v/>
      </c>
      <c r="K2472">
        <f>IF(G2472=1,0.2*R2472/C2472,K2471)</f>
        <v/>
      </c>
      <c r="L2472">
        <f>IF(G2472=1,0.2*R2472/D2472,L2471)</f>
        <v/>
      </c>
      <c r="M2472">
        <f>IF(G2472=1,0.2*R2472/E2472,M2471)</f>
        <v/>
      </c>
      <c r="N2472">
        <f>IF(G2472=1,0.2*R2472/F2472,N2471)</f>
        <v/>
      </c>
      <c r="O2472">
        <f>IF(G2472=1,R2472*(1-1.0),IF(H2471=0,1,O2471*(1+0.00023125256064071564)))</f>
        <v/>
      </c>
      <c r="P2472">
        <f>IF(G2472=1,IF(H2471=0,1,ABS(0.2-J2471*B2472/I2472)+ABS(0.2-K2471*C2472/I2472)+ABS(0.2-L2471*D2472/I2472)+ABS(0.2-M2471*E2472/I2472)+ABS(0.2-N2471*F2472/I2472)),0)</f>
        <v/>
      </c>
      <c r="Q2472">
        <f>P2472*0.0015</f>
        <v/>
      </c>
      <c r="R2472">
        <f>I2472*(1-Q2472)</f>
        <v/>
      </c>
      <c r="S2472">
        <f>R2472/R2471-1</f>
        <v/>
      </c>
      <c r="T2472">
        <f>MAX(T2471,R2472)</f>
        <v/>
      </c>
      <c r="U2472">
        <f>R2472/T2472-1</f>
        <v/>
      </c>
      <c r="V2472" t="n">
        <v>6.757044293079167</v>
      </c>
      <c r="W2472" s="5">
        <f>R2472-V2472</f>
        <v/>
      </c>
    </row>
    <row r="2473">
      <c r="A2473" s="3" t="n">
        <v>42076</v>
      </c>
      <c r="B2473">
        <f>Prices!B2473</f>
        <v/>
      </c>
      <c r="C2473">
        <f>Prices!C2473</f>
        <v/>
      </c>
      <c r="D2473">
        <f>Prices!D2473</f>
        <v/>
      </c>
      <c r="E2473">
        <f>Prices!E2473</f>
        <v/>
      </c>
      <c r="F2473">
        <f>Prices!F2473</f>
        <v/>
      </c>
      <c r="G2473">
        <f>IF(AND(2471&gt;=16,TEXT(A2473,"yyyy-mm")&lt;&gt;TEXT(A2474,"yyyy-mm")),1,0)</f>
        <v/>
      </c>
      <c r="H2473">
        <f>IF(OR(H2472=1,G2473=1),1,0)</f>
        <v/>
      </c>
      <c r="I2473">
        <f>IF(H2472=0,1,SUMPRODUCT(J2472:N2472,B2473:F2473)+O2472*(1+0.00023125256064071564))</f>
        <v/>
      </c>
      <c r="J2473">
        <f>IF(G2473=1,0.2*R2473/B2473,J2472)</f>
        <v/>
      </c>
      <c r="K2473">
        <f>IF(G2473=1,0.2*R2473/C2473,K2472)</f>
        <v/>
      </c>
      <c r="L2473">
        <f>IF(G2473=1,0.2*R2473/D2473,L2472)</f>
        <v/>
      </c>
      <c r="M2473">
        <f>IF(G2473=1,0.2*R2473/E2473,M2472)</f>
        <v/>
      </c>
      <c r="N2473">
        <f>IF(G2473=1,0.2*R2473/F2473,N2472)</f>
        <v/>
      </c>
      <c r="O2473">
        <f>IF(G2473=1,R2473*(1-1.0),IF(H2472=0,1,O2472*(1+0.00023125256064071564)))</f>
        <v/>
      </c>
      <c r="P2473">
        <f>IF(G2473=1,IF(H2472=0,1,ABS(0.2-J2472*B2473/I2473)+ABS(0.2-K2472*C2473/I2473)+ABS(0.2-L2472*D2473/I2473)+ABS(0.2-M2472*E2473/I2473)+ABS(0.2-N2472*F2473/I2473)),0)</f>
        <v/>
      </c>
      <c r="Q2473">
        <f>P2473*0.0015</f>
        <v/>
      </c>
      <c r="R2473">
        <f>I2473*(1-Q2473)</f>
        <v/>
      </c>
      <c r="S2473">
        <f>R2473/R2472-1</f>
        <v/>
      </c>
      <c r="T2473">
        <f>MAX(T2472,R2473)</f>
        <v/>
      </c>
      <c r="U2473">
        <f>R2473/T2473-1</f>
        <v/>
      </c>
      <c r="V2473" t="n">
        <v>6.662271331052656</v>
      </c>
      <c r="W2473" s="5">
        <f>R2473-V2473</f>
        <v/>
      </c>
    </row>
    <row r="2474">
      <c r="A2474" s="3" t="n">
        <v>42079</v>
      </c>
      <c r="B2474">
        <f>Prices!B2474</f>
        <v/>
      </c>
      <c r="C2474">
        <f>Prices!C2474</f>
        <v/>
      </c>
      <c r="D2474">
        <f>Prices!D2474</f>
        <v/>
      </c>
      <c r="E2474">
        <f>Prices!E2474</f>
        <v/>
      </c>
      <c r="F2474">
        <f>Prices!F2474</f>
        <v/>
      </c>
      <c r="G2474">
        <f>IF(AND(2472&gt;=16,TEXT(A2474,"yyyy-mm")&lt;&gt;TEXT(A2475,"yyyy-mm")),1,0)</f>
        <v/>
      </c>
      <c r="H2474">
        <f>IF(OR(H2473=1,G2474=1),1,0)</f>
        <v/>
      </c>
      <c r="I2474">
        <f>IF(H2473=0,1,SUMPRODUCT(J2473:N2473,B2474:F2474)+O2473*(1+0.00023125256064071564))</f>
        <v/>
      </c>
      <c r="J2474">
        <f>IF(G2474=1,0.2*R2474/B2474,J2473)</f>
        <v/>
      </c>
      <c r="K2474">
        <f>IF(G2474=1,0.2*R2474/C2474,K2473)</f>
        <v/>
      </c>
      <c r="L2474">
        <f>IF(G2474=1,0.2*R2474/D2474,L2473)</f>
        <v/>
      </c>
      <c r="M2474">
        <f>IF(G2474=1,0.2*R2474/E2474,M2473)</f>
        <v/>
      </c>
      <c r="N2474">
        <f>IF(G2474=1,0.2*R2474/F2474,N2473)</f>
        <v/>
      </c>
      <c r="O2474">
        <f>IF(G2474=1,R2474*(1-1.0),IF(H2473=0,1,O2473*(1+0.00023125256064071564)))</f>
        <v/>
      </c>
      <c r="P2474">
        <f>IF(G2474=1,IF(H2473=0,1,ABS(0.2-J2473*B2474/I2474)+ABS(0.2-K2473*C2474/I2474)+ABS(0.2-L2473*D2474/I2474)+ABS(0.2-M2473*E2474/I2474)+ABS(0.2-N2473*F2474/I2474)),0)</f>
        <v/>
      </c>
      <c r="Q2474">
        <f>P2474*0.0015</f>
        <v/>
      </c>
      <c r="R2474">
        <f>I2474*(1-Q2474)</f>
        <v/>
      </c>
      <c r="S2474">
        <f>R2474/R2473-1</f>
        <v/>
      </c>
      <c r="T2474">
        <f>MAX(T2473,R2474)</f>
        <v/>
      </c>
      <c r="U2474">
        <f>R2474/T2474-1</f>
        <v/>
      </c>
      <c r="V2474" t="n">
        <v>6.677156573184492</v>
      </c>
      <c r="W2474" s="5">
        <f>R2474-V2474</f>
        <v/>
      </c>
    </row>
    <row r="2475">
      <c r="A2475" s="3" t="n">
        <v>42080</v>
      </c>
      <c r="B2475">
        <f>Prices!B2475</f>
        <v/>
      </c>
      <c r="C2475">
        <f>Prices!C2475</f>
        <v/>
      </c>
      <c r="D2475">
        <f>Prices!D2475</f>
        <v/>
      </c>
      <c r="E2475">
        <f>Prices!E2475</f>
        <v/>
      </c>
      <c r="F2475">
        <f>Prices!F2475</f>
        <v/>
      </c>
      <c r="G2475">
        <f>IF(AND(2473&gt;=16,TEXT(A2475,"yyyy-mm")&lt;&gt;TEXT(A2476,"yyyy-mm")),1,0)</f>
        <v/>
      </c>
      <c r="H2475">
        <f>IF(OR(H2474=1,G2475=1),1,0)</f>
        <v/>
      </c>
      <c r="I2475">
        <f>IF(H2474=0,1,SUMPRODUCT(J2474:N2474,B2475:F2475)+O2474*(1+0.00023125256064071564))</f>
        <v/>
      </c>
      <c r="J2475">
        <f>IF(G2475=1,0.2*R2475/B2475,J2474)</f>
        <v/>
      </c>
      <c r="K2475">
        <f>IF(G2475=1,0.2*R2475/C2475,K2474)</f>
        <v/>
      </c>
      <c r="L2475">
        <f>IF(G2475=1,0.2*R2475/D2475,L2474)</f>
        <v/>
      </c>
      <c r="M2475">
        <f>IF(G2475=1,0.2*R2475/E2475,M2474)</f>
        <v/>
      </c>
      <c r="N2475">
        <f>IF(G2475=1,0.2*R2475/F2475,N2474)</f>
        <v/>
      </c>
      <c r="O2475">
        <f>IF(G2475=1,R2475*(1-1.0),IF(H2474=0,1,O2474*(1+0.00023125256064071564)))</f>
        <v/>
      </c>
      <c r="P2475">
        <f>IF(G2475=1,IF(H2474=0,1,ABS(0.2-J2474*B2475/I2475)+ABS(0.2-K2474*C2475/I2475)+ABS(0.2-L2474*D2475/I2475)+ABS(0.2-M2474*E2475/I2475)+ABS(0.2-N2474*F2475/I2475)),0)</f>
        <v/>
      </c>
      <c r="Q2475">
        <f>P2475*0.0015</f>
        <v/>
      </c>
      <c r="R2475">
        <f>I2475*(1-Q2475)</f>
        <v/>
      </c>
      <c r="S2475">
        <f>R2475/R2474-1</f>
        <v/>
      </c>
      <c r="T2475">
        <f>MAX(T2474,R2475)</f>
        <v/>
      </c>
      <c r="U2475">
        <f>R2475/T2475-1</f>
        <v/>
      </c>
      <c r="V2475" t="n">
        <v>6.745998660500094</v>
      </c>
      <c r="W2475" s="5">
        <f>R2475-V2475</f>
        <v/>
      </c>
    </row>
    <row r="2476">
      <c r="A2476" s="3" t="n">
        <v>42081</v>
      </c>
      <c r="B2476">
        <f>Prices!B2476</f>
        <v/>
      </c>
      <c r="C2476">
        <f>Prices!C2476</f>
        <v/>
      </c>
      <c r="D2476">
        <f>Prices!D2476</f>
        <v/>
      </c>
      <c r="E2476">
        <f>Prices!E2476</f>
        <v/>
      </c>
      <c r="F2476">
        <f>Prices!F2476</f>
        <v/>
      </c>
      <c r="G2476">
        <f>IF(AND(2474&gt;=16,TEXT(A2476,"yyyy-mm")&lt;&gt;TEXT(A2477,"yyyy-mm")),1,0)</f>
        <v/>
      </c>
      <c r="H2476">
        <f>IF(OR(H2475=1,G2476=1),1,0)</f>
        <v/>
      </c>
      <c r="I2476">
        <f>IF(H2475=0,1,SUMPRODUCT(J2475:N2475,B2476:F2476)+O2475*(1+0.00023125256064071564))</f>
        <v/>
      </c>
      <c r="J2476">
        <f>IF(G2476=1,0.2*R2476/B2476,J2475)</f>
        <v/>
      </c>
      <c r="K2476">
        <f>IF(G2476=1,0.2*R2476/C2476,K2475)</f>
        <v/>
      </c>
      <c r="L2476">
        <f>IF(G2476=1,0.2*R2476/D2476,L2475)</f>
        <v/>
      </c>
      <c r="M2476">
        <f>IF(G2476=1,0.2*R2476/E2476,M2475)</f>
        <v/>
      </c>
      <c r="N2476">
        <f>IF(G2476=1,0.2*R2476/F2476,N2475)</f>
        <v/>
      </c>
      <c r="O2476">
        <f>IF(G2476=1,R2476*(1-1.0),IF(H2475=0,1,O2475*(1+0.00023125256064071564)))</f>
        <v/>
      </c>
      <c r="P2476">
        <f>IF(G2476=1,IF(H2475=0,1,ABS(0.2-J2475*B2476/I2476)+ABS(0.2-K2475*C2476/I2476)+ABS(0.2-L2475*D2476/I2476)+ABS(0.2-M2475*E2476/I2476)+ABS(0.2-N2475*F2476/I2476)),0)</f>
        <v/>
      </c>
      <c r="Q2476">
        <f>P2476*0.0015</f>
        <v/>
      </c>
      <c r="R2476">
        <f>I2476*(1-Q2476)</f>
        <v/>
      </c>
      <c r="S2476">
        <f>R2476/R2475-1</f>
        <v/>
      </c>
      <c r="T2476">
        <f>MAX(T2475,R2476)</f>
        <v/>
      </c>
      <c r="U2476">
        <f>R2476/T2476-1</f>
        <v/>
      </c>
      <c r="V2476" t="n">
        <v>6.745358651158827</v>
      </c>
      <c r="W2476" s="5">
        <f>R2476-V2476</f>
        <v/>
      </c>
    </row>
    <row r="2477">
      <c r="A2477" s="3" t="n">
        <v>42082</v>
      </c>
      <c r="B2477">
        <f>Prices!B2477</f>
        <v/>
      </c>
      <c r="C2477">
        <f>Prices!C2477</f>
        <v/>
      </c>
      <c r="D2477">
        <f>Prices!D2477</f>
        <v/>
      </c>
      <c r="E2477">
        <f>Prices!E2477</f>
        <v/>
      </c>
      <c r="F2477">
        <f>Prices!F2477</f>
        <v/>
      </c>
      <c r="G2477">
        <f>IF(AND(2475&gt;=16,TEXT(A2477,"yyyy-mm")&lt;&gt;TEXT(A2478,"yyyy-mm")),1,0)</f>
        <v/>
      </c>
      <c r="H2477">
        <f>IF(OR(H2476=1,G2477=1),1,0)</f>
        <v/>
      </c>
      <c r="I2477">
        <f>IF(H2476=0,1,SUMPRODUCT(J2476:N2476,B2477:F2477)+O2476*(1+0.00023125256064071564))</f>
        <v/>
      </c>
      <c r="J2477">
        <f>IF(G2477=1,0.2*R2477/B2477,J2476)</f>
        <v/>
      </c>
      <c r="K2477">
        <f>IF(G2477=1,0.2*R2477/C2477,K2476)</f>
        <v/>
      </c>
      <c r="L2477">
        <f>IF(G2477=1,0.2*R2477/D2477,L2476)</f>
        <v/>
      </c>
      <c r="M2477">
        <f>IF(G2477=1,0.2*R2477/E2477,M2476)</f>
        <v/>
      </c>
      <c r="N2477">
        <f>IF(G2477=1,0.2*R2477/F2477,N2476)</f>
        <v/>
      </c>
      <c r="O2477">
        <f>IF(G2477=1,R2477*(1-1.0),IF(H2476=0,1,O2476*(1+0.00023125256064071564)))</f>
        <v/>
      </c>
      <c r="P2477">
        <f>IF(G2477=1,IF(H2476=0,1,ABS(0.2-J2476*B2477/I2477)+ABS(0.2-K2476*C2477/I2477)+ABS(0.2-L2476*D2477/I2477)+ABS(0.2-M2476*E2477/I2477)+ABS(0.2-N2476*F2477/I2477)),0)</f>
        <v/>
      </c>
      <c r="Q2477">
        <f>P2477*0.0015</f>
        <v/>
      </c>
      <c r="R2477">
        <f>I2477*(1-Q2477)</f>
        <v/>
      </c>
      <c r="S2477">
        <f>R2477/R2476-1</f>
        <v/>
      </c>
      <c r="T2477">
        <f>MAX(T2476,R2477)</f>
        <v/>
      </c>
      <c r="U2477">
        <f>R2477/T2477-1</f>
        <v/>
      </c>
      <c r="V2477" t="n">
        <v>6.71104754165795</v>
      </c>
      <c r="W2477" s="5">
        <f>R2477-V2477</f>
        <v/>
      </c>
    </row>
    <row r="2478">
      <c r="A2478" s="3" t="n">
        <v>42083</v>
      </c>
      <c r="B2478">
        <f>Prices!B2478</f>
        <v/>
      </c>
      <c r="C2478">
        <f>Prices!C2478</f>
        <v/>
      </c>
      <c r="D2478">
        <f>Prices!D2478</f>
        <v/>
      </c>
      <c r="E2478">
        <f>Prices!E2478</f>
        <v/>
      </c>
      <c r="F2478">
        <f>Prices!F2478</f>
        <v/>
      </c>
      <c r="G2478">
        <f>IF(AND(2476&gt;=16,TEXT(A2478,"yyyy-mm")&lt;&gt;TEXT(A2479,"yyyy-mm")),1,0)</f>
        <v/>
      </c>
      <c r="H2478">
        <f>IF(OR(H2477=1,G2478=1),1,0)</f>
        <v/>
      </c>
      <c r="I2478">
        <f>IF(H2477=0,1,SUMPRODUCT(J2477:N2477,B2478:F2478)+O2477*(1+0.00023125256064071564))</f>
        <v/>
      </c>
      <c r="J2478">
        <f>IF(G2478=1,0.2*R2478/B2478,J2477)</f>
        <v/>
      </c>
      <c r="K2478">
        <f>IF(G2478=1,0.2*R2478/C2478,K2477)</f>
        <v/>
      </c>
      <c r="L2478">
        <f>IF(G2478=1,0.2*R2478/D2478,L2477)</f>
        <v/>
      </c>
      <c r="M2478">
        <f>IF(G2478=1,0.2*R2478/E2478,M2477)</f>
        <v/>
      </c>
      <c r="N2478">
        <f>IF(G2478=1,0.2*R2478/F2478,N2477)</f>
        <v/>
      </c>
      <c r="O2478">
        <f>IF(G2478=1,R2478*(1-1.0),IF(H2477=0,1,O2477*(1+0.00023125256064071564)))</f>
        <v/>
      </c>
      <c r="P2478">
        <f>IF(G2478=1,IF(H2477=0,1,ABS(0.2-J2477*B2478/I2478)+ABS(0.2-K2477*C2478/I2478)+ABS(0.2-L2477*D2478/I2478)+ABS(0.2-M2477*E2478/I2478)+ABS(0.2-N2477*F2478/I2478)),0)</f>
        <v/>
      </c>
      <c r="Q2478">
        <f>P2478*0.0015</f>
        <v/>
      </c>
      <c r="R2478">
        <f>I2478*(1-Q2478)</f>
        <v/>
      </c>
      <c r="S2478">
        <f>R2478/R2477-1</f>
        <v/>
      </c>
      <c r="T2478">
        <f>MAX(T2477,R2478)</f>
        <v/>
      </c>
      <c r="U2478">
        <f>R2478/T2478-1</f>
        <v/>
      </c>
      <c r="V2478" t="n">
        <v>6.60689885987787</v>
      </c>
      <c r="W2478" s="5">
        <f>R2478-V2478</f>
        <v/>
      </c>
    </row>
    <row r="2479">
      <c r="A2479" s="3" t="n">
        <v>42086</v>
      </c>
      <c r="B2479">
        <f>Prices!B2479</f>
        <v/>
      </c>
      <c r="C2479">
        <f>Prices!C2479</f>
        <v/>
      </c>
      <c r="D2479">
        <f>Prices!D2479</f>
        <v/>
      </c>
      <c r="E2479">
        <f>Prices!E2479</f>
        <v/>
      </c>
      <c r="F2479">
        <f>Prices!F2479</f>
        <v/>
      </c>
      <c r="G2479">
        <f>IF(AND(2477&gt;=16,TEXT(A2479,"yyyy-mm")&lt;&gt;TEXT(A2480,"yyyy-mm")),1,0)</f>
        <v/>
      </c>
      <c r="H2479">
        <f>IF(OR(H2478=1,G2479=1),1,0)</f>
        <v/>
      </c>
      <c r="I2479">
        <f>IF(H2478=0,1,SUMPRODUCT(J2478:N2478,B2479:F2479)+O2478*(1+0.00023125256064071564))</f>
        <v/>
      </c>
      <c r="J2479">
        <f>IF(G2479=1,0.2*R2479/B2479,J2478)</f>
        <v/>
      </c>
      <c r="K2479">
        <f>IF(G2479=1,0.2*R2479/C2479,K2478)</f>
        <v/>
      </c>
      <c r="L2479">
        <f>IF(G2479=1,0.2*R2479/D2479,L2478)</f>
        <v/>
      </c>
      <c r="M2479">
        <f>IF(G2479=1,0.2*R2479/E2479,M2478)</f>
        <v/>
      </c>
      <c r="N2479">
        <f>IF(G2479=1,0.2*R2479/F2479,N2478)</f>
        <v/>
      </c>
      <c r="O2479">
        <f>IF(G2479=1,R2479*(1-1.0),IF(H2478=0,1,O2478*(1+0.00023125256064071564)))</f>
        <v/>
      </c>
      <c r="P2479">
        <f>IF(G2479=1,IF(H2478=0,1,ABS(0.2-J2478*B2479/I2479)+ABS(0.2-K2478*C2479/I2479)+ABS(0.2-L2478*D2479/I2479)+ABS(0.2-M2478*E2479/I2479)+ABS(0.2-N2478*F2479/I2479)),0)</f>
        <v/>
      </c>
      <c r="Q2479">
        <f>P2479*0.0015</f>
        <v/>
      </c>
      <c r="R2479">
        <f>I2479*(1-Q2479)</f>
        <v/>
      </c>
      <c r="S2479">
        <f>R2479/R2478-1</f>
        <v/>
      </c>
      <c r="T2479">
        <f>MAX(T2478,R2479)</f>
        <v/>
      </c>
      <c r="U2479">
        <f>R2479/T2479-1</f>
        <v/>
      </c>
      <c r="V2479" t="n">
        <v>6.561388759017365</v>
      </c>
      <c r="W2479" s="5">
        <f>R2479-V2479</f>
        <v/>
      </c>
    </row>
    <row r="2480">
      <c r="A2480" s="3" t="n">
        <v>42087</v>
      </c>
      <c r="B2480">
        <f>Prices!B2480</f>
        <v/>
      </c>
      <c r="C2480">
        <f>Prices!C2480</f>
        <v/>
      </c>
      <c r="D2480">
        <f>Prices!D2480</f>
        <v/>
      </c>
      <c r="E2480">
        <f>Prices!E2480</f>
        <v/>
      </c>
      <c r="F2480">
        <f>Prices!F2480</f>
        <v/>
      </c>
      <c r="G2480">
        <f>IF(AND(2478&gt;=16,TEXT(A2480,"yyyy-mm")&lt;&gt;TEXT(A2481,"yyyy-mm")),1,0)</f>
        <v/>
      </c>
      <c r="H2480">
        <f>IF(OR(H2479=1,G2480=1),1,0)</f>
        <v/>
      </c>
      <c r="I2480">
        <f>IF(H2479=0,1,SUMPRODUCT(J2479:N2479,B2480:F2480)+O2479*(1+0.00023125256064071564))</f>
        <v/>
      </c>
      <c r="J2480">
        <f>IF(G2480=1,0.2*R2480/B2480,J2479)</f>
        <v/>
      </c>
      <c r="K2480">
        <f>IF(G2480=1,0.2*R2480/C2480,K2479)</f>
        <v/>
      </c>
      <c r="L2480">
        <f>IF(G2480=1,0.2*R2480/D2480,L2479)</f>
        <v/>
      </c>
      <c r="M2480">
        <f>IF(G2480=1,0.2*R2480/E2480,M2479)</f>
        <v/>
      </c>
      <c r="N2480">
        <f>IF(G2480=1,0.2*R2480/F2480,N2479)</f>
        <v/>
      </c>
      <c r="O2480">
        <f>IF(G2480=1,R2480*(1-1.0),IF(H2479=0,1,O2479*(1+0.00023125256064071564)))</f>
        <v/>
      </c>
      <c r="P2480">
        <f>IF(G2480=1,IF(H2479=0,1,ABS(0.2-J2479*B2480/I2480)+ABS(0.2-K2479*C2480/I2480)+ABS(0.2-L2479*D2480/I2480)+ABS(0.2-M2479*E2480/I2480)+ABS(0.2-N2479*F2480/I2480)),0)</f>
        <v/>
      </c>
      <c r="Q2480">
        <f>P2480*0.0015</f>
        <v/>
      </c>
      <c r="R2480">
        <f>I2480*(1-Q2480)</f>
        <v/>
      </c>
      <c r="S2480">
        <f>R2480/R2479-1</f>
        <v/>
      </c>
      <c r="T2480">
        <f>MAX(T2479,R2480)</f>
        <v/>
      </c>
      <c r="U2480">
        <f>R2480/T2480-1</f>
        <v/>
      </c>
      <c r="V2480" t="n">
        <v>6.552913775618734</v>
      </c>
      <c r="W2480" s="5">
        <f>R2480-V2480</f>
        <v/>
      </c>
    </row>
    <row r="2481">
      <c r="A2481" s="3" t="n">
        <v>42088</v>
      </c>
      <c r="B2481">
        <f>Prices!B2481</f>
        <v/>
      </c>
      <c r="C2481">
        <f>Prices!C2481</f>
        <v/>
      </c>
      <c r="D2481">
        <f>Prices!D2481</f>
        <v/>
      </c>
      <c r="E2481">
        <f>Prices!E2481</f>
        <v/>
      </c>
      <c r="F2481">
        <f>Prices!F2481</f>
        <v/>
      </c>
      <c r="G2481">
        <f>IF(AND(2479&gt;=16,TEXT(A2481,"yyyy-mm")&lt;&gt;TEXT(A2482,"yyyy-mm")),1,0)</f>
        <v/>
      </c>
      <c r="H2481">
        <f>IF(OR(H2480=1,G2481=1),1,0)</f>
        <v/>
      </c>
      <c r="I2481">
        <f>IF(H2480=0,1,SUMPRODUCT(J2480:N2480,B2481:F2481)+O2480*(1+0.00023125256064071564))</f>
        <v/>
      </c>
      <c r="J2481">
        <f>IF(G2481=1,0.2*R2481/B2481,J2480)</f>
        <v/>
      </c>
      <c r="K2481">
        <f>IF(G2481=1,0.2*R2481/C2481,K2480)</f>
        <v/>
      </c>
      <c r="L2481">
        <f>IF(G2481=1,0.2*R2481/D2481,L2480)</f>
        <v/>
      </c>
      <c r="M2481">
        <f>IF(G2481=1,0.2*R2481/E2481,M2480)</f>
        <v/>
      </c>
      <c r="N2481">
        <f>IF(G2481=1,0.2*R2481/F2481,N2480)</f>
        <v/>
      </c>
      <c r="O2481">
        <f>IF(G2481=1,R2481*(1-1.0),IF(H2480=0,1,O2480*(1+0.00023125256064071564)))</f>
        <v/>
      </c>
      <c r="P2481">
        <f>IF(G2481=1,IF(H2480=0,1,ABS(0.2-J2480*B2481/I2481)+ABS(0.2-K2480*C2481/I2481)+ABS(0.2-L2480*D2481/I2481)+ABS(0.2-M2480*E2481/I2481)+ABS(0.2-N2480*F2481/I2481)),0)</f>
        <v/>
      </c>
      <c r="Q2481">
        <f>P2481*0.0015</f>
        <v/>
      </c>
      <c r="R2481">
        <f>I2481*(1-Q2481)</f>
        <v/>
      </c>
      <c r="S2481">
        <f>R2481/R2480-1</f>
        <v/>
      </c>
      <c r="T2481">
        <f>MAX(T2480,R2481)</f>
        <v/>
      </c>
      <c r="U2481">
        <f>R2481/T2481-1</f>
        <v/>
      </c>
      <c r="V2481" t="n">
        <v>6.530240701521429</v>
      </c>
      <c r="W2481" s="5">
        <f>R2481-V2481</f>
        <v/>
      </c>
    </row>
    <row r="2482">
      <c r="A2482" s="3" t="n">
        <v>42089</v>
      </c>
      <c r="B2482">
        <f>Prices!B2482</f>
        <v/>
      </c>
      <c r="C2482">
        <f>Prices!C2482</f>
        <v/>
      </c>
      <c r="D2482">
        <f>Prices!D2482</f>
        <v/>
      </c>
      <c r="E2482">
        <f>Prices!E2482</f>
        <v/>
      </c>
      <c r="F2482">
        <f>Prices!F2482</f>
        <v/>
      </c>
      <c r="G2482">
        <f>IF(AND(2480&gt;=16,TEXT(A2482,"yyyy-mm")&lt;&gt;TEXT(A2483,"yyyy-mm")),1,0)</f>
        <v/>
      </c>
      <c r="H2482">
        <f>IF(OR(H2481=1,G2482=1),1,0)</f>
        <v/>
      </c>
      <c r="I2482">
        <f>IF(H2481=0,1,SUMPRODUCT(J2481:N2481,B2482:F2482)+O2481*(1+0.00023125256064071564))</f>
        <v/>
      </c>
      <c r="J2482">
        <f>IF(G2482=1,0.2*R2482/B2482,J2481)</f>
        <v/>
      </c>
      <c r="K2482">
        <f>IF(G2482=1,0.2*R2482/C2482,K2481)</f>
        <v/>
      </c>
      <c r="L2482">
        <f>IF(G2482=1,0.2*R2482/D2482,L2481)</f>
        <v/>
      </c>
      <c r="M2482">
        <f>IF(G2482=1,0.2*R2482/E2482,M2481)</f>
        <v/>
      </c>
      <c r="N2482">
        <f>IF(G2482=1,0.2*R2482/F2482,N2481)</f>
        <v/>
      </c>
      <c r="O2482">
        <f>IF(G2482=1,R2482*(1-1.0),IF(H2481=0,1,O2481*(1+0.00023125256064071564)))</f>
        <v/>
      </c>
      <c r="P2482">
        <f>IF(G2482=1,IF(H2481=0,1,ABS(0.2-J2481*B2482/I2482)+ABS(0.2-K2481*C2482/I2482)+ABS(0.2-L2481*D2482/I2482)+ABS(0.2-M2481*E2482/I2482)+ABS(0.2-N2481*F2482/I2482)),0)</f>
        <v/>
      </c>
      <c r="Q2482">
        <f>P2482*0.0015</f>
        <v/>
      </c>
      <c r="R2482">
        <f>I2482*(1-Q2482)</f>
        <v/>
      </c>
      <c r="S2482">
        <f>R2482/R2481-1</f>
        <v/>
      </c>
      <c r="T2482">
        <f>MAX(T2481,R2482)</f>
        <v/>
      </c>
      <c r="U2482">
        <f>R2482/T2482-1</f>
        <v/>
      </c>
      <c r="V2482" t="n">
        <v>6.44790424438159</v>
      </c>
      <c r="W2482" s="5">
        <f>R2482-V2482</f>
        <v/>
      </c>
    </row>
    <row r="2483">
      <c r="A2483" s="3" t="n">
        <v>42090</v>
      </c>
      <c r="B2483">
        <f>Prices!B2483</f>
        <v/>
      </c>
      <c r="C2483">
        <f>Prices!C2483</f>
        <v/>
      </c>
      <c r="D2483">
        <f>Prices!D2483</f>
        <v/>
      </c>
      <c r="E2483">
        <f>Prices!E2483</f>
        <v/>
      </c>
      <c r="F2483">
        <f>Prices!F2483</f>
        <v/>
      </c>
      <c r="G2483">
        <f>IF(AND(2481&gt;=16,TEXT(A2483,"yyyy-mm")&lt;&gt;TEXT(A2484,"yyyy-mm")),1,0)</f>
        <v/>
      </c>
      <c r="H2483">
        <f>IF(OR(H2482=1,G2483=1),1,0)</f>
        <v/>
      </c>
      <c r="I2483">
        <f>IF(H2482=0,1,SUMPRODUCT(J2482:N2482,B2483:F2483)+O2482*(1+0.00023125256064071564))</f>
        <v/>
      </c>
      <c r="J2483">
        <f>IF(G2483=1,0.2*R2483/B2483,J2482)</f>
        <v/>
      </c>
      <c r="K2483">
        <f>IF(G2483=1,0.2*R2483/C2483,K2482)</f>
        <v/>
      </c>
      <c r="L2483">
        <f>IF(G2483=1,0.2*R2483/D2483,L2482)</f>
        <v/>
      </c>
      <c r="M2483">
        <f>IF(G2483=1,0.2*R2483/E2483,M2482)</f>
        <v/>
      </c>
      <c r="N2483">
        <f>IF(G2483=1,0.2*R2483/F2483,N2482)</f>
        <v/>
      </c>
      <c r="O2483">
        <f>IF(G2483=1,R2483*(1-1.0),IF(H2482=0,1,O2482*(1+0.00023125256064071564)))</f>
        <v/>
      </c>
      <c r="P2483">
        <f>IF(G2483=1,IF(H2482=0,1,ABS(0.2-J2482*B2483/I2483)+ABS(0.2-K2482*C2483/I2483)+ABS(0.2-L2482*D2483/I2483)+ABS(0.2-M2482*E2483/I2483)+ABS(0.2-N2482*F2483/I2483)),0)</f>
        <v/>
      </c>
      <c r="Q2483">
        <f>P2483*0.0015</f>
        <v/>
      </c>
      <c r="R2483">
        <f>I2483*(1-Q2483)</f>
        <v/>
      </c>
      <c r="S2483">
        <f>R2483/R2482-1</f>
        <v/>
      </c>
      <c r="T2483">
        <f>MAX(T2482,R2483)</f>
        <v/>
      </c>
      <c r="U2483">
        <f>R2483/T2483-1</f>
        <v/>
      </c>
      <c r="V2483" t="n">
        <v>6.44113427262166</v>
      </c>
      <c r="W2483" s="5">
        <f>R2483-V2483</f>
        <v/>
      </c>
    </row>
    <row r="2484">
      <c r="A2484" s="3" t="n">
        <v>42093</v>
      </c>
      <c r="B2484">
        <f>Prices!B2484</f>
        <v/>
      </c>
      <c r="C2484">
        <f>Prices!C2484</f>
        <v/>
      </c>
      <c r="D2484">
        <f>Prices!D2484</f>
        <v/>
      </c>
      <c r="E2484">
        <f>Prices!E2484</f>
        <v/>
      </c>
      <c r="F2484">
        <f>Prices!F2484</f>
        <v/>
      </c>
      <c r="G2484">
        <f>IF(AND(2482&gt;=16,TEXT(A2484,"yyyy-mm")&lt;&gt;TEXT(A2485,"yyyy-mm")),1,0)</f>
        <v/>
      </c>
      <c r="H2484">
        <f>IF(OR(H2483=1,G2484=1),1,0)</f>
        <v/>
      </c>
      <c r="I2484">
        <f>IF(H2483=0,1,SUMPRODUCT(J2483:N2483,B2484:F2484)+O2483*(1+0.00023125256064071564))</f>
        <v/>
      </c>
      <c r="J2484">
        <f>IF(G2484=1,0.2*R2484/B2484,J2483)</f>
        <v/>
      </c>
      <c r="K2484">
        <f>IF(G2484=1,0.2*R2484/C2484,K2483)</f>
        <v/>
      </c>
      <c r="L2484">
        <f>IF(G2484=1,0.2*R2484/D2484,L2483)</f>
        <v/>
      </c>
      <c r="M2484">
        <f>IF(G2484=1,0.2*R2484/E2484,M2483)</f>
        <v/>
      </c>
      <c r="N2484">
        <f>IF(G2484=1,0.2*R2484/F2484,N2483)</f>
        <v/>
      </c>
      <c r="O2484">
        <f>IF(G2484=1,R2484*(1-1.0),IF(H2483=0,1,O2483*(1+0.00023125256064071564)))</f>
        <v/>
      </c>
      <c r="P2484">
        <f>IF(G2484=1,IF(H2483=0,1,ABS(0.2-J2483*B2484/I2484)+ABS(0.2-K2483*C2484/I2484)+ABS(0.2-L2483*D2484/I2484)+ABS(0.2-M2483*E2484/I2484)+ABS(0.2-N2483*F2484/I2484)),0)</f>
        <v/>
      </c>
      <c r="Q2484">
        <f>P2484*0.0015</f>
        <v/>
      </c>
      <c r="R2484">
        <f>I2484*(1-Q2484)</f>
        <v/>
      </c>
      <c r="S2484">
        <f>R2484/R2483-1</f>
        <v/>
      </c>
      <c r="T2484">
        <f>MAX(T2483,R2484)</f>
        <v/>
      </c>
      <c r="U2484">
        <f>R2484/T2484-1</f>
        <v/>
      </c>
      <c r="V2484" t="n">
        <v>6.556667666203783</v>
      </c>
      <c r="W2484" s="5">
        <f>R2484-V2484</f>
        <v/>
      </c>
    </row>
    <row r="2485">
      <c r="A2485" s="3" t="n">
        <v>42094</v>
      </c>
      <c r="B2485">
        <f>Prices!B2485</f>
        <v/>
      </c>
      <c r="C2485">
        <f>Prices!C2485</f>
        <v/>
      </c>
      <c r="D2485">
        <f>Prices!D2485</f>
        <v/>
      </c>
      <c r="E2485">
        <f>Prices!E2485</f>
        <v/>
      </c>
      <c r="F2485">
        <f>Prices!F2485</f>
        <v/>
      </c>
      <c r="G2485">
        <f>IF(AND(2483&gt;=16,TEXT(A2485,"yyyy-mm")&lt;&gt;TEXT(A2486,"yyyy-mm")),1,0)</f>
        <v/>
      </c>
      <c r="H2485">
        <f>IF(OR(H2484=1,G2485=1),1,0)</f>
        <v/>
      </c>
      <c r="I2485">
        <f>IF(H2484=0,1,SUMPRODUCT(J2484:N2484,B2485:F2485)+O2484*(1+0.00023125256064071564))</f>
        <v/>
      </c>
      <c r="J2485">
        <f>IF(G2485=1,0.2*R2485/B2485,J2484)</f>
        <v/>
      </c>
      <c r="K2485">
        <f>IF(G2485=1,0.2*R2485/C2485,K2484)</f>
        <v/>
      </c>
      <c r="L2485">
        <f>IF(G2485=1,0.2*R2485/D2485,L2484)</f>
        <v/>
      </c>
      <c r="M2485">
        <f>IF(G2485=1,0.2*R2485/E2485,M2484)</f>
        <v/>
      </c>
      <c r="N2485">
        <f>IF(G2485=1,0.2*R2485/F2485,N2484)</f>
        <v/>
      </c>
      <c r="O2485">
        <f>IF(G2485=1,R2485*(1-1.0),IF(H2484=0,1,O2484*(1+0.00023125256064071564)))</f>
        <v/>
      </c>
      <c r="P2485">
        <f>IF(G2485=1,IF(H2484=0,1,ABS(0.2-J2484*B2485/I2485)+ABS(0.2-K2484*C2485/I2485)+ABS(0.2-L2484*D2485/I2485)+ABS(0.2-M2484*E2485/I2485)+ABS(0.2-N2484*F2485/I2485)),0)</f>
        <v/>
      </c>
      <c r="Q2485">
        <f>P2485*0.0015</f>
        <v/>
      </c>
      <c r="R2485">
        <f>I2485*(1-Q2485)</f>
        <v/>
      </c>
      <c r="S2485">
        <f>R2485/R2484-1</f>
        <v/>
      </c>
      <c r="T2485">
        <f>MAX(T2484,R2485)</f>
        <v/>
      </c>
      <c r="U2485">
        <f>R2485/T2485-1</f>
        <v/>
      </c>
      <c r="V2485" t="n">
        <v>6.591952909044304</v>
      </c>
      <c r="W2485" s="5">
        <f>R2485-V2485</f>
        <v/>
      </c>
    </row>
    <row r="2486">
      <c r="A2486" s="3" t="n">
        <v>42095</v>
      </c>
      <c r="B2486">
        <f>Prices!B2486</f>
        <v/>
      </c>
      <c r="C2486">
        <f>Prices!C2486</f>
        <v/>
      </c>
      <c r="D2486">
        <f>Prices!D2486</f>
        <v/>
      </c>
      <c r="E2486">
        <f>Prices!E2486</f>
        <v/>
      </c>
      <c r="F2486">
        <f>Prices!F2486</f>
        <v/>
      </c>
      <c r="G2486">
        <f>IF(AND(2484&gt;=16,TEXT(A2486,"yyyy-mm")&lt;&gt;TEXT(A2487,"yyyy-mm")),1,0)</f>
        <v/>
      </c>
      <c r="H2486">
        <f>IF(OR(H2485=1,G2486=1),1,0)</f>
        <v/>
      </c>
      <c r="I2486">
        <f>IF(H2485=0,1,SUMPRODUCT(J2485:N2485,B2486:F2486)+O2485*(1+0.00023125256064071564))</f>
        <v/>
      </c>
      <c r="J2486">
        <f>IF(G2486=1,0.2*R2486/B2486,J2485)</f>
        <v/>
      </c>
      <c r="K2486">
        <f>IF(G2486=1,0.2*R2486/C2486,K2485)</f>
        <v/>
      </c>
      <c r="L2486">
        <f>IF(G2486=1,0.2*R2486/D2486,L2485)</f>
        <v/>
      </c>
      <c r="M2486">
        <f>IF(G2486=1,0.2*R2486/E2486,M2485)</f>
        <v/>
      </c>
      <c r="N2486">
        <f>IF(G2486=1,0.2*R2486/F2486,N2485)</f>
        <v/>
      </c>
      <c r="O2486">
        <f>IF(G2486=1,R2486*(1-1.0),IF(H2485=0,1,O2485*(1+0.00023125256064071564)))</f>
        <v/>
      </c>
      <c r="P2486">
        <f>IF(G2486=1,IF(H2485=0,1,ABS(0.2-J2485*B2486/I2486)+ABS(0.2-K2485*C2486/I2486)+ABS(0.2-L2485*D2486/I2486)+ABS(0.2-M2485*E2486/I2486)+ABS(0.2-N2485*F2486/I2486)),0)</f>
        <v/>
      </c>
      <c r="Q2486">
        <f>P2486*0.0015</f>
        <v/>
      </c>
      <c r="R2486">
        <f>I2486*(1-Q2486)</f>
        <v/>
      </c>
      <c r="S2486">
        <f>R2486/R2485-1</f>
        <v/>
      </c>
      <c r="T2486">
        <f>MAX(T2485,R2486)</f>
        <v/>
      </c>
      <c r="U2486">
        <f>R2486/T2486-1</f>
        <v/>
      </c>
      <c r="V2486" t="n">
        <v>6.68757215248332</v>
      </c>
      <c r="W2486" s="5">
        <f>R2486-V2486</f>
        <v/>
      </c>
    </row>
    <row r="2487">
      <c r="A2487" s="3" t="n">
        <v>42100</v>
      </c>
      <c r="B2487">
        <f>Prices!B2487</f>
        <v/>
      </c>
      <c r="C2487">
        <f>Prices!C2487</f>
        <v/>
      </c>
      <c r="D2487">
        <f>Prices!D2487</f>
        <v/>
      </c>
      <c r="E2487">
        <f>Prices!E2487</f>
        <v/>
      </c>
      <c r="F2487">
        <f>Prices!F2487</f>
        <v/>
      </c>
      <c r="G2487">
        <f>IF(AND(2485&gt;=16,TEXT(A2487,"yyyy-mm")&lt;&gt;TEXT(A2488,"yyyy-mm")),1,0)</f>
        <v/>
      </c>
      <c r="H2487">
        <f>IF(OR(H2486=1,G2487=1),1,0)</f>
        <v/>
      </c>
      <c r="I2487">
        <f>IF(H2486=0,1,SUMPRODUCT(J2486:N2486,B2487:F2487)+O2486*(1+0.00023125256064071564))</f>
        <v/>
      </c>
      <c r="J2487">
        <f>IF(G2487=1,0.2*R2487/B2487,J2486)</f>
        <v/>
      </c>
      <c r="K2487">
        <f>IF(G2487=1,0.2*R2487/C2487,K2486)</f>
        <v/>
      </c>
      <c r="L2487">
        <f>IF(G2487=1,0.2*R2487/D2487,L2486)</f>
        <v/>
      </c>
      <c r="M2487">
        <f>IF(G2487=1,0.2*R2487/E2487,M2486)</f>
        <v/>
      </c>
      <c r="N2487">
        <f>IF(G2487=1,0.2*R2487/F2487,N2486)</f>
        <v/>
      </c>
      <c r="O2487">
        <f>IF(G2487=1,R2487*(1-1.0),IF(H2486=0,1,O2486*(1+0.00023125256064071564)))</f>
        <v/>
      </c>
      <c r="P2487">
        <f>IF(G2487=1,IF(H2486=0,1,ABS(0.2-J2486*B2487/I2487)+ABS(0.2-K2486*C2487/I2487)+ABS(0.2-L2486*D2487/I2487)+ABS(0.2-M2486*E2487/I2487)+ABS(0.2-N2486*F2487/I2487)),0)</f>
        <v/>
      </c>
      <c r="Q2487">
        <f>P2487*0.0015</f>
        <v/>
      </c>
      <c r="R2487">
        <f>I2487*(1-Q2487)</f>
        <v/>
      </c>
      <c r="S2487">
        <f>R2487/R2486-1</f>
        <v/>
      </c>
      <c r="T2487">
        <f>MAX(T2486,R2487)</f>
        <v/>
      </c>
      <c r="U2487">
        <f>R2487/T2487-1</f>
        <v/>
      </c>
      <c r="V2487" t="n">
        <v>6.767186822596203</v>
      </c>
      <c r="W2487" s="5">
        <f>R2487-V2487</f>
        <v/>
      </c>
    </row>
    <row r="2488">
      <c r="A2488" s="3" t="n">
        <v>42101</v>
      </c>
      <c r="B2488">
        <f>Prices!B2488</f>
        <v/>
      </c>
      <c r="C2488">
        <f>Prices!C2488</f>
        <v/>
      </c>
      <c r="D2488">
        <f>Prices!D2488</f>
        <v/>
      </c>
      <c r="E2488">
        <f>Prices!E2488</f>
        <v/>
      </c>
      <c r="F2488">
        <f>Prices!F2488</f>
        <v/>
      </c>
      <c r="G2488">
        <f>IF(AND(2486&gt;=16,TEXT(A2488,"yyyy-mm")&lt;&gt;TEXT(A2489,"yyyy-mm")),1,0)</f>
        <v/>
      </c>
      <c r="H2488">
        <f>IF(OR(H2487=1,G2488=1),1,0)</f>
        <v/>
      </c>
      <c r="I2488">
        <f>IF(H2487=0,1,SUMPRODUCT(J2487:N2487,B2488:F2488)+O2487*(1+0.00023125256064071564))</f>
        <v/>
      </c>
      <c r="J2488">
        <f>IF(G2488=1,0.2*R2488/B2488,J2487)</f>
        <v/>
      </c>
      <c r="K2488">
        <f>IF(G2488=1,0.2*R2488/C2488,K2487)</f>
        <v/>
      </c>
      <c r="L2488">
        <f>IF(G2488=1,0.2*R2488/D2488,L2487)</f>
        <v/>
      </c>
      <c r="M2488">
        <f>IF(G2488=1,0.2*R2488/E2488,M2487)</f>
        <v/>
      </c>
      <c r="N2488">
        <f>IF(G2488=1,0.2*R2488/F2488,N2487)</f>
        <v/>
      </c>
      <c r="O2488">
        <f>IF(G2488=1,R2488*(1-1.0),IF(H2487=0,1,O2487*(1+0.00023125256064071564)))</f>
        <v/>
      </c>
      <c r="P2488">
        <f>IF(G2488=1,IF(H2487=0,1,ABS(0.2-J2487*B2488/I2488)+ABS(0.2-K2487*C2488/I2488)+ABS(0.2-L2487*D2488/I2488)+ABS(0.2-M2487*E2488/I2488)+ABS(0.2-N2487*F2488/I2488)),0)</f>
        <v/>
      </c>
      <c r="Q2488">
        <f>P2488*0.0015</f>
        <v/>
      </c>
      <c r="R2488">
        <f>I2488*(1-Q2488)</f>
        <v/>
      </c>
      <c r="S2488">
        <f>R2488/R2487-1</f>
        <v/>
      </c>
      <c r="T2488">
        <f>MAX(T2487,R2488)</f>
        <v/>
      </c>
      <c r="U2488">
        <f>R2488/T2488-1</f>
        <v/>
      </c>
      <c r="V2488" t="n">
        <v>6.799174905117733</v>
      </c>
      <c r="W2488" s="5">
        <f>R2488-V2488</f>
        <v/>
      </c>
    </row>
    <row r="2489">
      <c r="A2489" s="3" t="n">
        <v>42102</v>
      </c>
      <c r="B2489">
        <f>Prices!B2489</f>
        <v/>
      </c>
      <c r="C2489">
        <f>Prices!C2489</f>
        <v/>
      </c>
      <c r="D2489">
        <f>Prices!D2489</f>
        <v/>
      </c>
      <c r="E2489">
        <f>Prices!E2489</f>
        <v/>
      </c>
      <c r="F2489">
        <f>Prices!F2489</f>
        <v/>
      </c>
      <c r="G2489">
        <f>IF(AND(2487&gt;=16,TEXT(A2489,"yyyy-mm")&lt;&gt;TEXT(A2490,"yyyy-mm")),1,0)</f>
        <v/>
      </c>
      <c r="H2489">
        <f>IF(OR(H2488=1,G2489=1),1,0)</f>
        <v/>
      </c>
      <c r="I2489">
        <f>IF(H2488=0,1,SUMPRODUCT(J2488:N2488,B2489:F2489)+O2488*(1+0.00023125256064071564))</f>
        <v/>
      </c>
      <c r="J2489">
        <f>IF(G2489=1,0.2*R2489/B2489,J2488)</f>
        <v/>
      </c>
      <c r="K2489">
        <f>IF(G2489=1,0.2*R2489/C2489,K2488)</f>
        <v/>
      </c>
      <c r="L2489">
        <f>IF(G2489=1,0.2*R2489/D2489,L2488)</f>
        <v/>
      </c>
      <c r="M2489">
        <f>IF(G2489=1,0.2*R2489/E2489,M2488)</f>
        <v/>
      </c>
      <c r="N2489">
        <f>IF(G2489=1,0.2*R2489/F2489,N2488)</f>
        <v/>
      </c>
      <c r="O2489">
        <f>IF(G2489=1,R2489*(1-1.0),IF(H2488=0,1,O2488*(1+0.00023125256064071564)))</f>
        <v/>
      </c>
      <c r="P2489">
        <f>IF(G2489=1,IF(H2488=0,1,ABS(0.2-J2488*B2489/I2489)+ABS(0.2-K2488*C2489/I2489)+ABS(0.2-L2488*D2489/I2489)+ABS(0.2-M2488*E2489/I2489)+ABS(0.2-N2488*F2489/I2489)),0)</f>
        <v/>
      </c>
      <c r="Q2489">
        <f>P2489*0.0015</f>
        <v/>
      </c>
      <c r="R2489">
        <f>I2489*(1-Q2489)</f>
        <v/>
      </c>
      <c r="S2489">
        <f>R2489/R2488-1</f>
        <v/>
      </c>
      <c r="T2489">
        <f>MAX(T2488,R2489)</f>
        <v/>
      </c>
      <c r="U2489">
        <f>R2489/T2489-1</f>
        <v/>
      </c>
      <c r="V2489" t="n">
        <v>6.864082680084904</v>
      </c>
      <c r="W2489" s="5">
        <f>R2489-V2489</f>
        <v/>
      </c>
    </row>
    <row r="2490">
      <c r="A2490" s="3" t="n">
        <v>42103</v>
      </c>
      <c r="B2490">
        <f>Prices!B2490</f>
        <v/>
      </c>
      <c r="C2490">
        <f>Prices!C2490</f>
        <v/>
      </c>
      <c r="D2490">
        <f>Prices!D2490</f>
        <v/>
      </c>
      <c r="E2490">
        <f>Prices!E2490</f>
        <v/>
      </c>
      <c r="F2490">
        <f>Prices!F2490</f>
        <v/>
      </c>
      <c r="G2490">
        <f>IF(AND(2488&gt;=16,TEXT(A2490,"yyyy-mm")&lt;&gt;TEXT(A2491,"yyyy-mm")),1,0)</f>
        <v/>
      </c>
      <c r="H2490">
        <f>IF(OR(H2489=1,G2490=1),1,0)</f>
        <v/>
      </c>
      <c r="I2490">
        <f>IF(H2489=0,1,SUMPRODUCT(J2489:N2489,B2490:F2490)+O2489*(1+0.00023125256064071564))</f>
        <v/>
      </c>
      <c r="J2490">
        <f>IF(G2490=1,0.2*R2490/B2490,J2489)</f>
        <v/>
      </c>
      <c r="K2490">
        <f>IF(G2490=1,0.2*R2490/C2490,K2489)</f>
        <v/>
      </c>
      <c r="L2490">
        <f>IF(G2490=1,0.2*R2490/D2490,L2489)</f>
        <v/>
      </c>
      <c r="M2490">
        <f>IF(G2490=1,0.2*R2490/E2490,M2489)</f>
        <v/>
      </c>
      <c r="N2490">
        <f>IF(G2490=1,0.2*R2490/F2490,N2489)</f>
        <v/>
      </c>
      <c r="O2490">
        <f>IF(G2490=1,R2490*(1-1.0),IF(H2489=0,1,O2489*(1+0.00023125256064071564)))</f>
        <v/>
      </c>
      <c r="P2490">
        <f>IF(G2490=1,IF(H2489=0,1,ABS(0.2-J2489*B2490/I2490)+ABS(0.2-K2489*C2490/I2490)+ABS(0.2-L2489*D2490/I2490)+ABS(0.2-M2489*E2490/I2490)+ABS(0.2-N2489*F2490/I2490)),0)</f>
        <v/>
      </c>
      <c r="Q2490">
        <f>P2490*0.0015</f>
        <v/>
      </c>
      <c r="R2490">
        <f>I2490*(1-Q2490)</f>
        <v/>
      </c>
      <c r="S2490">
        <f>R2490/R2489-1</f>
        <v/>
      </c>
      <c r="T2490">
        <f>MAX(T2489,R2490)</f>
        <v/>
      </c>
      <c r="U2490">
        <f>R2490/T2490-1</f>
        <v/>
      </c>
      <c r="V2490" t="n">
        <v>6.87782733471746</v>
      </c>
      <c r="W2490" s="5">
        <f>R2490-V2490</f>
        <v/>
      </c>
    </row>
    <row r="2491">
      <c r="A2491" s="3" t="n">
        <v>42104</v>
      </c>
      <c r="B2491">
        <f>Prices!B2491</f>
        <v/>
      </c>
      <c r="C2491">
        <f>Prices!C2491</f>
        <v/>
      </c>
      <c r="D2491">
        <f>Prices!D2491</f>
        <v/>
      </c>
      <c r="E2491">
        <f>Prices!E2491</f>
        <v/>
      </c>
      <c r="F2491">
        <f>Prices!F2491</f>
        <v/>
      </c>
      <c r="G2491">
        <f>IF(AND(2489&gt;=16,TEXT(A2491,"yyyy-mm")&lt;&gt;TEXT(A2492,"yyyy-mm")),1,0)</f>
        <v/>
      </c>
      <c r="H2491">
        <f>IF(OR(H2490=1,G2491=1),1,0)</f>
        <v/>
      </c>
      <c r="I2491">
        <f>IF(H2490=0,1,SUMPRODUCT(J2490:N2490,B2491:F2491)+O2490*(1+0.00023125256064071564))</f>
        <v/>
      </c>
      <c r="J2491">
        <f>IF(G2491=1,0.2*R2491/B2491,J2490)</f>
        <v/>
      </c>
      <c r="K2491">
        <f>IF(G2491=1,0.2*R2491/C2491,K2490)</f>
        <v/>
      </c>
      <c r="L2491">
        <f>IF(G2491=1,0.2*R2491/D2491,L2490)</f>
        <v/>
      </c>
      <c r="M2491">
        <f>IF(G2491=1,0.2*R2491/E2491,M2490)</f>
        <v/>
      </c>
      <c r="N2491">
        <f>IF(G2491=1,0.2*R2491/F2491,N2490)</f>
        <v/>
      </c>
      <c r="O2491">
        <f>IF(G2491=1,R2491*(1-1.0),IF(H2490=0,1,O2490*(1+0.00023125256064071564)))</f>
        <v/>
      </c>
      <c r="P2491">
        <f>IF(G2491=1,IF(H2490=0,1,ABS(0.2-J2490*B2491/I2491)+ABS(0.2-K2490*C2491/I2491)+ABS(0.2-L2490*D2491/I2491)+ABS(0.2-M2490*E2491/I2491)+ABS(0.2-N2490*F2491/I2491)),0)</f>
        <v/>
      </c>
      <c r="Q2491">
        <f>P2491*0.0015</f>
        <v/>
      </c>
      <c r="R2491">
        <f>I2491*(1-Q2491)</f>
        <v/>
      </c>
      <c r="S2491">
        <f>R2491/R2490-1</f>
        <v/>
      </c>
      <c r="T2491">
        <f>MAX(T2490,R2491)</f>
        <v/>
      </c>
      <c r="U2491">
        <f>R2491/T2491-1</f>
        <v/>
      </c>
      <c r="V2491" t="n">
        <v>6.89568869646788</v>
      </c>
      <c r="W2491" s="5">
        <f>R2491-V2491</f>
        <v/>
      </c>
    </row>
    <row r="2492">
      <c r="A2492" s="3" t="n">
        <v>42107</v>
      </c>
      <c r="B2492">
        <f>Prices!B2492</f>
        <v/>
      </c>
      <c r="C2492">
        <f>Prices!C2492</f>
        <v/>
      </c>
      <c r="D2492">
        <f>Prices!D2492</f>
        <v/>
      </c>
      <c r="E2492">
        <f>Prices!E2492</f>
        <v/>
      </c>
      <c r="F2492">
        <f>Prices!F2492</f>
        <v/>
      </c>
      <c r="G2492">
        <f>IF(AND(2490&gt;=16,TEXT(A2492,"yyyy-mm")&lt;&gt;TEXT(A2493,"yyyy-mm")),1,0)</f>
        <v/>
      </c>
      <c r="H2492">
        <f>IF(OR(H2491=1,G2492=1),1,0)</f>
        <v/>
      </c>
      <c r="I2492">
        <f>IF(H2491=0,1,SUMPRODUCT(J2491:N2491,B2492:F2492)+O2491*(1+0.00023125256064071564))</f>
        <v/>
      </c>
      <c r="J2492">
        <f>IF(G2492=1,0.2*R2492/B2492,J2491)</f>
        <v/>
      </c>
      <c r="K2492">
        <f>IF(G2492=1,0.2*R2492/C2492,K2491)</f>
        <v/>
      </c>
      <c r="L2492">
        <f>IF(G2492=1,0.2*R2492/D2492,L2491)</f>
        <v/>
      </c>
      <c r="M2492">
        <f>IF(G2492=1,0.2*R2492/E2492,M2491)</f>
        <v/>
      </c>
      <c r="N2492">
        <f>IF(G2492=1,0.2*R2492/F2492,N2491)</f>
        <v/>
      </c>
      <c r="O2492">
        <f>IF(G2492=1,R2492*(1-1.0),IF(H2491=0,1,O2491*(1+0.00023125256064071564)))</f>
        <v/>
      </c>
      <c r="P2492">
        <f>IF(G2492=1,IF(H2491=0,1,ABS(0.2-J2491*B2492/I2492)+ABS(0.2-K2491*C2492/I2492)+ABS(0.2-L2491*D2492/I2492)+ABS(0.2-M2491*E2492/I2492)+ABS(0.2-N2491*F2492/I2492)),0)</f>
        <v/>
      </c>
      <c r="Q2492">
        <f>P2492*0.0015</f>
        <v/>
      </c>
      <c r="R2492">
        <f>I2492*(1-Q2492)</f>
        <v/>
      </c>
      <c r="S2492">
        <f>R2492/R2491-1</f>
        <v/>
      </c>
      <c r="T2492">
        <f>MAX(T2491,R2492)</f>
        <v/>
      </c>
      <c r="U2492">
        <f>R2492/T2492-1</f>
        <v/>
      </c>
      <c r="V2492" t="n">
        <v>6.917481090206707</v>
      </c>
      <c r="W2492" s="5">
        <f>R2492-V2492</f>
        <v/>
      </c>
    </row>
    <row r="2493">
      <c r="A2493" s="3" t="n">
        <v>42109</v>
      </c>
      <c r="B2493">
        <f>Prices!B2493</f>
        <v/>
      </c>
      <c r="C2493">
        <f>Prices!C2493</f>
        <v/>
      </c>
      <c r="D2493">
        <f>Prices!D2493</f>
        <v/>
      </c>
      <c r="E2493">
        <f>Prices!E2493</f>
        <v/>
      </c>
      <c r="F2493">
        <f>Prices!F2493</f>
        <v/>
      </c>
      <c r="G2493">
        <f>IF(AND(2491&gt;=16,TEXT(A2493,"yyyy-mm")&lt;&gt;TEXT(A2494,"yyyy-mm")),1,0)</f>
        <v/>
      </c>
      <c r="H2493">
        <f>IF(OR(H2492=1,G2493=1),1,0)</f>
        <v/>
      </c>
      <c r="I2493">
        <f>IF(H2492=0,1,SUMPRODUCT(J2492:N2492,B2493:F2493)+O2492*(1+0.00023125256064071564))</f>
        <v/>
      </c>
      <c r="J2493">
        <f>IF(G2493=1,0.2*R2493/B2493,J2492)</f>
        <v/>
      </c>
      <c r="K2493">
        <f>IF(G2493=1,0.2*R2493/C2493,K2492)</f>
        <v/>
      </c>
      <c r="L2493">
        <f>IF(G2493=1,0.2*R2493/D2493,L2492)</f>
        <v/>
      </c>
      <c r="M2493">
        <f>IF(G2493=1,0.2*R2493/E2493,M2492)</f>
        <v/>
      </c>
      <c r="N2493">
        <f>IF(G2493=1,0.2*R2493/F2493,N2492)</f>
        <v/>
      </c>
      <c r="O2493">
        <f>IF(G2493=1,R2493*(1-1.0),IF(H2492=0,1,O2492*(1+0.00023125256064071564)))</f>
        <v/>
      </c>
      <c r="P2493">
        <f>IF(G2493=1,IF(H2492=0,1,ABS(0.2-J2492*B2493/I2493)+ABS(0.2-K2492*C2493/I2493)+ABS(0.2-L2492*D2493/I2493)+ABS(0.2-M2492*E2493/I2493)+ABS(0.2-N2492*F2493/I2493)),0)</f>
        <v/>
      </c>
      <c r="Q2493">
        <f>P2493*0.0015</f>
        <v/>
      </c>
      <c r="R2493">
        <f>I2493*(1-Q2493)</f>
        <v/>
      </c>
      <c r="S2493">
        <f>R2493/R2492-1</f>
        <v/>
      </c>
      <c r="T2493">
        <f>MAX(T2492,R2493)</f>
        <v/>
      </c>
      <c r="U2493">
        <f>R2493/T2493-1</f>
        <v/>
      </c>
      <c r="V2493" t="n">
        <v>6.860039438736791</v>
      </c>
      <c r="W2493" s="5">
        <f>R2493-V2493</f>
        <v/>
      </c>
    </row>
    <row r="2494">
      <c r="A2494" s="3" t="n">
        <v>42110</v>
      </c>
      <c r="B2494">
        <f>Prices!B2494</f>
        <v/>
      </c>
      <c r="C2494">
        <f>Prices!C2494</f>
        <v/>
      </c>
      <c r="D2494">
        <f>Prices!D2494</f>
        <v/>
      </c>
      <c r="E2494">
        <f>Prices!E2494</f>
        <v/>
      </c>
      <c r="F2494">
        <f>Prices!F2494</f>
        <v/>
      </c>
      <c r="G2494">
        <f>IF(AND(2492&gt;=16,TEXT(A2494,"yyyy-mm")&lt;&gt;TEXT(A2495,"yyyy-mm")),1,0)</f>
        <v/>
      </c>
      <c r="H2494">
        <f>IF(OR(H2493=1,G2494=1),1,0)</f>
        <v/>
      </c>
      <c r="I2494">
        <f>IF(H2493=0,1,SUMPRODUCT(J2493:N2493,B2494:F2494)+O2493*(1+0.00023125256064071564))</f>
        <v/>
      </c>
      <c r="J2494">
        <f>IF(G2494=1,0.2*R2494/B2494,J2493)</f>
        <v/>
      </c>
      <c r="K2494">
        <f>IF(G2494=1,0.2*R2494/C2494,K2493)</f>
        <v/>
      </c>
      <c r="L2494">
        <f>IF(G2494=1,0.2*R2494/D2494,L2493)</f>
        <v/>
      </c>
      <c r="M2494">
        <f>IF(G2494=1,0.2*R2494/E2494,M2493)</f>
        <v/>
      </c>
      <c r="N2494">
        <f>IF(G2494=1,0.2*R2494/F2494,N2493)</f>
        <v/>
      </c>
      <c r="O2494">
        <f>IF(G2494=1,R2494*(1-1.0),IF(H2493=0,1,O2493*(1+0.00023125256064071564)))</f>
        <v/>
      </c>
      <c r="P2494">
        <f>IF(G2494=1,IF(H2493=0,1,ABS(0.2-J2493*B2494/I2494)+ABS(0.2-K2493*C2494/I2494)+ABS(0.2-L2493*D2494/I2494)+ABS(0.2-M2493*E2494/I2494)+ABS(0.2-N2493*F2494/I2494)),0)</f>
        <v/>
      </c>
      <c r="Q2494">
        <f>P2494*0.0015</f>
        <v/>
      </c>
      <c r="R2494">
        <f>I2494*(1-Q2494)</f>
        <v/>
      </c>
      <c r="S2494">
        <f>R2494/R2493-1</f>
        <v/>
      </c>
      <c r="T2494">
        <f>MAX(T2493,R2494)</f>
        <v/>
      </c>
      <c r="U2494">
        <f>R2494/T2494-1</f>
        <v/>
      </c>
      <c r="V2494" t="n">
        <v>6.802372476052624</v>
      </c>
      <c r="W2494" s="5">
        <f>R2494-V2494</f>
        <v/>
      </c>
    </row>
    <row r="2495">
      <c r="A2495" s="3" t="n">
        <v>42111</v>
      </c>
      <c r="B2495">
        <f>Prices!B2495</f>
        <v/>
      </c>
      <c r="C2495">
        <f>Prices!C2495</f>
        <v/>
      </c>
      <c r="D2495">
        <f>Prices!D2495</f>
        <v/>
      </c>
      <c r="E2495">
        <f>Prices!E2495</f>
        <v/>
      </c>
      <c r="F2495">
        <f>Prices!F2495</f>
        <v/>
      </c>
      <c r="G2495">
        <f>IF(AND(2493&gt;=16,TEXT(A2495,"yyyy-mm")&lt;&gt;TEXT(A2496,"yyyy-mm")),1,0)</f>
        <v/>
      </c>
      <c r="H2495">
        <f>IF(OR(H2494=1,G2495=1),1,0)</f>
        <v/>
      </c>
      <c r="I2495">
        <f>IF(H2494=0,1,SUMPRODUCT(J2494:N2494,B2495:F2495)+O2494*(1+0.00023125256064071564))</f>
        <v/>
      </c>
      <c r="J2495">
        <f>IF(G2495=1,0.2*R2495/B2495,J2494)</f>
        <v/>
      </c>
      <c r="K2495">
        <f>IF(G2495=1,0.2*R2495/C2495,K2494)</f>
        <v/>
      </c>
      <c r="L2495">
        <f>IF(G2495=1,0.2*R2495/D2495,L2494)</f>
        <v/>
      </c>
      <c r="M2495">
        <f>IF(G2495=1,0.2*R2495/E2495,M2494)</f>
        <v/>
      </c>
      <c r="N2495">
        <f>IF(G2495=1,0.2*R2495/F2495,N2494)</f>
        <v/>
      </c>
      <c r="O2495">
        <f>IF(G2495=1,R2495*(1-1.0),IF(H2494=0,1,O2494*(1+0.00023125256064071564)))</f>
        <v/>
      </c>
      <c r="P2495">
        <f>IF(G2495=1,IF(H2494=0,1,ABS(0.2-J2494*B2495/I2495)+ABS(0.2-K2494*C2495/I2495)+ABS(0.2-L2494*D2495/I2495)+ABS(0.2-M2494*E2495/I2495)+ABS(0.2-N2494*F2495/I2495)),0)</f>
        <v/>
      </c>
      <c r="Q2495">
        <f>P2495*0.0015</f>
        <v/>
      </c>
      <c r="R2495">
        <f>I2495*(1-Q2495)</f>
        <v/>
      </c>
      <c r="S2495">
        <f>R2495/R2494-1</f>
        <v/>
      </c>
      <c r="T2495">
        <f>MAX(T2494,R2495)</f>
        <v/>
      </c>
      <c r="U2495">
        <f>R2495/T2495-1</f>
        <v/>
      </c>
      <c r="V2495" t="n">
        <v>6.699118393228888</v>
      </c>
      <c r="W2495" s="5">
        <f>R2495-V2495</f>
        <v/>
      </c>
    </row>
    <row r="2496">
      <c r="A2496" s="3" t="n">
        <v>42114</v>
      </c>
      <c r="B2496">
        <f>Prices!B2496</f>
        <v/>
      </c>
      <c r="C2496">
        <f>Prices!C2496</f>
        <v/>
      </c>
      <c r="D2496">
        <f>Prices!D2496</f>
        <v/>
      </c>
      <c r="E2496">
        <f>Prices!E2496</f>
        <v/>
      </c>
      <c r="F2496">
        <f>Prices!F2496</f>
        <v/>
      </c>
      <c r="G2496">
        <f>IF(AND(2494&gt;=16,TEXT(A2496,"yyyy-mm")&lt;&gt;TEXT(A2497,"yyyy-mm")),1,0)</f>
        <v/>
      </c>
      <c r="H2496">
        <f>IF(OR(H2495=1,G2496=1),1,0)</f>
        <v/>
      </c>
      <c r="I2496">
        <f>IF(H2495=0,1,SUMPRODUCT(J2495:N2495,B2496:F2496)+O2495*(1+0.00023125256064071564))</f>
        <v/>
      </c>
      <c r="J2496">
        <f>IF(G2496=1,0.2*R2496/B2496,J2495)</f>
        <v/>
      </c>
      <c r="K2496">
        <f>IF(G2496=1,0.2*R2496/C2496,K2495)</f>
        <v/>
      </c>
      <c r="L2496">
        <f>IF(G2496=1,0.2*R2496/D2496,L2495)</f>
        <v/>
      </c>
      <c r="M2496">
        <f>IF(G2496=1,0.2*R2496/E2496,M2495)</f>
        <v/>
      </c>
      <c r="N2496">
        <f>IF(G2496=1,0.2*R2496/F2496,N2495)</f>
        <v/>
      </c>
      <c r="O2496">
        <f>IF(G2496=1,R2496*(1-1.0),IF(H2495=0,1,O2495*(1+0.00023125256064071564)))</f>
        <v/>
      </c>
      <c r="P2496">
        <f>IF(G2496=1,IF(H2495=0,1,ABS(0.2-J2495*B2496/I2496)+ABS(0.2-K2495*C2496/I2496)+ABS(0.2-L2495*D2496/I2496)+ABS(0.2-M2495*E2496/I2496)+ABS(0.2-N2495*F2496/I2496)),0)</f>
        <v/>
      </c>
      <c r="Q2496">
        <f>P2496*0.0015</f>
        <v/>
      </c>
      <c r="R2496">
        <f>I2496*(1-Q2496)</f>
        <v/>
      </c>
      <c r="S2496">
        <f>R2496/R2495-1</f>
        <v/>
      </c>
      <c r="T2496">
        <f>MAX(T2495,R2496)</f>
        <v/>
      </c>
      <c r="U2496">
        <f>R2496/T2496-1</f>
        <v/>
      </c>
      <c r="V2496" t="n">
        <v>6.570868881493439</v>
      </c>
      <c r="W2496" s="5">
        <f>R2496-V2496</f>
        <v/>
      </c>
    </row>
    <row r="2497">
      <c r="A2497" s="3" t="n">
        <v>42115</v>
      </c>
      <c r="B2497">
        <f>Prices!B2497</f>
        <v/>
      </c>
      <c r="C2497">
        <f>Prices!C2497</f>
        <v/>
      </c>
      <c r="D2497">
        <f>Prices!D2497</f>
        <v/>
      </c>
      <c r="E2497">
        <f>Prices!E2497</f>
        <v/>
      </c>
      <c r="F2497">
        <f>Prices!F2497</f>
        <v/>
      </c>
      <c r="G2497">
        <f>IF(AND(2495&gt;=16,TEXT(A2497,"yyyy-mm")&lt;&gt;TEXT(A2498,"yyyy-mm")),1,0)</f>
        <v/>
      </c>
      <c r="H2497">
        <f>IF(OR(H2496=1,G2497=1),1,0)</f>
        <v/>
      </c>
      <c r="I2497">
        <f>IF(H2496=0,1,SUMPRODUCT(J2496:N2496,B2497:F2497)+O2496*(1+0.00023125256064071564))</f>
        <v/>
      </c>
      <c r="J2497">
        <f>IF(G2497=1,0.2*R2497/B2497,J2496)</f>
        <v/>
      </c>
      <c r="K2497">
        <f>IF(G2497=1,0.2*R2497/C2497,K2496)</f>
        <v/>
      </c>
      <c r="L2497">
        <f>IF(G2497=1,0.2*R2497/D2497,L2496)</f>
        <v/>
      </c>
      <c r="M2497">
        <f>IF(G2497=1,0.2*R2497/E2497,M2496)</f>
        <v/>
      </c>
      <c r="N2497">
        <f>IF(G2497=1,0.2*R2497/F2497,N2496)</f>
        <v/>
      </c>
      <c r="O2497">
        <f>IF(G2497=1,R2497*(1-1.0),IF(H2496=0,1,O2496*(1+0.00023125256064071564)))</f>
        <v/>
      </c>
      <c r="P2497">
        <f>IF(G2497=1,IF(H2496=0,1,ABS(0.2-J2496*B2497/I2497)+ABS(0.2-K2496*C2497/I2497)+ABS(0.2-L2496*D2497/I2497)+ABS(0.2-M2496*E2497/I2497)+ABS(0.2-N2496*F2497/I2497)),0)</f>
        <v/>
      </c>
      <c r="Q2497">
        <f>P2497*0.0015</f>
        <v/>
      </c>
      <c r="R2497">
        <f>I2497*(1-Q2497)</f>
        <v/>
      </c>
      <c r="S2497">
        <f>R2497/R2496-1</f>
        <v/>
      </c>
      <c r="T2497">
        <f>MAX(T2496,R2497)</f>
        <v/>
      </c>
      <c r="U2497">
        <f>R2497/T2497-1</f>
        <v/>
      </c>
      <c r="V2497" t="n">
        <v>6.531508744022608</v>
      </c>
      <c r="W2497" s="5">
        <f>R2497-V2497</f>
        <v/>
      </c>
    </row>
    <row r="2498">
      <c r="A2498" s="3" t="n">
        <v>42116</v>
      </c>
      <c r="B2498">
        <f>Prices!B2498</f>
        <v/>
      </c>
      <c r="C2498">
        <f>Prices!C2498</f>
        <v/>
      </c>
      <c r="D2498">
        <f>Prices!D2498</f>
        <v/>
      </c>
      <c r="E2498">
        <f>Prices!E2498</f>
        <v/>
      </c>
      <c r="F2498">
        <f>Prices!F2498</f>
        <v/>
      </c>
      <c r="G2498">
        <f>IF(AND(2496&gt;=16,TEXT(A2498,"yyyy-mm")&lt;&gt;TEXT(A2499,"yyyy-mm")),1,0)</f>
        <v/>
      </c>
      <c r="H2498">
        <f>IF(OR(H2497=1,G2498=1),1,0)</f>
        <v/>
      </c>
      <c r="I2498">
        <f>IF(H2497=0,1,SUMPRODUCT(J2497:N2497,B2498:F2498)+O2497*(1+0.00023125256064071564))</f>
        <v/>
      </c>
      <c r="J2498">
        <f>IF(G2498=1,0.2*R2498/B2498,J2497)</f>
        <v/>
      </c>
      <c r="K2498">
        <f>IF(G2498=1,0.2*R2498/C2498,K2497)</f>
        <v/>
      </c>
      <c r="L2498">
        <f>IF(G2498=1,0.2*R2498/D2498,L2497)</f>
        <v/>
      </c>
      <c r="M2498">
        <f>IF(G2498=1,0.2*R2498/E2498,M2497)</f>
        <v/>
      </c>
      <c r="N2498">
        <f>IF(G2498=1,0.2*R2498/F2498,N2497)</f>
        <v/>
      </c>
      <c r="O2498">
        <f>IF(G2498=1,R2498*(1-1.0),IF(H2497=0,1,O2497*(1+0.00023125256064071564)))</f>
        <v/>
      </c>
      <c r="P2498">
        <f>IF(G2498=1,IF(H2497=0,1,ABS(0.2-J2497*B2498/I2498)+ABS(0.2-K2497*C2498/I2498)+ABS(0.2-L2497*D2498/I2498)+ABS(0.2-M2497*E2498/I2498)+ABS(0.2-N2497*F2498/I2498)),0)</f>
        <v/>
      </c>
      <c r="Q2498">
        <f>P2498*0.0015</f>
        <v/>
      </c>
      <c r="R2498">
        <f>I2498*(1-Q2498)</f>
        <v/>
      </c>
      <c r="S2498">
        <f>R2498/R2497-1</f>
        <v/>
      </c>
      <c r="T2498">
        <f>MAX(T2497,R2498)</f>
        <v/>
      </c>
      <c r="U2498">
        <f>R2498/T2498-1</f>
        <v/>
      </c>
      <c r="V2498" t="n">
        <v>6.534429168772601</v>
      </c>
      <c r="W2498" s="5">
        <f>R2498-V2498</f>
        <v/>
      </c>
    </row>
    <row r="2499">
      <c r="A2499" s="3" t="n">
        <v>42117</v>
      </c>
      <c r="B2499">
        <f>Prices!B2499</f>
        <v/>
      </c>
      <c r="C2499">
        <f>Prices!C2499</f>
        <v/>
      </c>
      <c r="D2499">
        <f>Prices!D2499</f>
        <v/>
      </c>
      <c r="E2499">
        <f>Prices!E2499</f>
        <v/>
      </c>
      <c r="F2499">
        <f>Prices!F2499</f>
        <v/>
      </c>
      <c r="G2499">
        <f>IF(AND(2497&gt;=16,TEXT(A2499,"yyyy-mm")&lt;&gt;TEXT(A2500,"yyyy-mm")),1,0)</f>
        <v/>
      </c>
      <c r="H2499">
        <f>IF(OR(H2498=1,G2499=1),1,0)</f>
        <v/>
      </c>
      <c r="I2499">
        <f>IF(H2498=0,1,SUMPRODUCT(J2498:N2498,B2499:F2499)+O2498*(1+0.00023125256064071564))</f>
        <v/>
      </c>
      <c r="J2499">
        <f>IF(G2499=1,0.2*R2499/B2499,J2498)</f>
        <v/>
      </c>
      <c r="K2499">
        <f>IF(G2499=1,0.2*R2499/C2499,K2498)</f>
        <v/>
      </c>
      <c r="L2499">
        <f>IF(G2499=1,0.2*R2499/D2499,L2498)</f>
        <v/>
      </c>
      <c r="M2499">
        <f>IF(G2499=1,0.2*R2499/E2499,M2498)</f>
        <v/>
      </c>
      <c r="N2499">
        <f>IF(G2499=1,0.2*R2499/F2499,N2498)</f>
        <v/>
      </c>
      <c r="O2499">
        <f>IF(G2499=1,R2499*(1-1.0),IF(H2498=0,1,O2498*(1+0.00023125256064071564)))</f>
        <v/>
      </c>
      <c r="P2499">
        <f>IF(G2499=1,IF(H2498=0,1,ABS(0.2-J2498*B2499/I2499)+ABS(0.2-K2498*C2499/I2499)+ABS(0.2-L2498*D2499/I2499)+ABS(0.2-M2498*E2499/I2499)+ABS(0.2-N2498*F2499/I2499)),0)</f>
        <v/>
      </c>
      <c r="Q2499">
        <f>P2499*0.0015</f>
        <v/>
      </c>
      <c r="R2499">
        <f>I2499*(1-Q2499)</f>
        <v/>
      </c>
      <c r="S2499">
        <f>R2499/R2498-1</f>
        <v/>
      </c>
      <c r="T2499">
        <f>MAX(T2498,R2499)</f>
        <v/>
      </c>
      <c r="U2499">
        <f>R2499/T2499-1</f>
        <v/>
      </c>
      <c r="V2499" t="n">
        <v>6.52166343574946</v>
      </c>
      <c r="W2499" s="5">
        <f>R2499-V2499</f>
        <v/>
      </c>
    </row>
    <row r="2500">
      <c r="A2500" s="3" t="n">
        <v>42118</v>
      </c>
      <c r="B2500">
        <f>Prices!B2500</f>
        <v/>
      </c>
      <c r="C2500">
        <f>Prices!C2500</f>
        <v/>
      </c>
      <c r="D2500">
        <f>Prices!D2500</f>
        <v/>
      </c>
      <c r="E2500">
        <f>Prices!E2500</f>
        <v/>
      </c>
      <c r="F2500">
        <f>Prices!F2500</f>
        <v/>
      </c>
      <c r="G2500">
        <f>IF(AND(2498&gt;=16,TEXT(A2500,"yyyy-mm")&lt;&gt;TEXT(A2501,"yyyy-mm")),1,0)</f>
        <v/>
      </c>
      <c r="H2500">
        <f>IF(OR(H2499=1,G2500=1),1,0)</f>
        <v/>
      </c>
      <c r="I2500">
        <f>IF(H2499=0,1,SUMPRODUCT(J2499:N2499,B2500:F2500)+O2499*(1+0.00023125256064071564))</f>
        <v/>
      </c>
      <c r="J2500">
        <f>IF(G2500=1,0.2*R2500/B2500,J2499)</f>
        <v/>
      </c>
      <c r="K2500">
        <f>IF(G2500=1,0.2*R2500/C2500,K2499)</f>
        <v/>
      </c>
      <c r="L2500">
        <f>IF(G2500=1,0.2*R2500/D2500,L2499)</f>
        <v/>
      </c>
      <c r="M2500">
        <f>IF(G2500=1,0.2*R2500/E2500,M2499)</f>
        <v/>
      </c>
      <c r="N2500">
        <f>IF(G2500=1,0.2*R2500/F2500,N2499)</f>
        <v/>
      </c>
      <c r="O2500">
        <f>IF(G2500=1,R2500*(1-1.0),IF(H2499=0,1,O2499*(1+0.00023125256064071564)))</f>
        <v/>
      </c>
      <c r="P2500">
        <f>IF(G2500=1,IF(H2499=0,1,ABS(0.2-J2499*B2500/I2500)+ABS(0.2-K2499*C2500/I2500)+ABS(0.2-L2499*D2500/I2500)+ABS(0.2-M2499*E2500/I2500)+ABS(0.2-N2499*F2500/I2500)),0)</f>
        <v/>
      </c>
      <c r="Q2500">
        <f>P2500*0.0015</f>
        <v/>
      </c>
      <c r="R2500">
        <f>I2500*(1-Q2500)</f>
        <v/>
      </c>
      <c r="S2500">
        <f>R2500/R2499-1</f>
        <v/>
      </c>
      <c r="T2500">
        <f>MAX(T2499,R2500)</f>
        <v/>
      </c>
      <c r="U2500">
        <f>R2500/T2500-1</f>
        <v/>
      </c>
      <c r="V2500" t="n">
        <v>6.375262452766944</v>
      </c>
      <c r="W2500" s="5">
        <f>R2500-V2500</f>
        <v/>
      </c>
    </row>
    <row r="2501">
      <c r="A2501" s="3" t="n">
        <v>42121</v>
      </c>
      <c r="B2501">
        <f>Prices!B2501</f>
        <v/>
      </c>
      <c r="C2501">
        <f>Prices!C2501</f>
        <v/>
      </c>
      <c r="D2501">
        <f>Prices!D2501</f>
        <v/>
      </c>
      <c r="E2501">
        <f>Prices!E2501</f>
        <v/>
      </c>
      <c r="F2501">
        <f>Prices!F2501</f>
        <v/>
      </c>
      <c r="G2501">
        <f>IF(AND(2499&gt;=16,TEXT(A2501,"yyyy-mm")&lt;&gt;TEXT(A2502,"yyyy-mm")),1,0)</f>
        <v/>
      </c>
      <c r="H2501">
        <f>IF(OR(H2500=1,G2501=1),1,0)</f>
        <v/>
      </c>
      <c r="I2501">
        <f>IF(H2500=0,1,SUMPRODUCT(J2500:N2500,B2501:F2501)+O2500*(1+0.00023125256064071564))</f>
        <v/>
      </c>
      <c r="J2501">
        <f>IF(G2501=1,0.2*R2501/B2501,J2500)</f>
        <v/>
      </c>
      <c r="K2501">
        <f>IF(G2501=1,0.2*R2501/C2501,K2500)</f>
        <v/>
      </c>
      <c r="L2501">
        <f>IF(G2501=1,0.2*R2501/D2501,L2500)</f>
        <v/>
      </c>
      <c r="M2501">
        <f>IF(G2501=1,0.2*R2501/E2501,M2500)</f>
        <v/>
      </c>
      <c r="N2501">
        <f>IF(G2501=1,0.2*R2501/F2501,N2500)</f>
        <v/>
      </c>
      <c r="O2501">
        <f>IF(G2501=1,R2501*(1-1.0),IF(H2500=0,1,O2500*(1+0.00023125256064071564)))</f>
        <v/>
      </c>
      <c r="P2501">
        <f>IF(G2501=1,IF(H2500=0,1,ABS(0.2-J2500*B2501/I2501)+ABS(0.2-K2500*C2501/I2501)+ABS(0.2-L2500*D2501/I2501)+ABS(0.2-M2500*E2501/I2501)+ABS(0.2-N2500*F2501/I2501)),0)</f>
        <v/>
      </c>
      <c r="Q2501">
        <f>P2501*0.0015</f>
        <v/>
      </c>
      <c r="R2501">
        <f>I2501*(1-Q2501)</f>
        <v/>
      </c>
      <c r="S2501">
        <f>R2501/R2500-1</f>
        <v/>
      </c>
      <c r="T2501">
        <f>MAX(T2500,R2501)</f>
        <v/>
      </c>
      <c r="U2501">
        <f>R2501/T2501-1</f>
        <v/>
      </c>
      <c r="V2501" t="n">
        <v>6.208339146679987</v>
      </c>
      <c r="W2501" s="5">
        <f>R2501-V2501</f>
        <v/>
      </c>
    </row>
    <row r="2502">
      <c r="A2502" s="3" t="n">
        <v>42122</v>
      </c>
      <c r="B2502">
        <f>Prices!B2502</f>
        <v/>
      </c>
      <c r="C2502">
        <f>Prices!C2502</f>
        <v/>
      </c>
      <c r="D2502">
        <f>Prices!D2502</f>
        <v/>
      </c>
      <c r="E2502">
        <f>Prices!E2502</f>
        <v/>
      </c>
      <c r="F2502">
        <f>Prices!F2502</f>
        <v/>
      </c>
      <c r="G2502">
        <f>IF(AND(2500&gt;=16,TEXT(A2502,"yyyy-mm")&lt;&gt;TEXT(A2503,"yyyy-mm")),1,0)</f>
        <v/>
      </c>
      <c r="H2502">
        <f>IF(OR(H2501=1,G2502=1),1,0)</f>
        <v/>
      </c>
      <c r="I2502">
        <f>IF(H2501=0,1,SUMPRODUCT(J2501:N2501,B2502:F2502)+O2501*(1+0.00023125256064071564))</f>
        <v/>
      </c>
      <c r="J2502">
        <f>IF(G2502=1,0.2*R2502/B2502,J2501)</f>
        <v/>
      </c>
      <c r="K2502">
        <f>IF(G2502=1,0.2*R2502/C2502,K2501)</f>
        <v/>
      </c>
      <c r="L2502">
        <f>IF(G2502=1,0.2*R2502/D2502,L2501)</f>
        <v/>
      </c>
      <c r="M2502">
        <f>IF(G2502=1,0.2*R2502/E2502,M2501)</f>
        <v/>
      </c>
      <c r="N2502">
        <f>IF(G2502=1,0.2*R2502/F2502,N2501)</f>
        <v/>
      </c>
      <c r="O2502">
        <f>IF(G2502=1,R2502*(1-1.0),IF(H2501=0,1,O2501*(1+0.00023125256064071564)))</f>
        <v/>
      </c>
      <c r="P2502">
        <f>IF(G2502=1,IF(H2501=0,1,ABS(0.2-J2501*B2502/I2502)+ABS(0.2-K2501*C2502/I2502)+ABS(0.2-L2501*D2502/I2502)+ABS(0.2-M2501*E2502/I2502)+ABS(0.2-N2501*F2502/I2502)),0)</f>
        <v/>
      </c>
      <c r="Q2502">
        <f>P2502*0.0015</f>
        <v/>
      </c>
      <c r="R2502">
        <f>I2502*(1-Q2502)</f>
        <v/>
      </c>
      <c r="S2502">
        <f>R2502/R2501-1</f>
        <v/>
      </c>
      <c r="T2502">
        <f>MAX(T2501,R2502)</f>
        <v/>
      </c>
      <c r="U2502">
        <f>R2502/T2502-1</f>
        <v/>
      </c>
      <c r="V2502" t="n">
        <v>6.289003319068868</v>
      </c>
      <c r="W2502" s="5">
        <f>R2502-V2502</f>
        <v/>
      </c>
    </row>
    <row r="2503">
      <c r="A2503" s="3" t="n">
        <v>42123</v>
      </c>
      <c r="B2503">
        <f>Prices!B2503</f>
        <v/>
      </c>
      <c r="C2503">
        <f>Prices!C2503</f>
        <v/>
      </c>
      <c r="D2503">
        <f>Prices!D2503</f>
        <v/>
      </c>
      <c r="E2503">
        <f>Prices!E2503</f>
        <v/>
      </c>
      <c r="F2503">
        <f>Prices!F2503</f>
        <v/>
      </c>
      <c r="G2503">
        <f>IF(AND(2501&gt;=16,TEXT(A2503,"yyyy-mm")&lt;&gt;TEXT(A2504,"yyyy-mm")),1,0)</f>
        <v/>
      </c>
      <c r="H2503">
        <f>IF(OR(H2502=1,G2503=1),1,0)</f>
        <v/>
      </c>
      <c r="I2503">
        <f>IF(H2502=0,1,SUMPRODUCT(J2502:N2502,B2503:F2503)+O2502*(1+0.00023125256064071564))</f>
        <v/>
      </c>
      <c r="J2503">
        <f>IF(G2503=1,0.2*R2503/B2503,J2502)</f>
        <v/>
      </c>
      <c r="K2503">
        <f>IF(G2503=1,0.2*R2503/C2503,K2502)</f>
        <v/>
      </c>
      <c r="L2503">
        <f>IF(G2503=1,0.2*R2503/D2503,L2502)</f>
        <v/>
      </c>
      <c r="M2503">
        <f>IF(G2503=1,0.2*R2503/E2503,M2502)</f>
        <v/>
      </c>
      <c r="N2503">
        <f>IF(G2503=1,0.2*R2503/F2503,N2502)</f>
        <v/>
      </c>
      <c r="O2503">
        <f>IF(G2503=1,R2503*(1-1.0),IF(H2502=0,1,O2502*(1+0.00023125256064071564)))</f>
        <v/>
      </c>
      <c r="P2503">
        <f>IF(G2503=1,IF(H2502=0,1,ABS(0.2-J2502*B2503/I2503)+ABS(0.2-K2502*C2503/I2503)+ABS(0.2-L2502*D2503/I2503)+ABS(0.2-M2502*E2503/I2503)+ABS(0.2-N2502*F2503/I2503)),0)</f>
        <v/>
      </c>
      <c r="Q2503">
        <f>P2503*0.0015</f>
        <v/>
      </c>
      <c r="R2503">
        <f>I2503*(1-Q2503)</f>
        <v/>
      </c>
      <c r="S2503">
        <f>R2503/R2502-1</f>
        <v/>
      </c>
      <c r="T2503">
        <f>MAX(T2502,R2503)</f>
        <v/>
      </c>
      <c r="U2503">
        <f>R2503/T2503-1</f>
        <v/>
      </c>
      <c r="V2503" t="n">
        <v>6.335132363371598</v>
      </c>
      <c r="W2503" s="5">
        <f>R2503-V2503</f>
        <v/>
      </c>
    </row>
    <row r="2504">
      <c r="A2504" s="3" t="n">
        <v>42124</v>
      </c>
      <c r="B2504">
        <f>Prices!B2504</f>
        <v/>
      </c>
      <c r="C2504">
        <f>Prices!C2504</f>
        <v/>
      </c>
      <c r="D2504">
        <f>Prices!D2504</f>
        <v/>
      </c>
      <c r="E2504">
        <f>Prices!E2504</f>
        <v/>
      </c>
      <c r="F2504">
        <f>Prices!F2504</f>
        <v/>
      </c>
      <c r="G2504">
        <f>IF(AND(2502&gt;=16,TEXT(A2504,"yyyy-mm")&lt;&gt;TEXT(A2505,"yyyy-mm")),1,0)</f>
        <v/>
      </c>
      <c r="H2504">
        <f>IF(OR(H2503=1,G2504=1),1,0)</f>
        <v/>
      </c>
      <c r="I2504">
        <f>IF(H2503=0,1,SUMPRODUCT(J2503:N2503,B2504:F2504)+O2503*(1+0.00023125256064071564))</f>
        <v/>
      </c>
      <c r="J2504">
        <f>IF(G2504=1,0.2*R2504/B2504,J2503)</f>
        <v/>
      </c>
      <c r="K2504">
        <f>IF(G2504=1,0.2*R2504/C2504,K2503)</f>
        <v/>
      </c>
      <c r="L2504">
        <f>IF(G2504=1,0.2*R2504/D2504,L2503)</f>
        <v/>
      </c>
      <c r="M2504">
        <f>IF(G2504=1,0.2*R2504/E2504,M2503)</f>
        <v/>
      </c>
      <c r="N2504">
        <f>IF(G2504=1,0.2*R2504/F2504,N2503)</f>
        <v/>
      </c>
      <c r="O2504">
        <f>IF(G2504=1,R2504*(1-1.0),IF(H2503=0,1,O2503*(1+0.00023125256064071564)))</f>
        <v/>
      </c>
      <c r="P2504">
        <f>IF(G2504=1,IF(H2503=0,1,ABS(0.2-J2503*B2504/I2504)+ABS(0.2-K2503*C2504/I2504)+ABS(0.2-L2503*D2504/I2504)+ABS(0.2-M2503*E2504/I2504)+ABS(0.2-N2503*F2504/I2504)),0)</f>
        <v/>
      </c>
      <c r="Q2504">
        <f>P2504*0.0015</f>
        <v/>
      </c>
      <c r="R2504">
        <f>I2504*(1-Q2504)</f>
        <v/>
      </c>
      <c r="S2504">
        <f>R2504/R2503-1</f>
        <v/>
      </c>
      <c r="T2504">
        <f>MAX(T2503,R2504)</f>
        <v/>
      </c>
      <c r="U2504">
        <f>R2504/T2504-1</f>
        <v/>
      </c>
      <c r="V2504" t="n">
        <v>6.328887847843699</v>
      </c>
      <c r="W2504" s="5">
        <f>R2504-V2504</f>
        <v/>
      </c>
    </row>
    <row r="2505">
      <c r="A2505" s="3" t="n">
        <v>42128</v>
      </c>
      <c r="B2505">
        <f>Prices!B2505</f>
        <v/>
      </c>
      <c r="C2505">
        <f>Prices!C2505</f>
        <v/>
      </c>
      <c r="D2505">
        <f>Prices!D2505</f>
        <v/>
      </c>
      <c r="E2505">
        <f>Prices!E2505</f>
        <v/>
      </c>
      <c r="F2505">
        <f>Prices!F2505</f>
        <v/>
      </c>
      <c r="G2505">
        <f>IF(AND(2503&gt;=16,TEXT(A2505,"yyyy-mm")&lt;&gt;TEXT(A2506,"yyyy-mm")),1,0)</f>
        <v/>
      </c>
      <c r="H2505">
        <f>IF(OR(H2504=1,G2505=1),1,0)</f>
        <v/>
      </c>
      <c r="I2505">
        <f>IF(H2504=0,1,SUMPRODUCT(J2504:N2504,B2505:F2505)+O2504*(1+0.00023125256064071564))</f>
        <v/>
      </c>
      <c r="J2505">
        <f>IF(G2505=1,0.2*R2505/B2505,J2504)</f>
        <v/>
      </c>
      <c r="K2505">
        <f>IF(G2505=1,0.2*R2505/C2505,K2504)</f>
        <v/>
      </c>
      <c r="L2505">
        <f>IF(G2505=1,0.2*R2505/D2505,L2504)</f>
        <v/>
      </c>
      <c r="M2505">
        <f>IF(G2505=1,0.2*R2505/E2505,M2504)</f>
        <v/>
      </c>
      <c r="N2505">
        <f>IF(G2505=1,0.2*R2505/F2505,N2504)</f>
        <v/>
      </c>
      <c r="O2505">
        <f>IF(G2505=1,R2505*(1-1.0),IF(H2504=0,1,O2504*(1+0.00023125256064071564)))</f>
        <v/>
      </c>
      <c r="P2505">
        <f>IF(G2505=1,IF(H2504=0,1,ABS(0.2-J2504*B2505/I2505)+ABS(0.2-K2504*C2505/I2505)+ABS(0.2-L2504*D2505/I2505)+ABS(0.2-M2504*E2505/I2505)+ABS(0.2-N2504*F2505/I2505)),0)</f>
        <v/>
      </c>
      <c r="Q2505">
        <f>P2505*0.0015</f>
        <v/>
      </c>
      <c r="R2505">
        <f>I2505*(1-Q2505)</f>
        <v/>
      </c>
      <c r="S2505">
        <f>R2505/R2504-1</f>
        <v/>
      </c>
      <c r="T2505">
        <f>MAX(T2504,R2505)</f>
        <v/>
      </c>
      <c r="U2505">
        <f>R2505/T2505-1</f>
        <v/>
      </c>
      <c r="V2505" t="n">
        <v>6.467806288903275</v>
      </c>
      <c r="W2505" s="5">
        <f>R2505-V2505</f>
        <v/>
      </c>
    </row>
    <row r="2506">
      <c r="A2506" s="3" t="n">
        <v>42129</v>
      </c>
      <c r="B2506">
        <f>Prices!B2506</f>
        <v/>
      </c>
      <c r="C2506">
        <f>Prices!C2506</f>
        <v/>
      </c>
      <c r="D2506">
        <f>Prices!D2506</f>
        <v/>
      </c>
      <c r="E2506">
        <f>Prices!E2506</f>
        <v/>
      </c>
      <c r="F2506">
        <f>Prices!F2506</f>
        <v/>
      </c>
      <c r="G2506">
        <f>IF(AND(2504&gt;=16,TEXT(A2506,"yyyy-mm")&lt;&gt;TEXT(A2507,"yyyy-mm")),1,0)</f>
        <v/>
      </c>
      <c r="H2506">
        <f>IF(OR(H2505=1,G2506=1),1,0)</f>
        <v/>
      </c>
      <c r="I2506">
        <f>IF(H2505=0,1,SUMPRODUCT(J2505:N2505,B2506:F2506)+O2505*(1+0.00023125256064071564))</f>
        <v/>
      </c>
      <c r="J2506">
        <f>IF(G2506=1,0.2*R2506/B2506,J2505)</f>
        <v/>
      </c>
      <c r="K2506">
        <f>IF(G2506=1,0.2*R2506/C2506,K2505)</f>
        <v/>
      </c>
      <c r="L2506">
        <f>IF(G2506=1,0.2*R2506/D2506,L2505)</f>
        <v/>
      </c>
      <c r="M2506">
        <f>IF(G2506=1,0.2*R2506/E2506,M2505)</f>
        <v/>
      </c>
      <c r="N2506">
        <f>IF(G2506=1,0.2*R2506/F2506,N2505)</f>
        <v/>
      </c>
      <c r="O2506">
        <f>IF(G2506=1,R2506*(1-1.0),IF(H2505=0,1,O2505*(1+0.00023125256064071564)))</f>
        <v/>
      </c>
      <c r="P2506">
        <f>IF(G2506=1,IF(H2505=0,1,ABS(0.2-J2505*B2506/I2506)+ABS(0.2-K2505*C2506/I2506)+ABS(0.2-L2505*D2506/I2506)+ABS(0.2-M2505*E2506/I2506)+ABS(0.2-N2505*F2506/I2506)),0)</f>
        <v/>
      </c>
      <c r="Q2506">
        <f>P2506*0.0015</f>
        <v/>
      </c>
      <c r="R2506">
        <f>I2506*(1-Q2506)</f>
        <v/>
      </c>
      <c r="S2506">
        <f>R2506/R2505-1</f>
        <v/>
      </c>
      <c r="T2506">
        <f>MAX(T2505,R2506)</f>
        <v/>
      </c>
      <c r="U2506">
        <f>R2506/T2506-1</f>
        <v/>
      </c>
      <c r="V2506" t="n">
        <v>6.492626867571105</v>
      </c>
      <c r="W2506" s="5">
        <f>R2506-V2506</f>
        <v/>
      </c>
    </row>
    <row r="2507">
      <c r="A2507" s="3" t="n">
        <v>42130</v>
      </c>
      <c r="B2507">
        <f>Prices!B2507</f>
        <v/>
      </c>
      <c r="C2507">
        <f>Prices!C2507</f>
        <v/>
      </c>
      <c r="D2507">
        <f>Prices!D2507</f>
        <v/>
      </c>
      <c r="E2507">
        <f>Prices!E2507</f>
        <v/>
      </c>
      <c r="F2507">
        <f>Prices!F2507</f>
        <v/>
      </c>
      <c r="G2507">
        <f>IF(AND(2505&gt;=16,TEXT(A2507,"yyyy-mm")&lt;&gt;TEXT(A2508,"yyyy-mm")),1,0)</f>
        <v/>
      </c>
      <c r="H2507">
        <f>IF(OR(H2506=1,G2507=1),1,0)</f>
        <v/>
      </c>
      <c r="I2507">
        <f>IF(H2506=0,1,SUMPRODUCT(J2506:N2506,B2507:F2507)+O2506*(1+0.00023125256064071564))</f>
        <v/>
      </c>
      <c r="J2507">
        <f>IF(G2507=1,0.2*R2507/B2507,J2506)</f>
        <v/>
      </c>
      <c r="K2507">
        <f>IF(G2507=1,0.2*R2507/C2507,K2506)</f>
        <v/>
      </c>
      <c r="L2507">
        <f>IF(G2507=1,0.2*R2507/D2507,L2506)</f>
        <v/>
      </c>
      <c r="M2507">
        <f>IF(G2507=1,0.2*R2507/E2507,M2506)</f>
        <v/>
      </c>
      <c r="N2507">
        <f>IF(G2507=1,0.2*R2507/F2507,N2506)</f>
        <v/>
      </c>
      <c r="O2507">
        <f>IF(G2507=1,R2507*(1-1.0),IF(H2506=0,1,O2506*(1+0.00023125256064071564)))</f>
        <v/>
      </c>
      <c r="P2507">
        <f>IF(G2507=1,IF(H2506=0,1,ABS(0.2-J2506*B2507/I2507)+ABS(0.2-K2506*C2507/I2507)+ABS(0.2-L2506*D2507/I2507)+ABS(0.2-M2506*E2507/I2507)+ABS(0.2-N2506*F2507/I2507)),0)</f>
        <v/>
      </c>
      <c r="Q2507">
        <f>P2507*0.0015</f>
        <v/>
      </c>
      <c r="R2507">
        <f>I2507*(1-Q2507)</f>
        <v/>
      </c>
      <c r="S2507">
        <f>R2507/R2506-1</f>
        <v/>
      </c>
      <c r="T2507">
        <f>MAX(T2506,R2507)</f>
        <v/>
      </c>
      <c r="U2507">
        <f>R2507/T2507-1</f>
        <v/>
      </c>
      <c r="V2507" t="n">
        <v>6.275429924040114</v>
      </c>
      <c r="W2507" s="5">
        <f>R2507-V2507</f>
        <v/>
      </c>
    </row>
    <row r="2508">
      <c r="A2508" s="3" t="n">
        <v>42131</v>
      </c>
      <c r="B2508">
        <f>Prices!B2508</f>
        <v/>
      </c>
      <c r="C2508">
        <f>Prices!C2508</f>
        <v/>
      </c>
      <c r="D2508">
        <f>Prices!D2508</f>
        <v/>
      </c>
      <c r="E2508">
        <f>Prices!E2508</f>
        <v/>
      </c>
      <c r="F2508">
        <f>Prices!F2508</f>
        <v/>
      </c>
      <c r="G2508">
        <f>IF(AND(2506&gt;=16,TEXT(A2508,"yyyy-mm")&lt;&gt;TEXT(A2509,"yyyy-mm")),1,0)</f>
        <v/>
      </c>
      <c r="H2508">
        <f>IF(OR(H2507=1,G2508=1),1,0)</f>
        <v/>
      </c>
      <c r="I2508">
        <f>IF(H2507=0,1,SUMPRODUCT(J2507:N2507,B2508:F2508)+O2507*(1+0.00023125256064071564))</f>
        <v/>
      </c>
      <c r="J2508">
        <f>IF(G2508=1,0.2*R2508/B2508,J2507)</f>
        <v/>
      </c>
      <c r="K2508">
        <f>IF(G2508=1,0.2*R2508/C2508,K2507)</f>
        <v/>
      </c>
      <c r="L2508">
        <f>IF(G2508=1,0.2*R2508/D2508,L2507)</f>
        <v/>
      </c>
      <c r="M2508">
        <f>IF(G2508=1,0.2*R2508/E2508,M2507)</f>
        <v/>
      </c>
      <c r="N2508">
        <f>IF(G2508=1,0.2*R2508/F2508,N2507)</f>
        <v/>
      </c>
      <c r="O2508">
        <f>IF(G2508=1,R2508*(1-1.0),IF(H2507=0,1,O2507*(1+0.00023125256064071564)))</f>
        <v/>
      </c>
      <c r="P2508">
        <f>IF(G2508=1,IF(H2507=0,1,ABS(0.2-J2507*B2508/I2508)+ABS(0.2-K2507*C2508/I2508)+ABS(0.2-L2507*D2508/I2508)+ABS(0.2-M2507*E2508/I2508)+ABS(0.2-N2507*F2508/I2508)),0)</f>
        <v/>
      </c>
      <c r="Q2508">
        <f>P2508*0.0015</f>
        <v/>
      </c>
      <c r="R2508">
        <f>I2508*(1-Q2508)</f>
        <v/>
      </c>
      <c r="S2508">
        <f>R2508/R2507-1</f>
        <v/>
      </c>
      <c r="T2508">
        <f>MAX(T2507,R2508)</f>
        <v/>
      </c>
      <c r="U2508">
        <f>R2508/T2508-1</f>
        <v/>
      </c>
      <c r="V2508" t="n">
        <v>6.175360250643901</v>
      </c>
      <c r="W2508" s="5">
        <f>R2508-V2508</f>
        <v/>
      </c>
    </row>
    <row r="2509">
      <c r="A2509" s="3" t="n">
        <v>42132</v>
      </c>
      <c r="B2509">
        <f>Prices!B2509</f>
        <v/>
      </c>
      <c r="C2509">
        <f>Prices!C2509</f>
        <v/>
      </c>
      <c r="D2509">
        <f>Prices!D2509</f>
        <v/>
      </c>
      <c r="E2509">
        <f>Prices!E2509</f>
        <v/>
      </c>
      <c r="F2509">
        <f>Prices!F2509</f>
        <v/>
      </c>
      <c r="G2509">
        <f>IF(AND(2507&gt;=16,TEXT(A2509,"yyyy-mm")&lt;&gt;TEXT(A2510,"yyyy-mm")),1,0)</f>
        <v/>
      </c>
      <c r="H2509">
        <f>IF(OR(H2508=1,G2509=1),1,0)</f>
        <v/>
      </c>
      <c r="I2509">
        <f>IF(H2508=0,1,SUMPRODUCT(J2508:N2508,B2509:F2509)+O2508*(1+0.00023125256064071564))</f>
        <v/>
      </c>
      <c r="J2509">
        <f>IF(G2509=1,0.2*R2509/B2509,J2508)</f>
        <v/>
      </c>
      <c r="K2509">
        <f>IF(G2509=1,0.2*R2509/C2509,K2508)</f>
        <v/>
      </c>
      <c r="L2509">
        <f>IF(G2509=1,0.2*R2509/D2509,L2508)</f>
        <v/>
      </c>
      <c r="M2509">
        <f>IF(G2509=1,0.2*R2509/E2509,M2508)</f>
        <v/>
      </c>
      <c r="N2509">
        <f>IF(G2509=1,0.2*R2509/F2509,N2508)</f>
        <v/>
      </c>
      <c r="O2509">
        <f>IF(G2509=1,R2509*(1-1.0),IF(H2508=0,1,O2508*(1+0.00023125256064071564)))</f>
        <v/>
      </c>
      <c r="P2509">
        <f>IF(G2509=1,IF(H2508=0,1,ABS(0.2-J2508*B2509/I2509)+ABS(0.2-K2508*C2509/I2509)+ABS(0.2-L2508*D2509/I2509)+ABS(0.2-M2508*E2509/I2509)+ABS(0.2-N2508*F2509/I2509)),0)</f>
        <v/>
      </c>
      <c r="Q2509">
        <f>P2509*0.0015</f>
        <v/>
      </c>
      <c r="R2509">
        <f>I2509*(1-Q2509)</f>
        <v/>
      </c>
      <c r="S2509">
        <f>R2509/R2508-1</f>
        <v/>
      </c>
      <c r="T2509">
        <f>MAX(T2508,R2509)</f>
        <v/>
      </c>
      <c r="U2509">
        <f>R2509/T2509-1</f>
        <v/>
      </c>
      <c r="V2509" t="n">
        <v>6.269157921349107</v>
      </c>
      <c r="W2509" s="5">
        <f>R2509-V2509</f>
        <v/>
      </c>
    </row>
    <row r="2510">
      <c r="A2510" s="3" t="n">
        <v>42135</v>
      </c>
      <c r="B2510">
        <f>Prices!B2510</f>
        <v/>
      </c>
      <c r="C2510">
        <f>Prices!C2510</f>
        <v/>
      </c>
      <c r="D2510">
        <f>Prices!D2510</f>
        <v/>
      </c>
      <c r="E2510">
        <f>Prices!E2510</f>
        <v/>
      </c>
      <c r="F2510">
        <f>Prices!F2510</f>
        <v/>
      </c>
      <c r="G2510">
        <f>IF(AND(2508&gt;=16,TEXT(A2510,"yyyy-mm")&lt;&gt;TEXT(A2511,"yyyy-mm")),1,0)</f>
        <v/>
      </c>
      <c r="H2510">
        <f>IF(OR(H2509=1,G2510=1),1,0)</f>
        <v/>
      </c>
      <c r="I2510">
        <f>IF(H2509=0,1,SUMPRODUCT(J2509:N2509,B2510:F2510)+O2509*(1+0.00023125256064071564))</f>
        <v/>
      </c>
      <c r="J2510">
        <f>IF(G2510=1,0.2*R2510/B2510,J2509)</f>
        <v/>
      </c>
      <c r="K2510">
        <f>IF(G2510=1,0.2*R2510/C2510,K2509)</f>
        <v/>
      </c>
      <c r="L2510">
        <f>IF(G2510=1,0.2*R2510/D2510,L2509)</f>
        <v/>
      </c>
      <c r="M2510">
        <f>IF(G2510=1,0.2*R2510/E2510,M2509)</f>
        <v/>
      </c>
      <c r="N2510">
        <f>IF(G2510=1,0.2*R2510/F2510,N2509)</f>
        <v/>
      </c>
      <c r="O2510">
        <f>IF(G2510=1,R2510*(1-1.0),IF(H2509=0,1,O2509*(1+0.00023125256064071564)))</f>
        <v/>
      </c>
      <c r="P2510">
        <f>IF(G2510=1,IF(H2509=0,1,ABS(0.2-J2509*B2510/I2510)+ABS(0.2-K2509*C2510/I2510)+ABS(0.2-L2509*D2510/I2510)+ABS(0.2-M2509*E2510/I2510)+ABS(0.2-N2509*F2510/I2510)),0)</f>
        <v/>
      </c>
      <c r="Q2510">
        <f>P2510*0.0015</f>
        <v/>
      </c>
      <c r="R2510">
        <f>I2510*(1-Q2510)</f>
        <v/>
      </c>
      <c r="S2510">
        <f>R2510/R2509-1</f>
        <v/>
      </c>
      <c r="T2510">
        <f>MAX(T2509,R2510)</f>
        <v/>
      </c>
      <c r="U2510">
        <f>R2510/T2510-1</f>
        <v/>
      </c>
      <c r="V2510" t="n">
        <v>6.3766625860656</v>
      </c>
      <c r="W2510" s="5">
        <f>R2510-V2510</f>
        <v/>
      </c>
    </row>
    <row r="2511">
      <c r="A2511" s="3" t="n">
        <v>42136</v>
      </c>
      <c r="B2511">
        <f>Prices!B2511</f>
        <v/>
      </c>
      <c r="C2511">
        <f>Prices!C2511</f>
        <v/>
      </c>
      <c r="D2511">
        <f>Prices!D2511</f>
        <v/>
      </c>
      <c r="E2511">
        <f>Prices!E2511</f>
        <v/>
      </c>
      <c r="F2511">
        <f>Prices!F2511</f>
        <v/>
      </c>
      <c r="G2511">
        <f>IF(AND(2509&gt;=16,TEXT(A2511,"yyyy-mm")&lt;&gt;TEXT(A2512,"yyyy-mm")),1,0)</f>
        <v/>
      </c>
      <c r="H2511">
        <f>IF(OR(H2510=1,G2511=1),1,0)</f>
        <v/>
      </c>
      <c r="I2511">
        <f>IF(H2510=0,1,SUMPRODUCT(J2510:N2510,B2511:F2511)+O2510*(1+0.00023125256064071564))</f>
        <v/>
      </c>
      <c r="J2511">
        <f>IF(G2511=1,0.2*R2511/B2511,J2510)</f>
        <v/>
      </c>
      <c r="K2511">
        <f>IF(G2511=1,0.2*R2511/C2511,K2510)</f>
        <v/>
      </c>
      <c r="L2511">
        <f>IF(G2511=1,0.2*R2511/D2511,L2510)</f>
        <v/>
      </c>
      <c r="M2511">
        <f>IF(G2511=1,0.2*R2511/E2511,M2510)</f>
        <v/>
      </c>
      <c r="N2511">
        <f>IF(G2511=1,0.2*R2511/F2511,N2510)</f>
        <v/>
      </c>
      <c r="O2511">
        <f>IF(G2511=1,R2511*(1-1.0),IF(H2510=0,1,O2510*(1+0.00023125256064071564)))</f>
        <v/>
      </c>
      <c r="P2511">
        <f>IF(G2511=1,IF(H2510=0,1,ABS(0.2-J2510*B2511/I2511)+ABS(0.2-K2510*C2511/I2511)+ABS(0.2-L2510*D2511/I2511)+ABS(0.2-M2510*E2511/I2511)+ABS(0.2-N2510*F2511/I2511)),0)</f>
        <v/>
      </c>
      <c r="Q2511">
        <f>P2511*0.0015</f>
        <v/>
      </c>
      <c r="R2511">
        <f>I2511*(1-Q2511)</f>
        <v/>
      </c>
      <c r="S2511">
        <f>R2511/R2510-1</f>
        <v/>
      </c>
      <c r="T2511">
        <f>MAX(T2510,R2511)</f>
        <v/>
      </c>
      <c r="U2511">
        <f>R2511/T2511-1</f>
        <v/>
      </c>
      <c r="V2511" t="n">
        <v>6.238928183566259</v>
      </c>
      <c r="W2511" s="5">
        <f>R2511-V2511</f>
        <v/>
      </c>
    </row>
    <row r="2512">
      <c r="A2512" s="3" t="n">
        <v>42137</v>
      </c>
      <c r="B2512">
        <f>Prices!B2512</f>
        <v/>
      </c>
      <c r="C2512">
        <f>Prices!C2512</f>
        <v/>
      </c>
      <c r="D2512">
        <f>Prices!D2512</f>
        <v/>
      </c>
      <c r="E2512">
        <f>Prices!E2512</f>
        <v/>
      </c>
      <c r="F2512">
        <f>Prices!F2512</f>
        <v/>
      </c>
      <c r="G2512">
        <f>IF(AND(2510&gt;=16,TEXT(A2512,"yyyy-mm")&lt;&gt;TEXT(A2513,"yyyy-mm")),1,0)</f>
        <v/>
      </c>
      <c r="H2512">
        <f>IF(OR(H2511=1,G2512=1),1,0)</f>
        <v/>
      </c>
      <c r="I2512">
        <f>IF(H2511=0,1,SUMPRODUCT(J2511:N2511,B2512:F2512)+O2511*(1+0.00023125256064071564))</f>
        <v/>
      </c>
      <c r="J2512">
        <f>IF(G2512=1,0.2*R2512/B2512,J2511)</f>
        <v/>
      </c>
      <c r="K2512">
        <f>IF(G2512=1,0.2*R2512/C2512,K2511)</f>
        <v/>
      </c>
      <c r="L2512">
        <f>IF(G2512=1,0.2*R2512/D2512,L2511)</f>
        <v/>
      </c>
      <c r="M2512">
        <f>IF(G2512=1,0.2*R2512/E2512,M2511)</f>
        <v/>
      </c>
      <c r="N2512">
        <f>IF(G2512=1,0.2*R2512/F2512,N2511)</f>
        <v/>
      </c>
      <c r="O2512">
        <f>IF(G2512=1,R2512*(1-1.0),IF(H2511=0,1,O2511*(1+0.00023125256064071564)))</f>
        <v/>
      </c>
      <c r="P2512">
        <f>IF(G2512=1,IF(H2511=0,1,ABS(0.2-J2511*B2512/I2512)+ABS(0.2-K2511*C2512/I2512)+ABS(0.2-L2511*D2512/I2512)+ABS(0.2-M2511*E2512/I2512)+ABS(0.2-N2511*F2512/I2512)),0)</f>
        <v/>
      </c>
      <c r="Q2512">
        <f>P2512*0.0015</f>
        <v/>
      </c>
      <c r="R2512">
        <f>I2512*(1-Q2512)</f>
        <v/>
      </c>
      <c r="S2512">
        <f>R2512/R2511-1</f>
        <v/>
      </c>
      <c r="T2512">
        <f>MAX(T2511,R2512)</f>
        <v/>
      </c>
      <c r="U2512">
        <f>R2512/T2512-1</f>
        <v/>
      </c>
      <c r="V2512" t="n">
        <v>6.309999353965777</v>
      </c>
      <c r="W2512" s="5">
        <f>R2512-V2512</f>
        <v/>
      </c>
    </row>
    <row r="2513">
      <c r="A2513" s="3" t="n">
        <v>42138</v>
      </c>
      <c r="B2513">
        <f>Prices!B2513</f>
        <v/>
      </c>
      <c r="C2513">
        <f>Prices!C2513</f>
        <v/>
      </c>
      <c r="D2513">
        <f>Prices!D2513</f>
        <v/>
      </c>
      <c r="E2513">
        <f>Prices!E2513</f>
        <v/>
      </c>
      <c r="F2513">
        <f>Prices!F2513</f>
        <v/>
      </c>
      <c r="G2513">
        <f>IF(AND(2511&gt;=16,TEXT(A2513,"yyyy-mm")&lt;&gt;TEXT(A2514,"yyyy-mm")),1,0)</f>
        <v/>
      </c>
      <c r="H2513">
        <f>IF(OR(H2512=1,G2513=1),1,0)</f>
        <v/>
      </c>
      <c r="I2513">
        <f>IF(H2512=0,1,SUMPRODUCT(J2512:N2512,B2513:F2513)+O2512*(1+0.00023125256064071564))</f>
        <v/>
      </c>
      <c r="J2513">
        <f>IF(G2513=1,0.2*R2513/B2513,J2512)</f>
        <v/>
      </c>
      <c r="K2513">
        <f>IF(G2513=1,0.2*R2513/C2513,K2512)</f>
        <v/>
      </c>
      <c r="L2513">
        <f>IF(G2513=1,0.2*R2513/D2513,L2512)</f>
        <v/>
      </c>
      <c r="M2513">
        <f>IF(G2513=1,0.2*R2513/E2513,M2512)</f>
        <v/>
      </c>
      <c r="N2513">
        <f>IF(G2513=1,0.2*R2513/F2513,N2512)</f>
        <v/>
      </c>
      <c r="O2513">
        <f>IF(G2513=1,R2513*(1-1.0),IF(H2512=0,1,O2512*(1+0.00023125256064071564)))</f>
        <v/>
      </c>
      <c r="P2513">
        <f>IF(G2513=1,IF(H2512=0,1,ABS(0.2-J2512*B2513/I2513)+ABS(0.2-K2512*C2513/I2513)+ABS(0.2-L2512*D2513/I2513)+ABS(0.2-M2512*E2513/I2513)+ABS(0.2-N2512*F2513/I2513)),0)</f>
        <v/>
      </c>
      <c r="Q2513">
        <f>P2513*0.0015</f>
        <v/>
      </c>
      <c r="R2513">
        <f>I2513*(1-Q2513)</f>
        <v/>
      </c>
      <c r="S2513">
        <f>R2513/R2512-1</f>
        <v/>
      </c>
      <c r="T2513">
        <f>MAX(T2512,R2513)</f>
        <v/>
      </c>
      <c r="U2513">
        <f>R2513/T2513-1</f>
        <v/>
      </c>
      <c r="V2513" t="n">
        <v>6.368831163919043</v>
      </c>
      <c r="W2513" s="5">
        <f>R2513-V2513</f>
        <v/>
      </c>
    </row>
    <row r="2514">
      <c r="A2514" s="3" t="n">
        <v>42139</v>
      </c>
      <c r="B2514">
        <f>Prices!B2514</f>
        <v/>
      </c>
      <c r="C2514">
        <f>Prices!C2514</f>
        <v/>
      </c>
      <c r="D2514">
        <f>Prices!D2514</f>
        <v/>
      </c>
      <c r="E2514">
        <f>Prices!E2514</f>
        <v/>
      </c>
      <c r="F2514">
        <f>Prices!F2514</f>
        <v/>
      </c>
      <c r="G2514">
        <f>IF(AND(2512&gt;=16,TEXT(A2514,"yyyy-mm")&lt;&gt;TEXT(A2515,"yyyy-mm")),1,0)</f>
        <v/>
      </c>
      <c r="H2514">
        <f>IF(OR(H2513=1,G2514=1),1,0)</f>
        <v/>
      </c>
      <c r="I2514">
        <f>IF(H2513=0,1,SUMPRODUCT(J2513:N2513,B2514:F2514)+O2513*(1+0.00023125256064071564))</f>
        <v/>
      </c>
      <c r="J2514">
        <f>IF(G2514=1,0.2*R2514/B2514,J2513)</f>
        <v/>
      </c>
      <c r="K2514">
        <f>IF(G2514=1,0.2*R2514/C2514,K2513)</f>
        <v/>
      </c>
      <c r="L2514">
        <f>IF(G2514=1,0.2*R2514/D2514,L2513)</f>
        <v/>
      </c>
      <c r="M2514">
        <f>IF(G2514=1,0.2*R2514/E2514,M2513)</f>
        <v/>
      </c>
      <c r="N2514">
        <f>IF(G2514=1,0.2*R2514/F2514,N2513)</f>
        <v/>
      </c>
      <c r="O2514">
        <f>IF(G2514=1,R2514*(1-1.0),IF(H2513=0,1,O2513*(1+0.00023125256064071564)))</f>
        <v/>
      </c>
      <c r="P2514">
        <f>IF(G2514=1,IF(H2513=0,1,ABS(0.2-J2513*B2514/I2514)+ABS(0.2-K2513*C2514/I2514)+ABS(0.2-L2513*D2514/I2514)+ABS(0.2-M2513*E2514/I2514)+ABS(0.2-N2513*F2514/I2514)),0)</f>
        <v/>
      </c>
      <c r="Q2514">
        <f>P2514*0.0015</f>
        <v/>
      </c>
      <c r="R2514">
        <f>I2514*(1-Q2514)</f>
        <v/>
      </c>
      <c r="S2514">
        <f>R2514/R2513-1</f>
        <v/>
      </c>
      <c r="T2514">
        <f>MAX(T2513,R2514)</f>
        <v/>
      </c>
      <c r="U2514">
        <f>R2514/T2514-1</f>
        <v/>
      </c>
      <c r="V2514" t="n">
        <v>6.395514177151831</v>
      </c>
      <c r="W2514" s="5">
        <f>R2514-V2514</f>
        <v/>
      </c>
    </row>
    <row r="2515">
      <c r="A2515" s="3" t="n">
        <v>42142</v>
      </c>
      <c r="B2515">
        <f>Prices!B2515</f>
        <v/>
      </c>
      <c r="C2515">
        <f>Prices!C2515</f>
        <v/>
      </c>
      <c r="D2515">
        <f>Prices!D2515</f>
        <v/>
      </c>
      <c r="E2515">
        <f>Prices!E2515</f>
        <v/>
      </c>
      <c r="F2515">
        <f>Prices!F2515</f>
        <v/>
      </c>
      <c r="G2515">
        <f>IF(AND(2513&gt;=16,TEXT(A2515,"yyyy-mm")&lt;&gt;TEXT(A2516,"yyyy-mm")),1,0)</f>
        <v/>
      </c>
      <c r="H2515">
        <f>IF(OR(H2514=1,G2515=1),1,0)</f>
        <v/>
      </c>
      <c r="I2515">
        <f>IF(H2514=0,1,SUMPRODUCT(J2514:N2514,B2515:F2515)+O2514*(1+0.00023125256064071564))</f>
        <v/>
      </c>
      <c r="J2515">
        <f>IF(G2515=1,0.2*R2515/B2515,J2514)</f>
        <v/>
      </c>
      <c r="K2515">
        <f>IF(G2515=1,0.2*R2515/C2515,K2514)</f>
        <v/>
      </c>
      <c r="L2515">
        <f>IF(G2515=1,0.2*R2515/D2515,L2514)</f>
        <v/>
      </c>
      <c r="M2515">
        <f>IF(G2515=1,0.2*R2515/E2515,M2514)</f>
        <v/>
      </c>
      <c r="N2515">
        <f>IF(G2515=1,0.2*R2515/F2515,N2514)</f>
        <v/>
      </c>
      <c r="O2515">
        <f>IF(G2515=1,R2515*(1-1.0),IF(H2514=0,1,O2514*(1+0.00023125256064071564)))</f>
        <v/>
      </c>
      <c r="P2515">
        <f>IF(G2515=1,IF(H2514=0,1,ABS(0.2-J2514*B2515/I2515)+ABS(0.2-K2514*C2515/I2515)+ABS(0.2-L2514*D2515/I2515)+ABS(0.2-M2514*E2515/I2515)+ABS(0.2-N2514*F2515/I2515)),0)</f>
        <v/>
      </c>
      <c r="Q2515">
        <f>P2515*0.0015</f>
        <v/>
      </c>
      <c r="R2515">
        <f>I2515*(1-Q2515)</f>
        <v/>
      </c>
      <c r="S2515">
        <f>R2515/R2514-1</f>
        <v/>
      </c>
      <c r="T2515">
        <f>MAX(T2514,R2515)</f>
        <v/>
      </c>
      <c r="U2515">
        <f>R2515/T2515-1</f>
        <v/>
      </c>
      <c r="V2515" t="n">
        <v>6.458411380517566</v>
      </c>
      <c r="W2515" s="5">
        <f>R2515-V2515</f>
        <v/>
      </c>
    </row>
    <row r="2516">
      <c r="A2516" s="3" t="n">
        <v>42143</v>
      </c>
      <c r="B2516">
        <f>Prices!B2516</f>
        <v/>
      </c>
      <c r="C2516">
        <f>Prices!C2516</f>
        <v/>
      </c>
      <c r="D2516">
        <f>Prices!D2516</f>
        <v/>
      </c>
      <c r="E2516">
        <f>Prices!E2516</f>
        <v/>
      </c>
      <c r="F2516">
        <f>Prices!F2516</f>
        <v/>
      </c>
      <c r="G2516">
        <f>IF(AND(2514&gt;=16,TEXT(A2516,"yyyy-mm")&lt;&gt;TEXT(A2517,"yyyy-mm")),1,0)</f>
        <v/>
      </c>
      <c r="H2516">
        <f>IF(OR(H2515=1,G2516=1),1,0)</f>
        <v/>
      </c>
      <c r="I2516">
        <f>IF(H2515=0,1,SUMPRODUCT(J2515:N2515,B2516:F2516)+O2515*(1+0.00023125256064071564))</f>
        <v/>
      </c>
      <c r="J2516">
        <f>IF(G2516=1,0.2*R2516/B2516,J2515)</f>
        <v/>
      </c>
      <c r="K2516">
        <f>IF(G2516=1,0.2*R2516/C2516,K2515)</f>
        <v/>
      </c>
      <c r="L2516">
        <f>IF(G2516=1,0.2*R2516/D2516,L2515)</f>
        <v/>
      </c>
      <c r="M2516">
        <f>IF(G2516=1,0.2*R2516/E2516,M2515)</f>
        <v/>
      </c>
      <c r="N2516">
        <f>IF(G2516=1,0.2*R2516/F2516,N2515)</f>
        <v/>
      </c>
      <c r="O2516">
        <f>IF(G2516=1,R2516*(1-1.0),IF(H2515=0,1,O2515*(1+0.00023125256064071564)))</f>
        <v/>
      </c>
      <c r="P2516">
        <f>IF(G2516=1,IF(H2515=0,1,ABS(0.2-J2515*B2516/I2516)+ABS(0.2-K2515*C2516/I2516)+ABS(0.2-L2515*D2516/I2516)+ABS(0.2-M2515*E2516/I2516)+ABS(0.2-N2515*F2516/I2516)),0)</f>
        <v/>
      </c>
      <c r="Q2516">
        <f>P2516*0.0015</f>
        <v/>
      </c>
      <c r="R2516">
        <f>I2516*(1-Q2516)</f>
        <v/>
      </c>
      <c r="S2516">
        <f>R2516/R2515-1</f>
        <v/>
      </c>
      <c r="T2516">
        <f>MAX(T2515,R2516)</f>
        <v/>
      </c>
      <c r="U2516">
        <f>R2516/T2516-1</f>
        <v/>
      </c>
      <c r="V2516" t="n">
        <v>6.468739140029437</v>
      </c>
      <c r="W2516" s="5">
        <f>R2516-V2516</f>
        <v/>
      </c>
    </row>
    <row r="2517">
      <c r="A2517" s="3" t="n">
        <v>42144</v>
      </c>
      <c r="B2517">
        <f>Prices!B2517</f>
        <v/>
      </c>
      <c r="C2517">
        <f>Prices!C2517</f>
        <v/>
      </c>
      <c r="D2517">
        <f>Prices!D2517</f>
        <v/>
      </c>
      <c r="E2517">
        <f>Prices!E2517</f>
        <v/>
      </c>
      <c r="F2517">
        <f>Prices!F2517</f>
        <v/>
      </c>
      <c r="G2517">
        <f>IF(AND(2515&gt;=16,TEXT(A2517,"yyyy-mm")&lt;&gt;TEXT(A2518,"yyyy-mm")),1,0)</f>
        <v/>
      </c>
      <c r="H2517">
        <f>IF(OR(H2516=1,G2517=1),1,0)</f>
        <v/>
      </c>
      <c r="I2517">
        <f>IF(H2516=0,1,SUMPRODUCT(J2516:N2516,B2517:F2517)+O2516*(1+0.00023125256064071564))</f>
        <v/>
      </c>
      <c r="J2517">
        <f>IF(G2517=1,0.2*R2517/B2517,J2516)</f>
        <v/>
      </c>
      <c r="K2517">
        <f>IF(G2517=1,0.2*R2517/C2517,K2516)</f>
        <v/>
      </c>
      <c r="L2517">
        <f>IF(G2517=1,0.2*R2517/D2517,L2516)</f>
        <v/>
      </c>
      <c r="M2517">
        <f>IF(G2517=1,0.2*R2517/E2517,M2516)</f>
        <v/>
      </c>
      <c r="N2517">
        <f>IF(G2517=1,0.2*R2517/F2517,N2516)</f>
        <v/>
      </c>
      <c r="O2517">
        <f>IF(G2517=1,R2517*(1-1.0),IF(H2516=0,1,O2516*(1+0.00023125256064071564)))</f>
        <v/>
      </c>
      <c r="P2517">
        <f>IF(G2517=1,IF(H2516=0,1,ABS(0.2-J2516*B2517/I2517)+ABS(0.2-K2516*C2517/I2517)+ABS(0.2-L2516*D2517/I2517)+ABS(0.2-M2516*E2517/I2517)+ABS(0.2-N2516*F2517/I2517)),0)</f>
        <v/>
      </c>
      <c r="Q2517">
        <f>P2517*0.0015</f>
        <v/>
      </c>
      <c r="R2517">
        <f>I2517*(1-Q2517)</f>
        <v/>
      </c>
      <c r="S2517">
        <f>R2517/R2516-1</f>
        <v/>
      </c>
      <c r="T2517">
        <f>MAX(T2516,R2517)</f>
        <v/>
      </c>
      <c r="U2517">
        <f>R2517/T2517-1</f>
        <v/>
      </c>
      <c r="V2517" t="n">
        <v>6.481258754053375</v>
      </c>
      <c r="W2517" s="5">
        <f>R2517-V2517</f>
        <v/>
      </c>
    </row>
    <row r="2518">
      <c r="A2518" s="3" t="n">
        <v>42145</v>
      </c>
      <c r="B2518">
        <f>Prices!B2518</f>
        <v/>
      </c>
      <c r="C2518">
        <f>Prices!C2518</f>
        <v/>
      </c>
      <c r="D2518">
        <f>Prices!D2518</f>
        <v/>
      </c>
      <c r="E2518">
        <f>Prices!E2518</f>
        <v/>
      </c>
      <c r="F2518">
        <f>Prices!F2518</f>
        <v/>
      </c>
      <c r="G2518">
        <f>IF(AND(2516&gt;=16,TEXT(A2518,"yyyy-mm")&lt;&gt;TEXT(A2519,"yyyy-mm")),1,0)</f>
        <v/>
      </c>
      <c r="H2518">
        <f>IF(OR(H2517=1,G2518=1),1,0)</f>
        <v/>
      </c>
      <c r="I2518">
        <f>IF(H2517=0,1,SUMPRODUCT(J2517:N2517,B2518:F2518)+O2517*(1+0.00023125256064071564))</f>
        <v/>
      </c>
      <c r="J2518">
        <f>IF(G2518=1,0.2*R2518/B2518,J2517)</f>
        <v/>
      </c>
      <c r="K2518">
        <f>IF(G2518=1,0.2*R2518/C2518,K2517)</f>
        <v/>
      </c>
      <c r="L2518">
        <f>IF(G2518=1,0.2*R2518/D2518,L2517)</f>
        <v/>
      </c>
      <c r="M2518">
        <f>IF(G2518=1,0.2*R2518/E2518,M2517)</f>
        <v/>
      </c>
      <c r="N2518">
        <f>IF(G2518=1,0.2*R2518/F2518,N2517)</f>
        <v/>
      </c>
      <c r="O2518">
        <f>IF(G2518=1,R2518*(1-1.0),IF(H2517=0,1,O2517*(1+0.00023125256064071564)))</f>
        <v/>
      </c>
      <c r="P2518">
        <f>IF(G2518=1,IF(H2517=0,1,ABS(0.2-J2517*B2518/I2518)+ABS(0.2-K2517*C2518/I2518)+ABS(0.2-L2517*D2518/I2518)+ABS(0.2-M2517*E2518/I2518)+ABS(0.2-N2517*F2518/I2518)),0)</f>
        <v/>
      </c>
      <c r="Q2518">
        <f>P2518*0.0015</f>
        <v/>
      </c>
      <c r="R2518">
        <f>I2518*(1-Q2518)</f>
        <v/>
      </c>
      <c r="S2518">
        <f>R2518/R2517-1</f>
        <v/>
      </c>
      <c r="T2518">
        <f>MAX(T2517,R2518)</f>
        <v/>
      </c>
      <c r="U2518">
        <f>R2518/T2518-1</f>
        <v/>
      </c>
      <c r="V2518" t="n">
        <v>6.486397144118759</v>
      </c>
      <c r="W2518" s="5">
        <f>R2518-V2518</f>
        <v/>
      </c>
    </row>
    <row r="2519">
      <c r="A2519" s="3" t="n">
        <v>42146</v>
      </c>
      <c r="B2519">
        <f>Prices!B2519</f>
        <v/>
      </c>
      <c r="C2519">
        <f>Prices!C2519</f>
        <v/>
      </c>
      <c r="D2519">
        <f>Prices!D2519</f>
        <v/>
      </c>
      <c r="E2519">
        <f>Prices!E2519</f>
        <v/>
      </c>
      <c r="F2519">
        <f>Prices!F2519</f>
        <v/>
      </c>
      <c r="G2519">
        <f>IF(AND(2517&gt;=16,TEXT(A2519,"yyyy-mm")&lt;&gt;TEXT(A2520,"yyyy-mm")),1,0)</f>
        <v/>
      </c>
      <c r="H2519">
        <f>IF(OR(H2518=1,G2519=1),1,0)</f>
        <v/>
      </c>
      <c r="I2519">
        <f>IF(H2518=0,1,SUMPRODUCT(J2518:N2518,B2519:F2519)+O2518*(1+0.00023125256064071564))</f>
        <v/>
      </c>
      <c r="J2519">
        <f>IF(G2519=1,0.2*R2519/B2519,J2518)</f>
        <v/>
      </c>
      <c r="K2519">
        <f>IF(G2519=1,0.2*R2519/C2519,K2518)</f>
        <v/>
      </c>
      <c r="L2519">
        <f>IF(G2519=1,0.2*R2519/D2519,L2518)</f>
        <v/>
      </c>
      <c r="M2519">
        <f>IF(G2519=1,0.2*R2519/E2519,M2518)</f>
        <v/>
      </c>
      <c r="N2519">
        <f>IF(G2519=1,0.2*R2519/F2519,N2518)</f>
        <v/>
      </c>
      <c r="O2519">
        <f>IF(G2519=1,R2519*(1-1.0),IF(H2518=0,1,O2518*(1+0.00023125256064071564)))</f>
        <v/>
      </c>
      <c r="P2519">
        <f>IF(G2519=1,IF(H2518=0,1,ABS(0.2-J2518*B2519/I2519)+ABS(0.2-K2518*C2519/I2519)+ABS(0.2-L2518*D2519/I2519)+ABS(0.2-M2518*E2519/I2519)+ABS(0.2-N2518*F2519/I2519)),0)</f>
        <v/>
      </c>
      <c r="Q2519">
        <f>P2519*0.0015</f>
        <v/>
      </c>
      <c r="R2519">
        <f>I2519*(1-Q2519)</f>
        <v/>
      </c>
      <c r="S2519">
        <f>R2519/R2518-1</f>
        <v/>
      </c>
      <c r="T2519">
        <f>MAX(T2518,R2519)</f>
        <v/>
      </c>
      <c r="U2519">
        <f>R2519/T2519-1</f>
        <v/>
      </c>
      <c r="V2519" t="n">
        <v>6.506438245247895</v>
      </c>
      <c r="W2519" s="5">
        <f>R2519-V2519</f>
        <v/>
      </c>
    </row>
    <row r="2520">
      <c r="A2520" s="3" t="n">
        <v>42149</v>
      </c>
      <c r="B2520">
        <f>Prices!B2520</f>
        <v/>
      </c>
      <c r="C2520">
        <f>Prices!C2520</f>
        <v/>
      </c>
      <c r="D2520">
        <f>Prices!D2520</f>
        <v/>
      </c>
      <c r="E2520">
        <f>Prices!E2520</f>
        <v/>
      </c>
      <c r="F2520">
        <f>Prices!F2520</f>
        <v/>
      </c>
      <c r="G2520">
        <f>IF(AND(2518&gt;=16,TEXT(A2520,"yyyy-mm")&lt;&gt;TEXT(A2521,"yyyy-mm")),1,0)</f>
        <v/>
      </c>
      <c r="H2520">
        <f>IF(OR(H2519=1,G2520=1),1,0)</f>
        <v/>
      </c>
      <c r="I2520">
        <f>IF(H2519=0,1,SUMPRODUCT(J2519:N2519,B2520:F2520)+O2519*(1+0.00023125256064071564))</f>
        <v/>
      </c>
      <c r="J2520">
        <f>IF(G2520=1,0.2*R2520/B2520,J2519)</f>
        <v/>
      </c>
      <c r="K2520">
        <f>IF(G2520=1,0.2*R2520/C2520,K2519)</f>
        <v/>
      </c>
      <c r="L2520">
        <f>IF(G2520=1,0.2*R2520/D2520,L2519)</f>
        <v/>
      </c>
      <c r="M2520">
        <f>IF(G2520=1,0.2*R2520/E2520,M2519)</f>
        <v/>
      </c>
      <c r="N2520">
        <f>IF(G2520=1,0.2*R2520/F2520,N2519)</f>
        <v/>
      </c>
      <c r="O2520">
        <f>IF(G2520=1,R2520*(1-1.0),IF(H2519=0,1,O2519*(1+0.00023125256064071564)))</f>
        <v/>
      </c>
      <c r="P2520">
        <f>IF(G2520=1,IF(H2519=0,1,ABS(0.2-J2519*B2520/I2520)+ABS(0.2-K2519*C2520/I2520)+ABS(0.2-L2519*D2520/I2520)+ABS(0.2-M2519*E2520/I2520)+ABS(0.2-N2519*F2520/I2520)),0)</f>
        <v/>
      </c>
      <c r="Q2520">
        <f>P2520*0.0015</f>
        <v/>
      </c>
      <c r="R2520">
        <f>I2520*(1-Q2520)</f>
        <v/>
      </c>
      <c r="S2520">
        <f>R2520/R2519-1</f>
        <v/>
      </c>
      <c r="T2520">
        <f>MAX(T2519,R2520)</f>
        <v/>
      </c>
      <c r="U2520">
        <f>R2520/T2520-1</f>
        <v/>
      </c>
      <c r="V2520" t="n">
        <v>6.485922432362195</v>
      </c>
      <c r="W2520" s="5">
        <f>R2520-V2520</f>
        <v/>
      </c>
    </row>
    <row r="2521">
      <c r="A2521" s="3" t="n">
        <v>42150</v>
      </c>
      <c r="B2521">
        <f>Prices!B2521</f>
        <v/>
      </c>
      <c r="C2521">
        <f>Prices!C2521</f>
        <v/>
      </c>
      <c r="D2521">
        <f>Prices!D2521</f>
        <v/>
      </c>
      <c r="E2521">
        <f>Prices!E2521</f>
        <v/>
      </c>
      <c r="F2521">
        <f>Prices!F2521</f>
        <v/>
      </c>
      <c r="G2521">
        <f>IF(AND(2519&gt;=16,TEXT(A2521,"yyyy-mm")&lt;&gt;TEXT(A2522,"yyyy-mm")),1,0)</f>
        <v/>
      </c>
      <c r="H2521">
        <f>IF(OR(H2520=1,G2521=1),1,0)</f>
        <v/>
      </c>
      <c r="I2521">
        <f>IF(H2520=0,1,SUMPRODUCT(J2520:N2520,B2521:F2521)+O2520*(1+0.00023125256064071564))</f>
        <v/>
      </c>
      <c r="J2521">
        <f>IF(G2521=1,0.2*R2521/B2521,J2520)</f>
        <v/>
      </c>
      <c r="K2521">
        <f>IF(G2521=1,0.2*R2521/C2521,K2520)</f>
        <v/>
      </c>
      <c r="L2521">
        <f>IF(G2521=1,0.2*R2521/D2521,L2520)</f>
        <v/>
      </c>
      <c r="M2521">
        <f>IF(G2521=1,0.2*R2521/E2521,M2520)</f>
        <v/>
      </c>
      <c r="N2521">
        <f>IF(G2521=1,0.2*R2521/F2521,N2520)</f>
        <v/>
      </c>
      <c r="O2521">
        <f>IF(G2521=1,R2521*(1-1.0),IF(H2520=0,1,O2520*(1+0.00023125256064071564)))</f>
        <v/>
      </c>
      <c r="P2521">
        <f>IF(G2521=1,IF(H2520=0,1,ABS(0.2-J2520*B2521/I2521)+ABS(0.2-K2520*C2521/I2521)+ABS(0.2-L2520*D2521/I2521)+ABS(0.2-M2520*E2521/I2521)+ABS(0.2-N2520*F2521/I2521)),0)</f>
        <v/>
      </c>
      <c r="Q2521">
        <f>P2521*0.0015</f>
        <v/>
      </c>
      <c r="R2521">
        <f>I2521*(1-Q2521)</f>
        <v/>
      </c>
      <c r="S2521">
        <f>R2521/R2520-1</f>
        <v/>
      </c>
      <c r="T2521">
        <f>MAX(T2520,R2521)</f>
        <v/>
      </c>
      <c r="U2521">
        <f>R2521/T2521-1</f>
        <v/>
      </c>
      <c r="V2521" t="n">
        <v>6.477701592885058</v>
      </c>
      <c r="W2521" s="5">
        <f>R2521-V2521</f>
        <v/>
      </c>
    </row>
    <row r="2522">
      <c r="A2522" s="3" t="n">
        <v>42151</v>
      </c>
      <c r="B2522">
        <f>Prices!B2522</f>
        <v/>
      </c>
      <c r="C2522">
        <f>Prices!C2522</f>
        <v/>
      </c>
      <c r="D2522">
        <f>Prices!D2522</f>
        <v/>
      </c>
      <c r="E2522">
        <f>Prices!E2522</f>
        <v/>
      </c>
      <c r="F2522">
        <f>Prices!F2522</f>
        <v/>
      </c>
      <c r="G2522">
        <f>IF(AND(2520&gt;=16,TEXT(A2522,"yyyy-mm")&lt;&gt;TEXT(A2523,"yyyy-mm")),1,0)</f>
        <v/>
      </c>
      <c r="H2522">
        <f>IF(OR(H2521=1,G2522=1),1,0)</f>
        <v/>
      </c>
      <c r="I2522">
        <f>IF(H2521=0,1,SUMPRODUCT(J2521:N2521,B2522:F2522)+O2521*(1+0.00023125256064071564))</f>
        <v/>
      </c>
      <c r="J2522">
        <f>IF(G2522=1,0.2*R2522/B2522,J2521)</f>
        <v/>
      </c>
      <c r="K2522">
        <f>IF(G2522=1,0.2*R2522/C2522,K2521)</f>
        <v/>
      </c>
      <c r="L2522">
        <f>IF(G2522=1,0.2*R2522/D2522,L2521)</f>
        <v/>
      </c>
      <c r="M2522">
        <f>IF(G2522=1,0.2*R2522/E2522,M2521)</f>
        <v/>
      </c>
      <c r="N2522">
        <f>IF(G2522=1,0.2*R2522/F2522,N2521)</f>
        <v/>
      </c>
      <c r="O2522">
        <f>IF(G2522=1,R2522*(1-1.0),IF(H2521=0,1,O2521*(1+0.00023125256064071564)))</f>
        <v/>
      </c>
      <c r="P2522">
        <f>IF(G2522=1,IF(H2521=0,1,ABS(0.2-J2521*B2522/I2522)+ABS(0.2-K2521*C2522/I2522)+ABS(0.2-L2521*D2522/I2522)+ABS(0.2-M2521*E2522/I2522)+ABS(0.2-N2521*F2522/I2522)),0)</f>
        <v/>
      </c>
      <c r="Q2522">
        <f>P2522*0.0015</f>
        <v/>
      </c>
      <c r="R2522">
        <f>I2522*(1-Q2522)</f>
        <v/>
      </c>
      <c r="S2522">
        <f>R2522/R2521-1</f>
        <v/>
      </c>
      <c r="T2522">
        <f>MAX(T2521,R2522)</f>
        <v/>
      </c>
      <c r="U2522">
        <f>R2522/T2522-1</f>
        <v/>
      </c>
      <c r="V2522" t="n">
        <v>6.473205698731992</v>
      </c>
      <c r="W2522" s="5">
        <f>R2522-V2522</f>
        <v/>
      </c>
    </row>
    <row r="2523">
      <c r="A2523" s="3" t="n">
        <v>42152</v>
      </c>
      <c r="B2523">
        <f>Prices!B2523</f>
        <v/>
      </c>
      <c r="C2523">
        <f>Prices!C2523</f>
        <v/>
      </c>
      <c r="D2523">
        <f>Prices!D2523</f>
        <v/>
      </c>
      <c r="E2523">
        <f>Prices!E2523</f>
        <v/>
      </c>
      <c r="F2523">
        <f>Prices!F2523</f>
        <v/>
      </c>
      <c r="G2523">
        <f>IF(AND(2521&gt;=16,TEXT(A2523,"yyyy-mm")&lt;&gt;TEXT(A2524,"yyyy-mm")),1,0)</f>
        <v/>
      </c>
      <c r="H2523">
        <f>IF(OR(H2522=1,G2523=1),1,0)</f>
        <v/>
      </c>
      <c r="I2523">
        <f>IF(H2522=0,1,SUMPRODUCT(J2522:N2522,B2523:F2523)+O2522*(1+0.00023125256064071564))</f>
        <v/>
      </c>
      <c r="J2523">
        <f>IF(G2523=1,0.2*R2523/B2523,J2522)</f>
        <v/>
      </c>
      <c r="K2523">
        <f>IF(G2523=1,0.2*R2523/C2523,K2522)</f>
        <v/>
      </c>
      <c r="L2523">
        <f>IF(G2523=1,0.2*R2523/D2523,L2522)</f>
        <v/>
      </c>
      <c r="M2523">
        <f>IF(G2523=1,0.2*R2523/E2523,M2522)</f>
        <v/>
      </c>
      <c r="N2523">
        <f>IF(G2523=1,0.2*R2523/F2523,N2522)</f>
        <v/>
      </c>
      <c r="O2523">
        <f>IF(G2523=1,R2523*(1-1.0),IF(H2522=0,1,O2522*(1+0.00023125256064071564)))</f>
        <v/>
      </c>
      <c r="P2523">
        <f>IF(G2523=1,IF(H2522=0,1,ABS(0.2-J2522*B2523/I2523)+ABS(0.2-K2522*C2523/I2523)+ABS(0.2-L2522*D2523/I2523)+ABS(0.2-M2522*E2523/I2523)+ABS(0.2-N2522*F2523/I2523)),0)</f>
        <v/>
      </c>
      <c r="Q2523">
        <f>P2523*0.0015</f>
        <v/>
      </c>
      <c r="R2523">
        <f>I2523*(1-Q2523)</f>
        <v/>
      </c>
      <c r="S2523">
        <f>R2523/R2522-1</f>
        <v/>
      </c>
      <c r="T2523">
        <f>MAX(T2522,R2523)</f>
        <v/>
      </c>
      <c r="U2523">
        <f>R2523/T2523-1</f>
        <v/>
      </c>
      <c r="V2523" t="n">
        <v>6.459374380699859</v>
      </c>
      <c r="W2523" s="5">
        <f>R2523-V2523</f>
        <v/>
      </c>
    </row>
    <row r="2524">
      <c r="A2524" s="3" t="n">
        <v>42153</v>
      </c>
      <c r="B2524">
        <f>Prices!B2524</f>
        <v/>
      </c>
      <c r="C2524">
        <f>Prices!C2524</f>
        <v/>
      </c>
      <c r="D2524">
        <f>Prices!D2524</f>
        <v/>
      </c>
      <c r="E2524">
        <f>Prices!E2524</f>
        <v/>
      </c>
      <c r="F2524">
        <f>Prices!F2524</f>
        <v/>
      </c>
      <c r="G2524">
        <f>IF(AND(2522&gt;=16,TEXT(A2524,"yyyy-mm")&lt;&gt;TEXT(A2525,"yyyy-mm")),1,0)</f>
        <v/>
      </c>
      <c r="H2524">
        <f>IF(OR(H2523=1,G2524=1),1,0)</f>
        <v/>
      </c>
      <c r="I2524">
        <f>IF(H2523=0,1,SUMPRODUCT(J2523:N2523,B2524:F2524)+O2523*(1+0.00023125256064071564))</f>
        <v/>
      </c>
      <c r="J2524">
        <f>IF(G2524=1,0.2*R2524/B2524,J2523)</f>
        <v/>
      </c>
      <c r="K2524">
        <f>IF(G2524=1,0.2*R2524/C2524,K2523)</f>
        <v/>
      </c>
      <c r="L2524">
        <f>IF(G2524=1,0.2*R2524/D2524,L2523)</f>
        <v/>
      </c>
      <c r="M2524">
        <f>IF(G2524=1,0.2*R2524/E2524,M2523)</f>
        <v/>
      </c>
      <c r="N2524">
        <f>IF(G2524=1,0.2*R2524/F2524,N2523)</f>
        <v/>
      </c>
      <c r="O2524">
        <f>IF(G2524=1,R2524*(1-1.0),IF(H2523=0,1,O2523*(1+0.00023125256064071564)))</f>
        <v/>
      </c>
      <c r="P2524">
        <f>IF(G2524=1,IF(H2523=0,1,ABS(0.2-J2523*B2524/I2524)+ABS(0.2-K2523*C2524/I2524)+ABS(0.2-L2523*D2524/I2524)+ABS(0.2-M2523*E2524/I2524)+ABS(0.2-N2523*F2524/I2524)),0)</f>
        <v/>
      </c>
      <c r="Q2524">
        <f>P2524*0.0015</f>
        <v/>
      </c>
      <c r="R2524">
        <f>I2524*(1-Q2524)</f>
        <v/>
      </c>
      <c r="S2524">
        <f>R2524/R2523-1</f>
        <v/>
      </c>
      <c r="T2524">
        <f>MAX(T2523,R2524)</f>
        <v/>
      </c>
      <c r="U2524">
        <f>R2524/T2524-1</f>
        <v/>
      </c>
      <c r="V2524" t="n">
        <v>6.568588049016927</v>
      </c>
      <c r="W2524" s="5">
        <f>R2524-V2524</f>
        <v/>
      </c>
    </row>
    <row r="2525">
      <c r="A2525" s="3" t="n">
        <v>42156</v>
      </c>
      <c r="B2525">
        <f>Prices!B2525</f>
        <v/>
      </c>
      <c r="C2525">
        <f>Prices!C2525</f>
        <v/>
      </c>
      <c r="D2525">
        <f>Prices!D2525</f>
        <v/>
      </c>
      <c r="E2525">
        <f>Prices!E2525</f>
        <v/>
      </c>
      <c r="F2525">
        <f>Prices!F2525</f>
        <v/>
      </c>
      <c r="G2525">
        <f>IF(AND(2523&gt;=16,TEXT(A2525,"yyyy-mm")&lt;&gt;TEXT(A2526,"yyyy-mm")),1,0)</f>
        <v/>
      </c>
      <c r="H2525">
        <f>IF(OR(H2524=1,G2525=1),1,0)</f>
        <v/>
      </c>
      <c r="I2525">
        <f>IF(H2524=0,1,SUMPRODUCT(J2524:N2524,B2525:F2525)+O2524*(1+0.00023125256064071564))</f>
        <v/>
      </c>
      <c r="J2525">
        <f>IF(G2525=1,0.2*R2525/B2525,J2524)</f>
        <v/>
      </c>
      <c r="K2525">
        <f>IF(G2525=1,0.2*R2525/C2525,K2524)</f>
        <v/>
      </c>
      <c r="L2525">
        <f>IF(G2525=1,0.2*R2525/D2525,L2524)</f>
        <v/>
      </c>
      <c r="M2525">
        <f>IF(G2525=1,0.2*R2525/E2525,M2524)</f>
        <v/>
      </c>
      <c r="N2525">
        <f>IF(G2525=1,0.2*R2525/F2525,N2524)</f>
        <v/>
      </c>
      <c r="O2525">
        <f>IF(G2525=1,R2525*(1-1.0),IF(H2524=0,1,O2524*(1+0.00023125256064071564)))</f>
        <v/>
      </c>
      <c r="P2525">
        <f>IF(G2525=1,IF(H2524=0,1,ABS(0.2-J2524*B2525/I2525)+ABS(0.2-K2524*C2525/I2525)+ABS(0.2-L2524*D2525/I2525)+ABS(0.2-M2524*E2525/I2525)+ABS(0.2-N2524*F2525/I2525)),0)</f>
        <v/>
      </c>
      <c r="Q2525">
        <f>P2525*0.0015</f>
        <v/>
      </c>
      <c r="R2525">
        <f>I2525*(1-Q2525)</f>
        <v/>
      </c>
      <c r="S2525">
        <f>R2525/R2524-1</f>
        <v/>
      </c>
      <c r="T2525">
        <f>MAX(T2524,R2525)</f>
        <v/>
      </c>
      <c r="U2525">
        <f>R2525/T2525-1</f>
        <v/>
      </c>
      <c r="V2525" t="n">
        <v>6.573311430106694</v>
      </c>
      <c r="W2525" s="5">
        <f>R2525-V2525</f>
        <v/>
      </c>
    </row>
    <row r="2526">
      <c r="A2526" s="3" t="n">
        <v>42157</v>
      </c>
      <c r="B2526">
        <f>Prices!B2526</f>
        <v/>
      </c>
      <c r="C2526">
        <f>Prices!C2526</f>
        <v/>
      </c>
      <c r="D2526">
        <f>Prices!D2526</f>
        <v/>
      </c>
      <c r="E2526">
        <f>Prices!E2526</f>
        <v/>
      </c>
      <c r="F2526">
        <f>Prices!F2526</f>
        <v/>
      </c>
      <c r="G2526">
        <f>IF(AND(2524&gt;=16,TEXT(A2526,"yyyy-mm")&lt;&gt;TEXT(A2527,"yyyy-mm")),1,0)</f>
        <v/>
      </c>
      <c r="H2526">
        <f>IF(OR(H2525=1,G2526=1),1,0)</f>
        <v/>
      </c>
      <c r="I2526">
        <f>IF(H2525=0,1,SUMPRODUCT(J2525:N2525,B2526:F2526)+O2525*(1+0.00023125256064071564))</f>
        <v/>
      </c>
      <c r="J2526">
        <f>IF(G2526=1,0.2*R2526/B2526,J2525)</f>
        <v/>
      </c>
      <c r="K2526">
        <f>IF(G2526=1,0.2*R2526/C2526,K2525)</f>
        <v/>
      </c>
      <c r="L2526">
        <f>IF(G2526=1,0.2*R2526/D2526,L2525)</f>
        <v/>
      </c>
      <c r="M2526">
        <f>IF(G2526=1,0.2*R2526/E2526,M2525)</f>
        <v/>
      </c>
      <c r="N2526">
        <f>IF(G2526=1,0.2*R2526/F2526,N2525)</f>
        <v/>
      </c>
      <c r="O2526">
        <f>IF(G2526=1,R2526*(1-1.0),IF(H2525=0,1,O2525*(1+0.00023125256064071564)))</f>
        <v/>
      </c>
      <c r="P2526">
        <f>IF(G2526=1,IF(H2525=0,1,ABS(0.2-J2525*B2526/I2526)+ABS(0.2-K2525*C2526/I2526)+ABS(0.2-L2525*D2526/I2526)+ABS(0.2-M2525*E2526/I2526)+ABS(0.2-N2525*F2526/I2526)),0)</f>
        <v/>
      </c>
      <c r="Q2526">
        <f>P2526*0.0015</f>
        <v/>
      </c>
      <c r="R2526">
        <f>I2526*(1-Q2526)</f>
        <v/>
      </c>
      <c r="S2526">
        <f>R2526/R2525-1</f>
        <v/>
      </c>
      <c r="T2526">
        <f>MAX(T2525,R2526)</f>
        <v/>
      </c>
      <c r="U2526">
        <f>R2526/T2526-1</f>
        <v/>
      </c>
      <c r="V2526" t="n">
        <v>6.415971721794164</v>
      </c>
      <c r="W2526" s="5">
        <f>R2526-V2526</f>
        <v/>
      </c>
    </row>
    <row r="2527">
      <c r="A2527" s="3" t="n">
        <v>42158</v>
      </c>
      <c r="B2527">
        <f>Prices!B2527</f>
        <v/>
      </c>
      <c r="C2527">
        <f>Prices!C2527</f>
        <v/>
      </c>
      <c r="D2527">
        <f>Prices!D2527</f>
        <v/>
      </c>
      <c r="E2527">
        <f>Prices!E2527</f>
        <v/>
      </c>
      <c r="F2527">
        <f>Prices!F2527</f>
        <v/>
      </c>
      <c r="G2527">
        <f>IF(AND(2525&gt;=16,TEXT(A2527,"yyyy-mm")&lt;&gt;TEXT(A2528,"yyyy-mm")),1,0)</f>
        <v/>
      </c>
      <c r="H2527">
        <f>IF(OR(H2526=1,G2527=1),1,0)</f>
        <v/>
      </c>
      <c r="I2527">
        <f>IF(H2526=0,1,SUMPRODUCT(J2526:N2526,B2527:F2527)+O2526*(1+0.00023125256064071564))</f>
        <v/>
      </c>
      <c r="J2527">
        <f>IF(G2527=1,0.2*R2527/B2527,J2526)</f>
        <v/>
      </c>
      <c r="K2527">
        <f>IF(G2527=1,0.2*R2527/C2527,K2526)</f>
        <v/>
      </c>
      <c r="L2527">
        <f>IF(G2527=1,0.2*R2527/D2527,L2526)</f>
        <v/>
      </c>
      <c r="M2527">
        <f>IF(G2527=1,0.2*R2527/E2527,M2526)</f>
        <v/>
      </c>
      <c r="N2527">
        <f>IF(G2527=1,0.2*R2527/F2527,N2526)</f>
        <v/>
      </c>
      <c r="O2527">
        <f>IF(G2527=1,R2527*(1-1.0),IF(H2526=0,1,O2526*(1+0.00023125256064071564)))</f>
        <v/>
      </c>
      <c r="P2527">
        <f>IF(G2527=1,IF(H2526=0,1,ABS(0.2-J2526*B2527/I2527)+ABS(0.2-K2526*C2527/I2527)+ABS(0.2-L2526*D2527/I2527)+ABS(0.2-M2526*E2527/I2527)+ABS(0.2-N2526*F2527/I2527)),0)</f>
        <v/>
      </c>
      <c r="Q2527">
        <f>P2527*0.0015</f>
        <v/>
      </c>
      <c r="R2527">
        <f>I2527*(1-Q2527)</f>
        <v/>
      </c>
      <c r="S2527">
        <f>R2527/R2526-1</f>
        <v/>
      </c>
      <c r="T2527">
        <f>MAX(T2526,R2527)</f>
        <v/>
      </c>
      <c r="U2527">
        <f>R2527/T2527-1</f>
        <v/>
      </c>
      <c r="V2527" t="n">
        <v>6.302974202775021</v>
      </c>
      <c r="W2527" s="5">
        <f>R2527-V2527</f>
        <v/>
      </c>
    </row>
    <row r="2528">
      <c r="A2528" s="3" t="n">
        <v>42159</v>
      </c>
      <c r="B2528">
        <f>Prices!B2528</f>
        <v/>
      </c>
      <c r="C2528">
        <f>Prices!C2528</f>
        <v/>
      </c>
      <c r="D2528">
        <f>Prices!D2528</f>
        <v/>
      </c>
      <c r="E2528">
        <f>Prices!E2528</f>
        <v/>
      </c>
      <c r="F2528">
        <f>Prices!F2528</f>
        <v/>
      </c>
      <c r="G2528">
        <f>IF(AND(2526&gt;=16,TEXT(A2528,"yyyy-mm")&lt;&gt;TEXT(A2529,"yyyy-mm")),1,0)</f>
        <v/>
      </c>
      <c r="H2528">
        <f>IF(OR(H2527=1,G2528=1),1,0)</f>
        <v/>
      </c>
      <c r="I2528">
        <f>IF(H2527=0,1,SUMPRODUCT(J2527:N2527,B2528:F2528)+O2527*(1+0.00023125256064071564))</f>
        <v/>
      </c>
      <c r="J2528">
        <f>IF(G2528=1,0.2*R2528/B2528,J2527)</f>
        <v/>
      </c>
      <c r="K2528">
        <f>IF(G2528=1,0.2*R2528/C2528,K2527)</f>
        <v/>
      </c>
      <c r="L2528">
        <f>IF(G2528=1,0.2*R2528/D2528,L2527)</f>
        <v/>
      </c>
      <c r="M2528">
        <f>IF(G2528=1,0.2*R2528/E2528,M2527)</f>
        <v/>
      </c>
      <c r="N2528">
        <f>IF(G2528=1,0.2*R2528/F2528,N2527)</f>
        <v/>
      </c>
      <c r="O2528">
        <f>IF(G2528=1,R2528*(1-1.0),IF(H2527=0,1,O2527*(1+0.00023125256064071564)))</f>
        <v/>
      </c>
      <c r="P2528">
        <f>IF(G2528=1,IF(H2527=0,1,ABS(0.2-J2527*B2528/I2528)+ABS(0.2-K2527*C2528/I2528)+ABS(0.2-L2527*D2528/I2528)+ABS(0.2-M2527*E2528/I2528)+ABS(0.2-N2527*F2528/I2528)),0)</f>
        <v/>
      </c>
      <c r="Q2528">
        <f>P2528*0.0015</f>
        <v/>
      </c>
      <c r="R2528">
        <f>I2528*(1-Q2528)</f>
        <v/>
      </c>
      <c r="S2528">
        <f>R2528/R2527-1</f>
        <v/>
      </c>
      <c r="T2528">
        <f>MAX(T2527,R2528)</f>
        <v/>
      </c>
      <c r="U2528">
        <f>R2528/T2528-1</f>
        <v/>
      </c>
      <c r="V2528" t="n">
        <v>6.294343176584563</v>
      </c>
      <c r="W2528" s="5">
        <f>R2528-V2528</f>
        <v/>
      </c>
    </row>
    <row r="2529">
      <c r="A2529" s="3" t="n">
        <v>42160</v>
      </c>
      <c r="B2529">
        <f>Prices!B2529</f>
        <v/>
      </c>
      <c r="C2529">
        <f>Prices!C2529</f>
        <v/>
      </c>
      <c r="D2529">
        <f>Prices!D2529</f>
        <v/>
      </c>
      <c r="E2529">
        <f>Prices!E2529</f>
        <v/>
      </c>
      <c r="F2529">
        <f>Prices!F2529</f>
        <v/>
      </c>
      <c r="G2529">
        <f>IF(AND(2527&gt;=16,TEXT(A2529,"yyyy-mm")&lt;&gt;TEXT(A2530,"yyyy-mm")),1,0)</f>
        <v/>
      </c>
      <c r="H2529">
        <f>IF(OR(H2528=1,G2529=1),1,0)</f>
        <v/>
      </c>
      <c r="I2529">
        <f>IF(H2528=0,1,SUMPRODUCT(J2528:N2528,B2529:F2529)+O2528*(1+0.00023125256064071564))</f>
        <v/>
      </c>
      <c r="J2529">
        <f>IF(G2529=1,0.2*R2529/B2529,J2528)</f>
        <v/>
      </c>
      <c r="K2529">
        <f>IF(G2529=1,0.2*R2529/C2529,K2528)</f>
        <v/>
      </c>
      <c r="L2529">
        <f>IF(G2529=1,0.2*R2529/D2529,L2528)</f>
        <v/>
      </c>
      <c r="M2529">
        <f>IF(G2529=1,0.2*R2529/E2529,M2528)</f>
        <v/>
      </c>
      <c r="N2529">
        <f>IF(G2529=1,0.2*R2529/F2529,N2528)</f>
        <v/>
      </c>
      <c r="O2529">
        <f>IF(G2529=1,R2529*(1-1.0),IF(H2528=0,1,O2528*(1+0.00023125256064071564)))</f>
        <v/>
      </c>
      <c r="P2529">
        <f>IF(G2529=1,IF(H2528=0,1,ABS(0.2-J2528*B2529/I2529)+ABS(0.2-K2528*C2529/I2529)+ABS(0.2-L2528*D2529/I2529)+ABS(0.2-M2528*E2529/I2529)+ABS(0.2-N2528*F2529/I2529)),0)</f>
        <v/>
      </c>
      <c r="Q2529">
        <f>P2529*0.0015</f>
        <v/>
      </c>
      <c r="R2529">
        <f>I2529*(1-Q2529)</f>
        <v/>
      </c>
      <c r="S2529">
        <f>R2529/R2528-1</f>
        <v/>
      </c>
      <c r="T2529">
        <f>MAX(T2528,R2529)</f>
        <v/>
      </c>
      <c r="U2529">
        <f>R2529/T2529-1</f>
        <v/>
      </c>
      <c r="V2529" t="n">
        <v>6.30176169145332</v>
      </c>
      <c r="W2529" s="5">
        <f>R2529-V2529</f>
        <v/>
      </c>
    </row>
    <row r="2530">
      <c r="A2530" s="3" t="n">
        <v>42163</v>
      </c>
      <c r="B2530">
        <f>Prices!B2530</f>
        <v/>
      </c>
      <c r="C2530">
        <f>Prices!C2530</f>
        <v/>
      </c>
      <c r="D2530">
        <f>Prices!D2530</f>
        <v/>
      </c>
      <c r="E2530">
        <f>Prices!E2530</f>
        <v/>
      </c>
      <c r="F2530">
        <f>Prices!F2530</f>
        <v/>
      </c>
      <c r="G2530">
        <f>IF(AND(2528&gt;=16,TEXT(A2530,"yyyy-mm")&lt;&gt;TEXT(A2531,"yyyy-mm")),1,0)</f>
        <v/>
      </c>
      <c r="H2530">
        <f>IF(OR(H2529=1,G2530=1),1,0)</f>
        <v/>
      </c>
      <c r="I2530">
        <f>IF(H2529=0,1,SUMPRODUCT(J2529:N2529,B2530:F2530)+O2529*(1+0.00023125256064071564))</f>
        <v/>
      </c>
      <c r="J2530">
        <f>IF(G2530=1,0.2*R2530/B2530,J2529)</f>
        <v/>
      </c>
      <c r="K2530">
        <f>IF(G2530=1,0.2*R2530/C2530,K2529)</f>
        <v/>
      </c>
      <c r="L2530">
        <f>IF(G2530=1,0.2*R2530/D2530,L2529)</f>
        <v/>
      </c>
      <c r="M2530">
        <f>IF(G2530=1,0.2*R2530/E2530,M2529)</f>
        <v/>
      </c>
      <c r="N2530">
        <f>IF(G2530=1,0.2*R2530/F2530,N2529)</f>
        <v/>
      </c>
      <c r="O2530">
        <f>IF(G2530=1,R2530*(1-1.0),IF(H2529=0,1,O2529*(1+0.00023125256064071564)))</f>
        <v/>
      </c>
      <c r="P2530">
        <f>IF(G2530=1,IF(H2529=0,1,ABS(0.2-J2529*B2530/I2530)+ABS(0.2-K2529*C2530/I2530)+ABS(0.2-L2529*D2530/I2530)+ABS(0.2-M2529*E2530/I2530)+ABS(0.2-N2529*F2530/I2530)),0)</f>
        <v/>
      </c>
      <c r="Q2530">
        <f>P2530*0.0015</f>
        <v/>
      </c>
      <c r="R2530">
        <f>I2530*(1-Q2530)</f>
        <v/>
      </c>
      <c r="S2530">
        <f>R2530/R2529-1</f>
        <v/>
      </c>
      <c r="T2530">
        <f>MAX(T2529,R2530)</f>
        <v/>
      </c>
      <c r="U2530">
        <f>R2530/T2530-1</f>
        <v/>
      </c>
      <c r="V2530" t="n">
        <v>6.205970448061373</v>
      </c>
      <c r="W2530" s="5">
        <f>R2530-V2530</f>
        <v/>
      </c>
    </row>
    <row r="2531">
      <c r="A2531" s="3" t="n">
        <v>42164</v>
      </c>
      <c r="B2531">
        <f>Prices!B2531</f>
        <v/>
      </c>
      <c r="C2531">
        <f>Prices!C2531</f>
        <v/>
      </c>
      <c r="D2531">
        <f>Prices!D2531</f>
        <v/>
      </c>
      <c r="E2531">
        <f>Prices!E2531</f>
        <v/>
      </c>
      <c r="F2531">
        <f>Prices!F2531</f>
        <v/>
      </c>
      <c r="G2531">
        <f>IF(AND(2529&gt;=16,TEXT(A2531,"yyyy-mm")&lt;&gt;TEXT(A2532,"yyyy-mm")),1,0)</f>
        <v/>
      </c>
      <c r="H2531">
        <f>IF(OR(H2530=1,G2531=1),1,0)</f>
        <v/>
      </c>
      <c r="I2531">
        <f>IF(H2530=0,1,SUMPRODUCT(J2530:N2530,B2531:F2531)+O2530*(1+0.00023125256064071564))</f>
        <v/>
      </c>
      <c r="J2531">
        <f>IF(G2531=1,0.2*R2531/B2531,J2530)</f>
        <v/>
      </c>
      <c r="K2531">
        <f>IF(G2531=1,0.2*R2531/C2531,K2530)</f>
        <v/>
      </c>
      <c r="L2531">
        <f>IF(G2531=1,0.2*R2531/D2531,L2530)</f>
        <v/>
      </c>
      <c r="M2531">
        <f>IF(G2531=1,0.2*R2531/E2531,M2530)</f>
        <v/>
      </c>
      <c r="N2531">
        <f>IF(G2531=1,0.2*R2531/F2531,N2530)</f>
        <v/>
      </c>
      <c r="O2531">
        <f>IF(G2531=1,R2531*(1-1.0),IF(H2530=0,1,O2530*(1+0.00023125256064071564)))</f>
        <v/>
      </c>
      <c r="P2531">
        <f>IF(G2531=1,IF(H2530=0,1,ABS(0.2-J2530*B2531/I2531)+ABS(0.2-K2530*C2531/I2531)+ABS(0.2-L2530*D2531/I2531)+ABS(0.2-M2530*E2531/I2531)+ABS(0.2-N2530*F2531/I2531)),0)</f>
        <v/>
      </c>
      <c r="Q2531">
        <f>P2531*0.0015</f>
        <v/>
      </c>
      <c r="R2531">
        <f>I2531*(1-Q2531)</f>
        <v/>
      </c>
      <c r="S2531">
        <f>R2531/R2530-1</f>
        <v/>
      </c>
      <c r="T2531">
        <f>MAX(T2530,R2531)</f>
        <v/>
      </c>
      <c r="U2531">
        <f>R2531/T2531-1</f>
        <v/>
      </c>
      <c r="V2531" t="n">
        <v>6.166022048599738</v>
      </c>
      <c r="W2531" s="5">
        <f>R2531-V2531</f>
        <v/>
      </c>
    </row>
    <row r="2532">
      <c r="A2532" s="3" t="n">
        <v>42165</v>
      </c>
      <c r="B2532">
        <f>Prices!B2532</f>
        <v/>
      </c>
      <c r="C2532">
        <f>Prices!C2532</f>
        <v/>
      </c>
      <c r="D2532">
        <f>Prices!D2532</f>
        <v/>
      </c>
      <c r="E2532">
        <f>Prices!E2532</f>
        <v/>
      </c>
      <c r="F2532">
        <f>Prices!F2532</f>
        <v/>
      </c>
      <c r="G2532">
        <f>IF(AND(2530&gt;=16,TEXT(A2532,"yyyy-mm")&lt;&gt;TEXT(A2533,"yyyy-mm")),1,0)</f>
        <v/>
      </c>
      <c r="H2532">
        <f>IF(OR(H2531=1,G2532=1),1,0)</f>
        <v/>
      </c>
      <c r="I2532">
        <f>IF(H2531=0,1,SUMPRODUCT(J2531:N2531,B2532:F2532)+O2531*(1+0.00023125256064071564))</f>
        <v/>
      </c>
      <c r="J2532">
        <f>IF(G2532=1,0.2*R2532/B2532,J2531)</f>
        <v/>
      </c>
      <c r="K2532">
        <f>IF(G2532=1,0.2*R2532/C2532,K2531)</f>
        <v/>
      </c>
      <c r="L2532">
        <f>IF(G2532=1,0.2*R2532/D2532,L2531)</f>
        <v/>
      </c>
      <c r="M2532">
        <f>IF(G2532=1,0.2*R2532/E2532,M2531)</f>
        <v/>
      </c>
      <c r="N2532">
        <f>IF(G2532=1,0.2*R2532/F2532,N2531)</f>
        <v/>
      </c>
      <c r="O2532">
        <f>IF(G2532=1,R2532*(1-1.0),IF(H2531=0,1,O2531*(1+0.00023125256064071564)))</f>
        <v/>
      </c>
      <c r="P2532">
        <f>IF(G2532=1,IF(H2531=0,1,ABS(0.2-J2531*B2532/I2532)+ABS(0.2-K2531*C2532/I2532)+ABS(0.2-L2531*D2532/I2532)+ABS(0.2-M2531*E2532/I2532)+ABS(0.2-N2531*F2532/I2532)),0)</f>
        <v/>
      </c>
      <c r="Q2532">
        <f>P2532*0.0015</f>
        <v/>
      </c>
      <c r="R2532">
        <f>I2532*(1-Q2532)</f>
        <v/>
      </c>
      <c r="S2532">
        <f>R2532/R2531-1</f>
        <v/>
      </c>
      <c r="T2532">
        <f>MAX(T2531,R2532)</f>
        <v/>
      </c>
      <c r="U2532">
        <f>R2532/T2532-1</f>
        <v/>
      </c>
      <c r="V2532" t="n">
        <v>6.240580401416259</v>
      </c>
      <c r="W2532" s="5">
        <f>R2532-V2532</f>
        <v/>
      </c>
    </row>
    <row r="2533">
      <c r="A2533" s="3" t="n">
        <v>42166</v>
      </c>
      <c r="B2533">
        <f>Prices!B2533</f>
        <v/>
      </c>
      <c r="C2533">
        <f>Prices!C2533</f>
        <v/>
      </c>
      <c r="D2533">
        <f>Prices!D2533</f>
        <v/>
      </c>
      <c r="E2533">
        <f>Prices!E2533</f>
        <v/>
      </c>
      <c r="F2533">
        <f>Prices!F2533</f>
        <v/>
      </c>
      <c r="G2533">
        <f>IF(AND(2531&gt;=16,TEXT(A2533,"yyyy-mm")&lt;&gt;TEXT(A2534,"yyyy-mm")),1,0)</f>
        <v/>
      </c>
      <c r="H2533">
        <f>IF(OR(H2532=1,G2533=1),1,0)</f>
        <v/>
      </c>
      <c r="I2533">
        <f>IF(H2532=0,1,SUMPRODUCT(J2532:N2532,B2533:F2533)+O2532*(1+0.00023125256064071564))</f>
        <v/>
      </c>
      <c r="J2533">
        <f>IF(G2533=1,0.2*R2533/B2533,J2532)</f>
        <v/>
      </c>
      <c r="K2533">
        <f>IF(G2533=1,0.2*R2533/C2533,K2532)</f>
        <v/>
      </c>
      <c r="L2533">
        <f>IF(G2533=1,0.2*R2533/D2533,L2532)</f>
        <v/>
      </c>
      <c r="M2533">
        <f>IF(G2533=1,0.2*R2533/E2533,M2532)</f>
        <v/>
      </c>
      <c r="N2533">
        <f>IF(G2533=1,0.2*R2533/F2533,N2532)</f>
        <v/>
      </c>
      <c r="O2533">
        <f>IF(G2533=1,R2533*(1-1.0),IF(H2532=0,1,O2532*(1+0.00023125256064071564)))</f>
        <v/>
      </c>
      <c r="P2533">
        <f>IF(G2533=1,IF(H2532=0,1,ABS(0.2-J2532*B2533/I2533)+ABS(0.2-K2532*C2533/I2533)+ABS(0.2-L2532*D2533/I2533)+ABS(0.2-M2532*E2533/I2533)+ABS(0.2-N2532*F2533/I2533)),0)</f>
        <v/>
      </c>
      <c r="Q2533">
        <f>P2533*0.0015</f>
        <v/>
      </c>
      <c r="R2533">
        <f>I2533*(1-Q2533)</f>
        <v/>
      </c>
      <c r="S2533">
        <f>R2533/R2532-1</f>
        <v/>
      </c>
      <c r="T2533">
        <f>MAX(T2532,R2533)</f>
        <v/>
      </c>
      <c r="U2533">
        <f>R2533/T2533-1</f>
        <v/>
      </c>
      <c r="V2533" t="n">
        <v>6.126815127796014</v>
      </c>
      <c r="W2533" s="5">
        <f>R2533-V2533</f>
        <v/>
      </c>
    </row>
    <row r="2534">
      <c r="A2534" s="3" t="n">
        <v>42167</v>
      </c>
      <c r="B2534">
        <f>Prices!B2534</f>
        <v/>
      </c>
      <c r="C2534">
        <f>Prices!C2534</f>
        <v/>
      </c>
      <c r="D2534">
        <f>Prices!D2534</f>
        <v/>
      </c>
      <c r="E2534">
        <f>Prices!E2534</f>
        <v/>
      </c>
      <c r="F2534">
        <f>Prices!F2534</f>
        <v/>
      </c>
      <c r="G2534">
        <f>IF(AND(2532&gt;=16,TEXT(A2534,"yyyy-mm")&lt;&gt;TEXT(A2535,"yyyy-mm")),1,0)</f>
        <v/>
      </c>
      <c r="H2534">
        <f>IF(OR(H2533=1,G2534=1),1,0)</f>
        <v/>
      </c>
      <c r="I2534">
        <f>IF(H2533=0,1,SUMPRODUCT(J2533:N2533,B2534:F2534)+O2533*(1+0.00023125256064071564))</f>
        <v/>
      </c>
      <c r="J2534">
        <f>IF(G2534=1,0.2*R2534/B2534,J2533)</f>
        <v/>
      </c>
      <c r="K2534">
        <f>IF(G2534=1,0.2*R2534/C2534,K2533)</f>
        <v/>
      </c>
      <c r="L2534">
        <f>IF(G2534=1,0.2*R2534/D2534,L2533)</f>
        <v/>
      </c>
      <c r="M2534">
        <f>IF(G2534=1,0.2*R2534/E2534,M2533)</f>
        <v/>
      </c>
      <c r="N2534">
        <f>IF(G2534=1,0.2*R2534/F2534,N2533)</f>
        <v/>
      </c>
      <c r="O2534">
        <f>IF(G2534=1,R2534*(1-1.0),IF(H2533=0,1,O2533*(1+0.00023125256064071564)))</f>
        <v/>
      </c>
      <c r="P2534">
        <f>IF(G2534=1,IF(H2533=0,1,ABS(0.2-J2533*B2534/I2534)+ABS(0.2-K2533*C2534/I2534)+ABS(0.2-L2533*D2534/I2534)+ABS(0.2-M2533*E2534/I2534)+ABS(0.2-N2533*F2534/I2534)),0)</f>
        <v/>
      </c>
      <c r="Q2534">
        <f>P2534*0.0015</f>
        <v/>
      </c>
      <c r="R2534">
        <f>I2534*(1-Q2534)</f>
        <v/>
      </c>
      <c r="S2534">
        <f>R2534/R2533-1</f>
        <v/>
      </c>
      <c r="T2534">
        <f>MAX(T2533,R2534)</f>
        <v/>
      </c>
      <c r="U2534">
        <f>R2534/T2534-1</f>
        <v/>
      </c>
      <c r="V2534" t="n">
        <v>6.109309556429801</v>
      </c>
      <c r="W2534" s="5">
        <f>R2534-V2534</f>
        <v/>
      </c>
    </row>
    <row r="2535">
      <c r="A2535" s="3" t="n">
        <v>42170</v>
      </c>
      <c r="B2535">
        <f>Prices!B2535</f>
        <v/>
      </c>
      <c r="C2535">
        <f>Prices!C2535</f>
        <v/>
      </c>
      <c r="D2535">
        <f>Prices!D2535</f>
        <v/>
      </c>
      <c r="E2535">
        <f>Prices!E2535</f>
        <v/>
      </c>
      <c r="F2535">
        <f>Prices!F2535</f>
        <v/>
      </c>
      <c r="G2535">
        <f>IF(AND(2533&gt;=16,TEXT(A2535,"yyyy-mm")&lt;&gt;TEXT(A2536,"yyyy-mm")),1,0)</f>
        <v/>
      </c>
      <c r="H2535">
        <f>IF(OR(H2534=1,G2535=1),1,0)</f>
        <v/>
      </c>
      <c r="I2535">
        <f>IF(H2534=0,1,SUMPRODUCT(J2534:N2534,B2535:F2535)+O2534*(1+0.00023125256064071564))</f>
        <v/>
      </c>
      <c r="J2535">
        <f>IF(G2535=1,0.2*R2535/B2535,J2534)</f>
        <v/>
      </c>
      <c r="K2535">
        <f>IF(G2535=1,0.2*R2535/C2535,K2534)</f>
        <v/>
      </c>
      <c r="L2535">
        <f>IF(G2535=1,0.2*R2535/D2535,L2534)</f>
        <v/>
      </c>
      <c r="M2535">
        <f>IF(G2535=1,0.2*R2535/E2535,M2534)</f>
        <v/>
      </c>
      <c r="N2535">
        <f>IF(G2535=1,0.2*R2535/F2535,N2534)</f>
        <v/>
      </c>
      <c r="O2535">
        <f>IF(G2535=1,R2535*(1-1.0),IF(H2534=0,1,O2534*(1+0.00023125256064071564)))</f>
        <v/>
      </c>
      <c r="P2535">
        <f>IF(G2535=1,IF(H2534=0,1,ABS(0.2-J2534*B2535/I2535)+ABS(0.2-K2534*C2535/I2535)+ABS(0.2-L2534*D2535/I2535)+ABS(0.2-M2534*E2535/I2535)+ABS(0.2-N2534*F2535/I2535)),0)</f>
        <v/>
      </c>
      <c r="Q2535">
        <f>P2535*0.0015</f>
        <v/>
      </c>
      <c r="R2535">
        <f>I2535*(1-Q2535)</f>
        <v/>
      </c>
      <c r="S2535">
        <f>R2535/R2534-1</f>
        <v/>
      </c>
      <c r="T2535">
        <f>MAX(T2534,R2535)</f>
        <v/>
      </c>
      <c r="U2535">
        <f>R2535/T2535-1</f>
        <v/>
      </c>
      <c r="V2535" t="n">
        <v>6.130894454258865</v>
      </c>
      <c r="W2535" s="5">
        <f>R2535-V2535</f>
        <v/>
      </c>
    </row>
    <row r="2536">
      <c r="A2536" s="3" t="n">
        <v>42171</v>
      </c>
      <c r="B2536">
        <f>Prices!B2536</f>
        <v/>
      </c>
      <c r="C2536">
        <f>Prices!C2536</f>
        <v/>
      </c>
      <c r="D2536">
        <f>Prices!D2536</f>
        <v/>
      </c>
      <c r="E2536">
        <f>Prices!E2536</f>
        <v/>
      </c>
      <c r="F2536">
        <f>Prices!F2536</f>
        <v/>
      </c>
      <c r="G2536">
        <f>IF(AND(2534&gt;=16,TEXT(A2536,"yyyy-mm")&lt;&gt;TEXT(A2537,"yyyy-mm")),1,0)</f>
        <v/>
      </c>
      <c r="H2536">
        <f>IF(OR(H2535=1,G2536=1),1,0)</f>
        <v/>
      </c>
      <c r="I2536">
        <f>IF(H2535=0,1,SUMPRODUCT(J2535:N2535,B2536:F2536)+O2535*(1+0.00023125256064071564))</f>
        <v/>
      </c>
      <c r="J2536">
        <f>IF(G2536=1,0.2*R2536/B2536,J2535)</f>
        <v/>
      </c>
      <c r="K2536">
        <f>IF(G2536=1,0.2*R2536/C2536,K2535)</f>
        <v/>
      </c>
      <c r="L2536">
        <f>IF(G2536=1,0.2*R2536/D2536,L2535)</f>
        <v/>
      </c>
      <c r="M2536">
        <f>IF(G2536=1,0.2*R2536/E2536,M2535)</f>
        <v/>
      </c>
      <c r="N2536">
        <f>IF(G2536=1,0.2*R2536/F2536,N2535)</f>
        <v/>
      </c>
      <c r="O2536">
        <f>IF(G2536=1,R2536*(1-1.0),IF(H2535=0,1,O2535*(1+0.00023125256064071564)))</f>
        <v/>
      </c>
      <c r="P2536">
        <f>IF(G2536=1,IF(H2535=0,1,ABS(0.2-J2535*B2536/I2536)+ABS(0.2-K2535*C2536/I2536)+ABS(0.2-L2535*D2536/I2536)+ABS(0.2-M2535*E2536/I2536)+ABS(0.2-N2535*F2536/I2536)),0)</f>
        <v/>
      </c>
      <c r="Q2536">
        <f>P2536*0.0015</f>
        <v/>
      </c>
      <c r="R2536">
        <f>I2536*(1-Q2536)</f>
        <v/>
      </c>
      <c r="S2536">
        <f>R2536/R2535-1</f>
        <v/>
      </c>
      <c r="T2536">
        <f>MAX(T2535,R2536)</f>
        <v/>
      </c>
      <c r="U2536">
        <f>R2536/T2536-1</f>
        <v/>
      </c>
      <c r="V2536" t="n">
        <v>6.168212492304399</v>
      </c>
      <c r="W2536" s="5">
        <f>R2536-V2536</f>
        <v/>
      </c>
    </row>
    <row r="2537">
      <c r="A2537" s="3" t="n">
        <v>42172</v>
      </c>
      <c r="B2537">
        <f>Prices!B2537</f>
        <v/>
      </c>
      <c r="C2537">
        <f>Prices!C2537</f>
        <v/>
      </c>
      <c r="D2537">
        <f>Prices!D2537</f>
        <v/>
      </c>
      <c r="E2537">
        <f>Prices!E2537</f>
        <v/>
      </c>
      <c r="F2537">
        <f>Prices!F2537</f>
        <v/>
      </c>
      <c r="G2537">
        <f>IF(AND(2535&gt;=16,TEXT(A2537,"yyyy-mm")&lt;&gt;TEXT(A2538,"yyyy-mm")),1,0)</f>
        <v/>
      </c>
      <c r="H2537">
        <f>IF(OR(H2536=1,G2537=1),1,0)</f>
        <v/>
      </c>
      <c r="I2537">
        <f>IF(H2536=0,1,SUMPRODUCT(J2536:N2536,B2537:F2537)+O2536*(1+0.00023125256064071564))</f>
        <v/>
      </c>
      <c r="J2537">
        <f>IF(G2537=1,0.2*R2537/B2537,J2536)</f>
        <v/>
      </c>
      <c r="K2537">
        <f>IF(G2537=1,0.2*R2537/C2537,K2536)</f>
        <v/>
      </c>
      <c r="L2537">
        <f>IF(G2537=1,0.2*R2537/D2537,L2536)</f>
        <v/>
      </c>
      <c r="M2537">
        <f>IF(G2537=1,0.2*R2537/E2537,M2536)</f>
        <v/>
      </c>
      <c r="N2537">
        <f>IF(G2537=1,0.2*R2537/F2537,N2536)</f>
        <v/>
      </c>
      <c r="O2537">
        <f>IF(G2537=1,R2537*(1-1.0),IF(H2536=0,1,O2536*(1+0.00023125256064071564)))</f>
        <v/>
      </c>
      <c r="P2537">
        <f>IF(G2537=1,IF(H2536=0,1,ABS(0.2-J2536*B2537/I2537)+ABS(0.2-K2536*C2537/I2537)+ABS(0.2-L2536*D2537/I2537)+ABS(0.2-M2536*E2537/I2537)+ABS(0.2-N2536*F2537/I2537)),0)</f>
        <v/>
      </c>
      <c r="Q2537">
        <f>P2537*0.0015</f>
        <v/>
      </c>
      <c r="R2537">
        <f>I2537*(1-Q2537)</f>
        <v/>
      </c>
      <c r="S2537">
        <f>R2537/R2536-1</f>
        <v/>
      </c>
      <c r="T2537">
        <f>MAX(T2536,R2537)</f>
        <v/>
      </c>
      <c r="U2537">
        <f>R2537/T2537-1</f>
        <v/>
      </c>
      <c r="V2537" t="n">
        <v>6.245835089851439</v>
      </c>
      <c r="W2537" s="5">
        <f>R2537-V2537</f>
        <v/>
      </c>
    </row>
    <row r="2538">
      <c r="A2538" s="3" t="n">
        <v>42173</v>
      </c>
      <c r="B2538">
        <f>Prices!B2538</f>
        <v/>
      </c>
      <c r="C2538">
        <f>Prices!C2538</f>
        <v/>
      </c>
      <c r="D2538">
        <f>Prices!D2538</f>
        <v/>
      </c>
      <c r="E2538">
        <f>Prices!E2538</f>
        <v/>
      </c>
      <c r="F2538">
        <f>Prices!F2538</f>
        <v/>
      </c>
      <c r="G2538">
        <f>IF(AND(2536&gt;=16,TEXT(A2538,"yyyy-mm")&lt;&gt;TEXT(A2539,"yyyy-mm")),1,0)</f>
        <v/>
      </c>
      <c r="H2538">
        <f>IF(OR(H2537=1,G2538=1),1,0)</f>
        <v/>
      </c>
      <c r="I2538">
        <f>IF(H2537=0,1,SUMPRODUCT(J2537:N2537,B2538:F2538)+O2537*(1+0.00023125256064071564))</f>
        <v/>
      </c>
      <c r="J2538">
        <f>IF(G2538=1,0.2*R2538/B2538,J2537)</f>
        <v/>
      </c>
      <c r="K2538">
        <f>IF(G2538=1,0.2*R2538/C2538,K2537)</f>
        <v/>
      </c>
      <c r="L2538">
        <f>IF(G2538=1,0.2*R2538/D2538,L2537)</f>
        <v/>
      </c>
      <c r="M2538">
        <f>IF(G2538=1,0.2*R2538/E2538,M2537)</f>
        <v/>
      </c>
      <c r="N2538">
        <f>IF(G2538=1,0.2*R2538/F2538,N2537)</f>
        <v/>
      </c>
      <c r="O2538">
        <f>IF(G2538=1,R2538*(1-1.0),IF(H2537=0,1,O2537*(1+0.00023125256064071564)))</f>
        <v/>
      </c>
      <c r="P2538">
        <f>IF(G2538=1,IF(H2537=0,1,ABS(0.2-J2537*B2538/I2538)+ABS(0.2-K2537*C2538/I2538)+ABS(0.2-L2537*D2538/I2538)+ABS(0.2-M2537*E2538/I2538)+ABS(0.2-N2537*F2538/I2538)),0)</f>
        <v/>
      </c>
      <c r="Q2538">
        <f>P2538*0.0015</f>
        <v/>
      </c>
      <c r="R2538">
        <f>I2538*(1-Q2538)</f>
        <v/>
      </c>
      <c r="S2538">
        <f>R2538/R2537-1</f>
        <v/>
      </c>
      <c r="T2538">
        <f>MAX(T2537,R2538)</f>
        <v/>
      </c>
      <c r="U2538">
        <f>R2538/T2538-1</f>
        <v/>
      </c>
      <c r="V2538" t="n">
        <v>6.317718204473924</v>
      </c>
      <c r="W2538" s="5">
        <f>R2538-V2538</f>
        <v/>
      </c>
    </row>
    <row r="2539">
      <c r="A2539" s="3" t="n">
        <v>42174</v>
      </c>
      <c r="B2539">
        <f>Prices!B2539</f>
        <v/>
      </c>
      <c r="C2539">
        <f>Prices!C2539</f>
        <v/>
      </c>
      <c r="D2539">
        <f>Prices!D2539</f>
        <v/>
      </c>
      <c r="E2539">
        <f>Prices!E2539</f>
        <v/>
      </c>
      <c r="F2539">
        <f>Prices!F2539</f>
        <v/>
      </c>
      <c r="G2539">
        <f>IF(AND(2537&gt;=16,TEXT(A2539,"yyyy-mm")&lt;&gt;TEXT(A2540,"yyyy-mm")),1,0)</f>
        <v/>
      </c>
      <c r="H2539">
        <f>IF(OR(H2538=1,G2539=1),1,0)</f>
        <v/>
      </c>
      <c r="I2539">
        <f>IF(H2538=0,1,SUMPRODUCT(J2538:N2538,B2539:F2539)+O2538*(1+0.00023125256064071564))</f>
        <v/>
      </c>
      <c r="J2539">
        <f>IF(G2539=1,0.2*R2539/B2539,J2538)</f>
        <v/>
      </c>
      <c r="K2539">
        <f>IF(G2539=1,0.2*R2539/C2539,K2538)</f>
        <v/>
      </c>
      <c r="L2539">
        <f>IF(G2539=1,0.2*R2539/D2539,L2538)</f>
        <v/>
      </c>
      <c r="M2539">
        <f>IF(G2539=1,0.2*R2539/E2539,M2538)</f>
        <v/>
      </c>
      <c r="N2539">
        <f>IF(G2539=1,0.2*R2539/F2539,N2538)</f>
        <v/>
      </c>
      <c r="O2539">
        <f>IF(G2539=1,R2539*(1-1.0),IF(H2538=0,1,O2538*(1+0.00023125256064071564)))</f>
        <v/>
      </c>
      <c r="P2539">
        <f>IF(G2539=1,IF(H2538=0,1,ABS(0.2-J2538*B2539/I2539)+ABS(0.2-K2538*C2539/I2539)+ABS(0.2-L2538*D2539/I2539)+ABS(0.2-M2538*E2539/I2539)+ABS(0.2-N2538*F2539/I2539)),0)</f>
        <v/>
      </c>
      <c r="Q2539">
        <f>P2539*0.0015</f>
        <v/>
      </c>
      <c r="R2539">
        <f>I2539*(1-Q2539)</f>
        <v/>
      </c>
      <c r="S2539">
        <f>R2539/R2538-1</f>
        <v/>
      </c>
      <c r="T2539">
        <f>MAX(T2538,R2539)</f>
        <v/>
      </c>
      <c r="U2539">
        <f>R2539/T2539-1</f>
        <v/>
      </c>
      <c r="V2539" t="n">
        <v>6.351553143349539</v>
      </c>
      <c r="W2539" s="5">
        <f>R2539-V2539</f>
        <v/>
      </c>
    </row>
    <row r="2540">
      <c r="A2540" s="3" t="n">
        <v>42177</v>
      </c>
      <c r="B2540">
        <f>Prices!B2540</f>
        <v/>
      </c>
      <c r="C2540">
        <f>Prices!C2540</f>
        <v/>
      </c>
      <c r="D2540">
        <f>Prices!D2540</f>
        <v/>
      </c>
      <c r="E2540">
        <f>Prices!E2540</f>
        <v/>
      </c>
      <c r="F2540">
        <f>Prices!F2540</f>
        <v/>
      </c>
      <c r="G2540">
        <f>IF(AND(2538&gt;=16,TEXT(A2540,"yyyy-mm")&lt;&gt;TEXT(A2541,"yyyy-mm")),1,0)</f>
        <v/>
      </c>
      <c r="H2540">
        <f>IF(OR(H2539=1,G2540=1),1,0)</f>
        <v/>
      </c>
      <c r="I2540">
        <f>IF(H2539=0,1,SUMPRODUCT(J2539:N2539,B2540:F2540)+O2539*(1+0.00023125256064071564))</f>
        <v/>
      </c>
      <c r="J2540">
        <f>IF(G2540=1,0.2*R2540/B2540,J2539)</f>
        <v/>
      </c>
      <c r="K2540">
        <f>IF(G2540=1,0.2*R2540/C2540,K2539)</f>
        <v/>
      </c>
      <c r="L2540">
        <f>IF(G2540=1,0.2*R2540/D2540,L2539)</f>
        <v/>
      </c>
      <c r="M2540">
        <f>IF(G2540=1,0.2*R2540/E2540,M2539)</f>
        <v/>
      </c>
      <c r="N2540">
        <f>IF(G2540=1,0.2*R2540/F2540,N2539)</f>
        <v/>
      </c>
      <c r="O2540">
        <f>IF(G2540=1,R2540*(1-1.0),IF(H2539=0,1,O2539*(1+0.00023125256064071564)))</f>
        <v/>
      </c>
      <c r="P2540">
        <f>IF(G2540=1,IF(H2539=0,1,ABS(0.2-J2539*B2540/I2540)+ABS(0.2-K2539*C2540/I2540)+ABS(0.2-L2539*D2540/I2540)+ABS(0.2-M2539*E2540/I2540)+ABS(0.2-N2539*F2540/I2540)),0)</f>
        <v/>
      </c>
      <c r="Q2540">
        <f>P2540*0.0015</f>
        <v/>
      </c>
      <c r="R2540">
        <f>I2540*(1-Q2540)</f>
        <v/>
      </c>
      <c r="S2540">
        <f>R2540/R2539-1</f>
        <v/>
      </c>
      <c r="T2540">
        <f>MAX(T2539,R2540)</f>
        <v/>
      </c>
      <c r="U2540">
        <f>R2540/T2540-1</f>
        <v/>
      </c>
      <c r="V2540" t="n">
        <v>6.446265710365116</v>
      </c>
      <c r="W2540" s="5">
        <f>R2540-V2540</f>
        <v/>
      </c>
    </row>
    <row r="2541">
      <c r="A2541" s="3" t="n">
        <v>42178</v>
      </c>
      <c r="B2541">
        <f>Prices!B2541</f>
        <v/>
      </c>
      <c r="C2541">
        <f>Prices!C2541</f>
        <v/>
      </c>
      <c r="D2541">
        <f>Prices!D2541</f>
        <v/>
      </c>
      <c r="E2541">
        <f>Prices!E2541</f>
        <v/>
      </c>
      <c r="F2541">
        <f>Prices!F2541</f>
        <v/>
      </c>
      <c r="G2541">
        <f>IF(AND(2539&gt;=16,TEXT(A2541,"yyyy-mm")&lt;&gt;TEXT(A2542,"yyyy-mm")),1,0)</f>
        <v/>
      </c>
      <c r="H2541">
        <f>IF(OR(H2540=1,G2541=1),1,0)</f>
        <v/>
      </c>
      <c r="I2541">
        <f>IF(H2540=0,1,SUMPRODUCT(J2540:N2540,B2541:F2541)+O2540*(1+0.00023125256064071564))</f>
        <v/>
      </c>
      <c r="J2541">
        <f>IF(G2541=1,0.2*R2541/B2541,J2540)</f>
        <v/>
      </c>
      <c r="K2541">
        <f>IF(G2541=1,0.2*R2541/C2541,K2540)</f>
        <v/>
      </c>
      <c r="L2541">
        <f>IF(G2541=1,0.2*R2541/D2541,L2540)</f>
        <v/>
      </c>
      <c r="M2541">
        <f>IF(G2541=1,0.2*R2541/E2541,M2540)</f>
        <v/>
      </c>
      <c r="N2541">
        <f>IF(G2541=1,0.2*R2541/F2541,N2540)</f>
        <v/>
      </c>
      <c r="O2541">
        <f>IF(G2541=1,R2541*(1-1.0),IF(H2540=0,1,O2540*(1+0.00023125256064071564)))</f>
        <v/>
      </c>
      <c r="P2541">
        <f>IF(G2541=1,IF(H2540=0,1,ABS(0.2-J2540*B2541/I2541)+ABS(0.2-K2540*C2541/I2541)+ABS(0.2-L2540*D2541/I2541)+ABS(0.2-M2540*E2541/I2541)+ABS(0.2-N2540*F2541/I2541)),0)</f>
        <v/>
      </c>
      <c r="Q2541">
        <f>P2541*0.0015</f>
        <v/>
      </c>
      <c r="R2541">
        <f>I2541*(1-Q2541)</f>
        <v/>
      </c>
      <c r="S2541">
        <f>R2541/R2540-1</f>
        <v/>
      </c>
      <c r="T2541">
        <f>MAX(T2540,R2541)</f>
        <v/>
      </c>
      <c r="U2541">
        <f>R2541/T2541-1</f>
        <v/>
      </c>
      <c r="V2541" t="n">
        <v>6.465127438747051</v>
      </c>
      <c r="W2541" s="5">
        <f>R2541-V2541</f>
        <v/>
      </c>
    </row>
    <row r="2542">
      <c r="A2542" s="3" t="n">
        <v>42179</v>
      </c>
      <c r="B2542">
        <f>Prices!B2542</f>
        <v/>
      </c>
      <c r="C2542">
        <f>Prices!C2542</f>
        <v/>
      </c>
      <c r="D2542">
        <f>Prices!D2542</f>
        <v/>
      </c>
      <c r="E2542">
        <f>Prices!E2542</f>
        <v/>
      </c>
      <c r="F2542">
        <f>Prices!F2542</f>
        <v/>
      </c>
      <c r="G2542">
        <f>IF(AND(2540&gt;=16,TEXT(A2542,"yyyy-mm")&lt;&gt;TEXT(A2543,"yyyy-mm")),1,0)</f>
        <v/>
      </c>
      <c r="H2542">
        <f>IF(OR(H2541=1,G2542=1),1,0)</f>
        <v/>
      </c>
      <c r="I2542">
        <f>IF(H2541=0,1,SUMPRODUCT(J2541:N2541,B2542:F2542)+O2541*(1+0.00023125256064071564))</f>
        <v/>
      </c>
      <c r="J2542">
        <f>IF(G2542=1,0.2*R2542/B2542,J2541)</f>
        <v/>
      </c>
      <c r="K2542">
        <f>IF(G2542=1,0.2*R2542/C2542,K2541)</f>
        <v/>
      </c>
      <c r="L2542">
        <f>IF(G2542=1,0.2*R2542/D2542,L2541)</f>
        <v/>
      </c>
      <c r="M2542">
        <f>IF(G2542=1,0.2*R2542/E2542,M2541)</f>
        <v/>
      </c>
      <c r="N2542">
        <f>IF(G2542=1,0.2*R2542/F2542,N2541)</f>
        <v/>
      </c>
      <c r="O2542">
        <f>IF(G2542=1,R2542*(1-1.0),IF(H2541=0,1,O2541*(1+0.00023125256064071564)))</f>
        <v/>
      </c>
      <c r="P2542">
        <f>IF(G2542=1,IF(H2541=0,1,ABS(0.2-J2541*B2542/I2542)+ABS(0.2-K2541*C2542/I2542)+ABS(0.2-L2541*D2542/I2542)+ABS(0.2-M2541*E2542/I2542)+ABS(0.2-N2541*F2542/I2542)),0)</f>
        <v/>
      </c>
      <c r="Q2542">
        <f>P2542*0.0015</f>
        <v/>
      </c>
      <c r="R2542">
        <f>I2542*(1-Q2542)</f>
        <v/>
      </c>
      <c r="S2542">
        <f>R2542/R2541-1</f>
        <v/>
      </c>
      <c r="T2542">
        <f>MAX(T2541,R2542)</f>
        <v/>
      </c>
      <c r="U2542">
        <f>R2542/T2542-1</f>
        <v/>
      </c>
      <c r="V2542" t="n">
        <v>6.430500135694443</v>
      </c>
      <c r="W2542" s="5">
        <f>R2542-V2542</f>
        <v/>
      </c>
    </row>
    <row r="2543">
      <c r="A2543" s="3" t="n">
        <v>42180</v>
      </c>
      <c r="B2543">
        <f>Prices!B2543</f>
        <v/>
      </c>
      <c r="C2543">
        <f>Prices!C2543</f>
        <v/>
      </c>
      <c r="D2543">
        <f>Prices!D2543</f>
        <v/>
      </c>
      <c r="E2543">
        <f>Prices!E2543</f>
        <v/>
      </c>
      <c r="F2543">
        <f>Prices!F2543</f>
        <v/>
      </c>
      <c r="G2543">
        <f>IF(AND(2541&gt;=16,TEXT(A2543,"yyyy-mm")&lt;&gt;TEXT(A2544,"yyyy-mm")),1,0)</f>
        <v/>
      </c>
      <c r="H2543">
        <f>IF(OR(H2542=1,G2543=1),1,0)</f>
        <v/>
      </c>
      <c r="I2543">
        <f>IF(H2542=0,1,SUMPRODUCT(J2542:N2542,B2543:F2543)+O2542*(1+0.00023125256064071564))</f>
        <v/>
      </c>
      <c r="J2543">
        <f>IF(G2543=1,0.2*R2543/B2543,J2542)</f>
        <v/>
      </c>
      <c r="K2543">
        <f>IF(G2543=1,0.2*R2543/C2543,K2542)</f>
        <v/>
      </c>
      <c r="L2543">
        <f>IF(G2543=1,0.2*R2543/D2543,L2542)</f>
        <v/>
      </c>
      <c r="M2543">
        <f>IF(G2543=1,0.2*R2543/E2543,M2542)</f>
        <v/>
      </c>
      <c r="N2543">
        <f>IF(G2543=1,0.2*R2543/F2543,N2542)</f>
        <v/>
      </c>
      <c r="O2543">
        <f>IF(G2543=1,R2543*(1-1.0),IF(H2542=0,1,O2542*(1+0.00023125256064071564)))</f>
        <v/>
      </c>
      <c r="P2543">
        <f>IF(G2543=1,IF(H2542=0,1,ABS(0.2-J2542*B2543/I2543)+ABS(0.2-K2542*C2543/I2543)+ABS(0.2-L2542*D2543/I2543)+ABS(0.2-M2542*E2543/I2543)+ABS(0.2-N2542*F2543/I2543)),0)</f>
        <v/>
      </c>
      <c r="Q2543">
        <f>P2543*0.0015</f>
        <v/>
      </c>
      <c r="R2543">
        <f>I2543*(1-Q2543)</f>
        <v/>
      </c>
      <c r="S2543">
        <f>R2543/R2542-1</f>
        <v/>
      </c>
      <c r="T2543">
        <f>MAX(T2542,R2543)</f>
        <v/>
      </c>
      <c r="U2543">
        <f>R2543/T2543-1</f>
        <v/>
      </c>
      <c r="V2543" t="n">
        <v>6.446612890815657</v>
      </c>
      <c r="W2543" s="5">
        <f>R2543-V2543</f>
        <v/>
      </c>
    </row>
    <row r="2544">
      <c r="A2544" s="3" t="n">
        <v>42181</v>
      </c>
      <c r="B2544">
        <f>Prices!B2544</f>
        <v/>
      </c>
      <c r="C2544">
        <f>Prices!C2544</f>
        <v/>
      </c>
      <c r="D2544">
        <f>Prices!D2544</f>
        <v/>
      </c>
      <c r="E2544">
        <f>Prices!E2544</f>
        <v/>
      </c>
      <c r="F2544">
        <f>Prices!F2544</f>
        <v/>
      </c>
      <c r="G2544">
        <f>IF(AND(2542&gt;=16,TEXT(A2544,"yyyy-mm")&lt;&gt;TEXT(A2545,"yyyy-mm")),1,0)</f>
        <v/>
      </c>
      <c r="H2544">
        <f>IF(OR(H2543=1,G2544=1),1,0)</f>
        <v/>
      </c>
      <c r="I2544">
        <f>IF(H2543=0,1,SUMPRODUCT(J2543:N2543,B2544:F2544)+O2543*(1+0.00023125256064071564))</f>
        <v/>
      </c>
      <c r="J2544">
        <f>IF(G2544=1,0.2*R2544/B2544,J2543)</f>
        <v/>
      </c>
      <c r="K2544">
        <f>IF(G2544=1,0.2*R2544/C2544,K2543)</f>
        <v/>
      </c>
      <c r="L2544">
        <f>IF(G2544=1,0.2*R2544/D2544,L2543)</f>
        <v/>
      </c>
      <c r="M2544">
        <f>IF(G2544=1,0.2*R2544/E2544,M2543)</f>
        <v/>
      </c>
      <c r="N2544">
        <f>IF(G2544=1,0.2*R2544/F2544,N2543)</f>
        <v/>
      </c>
      <c r="O2544">
        <f>IF(G2544=1,R2544*(1-1.0),IF(H2543=0,1,O2543*(1+0.00023125256064071564)))</f>
        <v/>
      </c>
      <c r="P2544">
        <f>IF(G2544=1,IF(H2543=0,1,ABS(0.2-J2543*B2544/I2544)+ABS(0.2-K2543*C2544/I2544)+ABS(0.2-L2543*D2544/I2544)+ABS(0.2-M2543*E2544/I2544)+ABS(0.2-N2543*F2544/I2544)),0)</f>
        <v/>
      </c>
      <c r="Q2544">
        <f>P2544*0.0015</f>
        <v/>
      </c>
      <c r="R2544">
        <f>I2544*(1-Q2544)</f>
        <v/>
      </c>
      <c r="S2544">
        <f>R2544/R2543-1</f>
        <v/>
      </c>
      <c r="T2544">
        <f>MAX(T2543,R2544)</f>
        <v/>
      </c>
      <c r="U2544">
        <f>R2544/T2544-1</f>
        <v/>
      </c>
      <c r="V2544" t="n">
        <v>6.459944534387087</v>
      </c>
      <c r="W2544" s="5">
        <f>R2544-V2544</f>
        <v/>
      </c>
    </row>
    <row r="2545">
      <c r="A2545" s="3" t="n">
        <v>42184</v>
      </c>
      <c r="B2545">
        <f>Prices!B2545</f>
        <v/>
      </c>
      <c r="C2545">
        <f>Prices!C2545</f>
        <v/>
      </c>
      <c r="D2545">
        <f>Prices!D2545</f>
        <v/>
      </c>
      <c r="E2545">
        <f>Prices!E2545</f>
        <v/>
      </c>
      <c r="F2545">
        <f>Prices!F2545</f>
        <v/>
      </c>
      <c r="G2545">
        <f>IF(AND(2543&gt;=16,TEXT(A2545,"yyyy-mm")&lt;&gt;TEXT(A2546,"yyyy-mm")),1,0)</f>
        <v/>
      </c>
      <c r="H2545">
        <f>IF(OR(H2544=1,G2545=1),1,0)</f>
        <v/>
      </c>
      <c r="I2545">
        <f>IF(H2544=0,1,SUMPRODUCT(J2544:N2544,B2545:F2545)+O2544*(1+0.00023125256064071564))</f>
        <v/>
      </c>
      <c r="J2545">
        <f>IF(G2545=1,0.2*R2545/B2545,J2544)</f>
        <v/>
      </c>
      <c r="K2545">
        <f>IF(G2545=1,0.2*R2545/C2545,K2544)</f>
        <v/>
      </c>
      <c r="L2545">
        <f>IF(G2545=1,0.2*R2545/D2545,L2544)</f>
        <v/>
      </c>
      <c r="M2545">
        <f>IF(G2545=1,0.2*R2545/E2545,M2544)</f>
        <v/>
      </c>
      <c r="N2545">
        <f>IF(G2545=1,0.2*R2545/F2545,N2544)</f>
        <v/>
      </c>
      <c r="O2545">
        <f>IF(G2545=1,R2545*(1-1.0),IF(H2544=0,1,O2544*(1+0.00023125256064071564)))</f>
        <v/>
      </c>
      <c r="P2545">
        <f>IF(G2545=1,IF(H2544=0,1,ABS(0.2-J2544*B2545/I2545)+ABS(0.2-K2544*C2545/I2545)+ABS(0.2-L2544*D2545/I2545)+ABS(0.2-M2544*E2545/I2545)+ABS(0.2-N2544*F2545/I2545)),0)</f>
        <v/>
      </c>
      <c r="Q2545">
        <f>P2545*0.0015</f>
        <v/>
      </c>
      <c r="R2545">
        <f>I2545*(1-Q2545)</f>
        <v/>
      </c>
      <c r="S2545">
        <f>R2545/R2544-1</f>
        <v/>
      </c>
      <c r="T2545">
        <f>MAX(T2544,R2545)</f>
        <v/>
      </c>
      <c r="U2545">
        <f>R2545/T2545-1</f>
        <v/>
      </c>
      <c r="V2545" t="n">
        <v>6.368267823772412</v>
      </c>
      <c r="W2545" s="5">
        <f>R2545-V2545</f>
        <v/>
      </c>
    </row>
    <row r="2546">
      <c r="A2546" s="3" t="n">
        <v>42185</v>
      </c>
      <c r="B2546">
        <f>Prices!B2546</f>
        <v/>
      </c>
      <c r="C2546">
        <f>Prices!C2546</f>
        <v/>
      </c>
      <c r="D2546">
        <f>Prices!D2546</f>
        <v/>
      </c>
      <c r="E2546">
        <f>Prices!E2546</f>
        <v/>
      </c>
      <c r="F2546">
        <f>Prices!F2546</f>
        <v/>
      </c>
      <c r="G2546">
        <f>IF(AND(2544&gt;=16,TEXT(A2546,"yyyy-mm")&lt;&gt;TEXT(A2547,"yyyy-mm")),1,0)</f>
        <v/>
      </c>
      <c r="H2546">
        <f>IF(OR(H2545=1,G2546=1),1,0)</f>
        <v/>
      </c>
      <c r="I2546">
        <f>IF(H2545=0,1,SUMPRODUCT(J2545:N2545,B2546:F2546)+O2545*(1+0.00023125256064071564))</f>
        <v/>
      </c>
      <c r="J2546">
        <f>IF(G2546=1,0.2*R2546/B2546,J2545)</f>
        <v/>
      </c>
      <c r="K2546">
        <f>IF(G2546=1,0.2*R2546/C2546,K2545)</f>
        <v/>
      </c>
      <c r="L2546">
        <f>IF(G2546=1,0.2*R2546/D2546,L2545)</f>
        <v/>
      </c>
      <c r="M2546">
        <f>IF(G2546=1,0.2*R2546/E2546,M2545)</f>
        <v/>
      </c>
      <c r="N2546">
        <f>IF(G2546=1,0.2*R2546/F2546,N2545)</f>
        <v/>
      </c>
      <c r="O2546">
        <f>IF(G2546=1,R2546*(1-1.0),IF(H2545=0,1,O2545*(1+0.00023125256064071564)))</f>
        <v/>
      </c>
      <c r="P2546">
        <f>IF(G2546=1,IF(H2545=0,1,ABS(0.2-J2545*B2546/I2546)+ABS(0.2-K2545*C2546/I2546)+ABS(0.2-L2545*D2546/I2546)+ABS(0.2-M2545*E2546/I2546)+ABS(0.2-N2545*F2546/I2546)),0)</f>
        <v/>
      </c>
      <c r="Q2546">
        <f>P2546*0.0015</f>
        <v/>
      </c>
      <c r="R2546">
        <f>I2546*(1-Q2546)</f>
        <v/>
      </c>
      <c r="S2546">
        <f>R2546/R2545-1</f>
        <v/>
      </c>
      <c r="T2546">
        <f>MAX(T2545,R2546)</f>
        <v/>
      </c>
      <c r="U2546">
        <f>R2546/T2546-1</f>
        <v/>
      </c>
      <c r="V2546" t="n">
        <v>6.437638035153428</v>
      </c>
      <c r="W2546" s="5">
        <f>R2546-V2546</f>
        <v/>
      </c>
    </row>
    <row r="2547">
      <c r="A2547" s="3" t="n">
        <v>42186</v>
      </c>
      <c r="B2547">
        <f>Prices!B2547</f>
        <v/>
      </c>
      <c r="C2547">
        <f>Prices!C2547</f>
        <v/>
      </c>
      <c r="D2547">
        <f>Prices!D2547</f>
        <v/>
      </c>
      <c r="E2547">
        <f>Prices!E2547</f>
        <v/>
      </c>
      <c r="F2547">
        <f>Prices!F2547</f>
        <v/>
      </c>
      <c r="G2547">
        <f>IF(AND(2545&gt;=16,TEXT(A2547,"yyyy-mm")&lt;&gt;TEXT(A2548,"yyyy-mm")),1,0)</f>
        <v/>
      </c>
      <c r="H2547">
        <f>IF(OR(H2546=1,G2547=1),1,0)</f>
        <v/>
      </c>
      <c r="I2547">
        <f>IF(H2546=0,1,SUMPRODUCT(J2546:N2546,B2547:F2547)+O2546*(1+0.00023125256064071564))</f>
        <v/>
      </c>
      <c r="J2547">
        <f>IF(G2547=1,0.2*R2547/B2547,J2546)</f>
        <v/>
      </c>
      <c r="K2547">
        <f>IF(G2547=1,0.2*R2547/C2547,K2546)</f>
        <v/>
      </c>
      <c r="L2547">
        <f>IF(G2547=1,0.2*R2547/D2547,L2546)</f>
        <v/>
      </c>
      <c r="M2547">
        <f>IF(G2547=1,0.2*R2547/E2547,M2546)</f>
        <v/>
      </c>
      <c r="N2547">
        <f>IF(G2547=1,0.2*R2547/F2547,N2546)</f>
        <v/>
      </c>
      <c r="O2547">
        <f>IF(G2547=1,R2547*(1-1.0),IF(H2546=0,1,O2546*(1+0.00023125256064071564)))</f>
        <v/>
      </c>
      <c r="P2547">
        <f>IF(G2547=1,IF(H2546=0,1,ABS(0.2-J2546*B2547/I2547)+ABS(0.2-K2546*C2547/I2547)+ABS(0.2-L2546*D2547/I2547)+ABS(0.2-M2546*E2547/I2547)+ABS(0.2-N2546*F2547/I2547)),0)</f>
        <v/>
      </c>
      <c r="Q2547">
        <f>P2547*0.0015</f>
        <v/>
      </c>
      <c r="R2547">
        <f>I2547*(1-Q2547)</f>
        <v/>
      </c>
      <c r="S2547">
        <f>R2547/R2546-1</f>
        <v/>
      </c>
      <c r="T2547">
        <f>MAX(T2546,R2547)</f>
        <v/>
      </c>
      <c r="U2547">
        <f>R2547/T2547-1</f>
        <v/>
      </c>
      <c r="V2547" t="n">
        <v>6.533642554901059</v>
      </c>
      <c r="W2547" s="5">
        <f>R2547-V2547</f>
        <v/>
      </c>
    </row>
    <row r="2548">
      <c r="A2548" s="3" t="n">
        <v>42187</v>
      </c>
      <c r="B2548">
        <f>Prices!B2548</f>
        <v/>
      </c>
      <c r="C2548">
        <f>Prices!C2548</f>
        <v/>
      </c>
      <c r="D2548">
        <f>Prices!D2548</f>
        <v/>
      </c>
      <c r="E2548">
        <f>Prices!E2548</f>
        <v/>
      </c>
      <c r="F2548">
        <f>Prices!F2548</f>
        <v/>
      </c>
      <c r="G2548">
        <f>IF(AND(2546&gt;=16,TEXT(A2548,"yyyy-mm")&lt;&gt;TEXT(A2549,"yyyy-mm")),1,0)</f>
        <v/>
      </c>
      <c r="H2548">
        <f>IF(OR(H2547=1,G2548=1),1,0)</f>
        <v/>
      </c>
      <c r="I2548">
        <f>IF(H2547=0,1,SUMPRODUCT(J2547:N2547,B2548:F2548)+O2547*(1+0.00023125256064071564))</f>
        <v/>
      </c>
      <c r="J2548">
        <f>IF(G2548=1,0.2*R2548/B2548,J2547)</f>
        <v/>
      </c>
      <c r="K2548">
        <f>IF(G2548=1,0.2*R2548/C2548,K2547)</f>
        <v/>
      </c>
      <c r="L2548">
        <f>IF(G2548=1,0.2*R2548/D2548,L2547)</f>
        <v/>
      </c>
      <c r="M2548">
        <f>IF(G2548=1,0.2*R2548/E2548,M2547)</f>
        <v/>
      </c>
      <c r="N2548">
        <f>IF(G2548=1,0.2*R2548/F2548,N2547)</f>
        <v/>
      </c>
      <c r="O2548">
        <f>IF(G2548=1,R2548*(1-1.0),IF(H2547=0,1,O2547*(1+0.00023125256064071564)))</f>
        <v/>
      </c>
      <c r="P2548">
        <f>IF(G2548=1,IF(H2547=0,1,ABS(0.2-J2547*B2548/I2548)+ABS(0.2-K2547*C2548/I2548)+ABS(0.2-L2547*D2548/I2548)+ABS(0.2-M2547*E2548/I2548)+ABS(0.2-N2547*F2548/I2548)),0)</f>
        <v/>
      </c>
      <c r="Q2548">
        <f>P2548*0.0015</f>
        <v/>
      </c>
      <c r="R2548">
        <f>I2548*(1-Q2548)</f>
        <v/>
      </c>
      <c r="S2548">
        <f>R2548/R2547-1</f>
        <v/>
      </c>
      <c r="T2548">
        <f>MAX(T2547,R2548)</f>
        <v/>
      </c>
      <c r="U2548">
        <f>R2548/T2548-1</f>
        <v/>
      </c>
      <c r="V2548" t="n">
        <v>6.577981675055753</v>
      </c>
      <c r="W2548" s="5">
        <f>R2548-V2548</f>
        <v/>
      </c>
    </row>
    <row r="2549">
      <c r="A2549" s="3" t="n">
        <v>42188</v>
      </c>
      <c r="B2549">
        <f>Prices!B2549</f>
        <v/>
      </c>
      <c r="C2549">
        <f>Prices!C2549</f>
        <v/>
      </c>
      <c r="D2549">
        <f>Prices!D2549</f>
        <v/>
      </c>
      <c r="E2549">
        <f>Prices!E2549</f>
        <v/>
      </c>
      <c r="F2549">
        <f>Prices!F2549</f>
        <v/>
      </c>
      <c r="G2549">
        <f>IF(AND(2547&gt;=16,TEXT(A2549,"yyyy-mm")&lt;&gt;TEXT(A2550,"yyyy-mm")),1,0)</f>
        <v/>
      </c>
      <c r="H2549">
        <f>IF(OR(H2548=1,G2549=1),1,0)</f>
        <v/>
      </c>
      <c r="I2549">
        <f>IF(H2548=0,1,SUMPRODUCT(J2548:N2548,B2549:F2549)+O2548*(1+0.00023125256064071564))</f>
        <v/>
      </c>
      <c r="J2549">
        <f>IF(G2549=1,0.2*R2549/B2549,J2548)</f>
        <v/>
      </c>
      <c r="K2549">
        <f>IF(G2549=1,0.2*R2549/C2549,K2548)</f>
        <v/>
      </c>
      <c r="L2549">
        <f>IF(G2549=1,0.2*R2549/D2549,L2548)</f>
        <v/>
      </c>
      <c r="M2549">
        <f>IF(G2549=1,0.2*R2549/E2549,M2548)</f>
        <v/>
      </c>
      <c r="N2549">
        <f>IF(G2549=1,0.2*R2549/F2549,N2548)</f>
        <v/>
      </c>
      <c r="O2549">
        <f>IF(G2549=1,R2549*(1-1.0),IF(H2548=0,1,O2548*(1+0.00023125256064071564)))</f>
        <v/>
      </c>
      <c r="P2549">
        <f>IF(G2549=1,IF(H2548=0,1,ABS(0.2-J2548*B2549/I2549)+ABS(0.2-K2548*C2549/I2549)+ABS(0.2-L2548*D2549/I2549)+ABS(0.2-M2548*E2549/I2549)+ABS(0.2-N2548*F2549/I2549)),0)</f>
        <v/>
      </c>
      <c r="Q2549">
        <f>P2549*0.0015</f>
        <v/>
      </c>
      <c r="R2549">
        <f>I2549*(1-Q2549)</f>
        <v/>
      </c>
      <c r="S2549">
        <f>R2549/R2548-1</f>
        <v/>
      </c>
      <c r="T2549">
        <f>MAX(T2548,R2549)</f>
        <v/>
      </c>
      <c r="U2549">
        <f>R2549/T2549-1</f>
        <v/>
      </c>
      <c r="V2549" t="n">
        <v>6.574022013039058</v>
      </c>
      <c r="W2549" s="5">
        <f>R2549-V2549</f>
        <v/>
      </c>
    </row>
    <row r="2550">
      <c r="A2550" s="3" t="n">
        <v>42191</v>
      </c>
      <c r="B2550">
        <f>Prices!B2550</f>
        <v/>
      </c>
      <c r="C2550">
        <f>Prices!C2550</f>
        <v/>
      </c>
      <c r="D2550">
        <f>Prices!D2550</f>
        <v/>
      </c>
      <c r="E2550">
        <f>Prices!E2550</f>
        <v/>
      </c>
      <c r="F2550">
        <f>Prices!F2550</f>
        <v/>
      </c>
      <c r="G2550">
        <f>IF(AND(2548&gt;=16,TEXT(A2550,"yyyy-mm")&lt;&gt;TEXT(A2551,"yyyy-mm")),1,0)</f>
        <v/>
      </c>
      <c r="H2550">
        <f>IF(OR(H2549=1,G2550=1),1,0)</f>
        <v/>
      </c>
      <c r="I2550">
        <f>IF(H2549=0,1,SUMPRODUCT(J2549:N2549,B2550:F2550)+O2549*(1+0.00023125256064071564))</f>
        <v/>
      </c>
      <c r="J2550">
        <f>IF(G2550=1,0.2*R2550/B2550,J2549)</f>
        <v/>
      </c>
      <c r="K2550">
        <f>IF(G2550=1,0.2*R2550/C2550,K2549)</f>
        <v/>
      </c>
      <c r="L2550">
        <f>IF(G2550=1,0.2*R2550/D2550,L2549)</f>
        <v/>
      </c>
      <c r="M2550">
        <f>IF(G2550=1,0.2*R2550/E2550,M2549)</f>
        <v/>
      </c>
      <c r="N2550">
        <f>IF(G2550=1,0.2*R2550/F2550,N2549)</f>
        <v/>
      </c>
      <c r="O2550">
        <f>IF(G2550=1,R2550*(1-1.0),IF(H2549=0,1,O2549*(1+0.00023125256064071564)))</f>
        <v/>
      </c>
      <c r="P2550">
        <f>IF(G2550=1,IF(H2549=0,1,ABS(0.2-J2549*B2550/I2550)+ABS(0.2-K2549*C2550/I2550)+ABS(0.2-L2549*D2550/I2550)+ABS(0.2-M2549*E2550/I2550)+ABS(0.2-N2549*F2550/I2550)),0)</f>
        <v/>
      </c>
      <c r="Q2550">
        <f>P2550*0.0015</f>
        <v/>
      </c>
      <c r="R2550">
        <f>I2550*(1-Q2550)</f>
        <v/>
      </c>
      <c r="S2550">
        <f>R2550/R2549-1</f>
        <v/>
      </c>
      <c r="T2550">
        <f>MAX(T2549,R2550)</f>
        <v/>
      </c>
      <c r="U2550">
        <f>R2550/T2550-1</f>
        <v/>
      </c>
      <c r="V2550" t="n">
        <v>6.630387279620339</v>
      </c>
      <c r="W2550" s="5">
        <f>R2550-V2550</f>
        <v/>
      </c>
    </row>
    <row r="2551">
      <c r="A2551" s="3" t="n">
        <v>42192</v>
      </c>
      <c r="B2551">
        <f>Prices!B2551</f>
        <v/>
      </c>
      <c r="C2551">
        <f>Prices!C2551</f>
        <v/>
      </c>
      <c r="D2551">
        <f>Prices!D2551</f>
        <v/>
      </c>
      <c r="E2551">
        <f>Prices!E2551</f>
        <v/>
      </c>
      <c r="F2551">
        <f>Prices!F2551</f>
        <v/>
      </c>
      <c r="G2551">
        <f>IF(AND(2549&gt;=16,TEXT(A2551,"yyyy-mm")&lt;&gt;TEXT(A2552,"yyyy-mm")),1,0)</f>
        <v/>
      </c>
      <c r="H2551">
        <f>IF(OR(H2550=1,G2551=1),1,0)</f>
        <v/>
      </c>
      <c r="I2551">
        <f>IF(H2550=0,1,SUMPRODUCT(J2550:N2550,B2551:F2551)+O2550*(1+0.00023125256064071564))</f>
        <v/>
      </c>
      <c r="J2551">
        <f>IF(G2551=1,0.2*R2551/B2551,J2550)</f>
        <v/>
      </c>
      <c r="K2551">
        <f>IF(G2551=1,0.2*R2551/C2551,K2550)</f>
        <v/>
      </c>
      <c r="L2551">
        <f>IF(G2551=1,0.2*R2551/D2551,L2550)</f>
        <v/>
      </c>
      <c r="M2551">
        <f>IF(G2551=1,0.2*R2551/E2551,M2550)</f>
        <v/>
      </c>
      <c r="N2551">
        <f>IF(G2551=1,0.2*R2551/F2551,N2550)</f>
        <v/>
      </c>
      <c r="O2551">
        <f>IF(G2551=1,R2551*(1-1.0),IF(H2550=0,1,O2550*(1+0.00023125256064071564)))</f>
        <v/>
      </c>
      <c r="P2551">
        <f>IF(G2551=1,IF(H2550=0,1,ABS(0.2-J2550*B2551/I2551)+ABS(0.2-K2550*C2551/I2551)+ABS(0.2-L2550*D2551/I2551)+ABS(0.2-M2550*E2551/I2551)+ABS(0.2-N2550*F2551/I2551)),0)</f>
        <v/>
      </c>
      <c r="Q2551">
        <f>P2551*0.0015</f>
        <v/>
      </c>
      <c r="R2551">
        <f>I2551*(1-Q2551)</f>
        <v/>
      </c>
      <c r="S2551">
        <f>R2551/R2550-1</f>
        <v/>
      </c>
      <c r="T2551">
        <f>MAX(T2550,R2551)</f>
        <v/>
      </c>
      <c r="U2551">
        <f>R2551/T2551-1</f>
        <v/>
      </c>
      <c r="V2551" t="n">
        <v>6.657845234916339</v>
      </c>
      <c r="W2551" s="5">
        <f>R2551-V2551</f>
        <v/>
      </c>
    </row>
    <row r="2552">
      <c r="A2552" s="3" t="n">
        <v>42193</v>
      </c>
      <c r="B2552">
        <f>Prices!B2552</f>
        <v/>
      </c>
      <c r="C2552">
        <f>Prices!C2552</f>
        <v/>
      </c>
      <c r="D2552">
        <f>Prices!D2552</f>
        <v/>
      </c>
      <c r="E2552">
        <f>Prices!E2552</f>
        <v/>
      </c>
      <c r="F2552">
        <f>Prices!F2552</f>
        <v/>
      </c>
      <c r="G2552">
        <f>IF(AND(2550&gt;=16,TEXT(A2552,"yyyy-mm")&lt;&gt;TEXT(A2553,"yyyy-mm")),1,0)</f>
        <v/>
      </c>
      <c r="H2552">
        <f>IF(OR(H2551=1,G2552=1),1,0)</f>
        <v/>
      </c>
      <c r="I2552">
        <f>IF(H2551=0,1,SUMPRODUCT(J2551:N2551,B2552:F2552)+O2551*(1+0.00023125256064071564))</f>
        <v/>
      </c>
      <c r="J2552">
        <f>IF(G2552=1,0.2*R2552/B2552,J2551)</f>
        <v/>
      </c>
      <c r="K2552">
        <f>IF(G2552=1,0.2*R2552/C2552,K2551)</f>
        <v/>
      </c>
      <c r="L2552">
        <f>IF(G2552=1,0.2*R2552/D2552,L2551)</f>
        <v/>
      </c>
      <c r="M2552">
        <f>IF(G2552=1,0.2*R2552/E2552,M2551)</f>
        <v/>
      </c>
      <c r="N2552">
        <f>IF(G2552=1,0.2*R2552/F2552,N2551)</f>
        <v/>
      </c>
      <c r="O2552">
        <f>IF(G2552=1,R2552*(1-1.0),IF(H2551=0,1,O2551*(1+0.00023125256064071564)))</f>
        <v/>
      </c>
      <c r="P2552">
        <f>IF(G2552=1,IF(H2551=0,1,ABS(0.2-J2551*B2552/I2552)+ABS(0.2-K2551*C2552/I2552)+ABS(0.2-L2551*D2552/I2552)+ABS(0.2-M2551*E2552/I2552)+ABS(0.2-N2551*F2552/I2552)),0)</f>
        <v/>
      </c>
      <c r="Q2552">
        <f>P2552*0.0015</f>
        <v/>
      </c>
      <c r="R2552">
        <f>I2552*(1-Q2552)</f>
        <v/>
      </c>
      <c r="S2552">
        <f>R2552/R2551-1</f>
        <v/>
      </c>
      <c r="T2552">
        <f>MAX(T2551,R2552)</f>
        <v/>
      </c>
      <c r="U2552">
        <f>R2552/T2552-1</f>
        <v/>
      </c>
      <c r="V2552" t="n">
        <v>6.547813954057951</v>
      </c>
      <c r="W2552" s="5">
        <f>R2552-V2552</f>
        <v/>
      </c>
    </row>
    <row r="2553">
      <c r="A2553" s="3" t="n">
        <v>42194</v>
      </c>
      <c r="B2553">
        <f>Prices!B2553</f>
        <v/>
      </c>
      <c r="C2553">
        <f>Prices!C2553</f>
        <v/>
      </c>
      <c r="D2553">
        <f>Prices!D2553</f>
        <v/>
      </c>
      <c r="E2553">
        <f>Prices!E2553</f>
        <v/>
      </c>
      <c r="F2553">
        <f>Prices!F2553</f>
        <v/>
      </c>
      <c r="G2553">
        <f>IF(AND(2551&gt;=16,TEXT(A2553,"yyyy-mm")&lt;&gt;TEXT(A2554,"yyyy-mm")),1,0)</f>
        <v/>
      </c>
      <c r="H2553">
        <f>IF(OR(H2552=1,G2553=1),1,0)</f>
        <v/>
      </c>
      <c r="I2553">
        <f>IF(H2552=0,1,SUMPRODUCT(J2552:N2552,B2553:F2553)+O2552*(1+0.00023125256064071564))</f>
        <v/>
      </c>
      <c r="J2553">
        <f>IF(G2553=1,0.2*R2553/B2553,J2552)</f>
        <v/>
      </c>
      <c r="K2553">
        <f>IF(G2553=1,0.2*R2553/C2553,K2552)</f>
        <v/>
      </c>
      <c r="L2553">
        <f>IF(G2553=1,0.2*R2553/D2553,L2552)</f>
        <v/>
      </c>
      <c r="M2553">
        <f>IF(G2553=1,0.2*R2553/E2553,M2552)</f>
        <v/>
      </c>
      <c r="N2553">
        <f>IF(G2553=1,0.2*R2553/F2553,N2552)</f>
        <v/>
      </c>
      <c r="O2553">
        <f>IF(G2553=1,R2553*(1-1.0),IF(H2552=0,1,O2552*(1+0.00023125256064071564)))</f>
        <v/>
      </c>
      <c r="P2553">
        <f>IF(G2553=1,IF(H2552=0,1,ABS(0.2-J2552*B2553/I2553)+ABS(0.2-K2552*C2553/I2553)+ABS(0.2-L2552*D2553/I2553)+ABS(0.2-M2552*E2553/I2553)+ABS(0.2-N2552*F2553/I2553)),0)</f>
        <v/>
      </c>
      <c r="Q2553">
        <f>P2553*0.0015</f>
        <v/>
      </c>
      <c r="R2553">
        <f>I2553*(1-Q2553)</f>
        <v/>
      </c>
      <c r="S2553">
        <f>R2553/R2552-1</f>
        <v/>
      </c>
      <c r="T2553">
        <f>MAX(T2552,R2553)</f>
        <v/>
      </c>
      <c r="U2553">
        <f>R2553/T2553-1</f>
        <v/>
      </c>
      <c r="V2553" t="n">
        <v>6.520214082458892</v>
      </c>
      <c r="W2553" s="5">
        <f>R2553-V2553</f>
        <v/>
      </c>
    </row>
    <row r="2554">
      <c r="A2554" s="3" t="n">
        <v>42195</v>
      </c>
      <c r="B2554">
        <f>Prices!B2554</f>
        <v/>
      </c>
      <c r="C2554">
        <f>Prices!C2554</f>
        <v/>
      </c>
      <c r="D2554">
        <f>Prices!D2554</f>
        <v/>
      </c>
      <c r="E2554">
        <f>Prices!E2554</f>
        <v/>
      </c>
      <c r="F2554">
        <f>Prices!F2554</f>
        <v/>
      </c>
      <c r="G2554">
        <f>IF(AND(2552&gt;=16,TEXT(A2554,"yyyy-mm")&lt;&gt;TEXT(A2555,"yyyy-mm")),1,0)</f>
        <v/>
      </c>
      <c r="H2554">
        <f>IF(OR(H2553=1,G2554=1),1,0)</f>
        <v/>
      </c>
      <c r="I2554">
        <f>IF(H2553=0,1,SUMPRODUCT(J2553:N2553,B2554:F2554)+O2553*(1+0.00023125256064071564))</f>
        <v/>
      </c>
      <c r="J2554">
        <f>IF(G2554=1,0.2*R2554/B2554,J2553)</f>
        <v/>
      </c>
      <c r="K2554">
        <f>IF(G2554=1,0.2*R2554/C2554,K2553)</f>
        <v/>
      </c>
      <c r="L2554">
        <f>IF(G2554=1,0.2*R2554/D2554,L2553)</f>
        <v/>
      </c>
      <c r="M2554">
        <f>IF(G2554=1,0.2*R2554/E2554,M2553)</f>
        <v/>
      </c>
      <c r="N2554">
        <f>IF(G2554=1,0.2*R2554/F2554,N2553)</f>
        <v/>
      </c>
      <c r="O2554">
        <f>IF(G2554=1,R2554*(1-1.0),IF(H2553=0,1,O2553*(1+0.00023125256064071564)))</f>
        <v/>
      </c>
      <c r="P2554">
        <f>IF(G2554=1,IF(H2553=0,1,ABS(0.2-J2553*B2554/I2554)+ABS(0.2-K2553*C2554/I2554)+ABS(0.2-L2553*D2554/I2554)+ABS(0.2-M2553*E2554/I2554)+ABS(0.2-N2553*F2554/I2554)),0)</f>
        <v/>
      </c>
      <c r="Q2554">
        <f>P2554*0.0015</f>
        <v/>
      </c>
      <c r="R2554">
        <f>I2554*(1-Q2554)</f>
        <v/>
      </c>
      <c r="S2554">
        <f>R2554/R2553-1</f>
        <v/>
      </c>
      <c r="T2554">
        <f>MAX(T2553,R2554)</f>
        <v/>
      </c>
      <c r="U2554">
        <f>R2554/T2554-1</f>
        <v/>
      </c>
      <c r="V2554" t="n">
        <v>6.533367369496131</v>
      </c>
      <c r="W2554" s="5">
        <f>R2554-V2554</f>
        <v/>
      </c>
    </row>
    <row r="2555">
      <c r="A2555" s="3" t="n">
        <v>42198</v>
      </c>
      <c r="B2555">
        <f>Prices!B2555</f>
        <v/>
      </c>
      <c r="C2555">
        <f>Prices!C2555</f>
        <v/>
      </c>
      <c r="D2555">
        <f>Prices!D2555</f>
        <v/>
      </c>
      <c r="E2555">
        <f>Prices!E2555</f>
        <v/>
      </c>
      <c r="F2555">
        <f>Prices!F2555</f>
        <v/>
      </c>
      <c r="G2555">
        <f>IF(AND(2553&gt;=16,TEXT(A2555,"yyyy-mm")&lt;&gt;TEXT(A2556,"yyyy-mm")),1,0)</f>
        <v/>
      </c>
      <c r="H2555">
        <f>IF(OR(H2554=1,G2555=1),1,0)</f>
        <v/>
      </c>
      <c r="I2555">
        <f>IF(H2554=0,1,SUMPRODUCT(J2554:N2554,B2555:F2555)+O2554*(1+0.00023125256064071564))</f>
        <v/>
      </c>
      <c r="J2555">
        <f>IF(G2555=1,0.2*R2555/B2555,J2554)</f>
        <v/>
      </c>
      <c r="K2555">
        <f>IF(G2555=1,0.2*R2555/C2555,K2554)</f>
        <v/>
      </c>
      <c r="L2555">
        <f>IF(G2555=1,0.2*R2555/D2555,L2554)</f>
        <v/>
      </c>
      <c r="M2555">
        <f>IF(G2555=1,0.2*R2555/E2555,M2554)</f>
        <v/>
      </c>
      <c r="N2555">
        <f>IF(G2555=1,0.2*R2555/F2555,N2554)</f>
        <v/>
      </c>
      <c r="O2555">
        <f>IF(G2555=1,R2555*(1-1.0),IF(H2554=0,1,O2554*(1+0.00023125256064071564)))</f>
        <v/>
      </c>
      <c r="P2555">
        <f>IF(G2555=1,IF(H2554=0,1,ABS(0.2-J2554*B2555/I2555)+ABS(0.2-K2554*C2555/I2555)+ABS(0.2-L2554*D2555/I2555)+ABS(0.2-M2554*E2555/I2555)+ABS(0.2-N2554*F2555/I2555)),0)</f>
        <v/>
      </c>
      <c r="Q2555">
        <f>P2555*0.0015</f>
        <v/>
      </c>
      <c r="R2555">
        <f>I2555*(1-Q2555)</f>
        <v/>
      </c>
      <c r="S2555">
        <f>R2555/R2554-1</f>
        <v/>
      </c>
      <c r="T2555">
        <f>MAX(T2554,R2555)</f>
        <v/>
      </c>
      <c r="U2555">
        <f>R2555/T2555-1</f>
        <v/>
      </c>
      <c r="V2555" t="n">
        <v>6.618914942726098</v>
      </c>
      <c r="W2555" s="5">
        <f>R2555-V2555</f>
        <v/>
      </c>
    </row>
    <row r="2556">
      <c r="A2556" s="3" t="n">
        <v>42199</v>
      </c>
      <c r="B2556">
        <f>Prices!B2556</f>
        <v/>
      </c>
      <c r="C2556">
        <f>Prices!C2556</f>
        <v/>
      </c>
      <c r="D2556">
        <f>Prices!D2556</f>
        <v/>
      </c>
      <c r="E2556">
        <f>Prices!E2556</f>
        <v/>
      </c>
      <c r="F2556">
        <f>Prices!F2556</f>
        <v/>
      </c>
      <c r="G2556">
        <f>IF(AND(2554&gt;=16,TEXT(A2556,"yyyy-mm")&lt;&gt;TEXT(A2557,"yyyy-mm")),1,0)</f>
        <v/>
      </c>
      <c r="H2556">
        <f>IF(OR(H2555=1,G2556=1),1,0)</f>
        <v/>
      </c>
      <c r="I2556">
        <f>IF(H2555=0,1,SUMPRODUCT(J2555:N2555,B2556:F2556)+O2555*(1+0.00023125256064071564))</f>
        <v/>
      </c>
      <c r="J2556">
        <f>IF(G2556=1,0.2*R2556/B2556,J2555)</f>
        <v/>
      </c>
      <c r="K2556">
        <f>IF(G2556=1,0.2*R2556/C2556,K2555)</f>
        <v/>
      </c>
      <c r="L2556">
        <f>IF(G2556=1,0.2*R2556/D2556,L2555)</f>
        <v/>
      </c>
      <c r="M2556">
        <f>IF(G2556=1,0.2*R2556/E2556,M2555)</f>
        <v/>
      </c>
      <c r="N2556">
        <f>IF(G2556=1,0.2*R2556/F2556,N2555)</f>
        <v/>
      </c>
      <c r="O2556">
        <f>IF(G2556=1,R2556*(1-1.0),IF(H2555=0,1,O2555*(1+0.00023125256064071564)))</f>
        <v/>
      </c>
      <c r="P2556">
        <f>IF(G2556=1,IF(H2555=0,1,ABS(0.2-J2555*B2556/I2556)+ABS(0.2-K2555*C2556/I2556)+ABS(0.2-L2555*D2556/I2556)+ABS(0.2-M2555*E2556/I2556)+ABS(0.2-N2555*F2556/I2556)),0)</f>
        <v/>
      </c>
      <c r="Q2556">
        <f>P2556*0.0015</f>
        <v/>
      </c>
      <c r="R2556">
        <f>I2556*(1-Q2556)</f>
        <v/>
      </c>
      <c r="S2556">
        <f>R2556/R2555-1</f>
        <v/>
      </c>
      <c r="T2556">
        <f>MAX(T2555,R2556)</f>
        <v/>
      </c>
      <c r="U2556">
        <f>R2556/T2556-1</f>
        <v/>
      </c>
      <c r="V2556" t="n">
        <v>6.648462063553562</v>
      </c>
      <c r="W2556" s="5">
        <f>R2556-V2556</f>
        <v/>
      </c>
    </row>
    <row r="2557">
      <c r="A2557" s="3" t="n">
        <v>42200</v>
      </c>
      <c r="B2557">
        <f>Prices!B2557</f>
        <v/>
      </c>
      <c r="C2557">
        <f>Prices!C2557</f>
        <v/>
      </c>
      <c r="D2557">
        <f>Prices!D2557</f>
        <v/>
      </c>
      <c r="E2557">
        <f>Prices!E2557</f>
        <v/>
      </c>
      <c r="F2557">
        <f>Prices!F2557</f>
        <v/>
      </c>
      <c r="G2557">
        <f>IF(AND(2555&gt;=16,TEXT(A2557,"yyyy-mm")&lt;&gt;TEXT(A2558,"yyyy-mm")),1,0)</f>
        <v/>
      </c>
      <c r="H2557">
        <f>IF(OR(H2556=1,G2557=1),1,0)</f>
        <v/>
      </c>
      <c r="I2557">
        <f>IF(H2556=0,1,SUMPRODUCT(J2556:N2556,B2557:F2557)+O2556*(1+0.00023125256064071564))</f>
        <v/>
      </c>
      <c r="J2557">
        <f>IF(G2557=1,0.2*R2557/B2557,J2556)</f>
        <v/>
      </c>
      <c r="K2557">
        <f>IF(G2557=1,0.2*R2557/C2557,K2556)</f>
        <v/>
      </c>
      <c r="L2557">
        <f>IF(G2557=1,0.2*R2557/D2557,L2556)</f>
        <v/>
      </c>
      <c r="M2557">
        <f>IF(G2557=1,0.2*R2557/E2557,M2556)</f>
        <v/>
      </c>
      <c r="N2557">
        <f>IF(G2557=1,0.2*R2557/F2557,N2556)</f>
        <v/>
      </c>
      <c r="O2557">
        <f>IF(G2557=1,R2557*(1-1.0),IF(H2556=0,1,O2556*(1+0.00023125256064071564)))</f>
        <v/>
      </c>
      <c r="P2557">
        <f>IF(G2557=1,IF(H2556=0,1,ABS(0.2-J2556*B2557/I2557)+ABS(0.2-K2556*C2557/I2557)+ABS(0.2-L2556*D2557/I2557)+ABS(0.2-M2556*E2557/I2557)+ABS(0.2-N2556*F2557/I2557)),0)</f>
        <v/>
      </c>
      <c r="Q2557">
        <f>P2557*0.0015</f>
        <v/>
      </c>
      <c r="R2557">
        <f>I2557*(1-Q2557)</f>
        <v/>
      </c>
      <c r="S2557">
        <f>R2557/R2556-1</f>
        <v/>
      </c>
      <c r="T2557">
        <f>MAX(T2556,R2557)</f>
        <v/>
      </c>
      <c r="U2557">
        <f>R2557/T2557-1</f>
        <v/>
      </c>
      <c r="V2557" t="n">
        <v>6.675297968966269</v>
      </c>
      <c r="W2557" s="5">
        <f>R2557-V2557</f>
        <v/>
      </c>
    </row>
    <row r="2558">
      <c r="A2558" s="3" t="n">
        <v>42201</v>
      </c>
      <c r="B2558">
        <f>Prices!B2558</f>
        <v/>
      </c>
      <c r="C2558">
        <f>Prices!C2558</f>
        <v/>
      </c>
      <c r="D2558">
        <f>Prices!D2558</f>
        <v/>
      </c>
      <c r="E2558">
        <f>Prices!E2558</f>
        <v/>
      </c>
      <c r="F2558">
        <f>Prices!F2558</f>
        <v/>
      </c>
      <c r="G2558">
        <f>IF(AND(2556&gt;=16,TEXT(A2558,"yyyy-mm")&lt;&gt;TEXT(A2559,"yyyy-mm")),1,0)</f>
        <v/>
      </c>
      <c r="H2558">
        <f>IF(OR(H2557=1,G2558=1),1,0)</f>
        <v/>
      </c>
      <c r="I2558">
        <f>IF(H2557=0,1,SUMPRODUCT(J2557:N2557,B2558:F2558)+O2557*(1+0.00023125256064071564))</f>
        <v/>
      </c>
      <c r="J2558">
        <f>IF(G2558=1,0.2*R2558/B2558,J2557)</f>
        <v/>
      </c>
      <c r="K2558">
        <f>IF(G2558=1,0.2*R2558/C2558,K2557)</f>
        <v/>
      </c>
      <c r="L2558">
        <f>IF(G2558=1,0.2*R2558/D2558,L2557)</f>
        <v/>
      </c>
      <c r="M2558">
        <f>IF(G2558=1,0.2*R2558/E2558,M2557)</f>
        <v/>
      </c>
      <c r="N2558">
        <f>IF(G2558=1,0.2*R2558/F2558,N2557)</f>
        <v/>
      </c>
      <c r="O2558">
        <f>IF(G2558=1,R2558*(1-1.0),IF(H2557=0,1,O2557*(1+0.00023125256064071564)))</f>
        <v/>
      </c>
      <c r="P2558">
        <f>IF(G2558=1,IF(H2557=0,1,ABS(0.2-J2557*B2558/I2558)+ABS(0.2-K2557*C2558/I2558)+ABS(0.2-L2557*D2558/I2558)+ABS(0.2-M2557*E2558/I2558)+ABS(0.2-N2557*F2558/I2558)),0)</f>
        <v/>
      </c>
      <c r="Q2558">
        <f>P2558*0.0015</f>
        <v/>
      </c>
      <c r="R2558">
        <f>I2558*(1-Q2558)</f>
        <v/>
      </c>
      <c r="S2558">
        <f>R2558/R2557-1</f>
        <v/>
      </c>
      <c r="T2558">
        <f>MAX(T2557,R2558)</f>
        <v/>
      </c>
      <c r="U2558">
        <f>R2558/T2558-1</f>
        <v/>
      </c>
      <c r="V2558" t="n">
        <v>6.759758275050867</v>
      </c>
      <c r="W2558" s="5">
        <f>R2558-V2558</f>
        <v/>
      </c>
    </row>
    <row r="2559">
      <c r="A2559" s="3" t="n">
        <v>42202</v>
      </c>
      <c r="B2559">
        <f>Prices!B2559</f>
        <v/>
      </c>
      <c r="C2559">
        <f>Prices!C2559</f>
        <v/>
      </c>
      <c r="D2559">
        <f>Prices!D2559</f>
        <v/>
      </c>
      <c r="E2559">
        <f>Prices!E2559</f>
        <v/>
      </c>
      <c r="F2559">
        <f>Prices!F2559</f>
        <v/>
      </c>
      <c r="G2559">
        <f>IF(AND(2557&gt;=16,TEXT(A2559,"yyyy-mm")&lt;&gt;TEXT(A2560,"yyyy-mm")),1,0)</f>
        <v/>
      </c>
      <c r="H2559">
        <f>IF(OR(H2558=1,G2559=1),1,0)</f>
        <v/>
      </c>
      <c r="I2559">
        <f>IF(H2558=0,1,SUMPRODUCT(J2558:N2558,B2559:F2559)+O2558*(1+0.00023125256064071564))</f>
        <v/>
      </c>
      <c r="J2559">
        <f>IF(G2559=1,0.2*R2559/B2559,J2558)</f>
        <v/>
      </c>
      <c r="K2559">
        <f>IF(G2559=1,0.2*R2559/C2559,K2558)</f>
        <v/>
      </c>
      <c r="L2559">
        <f>IF(G2559=1,0.2*R2559/D2559,L2558)</f>
        <v/>
      </c>
      <c r="M2559">
        <f>IF(G2559=1,0.2*R2559/E2559,M2558)</f>
        <v/>
      </c>
      <c r="N2559">
        <f>IF(G2559=1,0.2*R2559/F2559,N2558)</f>
        <v/>
      </c>
      <c r="O2559">
        <f>IF(G2559=1,R2559*(1-1.0),IF(H2558=0,1,O2558*(1+0.00023125256064071564)))</f>
        <v/>
      </c>
      <c r="P2559">
        <f>IF(G2559=1,IF(H2558=0,1,ABS(0.2-J2558*B2559/I2559)+ABS(0.2-K2558*C2559/I2559)+ABS(0.2-L2558*D2559/I2559)+ABS(0.2-M2558*E2559/I2559)+ABS(0.2-N2558*F2559/I2559)),0)</f>
        <v/>
      </c>
      <c r="Q2559">
        <f>P2559*0.0015</f>
        <v/>
      </c>
      <c r="R2559">
        <f>I2559*(1-Q2559)</f>
        <v/>
      </c>
      <c r="S2559">
        <f>R2559/R2558-1</f>
        <v/>
      </c>
      <c r="T2559">
        <f>MAX(T2558,R2559)</f>
        <v/>
      </c>
      <c r="U2559">
        <f>R2559/T2559-1</f>
        <v/>
      </c>
      <c r="V2559" t="n">
        <v>6.789189118220184</v>
      </c>
      <c r="W2559" s="5">
        <f>R2559-V2559</f>
        <v/>
      </c>
    </row>
    <row r="2560">
      <c r="A2560" s="3" t="n">
        <v>42205</v>
      </c>
      <c r="B2560">
        <f>Prices!B2560</f>
        <v/>
      </c>
      <c r="C2560">
        <f>Prices!C2560</f>
        <v/>
      </c>
      <c r="D2560">
        <f>Prices!D2560</f>
        <v/>
      </c>
      <c r="E2560">
        <f>Prices!E2560</f>
        <v/>
      </c>
      <c r="F2560">
        <f>Prices!F2560</f>
        <v/>
      </c>
      <c r="G2560">
        <f>IF(AND(2558&gt;=16,TEXT(A2560,"yyyy-mm")&lt;&gt;TEXT(A2561,"yyyy-mm")),1,0)</f>
        <v/>
      </c>
      <c r="H2560">
        <f>IF(OR(H2559=1,G2560=1),1,0)</f>
        <v/>
      </c>
      <c r="I2560">
        <f>IF(H2559=0,1,SUMPRODUCT(J2559:N2559,B2560:F2560)+O2559*(1+0.00023125256064071564))</f>
        <v/>
      </c>
      <c r="J2560">
        <f>IF(G2560=1,0.2*R2560/B2560,J2559)</f>
        <v/>
      </c>
      <c r="K2560">
        <f>IF(G2560=1,0.2*R2560/C2560,K2559)</f>
        <v/>
      </c>
      <c r="L2560">
        <f>IF(G2560=1,0.2*R2560/D2560,L2559)</f>
        <v/>
      </c>
      <c r="M2560">
        <f>IF(G2560=1,0.2*R2560/E2560,M2559)</f>
        <v/>
      </c>
      <c r="N2560">
        <f>IF(G2560=1,0.2*R2560/F2560,N2559)</f>
        <v/>
      </c>
      <c r="O2560">
        <f>IF(G2560=1,R2560*(1-1.0),IF(H2559=0,1,O2559*(1+0.00023125256064071564)))</f>
        <v/>
      </c>
      <c r="P2560">
        <f>IF(G2560=1,IF(H2559=0,1,ABS(0.2-J2559*B2560/I2560)+ABS(0.2-K2559*C2560/I2560)+ABS(0.2-L2559*D2560/I2560)+ABS(0.2-M2559*E2560/I2560)+ABS(0.2-N2559*F2560/I2560)),0)</f>
        <v/>
      </c>
      <c r="Q2560">
        <f>P2560*0.0015</f>
        <v/>
      </c>
      <c r="R2560">
        <f>I2560*(1-Q2560)</f>
        <v/>
      </c>
      <c r="S2560">
        <f>R2560/R2559-1</f>
        <v/>
      </c>
      <c r="T2560">
        <f>MAX(T2559,R2560)</f>
        <v/>
      </c>
      <c r="U2560">
        <f>R2560/T2560-1</f>
        <v/>
      </c>
      <c r="V2560" t="n">
        <v>6.807903471755061</v>
      </c>
      <c r="W2560" s="5">
        <f>R2560-V2560</f>
        <v/>
      </c>
    </row>
    <row r="2561">
      <c r="A2561" s="3" t="n">
        <v>42206</v>
      </c>
      <c r="B2561">
        <f>Prices!B2561</f>
        <v/>
      </c>
      <c r="C2561">
        <f>Prices!C2561</f>
        <v/>
      </c>
      <c r="D2561">
        <f>Prices!D2561</f>
        <v/>
      </c>
      <c r="E2561">
        <f>Prices!E2561</f>
        <v/>
      </c>
      <c r="F2561">
        <f>Prices!F2561</f>
        <v/>
      </c>
      <c r="G2561">
        <f>IF(AND(2559&gt;=16,TEXT(A2561,"yyyy-mm")&lt;&gt;TEXT(A2562,"yyyy-mm")),1,0)</f>
        <v/>
      </c>
      <c r="H2561">
        <f>IF(OR(H2560=1,G2561=1),1,0)</f>
        <v/>
      </c>
      <c r="I2561">
        <f>IF(H2560=0,1,SUMPRODUCT(J2560:N2560,B2561:F2561)+O2560*(1+0.00023125256064071564))</f>
        <v/>
      </c>
      <c r="J2561">
        <f>IF(G2561=1,0.2*R2561/B2561,J2560)</f>
        <v/>
      </c>
      <c r="K2561">
        <f>IF(G2561=1,0.2*R2561/C2561,K2560)</f>
        <v/>
      </c>
      <c r="L2561">
        <f>IF(G2561=1,0.2*R2561/D2561,L2560)</f>
        <v/>
      </c>
      <c r="M2561">
        <f>IF(G2561=1,0.2*R2561/E2561,M2560)</f>
        <v/>
      </c>
      <c r="N2561">
        <f>IF(G2561=1,0.2*R2561/F2561,N2560)</f>
        <v/>
      </c>
      <c r="O2561">
        <f>IF(G2561=1,R2561*(1-1.0),IF(H2560=0,1,O2560*(1+0.00023125256064071564)))</f>
        <v/>
      </c>
      <c r="P2561">
        <f>IF(G2561=1,IF(H2560=0,1,ABS(0.2-J2560*B2561/I2561)+ABS(0.2-K2560*C2561/I2561)+ABS(0.2-L2560*D2561/I2561)+ABS(0.2-M2560*E2561/I2561)+ABS(0.2-N2560*F2561/I2561)),0)</f>
        <v/>
      </c>
      <c r="Q2561">
        <f>P2561*0.0015</f>
        <v/>
      </c>
      <c r="R2561">
        <f>I2561*(1-Q2561)</f>
        <v/>
      </c>
      <c r="S2561">
        <f>R2561/R2560-1</f>
        <v/>
      </c>
      <c r="T2561">
        <f>MAX(T2560,R2561)</f>
        <v/>
      </c>
      <c r="U2561">
        <f>R2561/T2561-1</f>
        <v/>
      </c>
      <c r="V2561" t="n">
        <v>6.702285748482618</v>
      </c>
      <c r="W2561" s="5">
        <f>R2561-V2561</f>
        <v/>
      </c>
    </row>
    <row r="2562">
      <c r="A2562" s="3" t="n">
        <v>42207</v>
      </c>
      <c r="B2562">
        <f>Prices!B2562</f>
        <v/>
      </c>
      <c r="C2562">
        <f>Prices!C2562</f>
        <v/>
      </c>
      <c r="D2562">
        <f>Prices!D2562</f>
        <v/>
      </c>
      <c r="E2562">
        <f>Prices!E2562</f>
        <v/>
      </c>
      <c r="F2562">
        <f>Prices!F2562</f>
        <v/>
      </c>
      <c r="G2562">
        <f>IF(AND(2560&gt;=16,TEXT(A2562,"yyyy-mm")&lt;&gt;TEXT(A2563,"yyyy-mm")),1,0)</f>
        <v/>
      </c>
      <c r="H2562">
        <f>IF(OR(H2561=1,G2562=1),1,0)</f>
        <v/>
      </c>
      <c r="I2562">
        <f>IF(H2561=0,1,SUMPRODUCT(J2561:N2561,B2562:F2562)+O2561*(1+0.00023125256064071564))</f>
        <v/>
      </c>
      <c r="J2562">
        <f>IF(G2562=1,0.2*R2562/B2562,J2561)</f>
        <v/>
      </c>
      <c r="K2562">
        <f>IF(G2562=1,0.2*R2562/C2562,K2561)</f>
        <v/>
      </c>
      <c r="L2562">
        <f>IF(G2562=1,0.2*R2562/D2562,L2561)</f>
        <v/>
      </c>
      <c r="M2562">
        <f>IF(G2562=1,0.2*R2562/E2562,M2561)</f>
        <v/>
      </c>
      <c r="N2562">
        <f>IF(G2562=1,0.2*R2562/F2562,N2561)</f>
        <v/>
      </c>
      <c r="O2562">
        <f>IF(G2562=1,R2562*(1-1.0),IF(H2561=0,1,O2561*(1+0.00023125256064071564)))</f>
        <v/>
      </c>
      <c r="P2562">
        <f>IF(G2562=1,IF(H2561=0,1,ABS(0.2-J2561*B2562/I2562)+ABS(0.2-K2561*C2562/I2562)+ABS(0.2-L2561*D2562/I2562)+ABS(0.2-M2561*E2562/I2562)+ABS(0.2-N2561*F2562/I2562)),0)</f>
        <v/>
      </c>
      <c r="Q2562">
        <f>P2562*0.0015</f>
        <v/>
      </c>
      <c r="R2562">
        <f>I2562*(1-Q2562)</f>
        <v/>
      </c>
      <c r="S2562">
        <f>R2562/R2561-1</f>
        <v/>
      </c>
      <c r="T2562">
        <f>MAX(T2561,R2562)</f>
        <v/>
      </c>
      <c r="U2562">
        <f>R2562/T2562-1</f>
        <v/>
      </c>
      <c r="V2562" t="n">
        <v>6.775941423556033</v>
      </c>
      <c r="W2562" s="5">
        <f>R2562-V2562</f>
        <v/>
      </c>
    </row>
    <row r="2563">
      <c r="A2563" s="3" t="n">
        <v>42208</v>
      </c>
      <c r="B2563">
        <f>Prices!B2563</f>
        <v/>
      </c>
      <c r="C2563">
        <f>Prices!C2563</f>
        <v/>
      </c>
      <c r="D2563">
        <f>Prices!D2563</f>
        <v/>
      </c>
      <c r="E2563">
        <f>Prices!E2563</f>
        <v/>
      </c>
      <c r="F2563">
        <f>Prices!F2563</f>
        <v/>
      </c>
      <c r="G2563">
        <f>IF(AND(2561&gt;=16,TEXT(A2563,"yyyy-mm")&lt;&gt;TEXT(A2564,"yyyy-mm")),1,0)</f>
        <v/>
      </c>
      <c r="H2563">
        <f>IF(OR(H2562=1,G2563=1),1,0)</f>
        <v/>
      </c>
      <c r="I2563">
        <f>IF(H2562=0,1,SUMPRODUCT(J2562:N2562,B2563:F2563)+O2562*(1+0.00023125256064071564))</f>
        <v/>
      </c>
      <c r="J2563">
        <f>IF(G2563=1,0.2*R2563/B2563,J2562)</f>
        <v/>
      </c>
      <c r="K2563">
        <f>IF(G2563=1,0.2*R2563/C2563,K2562)</f>
        <v/>
      </c>
      <c r="L2563">
        <f>IF(G2563=1,0.2*R2563/D2563,L2562)</f>
        <v/>
      </c>
      <c r="M2563">
        <f>IF(G2563=1,0.2*R2563/E2563,M2562)</f>
        <v/>
      </c>
      <c r="N2563">
        <f>IF(G2563=1,0.2*R2563/F2563,N2562)</f>
        <v/>
      </c>
      <c r="O2563">
        <f>IF(G2563=1,R2563*(1-1.0),IF(H2562=0,1,O2562*(1+0.00023125256064071564)))</f>
        <v/>
      </c>
      <c r="P2563">
        <f>IF(G2563=1,IF(H2562=0,1,ABS(0.2-J2562*B2563/I2563)+ABS(0.2-K2562*C2563/I2563)+ABS(0.2-L2562*D2563/I2563)+ABS(0.2-M2562*E2563/I2563)+ABS(0.2-N2562*F2563/I2563)),0)</f>
        <v/>
      </c>
      <c r="Q2563">
        <f>P2563*0.0015</f>
        <v/>
      </c>
      <c r="R2563">
        <f>I2563*(1-Q2563)</f>
        <v/>
      </c>
      <c r="S2563">
        <f>R2563/R2562-1</f>
        <v/>
      </c>
      <c r="T2563">
        <f>MAX(T2562,R2563)</f>
        <v/>
      </c>
      <c r="U2563">
        <f>R2563/T2563-1</f>
        <v/>
      </c>
      <c r="V2563" t="n">
        <v>6.776527033054318</v>
      </c>
      <c r="W2563" s="5">
        <f>R2563-V2563</f>
        <v/>
      </c>
    </row>
    <row r="2564">
      <c r="A2564" s="3" t="n">
        <v>42209</v>
      </c>
      <c r="B2564">
        <f>Prices!B2564</f>
        <v/>
      </c>
      <c r="C2564">
        <f>Prices!C2564</f>
        <v/>
      </c>
      <c r="D2564">
        <f>Prices!D2564</f>
        <v/>
      </c>
      <c r="E2564">
        <f>Prices!E2564</f>
        <v/>
      </c>
      <c r="F2564">
        <f>Prices!F2564</f>
        <v/>
      </c>
      <c r="G2564">
        <f>IF(AND(2562&gt;=16,TEXT(A2564,"yyyy-mm")&lt;&gt;TEXT(A2565,"yyyy-mm")),1,0)</f>
        <v/>
      </c>
      <c r="H2564">
        <f>IF(OR(H2563=1,G2564=1),1,0)</f>
        <v/>
      </c>
      <c r="I2564">
        <f>IF(H2563=0,1,SUMPRODUCT(J2563:N2563,B2564:F2564)+O2563*(1+0.00023125256064071564))</f>
        <v/>
      </c>
      <c r="J2564">
        <f>IF(G2564=1,0.2*R2564/B2564,J2563)</f>
        <v/>
      </c>
      <c r="K2564">
        <f>IF(G2564=1,0.2*R2564/C2564,K2563)</f>
        <v/>
      </c>
      <c r="L2564">
        <f>IF(G2564=1,0.2*R2564/D2564,L2563)</f>
        <v/>
      </c>
      <c r="M2564">
        <f>IF(G2564=1,0.2*R2564/E2564,M2563)</f>
        <v/>
      </c>
      <c r="N2564">
        <f>IF(G2564=1,0.2*R2564/F2564,N2563)</f>
        <v/>
      </c>
      <c r="O2564">
        <f>IF(G2564=1,R2564*(1-1.0),IF(H2563=0,1,O2563*(1+0.00023125256064071564)))</f>
        <v/>
      </c>
      <c r="P2564">
        <f>IF(G2564=1,IF(H2563=0,1,ABS(0.2-J2563*B2564/I2564)+ABS(0.2-K2563*C2564/I2564)+ABS(0.2-L2563*D2564/I2564)+ABS(0.2-M2563*E2564/I2564)+ABS(0.2-N2563*F2564/I2564)),0)</f>
        <v/>
      </c>
      <c r="Q2564">
        <f>P2564*0.0015</f>
        <v/>
      </c>
      <c r="R2564">
        <f>I2564*(1-Q2564)</f>
        <v/>
      </c>
      <c r="S2564">
        <f>R2564/R2563-1</f>
        <v/>
      </c>
      <c r="T2564">
        <f>MAX(T2563,R2564)</f>
        <v/>
      </c>
      <c r="U2564">
        <f>R2564/T2564-1</f>
        <v/>
      </c>
      <c r="V2564" t="n">
        <v>6.737445199801125</v>
      </c>
      <c r="W2564" s="5">
        <f>R2564-V2564</f>
        <v/>
      </c>
    </row>
    <row r="2565">
      <c r="A2565" s="3" t="n">
        <v>42212</v>
      </c>
      <c r="B2565">
        <f>Prices!B2565</f>
        <v/>
      </c>
      <c r="C2565">
        <f>Prices!C2565</f>
        <v/>
      </c>
      <c r="D2565">
        <f>Prices!D2565</f>
        <v/>
      </c>
      <c r="E2565">
        <f>Prices!E2565</f>
        <v/>
      </c>
      <c r="F2565">
        <f>Prices!F2565</f>
        <v/>
      </c>
      <c r="G2565">
        <f>IF(AND(2563&gt;=16,TEXT(A2565,"yyyy-mm")&lt;&gt;TEXT(A2566,"yyyy-mm")),1,0)</f>
        <v/>
      </c>
      <c r="H2565">
        <f>IF(OR(H2564=1,G2565=1),1,0)</f>
        <v/>
      </c>
      <c r="I2565">
        <f>IF(H2564=0,1,SUMPRODUCT(J2564:N2564,B2565:F2565)+O2564*(1+0.00023125256064071564))</f>
        <v/>
      </c>
      <c r="J2565">
        <f>IF(G2565=1,0.2*R2565/B2565,J2564)</f>
        <v/>
      </c>
      <c r="K2565">
        <f>IF(G2565=1,0.2*R2565/C2565,K2564)</f>
        <v/>
      </c>
      <c r="L2565">
        <f>IF(G2565=1,0.2*R2565/D2565,L2564)</f>
        <v/>
      </c>
      <c r="M2565">
        <f>IF(G2565=1,0.2*R2565/E2565,M2564)</f>
        <v/>
      </c>
      <c r="N2565">
        <f>IF(G2565=1,0.2*R2565/F2565,N2564)</f>
        <v/>
      </c>
      <c r="O2565">
        <f>IF(G2565=1,R2565*(1-1.0),IF(H2564=0,1,O2564*(1+0.00023125256064071564)))</f>
        <v/>
      </c>
      <c r="P2565">
        <f>IF(G2565=1,IF(H2564=0,1,ABS(0.2-J2564*B2565/I2565)+ABS(0.2-K2564*C2565/I2565)+ABS(0.2-L2564*D2565/I2565)+ABS(0.2-M2564*E2565/I2565)+ABS(0.2-N2564*F2565/I2565)),0)</f>
        <v/>
      </c>
      <c r="Q2565">
        <f>P2565*0.0015</f>
        <v/>
      </c>
      <c r="R2565">
        <f>I2565*(1-Q2565)</f>
        <v/>
      </c>
      <c r="S2565">
        <f>R2565/R2564-1</f>
        <v/>
      </c>
      <c r="T2565">
        <f>MAX(T2564,R2565)</f>
        <v/>
      </c>
      <c r="U2565">
        <f>R2565/T2565-1</f>
        <v/>
      </c>
      <c r="V2565" t="n">
        <v>6.650952814653155</v>
      </c>
      <c r="W2565" s="5">
        <f>R2565-V2565</f>
        <v/>
      </c>
    </row>
    <row r="2566">
      <c r="A2566" s="3" t="n">
        <v>42213</v>
      </c>
      <c r="B2566">
        <f>Prices!B2566</f>
        <v/>
      </c>
      <c r="C2566">
        <f>Prices!C2566</f>
        <v/>
      </c>
      <c r="D2566">
        <f>Prices!D2566</f>
        <v/>
      </c>
      <c r="E2566">
        <f>Prices!E2566</f>
        <v/>
      </c>
      <c r="F2566">
        <f>Prices!F2566</f>
        <v/>
      </c>
      <c r="G2566">
        <f>IF(AND(2564&gt;=16,TEXT(A2566,"yyyy-mm")&lt;&gt;TEXT(A2567,"yyyy-mm")),1,0)</f>
        <v/>
      </c>
      <c r="H2566">
        <f>IF(OR(H2565=1,G2566=1),1,0)</f>
        <v/>
      </c>
      <c r="I2566">
        <f>IF(H2565=0,1,SUMPRODUCT(J2565:N2565,B2566:F2566)+O2565*(1+0.00023125256064071564))</f>
        <v/>
      </c>
      <c r="J2566">
        <f>IF(G2566=1,0.2*R2566/B2566,J2565)</f>
        <v/>
      </c>
      <c r="K2566">
        <f>IF(G2566=1,0.2*R2566/C2566,K2565)</f>
        <v/>
      </c>
      <c r="L2566">
        <f>IF(G2566=1,0.2*R2566/D2566,L2565)</f>
        <v/>
      </c>
      <c r="M2566">
        <f>IF(G2566=1,0.2*R2566/E2566,M2565)</f>
        <v/>
      </c>
      <c r="N2566">
        <f>IF(G2566=1,0.2*R2566/F2566,N2565)</f>
        <v/>
      </c>
      <c r="O2566">
        <f>IF(G2566=1,R2566*(1-1.0),IF(H2565=0,1,O2565*(1+0.00023125256064071564)))</f>
        <v/>
      </c>
      <c r="P2566">
        <f>IF(G2566=1,IF(H2565=0,1,ABS(0.2-J2565*B2566/I2566)+ABS(0.2-K2565*C2566/I2566)+ABS(0.2-L2565*D2566/I2566)+ABS(0.2-M2565*E2566/I2566)+ABS(0.2-N2565*F2566/I2566)),0)</f>
        <v/>
      </c>
      <c r="Q2566">
        <f>P2566*0.0015</f>
        <v/>
      </c>
      <c r="R2566">
        <f>I2566*(1-Q2566)</f>
        <v/>
      </c>
      <c r="S2566">
        <f>R2566/R2565-1</f>
        <v/>
      </c>
      <c r="T2566">
        <f>MAX(T2565,R2566)</f>
        <v/>
      </c>
      <c r="U2566">
        <f>R2566/T2566-1</f>
        <v/>
      </c>
      <c r="V2566" t="n">
        <v>6.6327457002831</v>
      </c>
      <c r="W2566" s="5">
        <f>R2566-V2566</f>
        <v/>
      </c>
    </row>
    <row r="2567">
      <c r="A2567" s="3" t="n">
        <v>42214</v>
      </c>
      <c r="B2567">
        <f>Prices!B2567</f>
        <v/>
      </c>
      <c r="C2567">
        <f>Prices!C2567</f>
        <v/>
      </c>
      <c r="D2567">
        <f>Prices!D2567</f>
        <v/>
      </c>
      <c r="E2567">
        <f>Prices!E2567</f>
        <v/>
      </c>
      <c r="F2567">
        <f>Prices!F2567</f>
        <v/>
      </c>
      <c r="G2567">
        <f>IF(AND(2565&gt;=16,TEXT(A2567,"yyyy-mm")&lt;&gt;TEXT(A2568,"yyyy-mm")),1,0)</f>
        <v/>
      </c>
      <c r="H2567">
        <f>IF(OR(H2566=1,G2567=1),1,0)</f>
        <v/>
      </c>
      <c r="I2567">
        <f>IF(H2566=0,1,SUMPRODUCT(J2566:N2566,B2567:F2567)+O2566*(1+0.00023125256064071564))</f>
        <v/>
      </c>
      <c r="J2567">
        <f>IF(G2567=1,0.2*R2567/B2567,J2566)</f>
        <v/>
      </c>
      <c r="K2567">
        <f>IF(G2567=1,0.2*R2567/C2567,K2566)</f>
        <v/>
      </c>
      <c r="L2567">
        <f>IF(G2567=1,0.2*R2567/D2567,L2566)</f>
        <v/>
      </c>
      <c r="M2567">
        <f>IF(G2567=1,0.2*R2567/E2567,M2566)</f>
        <v/>
      </c>
      <c r="N2567">
        <f>IF(G2567=1,0.2*R2567/F2567,N2566)</f>
        <v/>
      </c>
      <c r="O2567">
        <f>IF(G2567=1,R2567*(1-1.0),IF(H2566=0,1,O2566*(1+0.00023125256064071564)))</f>
        <v/>
      </c>
      <c r="P2567">
        <f>IF(G2567=1,IF(H2566=0,1,ABS(0.2-J2566*B2567/I2567)+ABS(0.2-K2566*C2567/I2567)+ABS(0.2-L2566*D2567/I2567)+ABS(0.2-M2566*E2567/I2567)+ABS(0.2-N2566*F2567/I2567)),0)</f>
        <v/>
      </c>
      <c r="Q2567">
        <f>P2567*0.0015</f>
        <v/>
      </c>
      <c r="R2567">
        <f>I2567*(1-Q2567)</f>
        <v/>
      </c>
      <c r="S2567">
        <f>R2567/R2566-1</f>
        <v/>
      </c>
      <c r="T2567">
        <f>MAX(T2566,R2567)</f>
        <v/>
      </c>
      <c r="U2567">
        <f>R2567/T2567-1</f>
        <v/>
      </c>
      <c r="V2567" t="n">
        <v>6.66832512546126</v>
      </c>
      <c r="W2567" s="5">
        <f>R2567-V2567</f>
        <v/>
      </c>
    </row>
    <row r="2568">
      <c r="A2568" s="3" t="n">
        <v>42215</v>
      </c>
      <c r="B2568">
        <f>Prices!B2568</f>
        <v/>
      </c>
      <c r="C2568">
        <f>Prices!C2568</f>
        <v/>
      </c>
      <c r="D2568">
        <f>Prices!D2568</f>
        <v/>
      </c>
      <c r="E2568">
        <f>Prices!E2568</f>
        <v/>
      </c>
      <c r="F2568">
        <f>Prices!F2568</f>
        <v/>
      </c>
      <c r="G2568">
        <f>IF(AND(2566&gt;=16,TEXT(A2568,"yyyy-mm")&lt;&gt;TEXT(A2569,"yyyy-mm")),1,0)</f>
        <v/>
      </c>
      <c r="H2568">
        <f>IF(OR(H2567=1,G2568=1),1,0)</f>
        <v/>
      </c>
      <c r="I2568">
        <f>IF(H2567=0,1,SUMPRODUCT(J2567:N2567,B2568:F2568)+O2567*(1+0.00023125256064071564))</f>
        <v/>
      </c>
      <c r="J2568">
        <f>IF(G2568=1,0.2*R2568/B2568,J2567)</f>
        <v/>
      </c>
      <c r="K2568">
        <f>IF(G2568=1,0.2*R2568/C2568,K2567)</f>
        <v/>
      </c>
      <c r="L2568">
        <f>IF(G2568=1,0.2*R2568/D2568,L2567)</f>
        <v/>
      </c>
      <c r="M2568">
        <f>IF(G2568=1,0.2*R2568/E2568,M2567)</f>
        <v/>
      </c>
      <c r="N2568">
        <f>IF(G2568=1,0.2*R2568/F2568,N2567)</f>
        <v/>
      </c>
      <c r="O2568">
        <f>IF(G2568=1,R2568*(1-1.0),IF(H2567=0,1,O2567*(1+0.00023125256064071564)))</f>
        <v/>
      </c>
      <c r="P2568">
        <f>IF(G2568=1,IF(H2567=0,1,ABS(0.2-J2567*B2568/I2568)+ABS(0.2-K2567*C2568/I2568)+ABS(0.2-L2567*D2568/I2568)+ABS(0.2-M2567*E2568/I2568)+ABS(0.2-N2567*F2568/I2568)),0)</f>
        <v/>
      </c>
      <c r="Q2568">
        <f>P2568*0.0015</f>
        <v/>
      </c>
      <c r="R2568">
        <f>I2568*(1-Q2568)</f>
        <v/>
      </c>
      <c r="S2568">
        <f>R2568/R2567-1</f>
        <v/>
      </c>
      <c r="T2568">
        <f>MAX(T2567,R2568)</f>
        <v/>
      </c>
      <c r="U2568">
        <f>R2568/T2568-1</f>
        <v/>
      </c>
      <c r="V2568" t="n">
        <v>6.717901037061464</v>
      </c>
      <c r="W2568" s="5">
        <f>R2568-V2568</f>
        <v/>
      </c>
    </row>
    <row r="2569">
      <c r="A2569" s="3" t="n">
        <v>42216</v>
      </c>
      <c r="B2569">
        <f>Prices!B2569</f>
        <v/>
      </c>
      <c r="C2569">
        <f>Prices!C2569</f>
        <v/>
      </c>
      <c r="D2569">
        <f>Prices!D2569</f>
        <v/>
      </c>
      <c r="E2569">
        <f>Prices!E2569</f>
        <v/>
      </c>
      <c r="F2569">
        <f>Prices!F2569</f>
        <v/>
      </c>
      <c r="G2569">
        <f>IF(AND(2567&gt;=16,TEXT(A2569,"yyyy-mm")&lt;&gt;TEXT(A2570,"yyyy-mm")),1,0)</f>
        <v/>
      </c>
      <c r="H2569">
        <f>IF(OR(H2568=1,G2569=1),1,0)</f>
        <v/>
      </c>
      <c r="I2569">
        <f>IF(H2568=0,1,SUMPRODUCT(J2568:N2568,B2569:F2569)+O2568*(1+0.00023125256064071564))</f>
        <v/>
      </c>
      <c r="J2569">
        <f>IF(G2569=1,0.2*R2569/B2569,J2568)</f>
        <v/>
      </c>
      <c r="K2569">
        <f>IF(G2569=1,0.2*R2569/C2569,K2568)</f>
        <v/>
      </c>
      <c r="L2569">
        <f>IF(G2569=1,0.2*R2569/D2569,L2568)</f>
        <v/>
      </c>
      <c r="M2569">
        <f>IF(G2569=1,0.2*R2569/E2569,M2568)</f>
        <v/>
      </c>
      <c r="N2569">
        <f>IF(G2569=1,0.2*R2569/F2569,N2568)</f>
        <v/>
      </c>
      <c r="O2569">
        <f>IF(G2569=1,R2569*(1-1.0),IF(H2568=0,1,O2568*(1+0.00023125256064071564)))</f>
        <v/>
      </c>
      <c r="P2569">
        <f>IF(G2569=1,IF(H2568=0,1,ABS(0.2-J2568*B2569/I2569)+ABS(0.2-K2568*C2569/I2569)+ABS(0.2-L2568*D2569/I2569)+ABS(0.2-M2568*E2569/I2569)+ABS(0.2-N2568*F2569/I2569)),0)</f>
        <v/>
      </c>
      <c r="Q2569">
        <f>P2569*0.0015</f>
        <v/>
      </c>
      <c r="R2569">
        <f>I2569*(1-Q2569)</f>
        <v/>
      </c>
      <c r="S2569">
        <f>R2569/R2568-1</f>
        <v/>
      </c>
      <c r="T2569">
        <f>MAX(T2568,R2569)</f>
        <v/>
      </c>
      <c r="U2569">
        <f>R2569/T2569-1</f>
        <v/>
      </c>
      <c r="V2569" t="n">
        <v>6.796370465127323</v>
      </c>
      <c r="W2569" s="5">
        <f>R2569-V2569</f>
        <v/>
      </c>
    </row>
    <row r="2570">
      <c r="A2570" s="3" t="n">
        <v>42219</v>
      </c>
      <c r="B2570">
        <f>Prices!B2570</f>
        <v/>
      </c>
      <c r="C2570">
        <f>Prices!C2570</f>
        <v/>
      </c>
      <c r="D2570">
        <f>Prices!D2570</f>
        <v/>
      </c>
      <c r="E2570">
        <f>Prices!E2570</f>
        <v/>
      </c>
      <c r="F2570">
        <f>Prices!F2570</f>
        <v/>
      </c>
      <c r="G2570">
        <f>IF(AND(2568&gt;=16,TEXT(A2570,"yyyy-mm")&lt;&gt;TEXT(A2571,"yyyy-mm")),1,0)</f>
        <v/>
      </c>
      <c r="H2570">
        <f>IF(OR(H2569=1,G2570=1),1,0)</f>
        <v/>
      </c>
      <c r="I2570">
        <f>IF(H2569=0,1,SUMPRODUCT(J2569:N2569,B2570:F2570)+O2569*(1+0.00023125256064071564))</f>
        <v/>
      </c>
      <c r="J2570">
        <f>IF(G2570=1,0.2*R2570/B2570,J2569)</f>
        <v/>
      </c>
      <c r="K2570">
        <f>IF(G2570=1,0.2*R2570/C2570,K2569)</f>
        <v/>
      </c>
      <c r="L2570">
        <f>IF(G2570=1,0.2*R2570/D2570,L2569)</f>
        <v/>
      </c>
      <c r="M2570">
        <f>IF(G2570=1,0.2*R2570/E2570,M2569)</f>
        <v/>
      </c>
      <c r="N2570">
        <f>IF(G2570=1,0.2*R2570/F2570,N2569)</f>
        <v/>
      </c>
      <c r="O2570">
        <f>IF(G2570=1,R2570*(1-1.0),IF(H2569=0,1,O2569*(1+0.00023125256064071564)))</f>
        <v/>
      </c>
      <c r="P2570">
        <f>IF(G2570=1,IF(H2569=0,1,ABS(0.2-J2569*B2570/I2570)+ABS(0.2-K2569*C2570/I2570)+ABS(0.2-L2569*D2570/I2570)+ABS(0.2-M2569*E2570/I2570)+ABS(0.2-N2569*F2570/I2570)),0)</f>
        <v/>
      </c>
      <c r="Q2570">
        <f>P2570*0.0015</f>
        <v/>
      </c>
      <c r="R2570">
        <f>I2570*(1-Q2570)</f>
        <v/>
      </c>
      <c r="S2570">
        <f>R2570/R2569-1</f>
        <v/>
      </c>
      <c r="T2570">
        <f>MAX(T2569,R2570)</f>
        <v/>
      </c>
      <c r="U2570">
        <f>R2570/T2570-1</f>
        <v/>
      </c>
      <c r="V2570" t="n">
        <v>6.843338083484969</v>
      </c>
      <c r="W2570" s="5">
        <f>R2570-V2570</f>
        <v/>
      </c>
    </row>
    <row r="2571">
      <c r="A2571" s="3" t="n">
        <v>42220</v>
      </c>
      <c r="B2571">
        <f>Prices!B2571</f>
        <v/>
      </c>
      <c r="C2571">
        <f>Prices!C2571</f>
        <v/>
      </c>
      <c r="D2571">
        <f>Prices!D2571</f>
        <v/>
      </c>
      <c r="E2571">
        <f>Prices!E2571</f>
        <v/>
      </c>
      <c r="F2571">
        <f>Prices!F2571</f>
        <v/>
      </c>
      <c r="G2571">
        <f>IF(AND(2569&gt;=16,TEXT(A2571,"yyyy-mm")&lt;&gt;TEXT(A2572,"yyyy-mm")),1,0)</f>
        <v/>
      </c>
      <c r="H2571">
        <f>IF(OR(H2570=1,G2571=1),1,0)</f>
        <v/>
      </c>
      <c r="I2571">
        <f>IF(H2570=0,1,SUMPRODUCT(J2570:N2570,B2571:F2571)+O2570*(1+0.00023125256064071564))</f>
        <v/>
      </c>
      <c r="J2571">
        <f>IF(G2571=1,0.2*R2571/B2571,J2570)</f>
        <v/>
      </c>
      <c r="K2571">
        <f>IF(G2571=1,0.2*R2571/C2571,K2570)</f>
        <v/>
      </c>
      <c r="L2571">
        <f>IF(G2571=1,0.2*R2571/D2571,L2570)</f>
        <v/>
      </c>
      <c r="M2571">
        <f>IF(G2571=1,0.2*R2571/E2571,M2570)</f>
        <v/>
      </c>
      <c r="N2571">
        <f>IF(G2571=1,0.2*R2571/F2571,N2570)</f>
        <v/>
      </c>
      <c r="O2571">
        <f>IF(G2571=1,R2571*(1-1.0),IF(H2570=0,1,O2570*(1+0.00023125256064071564)))</f>
        <v/>
      </c>
      <c r="P2571">
        <f>IF(G2571=1,IF(H2570=0,1,ABS(0.2-J2570*B2571/I2571)+ABS(0.2-K2570*C2571/I2571)+ABS(0.2-L2570*D2571/I2571)+ABS(0.2-M2570*E2571/I2571)+ABS(0.2-N2570*F2571/I2571)),0)</f>
        <v/>
      </c>
      <c r="Q2571">
        <f>P2571*0.0015</f>
        <v/>
      </c>
      <c r="R2571">
        <f>I2571*(1-Q2571)</f>
        <v/>
      </c>
      <c r="S2571">
        <f>R2571/R2570-1</f>
        <v/>
      </c>
      <c r="T2571">
        <f>MAX(T2570,R2571)</f>
        <v/>
      </c>
      <c r="U2571">
        <f>R2571/T2571-1</f>
        <v/>
      </c>
      <c r="V2571" t="n">
        <v>6.89818465642721</v>
      </c>
      <c r="W2571" s="5">
        <f>R2571-V2571</f>
        <v/>
      </c>
    </row>
    <row r="2572">
      <c r="A2572" s="3" t="n">
        <v>42221</v>
      </c>
      <c r="B2572">
        <f>Prices!B2572</f>
        <v/>
      </c>
      <c r="C2572">
        <f>Prices!C2572</f>
        <v/>
      </c>
      <c r="D2572">
        <f>Prices!D2572</f>
        <v/>
      </c>
      <c r="E2572">
        <f>Prices!E2572</f>
        <v/>
      </c>
      <c r="F2572">
        <f>Prices!F2572</f>
        <v/>
      </c>
      <c r="G2572">
        <f>IF(AND(2570&gt;=16,TEXT(A2572,"yyyy-mm")&lt;&gt;TEXT(A2573,"yyyy-mm")),1,0)</f>
        <v/>
      </c>
      <c r="H2572">
        <f>IF(OR(H2571=1,G2572=1),1,0)</f>
        <v/>
      </c>
      <c r="I2572">
        <f>IF(H2571=0,1,SUMPRODUCT(J2571:N2571,B2572:F2572)+O2571*(1+0.00023125256064071564))</f>
        <v/>
      </c>
      <c r="J2572">
        <f>IF(G2572=1,0.2*R2572/B2572,J2571)</f>
        <v/>
      </c>
      <c r="K2572">
        <f>IF(G2572=1,0.2*R2572/C2572,K2571)</f>
        <v/>
      </c>
      <c r="L2572">
        <f>IF(G2572=1,0.2*R2572/D2572,L2571)</f>
        <v/>
      </c>
      <c r="M2572">
        <f>IF(G2572=1,0.2*R2572/E2572,M2571)</f>
        <v/>
      </c>
      <c r="N2572">
        <f>IF(G2572=1,0.2*R2572/F2572,N2571)</f>
        <v/>
      </c>
      <c r="O2572">
        <f>IF(G2572=1,R2572*(1-1.0),IF(H2571=0,1,O2571*(1+0.00023125256064071564)))</f>
        <v/>
      </c>
      <c r="P2572">
        <f>IF(G2572=1,IF(H2571=0,1,ABS(0.2-J2571*B2572/I2572)+ABS(0.2-K2571*C2572/I2572)+ABS(0.2-L2571*D2572/I2572)+ABS(0.2-M2571*E2572/I2572)+ABS(0.2-N2571*F2572/I2572)),0)</f>
        <v/>
      </c>
      <c r="Q2572">
        <f>P2572*0.0015</f>
        <v/>
      </c>
      <c r="R2572">
        <f>I2572*(1-Q2572)</f>
        <v/>
      </c>
      <c r="S2572">
        <f>R2572/R2571-1</f>
        <v/>
      </c>
      <c r="T2572">
        <f>MAX(T2571,R2572)</f>
        <v/>
      </c>
      <c r="U2572">
        <f>R2572/T2572-1</f>
        <v/>
      </c>
      <c r="V2572" t="n">
        <v>6.959022464898855</v>
      </c>
      <c r="W2572" s="5">
        <f>R2572-V2572</f>
        <v/>
      </c>
    </row>
    <row r="2573">
      <c r="A2573" s="3" t="n">
        <v>42222</v>
      </c>
      <c r="B2573">
        <f>Prices!B2573</f>
        <v/>
      </c>
      <c r="C2573">
        <f>Prices!C2573</f>
        <v/>
      </c>
      <c r="D2573">
        <f>Prices!D2573</f>
        <v/>
      </c>
      <c r="E2573">
        <f>Prices!E2573</f>
        <v/>
      </c>
      <c r="F2573">
        <f>Prices!F2573</f>
        <v/>
      </c>
      <c r="G2573">
        <f>IF(AND(2571&gt;=16,TEXT(A2573,"yyyy-mm")&lt;&gt;TEXT(A2574,"yyyy-mm")),1,0)</f>
        <v/>
      </c>
      <c r="H2573">
        <f>IF(OR(H2572=1,G2573=1),1,0)</f>
        <v/>
      </c>
      <c r="I2573">
        <f>IF(H2572=0,1,SUMPRODUCT(J2572:N2572,B2573:F2573)+O2572*(1+0.00023125256064071564))</f>
        <v/>
      </c>
      <c r="J2573">
        <f>IF(G2573=1,0.2*R2573/B2573,J2572)</f>
        <v/>
      </c>
      <c r="K2573">
        <f>IF(G2573=1,0.2*R2573/C2573,K2572)</f>
        <v/>
      </c>
      <c r="L2573">
        <f>IF(G2573=1,0.2*R2573/D2573,L2572)</f>
        <v/>
      </c>
      <c r="M2573">
        <f>IF(G2573=1,0.2*R2573/E2573,M2572)</f>
        <v/>
      </c>
      <c r="N2573">
        <f>IF(G2573=1,0.2*R2573/F2573,N2572)</f>
        <v/>
      </c>
      <c r="O2573">
        <f>IF(G2573=1,R2573*(1-1.0),IF(H2572=0,1,O2572*(1+0.00023125256064071564)))</f>
        <v/>
      </c>
      <c r="P2573">
        <f>IF(G2573=1,IF(H2572=0,1,ABS(0.2-J2572*B2573/I2573)+ABS(0.2-K2572*C2573/I2573)+ABS(0.2-L2572*D2573/I2573)+ABS(0.2-M2572*E2573/I2573)+ABS(0.2-N2572*F2573/I2573)),0)</f>
        <v/>
      </c>
      <c r="Q2573">
        <f>P2573*0.0015</f>
        <v/>
      </c>
      <c r="R2573">
        <f>I2573*(1-Q2573)</f>
        <v/>
      </c>
      <c r="S2573">
        <f>R2573/R2572-1</f>
        <v/>
      </c>
      <c r="T2573">
        <f>MAX(T2572,R2573)</f>
        <v/>
      </c>
      <c r="U2573">
        <f>R2573/T2573-1</f>
        <v/>
      </c>
      <c r="V2573" t="n">
        <v>6.977543371330381</v>
      </c>
      <c r="W2573" s="5">
        <f>R2573-V2573</f>
        <v/>
      </c>
    </row>
    <row r="2574">
      <c r="A2574" s="3" t="n">
        <v>42223</v>
      </c>
      <c r="B2574">
        <f>Prices!B2574</f>
        <v/>
      </c>
      <c r="C2574">
        <f>Prices!C2574</f>
        <v/>
      </c>
      <c r="D2574">
        <f>Prices!D2574</f>
        <v/>
      </c>
      <c r="E2574">
        <f>Prices!E2574</f>
        <v/>
      </c>
      <c r="F2574">
        <f>Prices!F2574</f>
        <v/>
      </c>
      <c r="G2574">
        <f>IF(AND(2572&gt;=16,TEXT(A2574,"yyyy-mm")&lt;&gt;TEXT(A2575,"yyyy-mm")),1,0)</f>
        <v/>
      </c>
      <c r="H2574">
        <f>IF(OR(H2573=1,G2574=1),1,0)</f>
        <v/>
      </c>
      <c r="I2574">
        <f>IF(H2573=0,1,SUMPRODUCT(J2573:N2573,B2574:F2574)+O2573*(1+0.00023125256064071564))</f>
        <v/>
      </c>
      <c r="J2574">
        <f>IF(G2574=1,0.2*R2574/B2574,J2573)</f>
        <v/>
      </c>
      <c r="K2574">
        <f>IF(G2574=1,0.2*R2574/C2574,K2573)</f>
        <v/>
      </c>
      <c r="L2574">
        <f>IF(G2574=1,0.2*R2574/D2574,L2573)</f>
        <v/>
      </c>
      <c r="M2574">
        <f>IF(G2574=1,0.2*R2574/E2574,M2573)</f>
        <v/>
      </c>
      <c r="N2574">
        <f>IF(G2574=1,0.2*R2574/F2574,N2573)</f>
        <v/>
      </c>
      <c r="O2574">
        <f>IF(G2574=1,R2574*(1-1.0),IF(H2573=0,1,O2573*(1+0.00023125256064071564)))</f>
        <v/>
      </c>
      <c r="P2574">
        <f>IF(G2574=1,IF(H2573=0,1,ABS(0.2-J2573*B2574/I2574)+ABS(0.2-K2573*C2574/I2574)+ABS(0.2-L2573*D2574/I2574)+ABS(0.2-M2573*E2574/I2574)+ABS(0.2-N2573*F2574/I2574)),0)</f>
        <v/>
      </c>
      <c r="Q2574">
        <f>P2574*0.0015</f>
        <v/>
      </c>
      <c r="R2574">
        <f>I2574*(1-Q2574)</f>
        <v/>
      </c>
      <c r="S2574">
        <f>R2574/R2573-1</f>
        <v/>
      </c>
      <c r="T2574">
        <f>MAX(T2573,R2574)</f>
        <v/>
      </c>
      <c r="U2574">
        <f>R2574/T2574-1</f>
        <v/>
      </c>
      <c r="V2574" t="n">
        <v>6.971201187912081</v>
      </c>
      <c r="W2574" s="5">
        <f>R2574-V2574</f>
        <v/>
      </c>
    </row>
    <row r="2575">
      <c r="A2575" s="3" t="n">
        <v>42226</v>
      </c>
      <c r="B2575">
        <f>Prices!B2575</f>
        <v/>
      </c>
      <c r="C2575">
        <f>Prices!C2575</f>
        <v/>
      </c>
      <c r="D2575">
        <f>Prices!D2575</f>
        <v/>
      </c>
      <c r="E2575">
        <f>Prices!E2575</f>
        <v/>
      </c>
      <c r="F2575">
        <f>Prices!F2575</f>
        <v/>
      </c>
      <c r="G2575">
        <f>IF(AND(2573&gt;=16,TEXT(A2575,"yyyy-mm")&lt;&gt;TEXT(A2576,"yyyy-mm")),1,0)</f>
        <v/>
      </c>
      <c r="H2575">
        <f>IF(OR(H2574=1,G2575=1),1,0)</f>
        <v/>
      </c>
      <c r="I2575">
        <f>IF(H2574=0,1,SUMPRODUCT(J2574:N2574,B2575:F2575)+O2574*(1+0.00023125256064071564))</f>
        <v/>
      </c>
      <c r="J2575">
        <f>IF(G2575=1,0.2*R2575/B2575,J2574)</f>
        <v/>
      </c>
      <c r="K2575">
        <f>IF(G2575=1,0.2*R2575/C2575,K2574)</f>
        <v/>
      </c>
      <c r="L2575">
        <f>IF(G2575=1,0.2*R2575/D2575,L2574)</f>
        <v/>
      </c>
      <c r="M2575">
        <f>IF(G2575=1,0.2*R2575/E2575,M2574)</f>
        <v/>
      </c>
      <c r="N2575">
        <f>IF(G2575=1,0.2*R2575/F2575,N2574)</f>
        <v/>
      </c>
      <c r="O2575">
        <f>IF(G2575=1,R2575*(1-1.0),IF(H2574=0,1,O2574*(1+0.00023125256064071564)))</f>
        <v/>
      </c>
      <c r="P2575">
        <f>IF(G2575=1,IF(H2574=0,1,ABS(0.2-J2574*B2575/I2575)+ABS(0.2-K2574*C2575/I2575)+ABS(0.2-L2574*D2575/I2575)+ABS(0.2-M2574*E2575/I2575)+ABS(0.2-N2574*F2575/I2575)),0)</f>
        <v/>
      </c>
      <c r="Q2575">
        <f>P2575*0.0015</f>
        <v/>
      </c>
      <c r="R2575">
        <f>I2575*(1-Q2575)</f>
        <v/>
      </c>
      <c r="S2575">
        <f>R2575/R2574-1</f>
        <v/>
      </c>
      <c r="T2575">
        <f>MAX(T2574,R2575)</f>
        <v/>
      </c>
      <c r="U2575">
        <f>R2575/T2575-1</f>
        <v/>
      </c>
      <c r="V2575" t="n">
        <v>6.9544617421223</v>
      </c>
      <c r="W2575" s="5">
        <f>R2575-V2575</f>
        <v/>
      </c>
    </row>
    <row r="2576">
      <c r="A2576" s="3" t="n">
        <v>42227</v>
      </c>
      <c r="B2576">
        <f>Prices!B2576</f>
        <v/>
      </c>
      <c r="C2576">
        <f>Prices!C2576</f>
        <v/>
      </c>
      <c r="D2576">
        <f>Prices!D2576</f>
        <v/>
      </c>
      <c r="E2576">
        <f>Prices!E2576</f>
        <v/>
      </c>
      <c r="F2576">
        <f>Prices!F2576</f>
        <v/>
      </c>
      <c r="G2576">
        <f>IF(AND(2574&gt;=16,TEXT(A2576,"yyyy-mm")&lt;&gt;TEXT(A2577,"yyyy-mm")),1,0)</f>
        <v/>
      </c>
      <c r="H2576">
        <f>IF(OR(H2575=1,G2576=1),1,0)</f>
        <v/>
      </c>
      <c r="I2576">
        <f>IF(H2575=0,1,SUMPRODUCT(J2575:N2575,B2576:F2576)+O2575*(1+0.00023125256064071564))</f>
        <v/>
      </c>
      <c r="J2576">
        <f>IF(G2576=1,0.2*R2576/B2576,J2575)</f>
        <v/>
      </c>
      <c r="K2576">
        <f>IF(G2576=1,0.2*R2576/C2576,K2575)</f>
        <v/>
      </c>
      <c r="L2576">
        <f>IF(G2576=1,0.2*R2576/D2576,L2575)</f>
        <v/>
      </c>
      <c r="M2576">
        <f>IF(G2576=1,0.2*R2576/E2576,M2575)</f>
        <v/>
      </c>
      <c r="N2576">
        <f>IF(G2576=1,0.2*R2576/F2576,N2575)</f>
        <v/>
      </c>
      <c r="O2576">
        <f>IF(G2576=1,R2576*(1-1.0),IF(H2575=0,1,O2575*(1+0.00023125256064071564)))</f>
        <v/>
      </c>
      <c r="P2576">
        <f>IF(G2576=1,IF(H2575=0,1,ABS(0.2-J2575*B2576/I2576)+ABS(0.2-K2575*C2576/I2576)+ABS(0.2-L2575*D2576/I2576)+ABS(0.2-M2575*E2576/I2576)+ABS(0.2-N2575*F2576/I2576)),0)</f>
        <v/>
      </c>
      <c r="Q2576">
        <f>P2576*0.0015</f>
        <v/>
      </c>
      <c r="R2576">
        <f>I2576*(1-Q2576)</f>
        <v/>
      </c>
      <c r="S2576">
        <f>R2576/R2575-1</f>
        <v/>
      </c>
      <c r="T2576">
        <f>MAX(T2575,R2576)</f>
        <v/>
      </c>
      <c r="U2576">
        <f>R2576/T2576-1</f>
        <v/>
      </c>
      <c r="V2576" t="n">
        <v>6.88969354009824</v>
      </c>
      <c r="W2576" s="5">
        <f>R2576-V2576</f>
        <v/>
      </c>
    </row>
    <row r="2577">
      <c r="A2577" s="3" t="n">
        <v>42228</v>
      </c>
      <c r="B2577">
        <f>Prices!B2577</f>
        <v/>
      </c>
      <c r="C2577">
        <f>Prices!C2577</f>
        <v/>
      </c>
      <c r="D2577">
        <f>Prices!D2577</f>
        <v/>
      </c>
      <c r="E2577">
        <f>Prices!E2577</f>
        <v/>
      </c>
      <c r="F2577">
        <f>Prices!F2577</f>
        <v/>
      </c>
      <c r="G2577">
        <f>IF(AND(2575&gt;=16,TEXT(A2577,"yyyy-mm")&lt;&gt;TEXT(A2578,"yyyy-mm")),1,0)</f>
        <v/>
      </c>
      <c r="H2577">
        <f>IF(OR(H2576=1,G2577=1),1,0)</f>
        <v/>
      </c>
      <c r="I2577">
        <f>IF(H2576=0,1,SUMPRODUCT(J2576:N2576,B2577:F2577)+O2576*(1+0.00023125256064071564))</f>
        <v/>
      </c>
      <c r="J2577">
        <f>IF(G2577=1,0.2*R2577/B2577,J2576)</f>
        <v/>
      </c>
      <c r="K2577">
        <f>IF(G2577=1,0.2*R2577/C2577,K2576)</f>
        <v/>
      </c>
      <c r="L2577">
        <f>IF(G2577=1,0.2*R2577/D2577,L2576)</f>
        <v/>
      </c>
      <c r="M2577">
        <f>IF(G2577=1,0.2*R2577/E2577,M2576)</f>
        <v/>
      </c>
      <c r="N2577">
        <f>IF(G2577=1,0.2*R2577/F2577,N2576)</f>
        <v/>
      </c>
      <c r="O2577">
        <f>IF(G2577=1,R2577*(1-1.0),IF(H2576=0,1,O2576*(1+0.00023125256064071564)))</f>
        <v/>
      </c>
      <c r="P2577">
        <f>IF(G2577=1,IF(H2576=0,1,ABS(0.2-J2576*B2577/I2577)+ABS(0.2-K2576*C2577/I2577)+ABS(0.2-L2576*D2577/I2577)+ABS(0.2-M2576*E2577/I2577)+ABS(0.2-N2576*F2577/I2577)),0)</f>
        <v/>
      </c>
      <c r="Q2577">
        <f>P2577*0.0015</f>
        <v/>
      </c>
      <c r="R2577">
        <f>I2577*(1-Q2577)</f>
        <v/>
      </c>
      <c r="S2577">
        <f>R2577/R2576-1</f>
        <v/>
      </c>
      <c r="T2577">
        <f>MAX(T2576,R2577)</f>
        <v/>
      </c>
      <c r="U2577">
        <f>R2577/T2577-1</f>
        <v/>
      </c>
      <c r="V2577" t="n">
        <v>6.767017971905898</v>
      </c>
      <c r="W2577" s="5">
        <f>R2577-V2577</f>
        <v/>
      </c>
    </row>
    <row r="2578">
      <c r="A2578" s="3" t="n">
        <v>42229</v>
      </c>
      <c r="B2578">
        <f>Prices!B2578</f>
        <v/>
      </c>
      <c r="C2578">
        <f>Prices!C2578</f>
        <v/>
      </c>
      <c r="D2578">
        <f>Prices!D2578</f>
        <v/>
      </c>
      <c r="E2578">
        <f>Prices!E2578</f>
        <v/>
      </c>
      <c r="F2578">
        <f>Prices!F2578</f>
        <v/>
      </c>
      <c r="G2578">
        <f>IF(AND(2576&gt;=16,TEXT(A2578,"yyyy-mm")&lt;&gt;TEXT(A2579,"yyyy-mm")),1,0)</f>
        <v/>
      </c>
      <c r="H2578">
        <f>IF(OR(H2577=1,G2578=1),1,0)</f>
        <v/>
      </c>
      <c r="I2578">
        <f>IF(H2577=0,1,SUMPRODUCT(J2577:N2577,B2578:F2578)+O2577*(1+0.00023125256064071564))</f>
        <v/>
      </c>
      <c r="J2578">
        <f>IF(G2578=1,0.2*R2578/B2578,J2577)</f>
        <v/>
      </c>
      <c r="K2578">
        <f>IF(G2578=1,0.2*R2578/C2578,K2577)</f>
        <v/>
      </c>
      <c r="L2578">
        <f>IF(G2578=1,0.2*R2578/D2578,L2577)</f>
        <v/>
      </c>
      <c r="M2578">
        <f>IF(G2578=1,0.2*R2578/E2578,M2577)</f>
        <v/>
      </c>
      <c r="N2578">
        <f>IF(G2578=1,0.2*R2578/F2578,N2577)</f>
        <v/>
      </c>
      <c r="O2578">
        <f>IF(G2578=1,R2578*(1-1.0),IF(H2577=0,1,O2577*(1+0.00023125256064071564)))</f>
        <v/>
      </c>
      <c r="P2578">
        <f>IF(G2578=1,IF(H2577=0,1,ABS(0.2-J2577*B2578/I2578)+ABS(0.2-K2577*C2578/I2578)+ABS(0.2-L2577*D2578/I2578)+ABS(0.2-M2577*E2578/I2578)+ABS(0.2-N2577*F2578/I2578)),0)</f>
        <v/>
      </c>
      <c r="Q2578">
        <f>P2578*0.0015</f>
        <v/>
      </c>
      <c r="R2578">
        <f>I2578*(1-Q2578)</f>
        <v/>
      </c>
      <c r="S2578">
        <f>R2578/R2577-1</f>
        <v/>
      </c>
      <c r="T2578">
        <f>MAX(T2577,R2578)</f>
        <v/>
      </c>
      <c r="U2578">
        <f>R2578/T2578-1</f>
        <v/>
      </c>
      <c r="V2578" t="n">
        <v>6.733033288810318</v>
      </c>
      <c r="W2578" s="5">
        <f>R2578-V2578</f>
        <v/>
      </c>
    </row>
    <row r="2579">
      <c r="A2579" s="3" t="n">
        <v>42230</v>
      </c>
      <c r="B2579">
        <f>Prices!B2579</f>
        <v/>
      </c>
      <c r="C2579">
        <f>Prices!C2579</f>
        <v/>
      </c>
      <c r="D2579">
        <f>Prices!D2579</f>
        <v/>
      </c>
      <c r="E2579">
        <f>Prices!E2579</f>
        <v/>
      </c>
      <c r="F2579">
        <f>Prices!F2579</f>
        <v/>
      </c>
      <c r="G2579">
        <f>IF(AND(2577&gt;=16,TEXT(A2579,"yyyy-mm")&lt;&gt;TEXT(A2580,"yyyy-mm")),1,0)</f>
        <v/>
      </c>
      <c r="H2579">
        <f>IF(OR(H2578=1,G2579=1),1,0)</f>
        <v/>
      </c>
      <c r="I2579">
        <f>IF(H2578=0,1,SUMPRODUCT(J2578:N2578,B2579:F2579)+O2578*(1+0.00023125256064071564))</f>
        <v/>
      </c>
      <c r="J2579">
        <f>IF(G2579=1,0.2*R2579/B2579,J2578)</f>
        <v/>
      </c>
      <c r="K2579">
        <f>IF(G2579=1,0.2*R2579/C2579,K2578)</f>
        <v/>
      </c>
      <c r="L2579">
        <f>IF(G2579=1,0.2*R2579/D2579,L2578)</f>
        <v/>
      </c>
      <c r="M2579">
        <f>IF(G2579=1,0.2*R2579/E2579,M2578)</f>
        <v/>
      </c>
      <c r="N2579">
        <f>IF(G2579=1,0.2*R2579/F2579,N2578)</f>
        <v/>
      </c>
      <c r="O2579">
        <f>IF(G2579=1,R2579*(1-1.0),IF(H2578=0,1,O2578*(1+0.00023125256064071564)))</f>
        <v/>
      </c>
      <c r="P2579">
        <f>IF(G2579=1,IF(H2578=0,1,ABS(0.2-J2578*B2579/I2579)+ABS(0.2-K2578*C2579/I2579)+ABS(0.2-L2578*D2579/I2579)+ABS(0.2-M2578*E2579/I2579)+ABS(0.2-N2578*F2579/I2579)),0)</f>
        <v/>
      </c>
      <c r="Q2579">
        <f>P2579*0.0015</f>
        <v/>
      </c>
      <c r="R2579">
        <f>I2579*(1-Q2579)</f>
        <v/>
      </c>
      <c r="S2579">
        <f>R2579/R2578-1</f>
        <v/>
      </c>
      <c r="T2579">
        <f>MAX(T2578,R2579)</f>
        <v/>
      </c>
      <c r="U2579">
        <f>R2579/T2579-1</f>
        <v/>
      </c>
      <c r="V2579" t="n">
        <v>6.850829384527172</v>
      </c>
      <c r="W2579" s="5">
        <f>R2579-V2579</f>
        <v/>
      </c>
    </row>
    <row r="2580">
      <c r="A2580" s="3" t="n">
        <v>42233</v>
      </c>
      <c r="B2580">
        <f>Prices!B2580</f>
        <v/>
      </c>
      <c r="C2580">
        <f>Prices!C2580</f>
        <v/>
      </c>
      <c r="D2580">
        <f>Prices!D2580</f>
        <v/>
      </c>
      <c r="E2580">
        <f>Prices!E2580</f>
        <v/>
      </c>
      <c r="F2580">
        <f>Prices!F2580</f>
        <v/>
      </c>
      <c r="G2580">
        <f>IF(AND(2578&gt;=16,TEXT(A2580,"yyyy-mm")&lt;&gt;TEXT(A2581,"yyyy-mm")),1,0)</f>
        <v/>
      </c>
      <c r="H2580">
        <f>IF(OR(H2579=1,G2580=1),1,0)</f>
        <v/>
      </c>
      <c r="I2580">
        <f>IF(H2579=0,1,SUMPRODUCT(J2579:N2579,B2580:F2580)+O2579*(1+0.00023125256064071564))</f>
        <v/>
      </c>
      <c r="J2580">
        <f>IF(G2580=1,0.2*R2580/B2580,J2579)</f>
        <v/>
      </c>
      <c r="K2580">
        <f>IF(G2580=1,0.2*R2580/C2580,K2579)</f>
        <v/>
      </c>
      <c r="L2580">
        <f>IF(G2580=1,0.2*R2580/D2580,L2579)</f>
        <v/>
      </c>
      <c r="M2580">
        <f>IF(G2580=1,0.2*R2580/E2580,M2579)</f>
        <v/>
      </c>
      <c r="N2580">
        <f>IF(G2580=1,0.2*R2580/F2580,N2579)</f>
        <v/>
      </c>
      <c r="O2580">
        <f>IF(G2580=1,R2580*(1-1.0),IF(H2579=0,1,O2579*(1+0.00023125256064071564)))</f>
        <v/>
      </c>
      <c r="P2580">
        <f>IF(G2580=1,IF(H2579=0,1,ABS(0.2-J2579*B2580/I2580)+ABS(0.2-K2579*C2580/I2580)+ABS(0.2-L2579*D2580/I2580)+ABS(0.2-M2579*E2580/I2580)+ABS(0.2-N2579*F2580/I2580)),0)</f>
        <v/>
      </c>
      <c r="Q2580">
        <f>P2580*0.0015</f>
        <v/>
      </c>
      <c r="R2580">
        <f>I2580*(1-Q2580)</f>
        <v/>
      </c>
      <c r="S2580">
        <f>R2580/R2579-1</f>
        <v/>
      </c>
      <c r="T2580">
        <f>MAX(T2579,R2580)</f>
        <v/>
      </c>
      <c r="U2580">
        <f>R2580/T2580-1</f>
        <v/>
      </c>
      <c r="V2580" t="n">
        <v>6.867419469635073</v>
      </c>
      <c r="W2580" s="5">
        <f>R2580-V2580</f>
        <v/>
      </c>
    </row>
    <row r="2581">
      <c r="A2581" s="3" t="n">
        <v>42234</v>
      </c>
      <c r="B2581">
        <f>Prices!B2581</f>
        <v/>
      </c>
      <c r="C2581">
        <f>Prices!C2581</f>
        <v/>
      </c>
      <c r="D2581">
        <f>Prices!D2581</f>
        <v/>
      </c>
      <c r="E2581">
        <f>Prices!E2581</f>
        <v/>
      </c>
      <c r="F2581">
        <f>Prices!F2581</f>
        <v/>
      </c>
      <c r="G2581">
        <f>IF(AND(2579&gt;=16,TEXT(A2581,"yyyy-mm")&lt;&gt;TEXT(A2582,"yyyy-mm")),1,0)</f>
        <v/>
      </c>
      <c r="H2581">
        <f>IF(OR(H2580=1,G2581=1),1,0)</f>
        <v/>
      </c>
      <c r="I2581">
        <f>IF(H2580=0,1,SUMPRODUCT(J2580:N2580,B2581:F2581)+O2580*(1+0.00023125256064071564))</f>
        <v/>
      </c>
      <c r="J2581">
        <f>IF(G2581=1,0.2*R2581/B2581,J2580)</f>
        <v/>
      </c>
      <c r="K2581">
        <f>IF(G2581=1,0.2*R2581/C2581,K2580)</f>
        <v/>
      </c>
      <c r="L2581">
        <f>IF(G2581=1,0.2*R2581/D2581,L2580)</f>
        <v/>
      </c>
      <c r="M2581">
        <f>IF(G2581=1,0.2*R2581/E2581,M2580)</f>
        <v/>
      </c>
      <c r="N2581">
        <f>IF(G2581=1,0.2*R2581/F2581,N2580)</f>
        <v/>
      </c>
      <c r="O2581">
        <f>IF(G2581=1,R2581*(1-1.0),IF(H2580=0,1,O2580*(1+0.00023125256064071564)))</f>
        <v/>
      </c>
      <c r="P2581">
        <f>IF(G2581=1,IF(H2580=0,1,ABS(0.2-J2580*B2581/I2581)+ABS(0.2-K2580*C2581/I2581)+ABS(0.2-L2580*D2581/I2581)+ABS(0.2-M2580*E2581/I2581)+ABS(0.2-N2580*F2581/I2581)),0)</f>
        <v/>
      </c>
      <c r="Q2581">
        <f>P2581*0.0015</f>
        <v/>
      </c>
      <c r="R2581">
        <f>I2581*(1-Q2581)</f>
        <v/>
      </c>
      <c r="S2581">
        <f>R2581/R2580-1</f>
        <v/>
      </c>
      <c r="T2581">
        <f>MAX(T2580,R2581)</f>
        <v/>
      </c>
      <c r="U2581">
        <f>R2581/T2581-1</f>
        <v/>
      </c>
      <c r="V2581" t="n">
        <v>6.932139093256928</v>
      </c>
      <c r="W2581" s="5">
        <f>R2581-V2581</f>
        <v/>
      </c>
    </row>
    <row r="2582">
      <c r="A2582" s="3" t="n">
        <v>42235</v>
      </c>
      <c r="B2582">
        <f>Prices!B2582</f>
        <v/>
      </c>
      <c r="C2582">
        <f>Prices!C2582</f>
        <v/>
      </c>
      <c r="D2582">
        <f>Prices!D2582</f>
        <v/>
      </c>
      <c r="E2582">
        <f>Prices!E2582</f>
        <v/>
      </c>
      <c r="F2582">
        <f>Prices!F2582</f>
        <v/>
      </c>
      <c r="G2582">
        <f>IF(AND(2580&gt;=16,TEXT(A2582,"yyyy-mm")&lt;&gt;TEXT(A2583,"yyyy-mm")),1,0)</f>
        <v/>
      </c>
      <c r="H2582">
        <f>IF(OR(H2581=1,G2582=1),1,0)</f>
        <v/>
      </c>
      <c r="I2582">
        <f>IF(H2581=0,1,SUMPRODUCT(J2581:N2581,B2582:F2582)+O2581*(1+0.00023125256064071564))</f>
        <v/>
      </c>
      <c r="J2582">
        <f>IF(G2582=1,0.2*R2582/B2582,J2581)</f>
        <v/>
      </c>
      <c r="K2582">
        <f>IF(G2582=1,0.2*R2582/C2582,K2581)</f>
        <v/>
      </c>
      <c r="L2582">
        <f>IF(G2582=1,0.2*R2582/D2582,L2581)</f>
        <v/>
      </c>
      <c r="M2582">
        <f>IF(G2582=1,0.2*R2582/E2582,M2581)</f>
        <v/>
      </c>
      <c r="N2582">
        <f>IF(G2582=1,0.2*R2582/F2582,N2581)</f>
        <v/>
      </c>
      <c r="O2582">
        <f>IF(G2582=1,R2582*(1-1.0),IF(H2581=0,1,O2581*(1+0.00023125256064071564)))</f>
        <v/>
      </c>
      <c r="P2582">
        <f>IF(G2582=1,IF(H2581=0,1,ABS(0.2-J2581*B2582/I2582)+ABS(0.2-K2581*C2582/I2582)+ABS(0.2-L2581*D2582/I2582)+ABS(0.2-M2581*E2582/I2582)+ABS(0.2-N2581*F2582/I2582)),0)</f>
        <v/>
      </c>
      <c r="Q2582">
        <f>P2582*0.0015</f>
        <v/>
      </c>
      <c r="R2582">
        <f>I2582*(1-Q2582)</f>
        <v/>
      </c>
      <c r="S2582">
        <f>R2582/R2581-1</f>
        <v/>
      </c>
      <c r="T2582">
        <f>MAX(T2581,R2582)</f>
        <v/>
      </c>
      <c r="U2582">
        <f>R2582/T2582-1</f>
        <v/>
      </c>
      <c r="V2582" t="n">
        <v>6.957769547506265</v>
      </c>
      <c r="W2582" s="5">
        <f>R2582-V2582</f>
        <v/>
      </c>
    </row>
    <row r="2583">
      <c r="A2583" s="3" t="n">
        <v>42236</v>
      </c>
      <c r="B2583">
        <f>Prices!B2583</f>
        <v/>
      </c>
      <c r="C2583">
        <f>Prices!C2583</f>
        <v/>
      </c>
      <c r="D2583">
        <f>Prices!D2583</f>
        <v/>
      </c>
      <c r="E2583">
        <f>Prices!E2583</f>
        <v/>
      </c>
      <c r="F2583">
        <f>Prices!F2583</f>
        <v/>
      </c>
      <c r="G2583">
        <f>IF(AND(2581&gt;=16,TEXT(A2583,"yyyy-mm")&lt;&gt;TEXT(A2584,"yyyy-mm")),1,0)</f>
        <v/>
      </c>
      <c r="H2583">
        <f>IF(OR(H2582=1,G2583=1),1,0)</f>
        <v/>
      </c>
      <c r="I2583">
        <f>IF(H2582=0,1,SUMPRODUCT(J2582:N2582,B2583:F2583)+O2582*(1+0.00023125256064071564))</f>
        <v/>
      </c>
      <c r="J2583">
        <f>IF(G2583=1,0.2*R2583/B2583,J2582)</f>
        <v/>
      </c>
      <c r="K2583">
        <f>IF(G2583=1,0.2*R2583/C2583,K2582)</f>
        <v/>
      </c>
      <c r="L2583">
        <f>IF(G2583=1,0.2*R2583/D2583,L2582)</f>
        <v/>
      </c>
      <c r="M2583">
        <f>IF(G2583=1,0.2*R2583/E2583,M2582)</f>
        <v/>
      </c>
      <c r="N2583">
        <f>IF(G2583=1,0.2*R2583/F2583,N2582)</f>
        <v/>
      </c>
      <c r="O2583">
        <f>IF(G2583=1,R2583*(1-1.0),IF(H2582=0,1,O2582*(1+0.00023125256064071564)))</f>
        <v/>
      </c>
      <c r="P2583">
        <f>IF(G2583=1,IF(H2582=0,1,ABS(0.2-J2582*B2583/I2583)+ABS(0.2-K2582*C2583/I2583)+ABS(0.2-L2582*D2583/I2583)+ABS(0.2-M2582*E2583/I2583)+ABS(0.2-N2582*F2583/I2583)),0)</f>
        <v/>
      </c>
      <c r="Q2583">
        <f>P2583*0.0015</f>
        <v/>
      </c>
      <c r="R2583">
        <f>I2583*(1-Q2583)</f>
        <v/>
      </c>
      <c r="S2583">
        <f>R2583/R2582-1</f>
        <v/>
      </c>
      <c r="T2583">
        <f>MAX(T2582,R2583)</f>
        <v/>
      </c>
      <c r="U2583">
        <f>R2583/T2583-1</f>
        <v/>
      </c>
      <c r="V2583" t="n">
        <v>6.835907191418157</v>
      </c>
      <c r="W2583" s="5">
        <f>R2583-V2583</f>
        <v/>
      </c>
    </row>
    <row r="2584">
      <c r="A2584" s="3" t="n">
        <v>42237</v>
      </c>
      <c r="B2584">
        <f>Prices!B2584</f>
        <v/>
      </c>
      <c r="C2584">
        <f>Prices!C2584</f>
        <v/>
      </c>
      <c r="D2584">
        <f>Prices!D2584</f>
        <v/>
      </c>
      <c r="E2584">
        <f>Prices!E2584</f>
        <v/>
      </c>
      <c r="F2584">
        <f>Prices!F2584</f>
        <v/>
      </c>
      <c r="G2584">
        <f>IF(AND(2582&gt;=16,TEXT(A2584,"yyyy-mm")&lt;&gt;TEXT(A2585,"yyyy-mm")),1,0)</f>
        <v/>
      </c>
      <c r="H2584">
        <f>IF(OR(H2583=1,G2584=1),1,0)</f>
        <v/>
      </c>
      <c r="I2584">
        <f>IF(H2583=0,1,SUMPRODUCT(J2583:N2583,B2584:F2584)+O2583*(1+0.00023125256064071564))</f>
        <v/>
      </c>
      <c r="J2584">
        <f>IF(G2584=1,0.2*R2584/B2584,J2583)</f>
        <v/>
      </c>
      <c r="K2584">
        <f>IF(G2584=1,0.2*R2584/C2584,K2583)</f>
        <v/>
      </c>
      <c r="L2584">
        <f>IF(G2584=1,0.2*R2584/D2584,L2583)</f>
        <v/>
      </c>
      <c r="M2584">
        <f>IF(G2584=1,0.2*R2584/E2584,M2583)</f>
        <v/>
      </c>
      <c r="N2584">
        <f>IF(G2584=1,0.2*R2584/F2584,N2583)</f>
        <v/>
      </c>
      <c r="O2584">
        <f>IF(G2584=1,R2584*(1-1.0),IF(H2583=0,1,O2583*(1+0.00023125256064071564)))</f>
        <v/>
      </c>
      <c r="P2584">
        <f>IF(G2584=1,IF(H2583=0,1,ABS(0.2-J2583*B2584/I2584)+ABS(0.2-K2583*C2584/I2584)+ABS(0.2-L2583*D2584/I2584)+ABS(0.2-M2583*E2584/I2584)+ABS(0.2-N2583*F2584/I2584)),0)</f>
        <v/>
      </c>
      <c r="Q2584">
        <f>P2584*0.0015</f>
        <v/>
      </c>
      <c r="R2584">
        <f>I2584*(1-Q2584)</f>
        <v/>
      </c>
      <c r="S2584">
        <f>R2584/R2583-1</f>
        <v/>
      </c>
      <c r="T2584">
        <f>MAX(T2583,R2584)</f>
        <v/>
      </c>
      <c r="U2584">
        <f>R2584/T2584-1</f>
        <v/>
      </c>
      <c r="V2584" t="n">
        <v>6.78444685202316</v>
      </c>
      <c r="W2584" s="5">
        <f>R2584-V2584</f>
        <v/>
      </c>
    </row>
    <row r="2585">
      <c r="A2585" s="3" t="n">
        <v>42240</v>
      </c>
      <c r="B2585">
        <f>Prices!B2585</f>
        <v/>
      </c>
      <c r="C2585">
        <f>Prices!C2585</f>
        <v/>
      </c>
      <c r="D2585">
        <f>Prices!D2585</f>
        <v/>
      </c>
      <c r="E2585">
        <f>Prices!E2585</f>
        <v/>
      </c>
      <c r="F2585">
        <f>Prices!F2585</f>
        <v/>
      </c>
      <c r="G2585">
        <f>IF(AND(2583&gt;=16,TEXT(A2585,"yyyy-mm")&lt;&gt;TEXT(A2586,"yyyy-mm")),1,0)</f>
        <v/>
      </c>
      <c r="H2585">
        <f>IF(OR(H2584=1,G2585=1),1,0)</f>
        <v/>
      </c>
      <c r="I2585">
        <f>IF(H2584=0,1,SUMPRODUCT(J2584:N2584,B2585:F2585)+O2584*(1+0.00023125256064071564))</f>
        <v/>
      </c>
      <c r="J2585">
        <f>IF(G2585=1,0.2*R2585/B2585,J2584)</f>
        <v/>
      </c>
      <c r="K2585">
        <f>IF(G2585=1,0.2*R2585/C2585,K2584)</f>
        <v/>
      </c>
      <c r="L2585">
        <f>IF(G2585=1,0.2*R2585/D2585,L2584)</f>
        <v/>
      </c>
      <c r="M2585">
        <f>IF(G2585=1,0.2*R2585/E2585,M2584)</f>
        <v/>
      </c>
      <c r="N2585">
        <f>IF(G2585=1,0.2*R2585/F2585,N2584)</f>
        <v/>
      </c>
      <c r="O2585">
        <f>IF(G2585=1,R2585*(1-1.0),IF(H2584=0,1,O2584*(1+0.00023125256064071564)))</f>
        <v/>
      </c>
      <c r="P2585">
        <f>IF(G2585=1,IF(H2584=0,1,ABS(0.2-J2584*B2585/I2585)+ABS(0.2-K2584*C2585/I2585)+ABS(0.2-L2584*D2585/I2585)+ABS(0.2-M2584*E2585/I2585)+ABS(0.2-N2584*F2585/I2585)),0)</f>
        <v/>
      </c>
      <c r="Q2585">
        <f>P2585*0.0015</f>
        <v/>
      </c>
      <c r="R2585">
        <f>I2585*(1-Q2585)</f>
        <v/>
      </c>
      <c r="S2585">
        <f>R2585/R2584-1</f>
        <v/>
      </c>
      <c r="T2585">
        <f>MAX(T2584,R2585)</f>
        <v/>
      </c>
      <c r="U2585">
        <f>R2585/T2585-1</f>
        <v/>
      </c>
      <c r="V2585" t="n">
        <v>6.211790219541395</v>
      </c>
      <c r="W2585" s="5">
        <f>R2585-V2585</f>
        <v/>
      </c>
    </row>
    <row r="2586">
      <c r="A2586" s="3" t="n">
        <v>42241</v>
      </c>
      <c r="B2586">
        <f>Prices!B2586</f>
        <v/>
      </c>
      <c r="C2586">
        <f>Prices!C2586</f>
        <v/>
      </c>
      <c r="D2586">
        <f>Prices!D2586</f>
        <v/>
      </c>
      <c r="E2586">
        <f>Prices!E2586</f>
        <v/>
      </c>
      <c r="F2586">
        <f>Prices!F2586</f>
        <v/>
      </c>
      <c r="G2586">
        <f>IF(AND(2584&gt;=16,TEXT(A2586,"yyyy-mm")&lt;&gt;TEXT(A2587,"yyyy-mm")),1,0)</f>
        <v/>
      </c>
      <c r="H2586">
        <f>IF(OR(H2585=1,G2586=1),1,0)</f>
        <v/>
      </c>
      <c r="I2586">
        <f>IF(H2585=0,1,SUMPRODUCT(J2585:N2585,B2586:F2586)+O2585*(1+0.00023125256064071564))</f>
        <v/>
      </c>
      <c r="J2586">
        <f>IF(G2586=1,0.2*R2586/B2586,J2585)</f>
        <v/>
      </c>
      <c r="K2586">
        <f>IF(G2586=1,0.2*R2586/C2586,K2585)</f>
        <v/>
      </c>
      <c r="L2586">
        <f>IF(G2586=1,0.2*R2586/D2586,L2585)</f>
        <v/>
      </c>
      <c r="M2586">
        <f>IF(G2586=1,0.2*R2586/E2586,M2585)</f>
        <v/>
      </c>
      <c r="N2586">
        <f>IF(G2586=1,0.2*R2586/F2586,N2585)</f>
        <v/>
      </c>
      <c r="O2586">
        <f>IF(G2586=1,R2586*(1-1.0),IF(H2585=0,1,O2585*(1+0.00023125256064071564)))</f>
        <v/>
      </c>
      <c r="P2586">
        <f>IF(G2586=1,IF(H2585=0,1,ABS(0.2-J2585*B2586/I2586)+ABS(0.2-K2585*C2586/I2586)+ABS(0.2-L2585*D2586/I2586)+ABS(0.2-M2585*E2586/I2586)+ABS(0.2-N2585*F2586/I2586)),0)</f>
        <v/>
      </c>
      <c r="Q2586">
        <f>P2586*0.0015</f>
        <v/>
      </c>
      <c r="R2586">
        <f>I2586*(1-Q2586)</f>
        <v/>
      </c>
      <c r="S2586">
        <f>R2586/R2585-1</f>
        <v/>
      </c>
      <c r="T2586">
        <f>MAX(T2585,R2586)</f>
        <v/>
      </c>
      <c r="U2586">
        <f>R2586/T2586-1</f>
        <v/>
      </c>
      <c r="V2586" t="n">
        <v>6.312343689754541</v>
      </c>
      <c r="W2586" s="5">
        <f>R2586-V2586</f>
        <v/>
      </c>
    </row>
    <row r="2587">
      <c r="A2587" s="3" t="n">
        <v>42242</v>
      </c>
      <c r="B2587">
        <f>Prices!B2587</f>
        <v/>
      </c>
      <c r="C2587">
        <f>Prices!C2587</f>
        <v/>
      </c>
      <c r="D2587">
        <f>Prices!D2587</f>
        <v/>
      </c>
      <c r="E2587">
        <f>Prices!E2587</f>
        <v/>
      </c>
      <c r="F2587">
        <f>Prices!F2587</f>
        <v/>
      </c>
      <c r="G2587">
        <f>IF(AND(2585&gt;=16,TEXT(A2587,"yyyy-mm")&lt;&gt;TEXT(A2588,"yyyy-mm")),1,0)</f>
        <v/>
      </c>
      <c r="H2587">
        <f>IF(OR(H2586=1,G2587=1),1,0)</f>
        <v/>
      </c>
      <c r="I2587">
        <f>IF(H2586=0,1,SUMPRODUCT(J2586:N2586,B2587:F2587)+O2586*(1+0.00023125256064071564))</f>
        <v/>
      </c>
      <c r="J2587">
        <f>IF(G2587=1,0.2*R2587/B2587,J2586)</f>
        <v/>
      </c>
      <c r="K2587">
        <f>IF(G2587=1,0.2*R2587/C2587,K2586)</f>
        <v/>
      </c>
      <c r="L2587">
        <f>IF(G2587=1,0.2*R2587/D2587,L2586)</f>
        <v/>
      </c>
      <c r="M2587">
        <f>IF(G2587=1,0.2*R2587/E2587,M2586)</f>
        <v/>
      </c>
      <c r="N2587">
        <f>IF(G2587=1,0.2*R2587/F2587,N2586)</f>
        <v/>
      </c>
      <c r="O2587">
        <f>IF(G2587=1,R2587*(1-1.0),IF(H2586=0,1,O2586*(1+0.00023125256064071564)))</f>
        <v/>
      </c>
      <c r="P2587">
        <f>IF(G2587=1,IF(H2586=0,1,ABS(0.2-J2586*B2587/I2587)+ABS(0.2-K2586*C2587/I2587)+ABS(0.2-L2586*D2587/I2587)+ABS(0.2-M2586*E2587/I2587)+ABS(0.2-N2586*F2587/I2587)),0)</f>
        <v/>
      </c>
      <c r="Q2587">
        <f>P2587*0.0015</f>
        <v/>
      </c>
      <c r="R2587">
        <f>I2587*(1-Q2587)</f>
        <v/>
      </c>
      <c r="S2587">
        <f>R2587/R2586-1</f>
        <v/>
      </c>
      <c r="T2587">
        <f>MAX(T2586,R2587)</f>
        <v/>
      </c>
      <c r="U2587">
        <f>R2587/T2587-1</f>
        <v/>
      </c>
      <c r="V2587" t="n">
        <v>6.289535173211629</v>
      </c>
      <c r="W2587" s="5">
        <f>R2587-V2587</f>
        <v/>
      </c>
    </row>
    <row r="2588">
      <c r="A2588" s="3" t="n">
        <v>42243</v>
      </c>
      <c r="B2588">
        <f>Prices!B2588</f>
        <v/>
      </c>
      <c r="C2588">
        <f>Prices!C2588</f>
        <v/>
      </c>
      <c r="D2588">
        <f>Prices!D2588</f>
        <v/>
      </c>
      <c r="E2588">
        <f>Prices!E2588</f>
        <v/>
      </c>
      <c r="F2588">
        <f>Prices!F2588</f>
        <v/>
      </c>
      <c r="G2588">
        <f>IF(AND(2586&gt;=16,TEXT(A2588,"yyyy-mm")&lt;&gt;TEXT(A2589,"yyyy-mm")),1,0)</f>
        <v/>
      </c>
      <c r="H2588">
        <f>IF(OR(H2587=1,G2588=1),1,0)</f>
        <v/>
      </c>
      <c r="I2588">
        <f>IF(H2587=0,1,SUMPRODUCT(J2587:N2587,B2588:F2588)+O2587*(1+0.00023125256064071564))</f>
        <v/>
      </c>
      <c r="J2588">
        <f>IF(G2588=1,0.2*R2588/B2588,J2587)</f>
        <v/>
      </c>
      <c r="K2588">
        <f>IF(G2588=1,0.2*R2588/C2588,K2587)</f>
        <v/>
      </c>
      <c r="L2588">
        <f>IF(G2588=1,0.2*R2588/D2588,L2587)</f>
        <v/>
      </c>
      <c r="M2588">
        <f>IF(G2588=1,0.2*R2588/E2588,M2587)</f>
        <v/>
      </c>
      <c r="N2588">
        <f>IF(G2588=1,0.2*R2588/F2588,N2587)</f>
        <v/>
      </c>
      <c r="O2588">
        <f>IF(G2588=1,R2588*(1-1.0),IF(H2587=0,1,O2587*(1+0.00023125256064071564)))</f>
        <v/>
      </c>
      <c r="P2588">
        <f>IF(G2588=1,IF(H2587=0,1,ABS(0.2-J2587*B2588/I2588)+ABS(0.2-K2587*C2588/I2588)+ABS(0.2-L2587*D2588/I2588)+ABS(0.2-M2587*E2588/I2588)+ABS(0.2-N2587*F2588/I2588)),0)</f>
        <v/>
      </c>
      <c r="Q2588">
        <f>P2588*0.0015</f>
        <v/>
      </c>
      <c r="R2588">
        <f>I2588*(1-Q2588)</f>
        <v/>
      </c>
      <c r="S2588">
        <f>R2588/R2587-1</f>
        <v/>
      </c>
      <c r="T2588">
        <f>MAX(T2587,R2588)</f>
        <v/>
      </c>
      <c r="U2588">
        <f>R2588/T2588-1</f>
        <v/>
      </c>
      <c r="V2588" t="n">
        <v>6.44648076690069</v>
      </c>
      <c r="W2588" s="5">
        <f>R2588-V2588</f>
        <v/>
      </c>
    </row>
    <row r="2589">
      <c r="A2589" s="3" t="n">
        <v>42244</v>
      </c>
      <c r="B2589">
        <f>Prices!B2589</f>
        <v/>
      </c>
      <c r="C2589">
        <f>Prices!C2589</f>
        <v/>
      </c>
      <c r="D2589">
        <f>Prices!D2589</f>
        <v/>
      </c>
      <c r="E2589">
        <f>Prices!E2589</f>
        <v/>
      </c>
      <c r="F2589">
        <f>Prices!F2589</f>
        <v/>
      </c>
      <c r="G2589">
        <f>IF(AND(2587&gt;=16,TEXT(A2589,"yyyy-mm")&lt;&gt;TEXT(A2590,"yyyy-mm")),1,0)</f>
        <v/>
      </c>
      <c r="H2589">
        <f>IF(OR(H2588=1,G2589=1),1,0)</f>
        <v/>
      </c>
      <c r="I2589">
        <f>IF(H2588=0,1,SUMPRODUCT(J2588:N2588,B2589:F2589)+O2588*(1+0.00023125256064071564))</f>
        <v/>
      </c>
      <c r="J2589">
        <f>IF(G2589=1,0.2*R2589/B2589,J2588)</f>
        <v/>
      </c>
      <c r="K2589">
        <f>IF(G2589=1,0.2*R2589/C2589,K2588)</f>
        <v/>
      </c>
      <c r="L2589">
        <f>IF(G2589=1,0.2*R2589/D2589,L2588)</f>
        <v/>
      </c>
      <c r="M2589">
        <f>IF(G2589=1,0.2*R2589/E2589,M2588)</f>
        <v/>
      </c>
      <c r="N2589">
        <f>IF(G2589=1,0.2*R2589/F2589,N2588)</f>
        <v/>
      </c>
      <c r="O2589">
        <f>IF(G2589=1,R2589*(1-1.0),IF(H2588=0,1,O2588*(1+0.00023125256064071564)))</f>
        <v/>
      </c>
      <c r="P2589">
        <f>IF(G2589=1,IF(H2588=0,1,ABS(0.2-J2588*B2589/I2589)+ABS(0.2-K2588*C2589/I2589)+ABS(0.2-L2588*D2589/I2589)+ABS(0.2-M2588*E2589/I2589)+ABS(0.2-N2588*F2589/I2589)),0)</f>
        <v/>
      </c>
      <c r="Q2589">
        <f>P2589*0.0015</f>
        <v/>
      </c>
      <c r="R2589">
        <f>I2589*(1-Q2589)</f>
        <v/>
      </c>
      <c r="S2589">
        <f>R2589/R2588-1</f>
        <v/>
      </c>
      <c r="T2589">
        <f>MAX(T2588,R2589)</f>
        <v/>
      </c>
      <c r="U2589">
        <f>R2589/T2589-1</f>
        <v/>
      </c>
      <c r="V2589" t="n">
        <v>6.467166653647812</v>
      </c>
      <c r="W2589" s="5">
        <f>R2589-V2589</f>
        <v/>
      </c>
    </row>
    <row r="2590">
      <c r="A2590" s="3" t="n">
        <v>42247</v>
      </c>
      <c r="B2590">
        <f>Prices!B2590</f>
        <v/>
      </c>
      <c r="C2590">
        <f>Prices!C2590</f>
        <v/>
      </c>
      <c r="D2590">
        <f>Prices!D2590</f>
        <v/>
      </c>
      <c r="E2590">
        <f>Prices!E2590</f>
        <v/>
      </c>
      <c r="F2590">
        <f>Prices!F2590</f>
        <v/>
      </c>
      <c r="G2590">
        <f>IF(AND(2588&gt;=16,TEXT(A2590,"yyyy-mm")&lt;&gt;TEXT(A2591,"yyyy-mm")),1,0)</f>
        <v/>
      </c>
      <c r="H2590">
        <f>IF(OR(H2589=1,G2590=1),1,0)</f>
        <v/>
      </c>
      <c r="I2590">
        <f>IF(H2589=0,1,SUMPRODUCT(J2589:N2589,B2590:F2590)+O2589*(1+0.00023125256064071564))</f>
        <v/>
      </c>
      <c r="J2590">
        <f>IF(G2590=1,0.2*R2590/B2590,J2589)</f>
        <v/>
      </c>
      <c r="K2590">
        <f>IF(G2590=1,0.2*R2590/C2590,K2589)</f>
        <v/>
      </c>
      <c r="L2590">
        <f>IF(G2590=1,0.2*R2590/D2590,L2589)</f>
        <v/>
      </c>
      <c r="M2590">
        <f>IF(G2590=1,0.2*R2590/E2590,M2589)</f>
        <v/>
      </c>
      <c r="N2590">
        <f>IF(G2590=1,0.2*R2590/F2590,N2589)</f>
        <v/>
      </c>
      <c r="O2590">
        <f>IF(G2590=1,R2590*(1-1.0),IF(H2589=0,1,O2589*(1+0.00023125256064071564)))</f>
        <v/>
      </c>
      <c r="P2590">
        <f>IF(G2590=1,IF(H2589=0,1,ABS(0.2-J2589*B2590/I2590)+ABS(0.2-K2589*C2590/I2590)+ABS(0.2-L2589*D2590/I2590)+ABS(0.2-M2589*E2590/I2590)+ABS(0.2-N2589*F2590/I2590)),0)</f>
        <v/>
      </c>
      <c r="Q2590">
        <f>P2590*0.0015</f>
        <v/>
      </c>
      <c r="R2590">
        <f>I2590*(1-Q2590)</f>
        <v/>
      </c>
      <c r="S2590">
        <f>R2590/R2589-1</f>
        <v/>
      </c>
      <c r="T2590">
        <f>MAX(T2589,R2590)</f>
        <v/>
      </c>
      <c r="U2590">
        <f>R2590/T2590-1</f>
        <v/>
      </c>
      <c r="V2590" t="n">
        <v>6.464174291523229</v>
      </c>
      <c r="W2590" s="5">
        <f>R2590-V2590</f>
        <v/>
      </c>
    </row>
    <row r="2591">
      <c r="A2591" s="3" t="n">
        <v>42248</v>
      </c>
      <c r="B2591">
        <f>Prices!B2591</f>
        <v/>
      </c>
      <c r="C2591">
        <f>Prices!C2591</f>
        <v/>
      </c>
      <c r="D2591">
        <f>Prices!D2591</f>
        <v/>
      </c>
      <c r="E2591">
        <f>Prices!E2591</f>
        <v/>
      </c>
      <c r="F2591">
        <f>Prices!F2591</f>
        <v/>
      </c>
      <c r="G2591">
        <f>IF(AND(2589&gt;=16,TEXT(A2591,"yyyy-mm")&lt;&gt;TEXT(A2592,"yyyy-mm")),1,0)</f>
        <v/>
      </c>
      <c r="H2591">
        <f>IF(OR(H2590=1,G2591=1),1,0)</f>
        <v/>
      </c>
      <c r="I2591">
        <f>IF(H2590=0,1,SUMPRODUCT(J2590:N2590,B2591:F2591)+O2590*(1+0.00023125256064071564))</f>
        <v/>
      </c>
      <c r="J2591">
        <f>IF(G2591=1,0.2*R2591/B2591,J2590)</f>
        <v/>
      </c>
      <c r="K2591">
        <f>IF(G2591=1,0.2*R2591/C2591,K2590)</f>
        <v/>
      </c>
      <c r="L2591">
        <f>IF(G2591=1,0.2*R2591/D2591,L2590)</f>
        <v/>
      </c>
      <c r="M2591">
        <f>IF(G2591=1,0.2*R2591/E2591,M2590)</f>
        <v/>
      </c>
      <c r="N2591">
        <f>IF(G2591=1,0.2*R2591/F2591,N2590)</f>
        <v/>
      </c>
      <c r="O2591">
        <f>IF(G2591=1,R2591*(1-1.0),IF(H2590=0,1,O2590*(1+0.00023125256064071564)))</f>
        <v/>
      </c>
      <c r="P2591">
        <f>IF(G2591=1,IF(H2590=0,1,ABS(0.2-J2590*B2591/I2591)+ABS(0.2-K2590*C2591/I2591)+ABS(0.2-L2590*D2591/I2591)+ABS(0.2-M2590*E2591/I2591)+ABS(0.2-N2590*F2591/I2591)),0)</f>
        <v/>
      </c>
      <c r="Q2591">
        <f>P2591*0.0015</f>
        <v/>
      </c>
      <c r="R2591">
        <f>I2591*(1-Q2591)</f>
        <v/>
      </c>
      <c r="S2591">
        <f>R2591/R2590-1</f>
        <v/>
      </c>
      <c r="T2591">
        <f>MAX(T2590,R2591)</f>
        <v/>
      </c>
      <c r="U2591">
        <f>R2591/T2591-1</f>
        <v/>
      </c>
      <c r="V2591" t="n">
        <v>6.314965440921218</v>
      </c>
      <c r="W2591" s="5">
        <f>R2591-V2591</f>
        <v/>
      </c>
    </row>
    <row r="2592">
      <c r="A2592" s="3" t="n">
        <v>42249</v>
      </c>
      <c r="B2592">
        <f>Prices!B2592</f>
        <v/>
      </c>
      <c r="C2592">
        <f>Prices!C2592</f>
        <v/>
      </c>
      <c r="D2592">
        <f>Prices!D2592</f>
        <v/>
      </c>
      <c r="E2592">
        <f>Prices!E2592</f>
        <v/>
      </c>
      <c r="F2592">
        <f>Prices!F2592</f>
        <v/>
      </c>
      <c r="G2592">
        <f>IF(AND(2590&gt;=16,TEXT(A2592,"yyyy-mm")&lt;&gt;TEXT(A2593,"yyyy-mm")),1,0)</f>
        <v/>
      </c>
      <c r="H2592">
        <f>IF(OR(H2591=1,G2592=1),1,0)</f>
        <v/>
      </c>
      <c r="I2592">
        <f>IF(H2591=0,1,SUMPRODUCT(J2591:N2591,B2592:F2592)+O2591*(1+0.00023125256064071564))</f>
        <v/>
      </c>
      <c r="J2592">
        <f>IF(G2592=1,0.2*R2592/B2592,J2591)</f>
        <v/>
      </c>
      <c r="K2592">
        <f>IF(G2592=1,0.2*R2592/C2592,K2591)</f>
        <v/>
      </c>
      <c r="L2592">
        <f>IF(G2592=1,0.2*R2592/D2592,L2591)</f>
        <v/>
      </c>
      <c r="M2592">
        <f>IF(G2592=1,0.2*R2592/E2592,M2591)</f>
        <v/>
      </c>
      <c r="N2592">
        <f>IF(G2592=1,0.2*R2592/F2592,N2591)</f>
        <v/>
      </c>
      <c r="O2592">
        <f>IF(G2592=1,R2592*(1-1.0),IF(H2591=0,1,O2591*(1+0.00023125256064071564)))</f>
        <v/>
      </c>
      <c r="P2592">
        <f>IF(G2592=1,IF(H2591=0,1,ABS(0.2-J2591*B2592/I2592)+ABS(0.2-K2591*C2592/I2592)+ABS(0.2-L2591*D2592/I2592)+ABS(0.2-M2591*E2592/I2592)+ABS(0.2-N2591*F2592/I2592)),0)</f>
        <v/>
      </c>
      <c r="Q2592">
        <f>P2592*0.0015</f>
        <v/>
      </c>
      <c r="R2592">
        <f>I2592*(1-Q2592)</f>
        <v/>
      </c>
      <c r="S2592">
        <f>R2592/R2591-1</f>
        <v/>
      </c>
      <c r="T2592">
        <f>MAX(T2591,R2592)</f>
        <v/>
      </c>
      <c r="U2592">
        <f>R2592/T2592-1</f>
        <v/>
      </c>
      <c r="V2592" t="n">
        <v>6.286325329791961</v>
      </c>
      <c r="W2592" s="5">
        <f>R2592-V2592</f>
        <v/>
      </c>
    </row>
    <row r="2593">
      <c r="A2593" s="3" t="n">
        <v>42250</v>
      </c>
      <c r="B2593">
        <f>Prices!B2593</f>
        <v/>
      </c>
      <c r="C2593">
        <f>Prices!C2593</f>
        <v/>
      </c>
      <c r="D2593">
        <f>Prices!D2593</f>
        <v/>
      </c>
      <c r="E2593">
        <f>Prices!E2593</f>
        <v/>
      </c>
      <c r="F2593">
        <f>Prices!F2593</f>
        <v/>
      </c>
      <c r="G2593">
        <f>IF(AND(2591&gt;=16,TEXT(A2593,"yyyy-mm")&lt;&gt;TEXT(A2594,"yyyy-mm")),1,0)</f>
        <v/>
      </c>
      <c r="H2593">
        <f>IF(OR(H2592=1,G2593=1),1,0)</f>
        <v/>
      </c>
      <c r="I2593">
        <f>IF(H2592=0,1,SUMPRODUCT(J2592:N2592,B2593:F2593)+O2592*(1+0.00023125256064071564))</f>
        <v/>
      </c>
      <c r="J2593">
        <f>IF(G2593=1,0.2*R2593/B2593,J2592)</f>
        <v/>
      </c>
      <c r="K2593">
        <f>IF(G2593=1,0.2*R2593/C2593,K2592)</f>
        <v/>
      </c>
      <c r="L2593">
        <f>IF(G2593=1,0.2*R2593/D2593,L2592)</f>
        <v/>
      </c>
      <c r="M2593">
        <f>IF(G2593=1,0.2*R2593/E2593,M2592)</f>
        <v/>
      </c>
      <c r="N2593">
        <f>IF(G2593=1,0.2*R2593/F2593,N2592)</f>
        <v/>
      </c>
      <c r="O2593">
        <f>IF(G2593=1,R2593*(1-1.0),IF(H2592=0,1,O2592*(1+0.00023125256064071564)))</f>
        <v/>
      </c>
      <c r="P2593">
        <f>IF(G2593=1,IF(H2592=0,1,ABS(0.2-J2592*B2593/I2593)+ABS(0.2-K2592*C2593/I2593)+ABS(0.2-L2592*D2593/I2593)+ABS(0.2-M2592*E2593/I2593)+ABS(0.2-N2592*F2593/I2593)),0)</f>
        <v/>
      </c>
      <c r="Q2593">
        <f>P2593*0.0015</f>
        <v/>
      </c>
      <c r="R2593">
        <f>I2593*(1-Q2593)</f>
        <v/>
      </c>
      <c r="S2593">
        <f>R2593/R2592-1</f>
        <v/>
      </c>
      <c r="T2593">
        <f>MAX(T2592,R2593)</f>
        <v/>
      </c>
      <c r="U2593">
        <f>R2593/T2593-1</f>
        <v/>
      </c>
      <c r="V2593" t="n">
        <v>6.362056705788767</v>
      </c>
      <c r="W2593" s="5">
        <f>R2593-V2593</f>
        <v/>
      </c>
    </row>
    <row r="2594">
      <c r="A2594" s="3" t="n">
        <v>42251</v>
      </c>
      <c r="B2594">
        <f>Prices!B2594</f>
        <v/>
      </c>
      <c r="C2594">
        <f>Prices!C2594</f>
        <v/>
      </c>
      <c r="D2594">
        <f>Prices!D2594</f>
        <v/>
      </c>
      <c r="E2594">
        <f>Prices!E2594</f>
        <v/>
      </c>
      <c r="F2594">
        <f>Prices!F2594</f>
        <v/>
      </c>
      <c r="G2594">
        <f>IF(AND(2592&gt;=16,TEXT(A2594,"yyyy-mm")&lt;&gt;TEXT(A2595,"yyyy-mm")),1,0)</f>
        <v/>
      </c>
      <c r="H2594">
        <f>IF(OR(H2593=1,G2594=1),1,0)</f>
        <v/>
      </c>
      <c r="I2594">
        <f>IF(H2593=0,1,SUMPRODUCT(J2593:N2593,B2594:F2594)+O2593*(1+0.00023125256064071564))</f>
        <v/>
      </c>
      <c r="J2594">
        <f>IF(G2594=1,0.2*R2594/B2594,J2593)</f>
        <v/>
      </c>
      <c r="K2594">
        <f>IF(G2594=1,0.2*R2594/C2594,K2593)</f>
        <v/>
      </c>
      <c r="L2594">
        <f>IF(G2594=1,0.2*R2594/D2594,L2593)</f>
        <v/>
      </c>
      <c r="M2594">
        <f>IF(G2594=1,0.2*R2594/E2594,M2593)</f>
        <v/>
      </c>
      <c r="N2594">
        <f>IF(G2594=1,0.2*R2594/F2594,N2593)</f>
        <v/>
      </c>
      <c r="O2594">
        <f>IF(G2594=1,R2594*(1-1.0),IF(H2593=0,1,O2593*(1+0.00023125256064071564)))</f>
        <v/>
      </c>
      <c r="P2594">
        <f>IF(G2594=1,IF(H2593=0,1,ABS(0.2-J2593*B2594/I2594)+ABS(0.2-K2593*C2594/I2594)+ABS(0.2-L2593*D2594/I2594)+ABS(0.2-M2593*E2594/I2594)+ABS(0.2-N2593*F2594/I2594)),0)</f>
        <v/>
      </c>
      <c r="Q2594">
        <f>P2594*0.0015</f>
        <v/>
      </c>
      <c r="R2594">
        <f>I2594*(1-Q2594)</f>
        <v/>
      </c>
      <c r="S2594">
        <f>R2594/R2593-1</f>
        <v/>
      </c>
      <c r="T2594">
        <f>MAX(T2593,R2594)</f>
        <v/>
      </c>
      <c r="U2594">
        <f>R2594/T2594-1</f>
        <v/>
      </c>
      <c r="V2594" t="n">
        <v>6.220763945929376</v>
      </c>
      <c r="W2594" s="5">
        <f>R2594-V2594</f>
        <v/>
      </c>
    </row>
    <row r="2595">
      <c r="A2595" s="3" t="n">
        <v>42254</v>
      </c>
      <c r="B2595">
        <f>Prices!B2595</f>
        <v/>
      </c>
      <c r="C2595">
        <f>Prices!C2595</f>
        <v/>
      </c>
      <c r="D2595">
        <f>Prices!D2595</f>
        <v/>
      </c>
      <c r="E2595">
        <f>Prices!E2595</f>
        <v/>
      </c>
      <c r="F2595">
        <f>Prices!F2595</f>
        <v/>
      </c>
      <c r="G2595">
        <f>IF(AND(2593&gt;=16,TEXT(A2595,"yyyy-mm")&lt;&gt;TEXT(A2596,"yyyy-mm")),1,0)</f>
        <v/>
      </c>
      <c r="H2595">
        <f>IF(OR(H2594=1,G2595=1),1,0)</f>
        <v/>
      </c>
      <c r="I2595">
        <f>IF(H2594=0,1,SUMPRODUCT(J2594:N2594,B2595:F2595)+O2594*(1+0.00023125256064071564))</f>
        <v/>
      </c>
      <c r="J2595">
        <f>IF(G2595=1,0.2*R2595/B2595,J2594)</f>
        <v/>
      </c>
      <c r="K2595">
        <f>IF(G2595=1,0.2*R2595/C2595,K2594)</f>
        <v/>
      </c>
      <c r="L2595">
        <f>IF(G2595=1,0.2*R2595/D2595,L2594)</f>
        <v/>
      </c>
      <c r="M2595">
        <f>IF(G2595=1,0.2*R2595/E2595,M2594)</f>
        <v/>
      </c>
      <c r="N2595">
        <f>IF(G2595=1,0.2*R2595/F2595,N2594)</f>
        <v/>
      </c>
      <c r="O2595">
        <f>IF(G2595=1,R2595*(1-1.0),IF(H2594=0,1,O2594*(1+0.00023125256064071564)))</f>
        <v/>
      </c>
      <c r="P2595">
        <f>IF(G2595=1,IF(H2594=0,1,ABS(0.2-J2594*B2595/I2595)+ABS(0.2-K2594*C2595/I2595)+ABS(0.2-L2594*D2595/I2595)+ABS(0.2-M2594*E2595/I2595)+ABS(0.2-N2594*F2595/I2595)),0)</f>
        <v/>
      </c>
      <c r="Q2595">
        <f>P2595*0.0015</f>
        <v/>
      </c>
      <c r="R2595">
        <f>I2595*(1-Q2595)</f>
        <v/>
      </c>
      <c r="S2595">
        <f>R2595/R2594-1</f>
        <v/>
      </c>
      <c r="T2595">
        <f>MAX(T2594,R2595)</f>
        <v/>
      </c>
      <c r="U2595">
        <f>R2595/T2595-1</f>
        <v/>
      </c>
      <c r="V2595" t="n">
        <v>6.092386217518463</v>
      </c>
      <c r="W2595" s="5">
        <f>R2595-V2595</f>
        <v/>
      </c>
    </row>
    <row r="2596">
      <c r="A2596" s="3" t="n">
        <v>42255</v>
      </c>
      <c r="B2596">
        <f>Prices!B2596</f>
        <v/>
      </c>
      <c r="C2596">
        <f>Prices!C2596</f>
        <v/>
      </c>
      <c r="D2596">
        <f>Prices!D2596</f>
        <v/>
      </c>
      <c r="E2596">
        <f>Prices!E2596</f>
        <v/>
      </c>
      <c r="F2596">
        <f>Prices!F2596</f>
        <v/>
      </c>
      <c r="G2596">
        <f>IF(AND(2594&gt;=16,TEXT(A2596,"yyyy-mm")&lt;&gt;TEXT(A2597,"yyyy-mm")),1,0)</f>
        <v/>
      </c>
      <c r="H2596">
        <f>IF(OR(H2595=1,G2596=1),1,0)</f>
        <v/>
      </c>
      <c r="I2596">
        <f>IF(H2595=0,1,SUMPRODUCT(J2595:N2595,B2596:F2596)+O2595*(1+0.00023125256064071564))</f>
        <v/>
      </c>
      <c r="J2596">
        <f>IF(G2596=1,0.2*R2596/B2596,J2595)</f>
        <v/>
      </c>
      <c r="K2596">
        <f>IF(G2596=1,0.2*R2596/C2596,K2595)</f>
        <v/>
      </c>
      <c r="L2596">
        <f>IF(G2596=1,0.2*R2596/D2596,L2595)</f>
        <v/>
      </c>
      <c r="M2596">
        <f>IF(G2596=1,0.2*R2596/E2596,M2595)</f>
        <v/>
      </c>
      <c r="N2596">
        <f>IF(G2596=1,0.2*R2596/F2596,N2595)</f>
        <v/>
      </c>
      <c r="O2596">
        <f>IF(G2596=1,R2596*(1-1.0),IF(H2595=0,1,O2595*(1+0.00023125256064071564)))</f>
        <v/>
      </c>
      <c r="P2596">
        <f>IF(G2596=1,IF(H2595=0,1,ABS(0.2-J2595*B2596/I2596)+ABS(0.2-K2595*C2596/I2596)+ABS(0.2-L2595*D2596/I2596)+ABS(0.2-M2595*E2596/I2596)+ABS(0.2-N2595*F2596/I2596)),0)</f>
        <v/>
      </c>
      <c r="Q2596">
        <f>P2596*0.0015</f>
        <v/>
      </c>
      <c r="R2596">
        <f>I2596*(1-Q2596)</f>
        <v/>
      </c>
      <c r="S2596">
        <f>R2596/R2595-1</f>
        <v/>
      </c>
      <c r="T2596">
        <f>MAX(T2595,R2596)</f>
        <v/>
      </c>
      <c r="U2596">
        <f>R2596/T2596-1</f>
        <v/>
      </c>
      <c r="V2596" t="n">
        <v>6.134109085273746</v>
      </c>
      <c r="W2596" s="5">
        <f>R2596-V2596</f>
        <v/>
      </c>
    </row>
    <row r="2597">
      <c r="A2597" s="3" t="n">
        <v>42256</v>
      </c>
      <c r="B2597">
        <f>Prices!B2597</f>
        <v/>
      </c>
      <c r="C2597">
        <f>Prices!C2597</f>
        <v/>
      </c>
      <c r="D2597">
        <f>Prices!D2597</f>
        <v/>
      </c>
      <c r="E2597">
        <f>Prices!E2597</f>
        <v/>
      </c>
      <c r="F2597">
        <f>Prices!F2597</f>
        <v/>
      </c>
      <c r="G2597">
        <f>IF(AND(2595&gt;=16,TEXT(A2597,"yyyy-mm")&lt;&gt;TEXT(A2598,"yyyy-mm")),1,0)</f>
        <v/>
      </c>
      <c r="H2597">
        <f>IF(OR(H2596=1,G2597=1),1,0)</f>
        <v/>
      </c>
      <c r="I2597">
        <f>IF(H2596=0,1,SUMPRODUCT(J2596:N2596,B2597:F2597)+O2596*(1+0.00023125256064071564))</f>
        <v/>
      </c>
      <c r="J2597">
        <f>IF(G2597=1,0.2*R2597/B2597,J2596)</f>
        <v/>
      </c>
      <c r="K2597">
        <f>IF(G2597=1,0.2*R2597/C2597,K2596)</f>
        <v/>
      </c>
      <c r="L2597">
        <f>IF(G2597=1,0.2*R2597/D2597,L2596)</f>
        <v/>
      </c>
      <c r="M2597">
        <f>IF(G2597=1,0.2*R2597/E2597,M2596)</f>
        <v/>
      </c>
      <c r="N2597">
        <f>IF(G2597=1,0.2*R2597/F2597,N2596)</f>
        <v/>
      </c>
      <c r="O2597">
        <f>IF(G2597=1,R2597*(1-1.0),IF(H2596=0,1,O2596*(1+0.00023125256064071564)))</f>
        <v/>
      </c>
      <c r="P2597">
        <f>IF(G2597=1,IF(H2596=0,1,ABS(0.2-J2596*B2597/I2597)+ABS(0.2-K2596*C2597/I2597)+ABS(0.2-L2596*D2597/I2597)+ABS(0.2-M2596*E2597/I2597)+ABS(0.2-N2596*F2597/I2597)),0)</f>
        <v/>
      </c>
      <c r="Q2597">
        <f>P2597*0.0015</f>
        <v/>
      </c>
      <c r="R2597">
        <f>I2597*(1-Q2597)</f>
        <v/>
      </c>
      <c r="S2597">
        <f>R2597/R2596-1</f>
        <v/>
      </c>
      <c r="T2597">
        <f>MAX(T2596,R2597)</f>
        <v/>
      </c>
      <c r="U2597">
        <f>R2597/T2597-1</f>
        <v/>
      </c>
      <c r="V2597" t="n">
        <v>6.249968923203351</v>
      </c>
      <c r="W2597" s="5">
        <f>R2597-V2597</f>
        <v/>
      </c>
    </row>
    <row r="2598">
      <c r="A2598" s="3" t="n">
        <v>42257</v>
      </c>
      <c r="B2598">
        <f>Prices!B2598</f>
        <v/>
      </c>
      <c r="C2598">
        <f>Prices!C2598</f>
        <v/>
      </c>
      <c r="D2598">
        <f>Prices!D2598</f>
        <v/>
      </c>
      <c r="E2598">
        <f>Prices!E2598</f>
        <v/>
      </c>
      <c r="F2598">
        <f>Prices!F2598</f>
        <v/>
      </c>
      <c r="G2598">
        <f>IF(AND(2596&gt;=16,TEXT(A2598,"yyyy-mm")&lt;&gt;TEXT(A2599,"yyyy-mm")),1,0)</f>
        <v/>
      </c>
      <c r="H2598">
        <f>IF(OR(H2597=1,G2598=1),1,0)</f>
        <v/>
      </c>
      <c r="I2598">
        <f>IF(H2597=0,1,SUMPRODUCT(J2597:N2597,B2598:F2598)+O2597*(1+0.00023125256064071564))</f>
        <v/>
      </c>
      <c r="J2598">
        <f>IF(G2598=1,0.2*R2598/B2598,J2597)</f>
        <v/>
      </c>
      <c r="K2598">
        <f>IF(G2598=1,0.2*R2598/C2598,K2597)</f>
        <v/>
      </c>
      <c r="L2598">
        <f>IF(G2598=1,0.2*R2598/D2598,L2597)</f>
        <v/>
      </c>
      <c r="M2598">
        <f>IF(G2598=1,0.2*R2598/E2598,M2597)</f>
        <v/>
      </c>
      <c r="N2598">
        <f>IF(G2598=1,0.2*R2598/F2598,N2597)</f>
        <v/>
      </c>
      <c r="O2598">
        <f>IF(G2598=1,R2598*(1-1.0),IF(H2597=0,1,O2597*(1+0.00023125256064071564)))</f>
        <v/>
      </c>
      <c r="P2598">
        <f>IF(G2598=1,IF(H2597=0,1,ABS(0.2-J2597*B2598/I2598)+ABS(0.2-K2597*C2598/I2598)+ABS(0.2-L2597*D2598/I2598)+ABS(0.2-M2597*E2598/I2598)+ABS(0.2-N2597*F2598/I2598)),0)</f>
        <v/>
      </c>
      <c r="Q2598">
        <f>P2598*0.0015</f>
        <v/>
      </c>
      <c r="R2598">
        <f>I2598*(1-Q2598)</f>
        <v/>
      </c>
      <c r="S2598">
        <f>R2598/R2597-1</f>
        <v/>
      </c>
      <c r="T2598">
        <f>MAX(T2597,R2598)</f>
        <v/>
      </c>
      <c r="U2598">
        <f>R2598/T2598-1</f>
        <v/>
      </c>
      <c r="V2598" t="n">
        <v>6.228000986673485</v>
      </c>
      <c r="W2598" s="5">
        <f>R2598-V2598</f>
        <v/>
      </c>
    </row>
    <row r="2599">
      <c r="A2599" s="3" t="n">
        <v>42258</v>
      </c>
      <c r="B2599">
        <f>Prices!B2599</f>
        <v/>
      </c>
      <c r="C2599">
        <f>Prices!C2599</f>
        <v/>
      </c>
      <c r="D2599">
        <f>Prices!D2599</f>
        <v/>
      </c>
      <c r="E2599">
        <f>Prices!E2599</f>
        <v/>
      </c>
      <c r="F2599">
        <f>Prices!F2599</f>
        <v/>
      </c>
      <c r="G2599">
        <f>IF(AND(2597&gt;=16,TEXT(A2599,"yyyy-mm")&lt;&gt;TEXT(A2600,"yyyy-mm")),1,0)</f>
        <v/>
      </c>
      <c r="H2599">
        <f>IF(OR(H2598=1,G2599=1),1,0)</f>
        <v/>
      </c>
      <c r="I2599">
        <f>IF(H2598=0,1,SUMPRODUCT(J2598:N2598,B2599:F2599)+O2598*(1+0.00023125256064071564))</f>
        <v/>
      </c>
      <c r="J2599">
        <f>IF(G2599=1,0.2*R2599/B2599,J2598)</f>
        <v/>
      </c>
      <c r="K2599">
        <f>IF(G2599=1,0.2*R2599/C2599,K2598)</f>
        <v/>
      </c>
      <c r="L2599">
        <f>IF(G2599=1,0.2*R2599/D2599,L2598)</f>
        <v/>
      </c>
      <c r="M2599">
        <f>IF(G2599=1,0.2*R2599/E2599,M2598)</f>
        <v/>
      </c>
      <c r="N2599">
        <f>IF(G2599=1,0.2*R2599/F2599,N2598)</f>
        <v/>
      </c>
      <c r="O2599">
        <f>IF(G2599=1,R2599*(1-1.0),IF(H2598=0,1,O2598*(1+0.00023125256064071564)))</f>
        <v/>
      </c>
      <c r="P2599">
        <f>IF(G2599=1,IF(H2598=0,1,ABS(0.2-J2598*B2599/I2599)+ABS(0.2-K2598*C2599/I2599)+ABS(0.2-L2598*D2599/I2599)+ABS(0.2-M2598*E2599/I2599)+ABS(0.2-N2598*F2599/I2599)),0)</f>
        <v/>
      </c>
      <c r="Q2599">
        <f>P2599*0.0015</f>
        <v/>
      </c>
      <c r="R2599">
        <f>I2599*(1-Q2599)</f>
        <v/>
      </c>
      <c r="S2599">
        <f>R2599/R2598-1</f>
        <v/>
      </c>
      <c r="T2599">
        <f>MAX(T2598,R2599)</f>
        <v/>
      </c>
      <c r="U2599">
        <f>R2599/T2599-1</f>
        <v/>
      </c>
      <c r="V2599" t="n">
        <v>6.255111953517617</v>
      </c>
      <c r="W2599" s="5">
        <f>R2599-V2599</f>
        <v/>
      </c>
    </row>
    <row r="2600">
      <c r="A2600" s="3" t="n">
        <v>42261</v>
      </c>
      <c r="B2600">
        <f>Prices!B2600</f>
        <v/>
      </c>
      <c r="C2600">
        <f>Prices!C2600</f>
        <v/>
      </c>
      <c r="D2600">
        <f>Prices!D2600</f>
        <v/>
      </c>
      <c r="E2600">
        <f>Prices!E2600</f>
        <v/>
      </c>
      <c r="F2600">
        <f>Prices!F2600</f>
        <v/>
      </c>
      <c r="G2600">
        <f>IF(AND(2598&gt;=16,TEXT(A2600,"yyyy-mm")&lt;&gt;TEXT(A2601,"yyyy-mm")),1,0)</f>
        <v/>
      </c>
      <c r="H2600">
        <f>IF(OR(H2599=1,G2600=1),1,0)</f>
        <v/>
      </c>
      <c r="I2600">
        <f>IF(H2599=0,1,SUMPRODUCT(J2599:N2599,B2600:F2600)+O2599*(1+0.00023125256064071564))</f>
        <v/>
      </c>
      <c r="J2600">
        <f>IF(G2600=1,0.2*R2600/B2600,J2599)</f>
        <v/>
      </c>
      <c r="K2600">
        <f>IF(G2600=1,0.2*R2600/C2600,K2599)</f>
        <v/>
      </c>
      <c r="L2600">
        <f>IF(G2600=1,0.2*R2600/D2600,L2599)</f>
        <v/>
      </c>
      <c r="M2600">
        <f>IF(G2600=1,0.2*R2600/E2600,M2599)</f>
        <v/>
      </c>
      <c r="N2600">
        <f>IF(G2600=1,0.2*R2600/F2600,N2599)</f>
        <v/>
      </c>
      <c r="O2600">
        <f>IF(G2600=1,R2600*(1-1.0),IF(H2599=0,1,O2599*(1+0.00023125256064071564)))</f>
        <v/>
      </c>
      <c r="P2600">
        <f>IF(G2600=1,IF(H2599=0,1,ABS(0.2-J2599*B2600/I2600)+ABS(0.2-K2599*C2600/I2600)+ABS(0.2-L2599*D2600/I2600)+ABS(0.2-M2599*E2600/I2600)+ABS(0.2-N2599*F2600/I2600)),0)</f>
        <v/>
      </c>
      <c r="Q2600">
        <f>P2600*0.0015</f>
        <v/>
      </c>
      <c r="R2600">
        <f>I2600*(1-Q2600)</f>
        <v/>
      </c>
      <c r="S2600">
        <f>R2600/R2599-1</f>
        <v/>
      </c>
      <c r="T2600">
        <f>MAX(T2599,R2600)</f>
        <v/>
      </c>
      <c r="U2600">
        <f>R2600/T2600-1</f>
        <v/>
      </c>
      <c r="V2600" t="n">
        <v>6.321949189728941</v>
      </c>
      <c r="W2600" s="5">
        <f>R2600-V2600</f>
        <v/>
      </c>
    </row>
    <row r="2601">
      <c r="A2601" s="3" t="n">
        <v>42262</v>
      </c>
      <c r="B2601">
        <f>Prices!B2601</f>
        <v/>
      </c>
      <c r="C2601">
        <f>Prices!C2601</f>
        <v/>
      </c>
      <c r="D2601">
        <f>Prices!D2601</f>
        <v/>
      </c>
      <c r="E2601">
        <f>Prices!E2601</f>
        <v/>
      </c>
      <c r="F2601">
        <f>Prices!F2601</f>
        <v/>
      </c>
      <c r="G2601">
        <f>IF(AND(2599&gt;=16,TEXT(A2601,"yyyy-mm")&lt;&gt;TEXT(A2602,"yyyy-mm")),1,0)</f>
        <v/>
      </c>
      <c r="H2601">
        <f>IF(OR(H2600=1,G2601=1),1,0)</f>
        <v/>
      </c>
      <c r="I2601">
        <f>IF(H2600=0,1,SUMPRODUCT(J2600:N2600,B2601:F2601)+O2600*(1+0.00023125256064071564))</f>
        <v/>
      </c>
      <c r="J2601">
        <f>IF(G2601=1,0.2*R2601/B2601,J2600)</f>
        <v/>
      </c>
      <c r="K2601">
        <f>IF(G2601=1,0.2*R2601/C2601,K2600)</f>
        <v/>
      </c>
      <c r="L2601">
        <f>IF(G2601=1,0.2*R2601/D2601,L2600)</f>
        <v/>
      </c>
      <c r="M2601">
        <f>IF(G2601=1,0.2*R2601/E2601,M2600)</f>
        <v/>
      </c>
      <c r="N2601">
        <f>IF(G2601=1,0.2*R2601/F2601,N2600)</f>
        <v/>
      </c>
      <c r="O2601">
        <f>IF(G2601=1,R2601*(1-1.0),IF(H2600=0,1,O2600*(1+0.00023125256064071564)))</f>
        <v/>
      </c>
      <c r="P2601">
        <f>IF(G2601=1,IF(H2600=0,1,ABS(0.2-J2600*B2601/I2601)+ABS(0.2-K2600*C2601/I2601)+ABS(0.2-L2600*D2601/I2601)+ABS(0.2-M2600*E2601/I2601)+ABS(0.2-N2600*F2601/I2601)),0)</f>
        <v/>
      </c>
      <c r="Q2601">
        <f>P2601*0.0015</f>
        <v/>
      </c>
      <c r="R2601">
        <f>I2601*(1-Q2601)</f>
        <v/>
      </c>
      <c r="S2601">
        <f>R2601/R2600-1</f>
        <v/>
      </c>
      <c r="T2601">
        <f>MAX(T2600,R2601)</f>
        <v/>
      </c>
      <c r="U2601">
        <f>R2601/T2601-1</f>
        <v/>
      </c>
      <c r="V2601" t="n">
        <v>6.285826052147089</v>
      </c>
      <c r="W2601" s="5">
        <f>R2601-V2601</f>
        <v/>
      </c>
    </row>
    <row r="2602">
      <c r="A2602" s="3" t="n">
        <v>42263</v>
      </c>
      <c r="B2602">
        <f>Prices!B2602</f>
        <v/>
      </c>
      <c r="C2602">
        <f>Prices!C2602</f>
        <v/>
      </c>
      <c r="D2602">
        <f>Prices!D2602</f>
        <v/>
      </c>
      <c r="E2602">
        <f>Prices!E2602</f>
        <v/>
      </c>
      <c r="F2602">
        <f>Prices!F2602</f>
        <v/>
      </c>
      <c r="G2602">
        <f>IF(AND(2600&gt;=16,TEXT(A2602,"yyyy-mm")&lt;&gt;TEXT(A2603,"yyyy-mm")),1,0)</f>
        <v/>
      </c>
      <c r="H2602">
        <f>IF(OR(H2601=1,G2602=1),1,0)</f>
        <v/>
      </c>
      <c r="I2602">
        <f>IF(H2601=0,1,SUMPRODUCT(J2601:N2601,B2602:F2602)+O2601*(1+0.00023125256064071564))</f>
        <v/>
      </c>
      <c r="J2602">
        <f>IF(G2602=1,0.2*R2602/B2602,J2601)</f>
        <v/>
      </c>
      <c r="K2602">
        <f>IF(G2602=1,0.2*R2602/C2602,K2601)</f>
        <v/>
      </c>
      <c r="L2602">
        <f>IF(G2602=1,0.2*R2602/D2602,L2601)</f>
        <v/>
      </c>
      <c r="M2602">
        <f>IF(G2602=1,0.2*R2602/E2602,M2601)</f>
        <v/>
      </c>
      <c r="N2602">
        <f>IF(G2602=1,0.2*R2602/F2602,N2601)</f>
        <v/>
      </c>
      <c r="O2602">
        <f>IF(G2602=1,R2602*(1-1.0),IF(H2601=0,1,O2601*(1+0.00023125256064071564)))</f>
        <v/>
      </c>
      <c r="P2602">
        <f>IF(G2602=1,IF(H2601=0,1,ABS(0.2-J2601*B2602/I2602)+ABS(0.2-K2601*C2602/I2602)+ABS(0.2-L2601*D2602/I2602)+ABS(0.2-M2601*E2602/I2602)+ABS(0.2-N2601*F2602/I2602)),0)</f>
        <v/>
      </c>
      <c r="Q2602">
        <f>P2602*0.0015</f>
        <v/>
      </c>
      <c r="R2602">
        <f>I2602*(1-Q2602)</f>
        <v/>
      </c>
      <c r="S2602">
        <f>R2602/R2601-1</f>
        <v/>
      </c>
      <c r="T2602">
        <f>MAX(T2601,R2602)</f>
        <v/>
      </c>
      <c r="U2602">
        <f>R2602/T2602-1</f>
        <v/>
      </c>
      <c r="V2602" t="n">
        <v>6.260175825451118</v>
      </c>
      <c r="W2602" s="5">
        <f>R2602-V2602</f>
        <v/>
      </c>
    </row>
    <row r="2603">
      <c r="A2603" s="3" t="n">
        <v>42265</v>
      </c>
      <c r="B2603">
        <f>Prices!B2603</f>
        <v/>
      </c>
      <c r="C2603">
        <f>Prices!C2603</f>
        <v/>
      </c>
      <c r="D2603">
        <f>Prices!D2603</f>
        <v/>
      </c>
      <c r="E2603">
        <f>Prices!E2603</f>
        <v/>
      </c>
      <c r="F2603">
        <f>Prices!F2603</f>
        <v/>
      </c>
      <c r="G2603">
        <f>IF(AND(2601&gt;=16,TEXT(A2603,"yyyy-mm")&lt;&gt;TEXT(A2604,"yyyy-mm")),1,0)</f>
        <v/>
      </c>
      <c r="H2603">
        <f>IF(OR(H2602=1,G2603=1),1,0)</f>
        <v/>
      </c>
      <c r="I2603">
        <f>IF(H2602=0,1,SUMPRODUCT(J2602:N2602,B2603:F2603)+O2602*(1+0.00023125256064071564))</f>
        <v/>
      </c>
      <c r="J2603">
        <f>IF(G2603=1,0.2*R2603/B2603,J2602)</f>
        <v/>
      </c>
      <c r="K2603">
        <f>IF(G2603=1,0.2*R2603/C2603,K2602)</f>
        <v/>
      </c>
      <c r="L2603">
        <f>IF(G2603=1,0.2*R2603/D2603,L2602)</f>
        <v/>
      </c>
      <c r="M2603">
        <f>IF(G2603=1,0.2*R2603/E2603,M2602)</f>
        <v/>
      </c>
      <c r="N2603">
        <f>IF(G2603=1,0.2*R2603/F2603,N2602)</f>
        <v/>
      </c>
      <c r="O2603">
        <f>IF(G2603=1,R2603*(1-1.0),IF(H2602=0,1,O2602*(1+0.00023125256064071564)))</f>
        <v/>
      </c>
      <c r="P2603">
        <f>IF(G2603=1,IF(H2602=0,1,ABS(0.2-J2602*B2603/I2603)+ABS(0.2-K2602*C2603/I2603)+ABS(0.2-L2602*D2603/I2603)+ABS(0.2-M2602*E2603/I2603)+ABS(0.2-N2602*F2603/I2603)),0)</f>
        <v/>
      </c>
      <c r="Q2603">
        <f>P2603*0.0015</f>
        <v/>
      </c>
      <c r="R2603">
        <f>I2603*(1-Q2603)</f>
        <v/>
      </c>
      <c r="S2603">
        <f>R2603/R2602-1</f>
        <v/>
      </c>
      <c r="T2603">
        <f>MAX(T2602,R2603)</f>
        <v/>
      </c>
      <c r="U2603">
        <f>R2603/T2603-1</f>
        <v/>
      </c>
      <c r="V2603" t="n">
        <v>6.315184726963919</v>
      </c>
      <c r="W2603" s="5">
        <f>R2603-V2603</f>
        <v/>
      </c>
    </row>
    <row r="2604">
      <c r="A2604" s="3" t="n">
        <v>42268</v>
      </c>
      <c r="B2604">
        <f>Prices!B2604</f>
        <v/>
      </c>
      <c r="C2604">
        <f>Prices!C2604</f>
        <v/>
      </c>
      <c r="D2604">
        <f>Prices!D2604</f>
        <v/>
      </c>
      <c r="E2604">
        <f>Prices!E2604</f>
        <v/>
      </c>
      <c r="F2604">
        <f>Prices!F2604</f>
        <v/>
      </c>
      <c r="G2604">
        <f>IF(AND(2602&gt;=16,TEXT(A2604,"yyyy-mm")&lt;&gt;TEXT(A2605,"yyyy-mm")),1,0)</f>
        <v/>
      </c>
      <c r="H2604">
        <f>IF(OR(H2603=1,G2604=1),1,0)</f>
        <v/>
      </c>
      <c r="I2604">
        <f>IF(H2603=0,1,SUMPRODUCT(J2603:N2603,B2604:F2604)+O2603*(1+0.00023125256064071564))</f>
        <v/>
      </c>
      <c r="J2604">
        <f>IF(G2604=1,0.2*R2604/B2604,J2603)</f>
        <v/>
      </c>
      <c r="K2604">
        <f>IF(G2604=1,0.2*R2604/C2604,K2603)</f>
        <v/>
      </c>
      <c r="L2604">
        <f>IF(G2604=1,0.2*R2604/D2604,L2603)</f>
        <v/>
      </c>
      <c r="M2604">
        <f>IF(G2604=1,0.2*R2604/E2604,M2603)</f>
        <v/>
      </c>
      <c r="N2604">
        <f>IF(G2604=1,0.2*R2604/F2604,N2603)</f>
        <v/>
      </c>
      <c r="O2604">
        <f>IF(G2604=1,R2604*(1-1.0),IF(H2603=0,1,O2603*(1+0.00023125256064071564)))</f>
        <v/>
      </c>
      <c r="P2604">
        <f>IF(G2604=1,IF(H2603=0,1,ABS(0.2-J2603*B2604/I2604)+ABS(0.2-K2603*C2604/I2604)+ABS(0.2-L2603*D2604/I2604)+ABS(0.2-M2603*E2604/I2604)+ABS(0.2-N2603*F2604/I2604)),0)</f>
        <v/>
      </c>
      <c r="Q2604">
        <f>P2604*0.0015</f>
        <v/>
      </c>
      <c r="R2604">
        <f>I2604*(1-Q2604)</f>
        <v/>
      </c>
      <c r="S2604">
        <f>R2604/R2603-1</f>
        <v/>
      </c>
      <c r="T2604">
        <f>MAX(T2603,R2604)</f>
        <v/>
      </c>
      <c r="U2604">
        <f>R2604/T2604-1</f>
        <v/>
      </c>
      <c r="V2604" t="n">
        <v>6.353527508421265</v>
      </c>
      <c r="W2604" s="5">
        <f>R2604-V2604</f>
        <v/>
      </c>
    </row>
    <row r="2605">
      <c r="A2605" s="3" t="n">
        <v>42269</v>
      </c>
      <c r="B2605">
        <f>Prices!B2605</f>
        <v/>
      </c>
      <c r="C2605">
        <f>Prices!C2605</f>
        <v/>
      </c>
      <c r="D2605">
        <f>Prices!D2605</f>
        <v/>
      </c>
      <c r="E2605">
        <f>Prices!E2605</f>
        <v/>
      </c>
      <c r="F2605">
        <f>Prices!F2605</f>
        <v/>
      </c>
      <c r="G2605">
        <f>IF(AND(2603&gt;=16,TEXT(A2605,"yyyy-mm")&lt;&gt;TEXT(A2606,"yyyy-mm")),1,0)</f>
        <v/>
      </c>
      <c r="H2605">
        <f>IF(OR(H2604=1,G2605=1),1,0)</f>
        <v/>
      </c>
      <c r="I2605">
        <f>IF(H2604=0,1,SUMPRODUCT(J2604:N2604,B2605:F2605)+O2604*(1+0.00023125256064071564))</f>
        <v/>
      </c>
      <c r="J2605">
        <f>IF(G2605=1,0.2*R2605/B2605,J2604)</f>
        <v/>
      </c>
      <c r="K2605">
        <f>IF(G2605=1,0.2*R2605/C2605,K2604)</f>
        <v/>
      </c>
      <c r="L2605">
        <f>IF(G2605=1,0.2*R2605/D2605,L2604)</f>
        <v/>
      </c>
      <c r="M2605">
        <f>IF(G2605=1,0.2*R2605/E2605,M2604)</f>
        <v/>
      </c>
      <c r="N2605">
        <f>IF(G2605=1,0.2*R2605/F2605,N2604)</f>
        <v/>
      </c>
      <c r="O2605">
        <f>IF(G2605=1,R2605*(1-1.0),IF(H2604=0,1,O2604*(1+0.00023125256064071564)))</f>
        <v/>
      </c>
      <c r="P2605">
        <f>IF(G2605=1,IF(H2604=0,1,ABS(0.2-J2604*B2605/I2605)+ABS(0.2-K2604*C2605/I2605)+ABS(0.2-L2604*D2605/I2605)+ABS(0.2-M2604*E2605/I2605)+ABS(0.2-N2604*F2605/I2605)),0)</f>
        <v/>
      </c>
      <c r="Q2605">
        <f>P2605*0.0015</f>
        <v/>
      </c>
      <c r="R2605">
        <f>I2605*(1-Q2605)</f>
        <v/>
      </c>
      <c r="S2605">
        <f>R2605/R2604-1</f>
        <v/>
      </c>
      <c r="T2605">
        <f>MAX(T2604,R2605)</f>
        <v/>
      </c>
      <c r="U2605">
        <f>R2605/T2605-1</f>
        <v/>
      </c>
      <c r="V2605" t="n">
        <v>6.279717609487951</v>
      </c>
      <c r="W2605" s="5">
        <f>R2605-V2605</f>
        <v/>
      </c>
    </row>
    <row r="2606">
      <c r="A2606" s="3" t="n">
        <v>42270</v>
      </c>
      <c r="B2606">
        <f>Prices!B2606</f>
        <v/>
      </c>
      <c r="C2606">
        <f>Prices!C2606</f>
        <v/>
      </c>
      <c r="D2606">
        <f>Prices!D2606</f>
        <v/>
      </c>
      <c r="E2606">
        <f>Prices!E2606</f>
        <v/>
      </c>
      <c r="F2606">
        <f>Prices!F2606</f>
        <v/>
      </c>
      <c r="G2606">
        <f>IF(AND(2604&gt;=16,TEXT(A2606,"yyyy-mm")&lt;&gt;TEXT(A2607,"yyyy-mm")),1,0)</f>
        <v/>
      </c>
      <c r="H2606">
        <f>IF(OR(H2605=1,G2606=1),1,0)</f>
        <v/>
      </c>
      <c r="I2606">
        <f>IF(H2605=0,1,SUMPRODUCT(J2605:N2605,B2606:F2606)+O2605*(1+0.00023125256064071564))</f>
        <v/>
      </c>
      <c r="J2606">
        <f>IF(G2606=1,0.2*R2606/B2606,J2605)</f>
        <v/>
      </c>
      <c r="K2606">
        <f>IF(G2606=1,0.2*R2606/C2606,K2605)</f>
        <v/>
      </c>
      <c r="L2606">
        <f>IF(G2606=1,0.2*R2606/D2606,L2605)</f>
        <v/>
      </c>
      <c r="M2606">
        <f>IF(G2606=1,0.2*R2606/E2606,M2605)</f>
        <v/>
      </c>
      <c r="N2606">
        <f>IF(G2606=1,0.2*R2606/F2606,N2605)</f>
        <v/>
      </c>
      <c r="O2606">
        <f>IF(G2606=1,R2606*(1-1.0),IF(H2605=0,1,O2605*(1+0.00023125256064071564)))</f>
        <v/>
      </c>
      <c r="P2606">
        <f>IF(G2606=1,IF(H2605=0,1,ABS(0.2-J2605*B2606/I2606)+ABS(0.2-K2605*C2606/I2606)+ABS(0.2-L2605*D2606/I2606)+ABS(0.2-M2605*E2606/I2606)+ABS(0.2-N2605*F2606/I2606)),0)</f>
        <v/>
      </c>
      <c r="Q2606">
        <f>P2606*0.0015</f>
        <v/>
      </c>
      <c r="R2606">
        <f>I2606*(1-Q2606)</f>
        <v/>
      </c>
      <c r="S2606">
        <f>R2606/R2605-1</f>
        <v/>
      </c>
      <c r="T2606">
        <f>MAX(T2605,R2606)</f>
        <v/>
      </c>
      <c r="U2606">
        <f>R2606/T2606-1</f>
        <v/>
      </c>
      <c r="V2606" t="n">
        <v>6.324682158509947</v>
      </c>
      <c r="W2606" s="5">
        <f>R2606-V2606</f>
        <v/>
      </c>
    </row>
    <row r="2607">
      <c r="A2607" s="3" t="n">
        <v>42271</v>
      </c>
      <c r="B2607">
        <f>Prices!B2607</f>
        <v/>
      </c>
      <c r="C2607">
        <f>Prices!C2607</f>
        <v/>
      </c>
      <c r="D2607">
        <f>Prices!D2607</f>
        <v/>
      </c>
      <c r="E2607">
        <f>Prices!E2607</f>
        <v/>
      </c>
      <c r="F2607">
        <f>Prices!F2607</f>
        <v/>
      </c>
      <c r="G2607">
        <f>IF(AND(2605&gt;=16,TEXT(A2607,"yyyy-mm")&lt;&gt;TEXT(A2608,"yyyy-mm")),1,0)</f>
        <v/>
      </c>
      <c r="H2607">
        <f>IF(OR(H2606=1,G2607=1),1,0)</f>
        <v/>
      </c>
      <c r="I2607">
        <f>IF(H2606=0,1,SUMPRODUCT(J2606:N2606,B2607:F2607)+O2606*(1+0.00023125256064071564))</f>
        <v/>
      </c>
      <c r="J2607">
        <f>IF(G2607=1,0.2*R2607/B2607,J2606)</f>
        <v/>
      </c>
      <c r="K2607">
        <f>IF(G2607=1,0.2*R2607/C2607,K2606)</f>
        <v/>
      </c>
      <c r="L2607">
        <f>IF(G2607=1,0.2*R2607/D2607,L2606)</f>
        <v/>
      </c>
      <c r="M2607">
        <f>IF(G2607=1,0.2*R2607/E2607,M2606)</f>
        <v/>
      </c>
      <c r="N2607">
        <f>IF(G2607=1,0.2*R2607/F2607,N2606)</f>
        <v/>
      </c>
      <c r="O2607">
        <f>IF(G2607=1,R2607*(1-1.0),IF(H2606=0,1,O2606*(1+0.00023125256064071564)))</f>
        <v/>
      </c>
      <c r="P2607">
        <f>IF(G2607=1,IF(H2606=0,1,ABS(0.2-J2606*B2607/I2607)+ABS(0.2-K2606*C2607/I2607)+ABS(0.2-L2606*D2607/I2607)+ABS(0.2-M2606*E2607/I2607)+ABS(0.2-N2606*F2607/I2607)),0)</f>
        <v/>
      </c>
      <c r="Q2607">
        <f>P2607*0.0015</f>
        <v/>
      </c>
      <c r="R2607">
        <f>I2607*(1-Q2607)</f>
        <v/>
      </c>
      <c r="S2607">
        <f>R2607/R2606-1</f>
        <v/>
      </c>
      <c r="T2607">
        <f>MAX(T2606,R2607)</f>
        <v/>
      </c>
      <c r="U2607">
        <f>R2607/T2607-1</f>
        <v/>
      </c>
      <c r="V2607" t="n">
        <v>6.359639226990407</v>
      </c>
      <c r="W2607" s="5">
        <f>R2607-V2607</f>
        <v/>
      </c>
    </row>
    <row r="2608">
      <c r="A2608" s="3" t="n">
        <v>42275</v>
      </c>
      <c r="B2608">
        <f>Prices!B2608</f>
        <v/>
      </c>
      <c r="C2608">
        <f>Prices!C2608</f>
        <v/>
      </c>
      <c r="D2608">
        <f>Prices!D2608</f>
        <v/>
      </c>
      <c r="E2608">
        <f>Prices!E2608</f>
        <v/>
      </c>
      <c r="F2608">
        <f>Prices!F2608</f>
        <v/>
      </c>
      <c r="G2608">
        <f>IF(AND(2606&gt;=16,TEXT(A2608,"yyyy-mm")&lt;&gt;TEXT(A2609,"yyyy-mm")),1,0)</f>
        <v/>
      </c>
      <c r="H2608">
        <f>IF(OR(H2607=1,G2608=1),1,0)</f>
        <v/>
      </c>
      <c r="I2608">
        <f>IF(H2607=0,1,SUMPRODUCT(J2607:N2607,B2608:F2608)+O2607*(1+0.00023125256064071564))</f>
        <v/>
      </c>
      <c r="J2608">
        <f>IF(G2608=1,0.2*R2608/B2608,J2607)</f>
        <v/>
      </c>
      <c r="K2608">
        <f>IF(G2608=1,0.2*R2608/C2608,K2607)</f>
        <v/>
      </c>
      <c r="L2608">
        <f>IF(G2608=1,0.2*R2608/D2608,L2607)</f>
        <v/>
      </c>
      <c r="M2608">
        <f>IF(G2608=1,0.2*R2608/E2608,M2607)</f>
        <v/>
      </c>
      <c r="N2608">
        <f>IF(G2608=1,0.2*R2608/F2608,N2607)</f>
        <v/>
      </c>
      <c r="O2608">
        <f>IF(G2608=1,R2608*(1-1.0),IF(H2607=0,1,O2607*(1+0.00023125256064071564)))</f>
        <v/>
      </c>
      <c r="P2608">
        <f>IF(G2608=1,IF(H2607=0,1,ABS(0.2-J2607*B2608/I2608)+ABS(0.2-K2607*C2608/I2608)+ABS(0.2-L2607*D2608/I2608)+ABS(0.2-M2607*E2608/I2608)+ABS(0.2-N2607*F2608/I2608)),0)</f>
        <v/>
      </c>
      <c r="Q2608">
        <f>P2608*0.0015</f>
        <v/>
      </c>
      <c r="R2608">
        <f>I2608*(1-Q2608)</f>
        <v/>
      </c>
      <c r="S2608">
        <f>R2608/R2607-1</f>
        <v/>
      </c>
      <c r="T2608">
        <f>MAX(T2607,R2608)</f>
        <v/>
      </c>
      <c r="U2608">
        <f>R2608/T2608-1</f>
        <v/>
      </c>
      <c r="V2608" t="n">
        <v>6.35172900200126</v>
      </c>
      <c r="W2608" s="5">
        <f>R2608-V2608</f>
        <v/>
      </c>
    </row>
    <row r="2609">
      <c r="A2609" s="3" t="n">
        <v>42276</v>
      </c>
      <c r="B2609">
        <f>Prices!B2609</f>
        <v/>
      </c>
      <c r="C2609">
        <f>Prices!C2609</f>
        <v/>
      </c>
      <c r="D2609">
        <f>Prices!D2609</f>
        <v/>
      </c>
      <c r="E2609">
        <f>Prices!E2609</f>
        <v/>
      </c>
      <c r="F2609">
        <f>Prices!F2609</f>
        <v/>
      </c>
      <c r="G2609">
        <f>IF(AND(2607&gt;=16,TEXT(A2609,"yyyy-mm")&lt;&gt;TEXT(A2610,"yyyy-mm")),1,0)</f>
        <v/>
      </c>
      <c r="H2609">
        <f>IF(OR(H2608=1,G2609=1),1,0)</f>
        <v/>
      </c>
      <c r="I2609">
        <f>IF(H2608=0,1,SUMPRODUCT(J2608:N2608,B2609:F2609)+O2608*(1+0.00023125256064071564))</f>
        <v/>
      </c>
      <c r="J2609">
        <f>IF(G2609=1,0.2*R2609/B2609,J2608)</f>
        <v/>
      </c>
      <c r="K2609">
        <f>IF(G2609=1,0.2*R2609/C2609,K2608)</f>
        <v/>
      </c>
      <c r="L2609">
        <f>IF(G2609=1,0.2*R2609/D2609,L2608)</f>
        <v/>
      </c>
      <c r="M2609">
        <f>IF(G2609=1,0.2*R2609/E2609,M2608)</f>
        <v/>
      </c>
      <c r="N2609">
        <f>IF(G2609=1,0.2*R2609/F2609,N2608)</f>
        <v/>
      </c>
      <c r="O2609">
        <f>IF(G2609=1,R2609*(1-1.0),IF(H2608=0,1,O2608*(1+0.00023125256064071564)))</f>
        <v/>
      </c>
      <c r="P2609">
        <f>IF(G2609=1,IF(H2608=0,1,ABS(0.2-J2608*B2609/I2609)+ABS(0.2-K2608*C2609/I2609)+ABS(0.2-L2608*D2609/I2609)+ABS(0.2-M2608*E2609/I2609)+ABS(0.2-N2608*F2609/I2609)),0)</f>
        <v/>
      </c>
      <c r="Q2609">
        <f>P2609*0.0015</f>
        <v/>
      </c>
      <c r="R2609">
        <f>I2609*(1-Q2609)</f>
        <v/>
      </c>
      <c r="S2609">
        <f>R2609/R2608-1</f>
        <v/>
      </c>
      <c r="T2609">
        <f>MAX(T2608,R2609)</f>
        <v/>
      </c>
      <c r="U2609">
        <f>R2609/T2609-1</f>
        <v/>
      </c>
      <c r="V2609" t="n">
        <v>6.344846820670736</v>
      </c>
      <c r="W2609" s="5">
        <f>R2609-V2609</f>
        <v/>
      </c>
    </row>
    <row r="2610">
      <c r="A2610" s="3" t="n">
        <v>42277</v>
      </c>
      <c r="B2610">
        <f>Prices!B2610</f>
        <v/>
      </c>
      <c r="C2610">
        <f>Prices!C2610</f>
        <v/>
      </c>
      <c r="D2610">
        <f>Prices!D2610</f>
        <v/>
      </c>
      <c r="E2610">
        <f>Prices!E2610</f>
        <v/>
      </c>
      <c r="F2610">
        <f>Prices!F2610</f>
        <v/>
      </c>
      <c r="G2610">
        <f>IF(AND(2608&gt;=16,TEXT(A2610,"yyyy-mm")&lt;&gt;TEXT(A2611,"yyyy-mm")),1,0)</f>
        <v/>
      </c>
      <c r="H2610">
        <f>IF(OR(H2609=1,G2610=1),1,0)</f>
        <v/>
      </c>
      <c r="I2610">
        <f>IF(H2609=0,1,SUMPRODUCT(J2609:N2609,B2610:F2610)+O2609*(1+0.00023125256064071564))</f>
        <v/>
      </c>
      <c r="J2610">
        <f>IF(G2610=1,0.2*R2610/B2610,J2609)</f>
        <v/>
      </c>
      <c r="K2610">
        <f>IF(G2610=1,0.2*R2610/C2610,K2609)</f>
        <v/>
      </c>
      <c r="L2610">
        <f>IF(G2610=1,0.2*R2610/D2610,L2609)</f>
        <v/>
      </c>
      <c r="M2610">
        <f>IF(G2610=1,0.2*R2610/E2610,M2609)</f>
        <v/>
      </c>
      <c r="N2610">
        <f>IF(G2610=1,0.2*R2610/F2610,N2609)</f>
        <v/>
      </c>
      <c r="O2610">
        <f>IF(G2610=1,R2610*(1-1.0),IF(H2609=0,1,O2609*(1+0.00023125256064071564)))</f>
        <v/>
      </c>
      <c r="P2610">
        <f>IF(G2610=1,IF(H2609=0,1,ABS(0.2-J2609*B2610/I2610)+ABS(0.2-K2609*C2610/I2610)+ABS(0.2-L2609*D2610/I2610)+ABS(0.2-M2609*E2610/I2610)+ABS(0.2-N2609*F2610/I2610)),0)</f>
        <v/>
      </c>
      <c r="Q2610">
        <f>P2610*0.0015</f>
        <v/>
      </c>
      <c r="R2610">
        <f>I2610*(1-Q2610)</f>
        <v/>
      </c>
      <c r="S2610">
        <f>R2610/R2609-1</f>
        <v/>
      </c>
      <c r="T2610">
        <f>MAX(T2609,R2610)</f>
        <v/>
      </c>
      <c r="U2610">
        <f>R2610/T2610-1</f>
        <v/>
      </c>
      <c r="V2610" t="n">
        <v>6.456432629655382</v>
      </c>
      <c r="W2610" s="5">
        <f>R2610-V2610</f>
        <v/>
      </c>
    </row>
    <row r="2611">
      <c r="A2611" s="3" t="n">
        <v>42278</v>
      </c>
      <c r="B2611">
        <f>Prices!B2611</f>
        <v/>
      </c>
      <c r="C2611">
        <f>Prices!C2611</f>
        <v/>
      </c>
      <c r="D2611">
        <f>Prices!D2611</f>
        <v/>
      </c>
      <c r="E2611">
        <f>Prices!E2611</f>
        <v/>
      </c>
      <c r="F2611">
        <f>Prices!F2611</f>
        <v/>
      </c>
      <c r="G2611">
        <f>IF(AND(2609&gt;=16,TEXT(A2611,"yyyy-mm")&lt;&gt;TEXT(A2612,"yyyy-mm")),1,0)</f>
        <v/>
      </c>
      <c r="H2611">
        <f>IF(OR(H2610=1,G2611=1),1,0)</f>
        <v/>
      </c>
      <c r="I2611">
        <f>IF(H2610=0,1,SUMPRODUCT(J2610:N2610,B2611:F2611)+O2610*(1+0.00023125256064071564))</f>
        <v/>
      </c>
      <c r="J2611">
        <f>IF(G2611=1,0.2*R2611/B2611,J2610)</f>
        <v/>
      </c>
      <c r="K2611">
        <f>IF(G2611=1,0.2*R2611/C2611,K2610)</f>
        <v/>
      </c>
      <c r="L2611">
        <f>IF(G2611=1,0.2*R2611/D2611,L2610)</f>
        <v/>
      </c>
      <c r="M2611">
        <f>IF(G2611=1,0.2*R2611/E2611,M2610)</f>
        <v/>
      </c>
      <c r="N2611">
        <f>IF(G2611=1,0.2*R2611/F2611,N2610)</f>
        <v/>
      </c>
      <c r="O2611">
        <f>IF(G2611=1,R2611*(1-1.0),IF(H2610=0,1,O2610*(1+0.00023125256064071564)))</f>
        <v/>
      </c>
      <c r="P2611">
        <f>IF(G2611=1,IF(H2610=0,1,ABS(0.2-J2610*B2611/I2611)+ABS(0.2-K2610*C2611/I2611)+ABS(0.2-L2610*D2611/I2611)+ABS(0.2-M2610*E2611/I2611)+ABS(0.2-N2610*F2611/I2611)),0)</f>
        <v/>
      </c>
      <c r="Q2611">
        <f>P2611*0.0015</f>
        <v/>
      </c>
      <c r="R2611">
        <f>I2611*(1-Q2611)</f>
        <v/>
      </c>
      <c r="S2611">
        <f>R2611/R2610-1</f>
        <v/>
      </c>
      <c r="T2611">
        <f>MAX(T2610,R2611)</f>
        <v/>
      </c>
      <c r="U2611">
        <f>R2611/T2611-1</f>
        <v/>
      </c>
      <c r="V2611" t="n">
        <v>6.475125983196871</v>
      </c>
      <c r="W2611" s="5">
        <f>R2611-V2611</f>
        <v/>
      </c>
    </row>
    <row r="2612">
      <c r="A2612" s="3" t="n">
        <v>42282</v>
      </c>
      <c r="B2612">
        <f>Prices!B2612</f>
        <v/>
      </c>
      <c r="C2612">
        <f>Prices!C2612</f>
        <v/>
      </c>
      <c r="D2612">
        <f>Prices!D2612</f>
        <v/>
      </c>
      <c r="E2612">
        <f>Prices!E2612</f>
        <v/>
      </c>
      <c r="F2612">
        <f>Prices!F2612</f>
        <v/>
      </c>
      <c r="G2612">
        <f>IF(AND(2610&gt;=16,TEXT(A2612,"yyyy-mm")&lt;&gt;TEXT(A2613,"yyyy-mm")),1,0)</f>
        <v/>
      </c>
      <c r="H2612">
        <f>IF(OR(H2611=1,G2612=1),1,0)</f>
        <v/>
      </c>
      <c r="I2612">
        <f>IF(H2611=0,1,SUMPRODUCT(J2611:N2611,B2612:F2612)+O2611*(1+0.00023125256064071564))</f>
        <v/>
      </c>
      <c r="J2612">
        <f>IF(G2612=1,0.2*R2612/B2612,J2611)</f>
        <v/>
      </c>
      <c r="K2612">
        <f>IF(G2612=1,0.2*R2612/C2612,K2611)</f>
        <v/>
      </c>
      <c r="L2612">
        <f>IF(G2612=1,0.2*R2612/D2612,L2611)</f>
        <v/>
      </c>
      <c r="M2612">
        <f>IF(G2612=1,0.2*R2612/E2612,M2611)</f>
        <v/>
      </c>
      <c r="N2612">
        <f>IF(G2612=1,0.2*R2612/F2612,N2611)</f>
        <v/>
      </c>
      <c r="O2612">
        <f>IF(G2612=1,R2612*(1-1.0),IF(H2611=0,1,O2611*(1+0.00023125256064071564)))</f>
        <v/>
      </c>
      <c r="P2612">
        <f>IF(G2612=1,IF(H2611=0,1,ABS(0.2-J2611*B2612/I2612)+ABS(0.2-K2611*C2612/I2612)+ABS(0.2-L2611*D2612/I2612)+ABS(0.2-M2611*E2612/I2612)+ABS(0.2-N2611*F2612/I2612)),0)</f>
        <v/>
      </c>
      <c r="Q2612">
        <f>P2612*0.0015</f>
        <v/>
      </c>
      <c r="R2612">
        <f>I2612*(1-Q2612)</f>
        <v/>
      </c>
      <c r="S2612">
        <f>R2612/R2611-1</f>
        <v/>
      </c>
      <c r="T2612">
        <f>MAX(T2611,R2612)</f>
        <v/>
      </c>
      <c r="U2612">
        <f>R2612/T2612-1</f>
        <v/>
      </c>
      <c r="V2612" t="n">
        <v>6.586568850687855</v>
      </c>
      <c r="W2612" s="5">
        <f>R2612-V2612</f>
        <v/>
      </c>
    </row>
    <row r="2613">
      <c r="A2613" s="3" t="n">
        <v>42283</v>
      </c>
      <c r="B2613">
        <f>Prices!B2613</f>
        <v/>
      </c>
      <c r="C2613">
        <f>Prices!C2613</f>
        <v/>
      </c>
      <c r="D2613">
        <f>Prices!D2613</f>
        <v/>
      </c>
      <c r="E2613">
        <f>Prices!E2613</f>
        <v/>
      </c>
      <c r="F2613">
        <f>Prices!F2613</f>
        <v/>
      </c>
      <c r="G2613">
        <f>IF(AND(2611&gt;=16,TEXT(A2613,"yyyy-mm")&lt;&gt;TEXT(A2614,"yyyy-mm")),1,0)</f>
        <v/>
      </c>
      <c r="H2613">
        <f>IF(OR(H2612=1,G2613=1),1,0)</f>
        <v/>
      </c>
      <c r="I2613">
        <f>IF(H2612=0,1,SUMPRODUCT(J2612:N2612,B2613:F2613)+O2612*(1+0.00023125256064071564))</f>
        <v/>
      </c>
      <c r="J2613">
        <f>IF(G2613=1,0.2*R2613/B2613,J2612)</f>
        <v/>
      </c>
      <c r="K2613">
        <f>IF(G2613=1,0.2*R2613/C2613,K2612)</f>
        <v/>
      </c>
      <c r="L2613">
        <f>IF(G2613=1,0.2*R2613/D2613,L2612)</f>
        <v/>
      </c>
      <c r="M2613">
        <f>IF(G2613=1,0.2*R2613/E2613,M2612)</f>
        <v/>
      </c>
      <c r="N2613">
        <f>IF(G2613=1,0.2*R2613/F2613,N2612)</f>
        <v/>
      </c>
      <c r="O2613">
        <f>IF(G2613=1,R2613*(1-1.0),IF(H2612=0,1,O2612*(1+0.00023125256064071564)))</f>
        <v/>
      </c>
      <c r="P2613">
        <f>IF(G2613=1,IF(H2612=0,1,ABS(0.2-J2612*B2613/I2613)+ABS(0.2-K2612*C2613/I2613)+ABS(0.2-L2612*D2613/I2613)+ABS(0.2-M2612*E2613/I2613)+ABS(0.2-N2612*F2613/I2613)),0)</f>
        <v/>
      </c>
      <c r="Q2613">
        <f>P2613*0.0015</f>
        <v/>
      </c>
      <c r="R2613">
        <f>I2613*(1-Q2613)</f>
        <v/>
      </c>
      <c r="S2613">
        <f>R2613/R2612-1</f>
        <v/>
      </c>
      <c r="T2613">
        <f>MAX(T2612,R2613)</f>
        <v/>
      </c>
      <c r="U2613">
        <f>R2613/T2613-1</f>
        <v/>
      </c>
      <c r="V2613" t="n">
        <v>6.634734710609617</v>
      </c>
      <c r="W2613" s="5">
        <f>R2613-V2613</f>
        <v/>
      </c>
    </row>
    <row r="2614">
      <c r="A2614" s="3" t="n">
        <v>42284</v>
      </c>
      <c r="B2614">
        <f>Prices!B2614</f>
        <v/>
      </c>
      <c r="C2614">
        <f>Prices!C2614</f>
        <v/>
      </c>
      <c r="D2614">
        <f>Prices!D2614</f>
        <v/>
      </c>
      <c r="E2614">
        <f>Prices!E2614</f>
        <v/>
      </c>
      <c r="F2614">
        <f>Prices!F2614</f>
        <v/>
      </c>
      <c r="G2614">
        <f>IF(AND(2612&gt;=16,TEXT(A2614,"yyyy-mm")&lt;&gt;TEXT(A2615,"yyyy-mm")),1,0)</f>
        <v/>
      </c>
      <c r="H2614">
        <f>IF(OR(H2613=1,G2614=1),1,0)</f>
        <v/>
      </c>
      <c r="I2614">
        <f>IF(H2613=0,1,SUMPRODUCT(J2613:N2613,B2614:F2614)+O2613*(1+0.00023125256064071564))</f>
        <v/>
      </c>
      <c r="J2614">
        <f>IF(G2614=1,0.2*R2614/B2614,J2613)</f>
        <v/>
      </c>
      <c r="K2614">
        <f>IF(G2614=1,0.2*R2614/C2614,K2613)</f>
        <v/>
      </c>
      <c r="L2614">
        <f>IF(G2614=1,0.2*R2614/D2614,L2613)</f>
        <v/>
      </c>
      <c r="M2614">
        <f>IF(G2614=1,0.2*R2614/E2614,M2613)</f>
        <v/>
      </c>
      <c r="N2614">
        <f>IF(G2614=1,0.2*R2614/F2614,N2613)</f>
        <v/>
      </c>
      <c r="O2614">
        <f>IF(G2614=1,R2614*(1-1.0),IF(H2613=0,1,O2613*(1+0.00023125256064071564)))</f>
        <v/>
      </c>
      <c r="P2614">
        <f>IF(G2614=1,IF(H2613=0,1,ABS(0.2-J2613*B2614/I2614)+ABS(0.2-K2613*C2614/I2614)+ABS(0.2-L2613*D2614/I2614)+ABS(0.2-M2613*E2614/I2614)+ABS(0.2-N2613*F2614/I2614)),0)</f>
        <v/>
      </c>
      <c r="Q2614">
        <f>P2614*0.0015</f>
        <v/>
      </c>
      <c r="R2614">
        <f>I2614*(1-Q2614)</f>
        <v/>
      </c>
      <c r="S2614">
        <f>R2614/R2613-1</f>
        <v/>
      </c>
      <c r="T2614">
        <f>MAX(T2613,R2614)</f>
        <v/>
      </c>
      <c r="U2614">
        <f>R2614/T2614-1</f>
        <v/>
      </c>
      <c r="V2614" t="n">
        <v>6.641482524319953</v>
      </c>
      <c r="W2614" s="5">
        <f>R2614-V2614</f>
        <v/>
      </c>
    </row>
    <row r="2615">
      <c r="A2615" s="3" t="n">
        <v>42285</v>
      </c>
      <c r="B2615">
        <f>Prices!B2615</f>
        <v/>
      </c>
      <c r="C2615">
        <f>Prices!C2615</f>
        <v/>
      </c>
      <c r="D2615">
        <f>Prices!D2615</f>
        <v/>
      </c>
      <c r="E2615">
        <f>Prices!E2615</f>
        <v/>
      </c>
      <c r="F2615">
        <f>Prices!F2615</f>
        <v/>
      </c>
      <c r="G2615">
        <f>IF(AND(2613&gt;=16,TEXT(A2615,"yyyy-mm")&lt;&gt;TEXT(A2616,"yyyy-mm")),1,0)</f>
        <v/>
      </c>
      <c r="H2615">
        <f>IF(OR(H2614=1,G2615=1),1,0)</f>
        <v/>
      </c>
      <c r="I2615">
        <f>IF(H2614=0,1,SUMPRODUCT(J2614:N2614,B2615:F2615)+O2614*(1+0.00023125256064071564))</f>
        <v/>
      </c>
      <c r="J2615">
        <f>IF(G2615=1,0.2*R2615/B2615,J2614)</f>
        <v/>
      </c>
      <c r="K2615">
        <f>IF(G2615=1,0.2*R2615/C2615,K2614)</f>
        <v/>
      </c>
      <c r="L2615">
        <f>IF(G2615=1,0.2*R2615/D2615,L2614)</f>
        <v/>
      </c>
      <c r="M2615">
        <f>IF(G2615=1,0.2*R2615/E2615,M2614)</f>
        <v/>
      </c>
      <c r="N2615">
        <f>IF(G2615=1,0.2*R2615/F2615,N2614)</f>
        <v/>
      </c>
      <c r="O2615">
        <f>IF(G2615=1,R2615*(1-1.0),IF(H2614=0,1,O2614*(1+0.00023125256064071564)))</f>
        <v/>
      </c>
      <c r="P2615">
        <f>IF(G2615=1,IF(H2614=0,1,ABS(0.2-J2614*B2615/I2615)+ABS(0.2-K2614*C2615/I2615)+ABS(0.2-L2614*D2615/I2615)+ABS(0.2-M2614*E2615/I2615)+ABS(0.2-N2614*F2615/I2615)),0)</f>
        <v/>
      </c>
      <c r="Q2615">
        <f>P2615*0.0015</f>
        <v/>
      </c>
      <c r="R2615">
        <f>I2615*(1-Q2615)</f>
        <v/>
      </c>
      <c r="S2615">
        <f>R2615/R2614-1</f>
        <v/>
      </c>
      <c r="T2615">
        <f>MAX(T2614,R2615)</f>
        <v/>
      </c>
      <c r="U2615">
        <f>R2615/T2615-1</f>
        <v/>
      </c>
      <c r="V2615" t="n">
        <v>6.603480124909404</v>
      </c>
      <c r="W2615" s="5">
        <f>R2615-V2615</f>
        <v/>
      </c>
    </row>
    <row r="2616">
      <c r="A2616" s="3" t="n">
        <v>42286</v>
      </c>
      <c r="B2616">
        <f>Prices!B2616</f>
        <v/>
      </c>
      <c r="C2616">
        <f>Prices!C2616</f>
        <v/>
      </c>
      <c r="D2616">
        <f>Prices!D2616</f>
        <v/>
      </c>
      <c r="E2616">
        <f>Prices!E2616</f>
        <v/>
      </c>
      <c r="F2616">
        <f>Prices!F2616</f>
        <v/>
      </c>
      <c r="G2616">
        <f>IF(AND(2614&gt;=16,TEXT(A2616,"yyyy-mm")&lt;&gt;TEXT(A2617,"yyyy-mm")),1,0)</f>
        <v/>
      </c>
      <c r="H2616">
        <f>IF(OR(H2615=1,G2616=1),1,0)</f>
        <v/>
      </c>
      <c r="I2616">
        <f>IF(H2615=0,1,SUMPRODUCT(J2615:N2615,B2616:F2616)+O2615*(1+0.00023125256064071564))</f>
        <v/>
      </c>
      <c r="J2616">
        <f>IF(G2616=1,0.2*R2616/B2616,J2615)</f>
        <v/>
      </c>
      <c r="K2616">
        <f>IF(G2616=1,0.2*R2616/C2616,K2615)</f>
        <v/>
      </c>
      <c r="L2616">
        <f>IF(G2616=1,0.2*R2616/D2616,L2615)</f>
        <v/>
      </c>
      <c r="M2616">
        <f>IF(G2616=1,0.2*R2616/E2616,M2615)</f>
        <v/>
      </c>
      <c r="N2616">
        <f>IF(G2616=1,0.2*R2616/F2616,N2615)</f>
        <v/>
      </c>
      <c r="O2616">
        <f>IF(G2616=1,R2616*(1-1.0),IF(H2615=0,1,O2615*(1+0.00023125256064071564)))</f>
        <v/>
      </c>
      <c r="P2616">
        <f>IF(G2616=1,IF(H2615=0,1,ABS(0.2-J2615*B2616/I2616)+ABS(0.2-K2615*C2616/I2616)+ABS(0.2-L2615*D2616/I2616)+ABS(0.2-M2615*E2616/I2616)+ABS(0.2-N2615*F2616/I2616)),0)</f>
        <v/>
      </c>
      <c r="Q2616">
        <f>P2616*0.0015</f>
        <v/>
      </c>
      <c r="R2616">
        <f>I2616*(1-Q2616)</f>
        <v/>
      </c>
      <c r="S2616">
        <f>R2616/R2615-1</f>
        <v/>
      </c>
      <c r="T2616">
        <f>MAX(T2615,R2616)</f>
        <v/>
      </c>
      <c r="U2616">
        <f>R2616/T2616-1</f>
        <v/>
      </c>
      <c r="V2616" t="n">
        <v>6.618373235958817</v>
      </c>
      <c r="W2616" s="5">
        <f>R2616-V2616</f>
        <v/>
      </c>
    </row>
    <row r="2617">
      <c r="A2617" s="3" t="n">
        <v>42289</v>
      </c>
      <c r="B2617">
        <f>Prices!B2617</f>
        <v/>
      </c>
      <c r="C2617">
        <f>Prices!C2617</f>
        <v/>
      </c>
      <c r="D2617">
        <f>Prices!D2617</f>
        <v/>
      </c>
      <c r="E2617">
        <f>Prices!E2617</f>
        <v/>
      </c>
      <c r="F2617">
        <f>Prices!F2617</f>
        <v/>
      </c>
      <c r="G2617">
        <f>IF(AND(2615&gt;=16,TEXT(A2617,"yyyy-mm")&lt;&gt;TEXT(A2618,"yyyy-mm")),1,0)</f>
        <v/>
      </c>
      <c r="H2617">
        <f>IF(OR(H2616=1,G2617=1),1,0)</f>
        <v/>
      </c>
      <c r="I2617">
        <f>IF(H2616=0,1,SUMPRODUCT(J2616:N2616,B2617:F2617)+O2616*(1+0.00023125256064071564))</f>
        <v/>
      </c>
      <c r="J2617">
        <f>IF(G2617=1,0.2*R2617/B2617,J2616)</f>
        <v/>
      </c>
      <c r="K2617">
        <f>IF(G2617=1,0.2*R2617/C2617,K2616)</f>
        <v/>
      </c>
      <c r="L2617">
        <f>IF(G2617=1,0.2*R2617/D2617,L2616)</f>
        <v/>
      </c>
      <c r="M2617">
        <f>IF(G2617=1,0.2*R2617/E2617,M2616)</f>
        <v/>
      </c>
      <c r="N2617">
        <f>IF(G2617=1,0.2*R2617/F2617,N2616)</f>
        <v/>
      </c>
      <c r="O2617">
        <f>IF(G2617=1,R2617*(1-1.0),IF(H2616=0,1,O2616*(1+0.00023125256064071564)))</f>
        <v/>
      </c>
      <c r="P2617">
        <f>IF(G2617=1,IF(H2616=0,1,ABS(0.2-J2616*B2617/I2617)+ABS(0.2-K2616*C2617/I2617)+ABS(0.2-L2616*D2617/I2617)+ABS(0.2-M2616*E2617/I2617)+ABS(0.2-N2616*F2617/I2617)),0)</f>
        <v/>
      </c>
      <c r="Q2617">
        <f>P2617*0.0015</f>
        <v/>
      </c>
      <c r="R2617">
        <f>I2617*(1-Q2617)</f>
        <v/>
      </c>
      <c r="S2617">
        <f>R2617/R2616-1</f>
        <v/>
      </c>
      <c r="T2617">
        <f>MAX(T2616,R2617)</f>
        <v/>
      </c>
      <c r="U2617">
        <f>R2617/T2617-1</f>
        <v/>
      </c>
      <c r="V2617" t="n">
        <v>6.608689322939124</v>
      </c>
      <c r="W2617" s="5">
        <f>R2617-V2617</f>
        <v/>
      </c>
    </row>
    <row r="2618">
      <c r="A2618" s="3" t="n">
        <v>42290</v>
      </c>
      <c r="B2618">
        <f>Prices!B2618</f>
        <v/>
      </c>
      <c r="C2618">
        <f>Prices!C2618</f>
        <v/>
      </c>
      <c r="D2618">
        <f>Prices!D2618</f>
        <v/>
      </c>
      <c r="E2618">
        <f>Prices!E2618</f>
        <v/>
      </c>
      <c r="F2618">
        <f>Prices!F2618</f>
        <v/>
      </c>
      <c r="G2618">
        <f>IF(AND(2616&gt;=16,TEXT(A2618,"yyyy-mm")&lt;&gt;TEXT(A2619,"yyyy-mm")),1,0)</f>
        <v/>
      </c>
      <c r="H2618">
        <f>IF(OR(H2617=1,G2618=1),1,0)</f>
        <v/>
      </c>
      <c r="I2618">
        <f>IF(H2617=0,1,SUMPRODUCT(J2617:N2617,B2618:F2618)+O2617*(1+0.00023125256064071564))</f>
        <v/>
      </c>
      <c r="J2618">
        <f>IF(G2618=1,0.2*R2618/B2618,J2617)</f>
        <v/>
      </c>
      <c r="K2618">
        <f>IF(G2618=1,0.2*R2618/C2618,K2617)</f>
        <v/>
      </c>
      <c r="L2618">
        <f>IF(G2618=1,0.2*R2618/D2618,L2617)</f>
        <v/>
      </c>
      <c r="M2618">
        <f>IF(G2618=1,0.2*R2618/E2618,M2617)</f>
        <v/>
      </c>
      <c r="N2618">
        <f>IF(G2618=1,0.2*R2618/F2618,N2617)</f>
        <v/>
      </c>
      <c r="O2618">
        <f>IF(G2618=1,R2618*(1-1.0),IF(H2617=0,1,O2617*(1+0.00023125256064071564)))</f>
        <v/>
      </c>
      <c r="P2618">
        <f>IF(G2618=1,IF(H2617=0,1,ABS(0.2-J2617*B2618/I2618)+ABS(0.2-K2617*C2618/I2618)+ABS(0.2-L2617*D2618/I2618)+ABS(0.2-M2617*E2618/I2618)+ABS(0.2-N2617*F2618/I2618)),0)</f>
        <v/>
      </c>
      <c r="Q2618">
        <f>P2618*0.0015</f>
        <v/>
      </c>
      <c r="R2618">
        <f>I2618*(1-Q2618)</f>
        <v/>
      </c>
      <c r="S2618">
        <f>R2618/R2617-1</f>
        <v/>
      </c>
      <c r="T2618">
        <f>MAX(T2617,R2618)</f>
        <v/>
      </c>
      <c r="U2618">
        <f>R2618/T2618-1</f>
        <v/>
      </c>
      <c r="V2618" t="n">
        <v>6.602295608810644</v>
      </c>
      <c r="W2618" s="5">
        <f>R2618-V2618</f>
        <v/>
      </c>
    </row>
    <row r="2619">
      <c r="A2619" s="3" t="n">
        <v>42291</v>
      </c>
      <c r="B2619">
        <f>Prices!B2619</f>
        <v/>
      </c>
      <c r="C2619">
        <f>Prices!C2619</f>
        <v/>
      </c>
      <c r="D2619">
        <f>Prices!D2619</f>
        <v/>
      </c>
      <c r="E2619">
        <f>Prices!E2619</f>
        <v/>
      </c>
      <c r="F2619">
        <f>Prices!F2619</f>
        <v/>
      </c>
      <c r="G2619">
        <f>IF(AND(2617&gt;=16,TEXT(A2619,"yyyy-mm")&lt;&gt;TEXT(A2620,"yyyy-mm")),1,0)</f>
        <v/>
      </c>
      <c r="H2619">
        <f>IF(OR(H2618=1,G2619=1),1,0)</f>
        <v/>
      </c>
      <c r="I2619">
        <f>IF(H2618=0,1,SUMPRODUCT(J2618:N2618,B2619:F2619)+O2618*(1+0.00023125256064071564))</f>
        <v/>
      </c>
      <c r="J2619">
        <f>IF(G2619=1,0.2*R2619/B2619,J2618)</f>
        <v/>
      </c>
      <c r="K2619">
        <f>IF(G2619=1,0.2*R2619/C2619,K2618)</f>
        <v/>
      </c>
      <c r="L2619">
        <f>IF(G2619=1,0.2*R2619/D2619,L2618)</f>
        <v/>
      </c>
      <c r="M2619">
        <f>IF(G2619=1,0.2*R2619/E2619,M2618)</f>
        <v/>
      </c>
      <c r="N2619">
        <f>IF(G2619=1,0.2*R2619/F2619,N2618)</f>
        <v/>
      </c>
      <c r="O2619">
        <f>IF(G2619=1,R2619*(1-1.0),IF(H2618=0,1,O2618*(1+0.00023125256064071564)))</f>
        <v/>
      </c>
      <c r="P2619">
        <f>IF(G2619=1,IF(H2618=0,1,ABS(0.2-J2618*B2619/I2619)+ABS(0.2-K2618*C2619/I2619)+ABS(0.2-L2618*D2619/I2619)+ABS(0.2-M2618*E2619/I2619)+ABS(0.2-N2618*F2619/I2619)),0)</f>
        <v/>
      </c>
      <c r="Q2619">
        <f>P2619*0.0015</f>
        <v/>
      </c>
      <c r="R2619">
        <f>I2619*(1-Q2619)</f>
        <v/>
      </c>
      <c r="S2619">
        <f>R2619/R2618-1</f>
        <v/>
      </c>
      <c r="T2619">
        <f>MAX(T2618,R2619)</f>
        <v/>
      </c>
      <c r="U2619">
        <f>R2619/T2619-1</f>
        <v/>
      </c>
      <c r="V2619" t="n">
        <v>6.609376752006249</v>
      </c>
      <c r="W2619" s="5">
        <f>R2619-V2619</f>
        <v/>
      </c>
    </row>
    <row r="2620">
      <c r="A2620" s="3" t="n">
        <v>42292</v>
      </c>
      <c r="B2620">
        <f>Prices!B2620</f>
        <v/>
      </c>
      <c r="C2620">
        <f>Prices!C2620</f>
        <v/>
      </c>
      <c r="D2620">
        <f>Prices!D2620</f>
        <v/>
      </c>
      <c r="E2620">
        <f>Prices!E2620</f>
        <v/>
      </c>
      <c r="F2620">
        <f>Prices!F2620</f>
        <v/>
      </c>
      <c r="G2620">
        <f>IF(AND(2618&gt;=16,TEXT(A2620,"yyyy-mm")&lt;&gt;TEXT(A2621,"yyyy-mm")),1,0)</f>
        <v/>
      </c>
      <c r="H2620">
        <f>IF(OR(H2619=1,G2620=1),1,0)</f>
        <v/>
      </c>
      <c r="I2620">
        <f>IF(H2619=0,1,SUMPRODUCT(J2619:N2619,B2620:F2620)+O2619*(1+0.00023125256064071564))</f>
        <v/>
      </c>
      <c r="J2620">
        <f>IF(G2620=1,0.2*R2620/B2620,J2619)</f>
        <v/>
      </c>
      <c r="K2620">
        <f>IF(G2620=1,0.2*R2620/C2620,K2619)</f>
        <v/>
      </c>
      <c r="L2620">
        <f>IF(G2620=1,0.2*R2620/D2620,L2619)</f>
        <v/>
      </c>
      <c r="M2620">
        <f>IF(G2620=1,0.2*R2620/E2620,M2619)</f>
        <v/>
      </c>
      <c r="N2620">
        <f>IF(G2620=1,0.2*R2620/F2620,N2619)</f>
        <v/>
      </c>
      <c r="O2620">
        <f>IF(G2620=1,R2620*(1-1.0),IF(H2619=0,1,O2619*(1+0.00023125256064071564)))</f>
        <v/>
      </c>
      <c r="P2620">
        <f>IF(G2620=1,IF(H2619=0,1,ABS(0.2-J2619*B2620/I2620)+ABS(0.2-K2619*C2620/I2620)+ABS(0.2-L2619*D2620/I2620)+ABS(0.2-M2619*E2620/I2620)+ABS(0.2-N2619*F2620/I2620)),0)</f>
        <v/>
      </c>
      <c r="Q2620">
        <f>P2620*0.0015</f>
        <v/>
      </c>
      <c r="R2620">
        <f>I2620*(1-Q2620)</f>
        <v/>
      </c>
      <c r="S2620">
        <f>R2620/R2619-1</f>
        <v/>
      </c>
      <c r="T2620">
        <f>MAX(T2619,R2620)</f>
        <v/>
      </c>
      <c r="U2620">
        <f>R2620/T2620-1</f>
        <v/>
      </c>
      <c r="V2620" t="n">
        <v>6.63506980365283</v>
      </c>
      <c r="W2620" s="5">
        <f>R2620-V2620</f>
        <v/>
      </c>
    </row>
    <row r="2621">
      <c r="A2621" s="3" t="n">
        <v>42293</v>
      </c>
      <c r="B2621">
        <f>Prices!B2621</f>
        <v/>
      </c>
      <c r="C2621">
        <f>Prices!C2621</f>
        <v/>
      </c>
      <c r="D2621">
        <f>Prices!D2621</f>
        <v/>
      </c>
      <c r="E2621">
        <f>Prices!E2621</f>
        <v/>
      </c>
      <c r="F2621">
        <f>Prices!F2621</f>
        <v/>
      </c>
      <c r="G2621">
        <f>IF(AND(2619&gt;=16,TEXT(A2621,"yyyy-mm")&lt;&gt;TEXT(A2622,"yyyy-mm")),1,0)</f>
        <v/>
      </c>
      <c r="H2621">
        <f>IF(OR(H2620=1,G2621=1),1,0)</f>
        <v/>
      </c>
      <c r="I2621">
        <f>IF(H2620=0,1,SUMPRODUCT(J2620:N2620,B2621:F2621)+O2620*(1+0.00023125256064071564))</f>
        <v/>
      </c>
      <c r="J2621">
        <f>IF(G2621=1,0.2*R2621/B2621,J2620)</f>
        <v/>
      </c>
      <c r="K2621">
        <f>IF(G2621=1,0.2*R2621/C2621,K2620)</f>
        <v/>
      </c>
      <c r="L2621">
        <f>IF(G2621=1,0.2*R2621/D2621,L2620)</f>
        <v/>
      </c>
      <c r="M2621">
        <f>IF(G2621=1,0.2*R2621/E2621,M2620)</f>
        <v/>
      </c>
      <c r="N2621">
        <f>IF(G2621=1,0.2*R2621/F2621,N2620)</f>
        <v/>
      </c>
      <c r="O2621">
        <f>IF(G2621=1,R2621*(1-1.0),IF(H2620=0,1,O2620*(1+0.00023125256064071564)))</f>
        <v/>
      </c>
      <c r="P2621">
        <f>IF(G2621=1,IF(H2620=0,1,ABS(0.2-J2620*B2621/I2621)+ABS(0.2-K2620*C2621/I2621)+ABS(0.2-L2620*D2621/I2621)+ABS(0.2-M2620*E2621/I2621)+ABS(0.2-N2620*F2621/I2621)),0)</f>
        <v/>
      </c>
      <c r="Q2621">
        <f>P2621*0.0015</f>
        <v/>
      </c>
      <c r="R2621">
        <f>I2621*(1-Q2621)</f>
        <v/>
      </c>
      <c r="S2621">
        <f>R2621/R2620-1</f>
        <v/>
      </c>
      <c r="T2621">
        <f>MAX(T2620,R2621)</f>
        <v/>
      </c>
      <c r="U2621">
        <f>R2621/T2621-1</f>
        <v/>
      </c>
      <c r="V2621" t="n">
        <v>6.658035644296858</v>
      </c>
      <c r="W2621" s="5">
        <f>R2621-V2621</f>
        <v/>
      </c>
    </row>
    <row r="2622">
      <c r="A2622" s="3" t="n">
        <v>42296</v>
      </c>
      <c r="B2622">
        <f>Prices!B2622</f>
        <v/>
      </c>
      <c r="C2622">
        <f>Prices!C2622</f>
        <v/>
      </c>
      <c r="D2622">
        <f>Prices!D2622</f>
        <v/>
      </c>
      <c r="E2622">
        <f>Prices!E2622</f>
        <v/>
      </c>
      <c r="F2622">
        <f>Prices!F2622</f>
        <v/>
      </c>
      <c r="G2622">
        <f>IF(AND(2620&gt;=16,TEXT(A2622,"yyyy-mm")&lt;&gt;TEXT(A2623,"yyyy-mm")),1,0)</f>
        <v/>
      </c>
      <c r="H2622">
        <f>IF(OR(H2621=1,G2622=1),1,0)</f>
        <v/>
      </c>
      <c r="I2622">
        <f>IF(H2621=0,1,SUMPRODUCT(J2621:N2621,B2622:F2622)+O2621*(1+0.00023125256064071564))</f>
        <v/>
      </c>
      <c r="J2622">
        <f>IF(G2622=1,0.2*R2622/B2622,J2621)</f>
        <v/>
      </c>
      <c r="K2622">
        <f>IF(G2622=1,0.2*R2622/C2622,K2621)</f>
        <v/>
      </c>
      <c r="L2622">
        <f>IF(G2622=1,0.2*R2622/D2622,L2621)</f>
        <v/>
      </c>
      <c r="M2622">
        <f>IF(G2622=1,0.2*R2622/E2622,M2621)</f>
        <v/>
      </c>
      <c r="N2622">
        <f>IF(G2622=1,0.2*R2622/F2622,N2621)</f>
        <v/>
      </c>
      <c r="O2622">
        <f>IF(G2622=1,R2622*(1-1.0),IF(H2621=0,1,O2621*(1+0.00023125256064071564)))</f>
        <v/>
      </c>
      <c r="P2622">
        <f>IF(G2622=1,IF(H2621=0,1,ABS(0.2-J2621*B2622/I2622)+ABS(0.2-K2621*C2622/I2622)+ABS(0.2-L2621*D2622/I2622)+ABS(0.2-M2621*E2622/I2622)+ABS(0.2-N2621*F2622/I2622)),0)</f>
        <v/>
      </c>
      <c r="Q2622">
        <f>P2622*0.0015</f>
        <v/>
      </c>
      <c r="R2622">
        <f>I2622*(1-Q2622)</f>
        <v/>
      </c>
      <c r="S2622">
        <f>R2622/R2621-1</f>
        <v/>
      </c>
      <c r="T2622">
        <f>MAX(T2621,R2622)</f>
        <v/>
      </c>
      <c r="U2622">
        <f>R2622/T2622-1</f>
        <v/>
      </c>
      <c r="V2622" t="n">
        <v>6.706988085381845</v>
      </c>
      <c r="W2622" s="5">
        <f>R2622-V2622</f>
        <v/>
      </c>
    </row>
    <row r="2623">
      <c r="A2623" s="3" t="n">
        <v>42297</v>
      </c>
      <c r="B2623">
        <f>Prices!B2623</f>
        <v/>
      </c>
      <c r="C2623">
        <f>Prices!C2623</f>
        <v/>
      </c>
      <c r="D2623">
        <f>Prices!D2623</f>
        <v/>
      </c>
      <c r="E2623">
        <f>Prices!E2623</f>
        <v/>
      </c>
      <c r="F2623">
        <f>Prices!F2623</f>
        <v/>
      </c>
      <c r="G2623">
        <f>IF(AND(2621&gt;=16,TEXT(A2623,"yyyy-mm")&lt;&gt;TEXT(A2624,"yyyy-mm")),1,0)</f>
        <v/>
      </c>
      <c r="H2623">
        <f>IF(OR(H2622=1,G2623=1),1,0)</f>
        <v/>
      </c>
      <c r="I2623">
        <f>IF(H2622=0,1,SUMPRODUCT(J2622:N2622,B2623:F2623)+O2622*(1+0.00023125256064071564))</f>
        <v/>
      </c>
      <c r="J2623">
        <f>IF(G2623=1,0.2*R2623/B2623,J2622)</f>
        <v/>
      </c>
      <c r="K2623">
        <f>IF(G2623=1,0.2*R2623/C2623,K2622)</f>
        <v/>
      </c>
      <c r="L2623">
        <f>IF(G2623=1,0.2*R2623/D2623,L2622)</f>
        <v/>
      </c>
      <c r="M2623">
        <f>IF(G2623=1,0.2*R2623/E2623,M2622)</f>
        <v/>
      </c>
      <c r="N2623">
        <f>IF(G2623=1,0.2*R2623/F2623,N2622)</f>
        <v/>
      </c>
      <c r="O2623">
        <f>IF(G2623=1,R2623*(1-1.0),IF(H2622=0,1,O2622*(1+0.00023125256064071564)))</f>
        <v/>
      </c>
      <c r="P2623">
        <f>IF(G2623=1,IF(H2622=0,1,ABS(0.2-J2622*B2623/I2623)+ABS(0.2-K2622*C2623/I2623)+ABS(0.2-L2622*D2623/I2623)+ABS(0.2-M2622*E2623/I2623)+ABS(0.2-N2622*F2623/I2623)),0)</f>
        <v/>
      </c>
      <c r="Q2623">
        <f>P2623*0.0015</f>
        <v/>
      </c>
      <c r="R2623">
        <f>I2623*(1-Q2623)</f>
        <v/>
      </c>
      <c r="S2623">
        <f>R2623/R2622-1</f>
        <v/>
      </c>
      <c r="T2623">
        <f>MAX(T2622,R2623)</f>
        <v/>
      </c>
      <c r="U2623">
        <f>R2623/T2623-1</f>
        <v/>
      </c>
      <c r="V2623" t="n">
        <v>6.70115027169587</v>
      </c>
      <c r="W2623" s="5">
        <f>R2623-V2623</f>
        <v/>
      </c>
    </row>
    <row r="2624">
      <c r="A2624" s="3" t="n">
        <v>42298</v>
      </c>
      <c r="B2624">
        <f>Prices!B2624</f>
        <v/>
      </c>
      <c r="C2624">
        <f>Prices!C2624</f>
        <v/>
      </c>
      <c r="D2624">
        <f>Prices!D2624</f>
        <v/>
      </c>
      <c r="E2624">
        <f>Prices!E2624</f>
        <v/>
      </c>
      <c r="F2624">
        <f>Prices!F2624</f>
        <v/>
      </c>
      <c r="G2624">
        <f>IF(AND(2622&gt;=16,TEXT(A2624,"yyyy-mm")&lt;&gt;TEXT(A2625,"yyyy-mm")),1,0)</f>
        <v/>
      </c>
      <c r="H2624">
        <f>IF(OR(H2623=1,G2624=1),1,0)</f>
        <v/>
      </c>
      <c r="I2624">
        <f>IF(H2623=0,1,SUMPRODUCT(J2623:N2623,B2624:F2624)+O2623*(1+0.00023125256064071564))</f>
        <v/>
      </c>
      <c r="J2624">
        <f>IF(G2624=1,0.2*R2624/B2624,J2623)</f>
        <v/>
      </c>
      <c r="K2624">
        <f>IF(G2624=1,0.2*R2624/C2624,K2623)</f>
        <v/>
      </c>
      <c r="L2624">
        <f>IF(G2624=1,0.2*R2624/D2624,L2623)</f>
        <v/>
      </c>
      <c r="M2624">
        <f>IF(G2624=1,0.2*R2624/E2624,M2623)</f>
        <v/>
      </c>
      <c r="N2624">
        <f>IF(G2624=1,0.2*R2624/F2624,N2623)</f>
        <v/>
      </c>
      <c r="O2624">
        <f>IF(G2624=1,R2624*(1-1.0),IF(H2623=0,1,O2623*(1+0.00023125256064071564)))</f>
        <v/>
      </c>
      <c r="P2624">
        <f>IF(G2624=1,IF(H2623=0,1,ABS(0.2-J2623*B2624/I2624)+ABS(0.2-K2623*C2624/I2624)+ABS(0.2-L2623*D2624/I2624)+ABS(0.2-M2623*E2624/I2624)+ABS(0.2-N2623*F2624/I2624)),0)</f>
        <v/>
      </c>
      <c r="Q2624">
        <f>P2624*0.0015</f>
        <v/>
      </c>
      <c r="R2624">
        <f>I2624*(1-Q2624)</f>
        <v/>
      </c>
      <c r="S2624">
        <f>R2624/R2623-1</f>
        <v/>
      </c>
      <c r="T2624">
        <f>MAX(T2623,R2624)</f>
        <v/>
      </c>
      <c r="U2624">
        <f>R2624/T2624-1</f>
        <v/>
      </c>
      <c r="V2624" t="n">
        <v>6.696567770724765</v>
      </c>
      <c r="W2624" s="5">
        <f>R2624-V2624</f>
        <v/>
      </c>
    </row>
    <row r="2625">
      <c r="A2625" s="3" t="n">
        <v>42300</v>
      </c>
      <c r="B2625">
        <f>Prices!B2625</f>
        <v/>
      </c>
      <c r="C2625">
        <f>Prices!C2625</f>
        <v/>
      </c>
      <c r="D2625">
        <f>Prices!D2625</f>
        <v/>
      </c>
      <c r="E2625">
        <f>Prices!E2625</f>
        <v/>
      </c>
      <c r="F2625">
        <f>Prices!F2625</f>
        <v/>
      </c>
      <c r="G2625">
        <f>IF(AND(2623&gt;=16,TEXT(A2625,"yyyy-mm")&lt;&gt;TEXT(A2626,"yyyy-mm")),1,0)</f>
        <v/>
      </c>
      <c r="H2625">
        <f>IF(OR(H2624=1,G2625=1),1,0)</f>
        <v/>
      </c>
      <c r="I2625">
        <f>IF(H2624=0,1,SUMPRODUCT(J2624:N2624,B2625:F2625)+O2624*(1+0.00023125256064071564))</f>
        <v/>
      </c>
      <c r="J2625">
        <f>IF(G2625=1,0.2*R2625/B2625,J2624)</f>
        <v/>
      </c>
      <c r="K2625">
        <f>IF(G2625=1,0.2*R2625/C2625,K2624)</f>
        <v/>
      </c>
      <c r="L2625">
        <f>IF(G2625=1,0.2*R2625/D2625,L2624)</f>
        <v/>
      </c>
      <c r="M2625">
        <f>IF(G2625=1,0.2*R2625/E2625,M2624)</f>
        <v/>
      </c>
      <c r="N2625">
        <f>IF(G2625=1,0.2*R2625/F2625,N2624)</f>
        <v/>
      </c>
      <c r="O2625">
        <f>IF(G2625=1,R2625*(1-1.0),IF(H2624=0,1,O2624*(1+0.00023125256064071564)))</f>
        <v/>
      </c>
      <c r="P2625">
        <f>IF(G2625=1,IF(H2624=0,1,ABS(0.2-J2624*B2625/I2625)+ABS(0.2-K2624*C2625/I2625)+ABS(0.2-L2624*D2625/I2625)+ABS(0.2-M2624*E2625/I2625)+ABS(0.2-N2624*F2625/I2625)),0)</f>
        <v/>
      </c>
      <c r="Q2625">
        <f>P2625*0.0015</f>
        <v/>
      </c>
      <c r="R2625">
        <f>I2625*(1-Q2625)</f>
        <v/>
      </c>
      <c r="S2625">
        <f>R2625/R2624-1</f>
        <v/>
      </c>
      <c r="T2625">
        <f>MAX(T2624,R2625)</f>
        <v/>
      </c>
      <c r="U2625">
        <f>R2625/T2625-1</f>
        <v/>
      </c>
      <c r="V2625" t="n">
        <v>6.68870233296351</v>
      </c>
      <c r="W2625" s="5">
        <f>R2625-V2625</f>
        <v/>
      </c>
    </row>
    <row r="2626">
      <c r="A2626" s="3" t="n">
        <v>42303</v>
      </c>
      <c r="B2626">
        <f>Prices!B2626</f>
        <v/>
      </c>
      <c r="C2626">
        <f>Prices!C2626</f>
        <v/>
      </c>
      <c r="D2626">
        <f>Prices!D2626</f>
        <v/>
      </c>
      <c r="E2626">
        <f>Prices!E2626</f>
        <v/>
      </c>
      <c r="F2626">
        <f>Prices!F2626</f>
        <v/>
      </c>
      <c r="G2626">
        <f>IF(AND(2624&gt;=16,TEXT(A2626,"yyyy-mm")&lt;&gt;TEXT(A2627,"yyyy-mm")),1,0)</f>
        <v/>
      </c>
      <c r="H2626">
        <f>IF(OR(H2625=1,G2626=1),1,0)</f>
        <v/>
      </c>
      <c r="I2626">
        <f>IF(H2625=0,1,SUMPRODUCT(J2625:N2625,B2626:F2626)+O2625*(1+0.00023125256064071564))</f>
        <v/>
      </c>
      <c r="J2626">
        <f>IF(G2626=1,0.2*R2626/B2626,J2625)</f>
        <v/>
      </c>
      <c r="K2626">
        <f>IF(G2626=1,0.2*R2626/C2626,K2625)</f>
        <v/>
      </c>
      <c r="L2626">
        <f>IF(G2626=1,0.2*R2626/D2626,L2625)</f>
        <v/>
      </c>
      <c r="M2626">
        <f>IF(G2626=1,0.2*R2626/E2626,M2625)</f>
        <v/>
      </c>
      <c r="N2626">
        <f>IF(G2626=1,0.2*R2626/F2626,N2625)</f>
        <v/>
      </c>
      <c r="O2626">
        <f>IF(G2626=1,R2626*(1-1.0),IF(H2625=0,1,O2625*(1+0.00023125256064071564)))</f>
        <v/>
      </c>
      <c r="P2626">
        <f>IF(G2626=1,IF(H2625=0,1,ABS(0.2-J2625*B2626/I2626)+ABS(0.2-K2625*C2626/I2626)+ABS(0.2-L2625*D2626/I2626)+ABS(0.2-M2625*E2626/I2626)+ABS(0.2-N2625*F2626/I2626)),0)</f>
        <v/>
      </c>
      <c r="Q2626">
        <f>P2626*0.0015</f>
        <v/>
      </c>
      <c r="R2626">
        <f>I2626*(1-Q2626)</f>
        <v/>
      </c>
      <c r="S2626">
        <f>R2626/R2625-1</f>
        <v/>
      </c>
      <c r="T2626">
        <f>MAX(T2625,R2626)</f>
        <v/>
      </c>
      <c r="U2626">
        <f>R2626/T2626-1</f>
        <v/>
      </c>
      <c r="V2626" t="n">
        <v>6.655340132282292</v>
      </c>
      <c r="W2626" s="5">
        <f>R2626-V2626</f>
        <v/>
      </c>
    </row>
    <row r="2627">
      <c r="A2627" s="3" t="n">
        <v>42304</v>
      </c>
      <c r="B2627">
        <f>Prices!B2627</f>
        <v/>
      </c>
      <c r="C2627">
        <f>Prices!C2627</f>
        <v/>
      </c>
      <c r="D2627">
        <f>Prices!D2627</f>
        <v/>
      </c>
      <c r="E2627">
        <f>Prices!E2627</f>
        <v/>
      </c>
      <c r="F2627">
        <f>Prices!F2627</f>
        <v/>
      </c>
      <c r="G2627">
        <f>IF(AND(2625&gt;=16,TEXT(A2627,"yyyy-mm")&lt;&gt;TEXT(A2628,"yyyy-mm")),1,0)</f>
        <v/>
      </c>
      <c r="H2627">
        <f>IF(OR(H2626=1,G2627=1),1,0)</f>
        <v/>
      </c>
      <c r="I2627">
        <f>IF(H2626=0,1,SUMPRODUCT(J2626:N2626,B2627:F2627)+O2626*(1+0.00023125256064071564))</f>
        <v/>
      </c>
      <c r="J2627">
        <f>IF(G2627=1,0.2*R2627/B2627,J2626)</f>
        <v/>
      </c>
      <c r="K2627">
        <f>IF(G2627=1,0.2*R2627/C2627,K2626)</f>
        <v/>
      </c>
      <c r="L2627">
        <f>IF(G2627=1,0.2*R2627/D2627,L2626)</f>
        <v/>
      </c>
      <c r="M2627">
        <f>IF(G2627=1,0.2*R2627/E2627,M2626)</f>
        <v/>
      </c>
      <c r="N2627">
        <f>IF(G2627=1,0.2*R2627/F2627,N2626)</f>
        <v/>
      </c>
      <c r="O2627">
        <f>IF(G2627=1,R2627*(1-1.0),IF(H2626=0,1,O2626*(1+0.00023125256064071564)))</f>
        <v/>
      </c>
      <c r="P2627">
        <f>IF(G2627=1,IF(H2626=0,1,ABS(0.2-J2626*B2627/I2627)+ABS(0.2-K2626*C2627/I2627)+ABS(0.2-L2626*D2627/I2627)+ABS(0.2-M2626*E2627/I2627)+ABS(0.2-N2626*F2627/I2627)),0)</f>
        <v/>
      </c>
      <c r="Q2627">
        <f>P2627*0.0015</f>
        <v/>
      </c>
      <c r="R2627">
        <f>I2627*(1-Q2627)</f>
        <v/>
      </c>
      <c r="S2627">
        <f>R2627/R2626-1</f>
        <v/>
      </c>
      <c r="T2627">
        <f>MAX(T2626,R2627)</f>
        <v/>
      </c>
      <c r="U2627">
        <f>R2627/T2627-1</f>
        <v/>
      </c>
      <c r="V2627" t="n">
        <v>6.648467561907604</v>
      </c>
      <c r="W2627" s="5">
        <f>R2627-V2627</f>
        <v/>
      </c>
    </row>
    <row r="2628">
      <c r="A2628" s="3" t="n">
        <v>42305</v>
      </c>
      <c r="B2628">
        <f>Prices!B2628</f>
        <v/>
      </c>
      <c r="C2628">
        <f>Prices!C2628</f>
        <v/>
      </c>
      <c r="D2628">
        <f>Prices!D2628</f>
        <v/>
      </c>
      <c r="E2628">
        <f>Prices!E2628</f>
        <v/>
      </c>
      <c r="F2628">
        <f>Prices!F2628</f>
        <v/>
      </c>
      <c r="G2628">
        <f>IF(AND(2626&gt;=16,TEXT(A2628,"yyyy-mm")&lt;&gt;TEXT(A2629,"yyyy-mm")),1,0)</f>
        <v/>
      </c>
      <c r="H2628">
        <f>IF(OR(H2627=1,G2628=1),1,0)</f>
        <v/>
      </c>
      <c r="I2628">
        <f>IF(H2627=0,1,SUMPRODUCT(J2627:N2627,B2628:F2628)+O2627*(1+0.00023125256064071564))</f>
        <v/>
      </c>
      <c r="J2628">
        <f>IF(G2628=1,0.2*R2628/B2628,J2627)</f>
        <v/>
      </c>
      <c r="K2628">
        <f>IF(G2628=1,0.2*R2628/C2628,K2627)</f>
        <v/>
      </c>
      <c r="L2628">
        <f>IF(G2628=1,0.2*R2628/D2628,L2627)</f>
        <v/>
      </c>
      <c r="M2628">
        <f>IF(G2628=1,0.2*R2628/E2628,M2627)</f>
        <v/>
      </c>
      <c r="N2628">
        <f>IF(G2628=1,0.2*R2628/F2628,N2627)</f>
        <v/>
      </c>
      <c r="O2628">
        <f>IF(G2628=1,R2628*(1-1.0),IF(H2627=0,1,O2627*(1+0.00023125256064071564)))</f>
        <v/>
      </c>
      <c r="P2628">
        <f>IF(G2628=1,IF(H2627=0,1,ABS(0.2-J2627*B2628/I2628)+ABS(0.2-K2627*C2628/I2628)+ABS(0.2-L2627*D2628/I2628)+ABS(0.2-M2627*E2628/I2628)+ABS(0.2-N2627*F2628/I2628)),0)</f>
        <v/>
      </c>
      <c r="Q2628">
        <f>P2628*0.0015</f>
        <v/>
      </c>
      <c r="R2628">
        <f>I2628*(1-Q2628)</f>
        <v/>
      </c>
      <c r="S2628">
        <f>R2628/R2627-1</f>
        <v/>
      </c>
      <c r="T2628">
        <f>MAX(T2627,R2628)</f>
        <v/>
      </c>
      <c r="U2628">
        <f>R2628/T2628-1</f>
        <v/>
      </c>
      <c r="V2628" t="n">
        <v>6.633244121147122</v>
      </c>
      <c r="W2628" s="5">
        <f>R2628-V2628</f>
        <v/>
      </c>
    </row>
    <row r="2629">
      <c r="A2629" s="3" t="n">
        <v>42306</v>
      </c>
      <c r="B2629">
        <f>Prices!B2629</f>
        <v/>
      </c>
      <c r="C2629">
        <f>Prices!C2629</f>
        <v/>
      </c>
      <c r="D2629">
        <f>Prices!D2629</f>
        <v/>
      </c>
      <c r="E2629">
        <f>Prices!E2629</f>
        <v/>
      </c>
      <c r="F2629">
        <f>Prices!F2629</f>
        <v/>
      </c>
      <c r="G2629">
        <f>IF(AND(2627&gt;=16,TEXT(A2629,"yyyy-mm")&lt;&gt;TEXT(A2630,"yyyy-mm")),1,0)</f>
        <v/>
      </c>
      <c r="H2629">
        <f>IF(OR(H2628=1,G2629=1),1,0)</f>
        <v/>
      </c>
      <c r="I2629">
        <f>IF(H2628=0,1,SUMPRODUCT(J2628:N2628,B2629:F2629)+O2628*(1+0.00023125256064071564))</f>
        <v/>
      </c>
      <c r="J2629">
        <f>IF(G2629=1,0.2*R2629/B2629,J2628)</f>
        <v/>
      </c>
      <c r="K2629">
        <f>IF(G2629=1,0.2*R2629/C2629,K2628)</f>
        <v/>
      </c>
      <c r="L2629">
        <f>IF(G2629=1,0.2*R2629/D2629,L2628)</f>
        <v/>
      </c>
      <c r="M2629">
        <f>IF(G2629=1,0.2*R2629/E2629,M2628)</f>
        <v/>
      </c>
      <c r="N2629">
        <f>IF(G2629=1,0.2*R2629/F2629,N2628)</f>
        <v/>
      </c>
      <c r="O2629">
        <f>IF(G2629=1,R2629*(1-1.0),IF(H2628=0,1,O2628*(1+0.00023125256064071564)))</f>
        <v/>
      </c>
      <c r="P2629">
        <f>IF(G2629=1,IF(H2628=0,1,ABS(0.2-J2628*B2629/I2629)+ABS(0.2-K2628*C2629/I2629)+ABS(0.2-L2628*D2629/I2629)+ABS(0.2-M2628*E2629/I2629)+ABS(0.2-N2628*F2629/I2629)),0)</f>
        <v/>
      </c>
      <c r="Q2629">
        <f>P2629*0.0015</f>
        <v/>
      </c>
      <c r="R2629">
        <f>I2629*(1-Q2629)</f>
        <v/>
      </c>
      <c r="S2629">
        <f>R2629/R2628-1</f>
        <v/>
      </c>
      <c r="T2629">
        <f>MAX(T2628,R2629)</f>
        <v/>
      </c>
      <c r="U2629">
        <f>R2629/T2629-1</f>
        <v/>
      </c>
      <c r="V2629" t="n">
        <v>6.605962423905373</v>
      </c>
      <c r="W2629" s="5">
        <f>R2629-V2629</f>
        <v/>
      </c>
    </row>
    <row r="2630">
      <c r="A2630" s="3" t="n">
        <v>42307</v>
      </c>
      <c r="B2630">
        <f>Prices!B2630</f>
        <v/>
      </c>
      <c r="C2630">
        <f>Prices!C2630</f>
        <v/>
      </c>
      <c r="D2630">
        <f>Prices!D2630</f>
        <v/>
      </c>
      <c r="E2630">
        <f>Prices!E2630</f>
        <v/>
      </c>
      <c r="F2630">
        <f>Prices!F2630</f>
        <v/>
      </c>
      <c r="G2630">
        <f>IF(AND(2628&gt;=16,TEXT(A2630,"yyyy-mm")&lt;&gt;TEXT(A2631,"yyyy-mm")),1,0)</f>
        <v/>
      </c>
      <c r="H2630">
        <f>IF(OR(H2629=1,G2630=1),1,0)</f>
        <v/>
      </c>
      <c r="I2630">
        <f>IF(H2629=0,1,SUMPRODUCT(J2629:N2629,B2630:F2630)+O2629*(1+0.00023125256064071564))</f>
        <v/>
      </c>
      <c r="J2630">
        <f>IF(G2630=1,0.2*R2630/B2630,J2629)</f>
        <v/>
      </c>
      <c r="K2630">
        <f>IF(G2630=1,0.2*R2630/C2630,K2629)</f>
        <v/>
      </c>
      <c r="L2630">
        <f>IF(G2630=1,0.2*R2630/D2630,L2629)</f>
        <v/>
      </c>
      <c r="M2630">
        <f>IF(G2630=1,0.2*R2630/E2630,M2629)</f>
        <v/>
      </c>
      <c r="N2630">
        <f>IF(G2630=1,0.2*R2630/F2630,N2629)</f>
        <v/>
      </c>
      <c r="O2630">
        <f>IF(G2630=1,R2630*(1-1.0),IF(H2629=0,1,O2629*(1+0.00023125256064071564)))</f>
        <v/>
      </c>
      <c r="P2630">
        <f>IF(G2630=1,IF(H2629=0,1,ABS(0.2-J2629*B2630/I2630)+ABS(0.2-K2629*C2630/I2630)+ABS(0.2-L2629*D2630/I2630)+ABS(0.2-M2629*E2630/I2630)+ABS(0.2-N2629*F2630/I2630)),0)</f>
        <v/>
      </c>
      <c r="Q2630">
        <f>P2630*0.0015</f>
        <v/>
      </c>
      <c r="R2630">
        <f>I2630*(1-Q2630)</f>
        <v/>
      </c>
      <c r="S2630">
        <f>R2630/R2629-1</f>
        <v/>
      </c>
      <c r="T2630">
        <f>MAX(T2629,R2630)</f>
        <v/>
      </c>
      <c r="U2630">
        <f>R2630/T2630-1</f>
        <v/>
      </c>
      <c r="V2630" t="n">
        <v>6.578627444780595</v>
      </c>
      <c r="W2630" s="5">
        <f>R2630-V2630</f>
        <v/>
      </c>
    </row>
    <row r="2631">
      <c r="A2631" s="3" t="n">
        <v>42310</v>
      </c>
      <c r="B2631">
        <f>Prices!B2631</f>
        <v/>
      </c>
      <c r="C2631">
        <f>Prices!C2631</f>
        <v/>
      </c>
      <c r="D2631">
        <f>Prices!D2631</f>
        <v/>
      </c>
      <c r="E2631">
        <f>Prices!E2631</f>
        <v/>
      </c>
      <c r="F2631">
        <f>Prices!F2631</f>
        <v/>
      </c>
      <c r="G2631">
        <f>IF(AND(2629&gt;=16,TEXT(A2631,"yyyy-mm")&lt;&gt;TEXT(A2632,"yyyy-mm")),1,0)</f>
        <v/>
      </c>
      <c r="H2631">
        <f>IF(OR(H2630=1,G2631=1),1,0)</f>
        <v/>
      </c>
      <c r="I2631">
        <f>IF(H2630=0,1,SUMPRODUCT(J2630:N2630,B2631:F2631)+O2630*(1+0.00023125256064071564))</f>
        <v/>
      </c>
      <c r="J2631">
        <f>IF(G2631=1,0.2*R2631/B2631,J2630)</f>
        <v/>
      </c>
      <c r="K2631">
        <f>IF(G2631=1,0.2*R2631/C2631,K2630)</f>
        <v/>
      </c>
      <c r="L2631">
        <f>IF(G2631=1,0.2*R2631/D2631,L2630)</f>
        <v/>
      </c>
      <c r="M2631">
        <f>IF(G2631=1,0.2*R2631/E2631,M2630)</f>
        <v/>
      </c>
      <c r="N2631">
        <f>IF(G2631=1,0.2*R2631/F2631,N2630)</f>
        <v/>
      </c>
      <c r="O2631">
        <f>IF(G2631=1,R2631*(1-1.0),IF(H2630=0,1,O2630*(1+0.00023125256064071564)))</f>
        <v/>
      </c>
      <c r="P2631">
        <f>IF(G2631=1,IF(H2630=0,1,ABS(0.2-J2630*B2631/I2631)+ABS(0.2-K2630*C2631/I2631)+ABS(0.2-L2630*D2631/I2631)+ABS(0.2-M2630*E2631/I2631)+ABS(0.2-N2630*F2631/I2631)),0)</f>
        <v/>
      </c>
      <c r="Q2631">
        <f>P2631*0.0015</f>
        <v/>
      </c>
      <c r="R2631">
        <f>I2631*(1-Q2631)</f>
        <v/>
      </c>
      <c r="S2631">
        <f>R2631/R2630-1</f>
        <v/>
      </c>
      <c r="T2631">
        <f>MAX(T2630,R2631)</f>
        <v/>
      </c>
      <c r="U2631">
        <f>R2631/T2631-1</f>
        <v/>
      </c>
      <c r="V2631" t="n">
        <v>6.558763241946425</v>
      </c>
      <c r="W2631" s="5">
        <f>R2631-V2631</f>
        <v/>
      </c>
    </row>
    <row r="2632">
      <c r="A2632" s="3" t="n">
        <v>42311</v>
      </c>
      <c r="B2632">
        <f>Prices!B2632</f>
        <v/>
      </c>
      <c r="C2632">
        <f>Prices!C2632</f>
        <v/>
      </c>
      <c r="D2632">
        <f>Prices!D2632</f>
        <v/>
      </c>
      <c r="E2632">
        <f>Prices!E2632</f>
        <v/>
      </c>
      <c r="F2632">
        <f>Prices!F2632</f>
        <v/>
      </c>
      <c r="G2632">
        <f>IF(AND(2630&gt;=16,TEXT(A2632,"yyyy-mm")&lt;&gt;TEXT(A2633,"yyyy-mm")),1,0)</f>
        <v/>
      </c>
      <c r="H2632">
        <f>IF(OR(H2631=1,G2632=1),1,0)</f>
        <v/>
      </c>
      <c r="I2632">
        <f>IF(H2631=0,1,SUMPRODUCT(J2631:N2631,B2632:F2632)+O2631*(1+0.00023125256064071564))</f>
        <v/>
      </c>
      <c r="J2632">
        <f>IF(G2632=1,0.2*R2632/B2632,J2631)</f>
        <v/>
      </c>
      <c r="K2632">
        <f>IF(G2632=1,0.2*R2632/C2632,K2631)</f>
        <v/>
      </c>
      <c r="L2632">
        <f>IF(G2632=1,0.2*R2632/D2632,L2631)</f>
        <v/>
      </c>
      <c r="M2632">
        <f>IF(G2632=1,0.2*R2632/E2632,M2631)</f>
        <v/>
      </c>
      <c r="N2632">
        <f>IF(G2632=1,0.2*R2632/F2632,N2631)</f>
        <v/>
      </c>
      <c r="O2632">
        <f>IF(G2632=1,R2632*(1-1.0),IF(H2631=0,1,O2631*(1+0.00023125256064071564)))</f>
        <v/>
      </c>
      <c r="P2632">
        <f>IF(G2632=1,IF(H2631=0,1,ABS(0.2-J2631*B2632/I2632)+ABS(0.2-K2631*C2632/I2632)+ABS(0.2-L2631*D2632/I2632)+ABS(0.2-M2631*E2632/I2632)+ABS(0.2-N2631*F2632/I2632)),0)</f>
        <v/>
      </c>
      <c r="Q2632">
        <f>P2632*0.0015</f>
        <v/>
      </c>
      <c r="R2632">
        <f>I2632*(1-Q2632)</f>
        <v/>
      </c>
      <c r="S2632">
        <f>R2632/R2631-1</f>
        <v/>
      </c>
      <c r="T2632">
        <f>MAX(T2631,R2632)</f>
        <v/>
      </c>
      <c r="U2632">
        <f>R2632/T2632-1</f>
        <v/>
      </c>
      <c r="V2632" t="n">
        <v>6.582511482169857</v>
      </c>
      <c r="W2632" s="5">
        <f>R2632-V2632</f>
        <v/>
      </c>
    </row>
    <row r="2633">
      <c r="A2633" s="3" t="n">
        <v>42312</v>
      </c>
      <c r="B2633">
        <f>Prices!B2633</f>
        <v/>
      </c>
      <c r="C2633">
        <f>Prices!C2633</f>
        <v/>
      </c>
      <c r="D2633">
        <f>Prices!D2633</f>
        <v/>
      </c>
      <c r="E2633">
        <f>Prices!E2633</f>
        <v/>
      </c>
      <c r="F2633">
        <f>Prices!F2633</f>
        <v/>
      </c>
      <c r="G2633">
        <f>IF(AND(2631&gt;=16,TEXT(A2633,"yyyy-mm")&lt;&gt;TEXT(A2634,"yyyy-mm")),1,0)</f>
        <v/>
      </c>
      <c r="H2633">
        <f>IF(OR(H2632=1,G2633=1),1,0)</f>
        <v/>
      </c>
      <c r="I2633">
        <f>IF(H2632=0,1,SUMPRODUCT(J2632:N2632,B2633:F2633)+O2632*(1+0.00023125256064071564))</f>
        <v/>
      </c>
      <c r="J2633">
        <f>IF(G2633=1,0.2*R2633/B2633,J2632)</f>
        <v/>
      </c>
      <c r="K2633">
        <f>IF(G2633=1,0.2*R2633/C2633,K2632)</f>
        <v/>
      </c>
      <c r="L2633">
        <f>IF(G2633=1,0.2*R2633/D2633,L2632)</f>
        <v/>
      </c>
      <c r="M2633">
        <f>IF(G2633=1,0.2*R2633/E2633,M2632)</f>
        <v/>
      </c>
      <c r="N2633">
        <f>IF(G2633=1,0.2*R2633/F2633,N2632)</f>
        <v/>
      </c>
      <c r="O2633">
        <f>IF(G2633=1,R2633*(1-1.0),IF(H2632=0,1,O2632*(1+0.00023125256064071564)))</f>
        <v/>
      </c>
      <c r="P2633">
        <f>IF(G2633=1,IF(H2632=0,1,ABS(0.2-J2632*B2633/I2633)+ABS(0.2-K2632*C2633/I2633)+ABS(0.2-L2632*D2633/I2633)+ABS(0.2-M2632*E2633/I2633)+ABS(0.2-N2632*F2633/I2633)),0)</f>
        <v/>
      </c>
      <c r="Q2633">
        <f>P2633*0.0015</f>
        <v/>
      </c>
      <c r="R2633">
        <f>I2633*(1-Q2633)</f>
        <v/>
      </c>
      <c r="S2633">
        <f>R2633/R2632-1</f>
        <v/>
      </c>
      <c r="T2633">
        <f>MAX(T2632,R2633)</f>
        <v/>
      </c>
      <c r="U2633">
        <f>R2633/T2633-1</f>
        <v/>
      </c>
      <c r="V2633" t="n">
        <v>6.566724076584069</v>
      </c>
      <c r="W2633" s="5">
        <f>R2633-V2633</f>
        <v/>
      </c>
    </row>
    <row r="2634">
      <c r="A2634" s="3" t="n">
        <v>42313</v>
      </c>
      <c r="B2634">
        <f>Prices!B2634</f>
        <v/>
      </c>
      <c r="C2634">
        <f>Prices!C2634</f>
        <v/>
      </c>
      <c r="D2634">
        <f>Prices!D2634</f>
        <v/>
      </c>
      <c r="E2634">
        <f>Prices!E2634</f>
        <v/>
      </c>
      <c r="F2634">
        <f>Prices!F2634</f>
        <v/>
      </c>
      <c r="G2634">
        <f>IF(AND(2632&gt;=16,TEXT(A2634,"yyyy-mm")&lt;&gt;TEXT(A2635,"yyyy-mm")),1,0)</f>
        <v/>
      </c>
      <c r="H2634">
        <f>IF(OR(H2633=1,G2634=1),1,0)</f>
        <v/>
      </c>
      <c r="I2634">
        <f>IF(H2633=0,1,SUMPRODUCT(J2633:N2633,B2634:F2634)+O2633*(1+0.00023125256064071564))</f>
        <v/>
      </c>
      <c r="J2634">
        <f>IF(G2634=1,0.2*R2634/B2634,J2633)</f>
        <v/>
      </c>
      <c r="K2634">
        <f>IF(G2634=1,0.2*R2634/C2634,K2633)</f>
        <v/>
      </c>
      <c r="L2634">
        <f>IF(G2634=1,0.2*R2634/D2634,L2633)</f>
        <v/>
      </c>
      <c r="M2634">
        <f>IF(G2634=1,0.2*R2634/E2634,M2633)</f>
        <v/>
      </c>
      <c r="N2634">
        <f>IF(G2634=1,0.2*R2634/F2634,N2633)</f>
        <v/>
      </c>
      <c r="O2634">
        <f>IF(G2634=1,R2634*(1-1.0),IF(H2633=0,1,O2633*(1+0.00023125256064071564)))</f>
        <v/>
      </c>
      <c r="P2634">
        <f>IF(G2634=1,IF(H2633=0,1,ABS(0.2-J2633*B2634/I2634)+ABS(0.2-K2633*C2634/I2634)+ABS(0.2-L2633*D2634/I2634)+ABS(0.2-M2633*E2634/I2634)+ABS(0.2-N2633*F2634/I2634)),0)</f>
        <v/>
      </c>
      <c r="Q2634">
        <f>P2634*0.0015</f>
        <v/>
      </c>
      <c r="R2634">
        <f>I2634*(1-Q2634)</f>
        <v/>
      </c>
      <c r="S2634">
        <f>R2634/R2633-1</f>
        <v/>
      </c>
      <c r="T2634">
        <f>MAX(T2633,R2634)</f>
        <v/>
      </c>
      <c r="U2634">
        <f>R2634/T2634-1</f>
        <v/>
      </c>
      <c r="V2634" t="n">
        <v>6.477392463900247</v>
      </c>
      <c r="W2634" s="5">
        <f>R2634-V2634</f>
        <v/>
      </c>
    </row>
    <row r="2635">
      <c r="A2635" s="3" t="n">
        <v>42314</v>
      </c>
      <c r="B2635">
        <f>Prices!B2635</f>
        <v/>
      </c>
      <c r="C2635">
        <f>Prices!C2635</f>
        <v/>
      </c>
      <c r="D2635">
        <f>Prices!D2635</f>
        <v/>
      </c>
      <c r="E2635">
        <f>Prices!E2635</f>
        <v/>
      </c>
      <c r="F2635">
        <f>Prices!F2635</f>
        <v/>
      </c>
      <c r="G2635">
        <f>IF(AND(2633&gt;=16,TEXT(A2635,"yyyy-mm")&lt;&gt;TEXT(A2636,"yyyy-mm")),1,0)</f>
        <v/>
      </c>
      <c r="H2635">
        <f>IF(OR(H2634=1,G2635=1),1,0)</f>
        <v/>
      </c>
      <c r="I2635">
        <f>IF(H2634=0,1,SUMPRODUCT(J2634:N2634,B2635:F2635)+O2634*(1+0.00023125256064071564))</f>
        <v/>
      </c>
      <c r="J2635">
        <f>IF(G2635=1,0.2*R2635/B2635,J2634)</f>
        <v/>
      </c>
      <c r="K2635">
        <f>IF(G2635=1,0.2*R2635/C2635,K2634)</f>
        <v/>
      </c>
      <c r="L2635">
        <f>IF(G2635=1,0.2*R2635/D2635,L2634)</f>
        <v/>
      </c>
      <c r="M2635">
        <f>IF(G2635=1,0.2*R2635/E2635,M2634)</f>
        <v/>
      </c>
      <c r="N2635">
        <f>IF(G2635=1,0.2*R2635/F2635,N2634)</f>
        <v/>
      </c>
      <c r="O2635">
        <f>IF(G2635=1,R2635*(1-1.0),IF(H2634=0,1,O2634*(1+0.00023125256064071564)))</f>
        <v/>
      </c>
      <c r="P2635">
        <f>IF(G2635=1,IF(H2634=0,1,ABS(0.2-J2634*B2635/I2635)+ABS(0.2-K2634*C2635/I2635)+ABS(0.2-L2634*D2635/I2635)+ABS(0.2-M2634*E2635/I2635)+ABS(0.2-N2634*F2635/I2635)),0)</f>
        <v/>
      </c>
      <c r="Q2635">
        <f>P2635*0.0015</f>
        <v/>
      </c>
      <c r="R2635">
        <f>I2635*(1-Q2635)</f>
        <v/>
      </c>
      <c r="S2635">
        <f>R2635/R2634-1</f>
        <v/>
      </c>
      <c r="T2635">
        <f>MAX(T2634,R2635)</f>
        <v/>
      </c>
      <c r="U2635">
        <f>R2635/T2635-1</f>
        <v/>
      </c>
      <c r="V2635" t="n">
        <v>6.422894531943142</v>
      </c>
      <c r="W2635" s="5">
        <f>R2635-V2635</f>
        <v/>
      </c>
    </row>
    <row r="2636">
      <c r="A2636" s="3" t="n">
        <v>42317</v>
      </c>
      <c r="B2636">
        <f>Prices!B2636</f>
        <v/>
      </c>
      <c r="C2636">
        <f>Prices!C2636</f>
        <v/>
      </c>
      <c r="D2636">
        <f>Prices!D2636</f>
        <v/>
      </c>
      <c r="E2636">
        <f>Prices!E2636</f>
        <v/>
      </c>
      <c r="F2636">
        <f>Prices!F2636</f>
        <v/>
      </c>
      <c r="G2636">
        <f>IF(AND(2634&gt;=16,TEXT(A2636,"yyyy-mm")&lt;&gt;TEXT(A2637,"yyyy-mm")),1,0)</f>
        <v/>
      </c>
      <c r="H2636">
        <f>IF(OR(H2635=1,G2636=1),1,0)</f>
        <v/>
      </c>
      <c r="I2636">
        <f>IF(H2635=0,1,SUMPRODUCT(J2635:N2635,B2636:F2636)+O2635*(1+0.00023125256064071564))</f>
        <v/>
      </c>
      <c r="J2636">
        <f>IF(G2636=1,0.2*R2636/B2636,J2635)</f>
        <v/>
      </c>
      <c r="K2636">
        <f>IF(G2636=1,0.2*R2636/C2636,K2635)</f>
        <v/>
      </c>
      <c r="L2636">
        <f>IF(G2636=1,0.2*R2636/D2636,L2635)</f>
        <v/>
      </c>
      <c r="M2636">
        <f>IF(G2636=1,0.2*R2636/E2636,M2635)</f>
        <v/>
      </c>
      <c r="N2636">
        <f>IF(G2636=1,0.2*R2636/F2636,N2635)</f>
        <v/>
      </c>
      <c r="O2636">
        <f>IF(G2636=1,R2636*(1-1.0),IF(H2635=0,1,O2635*(1+0.00023125256064071564)))</f>
        <v/>
      </c>
      <c r="P2636">
        <f>IF(G2636=1,IF(H2635=0,1,ABS(0.2-J2635*B2636/I2636)+ABS(0.2-K2635*C2636/I2636)+ABS(0.2-L2635*D2636/I2636)+ABS(0.2-M2635*E2636/I2636)+ABS(0.2-N2635*F2636/I2636)),0)</f>
        <v/>
      </c>
      <c r="Q2636">
        <f>P2636*0.0015</f>
        <v/>
      </c>
      <c r="R2636">
        <f>I2636*(1-Q2636)</f>
        <v/>
      </c>
      <c r="S2636">
        <f>R2636/R2635-1</f>
        <v/>
      </c>
      <c r="T2636">
        <f>MAX(T2635,R2636)</f>
        <v/>
      </c>
      <c r="U2636">
        <f>R2636/T2636-1</f>
        <v/>
      </c>
      <c r="V2636" t="n">
        <v>6.445539380518808</v>
      </c>
      <c r="W2636" s="5">
        <f>R2636-V2636</f>
        <v/>
      </c>
    </row>
    <row r="2637">
      <c r="A2637" s="3" t="n">
        <v>42318</v>
      </c>
      <c r="B2637">
        <f>Prices!B2637</f>
        <v/>
      </c>
      <c r="C2637">
        <f>Prices!C2637</f>
        <v/>
      </c>
      <c r="D2637">
        <f>Prices!D2637</f>
        <v/>
      </c>
      <c r="E2637">
        <f>Prices!E2637</f>
        <v/>
      </c>
      <c r="F2637">
        <f>Prices!F2637</f>
        <v/>
      </c>
      <c r="G2637">
        <f>IF(AND(2635&gt;=16,TEXT(A2637,"yyyy-mm")&lt;&gt;TEXT(A2638,"yyyy-mm")),1,0)</f>
        <v/>
      </c>
      <c r="H2637">
        <f>IF(OR(H2636=1,G2637=1),1,0)</f>
        <v/>
      </c>
      <c r="I2637">
        <f>IF(H2636=0,1,SUMPRODUCT(J2636:N2636,B2637:F2637)+O2636*(1+0.00023125256064071564))</f>
        <v/>
      </c>
      <c r="J2637">
        <f>IF(G2637=1,0.2*R2637/B2637,J2636)</f>
        <v/>
      </c>
      <c r="K2637">
        <f>IF(G2637=1,0.2*R2637/C2637,K2636)</f>
        <v/>
      </c>
      <c r="L2637">
        <f>IF(G2637=1,0.2*R2637/D2637,L2636)</f>
        <v/>
      </c>
      <c r="M2637">
        <f>IF(G2637=1,0.2*R2637/E2637,M2636)</f>
        <v/>
      </c>
      <c r="N2637">
        <f>IF(G2637=1,0.2*R2637/F2637,N2636)</f>
        <v/>
      </c>
      <c r="O2637">
        <f>IF(G2637=1,R2637*(1-1.0),IF(H2636=0,1,O2636*(1+0.00023125256064071564)))</f>
        <v/>
      </c>
      <c r="P2637">
        <f>IF(G2637=1,IF(H2636=0,1,ABS(0.2-J2636*B2637/I2637)+ABS(0.2-K2636*C2637/I2637)+ABS(0.2-L2636*D2637/I2637)+ABS(0.2-M2636*E2637/I2637)+ABS(0.2-N2636*F2637/I2637)),0)</f>
        <v/>
      </c>
      <c r="Q2637">
        <f>P2637*0.0015</f>
        <v/>
      </c>
      <c r="R2637">
        <f>I2637*(1-Q2637)</f>
        <v/>
      </c>
      <c r="S2637">
        <f>R2637/R2636-1</f>
        <v/>
      </c>
      <c r="T2637">
        <f>MAX(T2636,R2637)</f>
        <v/>
      </c>
      <c r="U2637">
        <f>R2637/T2637-1</f>
        <v/>
      </c>
      <c r="V2637" t="n">
        <v>6.345955227843549</v>
      </c>
      <c r="W2637" s="5">
        <f>R2637-V2637</f>
        <v/>
      </c>
    </row>
    <row r="2638">
      <c r="A2638" s="3" t="n">
        <v>42319</v>
      </c>
      <c r="B2638">
        <f>Prices!B2638</f>
        <v/>
      </c>
      <c r="C2638">
        <f>Prices!C2638</f>
        <v/>
      </c>
      <c r="D2638">
        <f>Prices!D2638</f>
        <v/>
      </c>
      <c r="E2638">
        <f>Prices!E2638</f>
        <v/>
      </c>
      <c r="F2638">
        <f>Prices!F2638</f>
        <v/>
      </c>
      <c r="G2638">
        <f>IF(AND(2636&gt;=16,TEXT(A2638,"yyyy-mm")&lt;&gt;TEXT(A2639,"yyyy-mm")),1,0)</f>
        <v/>
      </c>
      <c r="H2638">
        <f>IF(OR(H2637=1,G2638=1),1,0)</f>
        <v/>
      </c>
      <c r="I2638">
        <f>IF(H2637=0,1,SUMPRODUCT(J2637:N2637,B2638:F2638)+O2637*(1+0.00023125256064071564))</f>
        <v/>
      </c>
      <c r="J2638">
        <f>IF(G2638=1,0.2*R2638/B2638,J2637)</f>
        <v/>
      </c>
      <c r="K2638">
        <f>IF(G2638=1,0.2*R2638/C2638,K2637)</f>
        <v/>
      </c>
      <c r="L2638">
        <f>IF(G2638=1,0.2*R2638/D2638,L2637)</f>
        <v/>
      </c>
      <c r="M2638">
        <f>IF(G2638=1,0.2*R2638/E2638,M2637)</f>
        <v/>
      </c>
      <c r="N2638">
        <f>IF(G2638=1,0.2*R2638/F2638,N2637)</f>
        <v/>
      </c>
      <c r="O2638">
        <f>IF(G2638=1,R2638*(1-1.0),IF(H2637=0,1,O2637*(1+0.00023125256064071564)))</f>
        <v/>
      </c>
      <c r="P2638">
        <f>IF(G2638=1,IF(H2637=0,1,ABS(0.2-J2637*B2638/I2638)+ABS(0.2-K2637*C2638/I2638)+ABS(0.2-L2637*D2638/I2638)+ABS(0.2-M2637*E2638/I2638)+ABS(0.2-N2637*F2638/I2638)),0)</f>
        <v/>
      </c>
      <c r="Q2638">
        <f>P2638*0.0015</f>
        <v/>
      </c>
      <c r="R2638">
        <f>I2638*(1-Q2638)</f>
        <v/>
      </c>
      <c r="S2638">
        <f>R2638/R2637-1</f>
        <v/>
      </c>
      <c r="T2638">
        <f>MAX(T2637,R2638)</f>
        <v/>
      </c>
      <c r="U2638">
        <f>R2638/T2638-1</f>
        <v/>
      </c>
      <c r="V2638" t="n">
        <v>6.399723339592638</v>
      </c>
      <c r="W2638" s="5">
        <f>R2638-V2638</f>
        <v/>
      </c>
    </row>
    <row r="2639">
      <c r="A2639" s="3" t="n">
        <v>42321</v>
      </c>
      <c r="B2639">
        <f>Prices!B2639</f>
        <v/>
      </c>
      <c r="C2639">
        <f>Prices!C2639</f>
        <v/>
      </c>
      <c r="D2639">
        <f>Prices!D2639</f>
        <v/>
      </c>
      <c r="E2639">
        <f>Prices!E2639</f>
        <v/>
      </c>
      <c r="F2639">
        <f>Prices!F2639</f>
        <v/>
      </c>
      <c r="G2639">
        <f>IF(AND(2637&gt;=16,TEXT(A2639,"yyyy-mm")&lt;&gt;TEXT(A2640,"yyyy-mm")),1,0)</f>
        <v/>
      </c>
      <c r="H2639">
        <f>IF(OR(H2638=1,G2639=1),1,0)</f>
        <v/>
      </c>
      <c r="I2639">
        <f>IF(H2638=0,1,SUMPRODUCT(J2638:N2638,B2639:F2639)+O2638*(1+0.00023125256064071564))</f>
        <v/>
      </c>
      <c r="J2639">
        <f>IF(G2639=1,0.2*R2639/B2639,J2638)</f>
        <v/>
      </c>
      <c r="K2639">
        <f>IF(G2639=1,0.2*R2639/C2639,K2638)</f>
        <v/>
      </c>
      <c r="L2639">
        <f>IF(G2639=1,0.2*R2639/D2639,L2638)</f>
        <v/>
      </c>
      <c r="M2639">
        <f>IF(G2639=1,0.2*R2639/E2639,M2638)</f>
        <v/>
      </c>
      <c r="N2639">
        <f>IF(G2639=1,0.2*R2639/F2639,N2638)</f>
        <v/>
      </c>
      <c r="O2639">
        <f>IF(G2639=1,R2639*(1-1.0),IF(H2638=0,1,O2638*(1+0.00023125256064071564)))</f>
        <v/>
      </c>
      <c r="P2639">
        <f>IF(G2639=1,IF(H2638=0,1,ABS(0.2-J2638*B2639/I2639)+ABS(0.2-K2638*C2639/I2639)+ABS(0.2-L2638*D2639/I2639)+ABS(0.2-M2638*E2639/I2639)+ABS(0.2-N2638*F2639/I2639)),0)</f>
        <v/>
      </c>
      <c r="Q2639">
        <f>P2639*0.0015</f>
        <v/>
      </c>
      <c r="R2639">
        <f>I2639*(1-Q2639)</f>
        <v/>
      </c>
      <c r="S2639">
        <f>R2639/R2638-1</f>
        <v/>
      </c>
      <c r="T2639">
        <f>MAX(T2638,R2639)</f>
        <v/>
      </c>
      <c r="U2639">
        <f>R2639/T2639-1</f>
        <v/>
      </c>
      <c r="V2639" t="n">
        <v>6.330157765189328</v>
      </c>
      <c r="W2639" s="5">
        <f>R2639-V2639</f>
        <v/>
      </c>
    </row>
    <row r="2640">
      <c r="A2640" s="3" t="n">
        <v>42324</v>
      </c>
      <c r="B2640">
        <f>Prices!B2640</f>
        <v/>
      </c>
      <c r="C2640">
        <f>Prices!C2640</f>
        <v/>
      </c>
      <c r="D2640">
        <f>Prices!D2640</f>
        <v/>
      </c>
      <c r="E2640">
        <f>Prices!E2640</f>
        <v/>
      </c>
      <c r="F2640">
        <f>Prices!F2640</f>
        <v/>
      </c>
      <c r="G2640">
        <f>IF(AND(2638&gt;=16,TEXT(A2640,"yyyy-mm")&lt;&gt;TEXT(A2641,"yyyy-mm")),1,0)</f>
        <v/>
      </c>
      <c r="H2640">
        <f>IF(OR(H2639=1,G2640=1),1,0)</f>
        <v/>
      </c>
      <c r="I2640">
        <f>IF(H2639=0,1,SUMPRODUCT(J2639:N2639,B2640:F2640)+O2639*(1+0.00023125256064071564))</f>
        <v/>
      </c>
      <c r="J2640">
        <f>IF(G2640=1,0.2*R2640/B2640,J2639)</f>
        <v/>
      </c>
      <c r="K2640">
        <f>IF(G2640=1,0.2*R2640/C2640,K2639)</f>
        <v/>
      </c>
      <c r="L2640">
        <f>IF(G2640=1,0.2*R2640/D2640,L2639)</f>
        <v/>
      </c>
      <c r="M2640">
        <f>IF(G2640=1,0.2*R2640/E2640,M2639)</f>
        <v/>
      </c>
      <c r="N2640">
        <f>IF(G2640=1,0.2*R2640/F2640,N2639)</f>
        <v/>
      </c>
      <c r="O2640">
        <f>IF(G2640=1,R2640*(1-1.0),IF(H2639=0,1,O2639*(1+0.00023125256064071564)))</f>
        <v/>
      </c>
      <c r="P2640">
        <f>IF(G2640=1,IF(H2639=0,1,ABS(0.2-J2639*B2640/I2640)+ABS(0.2-K2639*C2640/I2640)+ABS(0.2-L2639*D2640/I2640)+ABS(0.2-M2639*E2640/I2640)+ABS(0.2-N2639*F2640/I2640)),0)</f>
        <v/>
      </c>
      <c r="Q2640">
        <f>P2640*0.0015</f>
        <v/>
      </c>
      <c r="R2640">
        <f>I2640*(1-Q2640)</f>
        <v/>
      </c>
      <c r="S2640">
        <f>R2640/R2639-1</f>
        <v/>
      </c>
      <c r="T2640">
        <f>MAX(T2639,R2640)</f>
        <v/>
      </c>
      <c r="U2640">
        <f>R2640/T2640-1</f>
        <v/>
      </c>
      <c r="V2640" t="n">
        <v>6.351661867823891</v>
      </c>
      <c r="W2640" s="5">
        <f>R2640-V2640</f>
        <v/>
      </c>
    </row>
    <row r="2641">
      <c r="A2641" s="3" t="n">
        <v>42325</v>
      </c>
      <c r="B2641">
        <f>Prices!B2641</f>
        <v/>
      </c>
      <c r="C2641">
        <f>Prices!C2641</f>
        <v/>
      </c>
      <c r="D2641">
        <f>Prices!D2641</f>
        <v/>
      </c>
      <c r="E2641">
        <f>Prices!E2641</f>
        <v/>
      </c>
      <c r="F2641">
        <f>Prices!F2641</f>
        <v/>
      </c>
      <c r="G2641">
        <f>IF(AND(2639&gt;=16,TEXT(A2641,"yyyy-mm")&lt;&gt;TEXT(A2642,"yyyy-mm")),1,0)</f>
        <v/>
      </c>
      <c r="H2641">
        <f>IF(OR(H2640=1,G2641=1),1,0)</f>
        <v/>
      </c>
      <c r="I2641">
        <f>IF(H2640=0,1,SUMPRODUCT(J2640:N2640,B2641:F2641)+O2640*(1+0.00023125256064071564))</f>
        <v/>
      </c>
      <c r="J2641">
        <f>IF(G2641=1,0.2*R2641/B2641,J2640)</f>
        <v/>
      </c>
      <c r="K2641">
        <f>IF(G2641=1,0.2*R2641/C2641,K2640)</f>
        <v/>
      </c>
      <c r="L2641">
        <f>IF(G2641=1,0.2*R2641/D2641,L2640)</f>
        <v/>
      </c>
      <c r="M2641">
        <f>IF(G2641=1,0.2*R2641/E2641,M2640)</f>
        <v/>
      </c>
      <c r="N2641">
        <f>IF(G2641=1,0.2*R2641/F2641,N2640)</f>
        <v/>
      </c>
      <c r="O2641">
        <f>IF(G2641=1,R2641*(1-1.0),IF(H2640=0,1,O2640*(1+0.00023125256064071564)))</f>
        <v/>
      </c>
      <c r="P2641">
        <f>IF(G2641=1,IF(H2640=0,1,ABS(0.2-J2640*B2641/I2641)+ABS(0.2-K2640*C2641/I2641)+ABS(0.2-L2640*D2641/I2641)+ABS(0.2-M2640*E2641/I2641)+ABS(0.2-N2640*F2641/I2641)),0)</f>
        <v/>
      </c>
      <c r="Q2641">
        <f>P2641*0.0015</f>
        <v/>
      </c>
      <c r="R2641">
        <f>I2641*(1-Q2641)</f>
        <v/>
      </c>
      <c r="S2641">
        <f>R2641/R2640-1</f>
        <v/>
      </c>
      <c r="T2641">
        <f>MAX(T2640,R2641)</f>
        <v/>
      </c>
      <c r="U2641">
        <f>R2641/T2641-1</f>
        <v/>
      </c>
      <c r="V2641" t="n">
        <v>6.381325024227486</v>
      </c>
      <c r="W2641" s="5">
        <f>R2641-V2641</f>
        <v/>
      </c>
    </row>
    <row r="2642">
      <c r="A2642" s="3" t="n">
        <v>42326</v>
      </c>
      <c r="B2642">
        <f>Prices!B2642</f>
        <v/>
      </c>
      <c r="C2642">
        <f>Prices!C2642</f>
        <v/>
      </c>
      <c r="D2642">
        <f>Prices!D2642</f>
        <v/>
      </c>
      <c r="E2642">
        <f>Prices!E2642</f>
        <v/>
      </c>
      <c r="F2642">
        <f>Prices!F2642</f>
        <v/>
      </c>
      <c r="G2642">
        <f>IF(AND(2640&gt;=16,TEXT(A2642,"yyyy-mm")&lt;&gt;TEXT(A2643,"yyyy-mm")),1,0)</f>
        <v/>
      </c>
      <c r="H2642">
        <f>IF(OR(H2641=1,G2642=1),1,0)</f>
        <v/>
      </c>
      <c r="I2642">
        <f>IF(H2641=0,1,SUMPRODUCT(J2641:N2641,B2642:F2642)+O2641*(1+0.00023125256064071564))</f>
        <v/>
      </c>
      <c r="J2642">
        <f>IF(G2642=1,0.2*R2642/B2642,J2641)</f>
        <v/>
      </c>
      <c r="K2642">
        <f>IF(G2642=1,0.2*R2642/C2642,K2641)</f>
        <v/>
      </c>
      <c r="L2642">
        <f>IF(G2642=1,0.2*R2642/D2642,L2641)</f>
        <v/>
      </c>
      <c r="M2642">
        <f>IF(G2642=1,0.2*R2642/E2642,M2641)</f>
        <v/>
      </c>
      <c r="N2642">
        <f>IF(G2642=1,0.2*R2642/F2642,N2641)</f>
        <v/>
      </c>
      <c r="O2642">
        <f>IF(G2642=1,R2642*(1-1.0),IF(H2641=0,1,O2641*(1+0.00023125256064071564)))</f>
        <v/>
      </c>
      <c r="P2642">
        <f>IF(G2642=1,IF(H2641=0,1,ABS(0.2-J2641*B2642/I2642)+ABS(0.2-K2641*C2642/I2642)+ABS(0.2-L2641*D2642/I2642)+ABS(0.2-M2641*E2642/I2642)+ABS(0.2-N2641*F2642/I2642)),0)</f>
        <v/>
      </c>
      <c r="Q2642">
        <f>P2642*0.0015</f>
        <v/>
      </c>
      <c r="R2642">
        <f>I2642*(1-Q2642)</f>
        <v/>
      </c>
      <c r="S2642">
        <f>R2642/R2641-1</f>
        <v/>
      </c>
      <c r="T2642">
        <f>MAX(T2641,R2642)</f>
        <v/>
      </c>
      <c r="U2642">
        <f>R2642/T2642-1</f>
        <v/>
      </c>
      <c r="V2642" t="n">
        <v>6.320809708371695</v>
      </c>
      <c r="W2642" s="5">
        <f>R2642-V2642</f>
        <v/>
      </c>
    </row>
    <row r="2643">
      <c r="A2643" s="3" t="n">
        <v>42327</v>
      </c>
      <c r="B2643">
        <f>Prices!B2643</f>
        <v/>
      </c>
      <c r="C2643">
        <f>Prices!C2643</f>
        <v/>
      </c>
      <c r="D2643">
        <f>Prices!D2643</f>
        <v/>
      </c>
      <c r="E2643">
        <f>Prices!E2643</f>
        <v/>
      </c>
      <c r="F2643">
        <f>Prices!F2643</f>
        <v/>
      </c>
      <c r="G2643">
        <f>IF(AND(2641&gt;=16,TEXT(A2643,"yyyy-mm")&lt;&gt;TEXT(A2644,"yyyy-mm")),1,0)</f>
        <v/>
      </c>
      <c r="H2643">
        <f>IF(OR(H2642=1,G2643=1),1,0)</f>
        <v/>
      </c>
      <c r="I2643">
        <f>IF(H2642=0,1,SUMPRODUCT(J2642:N2642,B2643:F2643)+O2642*(1+0.00023125256064071564))</f>
        <v/>
      </c>
      <c r="J2643">
        <f>IF(G2643=1,0.2*R2643/B2643,J2642)</f>
        <v/>
      </c>
      <c r="K2643">
        <f>IF(G2643=1,0.2*R2643/C2643,K2642)</f>
        <v/>
      </c>
      <c r="L2643">
        <f>IF(G2643=1,0.2*R2643/D2643,L2642)</f>
        <v/>
      </c>
      <c r="M2643">
        <f>IF(G2643=1,0.2*R2643/E2643,M2642)</f>
        <v/>
      </c>
      <c r="N2643">
        <f>IF(G2643=1,0.2*R2643/F2643,N2642)</f>
        <v/>
      </c>
      <c r="O2643">
        <f>IF(G2643=1,R2643*(1-1.0),IF(H2642=0,1,O2642*(1+0.00023125256064071564)))</f>
        <v/>
      </c>
      <c r="P2643">
        <f>IF(G2643=1,IF(H2642=0,1,ABS(0.2-J2642*B2643/I2643)+ABS(0.2-K2642*C2643/I2643)+ABS(0.2-L2642*D2643/I2643)+ABS(0.2-M2642*E2643/I2643)+ABS(0.2-N2642*F2643/I2643)),0)</f>
        <v/>
      </c>
      <c r="Q2643">
        <f>P2643*0.0015</f>
        <v/>
      </c>
      <c r="R2643">
        <f>I2643*(1-Q2643)</f>
        <v/>
      </c>
      <c r="S2643">
        <f>R2643/R2642-1</f>
        <v/>
      </c>
      <c r="T2643">
        <f>MAX(T2642,R2643)</f>
        <v/>
      </c>
      <c r="U2643">
        <f>R2643/T2643-1</f>
        <v/>
      </c>
      <c r="V2643" t="n">
        <v>6.402598752031984</v>
      </c>
      <c r="W2643" s="5">
        <f>R2643-V2643</f>
        <v/>
      </c>
    </row>
    <row r="2644">
      <c r="A2644" s="3" t="n">
        <v>42328</v>
      </c>
      <c r="B2644">
        <f>Prices!B2644</f>
        <v/>
      </c>
      <c r="C2644">
        <f>Prices!C2644</f>
        <v/>
      </c>
      <c r="D2644">
        <f>Prices!D2644</f>
        <v/>
      </c>
      <c r="E2644">
        <f>Prices!E2644</f>
        <v/>
      </c>
      <c r="F2644">
        <f>Prices!F2644</f>
        <v/>
      </c>
      <c r="G2644">
        <f>IF(AND(2642&gt;=16,TEXT(A2644,"yyyy-mm")&lt;&gt;TEXT(A2645,"yyyy-mm")),1,0)</f>
        <v/>
      </c>
      <c r="H2644">
        <f>IF(OR(H2643=1,G2644=1),1,0)</f>
        <v/>
      </c>
      <c r="I2644">
        <f>IF(H2643=0,1,SUMPRODUCT(J2643:N2643,B2644:F2644)+O2643*(1+0.00023125256064071564))</f>
        <v/>
      </c>
      <c r="J2644">
        <f>IF(G2644=1,0.2*R2644/B2644,J2643)</f>
        <v/>
      </c>
      <c r="K2644">
        <f>IF(G2644=1,0.2*R2644/C2644,K2643)</f>
        <v/>
      </c>
      <c r="L2644">
        <f>IF(G2644=1,0.2*R2644/D2644,L2643)</f>
        <v/>
      </c>
      <c r="M2644">
        <f>IF(G2644=1,0.2*R2644/E2644,M2643)</f>
        <v/>
      </c>
      <c r="N2644">
        <f>IF(G2644=1,0.2*R2644/F2644,N2643)</f>
        <v/>
      </c>
      <c r="O2644">
        <f>IF(G2644=1,R2644*(1-1.0),IF(H2643=0,1,O2643*(1+0.00023125256064071564)))</f>
        <v/>
      </c>
      <c r="P2644">
        <f>IF(G2644=1,IF(H2643=0,1,ABS(0.2-J2643*B2644/I2644)+ABS(0.2-K2643*C2644/I2644)+ABS(0.2-L2643*D2644/I2644)+ABS(0.2-M2643*E2644/I2644)+ABS(0.2-N2643*F2644/I2644)),0)</f>
        <v/>
      </c>
      <c r="Q2644">
        <f>P2644*0.0015</f>
        <v/>
      </c>
      <c r="R2644">
        <f>I2644*(1-Q2644)</f>
        <v/>
      </c>
      <c r="S2644">
        <f>R2644/R2643-1</f>
        <v/>
      </c>
      <c r="T2644">
        <f>MAX(T2643,R2644)</f>
        <v/>
      </c>
      <c r="U2644">
        <f>R2644/T2644-1</f>
        <v/>
      </c>
      <c r="V2644" t="n">
        <v>6.43992982580605</v>
      </c>
      <c r="W2644" s="5">
        <f>R2644-V2644</f>
        <v/>
      </c>
    </row>
    <row r="2645">
      <c r="A2645" s="3" t="n">
        <v>42331</v>
      </c>
      <c r="B2645">
        <f>Prices!B2645</f>
        <v/>
      </c>
      <c r="C2645">
        <f>Prices!C2645</f>
        <v/>
      </c>
      <c r="D2645">
        <f>Prices!D2645</f>
        <v/>
      </c>
      <c r="E2645">
        <f>Prices!E2645</f>
        <v/>
      </c>
      <c r="F2645">
        <f>Prices!F2645</f>
        <v/>
      </c>
      <c r="G2645">
        <f>IF(AND(2643&gt;=16,TEXT(A2645,"yyyy-mm")&lt;&gt;TEXT(A2646,"yyyy-mm")),1,0)</f>
        <v/>
      </c>
      <c r="H2645">
        <f>IF(OR(H2644=1,G2645=1),1,0)</f>
        <v/>
      </c>
      <c r="I2645">
        <f>IF(H2644=0,1,SUMPRODUCT(J2644:N2644,B2645:F2645)+O2644*(1+0.00023125256064071564))</f>
        <v/>
      </c>
      <c r="J2645">
        <f>IF(G2645=1,0.2*R2645/B2645,J2644)</f>
        <v/>
      </c>
      <c r="K2645">
        <f>IF(G2645=1,0.2*R2645/C2645,K2644)</f>
        <v/>
      </c>
      <c r="L2645">
        <f>IF(G2645=1,0.2*R2645/D2645,L2644)</f>
        <v/>
      </c>
      <c r="M2645">
        <f>IF(G2645=1,0.2*R2645/E2645,M2644)</f>
        <v/>
      </c>
      <c r="N2645">
        <f>IF(G2645=1,0.2*R2645/F2645,N2644)</f>
        <v/>
      </c>
      <c r="O2645">
        <f>IF(G2645=1,R2645*(1-1.0),IF(H2644=0,1,O2644*(1+0.00023125256064071564)))</f>
        <v/>
      </c>
      <c r="P2645">
        <f>IF(G2645=1,IF(H2644=0,1,ABS(0.2-J2644*B2645/I2645)+ABS(0.2-K2644*C2645/I2645)+ABS(0.2-L2644*D2645/I2645)+ABS(0.2-M2644*E2645/I2645)+ABS(0.2-N2644*F2645/I2645)),0)</f>
        <v/>
      </c>
      <c r="Q2645">
        <f>P2645*0.0015</f>
        <v/>
      </c>
      <c r="R2645">
        <f>I2645*(1-Q2645)</f>
        <v/>
      </c>
      <c r="S2645">
        <f>R2645/R2644-1</f>
        <v/>
      </c>
      <c r="T2645">
        <f>MAX(T2644,R2645)</f>
        <v/>
      </c>
      <c r="U2645">
        <f>R2645/T2645-1</f>
        <v/>
      </c>
      <c r="V2645" t="n">
        <v>6.457310121830415</v>
      </c>
      <c r="W2645" s="5">
        <f>R2645-V2645</f>
        <v/>
      </c>
    </row>
    <row r="2646">
      <c r="A2646" s="3" t="n">
        <v>42332</v>
      </c>
      <c r="B2646">
        <f>Prices!B2646</f>
        <v/>
      </c>
      <c r="C2646">
        <f>Prices!C2646</f>
        <v/>
      </c>
      <c r="D2646">
        <f>Prices!D2646</f>
        <v/>
      </c>
      <c r="E2646">
        <f>Prices!E2646</f>
        <v/>
      </c>
      <c r="F2646">
        <f>Prices!F2646</f>
        <v/>
      </c>
      <c r="G2646">
        <f>IF(AND(2644&gt;=16,TEXT(A2646,"yyyy-mm")&lt;&gt;TEXT(A2647,"yyyy-mm")),1,0)</f>
        <v/>
      </c>
      <c r="H2646">
        <f>IF(OR(H2645=1,G2646=1),1,0)</f>
        <v/>
      </c>
      <c r="I2646">
        <f>IF(H2645=0,1,SUMPRODUCT(J2645:N2645,B2646:F2646)+O2645*(1+0.00023125256064071564))</f>
        <v/>
      </c>
      <c r="J2646">
        <f>IF(G2646=1,0.2*R2646/B2646,J2645)</f>
        <v/>
      </c>
      <c r="K2646">
        <f>IF(G2646=1,0.2*R2646/C2646,K2645)</f>
        <v/>
      </c>
      <c r="L2646">
        <f>IF(G2646=1,0.2*R2646/D2646,L2645)</f>
        <v/>
      </c>
      <c r="M2646">
        <f>IF(G2646=1,0.2*R2646/E2646,M2645)</f>
        <v/>
      </c>
      <c r="N2646">
        <f>IF(G2646=1,0.2*R2646/F2646,N2645)</f>
        <v/>
      </c>
      <c r="O2646">
        <f>IF(G2646=1,R2646*(1-1.0),IF(H2645=0,1,O2645*(1+0.00023125256064071564)))</f>
        <v/>
      </c>
      <c r="P2646">
        <f>IF(G2646=1,IF(H2645=0,1,ABS(0.2-J2645*B2646/I2646)+ABS(0.2-K2645*C2646/I2646)+ABS(0.2-L2645*D2646/I2646)+ABS(0.2-M2645*E2646/I2646)+ABS(0.2-N2645*F2646/I2646)),0)</f>
        <v/>
      </c>
      <c r="Q2646">
        <f>P2646*0.0015</f>
        <v/>
      </c>
      <c r="R2646">
        <f>I2646*(1-Q2646)</f>
        <v/>
      </c>
      <c r="S2646">
        <f>R2646/R2645-1</f>
        <v/>
      </c>
      <c r="T2646">
        <f>MAX(T2645,R2646)</f>
        <v/>
      </c>
      <c r="U2646">
        <f>R2646/T2646-1</f>
        <v/>
      </c>
      <c r="V2646" t="n">
        <v>6.459826978718717</v>
      </c>
      <c r="W2646" s="5">
        <f>R2646-V2646</f>
        <v/>
      </c>
    </row>
    <row r="2647">
      <c r="A2647" s="3" t="n">
        <v>42334</v>
      </c>
      <c r="B2647">
        <f>Prices!B2647</f>
        <v/>
      </c>
      <c r="C2647">
        <f>Prices!C2647</f>
        <v/>
      </c>
      <c r="D2647">
        <f>Prices!D2647</f>
        <v/>
      </c>
      <c r="E2647">
        <f>Prices!E2647</f>
        <v/>
      </c>
      <c r="F2647">
        <f>Prices!F2647</f>
        <v/>
      </c>
      <c r="G2647">
        <f>IF(AND(2645&gt;=16,TEXT(A2647,"yyyy-mm")&lt;&gt;TEXT(A2648,"yyyy-mm")),1,0)</f>
        <v/>
      </c>
      <c r="H2647">
        <f>IF(OR(H2646=1,G2647=1),1,0)</f>
        <v/>
      </c>
      <c r="I2647">
        <f>IF(H2646=0,1,SUMPRODUCT(J2646:N2646,B2647:F2647)+O2646*(1+0.00023125256064071564))</f>
        <v/>
      </c>
      <c r="J2647">
        <f>IF(G2647=1,0.2*R2647/B2647,J2646)</f>
        <v/>
      </c>
      <c r="K2647">
        <f>IF(G2647=1,0.2*R2647/C2647,K2646)</f>
        <v/>
      </c>
      <c r="L2647">
        <f>IF(G2647=1,0.2*R2647/D2647,L2646)</f>
        <v/>
      </c>
      <c r="M2647">
        <f>IF(G2647=1,0.2*R2647/E2647,M2646)</f>
        <v/>
      </c>
      <c r="N2647">
        <f>IF(G2647=1,0.2*R2647/F2647,N2646)</f>
        <v/>
      </c>
      <c r="O2647">
        <f>IF(G2647=1,R2647*(1-1.0),IF(H2646=0,1,O2646*(1+0.00023125256064071564)))</f>
        <v/>
      </c>
      <c r="P2647">
        <f>IF(G2647=1,IF(H2646=0,1,ABS(0.2-J2646*B2647/I2647)+ABS(0.2-K2646*C2647/I2647)+ABS(0.2-L2646*D2647/I2647)+ABS(0.2-M2646*E2647/I2647)+ABS(0.2-N2646*F2647/I2647)),0)</f>
        <v/>
      </c>
      <c r="Q2647">
        <f>P2647*0.0015</f>
        <v/>
      </c>
      <c r="R2647">
        <f>I2647*(1-Q2647)</f>
        <v/>
      </c>
      <c r="S2647">
        <f>R2647/R2646-1</f>
        <v/>
      </c>
      <c r="T2647">
        <f>MAX(T2646,R2647)</f>
        <v/>
      </c>
      <c r="U2647">
        <f>R2647/T2647-1</f>
        <v/>
      </c>
      <c r="V2647" t="n">
        <v>6.454891680206643</v>
      </c>
      <c r="W2647" s="5">
        <f>R2647-V2647</f>
        <v/>
      </c>
    </row>
    <row r="2648">
      <c r="A2648" s="3" t="n">
        <v>42335</v>
      </c>
      <c r="B2648">
        <f>Prices!B2648</f>
        <v/>
      </c>
      <c r="C2648">
        <f>Prices!C2648</f>
        <v/>
      </c>
      <c r="D2648">
        <f>Prices!D2648</f>
        <v/>
      </c>
      <c r="E2648">
        <f>Prices!E2648</f>
        <v/>
      </c>
      <c r="F2648">
        <f>Prices!F2648</f>
        <v/>
      </c>
      <c r="G2648">
        <f>IF(AND(2646&gt;=16,TEXT(A2648,"yyyy-mm")&lt;&gt;TEXT(A2649,"yyyy-mm")),1,0)</f>
        <v/>
      </c>
      <c r="H2648">
        <f>IF(OR(H2647=1,G2648=1),1,0)</f>
        <v/>
      </c>
      <c r="I2648">
        <f>IF(H2647=0,1,SUMPRODUCT(J2647:N2647,B2648:F2648)+O2647*(1+0.00023125256064071564))</f>
        <v/>
      </c>
      <c r="J2648">
        <f>IF(G2648=1,0.2*R2648/B2648,J2647)</f>
        <v/>
      </c>
      <c r="K2648">
        <f>IF(G2648=1,0.2*R2648/C2648,K2647)</f>
        <v/>
      </c>
      <c r="L2648">
        <f>IF(G2648=1,0.2*R2648/D2648,L2647)</f>
        <v/>
      </c>
      <c r="M2648">
        <f>IF(G2648=1,0.2*R2648/E2648,M2647)</f>
        <v/>
      </c>
      <c r="N2648">
        <f>IF(G2648=1,0.2*R2648/F2648,N2647)</f>
        <v/>
      </c>
      <c r="O2648">
        <f>IF(G2648=1,R2648*(1-1.0),IF(H2647=0,1,O2647*(1+0.00023125256064071564)))</f>
        <v/>
      </c>
      <c r="P2648">
        <f>IF(G2648=1,IF(H2647=0,1,ABS(0.2-J2647*B2648/I2648)+ABS(0.2-K2647*C2648/I2648)+ABS(0.2-L2647*D2648/I2648)+ABS(0.2-M2647*E2648/I2648)+ABS(0.2-N2647*F2648/I2648)),0)</f>
        <v/>
      </c>
      <c r="Q2648">
        <f>P2648*0.0015</f>
        <v/>
      </c>
      <c r="R2648">
        <f>I2648*(1-Q2648)</f>
        <v/>
      </c>
      <c r="S2648">
        <f>R2648/R2647-1</f>
        <v/>
      </c>
      <c r="T2648">
        <f>MAX(T2647,R2648)</f>
        <v/>
      </c>
      <c r="U2648">
        <f>R2648/T2648-1</f>
        <v/>
      </c>
      <c r="V2648" t="n">
        <v>6.489883309599765</v>
      </c>
      <c r="W2648" s="5">
        <f>R2648-V2648</f>
        <v/>
      </c>
    </row>
    <row r="2649">
      <c r="A2649" s="3" t="n">
        <v>42338</v>
      </c>
      <c r="B2649">
        <f>Prices!B2649</f>
        <v/>
      </c>
      <c r="C2649">
        <f>Prices!C2649</f>
        <v/>
      </c>
      <c r="D2649">
        <f>Prices!D2649</f>
        <v/>
      </c>
      <c r="E2649">
        <f>Prices!E2649</f>
        <v/>
      </c>
      <c r="F2649">
        <f>Prices!F2649</f>
        <v/>
      </c>
      <c r="G2649">
        <f>IF(AND(2647&gt;=16,TEXT(A2649,"yyyy-mm")&lt;&gt;TEXT(A2650,"yyyy-mm")),1,0)</f>
        <v/>
      </c>
      <c r="H2649">
        <f>IF(OR(H2648=1,G2649=1),1,0)</f>
        <v/>
      </c>
      <c r="I2649">
        <f>IF(H2648=0,1,SUMPRODUCT(J2648:N2648,B2649:F2649)+O2648*(1+0.00023125256064071564))</f>
        <v/>
      </c>
      <c r="J2649">
        <f>IF(G2649=1,0.2*R2649/B2649,J2648)</f>
        <v/>
      </c>
      <c r="K2649">
        <f>IF(G2649=1,0.2*R2649/C2649,K2648)</f>
        <v/>
      </c>
      <c r="L2649">
        <f>IF(G2649=1,0.2*R2649/D2649,L2648)</f>
        <v/>
      </c>
      <c r="M2649">
        <f>IF(G2649=1,0.2*R2649/E2649,M2648)</f>
        <v/>
      </c>
      <c r="N2649">
        <f>IF(G2649=1,0.2*R2649/F2649,N2648)</f>
        <v/>
      </c>
      <c r="O2649">
        <f>IF(G2649=1,R2649*(1-1.0),IF(H2648=0,1,O2648*(1+0.00023125256064071564)))</f>
        <v/>
      </c>
      <c r="P2649">
        <f>IF(G2649=1,IF(H2648=0,1,ABS(0.2-J2648*B2649/I2649)+ABS(0.2-K2648*C2649/I2649)+ABS(0.2-L2648*D2649/I2649)+ABS(0.2-M2648*E2649/I2649)+ABS(0.2-N2648*F2649/I2649)),0)</f>
        <v/>
      </c>
      <c r="Q2649">
        <f>P2649*0.0015</f>
        <v/>
      </c>
      <c r="R2649">
        <f>I2649*(1-Q2649)</f>
        <v/>
      </c>
      <c r="S2649">
        <f>R2649/R2648-1</f>
        <v/>
      </c>
      <c r="T2649">
        <f>MAX(T2648,R2649)</f>
        <v/>
      </c>
      <c r="U2649">
        <f>R2649/T2649-1</f>
        <v/>
      </c>
      <c r="V2649" t="n">
        <v>6.507700681149762</v>
      </c>
      <c r="W2649" s="5">
        <f>R2649-V2649</f>
        <v/>
      </c>
    </row>
    <row r="2650">
      <c r="A2650" s="3" t="n">
        <v>42339</v>
      </c>
      <c r="B2650">
        <f>Prices!B2650</f>
        <v/>
      </c>
      <c r="C2650">
        <f>Prices!C2650</f>
        <v/>
      </c>
      <c r="D2650">
        <f>Prices!D2650</f>
        <v/>
      </c>
      <c r="E2650">
        <f>Prices!E2650</f>
        <v/>
      </c>
      <c r="F2650">
        <f>Prices!F2650</f>
        <v/>
      </c>
      <c r="G2650">
        <f>IF(AND(2648&gt;=16,TEXT(A2650,"yyyy-mm")&lt;&gt;TEXT(A2651,"yyyy-mm")),1,0)</f>
        <v/>
      </c>
      <c r="H2650">
        <f>IF(OR(H2649=1,G2650=1),1,0)</f>
        <v/>
      </c>
      <c r="I2650">
        <f>IF(H2649=0,1,SUMPRODUCT(J2649:N2649,B2650:F2650)+O2649*(1+0.00023125256064071564))</f>
        <v/>
      </c>
      <c r="J2650">
        <f>IF(G2650=1,0.2*R2650/B2650,J2649)</f>
        <v/>
      </c>
      <c r="K2650">
        <f>IF(G2650=1,0.2*R2650/C2650,K2649)</f>
        <v/>
      </c>
      <c r="L2650">
        <f>IF(G2650=1,0.2*R2650/D2650,L2649)</f>
        <v/>
      </c>
      <c r="M2650">
        <f>IF(G2650=1,0.2*R2650/E2650,M2649)</f>
        <v/>
      </c>
      <c r="N2650">
        <f>IF(G2650=1,0.2*R2650/F2650,N2649)</f>
        <v/>
      </c>
      <c r="O2650">
        <f>IF(G2650=1,R2650*(1-1.0),IF(H2649=0,1,O2649*(1+0.00023125256064071564)))</f>
        <v/>
      </c>
      <c r="P2650">
        <f>IF(G2650=1,IF(H2649=0,1,ABS(0.2-J2649*B2650/I2650)+ABS(0.2-K2649*C2650/I2650)+ABS(0.2-L2649*D2650/I2650)+ABS(0.2-M2649*E2650/I2650)+ABS(0.2-N2649*F2650/I2650)),0)</f>
        <v/>
      </c>
      <c r="Q2650">
        <f>P2650*0.0015</f>
        <v/>
      </c>
      <c r="R2650">
        <f>I2650*(1-Q2650)</f>
        <v/>
      </c>
      <c r="S2650">
        <f>R2650/R2649-1</f>
        <v/>
      </c>
      <c r="T2650">
        <f>MAX(T2649,R2650)</f>
        <v/>
      </c>
      <c r="U2650">
        <f>R2650/T2650-1</f>
        <v/>
      </c>
      <c r="V2650" t="n">
        <v>6.564164385819076</v>
      </c>
      <c r="W2650" s="5">
        <f>R2650-V2650</f>
        <v/>
      </c>
    </row>
    <row r="2651">
      <c r="A2651" s="3" t="n">
        <v>42340</v>
      </c>
      <c r="B2651">
        <f>Prices!B2651</f>
        <v/>
      </c>
      <c r="C2651">
        <f>Prices!C2651</f>
        <v/>
      </c>
      <c r="D2651">
        <f>Prices!D2651</f>
        <v/>
      </c>
      <c r="E2651">
        <f>Prices!E2651</f>
        <v/>
      </c>
      <c r="F2651">
        <f>Prices!F2651</f>
        <v/>
      </c>
      <c r="G2651">
        <f>IF(AND(2649&gt;=16,TEXT(A2651,"yyyy-mm")&lt;&gt;TEXT(A2652,"yyyy-mm")),1,0)</f>
        <v/>
      </c>
      <c r="H2651">
        <f>IF(OR(H2650=1,G2651=1),1,0)</f>
        <v/>
      </c>
      <c r="I2651">
        <f>IF(H2650=0,1,SUMPRODUCT(J2650:N2650,B2651:F2651)+O2650*(1+0.00023125256064071564))</f>
        <v/>
      </c>
      <c r="J2651">
        <f>IF(G2651=1,0.2*R2651/B2651,J2650)</f>
        <v/>
      </c>
      <c r="K2651">
        <f>IF(G2651=1,0.2*R2651/C2651,K2650)</f>
        <v/>
      </c>
      <c r="L2651">
        <f>IF(G2651=1,0.2*R2651/D2651,L2650)</f>
        <v/>
      </c>
      <c r="M2651">
        <f>IF(G2651=1,0.2*R2651/E2651,M2650)</f>
        <v/>
      </c>
      <c r="N2651">
        <f>IF(G2651=1,0.2*R2651/F2651,N2650)</f>
        <v/>
      </c>
      <c r="O2651">
        <f>IF(G2651=1,R2651*(1-1.0),IF(H2650=0,1,O2650*(1+0.00023125256064071564)))</f>
        <v/>
      </c>
      <c r="P2651">
        <f>IF(G2651=1,IF(H2650=0,1,ABS(0.2-J2650*B2651/I2651)+ABS(0.2-K2650*C2651/I2651)+ABS(0.2-L2650*D2651/I2651)+ABS(0.2-M2650*E2651/I2651)+ABS(0.2-N2650*F2651/I2651)),0)</f>
        <v/>
      </c>
      <c r="Q2651">
        <f>P2651*0.0015</f>
        <v/>
      </c>
      <c r="R2651">
        <f>I2651*(1-Q2651)</f>
        <v/>
      </c>
      <c r="S2651">
        <f>R2651/R2650-1</f>
        <v/>
      </c>
      <c r="T2651">
        <f>MAX(T2650,R2651)</f>
        <v/>
      </c>
      <c r="U2651">
        <f>R2651/T2651-1</f>
        <v/>
      </c>
      <c r="V2651" t="n">
        <v>6.558204722792624</v>
      </c>
      <c r="W2651" s="5">
        <f>R2651-V2651</f>
        <v/>
      </c>
    </row>
    <row r="2652">
      <c r="A2652" s="3" t="n">
        <v>42341</v>
      </c>
      <c r="B2652">
        <f>Prices!B2652</f>
        <v/>
      </c>
      <c r="C2652">
        <f>Prices!C2652</f>
        <v/>
      </c>
      <c r="D2652">
        <f>Prices!D2652</f>
        <v/>
      </c>
      <c r="E2652">
        <f>Prices!E2652</f>
        <v/>
      </c>
      <c r="F2652">
        <f>Prices!F2652</f>
        <v/>
      </c>
      <c r="G2652">
        <f>IF(AND(2650&gt;=16,TEXT(A2652,"yyyy-mm")&lt;&gt;TEXT(A2653,"yyyy-mm")),1,0)</f>
        <v/>
      </c>
      <c r="H2652">
        <f>IF(OR(H2651=1,G2652=1),1,0)</f>
        <v/>
      </c>
      <c r="I2652">
        <f>IF(H2651=0,1,SUMPRODUCT(J2651:N2651,B2652:F2652)+O2651*(1+0.00023125256064071564))</f>
        <v/>
      </c>
      <c r="J2652">
        <f>IF(G2652=1,0.2*R2652/B2652,J2651)</f>
        <v/>
      </c>
      <c r="K2652">
        <f>IF(G2652=1,0.2*R2652/C2652,K2651)</f>
        <v/>
      </c>
      <c r="L2652">
        <f>IF(G2652=1,0.2*R2652/D2652,L2651)</f>
        <v/>
      </c>
      <c r="M2652">
        <f>IF(G2652=1,0.2*R2652/E2652,M2651)</f>
        <v/>
      </c>
      <c r="N2652">
        <f>IF(G2652=1,0.2*R2652/F2652,N2651)</f>
        <v/>
      </c>
      <c r="O2652">
        <f>IF(G2652=1,R2652*(1-1.0),IF(H2651=0,1,O2651*(1+0.00023125256064071564)))</f>
        <v/>
      </c>
      <c r="P2652">
        <f>IF(G2652=1,IF(H2651=0,1,ABS(0.2-J2651*B2652/I2652)+ABS(0.2-K2651*C2652/I2652)+ABS(0.2-L2651*D2652/I2652)+ABS(0.2-M2651*E2652/I2652)+ABS(0.2-N2651*F2652/I2652)),0)</f>
        <v/>
      </c>
      <c r="Q2652">
        <f>P2652*0.0015</f>
        <v/>
      </c>
      <c r="R2652">
        <f>I2652*(1-Q2652)</f>
        <v/>
      </c>
      <c r="S2652">
        <f>R2652/R2651-1</f>
        <v/>
      </c>
      <c r="T2652">
        <f>MAX(T2651,R2652)</f>
        <v/>
      </c>
      <c r="U2652">
        <f>R2652/T2652-1</f>
        <v/>
      </c>
      <c r="V2652" t="n">
        <v>6.505072821870657</v>
      </c>
      <c r="W2652" s="5">
        <f>R2652-V2652</f>
        <v/>
      </c>
    </row>
    <row r="2653">
      <c r="A2653" s="3" t="n">
        <v>42342</v>
      </c>
      <c r="B2653">
        <f>Prices!B2653</f>
        <v/>
      </c>
      <c r="C2653">
        <f>Prices!C2653</f>
        <v/>
      </c>
      <c r="D2653">
        <f>Prices!D2653</f>
        <v/>
      </c>
      <c r="E2653">
        <f>Prices!E2653</f>
        <v/>
      </c>
      <c r="F2653">
        <f>Prices!F2653</f>
        <v/>
      </c>
      <c r="G2653">
        <f>IF(AND(2651&gt;=16,TEXT(A2653,"yyyy-mm")&lt;&gt;TEXT(A2654,"yyyy-mm")),1,0)</f>
        <v/>
      </c>
      <c r="H2653">
        <f>IF(OR(H2652=1,G2653=1),1,0)</f>
        <v/>
      </c>
      <c r="I2653">
        <f>IF(H2652=0,1,SUMPRODUCT(J2652:N2652,B2653:F2653)+O2652*(1+0.00023125256064071564))</f>
        <v/>
      </c>
      <c r="J2653">
        <f>IF(G2653=1,0.2*R2653/B2653,J2652)</f>
        <v/>
      </c>
      <c r="K2653">
        <f>IF(G2653=1,0.2*R2653/C2653,K2652)</f>
        <v/>
      </c>
      <c r="L2653">
        <f>IF(G2653=1,0.2*R2653/D2653,L2652)</f>
        <v/>
      </c>
      <c r="M2653">
        <f>IF(G2653=1,0.2*R2653/E2653,M2652)</f>
        <v/>
      </c>
      <c r="N2653">
        <f>IF(G2653=1,0.2*R2653/F2653,N2652)</f>
        <v/>
      </c>
      <c r="O2653">
        <f>IF(G2653=1,R2653*(1-1.0),IF(H2652=0,1,O2652*(1+0.00023125256064071564)))</f>
        <v/>
      </c>
      <c r="P2653">
        <f>IF(G2653=1,IF(H2652=0,1,ABS(0.2-J2652*B2653/I2653)+ABS(0.2-K2652*C2653/I2653)+ABS(0.2-L2652*D2653/I2653)+ABS(0.2-M2652*E2653/I2653)+ABS(0.2-N2652*F2653/I2653)),0)</f>
        <v/>
      </c>
      <c r="Q2653">
        <f>P2653*0.0015</f>
        <v/>
      </c>
      <c r="R2653">
        <f>I2653*(1-Q2653)</f>
        <v/>
      </c>
      <c r="S2653">
        <f>R2653/R2652-1</f>
        <v/>
      </c>
      <c r="T2653">
        <f>MAX(T2652,R2653)</f>
        <v/>
      </c>
      <c r="U2653">
        <f>R2653/T2653-1</f>
        <v/>
      </c>
      <c r="V2653" t="n">
        <v>6.454194132504083</v>
      </c>
      <c r="W2653" s="5">
        <f>R2653-V2653</f>
        <v/>
      </c>
    </row>
    <row r="2654">
      <c r="A2654" s="3" t="n">
        <v>42345</v>
      </c>
      <c r="B2654">
        <f>Prices!B2654</f>
        <v/>
      </c>
      <c r="C2654">
        <f>Prices!C2654</f>
        <v/>
      </c>
      <c r="D2654">
        <f>Prices!D2654</f>
        <v/>
      </c>
      <c r="E2654">
        <f>Prices!E2654</f>
        <v/>
      </c>
      <c r="F2654">
        <f>Prices!F2654</f>
        <v/>
      </c>
      <c r="G2654">
        <f>IF(AND(2652&gt;=16,TEXT(A2654,"yyyy-mm")&lt;&gt;TEXT(A2655,"yyyy-mm")),1,0)</f>
        <v/>
      </c>
      <c r="H2654">
        <f>IF(OR(H2653=1,G2654=1),1,0)</f>
        <v/>
      </c>
      <c r="I2654">
        <f>IF(H2653=0,1,SUMPRODUCT(J2653:N2653,B2654:F2654)+O2653*(1+0.00023125256064071564))</f>
        <v/>
      </c>
      <c r="J2654">
        <f>IF(G2654=1,0.2*R2654/B2654,J2653)</f>
        <v/>
      </c>
      <c r="K2654">
        <f>IF(G2654=1,0.2*R2654/C2654,K2653)</f>
        <v/>
      </c>
      <c r="L2654">
        <f>IF(G2654=1,0.2*R2654/D2654,L2653)</f>
        <v/>
      </c>
      <c r="M2654">
        <f>IF(G2654=1,0.2*R2654/E2654,M2653)</f>
        <v/>
      </c>
      <c r="N2654">
        <f>IF(G2654=1,0.2*R2654/F2654,N2653)</f>
        <v/>
      </c>
      <c r="O2654">
        <f>IF(G2654=1,R2654*(1-1.0),IF(H2653=0,1,O2653*(1+0.00023125256064071564)))</f>
        <v/>
      </c>
      <c r="P2654">
        <f>IF(G2654=1,IF(H2653=0,1,ABS(0.2-J2653*B2654/I2654)+ABS(0.2-K2653*C2654/I2654)+ABS(0.2-L2653*D2654/I2654)+ABS(0.2-M2653*E2654/I2654)+ABS(0.2-N2653*F2654/I2654)),0)</f>
        <v/>
      </c>
      <c r="Q2654">
        <f>P2654*0.0015</f>
        <v/>
      </c>
      <c r="R2654">
        <f>I2654*(1-Q2654)</f>
        <v/>
      </c>
      <c r="S2654">
        <f>R2654/R2653-1</f>
        <v/>
      </c>
      <c r="T2654">
        <f>MAX(T2653,R2654)</f>
        <v/>
      </c>
      <c r="U2654">
        <f>R2654/T2654-1</f>
        <v/>
      </c>
      <c r="V2654" t="n">
        <v>6.44464295933974</v>
      </c>
      <c r="W2654" s="5">
        <f>R2654-V2654</f>
        <v/>
      </c>
    </row>
    <row r="2655">
      <c r="A2655" s="3" t="n">
        <v>42346</v>
      </c>
      <c r="B2655">
        <f>Prices!B2655</f>
        <v/>
      </c>
      <c r="C2655">
        <f>Prices!C2655</f>
        <v/>
      </c>
      <c r="D2655">
        <f>Prices!D2655</f>
        <v/>
      </c>
      <c r="E2655">
        <f>Prices!E2655</f>
        <v/>
      </c>
      <c r="F2655">
        <f>Prices!F2655</f>
        <v/>
      </c>
      <c r="G2655">
        <f>IF(AND(2653&gt;=16,TEXT(A2655,"yyyy-mm")&lt;&gt;TEXT(A2656,"yyyy-mm")),1,0)</f>
        <v/>
      </c>
      <c r="H2655">
        <f>IF(OR(H2654=1,G2655=1),1,0)</f>
        <v/>
      </c>
      <c r="I2655">
        <f>IF(H2654=0,1,SUMPRODUCT(J2654:N2654,B2655:F2655)+O2654*(1+0.00023125256064071564))</f>
        <v/>
      </c>
      <c r="J2655">
        <f>IF(G2655=1,0.2*R2655/B2655,J2654)</f>
        <v/>
      </c>
      <c r="K2655">
        <f>IF(G2655=1,0.2*R2655/C2655,K2654)</f>
        <v/>
      </c>
      <c r="L2655">
        <f>IF(G2655=1,0.2*R2655/D2655,L2654)</f>
        <v/>
      </c>
      <c r="M2655">
        <f>IF(G2655=1,0.2*R2655/E2655,M2654)</f>
        <v/>
      </c>
      <c r="N2655">
        <f>IF(G2655=1,0.2*R2655/F2655,N2654)</f>
        <v/>
      </c>
      <c r="O2655">
        <f>IF(G2655=1,R2655*(1-1.0),IF(H2654=0,1,O2654*(1+0.00023125256064071564)))</f>
        <v/>
      </c>
      <c r="P2655">
        <f>IF(G2655=1,IF(H2654=0,1,ABS(0.2-J2654*B2655/I2655)+ABS(0.2-K2654*C2655/I2655)+ABS(0.2-L2654*D2655/I2655)+ABS(0.2-M2654*E2655/I2655)+ABS(0.2-N2654*F2655/I2655)),0)</f>
        <v/>
      </c>
      <c r="Q2655">
        <f>P2655*0.0015</f>
        <v/>
      </c>
      <c r="R2655">
        <f>I2655*(1-Q2655)</f>
        <v/>
      </c>
      <c r="S2655">
        <f>R2655/R2654-1</f>
        <v/>
      </c>
      <c r="T2655">
        <f>MAX(T2654,R2655)</f>
        <v/>
      </c>
      <c r="U2655">
        <f>R2655/T2655-1</f>
        <v/>
      </c>
      <c r="V2655" t="n">
        <v>6.367418542094271</v>
      </c>
      <c r="W2655" s="5">
        <f>R2655-V2655</f>
        <v/>
      </c>
    </row>
    <row r="2656">
      <c r="A2656" s="3" t="n">
        <v>42347</v>
      </c>
      <c r="B2656">
        <f>Prices!B2656</f>
        <v/>
      </c>
      <c r="C2656">
        <f>Prices!C2656</f>
        <v/>
      </c>
      <c r="D2656">
        <f>Prices!D2656</f>
        <v/>
      </c>
      <c r="E2656">
        <f>Prices!E2656</f>
        <v/>
      </c>
      <c r="F2656">
        <f>Prices!F2656</f>
        <v/>
      </c>
      <c r="G2656">
        <f>IF(AND(2654&gt;=16,TEXT(A2656,"yyyy-mm")&lt;&gt;TEXT(A2657,"yyyy-mm")),1,0)</f>
        <v/>
      </c>
      <c r="H2656">
        <f>IF(OR(H2655=1,G2656=1),1,0)</f>
        <v/>
      </c>
      <c r="I2656">
        <f>IF(H2655=0,1,SUMPRODUCT(J2655:N2655,B2656:F2656)+O2655*(1+0.00023125256064071564))</f>
        <v/>
      </c>
      <c r="J2656">
        <f>IF(G2656=1,0.2*R2656/B2656,J2655)</f>
        <v/>
      </c>
      <c r="K2656">
        <f>IF(G2656=1,0.2*R2656/C2656,K2655)</f>
        <v/>
      </c>
      <c r="L2656">
        <f>IF(G2656=1,0.2*R2656/D2656,L2655)</f>
        <v/>
      </c>
      <c r="M2656">
        <f>IF(G2656=1,0.2*R2656/E2656,M2655)</f>
        <v/>
      </c>
      <c r="N2656">
        <f>IF(G2656=1,0.2*R2656/F2656,N2655)</f>
        <v/>
      </c>
      <c r="O2656">
        <f>IF(G2656=1,R2656*(1-1.0),IF(H2655=0,1,O2655*(1+0.00023125256064071564)))</f>
        <v/>
      </c>
      <c r="P2656">
        <f>IF(G2656=1,IF(H2655=0,1,ABS(0.2-J2655*B2656/I2656)+ABS(0.2-K2655*C2656/I2656)+ABS(0.2-L2655*D2656/I2656)+ABS(0.2-M2655*E2656/I2656)+ABS(0.2-N2655*F2656/I2656)),0)</f>
        <v/>
      </c>
      <c r="Q2656">
        <f>P2656*0.0015</f>
        <v/>
      </c>
      <c r="R2656">
        <f>I2656*(1-Q2656)</f>
        <v/>
      </c>
      <c r="S2656">
        <f>R2656/R2655-1</f>
        <v/>
      </c>
      <c r="T2656">
        <f>MAX(T2655,R2656)</f>
        <v/>
      </c>
      <c r="U2656">
        <f>R2656/T2656-1</f>
        <v/>
      </c>
      <c r="V2656" t="n">
        <v>6.249966661843438</v>
      </c>
      <c r="W2656" s="5">
        <f>R2656-V2656</f>
        <v/>
      </c>
    </row>
    <row r="2657">
      <c r="A2657" s="3" t="n">
        <v>42348</v>
      </c>
      <c r="B2657">
        <f>Prices!B2657</f>
        <v/>
      </c>
      <c r="C2657">
        <f>Prices!C2657</f>
        <v/>
      </c>
      <c r="D2657">
        <f>Prices!D2657</f>
        <v/>
      </c>
      <c r="E2657">
        <f>Prices!E2657</f>
        <v/>
      </c>
      <c r="F2657">
        <f>Prices!F2657</f>
        <v/>
      </c>
      <c r="G2657">
        <f>IF(AND(2655&gt;=16,TEXT(A2657,"yyyy-mm")&lt;&gt;TEXT(A2658,"yyyy-mm")),1,0)</f>
        <v/>
      </c>
      <c r="H2657">
        <f>IF(OR(H2656=1,G2657=1),1,0)</f>
        <v/>
      </c>
      <c r="I2657">
        <f>IF(H2656=0,1,SUMPRODUCT(J2656:N2656,B2657:F2657)+O2656*(1+0.00023125256064071564))</f>
        <v/>
      </c>
      <c r="J2657">
        <f>IF(G2657=1,0.2*R2657/B2657,J2656)</f>
        <v/>
      </c>
      <c r="K2657">
        <f>IF(G2657=1,0.2*R2657/C2657,K2656)</f>
        <v/>
      </c>
      <c r="L2657">
        <f>IF(G2657=1,0.2*R2657/D2657,L2656)</f>
        <v/>
      </c>
      <c r="M2657">
        <f>IF(G2657=1,0.2*R2657/E2657,M2656)</f>
        <v/>
      </c>
      <c r="N2657">
        <f>IF(G2657=1,0.2*R2657/F2657,N2656)</f>
        <v/>
      </c>
      <c r="O2657">
        <f>IF(G2657=1,R2657*(1-1.0),IF(H2656=0,1,O2656*(1+0.00023125256064071564)))</f>
        <v/>
      </c>
      <c r="P2657">
        <f>IF(G2657=1,IF(H2656=0,1,ABS(0.2-J2656*B2657/I2657)+ABS(0.2-K2656*C2657/I2657)+ABS(0.2-L2656*D2657/I2657)+ABS(0.2-M2656*E2657/I2657)+ABS(0.2-N2656*F2657/I2657)),0)</f>
        <v/>
      </c>
      <c r="Q2657">
        <f>P2657*0.0015</f>
        <v/>
      </c>
      <c r="R2657">
        <f>I2657*(1-Q2657)</f>
        <v/>
      </c>
      <c r="S2657">
        <f>R2657/R2656-1</f>
        <v/>
      </c>
      <c r="T2657">
        <f>MAX(T2656,R2657)</f>
        <v/>
      </c>
      <c r="U2657">
        <f>R2657/T2657-1</f>
        <v/>
      </c>
      <c r="V2657" t="n">
        <v>6.310007763993411</v>
      </c>
      <c r="W2657" s="5">
        <f>R2657-V2657</f>
        <v/>
      </c>
    </row>
    <row r="2658">
      <c r="A2658" s="3" t="n">
        <v>42349</v>
      </c>
      <c r="B2658">
        <f>Prices!B2658</f>
        <v/>
      </c>
      <c r="C2658">
        <f>Prices!C2658</f>
        <v/>
      </c>
      <c r="D2658">
        <f>Prices!D2658</f>
        <v/>
      </c>
      <c r="E2658">
        <f>Prices!E2658</f>
        <v/>
      </c>
      <c r="F2658">
        <f>Prices!F2658</f>
        <v/>
      </c>
      <c r="G2658">
        <f>IF(AND(2656&gt;=16,TEXT(A2658,"yyyy-mm")&lt;&gt;TEXT(A2659,"yyyy-mm")),1,0)</f>
        <v/>
      </c>
      <c r="H2658">
        <f>IF(OR(H2657=1,G2658=1),1,0)</f>
        <v/>
      </c>
      <c r="I2658">
        <f>IF(H2657=0,1,SUMPRODUCT(J2657:N2657,B2658:F2658)+O2657*(1+0.00023125256064071564))</f>
        <v/>
      </c>
      <c r="J2658">
        <f>IF(G2658=1,0.2*R2658/B2658,J2657)</f>
        <v/>
      </c>
      <c r="K2658">
        <f>IF(G2658=1,0.2*R2658/C2658,K2657)</f>
        <v/>
      </c>
      <c r="L2658">
        <f>IF(G2658=1,0.2*R2658/D2658,L2657)</f>
        <v/>
      </c>
      <c r="M2658">
        <f>IF(G2658=1,0.2*R2658/E2658,M2657)</f>
        <v/>
      </c>
      <c r="N2658">
        <f>IF(G2658=1,0.2*R2658/F2658,N2657)</f>
        <v/>
      </c>
      <c r="O2658">
        <f>IF(G2658=1,R2658*(1-1.0),IF(H2657=0,1,O2657*(1+0.00023125256064071564)))</f>
        <v/>
      </c>
      <c r="P2658">
        <f>IF(G2658=1,IF(H2657=0,1,ABS(0.2-J2657*B2658/I2658)+ABS(0.2-K2657*C2658/I2658)+ABS(0.2-L2657*D2658/I2658)+ABS(0.2-M2657*E2658/I2658)+ABS(0.2-N2657*F2658/I2658)),0)</f>
        <v/>
      </c>
      <c r="Q2658">
        <f>P2658*0.0015</f>
        <v/>
      </c>
      <c r="R2658">
        <f>I2658*(1-Q2658)</f>
        <v/>
      </c>
      <c r="S2658">
        <f>R2658/R2657-1</f>
        <v/>
      </c>
      <c r="T2658">
        <f>MAX(T2657,R2658)</f>
        <v/>
      </c>
      <c r="U2658">
        <f>R2658/T2658-1</f>
        <v/>
      </c>
      <c r="V2658" t="n">
        <v>6.268668952585712</v>
      </c>
      <c r="W2658" s="5">
        <f>R2658-V2658</f>
        <v/>
      </c>
    </row>
    <row r="2659">
      <c r="A2659" s="3" t="n">
        <v>42352</v>
      </c>
      <c r="B2659">
        <f>Prices!B2659</f>
        <v/>
      </c>
      <c r="C2659">
        <f>Prices!C2659</f>
        <v/>
      </c>
      <c r="D2659">
        <f>Prices!D2659</f>
        <v/>
      </c>
      <c r="E2659">
        <f>Prices!E2659</f>
        <v/>
      </c>
      <c r="F2659">
        <f>Prices!F2659</f>
        <v/>
      </c>
      <c r="G2659">
        <f>IF(AND(2657&gt;=16,TEXT(A2659,"yyyy-mm")&lt;&gt;TEXT(A2660,"yyyy-mm")),1,0)</f>
        <v/>
      </c>
      <c r="H2659">
        <f>IF(OR(H2658=1,G2659=1),1,0)</f>
        <v/>
      </c>
      <c r="I2659">
        <f>IF(H2658=0,1,SUMPRODUCT(J2658:N2658,B2659:F2659)+O2658*(1+0.00023125256064071564))</f>
        <v/>
      </c>
      <c r="J2659">
        <f>IF(G2659=1,0.2*R2659/B2659,J2658)</f>
        <v/>
      </c>
      <c r="K2659">
        <f>IF(G2659=1,0.2*R2659/C2659,K2658)</f>
        <v/>
      </c>
      <c r="L2659">
        <f>IF(G2659=1,0.2*R2659/D2659,L2658)</f>
        <v/>
      </c>
      <c r="M2659">
        <f>IF(G2659=1,0.2*R2659/E2659,M2658)</f>
        <v/>
      </c>
      <c r="N2659">
        <f>IF(G2659=1,0.2*R2659/F2659,N2658)</f>
        <v/>
      </c>
      <c r="O2659">
        <f>IF(G2659=1,R2659*(1-1.0),IF(H2658=0,1,O2658*(1+0.00023125256064071564)))</f>
        <v/>
      </c>
      <c r="P2659">
        <f>IF(G2659=1,IF(H2658=0,1,ABS(0.2-J2658*B2659/I2659)+ABS(0.2-K2658*C2659/I2659)+ABS(0.2-L2658*D2659/I2659)+ABS(0.2-M2658*E2659/I2659)+ABS(0.2-N2658*F2659/I2659)),0)</f>
        <v/>
      </c>
      <c r="Q2659">
        <f>P2659*0.0015</f>
        <v/>
      </c>
      <c r="R2659">
        <f>I2659*(1-Q2659)</f>
        <v/>
      </c>
      <c r="S2659">
        <f>R2659/R2658-1</f>
        <v/>
      </c>
      <c r="T2659">
        <f>MAX(T2658,R2659)</f>
        <v/>
      </c>
      <c r="U2659">
        <f>R2659/T2659-1</f>
        <v/>
      </c>
      <c r="V2659" t="n">
        <v>6.298005261991553</v>
      </c>
      <c r="W2659" s="5">
        <f>R2659-V2659</f>
        <v/>
      </c>
    </row>
    <row r="2660">
      <c r="A2660" s="3" t="n">
        <v>42353</v>
      </c>
      <c r="B2660">
        <f>Prices!B2660</f>
        <v/>
      </c>
      <c r="C2660">
        <f>Prices!C2660</f>
        <v/>
      </c>
      <c r="D2660">
        <f>Prices!D2660</f>
        <v/>
      </c>
      <c r="E2660">
        <f>Prices!E2660</f>
        <v/>
      </c>
      <c r="F2660">
        <f>Prices!F2660</f>
        <v/>
      </c>
      <c r="G2660">
        <f>IF(AND(2658&gt;=16,TEXT(A2660,"yyyy-mm")&lt;&gt;TEXT(A2661,"yyyy-mm")),1,0)</f>
        <v/>
      </c>
      <c r="H2660">
        <f>IF(OR(H2659=1,G2660=1),1,0)</f>
        <v/>
      </c>
      <c r="I2660">
        <f>IF(H2659=0,1,SUMPRODUCT(J2659:N2659,B2660:F2660)+O2659*(1+0.00023125256064071564))</f>
        <v/>
      </c>
      <c r="J2660">
        <f>IF(G2660=1,0.2*R2660/B2660,J2659)</f>
        <v/>
      </c>
      <c r="K2660">
        <f>IF(G2660=1,0.2*R2660/C2660,K2659)</f>
        <v/>
      </c>
      <c r="L2660">
        <f>IF(G2660=1,0.2*R2660/D2660,L2659)</f>
        <v/>
      </c>
      <c r="M2660">
        <f>IF(G2660=1,0.2*R2660/E2660,M2659)</f>
        <v/>
      </c>
      <c r="N2660">
        <f>IF(G2660=1,0.2*R2660/F2660,N2659)</f>
        <v/>
      </c>
      <c r="O2660">
        <f>IF(G2660=1,R2660*(1-1.0),IF(H2659=0,1,O2659*(1+0.00023125256064071564)))</f>
        <v/>
      </c>
      <c r="P2660">
        <f>IF(G2660=1,IF(H2659=0,1,ABS(0.2-J2659*B2660/I2660)+ABS(0.2-K2659*C2660/I2660)+ABS(0.2-L2659*D2660/I2660)+ABS(0.2-M2659*E2660/I2660)+ABS(0.2-N2659*F2660/I2660)),0)</f>
        <v/>
      </c>
      <c r="Q2660">
        <f>P2660*0.0015</f>
        <v/>
      </c>
      <c r="R2660">
        <f>I2660*(1-Q2660)</f>
        <v/>
      </c>
      <c r="S2660">
        <f>R2660/R2659-1</f>
        <v/>
      </c>
      <c r="T2660">
        <f>MAX(T2659,R2660)</f>
        <v/>
      </c>
      <c r="U2660">
        <f>R2660/T2660-1</f>
        <v/>
      </c>
      <c r="V2660" t="n">
        <v>6.335786250271129</v>
      </c>
      <c r="W2660" s="5">
        <f>R2660-V2660</f>
        <v/>
      </c>
    </row>
    <row r="2661">
      <c r="A2661" s="3" t="n">
        <v>42354</v>
      </c>
      <c r="B2661">
        <f>Prices!B2661</f>
        <v/>
      </c>
      <c r="C2661">
        <f>Prices!C2661</f>
        <v/>
      </c>
      <c r="D2661">
        <f>Prices!D2661</f>
        <v/>
      </c>
      <c r="E2661">
        <f>Prices!E2661</f>
        <v/>
      </c>
      <c r="F2661">
        <f>Prices!F2661</f>
        <v/>
      </c>
      <c r="G2661">
        <f>IF(AND(2659&gt;=16,TEXT(A2661,"yyyy-mm")&lt;&gt;TEXT(A2662,"yyyy-mm")),1,0)</f>
        <v/>
      </c>
      <c r="H2661">
        <f>IF(OR(H2660=1,G2661=1),1,0)</f>
        <v/>
      </c>
      <c r="I2661">
        <f>IF(H2660=0,1,SUMPRODUCT(J2660:N2660,B2661:F2661)+O2660*(1+0.00023125256064071564))</f>
        <v/>
      </c>
      <c r="J2661">
        <f>IF(G2661=1,0.2*R2661/B2661,J2660)</f>
        <v/>
      </c>
      <c r="K2661">
        <f>IF(G2661=1,0.2*R2661/C2661,K2660)</f>
        <v/>
      </c>
      <c r="L2661">
        <f>IF(G2661=1,0.2*R2661/D2661,L2660)</f>
        <v/>
      </c>
      <c r="M2661">
        <f>IF(G2661=1,0.2*R2661/E2661,M2660)</f>
        <v/>
      </c>
      <c r="N2661">
        <f>IF(G2661=1,0.2*R2661/F2661,N2660)</f>
        <v/>
      </c>
      <c r="O2661">
        <f>IF(G2661=1,R2661*(1-1.0),IF(H2660=0,1,O2660*(1+0.00023125256064071564)))</f>
        <v/>
      </c>
      <c r="P2661">
        <f>IF(G2661=1,IF(H2660=0,1,ABS(0.2-J2660*B2661/I2661)+ABS(0.2-K2660*C2661/I2661)+ABS(0.2-L2660*D2661/I2661)+ABS(0.2-M2660*E2661/I2661)+ABS(0.2-N2660*F2661/I2661)),0)</f>
        <v/>
      </c>
      <c r="Q2661">
        <f>P2661*0.0015</f>
        <v/>
      </c>
      <c r="R2661">
        <f>I2661*(1-Q2661)</f>
        <v/>
      </c>
      <c r="S2661">
        <f>R2661/R2660-1</f>
        <v/>
      </c>
      <c r="T2661">
        <f>MAX(T2660,R2661)</f>
        <v/>
      </c>
      <c r="U2661">
        <f>R2661/T2661-1</f>
        <v/>
      </c>
      <c r="V2661" t="n">
        <v>6.357136794741961</v>
      </c>
      <c r="W2661" s="5">
        <f>R2661-V2661</f>
        <v/>
      </c>
    </row>
    <row r="2662">
      <c r="A2662" s="3" t="n">
        <v>42355</v>
      </c>
      <c r="B2662">
        <f>Prices!B2662</f>
        <v/>
      </c>
      <c r="C2662">
        <f>Prices!C2662</f>
        <v/>
      </c>
      <c r="D2662">
        <f>Prices!D2662</f>
        <v/>
      </c>
      <c r="E2662">
        <f>Prices!E2662</f>
        <v/>
      </c>
      <c r="F2662">
        <f>Prices!F2662</f>
        <v/>
      </c>
      <c r="G2662">
        <f>IF(AND(2660&gt;=16,TEXT(A2662,"yyyy-mm")&lt;&gt;TEXT(A2663,"yyyy-mm")),1,0)</f>
        <v/>
      </c>
      <c r="H2662">
        <f>IF(OR(H2661=1,G2662=1),1,0)</f>
        <v/>
      </c>
      <c r="I2662">
        <f>IF(H2661=0,1,SUMPRODUCT(J2661:N2661,B2662:F2662)+O2661*(1+0.00023125256064071564))</f>
        <v/>
      </c>
      <c r="J2662">
        <f>IF(G2662=1,0.2*R2662/B2662,J2661)</f>
        <v/>
      </c>
      <c r="K2662">
        <f>IF(G2662=1,0.2*R2662/C2662,K2661)</f>
        <v/>
      </c>
      <c r="L2662">
        <f>IF(G2662=1,0.2*R2662/D2662,L2661)</f>
        <v/>
      </c>
      <c r="M2662">
        <f>IF(G2662=1,0.2*R2662/E2662,M2661)</f>
        <v/>
      </c>
      <c r="N2662">
        <f>IF(G2662=1,0.2*R2662/F2662,N2661)</f>
        <v/>
      </c>
      <c r="O2662">
        <f>IF(G2662=1,R2662*(1-1.0),IF(H2661=0,1,O2661*(1+0.00023125256064071564)))</f>
        <v/>
      </c>
      <c r="P2662">
        <f>IF(G2662=1,IF(H2661=0,1,ABS(0.2-J2661*B2662/I2662)+ABS(0.2-K2661*C2662/I2662)+ABS(0.2-L2661*D2662/I2662)+ABS(0.2-M2661*E2662/I2662)+ABS(0.2-N2661*F2662/I2662)),0)</f>
        <v/>
      </c>
      <c r="Q2662">
        <f>P2662*0.0015</f>
        <v/>
      </c>
      <c r="R2662">
        <f>I2662*(1-Q2662)</f>
        <v/>
      </c>
      <c r="S2662">
        <f>R2662/R2661-1</f>
        <v/>
      </c>
      <c r="T2662">
        <f>MAX(T2661,R2662)</f>
        <v/>
      </c>
      <c r="U2662">
        <f>R2662/T2662-1</f>
        <v/>
      </c>
      <c r="V2662" t="n">
        <v>6.475595666463855</v>
      </c>
      <c r="W2662" s="5">
        <f>R2662-V2662</f>
        <v/>
      </c>
    </row>
    <row r="2663">
      <c r="A2663" s="3" t="n">
        <v>42356</v>
      </c>
      <c r="B2663">
        <f>Prices!B2663</f>
        <v/>
      </c>
      <c r="C2663">
        <f>Prices!C2663</f>
        <v/>
      </c>
      <c r="D2663">
        <f>Prices!D2663</f>
        <v/>
      </c>
      <c r="E2663">
        <f>Prices!E2663</f>
        <v/>
      </c>
      <c r="F2663">
        <f>Prices!F2663</f>
        <v/>
      </c>
      <c r="G2663">
        <f>IF(AND(2661&gt;=16,TEXT(A2663,"yyyy-mm")&lt;&gt;TEXT(A2664,"yyyy-mm")),1,0)</f>
        <v/>
      </c>
      <c r="H2663">
        <f>IF(OR(H2662=1,G2663=1),1,0)</f>
        <v/>
      </c>
      <c r="I2663">
        <f>IF(H2662=0,1,SUMPRODUCT(J2662:N2662,B2663:F2663)+O2662*(1+0.00023125256064071564))</f>
        <v/>
      </c>
      <c r="J2663">
        <f>IF(G2663=1,0.2*R2663/B2663,J2662)</f>
        <v/>
      </c>
      <c r="K2663">
        <f>IF(G2663=1,0.2*R2663/C2663,K2662)</f>
        <v/>
      </c>
      <c r="L2663">
        <f>IF(G2663=1,0.2*R2663/D2663,L2662)</f>
        <v/>
      </c>
      <c r="M2663">
        <f>IF(G2663=1,0.2*R2663/E2663,M2662)</f>
        <v/>
      </c>
      <c r="N2663">
        <f>IF(G2663=1,0.2*R2663/F2663,N2662)</f>
        <v/>
      </c>
      <c r="O2663">
        <f>IF(G2663=1,R2663*(1-1.0),IF(H2662=0,1,O2662*(1+0.00023125256064071564)))</f>
        <v/>
      </c>
      <c r="P2663">
        <f>IF(G2663=1,IF(H2662=0,1,ABS(0.2-J2662*B2663/I2663)+ABS(0.2-K2662*C2663/I2663)+ABS(0.2-L2662*D2663/I2663)+ABS(0.2-M2662*E2663/I2663)+ABS(0.2-N2662*F2663/I2663)),0)</f>
        <v/>
      </c>
      <c r="Q2663">
        <f>P2663*0.0015</f>
        <v/>
      </c>
      <c r="R2663">
        <f>I2663*(1-Q2663)</f>
        <v/>
      </c>
      <c r="S2663">
        <f>R2663/R2662-1</f>
        <v/>
      </c>
      <c r="T2663">
        <f>MAX(T2662,R2663)</f>
        <v/>
      </c>
      <c r="U2663">
        <f>R2663/T2663-1</f>
        <v/>
      </c>
      <c r="V2663" t="n">
        <v>6.445967129029157</v>
      </c>
      <c r="W2663" s="5">
        <f>R2663-V2663</f>
        <v/>
      </c>
    </row>
    <row r="2664">
      <c r="A2664" s="3" t="n">
        <v>42359</v>
      </c>
      <c r="B2664">
        <f>Prices!B2664</f>
        <v/>
      </c>
      <c r="C2664">
        <f>Prices!C2664</f>
        <v/>
      </c>
      <c r="D2664">
        <f>Prices!D2664</f>
        <v/>
      </c>
      <c r="E2664">
        <f>Prices!E2664</f>
        <v/>
      </c>
      <c r="F2664">
        <f>Prices!F2664</f>
        <v/>
      </c>
      <c r="G2664">
        <f>IF(AND(2662&gt;=16,TEXT(A2664,"yyyy-mm")&lt;&gt;TEXT(A2665,"yyyy-mm")),1,0)</f>
        <v/>
      </c>
      <c r="H2664">
        <f>IF(OR(H2663=1,G2664=1),1,0)</f>
        <v/>
      </c>
      <c r="I2664">
        <f>IF(H2663=0,1,SUMPRODUCT(J2663:N2663,B2664:F2664)+O2663*(1+0.00023125256064071564))</f>
        <v/>
      </c>
      <c r="J2664">
        <f>IF(G2664=1,0.2*R2664/B2664,J2663)</f>
        <v/>
      </c>
      <c r="K2664">
        <f>IF(G2664=1,0.2*R2664/C2664,K2663)</f>
        <v/>
      </c>
      <c r="L2664">
        <f>IF(G2664=1,0.2*R2664/D2664,L2663)</f>
        <v/>
      </c>
      <c r="M2664">
        <f>IF(G2664=1,0.2*R2664/E2664,M2663)</f>
        <v/>
      </c>
      <c r="N2664">
        <f>IF(G2664=1,0.2*R2664/F2664,N2663)</f>
        <v/>
      </c>
      <c r="O2664">
        <f>IF(G2664=1,R2664*(1-1.0),IF(H2663=0,1,O2663*(1+0.00023125256064071564)))</f>
        <v/>
      </c>
      <c r="P2664">
        <f>IF(G2664=1,IF(H2663=0,1,ABS(0.2-J2663*B2664/I2664)+ABS(0.2-K2663*C2664/I2664)+ABS(0.2-L2663*D2664/I2664)+ABS(0.2-M2663*E2664/I2664)+ABS(0.2-N2663*F2664/I2664)),0)</f>
        <v/>
      </c>
      <c r="Q2664">
        <f>P2664*0.0015</f>
        <v/>
      </c>
      <c r="R2664">
        <f>I2664*(1-Q2664)</f>
        <v/>
      </c>
      <c r="S2664">
        <f>R2664/R2663-1</f>
        <v/>
      </c>
      <c r="T2664">
        <f>MAX(T2663,R2664)</f>
        <v/>
      </c>
      <c r="U2664">
        <f>R2664/T2664-1</f>
        <v/>
      </c>
      <c r="V2664" t="n">
        <v>6.499241686656923</v>
      </c>
      <c r="W2664" s="5">
        <f>R2664-V2664</f>
        <v/>
      </c>
    </row>
    <row r="2665">
      <c r="A2665" s="3" t="n">
        <v>42360</v>
      </c>
      <c r="B2665">
        <f>Prices!B2665</f>
        <v/>
      </c>
      <c r="C2665">
        <f>Prices!C2665</f>
        <v/>
      </c>
      <c r="D2665">
        <f>Prices!D2665</f>
        <v/>
      </c>
      <c r="E2665">
        <f>Prices!E2665</f>
        <v/>
      </c>
      <c r="F2665">
        <f>Prices!F2665</f>
        <v/>
      </c>
      <c r="G2665">
        <f>IF(AND(2663&gt;=16,TEXT(A2665,"yyyy-mm")&lt;&gt;TEXT(A2666,"yyyy-mm")),1,0)</f>
        <v/>
      </c>
      <c r="H2665">
        <f>IF(OR(H2664=1,G2665=1),1,0)</f>
        <v/>
      </c>
      <c r="I2665">
        <f>IF(H2664=0,1,SUMPRODUCT(J2664:N2664,B2665:F2665)+O2664*(1+0.00023125256064071564))</f>
        <v/>
      </c>
      <c r="J2665">
        <f>IF(G2665=1,0.2*R2665/B2665,J2664)</f>
        <v/>
      </c>
      <c r="K2665">
        <f>IF(G2665=1,0.2*R2665/C2665,K2664)</f>
        <v/>
      </c>
      <c r="L2665">
        <f>IF(G2665=1,0.2*R2665/D2665,L2664)</f>
        <v/>
      </c>
      <c r="M2665">
        <f>IF(G2665=1,0.2*R2665/E2665,M2664)</f>
        <v/>
      </c>
      <c r="N2665">
        <f>IF(G2665=1,0.2*R2665/F2665,N2664)</f>
        <v/>
      </c>
      <c r="O2665">
        <f>IF(G2665=1,R2665*(1-1.0),IF(H2664=0,1,O2664*(1+0.00023125256064071564)))</f>
        <v/>
      </c>
      <c r="P2665">
        <f>IF(G2665=1,IF(H2664=0,1,ABS(0.2-J2664*B2665/I2665)+ABS(0.2-K2664*C2665/I2665)+ABS(0.2-L2664*D2665/I2665)+ABS(0.2-M2664*E2665/I2665)+ABS(0.2-N2664*F2665/I2665)),0)</f>
        <v/>
      </c>
      <c r="Q2665">
        <f>P2665*0.0015</f>
        <v/>
      </c>
      <c r="R2665">
        <f>I2665*(1-Q2665)</f>
        <v/>
      </c>
      <c r="S2665">
        <f>R2665/R2664-1</f>
        <v/>
      </c>
      <c r="T2665">
        <f>MAX(T2664,R2665)</f>
        <v/>
      </c>
      <c r="U2665">
        <f>R2665/T2665-1</f>
        <v/>
      </c>
      <c r="V2665" t="n">
        <v>6.472150871404711</v>
      </c>
      <c r="W2665" s="5">
        <f>R2665-V2665</f>
        <v/>
      </c>
    </row>
    <row r="2666">
      <c r="A2666" s="3" t="n">
        <v>42361</v>
      </c>
      <c r="B2666">
        <f>Prices!B2666</f>
        <v/>
      </c>
      <c r="C2666">
        <f>Prices!C2666</f>
        <v/>
      </c>
      <c r="D2666">
        <f>Prices!D2666</f>
        <v/>
      </c>
      <c r="E2666">
        <f>Prices!E2666</f>
        <v/>
      </c>
      <c r="F2666">
        <f>Prices!F2666</f>
        <v/>
      </c>
      <c r="G2666">
        <f>IF(AND(2664&gt;=16,TEXT(A2666,"yyyy-mm")&lt;&gt;TEXT(A2667,"yyyy-mm")),1,0)</f>
        <v/>
      </c>
      <c r="H2666">
        <f>IF(OR(H2665=1,G2666=1),1,0)</f>
        <v/>
      </c>
      <c r="I2666">
        <f>IF(H2665=0,1,SUMPRODUCT(J2665:N2665,B2666:F2666)+O2665*(1+0.00023125256064071564))</f>
        <v/>
      </c>
      <c r="J2666">
        <f>IF(G2666=1,0.2*R2666/B2666,J2665)</f>
        <v/>
      </c>
      <c r="K2666">
        <f>IF(G2666=1,0.2*R2666/C2666,K2665)</f>
        <v/>
      </c>
      <c r="L2666">
        <f>IF(G2666=1,0.2*R2666/D2666,L2665)</f>
        <v/>
      </c>
      <c r="M2666">
        <f>IF(G2666=1,0.2*R2666/E2666,M2665)</f>
        <v/>
      </c>
      <c r="N2666">
        <f>IF(G2666=1,0.2*R2666/F2666,N2665)</f>
        <v/>
      </c>
      <c r="O2666">
        <f>IF(G2666=1,R2666*(1-1.0),IF(H2665=0,1,O2665*(1+0.00023125256064071564)))</f>
        <v/>
      </c>
      <c r="P2666">
        <f>IF(G2666=1,IF(H2665=0,1,ABS(0.2-J2665*B2666/I2666)+ABS(0.2-K2665*C2666/I2666)+ABS(0.2-L2665*D2666/I2666)+ABS(0.2-M2665*E2666/I2666)+ABS(0.2-N2665*F2666/I2666)),0)</f>
        <v/>
      </c>
      <c r="Q2666">
        <f>P2666*0.0015</f>
        <v/>
      </c>
      <c r="R2666">
        <f>I2666*(1-Q2666)</f>
        <v/>
      </c>
      <c r="S2666">
        <f>R2666/R2665-1</f>
        <v/>
      </c>
      <c r="T2666">
        <f>MAX(T2665,R2666)</f>
        <v/>
      </c>
      <c r="U2666">
        <f>R2666/T2666-1</f>
        <v/>
      </c>
      <c r="V2666" t="n">
        <v>6.520166193905502</v>
      </c>
      <c r="W2666" s="5">
        <f>R2666-V2666</f>
        <v/>
      </c>
    </row>
    <row r="2667">
      <c r="A2667" s="3" t="n">
        <v>42362</v>
      </c>
      <c r="B2667">
        <f>Prices!B2667</f>
        <v/>
      </c>
      <c r="C2667">
        <f>Prices!C2667</f>
        <v/>
      </c>
      <c r="D2667">
        <f>Prices!D2667</f>
        <v/>
      </c>
      <c r="E2667">
        <f>Prices!E2667</f>
        <v/>
      </c>
      <c r="F2667">
        <f>Prices!F2667</f>
        <v/>
      </c>
      <c r="G2667">
        <f>IF(AND(2665&gt;=16,TEXT(A2667,"yyyy-mm")&lt;&gt;TEXT(A2668,"yyyy-mm")),1,0)</f>
        <v/>
      </c>
      <c r="H2667">
        <f>IF(OR(H2666=1,G2667=1),1,0)</f>
        <v/>
      </c>
      <c r="I2667">
        <f>IF(H2666=0,1,SUMPRODUCT(J2666:N2666,B2667:F2667)+O2666*(1+0.00023125256064071564))</f>
        <v/>
      </c>
      <c r="J2667">
        <f>IF(G2667=1,0.2*R2667/B2667,J2666)</f>
        <v/>
      </c>
      <c r="K2667">
        <f>IF(G2667=1,0.2*R2667/C2667,K2666)</f>
        <v/>
      </c>
      <c r="L2667">
        <f>IF(G2667=1,0.2*R2667/D2667,L2666)</f>
        <v/>
      </c>
      <c r="M2667">
        <f>IF(G2667=1,0.2*R2667/E2667,M2666)</f>
        <v/>
      </c>
      <c r="N2667">
        <f>IF(G2667=1,0.2*R2667/F2667,N2666)</f>
        <v/>
      </c>
      <c r="O2667">
        <f>IF(G2667=1,R2667*(1-1.0),IF(H2666=0,1,O2666*(1+0.00023125256064071564)))</f>
        <v/>
      </c>
      <c r="P2667">
        <f>IF(G2667=1,IF(H2666=0,1,ABS(0.2-J2666*B2667/I2667)+ABS(0.2-K2666*C2667/I2667)+ABS(0.2-L2666*D2667/I2667)+ABS(0.2-M2666*E2667/I2667)+ABS(0.2-N2666*F2667/I2667)),0)</f>
        <v/>
      </c>
      <c r="Q2667">
        <f>P2667*0.0015</f>
        <v/>
      </c>
      <c r="R2667">
        <f>I2667*(1-Q2667)</f>
        <v/>
      </c>
      <c r="S2667">
        <f>R2667/R2666-1</f>
        <v/>
      </c>
      <c r="T2667">
        <f>MAX(T2666,R2667)</f>
        <v/>
      </c>
      <c r="U2667">
        <f>R2667/T2667-1</f>
        <v/>
      </c>
      <c r="V2667" t="n">
        <v>6.531905312475748</v>
      </c>
      <c r="W2667" s="5">
        <f>R2667-V2667</f>
        <v/>
      </c>
    </row>
    <row r="2668">
      <c r="A2668" s="3" t="n">
        <v>42366</v>
      </c>
      <c r="B2668">
        <f>Prices!B2668</f>
        <v/>
      </c>
      <c r="C2668">
        <f>Prices!C2668</f>
        <v/>
      </c>
      <c r="D2668">
        <f>Prices!D2668</f>
        <v/>
      </c>
      <c r="E2668">
        <f>Prices!E2668</f>
        <v/>
      </c>
      <c r="F2668">
        <f>Prices!F2668</f>
        <v/>
      </c>
      <c r="G2668">
        <f>IF(AND(2666&gt;=16,TEXT(A2668,"yyyy-mm")&lt;&gt;TEXT(A2669,"yyyy-mm")),1,0)</f>
        <v/>
      </c>
      <c r="H2668">
        <f>IF(OR(H2667=1,G2668=1),1,0)</f>
        <v/>
      </c>
      <c r="I2668">
        <f>IF(H2667=0,1,SUMPRODUCT(J2667:N2667,B2668:F2668)+O2667*(1+0.00023125256064071564))</f>
        <v/>
      </c>
      <c r="J2668">
        <f>IF(G2668=1,0.2*R2668/B2668,J2667)</f>
        <v/>
      </c>
      <c r="K2668">
        <f>IF(G2668=1,0.2*R2668/C2668,K2667)</f>
        <v/>
      </c>
      <c r="L2668">
        <f>IF(G2668=1,0.2*R2668/D2668,L2667)</f>
        <v/>
      </c>
      <c r="M2668">
        <f>IF(G2668=1,0.2*R2668/E2668,M2667)</f>
        <v/>
      </c>
      <c r="N2668">
        <f>IF(G2668=1,0.2*R2668/F2668,N2667)</f>
        <v/>
      </c>
      <c r="O2668">
        <f>IF(G2668=1,R2668*(1-1.0),IF(H2667=0,1,O2667*(1+0.00023125256064071564)))</f>
        <v/>
      </c>
      <c r="P2668">
        <f>IF(G2668=1,IF(H2667=0,1,ABS(0.2-J2667*B2668/I2668)+ABS(0.2-K2667*C2668/I2668)+ABS(0.2-L2667*D2668/I2668)+ABS(0.2-M2667*E2668/I2668)+ABS(0.2-N2667*F2668/I2668)),0)</f>
        <v/>
      </c>
      <c r="Q2668">
        <f>P2668*0.0015</f>
        <v/>
      </c>
      <c r="R2668">
        <f>I2668*(1-Q2668)</f>
        <v/>
      </c>
      <c r="S2668">
        <f>R2668/R2667-1</f>
        <v/>
      </c>
      <c r="T2668">
        <f>MAX(T2667,R2668)</f>
        <v/>
      </c>
      <c r="U2668">
        <f>R2668/T2668-1</f>
        <v/>
      </c>
      <c r="V2668" t="n">
        <v>6.553024818611537</v>
      </c>
      <c r="W2668" s="5">
        <f>R2668-V2668</f>
        <v/>
      </c>
    </row>
    <row r="2669">
      <c r="A2669" s="3" t="n">
        <v>42367</v>
      </c>
      <c r="B2669">
        <f>Prices!B2669</f>
        <v/>
      </c>
      <c r="C2669">
        <f>Prices!C2669</f>
        <v/>
      </c>
      <c r="D2669">
        <f>Prices!D2669</f>
        <v/>
      </c>
      <c r="E2669">
        <f>Prices!E2669</f>
        <v/>
      </c>
      <c r="F2669">
        <f>Prices!F2669</f>
        <v/>
      </c>
      <c r="G2669">
        <f>IF(AND(2667&gt;=16,TEXT(A2669,"yyyy-mm")&lt;&gt;TEXT(A2670,"yyyy-mm")),1,0)</f>
        <v/>
      </c>
      <c r="H2669">
        <f>IF(OR(H2668=1,G2669=1),1,0)</f>
        <v/>
      </c>
      <c r="I2669">
        <f>IF(H2668=0,1,SUMPRODUCT(J2668:N2668,B2669:F2669)+O2668*(1+0.00023125256064071564))</f>
        <v/>
      </c>
      <c r="J2669">
        <f>IF(G2669=1,0.2*R2669/B2669,J2668)</f>
        <v/>
      </c>
      <c r="K2669">
        <f>IF(G2669=1,0.2*R2669/C2669,K2668)</f>
        <v/>
      </c>
      <c r="L2669">
        <f>IF(G2669=1,0.2*R2669/D2669,L2668)</f>
        <v/>
      </c>
      <c r="M2669">
        <f>IF(G2669=1,0.2*R2669/E2669,M2668)</f>
        <v/>
      </c>
      <c r="N2669">
        <f>IF(G2669=1,0.2*R2669/F2669,N2668)</f>
        <v/>
      </c>
      <c r="O2669">
        <f>IF(G2669=1,R2669*(1-1.0),IF(H2668=0,1,O2668*(1+0.00023125256064071564)))</f>
        <v/>
      </c>
      <c r="P2669">
        <f>IF(G2669=1,IF(H2668=0,1,ABS(0.2-J2668*B2669/I2669)+ABS(0.2-K2668*C2669/I2669)+ABS(0.2-L2668*D2669/I2669)+ABS(0.2-M2668*E2669/I2669)+ABS(0.2-N2668*F2669/I2669)),0)</f>
        <v/>
      </c>
      <c r="Q2669">
        <f>P2669*0.0015</f>
        <v/>
      </c>
      <c r="R2669">
        <f>I2669*(1-Q2669)</f>
        <v/>
      </c>
      <c r="S2669">
        <f>R2669/R2668-1</f>
        <v/>
      </c>
      <c r="T2669">
        <f>MAX(T2668,R2669)</f>
        <v/>
      </c>
      <c r="U2669">
        <f>R2669/T2669-1</f>
        <v/>
      </c>
      <c r="V2669" t="n">
        <v>6.563183472091872</v>
      </c>
      <c r="W2669" s="5">
        <f>R2669-V2669</f>
        <v/>
      </c>
    </row>
    <row r="2670">
      <c r="A2670" s="3" t="n">
        <v>42368</v>
      </c>
      <c r="B2670">
        <f>Prices!B2670</f>
        <v/>
      </c>
      <c r="C2670">
        <f>Prices!C2670</f>
        <v/>
      </c>
      <c r="D2670">
        <f>Prices!D2670</f>
        <v/>
      </c>
      <c r="E2670">
        <f>Prices!E2670</f>
        <v/>
      </c>
      <c r="F2670">
        <f>Prices!F2670</f>
        <v/>
      </c>
      <c r="G2670">
        <f>IF(AND(2668&gt;=16,TEXT(A2670,"yyyy-mm")&lt;&gt;TEXT(A2671,"yyyy-mm")),1,0)</f>
        <v/>
      </c>
      <c r="H2670">
        <f>IF(OR(H2669=1,G2670=1),1,0)</f>
        <v/>
      </c>
      <c r="I2670">
        <f>IF(H2669=0,1,SUMPRODUCT(J2669:N2669,B2670:F2670)+O2669*(1+0.00023125256064071564))</f>
        <v/>
      </c>
      <c r="J2670">
        <f>IF(G2670=1,0.2*R2670/B2670,J2669)</f>
        <v/>
      </c>
      <c r="K2670">
        <f>IF(G2670=1,0.2*R2670/C2670,K2669)</f>
        <v/>
      </c>
      <c r="L2670">
        <f>IF(G2670=1,0.2*R2670/D2670,L2669)</f>
        <v/>
      </c>
      <c r="M2670">
        <f>IF(G2670=1,0.2*R2670/E2670,M2669)</f>
        <v/>
      </c>
      <c r="N2670">
        <f>IF(G2670=1,0.2*R2670/F2670,N2669)</f>
        <v/>
      </c>
      <c r="O2670">
        <f>IF(G2670=1,R2670*(1-1.0),IF(H2669=0,1,O2669*(1+0.00023125256064071564)))</f>
        <v/>
      </c>
      <c r="P2670">
        <f>IF(G2670=1,IF(H2669=0,1,ABS(0.2-J2669*B2670/I2670)+ABS(0.2-K2669*C2670/I2670)+ABS(0.2-L2669*D2670/I2670)+ABS(0.2-M2669*E2670/I2670)+ABS(0.2-N2669*F2670/I2670)),0)</f>
        <v/>
      </c>
      <c r="Q2670">
        <f>P2670*0.0015</f>
        <v/>
      </c>
      <c r="R2670">
        <f>I2670*(1-Q2670)</f>
        <v/>
      </c>
      <c r="S2670">
        <f>R2670/R2669-1</f>
        <v/>
      </c>
      <c r="T2670">
        <f>MAX(T2669,R2670)</f>
        <v/>
      </c>
      <c r="U2670">
        <f>R2670/T2670-1</f>
        <v/>
      </c>
      <c r="V2670" t="n">
        <v>6.547895680361799</v>
      </c>
      <c r="W2670" s="5">
        <f>R2670-V2670</f>
        <v/>
      </c>
    </row>
    <row r="2671">
      <c r="A2671" s="3" t="n">
        <v>42369</v>
      </c>
      <c r="B2671">
        <f>Prices!B2671</f>
        <v/>
      </c>
      <c r="C2671">
        <f>Prices!C2671</f>
        <v/>
      </c>
      <c r="D2671">
        <f>Prices!D2671</f>
        <v/>
      </c>
      <c r="E2671">
        <f>Prices!E2671</f>
        <v/>
      </c>
      <c r="F2671">
        <f>Prices!F2671</f>
        <v/>
      </c>
      <c r="G2671">
        <f>IF(AND(2669&gt;=16,TEXT(A2671,"yyyy-mm")&lt;&gt;TEXT(A2672,"yyyy-mm")),1,0)</f>
        <v/>
      </c>
      <c r="H2671">
        <f>IF(OR(H2670=1,G2671=1),1,0)</f>
        <v/>
      </c>
      <c r="I2671">
        <f>IF(H2670=0,1,SUMPRODUCT(J2670:N2670,B2671:F2671)+O2670*(1+0.00023125256064071564))</f>
        <v/>
      </c>
      <c r="J2671">
        <f>IF(G2671=1,0.2*R2671/B2671,J2670)</f>
        <v/>
      </c>
      <c r="K2671">
        <f>IF(G2671=1,0.2*R2671/C2671,K2670)</f>
        <v/>
      </c>
      <c r="L2671">
        <f>IF(G2671=1,0.2*R2671/D2671,L2670)</f>
        <v/>
      </c>
      <c r="M2671">
        <f>IF(G2671=1,0.2*R2671/E2671,M2670)</f>
        <v/>
      </c>
      <c r="N2671">
        <f>IF(G2671=1,0.2*R2671/F2671,N2670)</f>
        <v/>
      </c>
      <c r="O2671">
        <f>IF(G2671=1,R2671*(1-1.0),IF(H2670=0,1,O2670*(1+0.00023125256064071564)))</f>
        <v/>
      </c>
      <c r="P2671">
        <f>IF(G2671=1,IF(H2670=0,1,ABS(0.2-J2670*B2671/I2671)+ABS(0.2-K2670*C2671/I2671)+ABS(0.2-L2670*D2671/I2671)+ABS(0.2-M2670*E2671/I2671)+ABS(0.2-N2670*F2671/I2671)),0)</f>
        <v/>
      </c>
      <c r="Q2671">
        <f>P2671*0.0015</f>
        <v/>
      </c>
      <c r="R2671">
        <f>I2671*(1-Q2671)</f>
        <v/>
      </c>
      <c r="S2671">
        <f>R2671/R2670-1</f>
        <v/>
      </c>
      <c r="T2671">
        <f>MAX(T2670,R2671)</f>
        <v/>
      </c>
      <c r="U2671">
        <f>R2671/T2671-1</f>
        <v/>
      </c>
      <c r="V2671" t="n">
        <v>6.56931203718313</v>
      </c>
      <c r="W2671" s="5">
        <f>R2671-V2671</f>
        <v/>
      </c>
    </row>
    <row r="2672">
      <c r="A2672" s="3" t="n">
        <v>42370</v>
      </c>
      <c r="B2672">
        <f>Prices!B2672</f>
        <v/>
      </c>
      <c r="C2672">
        <f>Prices!C2672</f>
        <v/>
      </c>
      <c r="D2672">
        <f>Prices!D2672</f>
        <v/>
      </c>
      <c r="E2672">
        <f>Prices!E2672</f>
        <v/>
      </c>
      <c r="F2672">
        <f>Prices!F2672</f>
        <v/>
      </c>
      <c r="G2672">
        <f>IF(AND(2670&gt;=16,TEXT(A2672,"yyyy-mm")&lt;&gt;TEXT(A2673,"yyyy-mm")),1,0)</f>
        <v/>
      </c>
      <c r="H2672">
        <f>IF(OR(H2671=1,G2672=1),1,0)</f>
        <v/>
      </c>
      <c r="I2672">
        <f>IF(H2671=0,1,SUMPRODUCT(J2671:N2671,B2672:F2672)+O2671*(1+0.00023125256064071564))</f>
        <v/>
      </c>
      <c r="J2672">
        <f>IF(G2672=1,0.2*R2672/B2672,J2671)</f>
        <v/>
      </c>
      <c r="K2672">
        <f>IF(G2672=1,0.2*R2672/C2672,K2671)</f>
        <v/>
      </c>
      <c r="L2672">
        <f>IF(G2672=1,0.2*R2672/D2672,L2671)</f>
        <v/>
      </c>
      <c r="M2672">
        <f>IF(G2672=1,0.2*R2672/E2672,M2671)</f>
        <v/>
      </c>
      <c r="N2672">
        <f>IF(G2672=1,0.2*R2672/F2672,N2671)</f>
        <v/>
      </c>
      <c r="O2672">
        <f>IF(G2672=1,R2672*(1-1.0),IF(H2671=0,1,O2671*(1+0.00023125256064071564)))</f>
        <v/>
      </c>
      <c r="P2672">
        <f>IF(G2672=1,IF(H2671=0,1,ABS(0.2-J2671*B2672/I2672)+ABS(0.2-K2671*C2672/I2672)+ABS(0.2-L2671*D2672/I2672)+ABS(0.2-M2671*E2672/I2672)+ABS(0.2-N2671*F2672/I2672)),0)</f>
        <v/>
      </c>
      <c r="Q2672">
        <f>P2672*0.0015</f>
        <v/>
      </c>
      <c r="R2672">
        <f>I2672*(1-Q2672)</f>
        <v/>
      </c>
      <c r="S2672">
        <f>R2672/R2671-1</f>
        <v/>
      </c>
      <c r="T2672">
        <f>MAX(T2671,R2672)</f>
        <v/>
      </c>
      <c r="U2672">
        <f>R2672/T2672-1</f>
        <v/>
      </c>
      <c r="V2672" t="n">
        <v>6.611162701263069</v>
      </c>
      <c r="W2672" s="5">
        <f>R2672-V2672</f>
        <v/>
      </c>
    </row>
    <row r="2673">
      <c r="A2673" s="3" t="n">
        <v>42373</v>
      </c>
      <c r="B2673">
        <f>Prices!B2673</f>
        <v/>
      </c>
      <c r="C2673">
        <f>Prices!C2673</f>
        <v/>
      </c>
      <c r="D2673">
        <f>Prices!D2673</f>
        <v/>
      </c>
      <c r="E2673">
        <f>Prices!E2673</f>
        <v/>
      </c>
      <c r="F2673">
        <f>Prices!F2673</f>
        <v/>
      </c>
      <c r="G2673">
        <f>IF(AND(2671&gt;=16,TEXT(A2673,"yyyy-mm")&lt;&gt;TEXT(A2674,"yyyy-mm")),1,0)</f>
        <v/>
      </c>
      <c r="H2673">
        <f>IF(OR(H2672=1,G2673=1),1,0)</f>
        <v/>
      </c>
      <c r="I2673">
        <f>IF(H2672=0,1,SUMPRODUCT(J2672:N2672,B2673:F2673)+O2672*(1+0.00023125256064071564))</f>
        <v/>
      </c>
      <c r="J2673">
        <f>IF(G2673=1,0.2*R2673/B2673,J2672)</f>
        <v/>
      </c>
      <c r="K2673">
        <f>IF(G2673=1,0.2*R2673/C2673,K2672)</f>
        <v/>
      </c>
      <c r="L2673">
        <f>IF(G2673=1,0.2*R2673/D2673,L2672)</f>
        <v/>
      </c>
      <c r="M2673">
        <f>IF(G2673=1,0.2*R2673/E2673,M2672)</f>
        <v/>
      </c>
      <c r="N2673">
        <f>IF(G2673=1,0.2*R2673/F2673,N2672)</f>
        <v/>
      </c>
      <c r="O2673">
        <f>IF(G2673=1,R2673*(1-1.0),IF(H2672=0,1,O2672*(1+0.00023125256064071564)))</f>
        <v/>
      </c>
      <c r="P2673">
        <f>IF(G2673=1,IF(H2672=0,1,ABS(0.2-J2672*B2673/I2673)+ABS(0.2-K2672*C2673/I2673)+ABS(0.2-L2672*D2673/I2673)+ABS(0.2-M2672*E2673/I2673)+ABS(0.2-N2672*F2673/I2673)),0)</f>
        <v/>
      </c>
      <c r="Q2673">
        <f>P2673*0.0015</f>
        <v/>
      </c>
      <c r="R2673">
        <f>I2673*(1-Q2673)</f>
        <v/>
      </c>
      <c r="S2673">
        <f>R2673/R2672-1</f>
        <v/>
      </c>
      <c r="T2673">
        <f>MAX(T2672,R2673)</f>
        <v/>
      </c>
      <c r="U2673">
        <f>R2673/T2673-1</f>
        <v/>
      </c>
      <c r="V2673" t="n">
        <v>6.530501395240853</v>
      </c>
      <c r="W2673" s="5">
        <f>R2673-V2673</f>
        <v/>
      </c>
    </row>
    <row r="2674">
      <c r="A2674" s="3" t="n">
        <v>42374</v>
      </c>
      <c r="B2674">
        <f>Prices!B2674</f>
        <v/>
      </c>
      <c r="C2674">
        <f>Prices!C2674</f>
        <v/>
      </c>
      <c r="D2674">
        <f>Prices!D2674</f>
        <v/>
      </c>
      <c r="E2674">
        <f>Prices!E2674</f>
        <v/>
      </c>
      <c r="F2674">
        <f>Prices!F2674</f>
        <v/>
      </c>
      <c r="G2674">
        <f>IF(AND(2672&gt;=16,TEXT(A2674,"yyyy-mm")&lt;&gt;TEXT(A2675,"yyyy-mm")),1,0)</f>
        <v/>
      </c>
      <c r="H2674">
        <f>IF(OR(H2673=1,G2674=1),1,0)</f>
        <v/>
      </c>
      <c r="I2674">
        <f>IF(H2673=0,1,SUMPRODUCT(J2673:N2673,B2674:F2674)+O2673*(1+0.00023125256064071564))</f>
        <v/>
      </c>
      <c r="J2674">
        <f>IF(G2674=1,0.2*R2674/B2674,J2673)</f>
        <v/>
      </c>
      <c r="K2674">
        <f>IF(G2674=1,0.2*R2674/C2674,K2673)</f>
        <v/>
      </c>
      <c r="L2674">
        <f>IF(G2674=1,0.2*R2674/D2674,L2673)</f>
        <v/>
      </c>
      <c r="M2674">
        <f>IF(G2674=1,0.2*R2674/E2674,M2673)</f>
        <v/>
      </c>
      <c r="N2674">
        <f>IF(G2674=1,0.2*R2674/F2674,N2673)</f>
        <v/>
      </c>
      <c r="O2674">
        <f>IF(G2674=1,R2674*(1-1.0),IF(H2673=0,1,O2673*(1+0.00023125256064071564)))</f>
        <v/>
      </c>
      <c r="P2674">
        <f>IF(G2674=1,IF(H2673=0,1,ABS(0.2-J2673*B2674/I2674)+ABS(0.2-K2673*C2674/I2674)+ABS(0.2-L2673*D2674/I2674)+ABS(0.2-M2673*E2674/I2674)+ABS(0.2-N2673*F2674/I2674)),0)</f>
        <v/>
      </c>
      <c r="Q2674">
        <f>P2674*0.0015</f>
        <v/>
      </c>
      <c r="R2674">
        <f>I2674*(1-Q2674)</f>
        <v/>
      </c>
      <c r="S2674">
        <f>R2674/R2673-1</f>
        <v/>
      </c>
      <c r="T2674">
        <f>MAX(T2673,R2674)</f>
        <v/>
      </c>
      <c r="U2674">
        <f>R2674/T2674-1</f>
        <v/>
      </c>
      <c r="V2674" t="n">
        <v>6.56989644756247</v>
      </c>
      <c r="W2674" s="5">
        <f>R2674-V2674</f>
        <v/>
      </c>
    </row>
    <row r="2675">
      <c r="A2675" s="3" t="n">
        <v>42375</v>
      </c>
      <c r="B2675">
        <f>Prices!B2675</f>
        <v/>
      </c>
      <c r="C2675">
        <f>Prices!C2675</f>
        <v/>
      </c>
      <c r="D2675">
        <f>Prices!D2675</f>
        <v/>
      </c>
      <c r="E2675">
        <f>Prices!E2675</f>
        <v/>
      </c>
      <c r="F2675">
        <f>Prices!F2675</f>
        <v/>
      </c>
      <c r="G2675">
        <f>IF(AND(2673&gt;=16,TEXT(A2675,"yyyy-mm")&lt;&gt;TEXT(A2676,"yyyy-mm")),1,0)</f>
        <v/>
      </c>
      <c r="H2675">
        <f>IF(OR(H2674=1,G2675=1),1,0)</f>
        <v/>
      </c>
      <c r="I2675">
        <f>IF(H2674=0,1,SUMPRODUCT(J2674:N2674,B2675:F2675)+O2674*(1+0.00023125256064071564))</f>
        <v/>
      </c>
      <c r="J2675">
        <f>IF(G2675=1,0.2*R2675/B2675,J2674)</f>
        <v/>
      </c>
      <c r="K2675">
        <f>IF(G2675=1,0.2*R2675/C2675,K2674)</f>
        <v/>
      </c>
      <c r="L2675">
        <f>IF(G2675=1,0.2*R2675/D2675,L2674)</f>
        <v/>
      </c>
      <c r="M2675">
        <f>IF(G2675=1,0.2*R2675/E2675,M2674)</f>
        <v/>
      </c>
      <c r="N2675">
        <f>IF(G2675=1,0.2*R2675/F2675,N2674)</f>
        <v/>
      </c>
      <c r="O2675">
        <f>IF(G2675=1,R2675*(1-1.0),IF(H2674=0,1,O2674*(1+0.00023125256064071564)))</f>
        <v/>
      </c>
      <c r="P2675">
        <f>IF(G2675=1,IF(H2674=0,1,ABS(0.2-J2674*B2675/I2675)+ABS(0.2-K2674*C2675/I2675)+ABS(0.2-L2674*D2675/I2675)+ABS(0.2-M2674*E2675/I2675)+ABS(0.2-N2674*F2675/I2675)),0)</f>
        <v/>
      </c>
      <c r="Q2675">
        <f>P2675*0.0015</f>
        <v/>
      </c>
      <c r="R2675">
        <f>I2675*(1-Q2675)</f>
        <v/>
      </c>
      <c r="S2675">
        <f>R2675/R2674-1</f>
        <v/>
      </c>
      <c r="T2675">
        <f>MAX(T2674,R2675)</f>
        <v/>
      </c>
      <c r="U2675">
        <f>R2675/T2675-1</f>
        <v/>
      </c>
      <c r="V2675" t="n">
        <v>6.545053861204247</v>
      </c>
      <c r="W2675" s="5">
        <f>R2675-V2675</f>
        <v/>
      </c>
    </row>
    <row r="2676">
      <c r="A2676" s="3" t="n">
        <v>42376</v>
      </c>
      <c r="B2676">
        <f>Prices!B2676</f>
        <v/>
      </c>
      <c r="C2676">
        <f>Prices!C2676</f>
        <v/>
      </c>
      <c r="D2676">
        <f>Prices!D2676</f>
        <v/>
      </c>
      <c r="E2676">
        <f>Prices!E2676</f>
        <v/>
      </c>
      <c r="F2676">
        <f>Prices!F2676</f>
        <v/>
      </c>
      <c r="G2676">
        <f>IF(AND(2674&gt;=16,TEXT(A2676,"yyyy-mm")&lt;&gt;TEXT(A2677,"yyyy-mm")),1,0)</f>
        <v/>
      </c>
      <c r="H2676">
        <f>IF(OR(H2675=1,G2676=1),1,0)</f>
        <v/>
      </c>
      <c r="I2676">
        <f>IF(H2675=0,1,SUMPRODUCT(J2675:N2675,B2676:F2676)+O2675*(1+0.00023125256064071564))</f>
        <v/>
      </c>
      <c r="J2676">
        <f>IF(G2676=1,0.2*R2676/B2676,J2675)</f>
        <v/>
      </c>
      <c r="K2676">
        <f>IF(G2676=1,0.2*R2676/C2676,K2675)</f>
        <v/>
      </c>
      <c r="L2676">
        <f>IF(G2676=1,0.2*R2676/D2676,L2675)</f>
        <v/>
      </c>
      <c r="M2676">
        <f>IF(G2676=1,0.2*R2676/E2676,M2675)</f>
        <v/>
      </c>
      <c r="N2676">
        <f>IF(G2676=1,0.2*R2676/F2676,N2675)</f>
        <v/>
      </c>
      <c r="O2676">
        <f>IF(G2676=1,R2676*(1-1.0),IF(H2675=0,1,O2675*(1+0.00023125256064071564)))</f>
        <v/>
      </c>
      <c r="P2676">
        <f>IF(G2676=1,IF(H2675=0,1,ABS(0.2-J2675*B2676/I2676)+ABS(0.2-K2675*C2676/I2676)+ABS(0.2-L2675*D2676/I2676)+ABS(0.2-M2675*E2676/I2676)+ABS(0.2-N2675*F2676/I2676)),0)</f>
        <v/>
      </c>
      <c r="Q2676">
        <f>P2676*0.0015</f>
        <v/>
      </c>
      <c r="R2676">
        <f>I2676*(1-Q2676)</f>
        <v/>
      </c>
      <c r="S2676">
        <f>R2676/R2675-1</f>
        <v/>
      </c>
      <c r="T2676">
        <f>MAX(T2675,R2676)</f>
        <v/>
      </c>
      <c r="U2676">
        <f>R2676/T2676-1</f>
        <v/>
      </c>
      <c r="V2676" t="n">
        <v>6.371427340531542</v>
      </c>
      <c r="W2676" s="5">
        <f>R2676-V2676</f>
        <v/>
      </c>
    </row>
    <row r="2677">
      <c r="A2677" s="3" t="n">
        <v>42377</v>
      </c>
      <c r="B2677">
        <f>Prices!B2677</f>
        <v/>
      </c>
      <c r="C2677">
        <f>Prices!C2677</f>
        <v/>
      </c>
      <c r="D2677">
        <f>Prices!D2677</f>
        <v/>
      </c>
      <c r="E2677">
        <f>Prices!E2677</f>
        <v/>
      </c>
      <c r="F2677">
        <f>Prices!F2677</f>
        <v/>
      </c>
      <c r="G2677">
        <f>IF(AND(2675&gt;=16,TEXT(A2677,"yyyy-mm")&lt;&gt;TEXT(A2678,"yyyy-mm")),1,0)</f>
        <v/>
      </c>
      <c r="H2677">
        <f>IF(OR(H2676=1,G2677=1),1,0)</f>
        <v/>
      </c>
      <c r="I2677">
        <f>IF(H2676=0,1,SUMPRODUCT(J2676:N2676,B2677:F2677)+O2676*(1+0.00023125256064071564))</f>
        <v/>
      </c>
      <c r="J2677">
        <f>IF(G2677=1,0.2*R2677/B2677,J2676)</f>
        <v/>
      </c>
      <c r="K2677">
        <f>IF(G2677=1,0.2*R2677/C2677,K2676)</f>
        <v/>
      </c>
      <c r="L2677">
        <f>IF(G2677=1,0.2*R2677/D2677,L2676)</f>
        <v/>
      </c>
      <c r="M2677">
        <f>IF(G2677=1,0.2*R2677/E2677,M2676)</f>
        <v/>
      </c>
      <c r="N2677">
        <f>IF(G2677=1,0.2*R2677/F2677,N2676)</f>
        <v/>
      </c>
      <c r="O2677">
        <f>IF(G2677=1,R2677*(1-1.0),IF(H2676=0,1,O2676*(1+0.00023125256064071564)))</f>
        <v/>
      </c>
      <c r="P2677">
        <f>IF(G2677=1,IF(H2676=0,1,ABS(0.2-J2676*B2677/I2677)+ABS(0.2-K2676*C2677/I2677)+ABS(0.2-L2676*D2677/I2677)+ABS(0.2-M2676*E2677/I2677)+ABS(0.2-N2676*F2677/I2677)),0)</f>
        <v/>
      </c>
      <c r="Q2677">
        <f>P2677*0.0015</f>
        <v/>
      </c>
      <c r="R2677">
        <f>I2677*(1-Q2677)</f>
        <v/>
      </c>
      <c r="S2677">
        <f>R2677/R2676-1</f>
        <v/>
      </c>
      <c r="T2677">
        <f>MAX(T2676,R2677)</f>
        <v/>
      </c>
      <c r="U2677">
        <f>R2677/T2677-1</f>
        <v/>
      </c>
      <c r="V2677" t="n">
        <v>6.413987242307146</v>
      </c>
      <c r="W2677" s="5">
        <f>R2677-V2677</f>
        <v/>
      </c>
    </row>
    <row r="2678">
      <c r="A2678" s="3" t="n">
        <v>42380</v>
      </c>
      <c r="B2678">
        <f>Prices!B2678</f>
        <v/>
      </c>
      <c r="C2678">
        <f>Prices!C2678</f>
        <v/>
      </c>
      <c r="D2678">
        <f>Prices!D2678</f>
        <v/>
      </c>
      <c r="E2678">
        <f>Prices!E2678</f>
        <v/>
      </c>
      <c r="F2678">
        <f>Prices!F2678</f>
        <v/>
      </c>
      <c r="G2678">
        <f>IF(AND(2676&gt;=16,TEXT(A2678,"yyyy-mm")&lt;&gt;TEXT(A2679,"yyyy-mm")),1,0)</f>
        <v/>
      </c>
      <c r="H2678">
        <f>IF(OR(H2677=1,G2678=1),1,0)</f>
        <v/>
      </c>
      <c r="I2678">
        <f>IF(H2677=0,1,SUMPRODUCT(J2677:N2677,B2678:F2678)+O2677*(1+0.00023125256064071564))</f>
        <v/>
      </c>
      <c r="J2678">
        <f>IF(G2678=1,0.2*R2678/B2678,J2677)</f>
        <v/>
      </c>
      <c r="K2678">
        <f>IF(G2678=1,0.2*R2678/C2678,K2677)</f>
        <v/>
      </c>
      <c r="L2678">
        <f>IF(G2678=1,0.2*R2678/D2678,L2677)</f>
        <v/>
      </c>
      <c r="M2678">
        <f>IF(G2678=1,0.2*R2678/E2678,M2677)</f>
        <v/>
      </c>
      <c r="N2678">
        <f>IF(G2678=1,0.2*R2678/F2678,N2677)</f>
        <v/>
      </c>
      <c r="O2678">
        <f>IF(G2678=1,R2678*(1-1.0),IF(H2677=0,1,O2677*(1+0.00023125256064071564)))</f>
        <v/>
      </c>
      <c r="P2678">
        <f>IF(G2678=1,IF(H2677=0,1,ABS(0.2-J2677*B2678/I2678)+ABS(0.2-K2677*C2678/I2678)+ABS(0.2-L2677*D2678/I2678)+ABS(0.2-M2677*E2678/I2678)+ABS(0.2-N2677*F2678/I2678)),0)</f>
        <v/>
      </c>
      <c r="Q2678">
        <f>P2678*0.0015</f>
        <v/>
      </c>
      <c r="R2678">
        <f>I2678*(1-Q2678)</f>
        <v/>
      </c>
      <c r="S2678">
        <f>R2678/R2677-1</f>
        <v/>
      </c>
      <c r="T2678">
        <f>MAX(T2677,R2678)</f>
        <v/>
      </c>
      <c r="U2678">
        <f>R2678/T2678-1</f>
        <v/>
      </c>
      <c r="V2678" t="n">
        <v>6.370992877827002</v>
      </c>
      <c r="W2678" s="5">
        <f>R2678-V2678</f>
        <v/>
      </c>
    </row>
    <row r="2679">
      <c r="A2679" s="3" t="n">
        <v>42381</v>
      </c>
      <c r="B2679">
        <f>Prices!B2679</f>
        <v/>
      </c>
      <c r="C2679">
        <f>Prices!C2679</f>
        <v/>
      </c>
      <c r="D2679">
        <f>Prices!D2679</f>
        <v/>
      </c>
      <c r="E2679">
        <f>Prices!E2679</f>
        <v/>
      </c>
      <c r="F2679">
        <f>Prices!F2679</f>
        <v/>
      </c>
      <c r="G2679">
        <f>IF(AND(2677&gt;=16,TEXT(A2679,"yyyy-mm")&lt;&gt;TEXT(A2680,"yyyy-mm")),1,0)</f>
        <v/>
      </c>
      <c r="H2679">
        <f>IF(OR(H2678=1,G2679=1),1,0)</f>
        <v/>
      </c>
      <c r="I2679">
        <f>IF(H2678=0,1,SUMPRODUCT(J2678:N2678,B2679:F2679)+O2678*(1+0.00023125256064071564))</f>
        <v/>
      </c>
      <c r="J2679">
        <f>IF(G2679=1,0.2*R2679/B2679,J2678)</f>
        <v/>
      </c>
      <c r="K2679">
        <f>IF(G2679=1,0.2*R2679/C2679,K2678)</f>
        <v/>
      </c>
      <c r="L2679">
        <f>IF(G2679=1,0.2*R2679/D2679,L2678)</f>
        <v/>
      </c>
      <c r="M2679">
        <f>IF(G2679=1,0.2*R2679/E2679,M2678)</f>
        <v/>
      </c>
      <c r="N2679">
        <f>IF(G2679=1,0.2*R2679/F2679,N2678)</f>
        <v/>
      </c>
      <c r="O2679">
        <f>IF(G2679=1,R2679*(1-1.0),IF(H2678=0,1,O2678*(1+0.00023125256064071564)))</f>
        <v/>
      </c>
      <c r="P2679">
        <f>IF(G2679=1,IF(H2678=0,1,ABS(0.2-J2678*B2679/I2679)+ABS(0.2-K2678*C2679/I2679)+ABS(0.2-L2678*D2679/I2679)+ABS(0.2-M2678*E2679/I2679)+ABS(0.2-N2678*F2679/I2679)),0)</f>
        <v/>
      </c>
      <c r="Q2679">
        <f>P2679*0.0015</f>
        <v/>
      </c>
      <c r="R2679">
        <f>I2679*(1-Q2679)</f>
        <v/>
      </c>
      <c r="S2679">
        <f>R2679/R2678-1</f>
        <v/>
      </c>
      <c r="T2679">
        <f>MAX(T2678,R2679)</f>
        <v/>
      </c>
      <c r="U2679">
        <f>R2679/T2679-1</f>
        <v/>
      </c>
      <c r="V2679" t="n">
        <v>6.338026290411654</v>
      </c>
      <c r="W2679" s="5">
        <f>R2679-V2679</f>
        <v/>
      </c>
    </row>
    <row r="2680">
      <c r="A2680" s="3" t="n">
        <v>42382</v>
      </c>
      <c r="B2680">
        <f>Prices!B2680</f>
        <v/>
      </c>
      <c r="C2680">
        <f>Prices!C2680</f>
        <v/>
      </c>
      <c r="D2680">
        <f>Prices!D2680</f>
        <v/>
      </c>
      <c r="E2680">
        <f>Prices!E2680</f>
        <v/>
      </c>
      <c r="F2680">
        <f>Prices!F2680</f>
        <v/>
      </c>
      <c r="G2680">
        <f>IF(AND(2678&gt;=16,TEXT(A2680,"yyyy-mm")&lt;&gt;TEXT(A2681,"yyyy-mm")),1,0)</f>
        <v/>
      </c>
      <c r="H2680">
        <f>IF(OR(H2679=1,G2680=1),1,0)</f>
        <v/>
      </c>
      <c r="I2680">
        <f>IF(H2679=0,1,SUMPRODUCT(J2679:N2679,B2680:F2680)+O2679*(1+0.00023125256064071564))</f>
        <v/>
      </c>
      <c r="J2680">
        <f>IF(G2680=1,0.2*R2680/B2680,J2679)</f>
        <v/>
      </c>
      <c r="K2680">
        <f>IF(G2680=1,0.2*R2680/C2680,K2679)</f>
        <v/>
      </c>
      <c r="L2680">
        <f>IF(G2680=1,0.2*R2680/D2680,L2679)</f>
        <v/>
      </c>
      <c r="M2680">
        <f>IF(G2680=1,0.2*R2680/E2680,M2679)</f>
        <v/>
      </c>
      <c r="N2680">
        <f>IF(G2680=1,0.2*R2680/F2680,N2679)</f>
        <v/>
      </c>
      <c r="O2680">
        <f>IF(G2680=1,R2680*(1-1.0),IF(H2679=0,1,O2679*(1+0.00023125256064071564)))</f>
        <v/>
      </c>
      <c r="P2680">
        <f>IF(G2680=1,IF(H2679=0,1,ABS(0.2-J2679*B2680/I2680)+ABS(0.2-K2679*C2680/I2680)+ABS(0.2-L2679*D2680/I2680)+ABS(0.2-M2679*E2680/I2680)+ABS(0.2-N2679*F2680/I2680)),0)</f>
        <v/>
      </c>
      <c r="Q2680">
        <f>P2680*0.0015</f>
        <v/>
      </c>
      <c r="R2680">
        <f>I2680*(1-Q2680)</f>
        <v/>
      </c>
      <c r="S2680">
        <f>R2680/R2679-1</f>
        <v/>
      </c>
      <c r="T2680">
        <f>MAX(T2679,R2680)</f>
        <v/>
      </c>
      <c r="U2680">
        <f>R2680/T2680-1</f>
        <v/>
      </c>
      <c r="V2680" t="n">
        <v>6.284774658043635</v>
      </c>
      <c r="W2680" s="5">
        <f>R2680-V2680</f>
        <v/>
      </c>
    </row>
    <row r="2681">
      <c r="A2681" s="3" t="n">
        <v>42383</v>
      </c>
      <c r="B2681">
        <f>Prices!B2681</f>
        <v/>
      </c>
      <c r="C2681">
        <f>Prices!C2681</f>
        <v/>
      </c>
      <c r="D2681">
        <f>Prices!D2681</f>
        <v/>
      </c>
      <c r="E2681">
        <f>Prices!E2681</f>
        <v/>
      </c>
      <c r="F2681">
        <f>Prices!F2681</f>
        <v/>
      </c>
      <c r="G2681">
        <f>IF(AND(2679&gt;=16,TEXT(A2681,"yyyy-mm")&lt;&gt;TEXT(A2682,"yyyy-mm")),1,0)</f>
        <v/>
      </c>
      <c r="H2681">
        <f>IF(OR(H2680=1,G2681=1),1,0)</f>
        <v/>
      </c>
      <c r="I2681">
        <f>IF(H2680=0,1,SUMPRODUCT(J2680:N2680,B2681:F2681)+O2680*(1+0.00023125256064071564))</f>
        <v/>
      </c>
      <c r="J2681">
        <f>IF(G2681=1,0.2*R2681/B2681,J2680)</f>
        <v/>
      </c>
      <c r="K2681">
        <f>IF(G2681=1,0.2*R2681/C2681,K2680)</f>
        <v/>
      </c>
      <c r="L2681">
        <f>IF(G2681=1,0.2*R2681/D2681,L2680)</f>
        <v/>
      </c>
      <c r="M2681">
        <f>IF(G2681=1,0.2*R2681/E2681,M2680)</f>
        <v/>
      </c>
      <c r="N2681">
        <f>IF(G2681=1,0.2*R2681/F2681,N2680)</f>
        <v/>
      </c>
      <c r="O2681">
        <f>IF(G2681=1,R2681*(1-1.0),IF(H2680=0,1,O2680*(1+0.00023125256064071564)))</f>
        <v/>
      </c>
      <c r="P2681">
        <f>IF(G2681=1,IF(H2680=0,1,ABS(0.2-J2680*B2681/I2681)+ABS(0.2-K2680*C2681/I2681)+ABS(0.2-L2680*D2681/I2681)+ABS(0.2-M2680*E2681/I2681)+ABS(0.2-N2680*F2681/I2681)),0)</f>
        <v/>
      </c>
      <c r="Q2681">
        <f>P2681*0.0015</f>
        <v/>
      </c>
      <c r="R2681">
        <f>I2681*(1-Q2681)</f>
        <v/>
      </c>
      <c r="S2681">
        <f>R2681/R2680-1</f>
        <v/>
      </c>
      <c r="T2681">
        <f>MAX(T2680,R2681)</f>
        <v/>
      </c>
      <c r="U2681">
        <f>R2681/T2681-1</f>
        <v/>
      </c>
      <c r="V2681" t="n">
        <v>6.240207702248312</v>
      </c>
      <c r="W2681" s="5">
        <f>R2681-V2681</f>
        <v/>
      </c>
    </row>
    <row r="2682">
      <c r="A2682" s="3" t="n">
        <v>42384</v>
      </c>
      <c r="B2682">
        <f>Prices!B2682</f>
        <v/>
      </c>
      <c r="C2682">
        <f>Prices!C2682</f>
        <v/>
      </c>
      <c r="D2682">
        <f>Prices!D2682</f>
        <v/>
      </c>
      <c r="E2682">
        <f>Prices!E2682</f>
        <v/>
      </c>
      <c r="F2682">
        <f>Prices!F2682</f>
        <v/>
      </c>
      <c r="G2682">
        <f>IF(AND(2680&gt;=16,TEXT(A2682,"yyyy-mm")&lt;&gt;TEXT(A2683,"yyyy-mm")),1,0)</f>
        <v/>
      </c>
      <c r="H2682">
        <f>IF(OR(H2681=1,G2682=1),1,0)</f>
        <v/>
      </c>
      <c r="I2682">
        <f>IF(H2681=0,1,SUMPRODUCT(J2681:N2681,B2682:F2682)+O2681*(1+0.00023125256064071564))</f>
        <v/>
      </c>
      <c r="J2682">
        <f>IF(G2682=1,0.2*R2682/B2682,J2681)</f>
        <v/>
      </c>
      <c r="K2682">
        <f>IF(G2682=1,0.2*R2682/C2682,K2681)</f>
        <v/>
      </c>
      <c r="L2682">
        <f>IF(G2682=1,0.2*R2682/D2682,L2681)</f>
        <v/>
      </c>
      <c r="M2682">
        <f>IF(G2682=1,0.2*R2682/E2682,M2681)</f>
        <v/>
      </c>
      <c r="N2682">
        <f>IF(G2682=1,0.2*R2682/F2682,N2681)</f>
        <v/>
      </c>
      <c r="O2682">
        <f>IF(G2682=1,R2682*(1-1.0),IF(H2681=0,1,O2681*(1+0.00023125256064071564)))</f>
        <v/>
      </c>
      <c r="P2682">
        <f>IF(G2682=1,IF(H2681=0,1,ABS(0.2-J2681*B2682/I2682)+ABS(0.2-K2681*C2682/I2682)+ABS(0.2-L2681*D2682/I2682)+ABS(0.2-M2681*E2682/I2682)+ABS(0.2-N2681*F2682/I2682)),0)</f>
        <v/>
      </c>
      <c r="Q2682">
        <f>P2682*0.0015</f>
        <v/>
      </c>
      <c r="R2682">
        <f>I2682*(1-Q2682)</f>
        <v/>
      </c>
      <c r="S2682">
        <f>R2682/R2681-1</f>
        <v/>
      </c>
      <c r="T2682">
        <f>MAX(T2681,R2682)</f>
        <v/>
      </c>
      <c r="U2682">
        <f>R2682/T2682-1</f>
        <v/>
      </c>
      <c r="V2682" t="n">
        <v>6.07933830945001</v>
      </c>
      <c r="W2682" s="5">
        <f>R2682-V2682</f>
        <v/>
      </c>
    </row>
    <row r="2683">
      <c r="A2683" s="3" t="n">
        <v>42387</v>
      </c>
      <c r="B2683">
        <f>Prices!B2683</f>
        <v/>
      </c>
      <c r="C2683">
        <f>Prices!C2683</f>
        <v/>
      </c>
      <c r="D2683">
        <f>Prices!D2683</f>
        <v/>
      </c>
      <c r="E2683">
        <f>Prices!E2683</f>
        <v/>
      </c>
      <c r="F2683">
        <f>Prices!F2683</f>
        <v/>
      </c>
      <c r="G2683">
        <f>IF(AND(2681&gt;=16,TEXT(A2683,"yyyy-mm")&lt;&gt;TEXT(A2684,"yyyy-mm")),1,0)</f>
        <v/>
      </c>
      <c r="H2683">
        <f>IF(OR(H2682=1,G2683=1),1,0)</f>
        <v/>
      </c>
      <c r="I2683">
        <f>IF(H2682=0,1,SUMPRODUCT(J2682:N2682,B2683:F2683)+O2682*(1+0.00023125256064071564))</f>
        <v/>
      </c>
      <c r="J2683">
        <f>IF(G2683=1,0.2*R2683/B2683,J2682)</f>
        <v/>
      </c>
      <c r="K2683">
        <f>IF(G2683=1,0.2*R2683/C2683,K2682)</f>
        <v/>
      </c>
      <c r="L2683">
        <f>IF(G2683=1,0.2*R2683/D2683,L2682)</f>
        <v/>
      </c>
      <c r="M2683">
        <f>IF(G2683=1,0.2*R2683/E2683,M2682)</f>
        <v/>
      </c>
      <c r="N2683">
        <f>IF(G2683=1,0.2*R2683/F2683,N2682)</f>
        <v/>
      </c>
      <c r="O2683">
        <f>IF(G2683=1,R2683*(1-1.0),IF(H2682=0,1,O2682*(1+0.00023125256064071564)))</f>
        <v/>
      </c>
      <c r="P2683">
        <f>IF(G2683=1,IF(H2682=0,1,ABS(0.2-J2682*B2683/I2683)+ABS(0.2-K2682*C2683/I2683)+ABS(0.2-L2682*D2683/I2683)+ABS(0.2-M2682*E2683/I2683)+ABS(0.2-N2682*F2683/I2683)),0)</f>
        <v/>
      </c>
      <c r="Q2683">
        <f>P2683*0.0015</f>
        <v/>
      </c>
      <c r="R2683">
        <f>I2683*(1-Q2683)</f>
        <v/>
      </c>
      <c r="S2683">
        <f>R2683/R2682-1</f>
        <v/>
      </c>
      <c r="T2683">
        <f>MAX(T2682,R2683)</f>
        <v/>
      </c>
      <c r="U2683">
        <f>R2683/T2683-1</f>
        <v/>
      </c>
      <c r="V2683" t="n">
        <v>5.906184023152939</v>
      </c>
      <c r="W2683" s="5">
        <f>R2683-V2683</f>
        <v/>
      </c>
    </row>
    <row r="2684">
      <c r="A2684" s="3" t="n">
        <v>42388</v>
      </c>
      <c r="B2684">
        <f>Prices!B2684</f>
        <v/>
      </c>
      <c r="C2684">
        <f>Prices!C2684</f>
        <v/>
      </c>
      <c r="D2684">
        <f>Prices!D2684</f>
        <v/>
      </c>
      <c r="E2684">
        <f>Prices!E2684</f>
        <v/>
      </c>
      <c r="F2684">
        <f>Prices!F2684</f>
        <v/>
      </c>
      <c r="G2684">
        <f>IF(AND(2682&gt;=16,TEXT(A2684,"yyyy-mm")&lt;&gt;TEXT(A2685,"yyyy-mm")),1,0)</f>
        <v/>
      </c>
      <c r="H2684">
        <f>IF(OR(H2683=1,G2684=1),1,0)</f>
        <v/>
      </c>
      <c r="I2684">
        <f>IF(H2683=0,1,SUMPRODUCT(J2683:N2683,B2684:F2684)+O2683*(1+0.00023125256064071564))</f>
        <v/>
      </c>
      <c r="J2684">
        <f>IF(G2684=1,0.2*R2684/B2684,J2683)</f>
        <v/>
      </c>
      <c r="K2684">
        <f>IF(G2684=1,0.2*R2684/C2684,K2683)</f>
        <v/>
      </c>
      <c r="L2684">
        <f>IF(G2684=1,0.2*R2684/D2684,L2683)</f>
        <v/>
      </c>
      <c r="M2684">
        <f>IF(G2684=1,0.2*R2684/E2684,M2683)</f>
        <v/>
      </c>
      <c r="N2684">
        <f>IF(G2684=1,0.2*R2684/F2684,N2683)</f>
        <v/>
      </c>
      <c r="O2684">
        <f>IF(G2684=1,R2684*(1-1.0),IF(H2683=0,1,O2683*(1+0.00023125256064071564)))</f>
        <v/>
      </c>
      <c r="P2684">
        <f>IF(G2684=1,IF(H2683=0,1,ABS(0.2-J2683*B2684/I2684)+ABS(0.2-K2683*C2684/I2684)+ABS(0.2-L2683*D2684/I2684)+ABS(0.2-M2683*E2684/I2684)+ABS(0.2-N2683*F2684/I2684)),0)</f>
        <v/>
      </c>
      <c r="Q2684">
        <f>P2684*0.0015</f>
        <v/>
      </c>
      <c r="R2684">
        <f>I2684*(1-Q2684)</f>
        <v/>
      </c>
      <c r="S2684">
        <f>R2684/R2683-1</f>
        <v/>
      </c>
      <c r="T2684">
        <f>MAX(T2683,R2684)</f>
        <v/>
      </c>
      <c r="U2684">
        <f>R2684/T2684-1</f>
        <v/>
      </c>
      <c r="V2684" t="n">
        <v>5.979347476656939</v>
      </c>
      <c r="W2684" s="5">
        <f>R2684-V2684</f>
        <v/>
      </c>
    </row>
    <row r="2685">
      <c r="A2685" s="3" t="n">
        <v>42389</v>
      </c>
      <c r="B2685">
        <f>Prices!B2685</f>
        <v/>
      </c>
      <c r="C2685">
        <f>Prices!C2685</f>
        <v/>
      </c>
      <c r="D2685">
        <f>Prices!D2685</f>
        <v/>
      </c>
      <c r="E2685">
        <f>Prices!E2685</f>
        <v/>
      </c>
      <c r="F2685">
        <f>Prices!F2685</f>
        <v/>
      </c>
      <c r="G2685">
        <f>IF(AND(2683&gt;=16,TEXT(A2685,"yyyy-mm")&lt;&gt;TEXT(A2686,"yyyy-mm")),1,0)</f>
        <v/>
      </c>
      <c r="H2685">
        <f>IF(OR(H2684=1,G2685=1),1,0)</f>
        <v/>
      </c>
      <c r="I2685">
        <f>IF(H2684=0,1,SUMPRODUCT(J2684:N2684,B2685:F2685)+O2684*(1+0.00023125256064071564))</f>
        <v/>
      </c>
      <c r="J2685">
        <f>IF(G2685=1,0.2*R2685/B2685,J2684)</f>
        <v/>
      </c>
      <c r="K2685">
        <f>IF(G2685=1,0.2*R2685/C2685,K2684)</f>
        <v/>
      </c>
      <c r="L2685">
        <f>IF(G2685=1,0.2*R2685/D2685,L2684)</f>
        <v/>
      </c>
      <c r="M2685">
        <f>IF(G2685=1,0.2*R2685/E2685,M2684)</f>
        <v/>
      </c>
      <c r="N2685">
        <f>IF(G2685=1,0.2*R2685/F2685,N2684)</f>
        <v/>
      </c>
      <c r="O2685">
        <f>IF(G2685=1,R2685*(1-1.0),IF(H2684=0,1,O2684*(1+0.00023125256064071564)))</f>
        <v/>
      </c>
      <c r="P2685">
        <f>IF(G2685=1,IF(H2684=0,1,ABS(0.2-J2684*B2685/I2685)+ABS(0.2-K2684*C2685/I2685)+ABS(0.2-L2684*D2685/I2685)+ABS(0.2-M2684*E2685/I2685)+ABS(0.2-N2684*F2685/I2685)),0)</f>
        <v/>
      </c>
      <c r="Q2685">
        <f>P2685*0.0015</f>
        <v/>
      </c>
      <c r="R2685">
        <f>I2685*(1-Q2685)</f>
        <v/>
      </c>
      <c r="S2685">
        <f>R2685/R2684-1</f>
        <v/>
      </c>
      <c r="T2685">
        <f>MAX(T2684,R2685)</f>
        <v/>
      </c>
      <c r="U2685">
        <f>R2685/T2685-1</f>
        <v/>
      </c>
      <c r="V2685" t="n">
        <v>5.870671566425262</v>
      </c>
      <c r="W2685" s="5">
        <f>R2685-V2685</f>
        <v/>
      </c>
    </row>
    <row r="2686">
      <c r="A2686" s="3" t="n">
        <v>42390</v>
      </c>
      <c r="B2686">
        <f>Prices!B2686</f>
        <v/>
      </c>
      <c r="C2686">
        <f>Prices!C2686</f>
        <v/>
      </c>
      <c r="D2686">
        <f>Prices!D2686</f>
        <v/>
      </c>
      <c r="E2686">
        <f>Prices!E2686</f>
        <v/>
      </c>
      <c r="F2686">
        <f>Prices!F2686</f>
        <v/>
      </c>
      <c r="G2686">
        <f>IF(AND(2684&gt;=16,TEXT(A2686,"yyyy-mm")&lt;&gt;TEXT(A2687,"yyyy-mm")),1,0)</f>
        <v/>
      </c>
      <c r="H2686">
        <f>IF(OR(H2685=1,G2686=1),1,0)</f>
        <v/>
      </c>
      <c r="I2686">
        <f>IF(H2685=0,1,SUMPRODUCT(J2685:N2685,B2686:F2686)+O2685*(1+0.00023125256064071564))</f>
        <v/>
      </c>
      <c r="J2686">
        <f>IF(G2686=1,0.2*R2686/B2686,J2685)</f>
        <v/>
      </c>
      <c r="K2686">
        <f>IF(G2686=1,0.2*R2686/C2686,K2685)</f>
        <v/>
      </c>
      <c r="L2686">
        <f>IF(G2686=1,0.2*R2686/D2686,L2685)</f>
        <v/>
      </c>
      <c r="M2686">
        <f>IF(G2686=1,0.2*R2686/E2686,M2685)</f>
        <v/>
      </c>
      <c r="N2686">
        <f>IF(G2686=1,0.2*R2686/F2686,N2685)</f>
        <v/>
      </c>
      <c r="O2686">
        <f>IF(G2686=1,R2686*(1-1.0),IF(H2685=0,1,O2685*(1+0.00023125256064071564)))</f>
        <v/>
      </c>
      <c r="P2686">
        <f>IF(G2686=1,IF(H2685=0,1,ABS(0.2-J2685*B2686/I2686)+ABS(0.2-K2685*C2686/I2686)+ABS(0.2-L2685*D2686/I2686)+ABS(0.2-M2685*E2686/I2686)+ABS(0.2-N2685*F2686/I2686)),0)</f>
        <v/>
      </c>
      <c r="Q2686">
        <f>P2686*0.0015</f>
        <v/>
      </c>
      <c r="R2686">
        <f>I2686*(1-Q2686)</f>
        <v/>
      </c>
      <c r="S2686">
        <f>R2686/R2685-1</f>
        <v/>
      </c>
      <c r="T2686">
        <f>MAX(T2685,R2686)</f>
        <v/>
      </c>
      <c r="U2686">
        <f>R2686/T2686-1</f>
        <v/>
      </c>
      <c r="V2686" t="n">
        <v>5.858576832644227</v>
      </c>
      <c r="W2686" s="5">
        <f>R2686-V2686</f>
        <v/>
      </c>
    </row>
    <row r="2687">
      <c r="A2687" s="3" t="n">
        <v>42391</v>
      </c>
      <c r="B2687">
        <f>Prices!B2687</f>
        <v/>
      </c>
      <c r="C2687">
        <f>Prices!C2687</f>
        <v/>
      </c>
      <c r="D2687">
        <f>Prices!D2687</f>
        <v/>
      </c>
      <c r="E2687">
        <f>Prices!E2687</f>
        <v/>
      </c>
      <c r="F2687">
        <f>Prices!F2687</f>
        <v/>
      </c>
      <c r="G2687">
        <f>IF(AND(2685&gt;=16,TEXT(A2687,"yyyy-mm")&lt;&gt;TEXT(A2688,"yyyy-mm")),1,0)</f>
        <v/>
      </c>
      <c r="H2687">
        <f>IF(OR(H2686=1,G2687=1),1,0)</f>
        <v/>
      </c>
      <c r="I2687">
        <f>IF(H2686=0,1,SUMPRODUCT(J2686:N2686,B2687:F2687)+O2686*(1+0.00023125256064071564))</f>
        <v/>
      </c>
      <c r="J2687">
        <f>IF(G2687=1,0.2*R2687/B2687,J2686)</f>
        <v/>
      </c>
      <c r="K2687">
        <f>IF(G2687=1,0.2*R2687/C2687,K2686)</f>
        <v/>
      </c>
      <c r="L2687">
        <f>IF(G2687=1,0.2*R2687/D2687,L2686)</f>
        <v/>
      </c>
      <c r="M2687">
        <f>IF(G2687=1,0.2*R2687/E2687,M2686)</f>
        <v/>
      </c>
      <c r="N2687">
        <f>IF(G2687=1,0.2*R2687/F2687,N2686)</f>
        <v/>
      </c>
      <c r="O2687">
        <f>IF(G2687=1,R2687*(1-1.0),IF(H2686=0,1,O2686*(1+0.00023125256064071564)))</f>
        <v/>
      </c>
      <c r="P2687">
        <f>IF(G2687=1,IF(H2686=0,1,ABS(0.2-J2686*B2687/I2687)+ABS(0.2-K2686*C2687/I2687)+ABS(0.2-L2686*D2687/I2687)+ABS(0.2-M2686*E2687/I2687)+ABS(0.2-N2686*F2687/I2687)),0)</f>
        <v/>
      </c>
      <c r="Q2687">
        <f>P2687*0.0015</f>
        <v/>
      </c>
      <c r="R2687">
        <f>I2687*(1-Q2687)</f>
        <v/>
      </c>
      <c r="S2687">
        <f>R2687/R2686-1</f>
        <v/>
      </c>
      <c r="T2687">
        <f>MAX(T2686,R2687)</f>
        <v/>
      </c>
      <c r="U2687">
        <f>R2687/T2687-1</f>
        <v/>
      </c>
      <c r="V2687" t="n">
        <v>5.992799831604281</v>
      </c>
      <c r="W2687" s="5">
        <f>R2687-V2687</f>
        <v/>
      </c>
    </row>
    <row r="2688">
      <c r="A2688" s="3" t="n">
        <v>42394</v>
      </c>
      <c r="B2688">
        <f>Prices!B2688</f>
        <v/>
      </c>
      <c r="C2688">
        <f>Prices!C2688</f>
        <v/>
      </c>
      <c r="D2688">
        <f>Prices!D2688</f>
        <v/>
      </c>
      <c r="E2688">
        <f>Prices!E2688</f>
        <v/>
      </c>
      <c r="F2688">
        <f>Prices!F2688</f>
        <v/>
      </c>
      <c r="G2688">
        <f>IF(AND(2686&gt;=16,TEXT(A2688,"yyyy-mm")&lt;&gt;TEXT(A2689,"yyyy-mm")),1,0)</f>
        <v/>
      </c>
      <c r="H2688">
        <f>IF(OR(H2687=1,G2688=1),1,0)</f>
        <v/>
      </c>
      <c r="I2688">
        <f>IF(H2687=0,1,SUMPRODUCT(J2687:N2687,B2688:F2688)+O2687*(1+0.00023125256064071564))</f>
        <v/>
      </c>
      <c r="J2688">
        <f>IF(G2688=1,0.2*R2688/B2688,J2687)</f>
        <v/>
      </c>
      <c r="K2688">
        <f>IF(G2688=1,0.2*R2688/C2688,K2687)</f>
        <v/>
      </c>
      <c r="L2688">
        <f>IF(G2688=1,0.2*R2688/D2688,L2687)</f>
        <v/>
      </c>
      <c r="M2688">
        <f>IF(G2688=1,0.2*R2688/E2688,M2687)</f>
        <v/>
      </c>
      <c r="N2688">
        <f>IF(G2688=1,0.2*R2688/F2688,N2687)</f>
        <v/>
      </c>
      <c r="O2688">
        <f>IF(G2688=1,R2688*(1-1.0),IF(H2687=0,1,O2687*(1+0.00023125256064071564)))</f>
        <v/>
      </c>
      <c r="P2688">
        <f>IF(G2688=1,IF(H2687=0,1,ABS(0.2-J2687*B2688/I2688)+ABS(0.2-K2687*C2688/I2688)+ABS(0.2-L2687*D2688/I2688)+ABS(0.2-M2687*E2688/I2688)+ABS(0.2-N2687*F2688/I2688)),0)</f>
        <v/>
      </c>
      <c r="Q2688">
        <f>P2688*0.0015</f>
        <v/>
      </c>
      <c r="R2688">
        <f>I2688*(1-Q2688)</f>
        <v/>
      </c>
      <c r="S2688">
        <f>R2688/R2687-1</f>
        <v/>
      </c>
      <c r="T2688">
        <f>MAX(T2687,R2688)</f>
        <v/>
      </c>
      <c r="U2688">
        <f>R2688/T2688-1</f>
        <v/>
      </c>
      <c r="V2688" t="n">
        <v>6.015057211598625</v>
      </c>
      <c r="W2688" s="5">
        <f>R2688-V2688</f>
        <v/>
      </c>
    </row>
    <row r="2689">
      <c r="A2689" s="3" t="n">
        <v>42396</v>
      </c>
      <c r="B2689">
        <f>Prices!B2689</f>
        <v/>
      </c>
      <c r="C2689">
        <f>Prices!C2689</f>
        <v/>
      </c>
      <c r="D2689">
        <f>Prices!D2689</f>
        <v/>
      </c>
      <c r="E2689">
        <f>Prices!E2689</f>
        <v/>
      </c>
      <c r="F2689">
        <f>Prices!F2689</f>
        <v/>
      </c>
      <c r="G2689">
        <f>IF(AND(2687&gt;=16,TEXT(A2689,"yyyy-mm")&lt;&gt;TEXT(A2690,"yyyy-mm")),1,0)</f>
        <v/>
      </c>
      <c r="H2689">
        <f>IF(OR(H2688=1,G2689=1),1,0)</f>
        <v/>
      </c>
      <c r="I2689">
        <f>IF(H2688=0,1,SUMPRODUCT(J2688:N2688,B2689:F2689)+O2688*(1+0.00023125256064071564))</f>
        <v/>
      </c>
      <c r="J2689">
        <f>IF(G2689=1,0.2*R2689/B2689,J2688)</f>
        <v/>
      </c>
      <c r="K2689">
        <f>IF(G2689=1,0.2*R2689/C2689,K2688)</f>
        <v/>
      </c>
      <c r="L2689">
        <f>IF(G2689=1,0.2*R2689/D2689,L2688)</f>
        <v/>
      </c>
      <c r="M2689">
        <f>IF(G2689=1,0.2*R2689/E2689,M2688)</f>
        <v/>
      </c>
      <c r="N2689">
        <f>IF(G2689=1,0.2*R2689/F2689,N2688)</f>
        <v/>
      </c>
      <c r="O2689">
        <f>IF(G2689=1,R2689*(1-1.0),IF(H2688=0,1,O2688*(1+0.00023125256064071564)))</f>
        <v/>
      </c>
      <c r="P2689">
        <f>IF(G2689=1,IF(H2688=0,1,ABS(0.2-J2688*B2689/I2689)+ABS(0.2-K2688*C2689/I2689)+ABS(0.2-L2688*D2689/I2689)+ABS(0.2-M2688*E2689/I2689)+ABS(0.2-N2688*F2689/I2689)),0)</f>
        <v/>
      </c>
      <c r="Q2689">
        <f>P2689*0.0015</f>
        <v/>
      </c>
      <c r="R2689">
        <f>I2689*(1-Q2689)</f>
        <v/>
      </c>
      <c r="S2689">
        <f>R2689/R2688-1</f>
        <v/>
      </c>
      <c r="T2689">
        <f>MAX(T2688,R2689)</f>
        <v/>
      </c>
      <c r="U2689">
        <f>R2689/T2689-1</f>
        <v/>
      </c>
      <c r="V2689" t="n">
        <v>6.033057124745737</v>
      </c>
      <c r="W2689" s="5">
        <f>R2689-V2689</f>
        <v/>
      </c>
    </row>
    <row r="2690">
      <c r="A2690" s="3" t="n">
        <v>42397</v>
      </c>
      <c r="B2690">
        <f>Prices!B2690</f>
        <v/>
      </c>
      <c r="C2690">
        <f>Prices!C2690</f>
        <v/>
      </c>
      <c r="D2690">
        <f>Prices!D2690</f>
        <v/>
      </c>
      <c r="E2690">
        <f>Prices!E2690</f>
        <v/>
      </c>
      <c r="F2690">
        <f>Prices!F2690</f>
        <v/>
      </c>
      <c r="G2690">
        <f>IF(AND(2688&gt;=16,TEXT(A2690,"yyyy-mm")&lt;&gt;TEXT(A2691,"yyyy-mm")),1,0)</f>
        <v/>
      </c>
      <c r="H2690">
        <f>IF(OR(H2689=1,G2690=1),1,0)</f>
        <v/>
      </c>
      <c r="I2690">
        <f>IF(H2689=0,1,SUMPRODUCT(J2689:N2689,B2690:F2690)+O2689*(1+0.00023125256064071564))</f>
        <v/>
      </c>
      <c r="J2690">
        <f>IF(G2690=1,0.2*R2690/B2690,J2689)</f>
        <v/>
      </c>
      <c r="K2690">
        <f>IF(G2690=1,0.2*R2690/C2690,K2689)</f>
        <v/>
      </c>
      <c r="L2690">
        <f>IF(G2690=1,0.2*R2690/D2690,L2689)</f>
        <v/>
      </c>
      <c r="M2690">
        <f>IF(G2690=1,0.2*R2690/E2690,M2689)</f>
        <v/>
      </c>
      <c r="N2690">
        <f>IF(G2690=1,0.2*R2690/F2690,N2689)</f>
        <v/>
      </c>
      <c r="O2690">
        <f>IF(G2690=1,R2690*(1-1.0),IF(H2689=0,1,O2689*(1+0.00023125256064071564)))</f>
        <v/>
      </c>
      <c r="P2690">
        <f>IF(G2690=1,IF(H2689=0,1,ABS(0.2-J2689*B2690/I2690)+ABS(0.2-K2689*C2690/I2690)+ABS(0.2-L2689*D2690/I2690)+ABS(0.2-M2689*E2690/I2690)+ABS(0.2-N2689*F2690/I2690)),0)</f>
        <v/>
      </c>
      <c r="Q2690">
        <f>P2690*0.0015</f>
        <v/>
      </c>
      <c r="R2690">
        <f>I2690*(1-Q2690)</f>
        <v/>
      </c>
      <c r="S2690">
        <f>R2690/R2689-1</f>
        <v/>
      </c>
      <c r="T2690">
        <f>MAX(T2689,R2690)</f>
        <v/>
      </c>
      <c r="U2690">
        <f>R2690/T2690-1</f>
        <v/>
      </c>
      <c r="V2690" t="n">
        <v>6.038710716540682</v>
      </c>
      <c r="W2690" s="5">
        <f>R2690-V2690</f>
        <v/>
      </c>
    </row>
    <row r="2691">
      <c r="A2691" s="3" t="n">
        <v>42398</v>
      </c>
      <c r="B2691">
        <f>Prices!B2691</f>
        <v/>
      </c>
      <c r="C2691">
        <f>Prices!C2691</f>
        <v/>
      </c>
      <c r="D2691">
        <f>Prices!D2691</f>
        <v/>
      </c>
      <c r="E2691">
        <f>Prices!E2691</f>
        <v/>
      </c>
      <c r="F2691">
        <f>Prices!F2691</f>
        <v/>
      </c>
      <c r="G2691">
        <f>IF(AND(2689&gt;=16,TEXT(A2691,"yyyy-mm")&lt;&gt;TEXT(A2692,"yyyy-mm")),1,0)</f>
        <v/>
      </c>
      <c r="H2691">
        <f>IF(OR(H2690=1,G2691=1),1,0)</f>
        <v/>
      </c>
      <c r="I2691">
        <f>IF(H2690=0,1,SUMPRODUCT(J2690:N2690,B2691:F2691)+O2690*(1+0.00023125256064071564))</f>
        <v/>
      </c>
      <c r="J2691">
        <f>IF(G2691=1,0.2*R2691/B2691,J2690)</f>
        <v/>
      </c>
      <c r="K2691">
        <f>IF(G2691=1,0.2*R2691/C2691,K2690)</f>
        <v/>
      </c>
      <c r="L2691">
        <f>IF(G2691=1,0.2*R2691/D2691,L2690)</f>
        <v/>
      </c>
      <c r="M2691">
        <f>IF(G2691=1,0.2*R2691/E2691,M2690)</f>
        <v/>
      </c>
      <c r="N2691">
        <f>IF(G2691=1,0.2*R2691/F2691,N2690)</f>
        <v/>
      </c>
      <c r="O2691">
        <f>IF(G2691=1,R2691*(1-1.0),IF(H2690=0,1,O2690*(1+0.00023125256064071564)))</f>
        <v/>
      </c>
      <c r="P2691">
        <f>IF(G2691=1,IF(H2690=0,1,ABS(0.2-J2690*B2691/I2691)+ABS(0.2-K2690*C2691/I2691)+ABS(0.2-L2690*D2691/I2691)+ABS(0.2-M2690*E2691/I2691)+ABS(0.2-N2690*F2691/I2691)),0)</f>
        <v/>
      </c>
      <c r="Q2691">
        <f>P2691*0.0015</f>
        <v/>
      </c>
      <c r="R2691">
        <f>I2691*(1-Q2691)</f>
        <v/>
      </c>
      <c r="S2691">
        <f>R2691/R2690-1</f>
        <v/>
      </c>
      <c r="T2691">
        <f>MAX(T2690,R2691)</f>
        <v/>
      </c>
      <c r="U2691">
        <f>R2691/T2691-1</f>
        <v/>
      </c>
      <c r="V2691" t="n">
        <v>6.145582933324873</v>
      </c>
      <c r="W2691" s="5">
        <f>R2691-V2691</f>
        <v/>
      </c>
    </row>
    <row r="2692">
      <c r="A2692" s="3" t="n">
        <v>42401</v>
      </c>
      <c r="B2692">
        <f>Prices!B2692</f>
        <v/>
      </c>
      <c r="C2692">
        <f>Prices!C2692</f>
        <v/>
      </c>
      <c r="D2692">
        <f>Prices!D2692</f>
        <v/>
      </c>
      <c r="E2692">
        <f>Prices!E2692</f>
        <v/>
      </c>
      <c r="F2692">
        <f>Prices!F2692</f>
        <v/>
      </c>
      <c r="G2692">
        <f>IF(AND(2690&gt;=16,TEXT(A2692,"yyyy-mm")&lt;&gt;TEXT(A2693,"yyyy-mm")),1,0)</f>
        <v/>
      </c>
      <c r="H2692">
        <f>IF(OR(H2691=1,G2692=1),1,0)</f>
        <v/>
      </c>
      <c r="I2692">
        <f>IF(H2691=0,1,SUMPRODUCT(J2691:N2691,B2692:F2692)+O2691*(1+0.00023125256064071564))</f>
        <v/>
      </c>
      <c r="J2692">
        <f>IF(G2692=1,0.2*R2692/B2692,J2691)</f>
        <v/>
      </c>
      <c r="K2692">
        <f>IF(G2692=1,0.2*R2692/C2692,K2691)</f>
        <v/>
      </c>
      <c r="L2692">
        <f>IF(G2692=1,0.2*R2692/D2692,L2691)</f>
        <v/>
      </c>
      <c r="M2692">
        <f>IF(G2692=1,0.2*R2692/E2692,M2691)</f>
        <v/>
      </c>
      <c r="N2692">
        <f>IF(G2692=1,0.2*R2692/F2692,N2691)</f>
        <v/>
      </c>
      <c r="O2692">
        <f>IF(G2692=1,R2692*(1-1.0),IF(H2691=0,1,O2691*(1+0.00023125256064071564)))</f>
        <v/>
      </c>
      <c r="P2692">
        <f>IF(G2692=1,IF(H2691=0,1,ABS(0.2-J2691*B2692/I2692)+ABS(0.2-K2691*C2692/I2692)+ABS(0.2-L2691*D2692/I2692)+ABS(0.2-M2691*E2692/I2692)+ABS(0.2-N2691*F2692/I2692)),0)</f>
        <v/>
      </c>
      <c r="Q2692">
        <f>P2692*0.0015</f>
        <v/>
      </c>
      <c r="R2692">
        <f>I2692*(1-Q2692)</f>
        <v/>
      </c>
      <c r="S2692">
        <f>R2692/R2691-1</f>
        <v/>
      </c>
      <c r="T2692">
        <f>MAX(T2691,R2692)</f>
        <v/>
      </c>
      <c r="U2692">
        <f>R2692/T2692-1</f>
        <v/>
      </c>
      <c r="V2692" t="n">
        <v>6.172593584365408</v>
      </c>
      <c r="W2692" s="5">
        <f>R2692-V2692</f>
        <v/>
      </c>
    </row>
    <row r="2693">
      <c r="A2693" s="3" t="n">
        <v>42402</v>
      </c>
      <c r="B2693">
        <f>Prices!B2693</f>
        <v/>
      </c>
      <c r="C2693">
        <f>Prices!C2693</f>
        <v/>
      </c>
      <c r="D2693">
        <f>Prices!D2693</f>
        <v/>
      </c>
      <c r="E2693">
        <f>Prices!E2693</f>
        <v/>
      </c>
      <c r="F2693">
        <f>Prices!F2693</f>
        <v/>
      </c>
      <c r="G2693">
        <f>IF(AND(2691&gt;=16,TEXT(A2693,"yyyy-mm")&lt;&gt;TEXT(A2694,"yyyy-mm")),1,0)</f>
        <v/>
      </c>
      <c r="H2693">
        <f>IF(OR(H2692=1,G2693=1),1,0)</f>
        <v/>
      </c>
      <c r="I2693">
        <f>IF(H2692=0,1,SUMPRODUCT(J2692:N2692,B2693:F2693)+O2692*(1+0.00023125256064071564))</f>
        <v/>
      </c>
      <c r="J2693">
        <f>IF(G2693=1,0.2*R2693/B2693,J2692)</f>
        <v/>
      </c>
      <c r="K2693">
        <f>IF(G2693=1,0.2*R2693/C2693,K2692)</f>
        <v/>
      </c>
      <c r="L2693">
        <f>IF(G2693=1,0.2*R2693/D2693,L2692)</f>
        <v/>
      </c>
      <c r="M2693">
        <f>IF(G2693=1,0.2*R2693/E2693,M2692)</f>
        <v/>
      </c>
      <c r="N2693">
        <f>IF(G2693=1,0.2*R2693/F2693,N2692)</f>
        <v/>
      </c>
      <c r="O2693">
        <f>IF(G2693=1,R2693*(1-1.0),IF(H2692=0,1,O2692*(1+0.00023125256064071564)))</f>
        <v/>
      </c>
      <c r="P2693">
        <f>IF(G2693=1,IF(H2692=0,1,ABS(0.2-J2692*B2693/I2693)+ABS(0.2-K2692*C2693/I2693)+ABS(0.2-L2692*D2693/I2693)+ABS(0.2-M2692*E2693/I2693)+ABS(0.2-N2692*F2693/I2693)),0)</f>
        <v/>
      </c>
      <c r="Q2693">
        <f>P2693*0.0015</f>
        <v/>
      </c>
      <c r="R2693">
        <f>I2693*(1-Q2693)</f>
        <v/>
      </c>
      <c r="S2693">
        <f>R2693/R2692-1</f>
        <v/>
      </c>
      <c r="T2693">
        <f>MAX(T2692,R2693)</f>
        <v/>
      </c>
      <c r="U2693">
        <f>R2693/T2693-1</f>
        <v/>
      </c>
      <c r="V2693" t="n">
        <v>6.08560447327442</v>
      </c>
      <c r="W2693" s="5">
        <f>R2693-V2693</f>
        <v/>
      </c>
    </row>
    <row r="2694">
      <c r="A2694" s="3" t="n">
        <v>42403</v>
      </c>
      <c r="B2694">
        <f>Prices!B2694</f>
        <v/>
      </c>
      <c r="C2694">
        <f>Prices!C2694</f>
        <v/>
      </c>
      <c r="D2694">
        <f>Prices!D2694</f>
        <v/>
      </c>
      <c r="E2694">
        <f>Prices!E2694</f>
        <v/>
      </c>
      <c r="F2694">
        <f>Prices!F2694</f>
        <v/>
      </c>
      <c r="G2694">
        <f>IF(AND(2692&gt;=16,TEXT(A2694,"yyyy-mm")&lt;&gt;TEXT(A2695,"yyyy-mm")),1,0)</f>
        <v/>
      </c>
      <c r="H2694">
        <f>IF(OR(H2693=1,G2694=1),1,0)</f>
        <v/>
      </c>
      <c r="I2694">
        <f>IF(H2693=0,1,SUMPRODUCT(J2693:N2693,B2694:F2694)+O2693*(1+0.00023125256064071564))</f>
        <v/>
      </c>
      <c r="J2694">
        <f>IF(G2694=1,0.2*R2694/B2694,J2693)</f>
        <v/>
      </c>
      <c r="K2694">
        <f>IF(G2694=1,0.2*R2694/C2694,K2693)</f>
        <v/>
      </c>
      <c r="L2694">
        <f>IF(G2694=1,0.2*R2694/D2694,L2693)</f>
        <v/>
      </c>
      <c r="M2694">
        <f>IF(G2694=1,0.2*R2694/E2694,M2693)</f>
        <v/>
      </c>
      <c r="N2694">
        <f>IF(G2694=1,0.2*R2694/F2694,N2693)</f>
        <v/>
      </c>
      <c r="O2694">
        <f>IF(G2694=1,R2694*(1-1.0),IF(H2693=0,1,O2693*(1+0.00023125256064071564)))</f>
        <v/>
      </c>
      <c r="P2694">
        <f>IF(G2694=1,IF(H2693=0,1,ABS(0.2-J2693*B2694/I2694)+ABS(0.2-K2693*C2694/I2694)+ABS(0.2-L2693*D2694/I2694)+ABS(0.2-M2693*E2694/I2694)+ABS(0.2-N2693*F2694/I2694)),0)</f>
        <v/>
      </c>
      <c r="Q2694">
        <f>P2694*0.0015</f>
        <v/>
      </c>
      <c r="R2694">
        <f>I2694*(1-Q2694)</f>
        <v/>
      </c>
      <c r="S2694">
        <f>R2694/R2693-1</f>
        <v/>
      </c>
      <c r="T2694">
        <f>MAX(T2693,R2694)</f>
        <v/>
      </c>
      <c r="U2694">
        <f>R2694/T2694-1</f>
        <v/>
      </c>
      <c r="V2694" t="n">
        <v>5.994076098653734</v>
      </c>
      <c r="W2694" s="5">
        <f>R2694-V2694</f>
        <v/>
      </c>
    </row>
    <row r="2695">
      <c r="A2695" s="3" t="n">
        <v>42404</v>
      </c>
      <c r="B2695">
        <f>Prices!B2695</f>
        <v/>
      </c>
      <c r="C2695">
        <f>Prices!C2695</f>
        <v/>
      </c>
      <c r="D2695">
        <f>Prices!D2695</f>
        <v/>
      </c>
      <c r="E2695">
        <f>Prices!E2695</f>
        <v/>
      </c>
      <c r="F2695">
        <f>Prices!F2695</f>
        <v/>
      </c>
      <c r="G2695">
        <f>IF(AND(2693&gt;=16,TEXT(A2695,"yyyy-mm")&lt;&gt;TEXT(A2696,"yyyy-mm")),1,0)</f>
        <v/>
      </c>
      <c r="H2695">
        <f>IF(OR(H2694=1,G2695=1),1,0)</f>
        <v/>
      </c>
      <c r="I2695">
        <f>IF(H2694=0,1,SUMPRODUCT(J2694:N2694,B2695:F2695)+O2694*(1+0.00023125256064071564))</f>
        <v/>
      </c>
      <c r="J2695">
        <f>IF(G2695=1,0.2*R2695/B2695,J2694)</f>
        <v/>
      </c>
      <c r="K2695">
        <f>IF(G2695=1,0.2*R2695/C2695,K2694)</f>
        <v/>
      </c>
      <c r="L2695">
        <f>IF(G2695=1,0.2*R2695/D2695,L2694)</f>
        <v/>
      </c>
      <c r="M2695">
        <f>IF(G2695=1,0.2*R2695/E2695,M2694)</f>
        <v/>
      </c>
      <c r="N2695">
        <f>IF(G2695=1,0.2*R2695/F2695,N2694)</f>
        <v/>
      </c>
      <c r="O2695">
        <f>IF(G2695=1,R2695*(1-1.0),IF(H2694=0,1,O2694*(1+0.00023125256064071564)))</f>
        <v/>
      </c>
      <c r="P2695">
        <f>IF(G2695=1,IF(H2694=0,1,ABS(0.2-J2694*B2695/I2695)+ABS(0.2-K2694*C2695/I2695)+ABS(0.2-L2694*D2695/I2695)+ABS(0.2-M2694*E2695/I2695)+ABS(0.2-N2694*F2695/I2695)),0)</f>
        <v/>
      </c>
      <c r="Q2695">
        <f>P2695*0.0015</f>
        <v/>
      </c>
      <c r="R2695">
        <f>I2695*(1-Q2695)</f>
        <v/>
      </c>
      <c r="S2695">
        <f>R2695/R2694-1</f>
        <v/>
      </c>
      <c r="T2695">
        <f>MAX(T2694,R2695)</f>
        <v/>
      </c>
      <c r="U2695">
        <f>R2695/T2695-1</f>
        <v/>
      </c>
      <c r="V2695" t="n">
        <v>5.968771117973039</v>
      </c>
      <c r="W2695" s="5">
        <f>R2695-V2695</f>
        <v/>
      </c>
    </row>
    <row r="2696">
      <c r="A2696" s="3" t="n">
        <v>42405</v>
      </c>
      <c r="B2696">
        <f>Prices!B2696</f>
        <v/>
      </c>
      <c r="C2696">
        <f>Prices!C2696</f>
        <v/>
      </c>
      <c r="D2696">
        <f>Prices!D2696</f>
        <v/>
      </c>
      <c r="E2696">
        <f>Prices!E2696</f>
        <v/>
      </c>
      <c r="F2696">
        <f>Prices!F2696</f>
        <v/>
      </c>
      <c r="G2696">
        <f>IF(AND(2694&gt;=16,TEXT(A2696,"yyyy-mm")&lt;&gt;TEXT(A2697,"yyyy-mm")),1,0)</f>
        <v/>
      </c>
      <c r="H2696">
        <f>IF(OR(H2695=1,G2696=1),1,0)</f>
        <v/>
      </c>
      <c r="I2696">
        <f>IF(H2695=0,1,SUMPRODUCT(J2695:N2695,B2696:F2696)+O2695*(1+0.00023125256064071564))</f>
        <v/>
      </c>
      <c r="J2696">
        <f>IF(G2696=1,0.2*R2696/B2696,J2695)</f>
        <v/>
      </c>
      <c r="K2696">
        <f>IF(G2696=1,0.2*R2696/C2696,K2695)</f>
        <v/>
      </c>
      <c r="L2696">
        <f>IF(G2696=1,0.2*R2696/D2696,L2695)</f>
        <v/>
      </c>
      <c r="M2696">
        <f>IF(G2696=1,0.2*R2696/E2696,M2695)</f>
        <v/>
      </c>
      <c r="N2696">
        <f>IF(G2696=1,0.2*R2696/F2696,N2695)</f>
        <v/>
      </c>
      <c r="O2696">
        <f>IF(G2696=1,R2696*(1-1.0),IF(H2695=0,1,O2695*(1+0.00023125256064071564)))</f>
        <v/>
      </c>
      <c r="P2696">
        <f>IF(G2696=1,IF(H2695=0,1,ABS(0.2-J2695*B2696/I2696)+ABS(0.2-K2695*C2696/I2696)+ABS(0.2-L2695*D2696/I2696)+ABS(0.2-M2695*E2696/I2696)+ABS(0.2-N2695*F2696/I2696)),0)</f>
        <v/>
      </c>
      <c r="Q2696">
        <f>P2696*0.0015</f>
        <v/>
      </c>
      <c r="R2696">
        <f>I2696*(1-Q2696)</f>
        <v/>
      </c>
      <c r="S2696">
        <f>R2696/R2695-1</f>
        <v/>
      </c>
      <c r="T2696">
        <f>MAX(T2695,R2696)</f>
        <v/>
      </c>
      <c r="U2696">
        <f>R2696/T2696-1</f>
        <v/>
      </c>
      <c r="V2696" t="n">
        <v>6.085836454800268</v>
      </c>
      <c r="W2696" s="5">
        <f>R2696-V2696</f>
        <v/>
      </c>
    </row>
    <row r="2697">
      <c r="A2697" s="3" t="n">
        <v>42408</v>
      </c>
      <c r="B2697">
        <f>Prices!B2697</f>
        <v/>
      </c>
      <c r="C2697">
        <f>Prices!C2697</f>
        <v/>
      </c>
      <c r="D2697">
        <f>Prices!D2697</f>
        <v/>
      </c>
      <c r="E2697">
        <f>Prices!E2697</f>
        <v/>
      </c>
      <c r="F2697">
        <f>Prices!F2697</f>
        <v/>
      </c>
      <c r="G2697">
        <f>IF(AND(2695&gt;=16,TEXT(A2697,"yyyy-mm")&lt;&gt;TEXT(A2698,"yyyy-mm")),1,0)</f>
        <v/>
      </c>
      <c r="H2697">
        <f>IF(OR(H2696=1,G2697=1),1,0)</f>
        <v/>
      </c>
      <c r="I2697">
        <f>IF(H2696=0,1,SUMPRODUCT(J2696:N2696,B2697:F2697)+O2696*(1+0.00023125256064071564))</f>
        <v/>
      </c>
      <c r="J2697">
        <f>IF(G2697=1,0.2*R2697/B2697,J2696)</f>
        <v/>
      </c>
      <c r="K2697">
        <f>IF(G2697=1,0.2*R2697/C2697,K2696)</f>
        <v/>
      </c>
      <c r="L2697">
        <f>IF(G2697=1,0.2*R2697/D2697,L2696)</f>
        <v/>
      </c>
      <c r="M2697">
        <f>IF(G2697=1,0.2*R2697/E2697,M2696)</f>
        <v/>
      </c>
      <c r="N2697">
        <f>IF(G2697=1,0.2*R2697/F2697,N2696)</f>
        <v/>
      </c>
      <c r="O2697">
        <f>IF(G2697=1,R2697*(1-1.0),IF(H2696=0,1,O2696*(1+0.00023125256064071564)))</f>
        <v/>
      </c>
      <c r="P2697">
        <f>IF(G2697=1,IF(H2696=0,1,ABS(0.2-J2696*B2697/I2697)+ABS(0.2-K2696*C2697/I2697)+ABS(0.2-L2696*D2697/I2697)+ABS(0.2-M2696*E2697/I2697)+ABS(0.2-N2696*F2697/I2697)),0)</f>
        <v/>
      </c>
      <c r="Q2697">
        <f>P2697*0.0015</f>
        <v/>
      </c>
      <c r="R2697">
        <f>I2697*(1-Q2697)</f>
        <v/>
      </c>
      <c r="S2697">
        <f>R2697/R2696-1</f>
        <v/>
      </c>
      <c r="T2697">
        <f>MAX(T2696,R2697)</f>
        <v/>
      </c>
      <c r="U2697">
        <f>R2697/T2697-1</f>
        <v/>
      </c>
      <c r="V2697" t="n">
        <v>6.046307528734055</v>
      </c>
      <c r="W2697" s="5">
        <f>R2697-V2697</f>
        <v/>
      </c>
    </row>
    <row r="2698">
      <c r="A2698" s="3" t="n">
        <v>42409</v>
      </c>
      <c r="B2698">
        <f>Prices!B2698</f>
        <v/>
      </c>
      <c r="C2698">
        <f>Prices!C2698</f>
        <v/>
      </c>
      <c r="D2698">
        <f>Prices!D2698</f>
        <v/>
      </c>
      <c r="E2698">
        <f>Prices!E2698</f>
        <v/>
      </c>
      <c r="F2698">
        <f>Prices!F2698</f>
        <v/>
      </c>
      <c r="G2698">
        <f>IF(AND(2696&gt;=16,TEXT(A2698,"yyyy-mm")&lt;&gt;TEXT(A2699,"yyyy-mm")),1,0)</f>
        <v/>
      </c>
      <c r="H2698">
        <f>IF(OR(H2697=1,G2698=1),1,0)</f>
        <v/>
      </c>
      <c r="I2698">
        <f>IF(H2697=0,1,SUMPRODUCT(J2697:N2697,B2698:F2698)+O2697*(1+0.00023125256064071564))</f>
        <v/>
      </c>
      <c r="J2698">
        <f>IF(G2698=1,0.2*R2698/B2698,J2697)</f>
        <v/>
      </c>
      <c r="K2698">
        <f>IF(G2698=1,0.2*R2698/C2698,K2697)</f>
        <v/>
      </c>
      <c r="L2698">
        <f>IF(G2698=1,0.2*R2698/D2698,L2697)</f>
        <v/>
      </c>
      <c r="M2698">
        <f>IF(G2698=1,0.2*R2698/E2698,M2697)</f>
        <v/>
      </c>
      <c r="N2698">
        <f>IF(G2698=1,0.2*R2698/F2698,N2697)</f>
        <v/>
      </c>
      <c r="O2698">
        <f>IF(G2698=1,R2698*(1-1.0),IF(H2697=0,1,O2697*(1+0.00023125256064071564)))</f>
        <v/>
      </c>
      <c r="P2698">
        <f>IF(G2698=1,IF(H2697=0,1,ABS(0.2-J2697*B2698/I2698)+ABS(0.2-K2697*C2698/I2698)+ABS(0.2-L2697*D2698/I2698)+ABS(0.2-M2697*E2698/I2698)+ABS(0.2-N2697*F2698/I2698)),0)</f>
        <v/>
      </c>
      <c r="Q2698">
        <f>P2698*0.0015</f>
        <v/>
      </c>
      <c r="R2698">
        <f>I2698*(1-Q2698)</f>
        <v/>
      </c>
      <c r="S2698">
        <f>R2698/R2697-1</f>
        <v/>
      </c>
      <c r="T2698">
        <f>MAX(T2697,R2698)</f>
        <v/>
      </c>
      <c r="U2698">
        <f>R2698/T2698-1</f>
        <v/>
      </c>
      <c r="V2698" t="n">
        <v>5.953086526866093</v>
      </c>
      <c r="W2698" s="5">
        <f>R2698-V2698</f>
        <v/>
      </c>
    </row>
    <row r="2699">
      <c r="A2699" s="3" t="n">
        <v>42410</v>
      </c>
      <c r="B2699">
        <f>Prices!B2699</f>
        <v/>
      </c>
      <c r="C2699">
        <f>Prices!C2699</f>
        <v/>
      </c>
      <c r="D2699">
        <f>Prices!D2699</f>
        <v/>
      </c>
      <c r="E2699">
        <f>Prices!E2699</f>
        <v/>
      </c>
      <c r="F2699">
        <f>Prices!F2699</f>
        <v/>
      </c>
      <c r="G2699">
        <f>IF(AND(2697&gt;=16,TEXT(A2699,"yyyy-mm")&lt;&gt;TEXT(A2700,"yyyy-mm")),1,0)</f>
        <v/>
      </c>
      <c r="H2699">
        <f>IF(OR(H2698=1,G2699=1),1,0)</f>
        <v/>
      </c>
      <c r="I2699">
        <f>IF(H2698=0,1,SUMPRODUCT(J2698:N2698,B2699:F2699)+O2698*(1+0.00023125256064071564))</f>
        <v/>
      </c>
      <c r="J2699">
        <f>IF(G2699=1,0.2*R2699/B2699,J2698)</f>
        <v/>
      </c>
      <c r="K2699">
        <f>IF(G2699=1,0.2*R2699/C2699,K2698)</f>
        <v/>
      </c>
      <c r="L2699">
        <f>IF(G2699=1,0.2*R2699/D2699,L2698)</f>
        <v/>
      </c>
      <c r="M2699">
        <f>IF(G2699=1,0.2*R2699/E2699,M2698)</f>
        <v/>
      </c>
      <c r="N2699">
        <f>IF(G2699=1,0.2*R2699/F2699,N2698)</f>
        <v/>
      </c>
      <c r="O2699">
        <f>IF(G2699=1,R2699*(1-1.0),IF(H2698=0,1,O2698*(1+0.00023125256064071564)))</f>
        <v/>
      </c>
      <c r="P2699">
        <f>IF(G2699=1,IF(H2698=0,1,ABS(0.2-J2698*B2699/I2699)+ABS(0.2-K2698*C2699/I2699)+ABS(0.2-L2698*D2699/I2699)+ABS(0.2-M2698*E2699/I2699)+ABS(0.2-N2698*F2699/I2699)),0)</f>
        <v/>
      </c>
      <c r="Q2699">
        <f>P2699*0.0015</f>
        <v/>
      </c>
      <c r="R2699">
        <f>I2699*(1-Q2699)</f>
        <v/>
      </c>
      <c r="S2699">
        <f>R2699/R2698-1</f>
        <v/>
      </c>
      <c r="T2699">
        <f>MAX(T2698,R2699)</f>
        <v/>
      </c>
      <c r="U2699">
        <f>R2699/T2699-1</f>
        <v/>
      </c>
      <c r="V2699" t="n">
        <v>5.867076193212663</v>
      </c>
      <c r="W2699" s="5">
        <f>R2699-V2699</f>
        <v/>
      </c>
    </row>
    <row r="2700">
      <c r="A2700" s="3" t="n">
        <v>42411</v>
      </c>
      <c r="B2700">
        <f>Prices!B2700</f>
        <v/>
      </c>
      <c r="C2700">
        <f>Prices!C2700</f>
        <v/>
      </c>
      <c r="D2700">
        <f>Prices!D2700</f>
        <v/>
      </c>
      <c r="E2700">
        <f>Prices!E2700</f>
        <v/>
      </c>
      <c r="F2700">
        <f>Prices!F2700</f>
        <v/>
      </c>
      <c r="G2700">
        <f>IF(AND(2698&gt;=16,TEXT(A2700,"yyyy-mm")&lt;&gt;TEXT(A2701,"yyyy-mm")),1,0)</f>
        <v/>
      </c>
      <c r="H2700">
        <f>IF(OR(H2699=1,G2700=1),1,0)</f>
        <v/>
      </c>
      <c r="I2700">
        <f>IF(H2699=0,1,SUMPRODUCT(J2699:N2699,B2700:F2700)+O2699*(1+0.00023125256064071564))</f>
        <v/>
      </c>
      <c r="J2700">
        <f>IF(G2700=1,0.2*R2700/B2700,J2699)</f>
        <v/>
      </c>
      <c r="K2700">
        <f>IF(G2700=1,0.2*R2700/C2700,K2699)</f>
        <v/>
      </c>
      <c r="L2700">
        <f>IF(G2700=1,0.2*R2700/D2700,L2699)</f>
        <v/>
      </c>
      <c r="M2700">
        <f>IF(G2700=1,0.2*R2700/E2700,M2699)</f>
        <v/>
      </c>
      <c r="N2700">
        <f>IF(G2700=1,0.2*R2700/F2700,N2699)</f>
        <v/>
      </c>
      <c r="O2700">
        <f>IF(G2700=1,R2700*(1-1.0),IF(H2699=0,1,O2699*(1+0.00023125256064071564)))</f>
        <v/>
      </c>
      <c r="P2700">
        <f>IF(G2700=1,IF(H2699=0,1,ABS(0.2-J2699*B2700/I2700)+ABS(0.2-K2699*C2700/I2700)+ABS(0.2-L2699*D2700/I2700)+ABS(0.2-M2699*E2700/I2700)+ABS(0.2-N2699*F2700/I2700)),0)</f>
        <v/>
      </c>
      <c r="Q2700">
        <f>P2700*0.0015</f>
        <v/>
      </c>
      <c r="R2700">
        <f>I2700*(1-Q2700)</f>
        <v/>
      </c>
      <c r="S2700">
        <f>R2700/R2699-1</f>
        <v/>
      </c>
      <c r="T2700">
        <f>MAX(T2699,R2700)</f>
        <v/>
      </c>
      <c r="U2700">
        <f>R2700/T2700-1</f>
        <v/>
      </c>
      <c r="V2700" t="n">
        <v>5.631507174058082</v>
      </c>
      <c r="W2700" s="5">
        <f>R2700-V2700</f>
        <v/>
      </c>
    </row>
    <row r="2701">
      <c r="A2701" s="3" t="n">
        <v>42412</v>
      </c>
      <c r="B2701">
        <f>Prices!B2701</f>
        <v/>
      </c>
      <c r="C2701">
        <f>Prices!C2701</f>
        <v/>
      </c>
      <c r="D2701">
        <f>Prices!D2701</f>
        <v/>
      </c>
      <c r="E2701">
        <f>Prices!E2701</f>
        <v/>
      </c>
      <c r="F2701">
        <f>Prices!F2701</f>
        <v/>
      </c>
      <c r="G2701">
        <f>IF(AND(2699&gt;=16,TEXT(A2701,"yyyy-mm")&lt;&gt;TEXT(A2702,"yyyy-mm")),1,0)</f>
        <v/>
      </c>
      <c r="H2701">
        <f>IF(OR(H2700=1,G2701=1),1,0)</f>
        <v/>
      </c>
      <c r="I2701">
        <f>IF(H2700=0,1,SUMPRODUCT(J2700:N2700,B2701:F2701)+O2700*(1+0.00023125256064071564))</f>
        <v/>
      </c>
      <c r="J2701">
        <f>IF(G2701=1,0.2*R2701/B2701,J2700)</f>
        <v/>
      </c>
      <c r="K2701">
        <f>IF(G2701=1,0.2*R2701/C2701,K2700)</f>
        <v/>
      </c>
      <c r="L2701">
        <f>IF(G2701=1,0.2*R2701/D2701,L2700)</f>
        <v/>
      </c>
      <c r="M2701">
        <f>IF(G2701=1,0.2*R2701/E2701,M2700)</f>
        <v/>
      </c>
      <c r="N2701">
        <f>IF(G2701=1,0.2*R2701/F2701,N2700)</f>
        <v/>
      </c>
      <c r="O2701">
        <f>IF(G2701=1,R2701*(1-1.0),IF(H2700=0,1,O2700*(1+0.00023125256064071564)))</f>
        <v/>
      </c>
      <c r="P2701">
        <f>IF(G2701=1,IF(H2700=0,1,ABS(0.2-J2700*B2701/I2701)+ABS(0.2-K2700*C2701/I2701)+ABS(0.2-L2700*D2701/I2701)+ABS(0.2-M2700*E2701/I2701)+ABS(0.2-N2700*F2701/I2701)),0)</f>
        <v/>
      </c>
      <c r="Q2701">
        <f>P2701*0.0015</f>
        <v/>
      </c>
      <c r="R2701">
        <f>I2701*(1-Q2701)</f>
        <v/>
      </c>
      <c r="S2701">
        <f>R2701/R2700-1</f>
        <v/>
      </c>
      <c r="T2701">
        <f>MAX(T2700,R2701)</f>
        <v/>
      </c>
      <c r="U2701">
        <f>R2701/T2701-1</f>
        <v/>
      </c>
      <c r="V2701" t="n">
        <v>5.592473211839835</v>
      </c>
      <c r="W2701" s="5">
        <f>R2701-V2701</f>
        <v/>
      </c>
    </row>
    <row r="2702">
      <c r="A2702" s="3" t="n">
        <v>42415</v>
      </c>
      <c r="B2702">
        <f>Prices!B2702</f>
        <v/>
      </c>
      <c r="C2702">
        <f>Prices!C2702</f>
        <v/>
      </c>
      <c r="D2702">
        <f>Prices!D2702</f>
        <v/>
      </c>
      <c r="E2702">
        <f>Prices!E2702</f>
        <v/>
      </c>
      <c r="F2702">
        <f>Prices!F2702</f>
        <v/>
      </c>
      <c r="G2702">
        <f>IF(AND(2700&gt;=16,TEXT(A2702,"yyyy-mm")&lt;&gt;TEXT(A2703,"yyyy-mm")),1,0)</f>
        <v/>
      </c>
      <c r="H2702">
        <f>IF(OR(H2701=1,G2702=1),1,0)</f>
        <v/>
      </c>
      <c r="I2702">
        <f>IF(H2701=0,1,SUMPRODUCT(J2701:N2701,B2702:F2702)+O2701*(1+0.00023125256064071564))</f>
        <v/>
      </c>
      <c r="J2702">
        <f>IF(G2702=1,0.2*R2702/B2702,J2701)</f>
        <v/>
      </c>
      <c r="K2702">
        <f>IF(G2702=1,0.2*R2702/C2702,K2701)</f>
        <v/>
      </c>
      <c r="L2702">
        <f>IF(G2702=1,0.2*R2702/D2702,L2701)</f>
        <v/>
      </c>
      <c r="M2702">
        <f>IF(G2702=1,0.2*R2702/E2702,M2701)</f>
        <v/>
      </c>
      <c r="N2702">
        <f>IF(G2702=1,0.2*R2702/F2702,N2701)</f>
        <v/>
      </c>
      <c r="O2702">
        <f>IF(G2702=1,R2702*(1-1.0),IF(H2701=0,1,O2701*(1+0.00023125256064071564)))</f>
        <v/>
      </c>
      <c r="P2702">
        <f>IF(G2702=1,IF(H2701=0,1,ABS(0.2-J2701*B2702/I2702)+ABS(0.2-K2701*C2702/I2702)+ABS(0.2-L2701*D2702/I2702)+ABS(0.2-M2701*E2702/I2702)+ABS(0.2-N2701*F2702/I2702)),0)</f>
        <v/>
      </c>
      <c r="Q2702">
        <f>P2702*0.0015</f>
        <v/>
      </c>
      <c r="R2702">
        <f>I2702*(1-Q2702)</f>
        <v/>
      </c>
      <c r="S2702">
        <f>R2702/R2701-1</f>
        <v/>
      </c>
      <c r="T2702">
        <f>MAX(T2701,R2702)</f>
        <v/>
      </c>
      <c r="U2702">
        <f>R2702/T2702-1</f>
        <v/>
      </c>
      <c r="V2702" t="n">
        <v>5.778169599840886</v>
      </c>
      <c r="W2702" s="5">
        <f>R2702-V2702</f>
        <v/>
      </c>
    </row>
    <row r="2703">
      <c r="A2703" s="3" t="n">
        <v>42416</v>
      </c>
      <c r="B2703">
        <f>Prices!B2703</f>
        <v/>
      </c>
      <c r="C2703">
        <f>Prices!C2703</f>
        <v/>
      </c>
      <c r="D2703">
        <f>Prices!D2703</f>
        <v/>
      </c>
      <c r="E2703">
        <f>Prices!E2703</f>
        <v/>
      </c>
      <c r="F2703">
        <f>Prices!F2703</f>
        <v/>
      </c>
      <c r="G2703">
        <f>IF(AND(2701&gt;=16,TEXT(A2703,"yyyy-mm")&lt;&gt;TEXT(A2704,"yyyy-mm")),1,0)</f>
        <v/>
      </c>
      <c r="H2703">
        <f>IF(OR(H2702=1,G2703=1),1,0)</f>
        <v/>
      </c>
      <c r="I2703">
        <f>IF(H2702=0,1,SUMPRODUCT(J2702:N2702,B2703:F2703)+O2702*(1+0.00023125256064071564))</f>
        <v/>
      </c>
      <c r="J2703">
        <f>IF(G2703=1,0.2*R2703/B2703,J2702)</f>
        <v/>
      </c>
      <c r="K2703">
        <f>IF(G2703=1,0.2*R2703/C2703,K2702)</f>
        <v/>
      </c>
      <c r="L2703">
        <f>IF(G2703=1,0.2*R2703/D2703,L2702)</f>
        <v/>
      </c>
      <c r="M2703">
        <f>IF(G2703=1,0.2*R2703/E2703,M2702)</f>
        <v/>
      </c>
      <c r="N2703">
        <f>IF(G2703=1,0.2*R2703/F2703,N2702)</f>
        <v/>
      </c>
      <c r="O2703">
        <f>IF(G2703=1,R2703*(1-1.0),IF(H2702=0,1,O2702*(1+0.00023125256064071564)))</f>
        <v/>
      </c>
      <c r="P2703">
        <f>IF(G2703=1,IF(H2702=0,1,ABS(0.2-J2702*B2703/I2703)+ABS(0.2-K2702*C2703/I2703)+ABS(0.2-L2702*D2703/I2703)+ABS(0.2-M2702*E2703/I2703)+ABS(0.2-N2702*F2703/I2703)),0)</f>
        <v/>
      </c>
      <c r="Q2703">
        <f>P2703*0.0015</f>
        <v/>
      </c>
      <c r="R2703">
        <f>I2703*(1-Q2703)</f>
        <v/>
      </c>
      <c r="S2703">
        <f>R2703/R2702-1</f>
        <v/>
      </c>
      <c r="T2703">
        <f>MAX(T2702,R2703)</f>
        <v/>
      </c>
      <c r="U2703">
        <f>R2703/T2703-1</f>
        <v/>
      </c>
      <c r="V2703" t="n">
        <v>5.658266731637073</v>
      </c>
      <c r="W2703" s="5">
        <f>R2703-V2703</f>
        <v/>
      </c>
    </row>
    <row r="2704">
      <c r="A2704" s="3" t="n">
        <v>42417</v>
      </c>
      <c r="B2704">
        <f>Prices!B2704</f>
        <v/>
      </c>
      <c r="C2704">
        <f>Prices!C2704</f>
        <v/>
      </c>
      <c r="D2704">
        <f>Prices!D2704</f>
        <v/>
      </c>
      <c r="E2704">
        <f>Prices!E2704</f>
        <v/>
      </c>
      <c r="F2704">
        <f>Prices!F2704</f>
        <v/>
      </c>
      <c r="G2704">
        <f>IF(AND(2702&gt;=16,TEXT(A2704,"yyyy-mm")&lt;&gt;TEXT(A2705,"yyyy-mm")),1,0)</f>
        <v/>
      </c>
      <c r="H2704">
        <f>IF(OR(H2703=1,G2704=1),1,0)</f>
        <v/>
      </c>
      <c r="I2704">
        <f>IF(H2703=0,1,SUMPRODUCT(J2703:N2703,B2704:F2704)+O2703*(1+0.00023125256064071564))</f>
        <v/>
      </c>
      <c r="J2704">
        <f>IF(G2704=1,0.2*R2704/B2704,J2703)</f>
        <v/>
      </c>
      <c r="K2704">
        <f>IF(G2704=1,0.2*R2704/C2704,K2703)</f>
        <v/>
      </c>
      <c r="L2704">
        <f>IF(G2704=1,0.2*R2704/D2704,L2703)</f>
        <v/>
      </c>
      <c r="M2704">
        <f>IF(G2704=1,0.2*R2704/E2704,M2703)</f>
        <v/>
      </c>
      <c r="N2704">
        <f>IF(G2704=1,0.2*R2704/F2704,N2703)</f>
        <v/>
      </c>
      <c r="O2704">
        <f>IF(G2704=1,R2704*(1-1.0),IF(H2703=0,1,O2703*(1+0.00023125256064071564)))</f>
        <v/>
      </c>
      <c r="P2704">
        <f>IF(G2704=1,IF(H2703=0,1,ABS(0.2-J2703*B2704/I2704)+ABS(0.2-K2703*C2704/I2704)+ABS(0.2-L2703*D2704/I2704)+ABS(0.2-M2703*E2704/I2704)+ABS(0.2-N2703*F2704/I2704)),0)</f>
        <v/>
      </c>
      <c r="Q2704">
        <f>P2704*0.0015</f>
        <v/>
      </c>
      <c r="R2704">
        <f>I2704*(1-Q2704)</f>
        <v/>
      </c>
      <c r="S2704">
        <f>R2704/R2703-1</f>
        <v/>
      </c>
      <c r="T2704">
        <f>MAX(T2703,R2704)</f>
        <v/>
      </c>
      <c r="U2704">
        <f>R2704/T2704-1</f>
        <v/>
      </c>
      <c r="V2704" t="n">
        <v>5.711090588084366</v>
      </c>
      <c r="W2704" s="5">
        <f>R2704-V2704</f>
        <v/>
      </c>
    </row>
    <row r="2705">
      <c r="A2705" s="3" t="n">
        <v>42418</v>
      </c>
      <c r="B2705">
        <f>Prices!B2705</f>
        <v/>
      </c>
      <c r="C2705">
        <f>Prices!C2705</f>
        <v/>
      </c>
      <c r="D2705">
        <f>Prices!D2705</f>
        <v/>
      </c>
      <c r="E2705">
        <f>Prices!E2705</f>
        <v/>
      </c>
      <c r="F2705">
        <f>Prices!F2705</f>
        <v/>
      </c>
      <c r="G2705">
        <f>IF(AND(2703&gt;=16,TEXT(A2705,"yyyy-mm")&lt;&gt;TEXT(A2706,"yyyy-mm")),1,0)</f>
        <v/>
      </c>
      <c r="H2705">
        <f>IF(OR(H2704=1,G2705=1),1,0)</f>
        <v/>
      </c>
      <c r="I2705">
        <f>IF(H2704=0,1,SUMPRODUCT(J2704:N2704,B2705:F2705)+O2704*(1+0.00023125256064071564))</f>
        <v/>
      </c>
      <c r="J2705">
        <f>IF(G2705=1,0.2*R2705/B2705,J2704)</f>
        <v/>
      </c>
      <c r="K2705">
        <f>IF(G2705=1,0.2*R2705/C2705,K2704)</f>
        <v/>
      </c>
      <c r="L2705">
        <f>IF(G2705=1,0.2*R2705/D2705,L2704)</f>
        <v/>
      </c>
      <c r="M2705">
        <f>IF(G2705=1,0.2*R2705/E2705,M2704)</f>
        <v/>
      </c>
      <c r="N2705">
        <f>IF(G2705=1,0.2*R2705/F2705,N2704)</f>
        <v/>
      </c>
      <c r="O2705">
        <f>IF(G2705=1,R2705*(1-1.0),IF(H2704=0,1,O2704*(1+0.00023125256064071564)))</f>
        <v/>
      </c>
      <c r="P2705">
        <f>IF(G2705=1,IF(H2704=0,1,ABS(0.2-J2704*B2705/I2705)+ABS(0.2-K2704*C2705/I2705)+ABS(0.2-L2704*D2705/I2705)+ABS(0.2-M2704*E2705/I2705)+ABS(0.2-N2704*F2705/I2705)),0)</f>
        <v/>
      </c>
      <c r="Q2705">
        <f>P2705*0.0015</f>
        <v/>
      </c>
      <c r="R2705">
        <f>I2705*(1-Q2705)</f>
        <v/>
      </c>
      <c r="S2705">
        <f>R2705/R2704-1</f>
        <v/>
      </c>
      <c r="T2705">
        <f>MAX(T2704,R2705)</f>
        <v/>
      </c>
      <c r="U2705">
        <f>R2705/T2705-1</f>
        <v/>
      </c>
      <c r="V2705" t="n">
        <v>5.754419640893006</v>
      </c>
      <c r="W2705" s="5">
        <f>R2705-V2705</f>
        <v/>
      </c>
    </row>
    <row r="2706">
      <c r="A2706" s="3" t="n">
        <v>42419</v>
      </c>
      <c r="B2706">
        <f>Prices!B2706</f>
        <v/>
      </c>
      <c r="C2706">
        <f>Prices!C2706</f>
        <v/>
      </c>
      <c r="D2706">
        <f>Prices!D2706</f>
        <v/>
      </c>
      <c r="E2706">
        <f>Prices!E2706</f>
        <v/>
      </c>
      <c r="F2706">
        <f>Prices!F2706</f>
        <v/>
      </c>
      <c r="G2706">
        <f>IF(AND(2704&gt;=16,TEXT(A2706,"yyyy-mm")&lt;&gt;TEXT(A2707,"yyyy-mm")),1,0)</f>
        <v/>
      </c>
      <c r="H2706">
        <f>IF(OR(H2705=1,G2706=1),1,0)</f>
        <v/>
      </c>
      <c r="I2706">
        <f>IF(H2705=0,1,SUMPRODUCT(J2705:N2705,B2706:F2706)+O2705*(1+0.00023125256064071564))</f>
        <v/>
      </c>
      <c r="J2706">
        <f>IF(G2706=1,0.2*R2706/B2706,J2705)</f>
        <v/>
      </c>
      <c r="K2706">
        <f>IF(G2706=1,0.2*R2706/C2706,K2705)</f>
        <v/>
      </c>
      <c r="L2706">
        <f>IF(G2706=1,0.2*R2706/D2706,L2705)</f>
        <v/>
      </c>
      <c r="M2706">
        <f>IF(G2706=1,0.2*R2706/E2706,M2705)</f>
        <v/>
      </c>
      <c r="N2706">
        <f>IF(G2706=1,0.2*R2706/F2706,N2705)</f>
        <v/>
      </c>
      <c r="O2706">
        <f>IF(G2706=1,R2706*(1-1.0),IF(H2705=0,1,O2705*(1+0.00023125256064071564)))</f>
        <v/>
      </c>
      <c r="P2706">
        <f>IF(G2706=1,IF(H2705=0,1,ABS(0.2-J2705*B2706/I2706)+ABS(0.2-K2705*C2706/I2706)+ABS(0.2-L2705*D2706/I2706)+ABS(0.2-M2705*E2706/I2706)+ABS(0.2-N2705*F2706/I2706)),0)</f>
        <v/>
      </c>
      <c r="Q2706">
        <f>P2706*0.0015</f>
        <v/>
      </c>
      <c r="R2706">
        <f>I2706*(1-Q2706)</f>
        <v/>
      </c>
      <c r="S2706">
        <f>R2706/R2705-1</f>
        <v/>
      </c>
      <c r="T2706">
        <f>MAX(T2705,R2706)</f>
        <v/>
      </c>
      <c r="U2706">
        <f>R2706/T2706-1</f>
        <v/>
      </c>
      <c r="V2706" t="n">
        <v>5.761147727247481</v>
      </c>
      <c r="W2706" s="5">
        <f>R2706-V2706</f>
        <v/>
      </c>
    </row>
    <row r="2707">
      <c r="A2707" s="3" t="n">
        <v>42422</v>
      </c>
      <c r="B2707">
        <f>Prices!B2707</f>
        <v/>
      </c>
      <c r="C2707">
        <f>Prices!C2707</f>
        <v/>
      </c>
      <c r="D2707">
        <f>Prices!D2707</f>
        <v/>
      </c>
      <c r="E2707">
        <f>Prices!E2707</f>
        <v/>
      </c>
      <c r="F2707">
        <f>Prices!F2707</f>
        <v/>
      </c>
      <c r="G2707">
        <f>IF(AND(2705&gt;=16,TEXT(A2707,"yyyy-mm")&lt;&gt;TEXT(A2708,"yyyy-mm")),1,0)</f>
        <v/>
      </c>
      <c r="H2707">
        <f>IF(OR(H2706=1,G2707=1),1,0)</f>
        <v/>
      </c>
      <c r="I2707">
        <f>IF(H2706=0,1,SUMPRODUCT(J2706:N2706,B2707:F2707)+O2706*(1+0.00023125256064071564))</f>
        <v/>
      </c>
      <c r="J2707">
        <f>IF(G2707=1,0.2*R2707/B2707,J2706)</f>
        <v/>
      </c>
      <c r="K2707">
        <f>IF(G2707=1,0.2*R2707/C2707,K2706)</f>
        <v/>
      </c>
      <c r="L2707">
        <f>IF(G2707=1,0.2*R2707/D2707,L2706)</f>
        <v/>
      </c>
      <c r="M2707">
        <f>IF(G2707=1,0.2*R2707/E2707,M2706)</f>
        <v/>
      </c>
      <c r="N2707">
        <f>IF(G2707=1,0.2*R2707/F2707,N2706)</f>
        <v/>
      </c>
      <c r="O2707">
        <f>IF(G2707=1,R2707*(1-1.0),IF(H2706=0,1,O2706*(1+0.00023125256064071564)))</f>
        <v/>
      </c>
      <c r="P2707">
        <f>IF(G2707=1,IF(H2706=0,1,ABS(0.2-J2706*B2707/I2707)+ABS(0.2-K2706*C2707/I2707)+ABS(0.2-L2706*D2707/I2707)+ABS(0.2-M2706*E2707/I2707)+ABS(0.2-N2706*F2707/I2707)),0)</f>
        <v/>
      </c>
      <c r="Q2707">
        <f>P2707*0.0015</f>
        <v/>
      </c>
      <c r="R2707">
        <f>I2707*(1-Q2707)</f>
        <v/>
      </c>
      <c r="S2707">
        <f>R2707/R2706-1</f>
        <v/>
      </c>
      <c r="T2707">
        <f>MAX(T2706,R2707)</f>
        <v/>
      </c>
      <c r="U2707">
        <f>R2707/T2707-1</f>
        <v/>
      </c>
      <c r="V2707" t="n">
        <v>5.786117687370693</v>
      </c>
      <c r="W2707" s="5">
        <f>R2707-V2707</f>
        <v/>
      </c>
    </row>
    <row r="2708">
      <c r="A2708" s="3" t="n">
        <v>42423</v>
      </c>
      <c r="B2708">
        <f>Prices!B2708</f>
        <v/>
      </c>
      <c r="C2708">
        <f>Prices!C2708</f>
        <v/>
      </c>
      <c r="D2708">
        <f>Prices!D2708</f>
        <v/>
      </c>
      <c r="E2708">
        <f>Prices!E2708</f>
        <v/>
      </c>
      <c r="F2708">
        <f>Prices!F2708</f>
        <v/>
      </c>
      <c r="G2708">
        <f>IF(AND(2706&gt;=16,TEXT(A2708,"yyyy-mm")&lt;&gt;TEXT(A2709,"yyyy-mm")),1,0)</f>
        <v/>
      </c>
      <c r="H2708">
        <f>IF(OR(H2707=1,G2708=1),1,0)</f>
        <v/>
      </c>
      <c r="I2708">
        <f>IF(H2707=0,1,SUMPRODUCT(J2707:N2707,B2708:F2708)+O2707*(1+0.00023125256064071564))</f>
        <v/>
      </c>
      <c r="J2708">
        <f>IF(G2708=1,0.2*R2708/B2708,J2707)</f>
        <v/>
      </c>
      <c r="K2708">
        <f>IF(G2708=1,0.2*R2708/C2708,K2707)</f>
        <v/>
      </c>
      <c r="L2708">
        <f>IF(G2708=1,0.2*R2708/D2708,L2707)</f>
        <v/>
      </c>
      <c r="M2708">
        <f>IF(G2708=1,0.2*R2708/E2708,M2707)</f>
        <v/>
      </c>
      <c r="N2708">
        <f>IF(G2708=1,0.2*R2708/F2708,N2707)</f>
        <v/>
      </c>
      <c r="O2708">
        <f>IF(G2708=1,R2708*(1-1.0),IF(H2707=0,1,O2707*(1+0.00023125256064071564)))</f>
        <v/>
      </c>
      <c r="P2708">
        <f>IF(G2708=1,IF(H2707=0,1,ABS(0.2-J2707*B2708/I2708)+ABS(0.2-K2707*C2708/I2708)+ABS(0.2-L2707*D2708/I2708)+ABS(0.2-M2707*E2708/I2708)+ABS(0.2-N2707*F2708/I2708)),0)</f>
        <v/>
      </c>
      <c r="Q2708">
        <f>P2708*0.0015</f>
        <v/>
      </c>
      <c r="R2708">
        <f>I2708*(1-Q2708)</f>
        <v/>
      </c>
      <c r="S2708">
        <f>R2708/R2707-1</f>
        <v/>
      </c>
      <c r="T2708">
        <f>MAX(T2707,R2708)</f>
        <v/>
      </c>
      <c r="U2708">
        <f>R2708/T2708-1</f>
        <v/>
      </c>
      <c r="V2708" t="n">
        <v>5.697689251345007</v>
      </c>
      <c r="W2708" s="5">
        <f>R2708-V2708</f>
        <v/>
      </c>
    </row>
    <row r="2709">
      <c r="A2709" s="3" t="n">
        <v>42424</v>
      </c>
      <c r="B2709">
        <f>Prices!B2709</f>
        <v/>
      </c>
      <c r="C2709">
        <f>Prices!C2709</f>
        <v/>
      </c>
      <c r="D2709">
        <f>Prices!D2709</f>
        <v/>
      </c>
      <c r="E2709">
        <f>Prices!E2709</f>
        <v/>
      </c>
      <c r="F2709">
        <f>Prices!F2709</f>
        <v/>
      </c>
      <c r="G2709">
        <f>IF(AND(2707&gt;=16,TEXT(A2709,"yyyy-mm")&lt;&gt;TEXT(A2710,"yyyy-mm")),1,0)</f>
        <v/>
      </c>
      <c r="H2709">
        <f>IF(OR(H2708=1,G2709=1),1,0)</f>
        <v/>
      </c>
      <c r="I2709">
        <f>IF(H2708=0,1,SUMPRODUCT(J2708:N2708,B2709:F2709)+O2708*(1+0.00023125256064071564))</f>
        <v/>
      </c>
      <c r="J2709">
        <f>IF(G2709=1,0.2*R2709/B2709,J2708)</f>
        <v/>
      </c>
      <c r="K2709">
        <f>IF(G2709=1,0.2*R2709/C2709,K2708)</f>
        <v/>
      </c>
      <c r="L2709">
        <f>IF(G2709=1,0.2*R2709/D2709,L2708)</f>
        <v/>
      </c>
      <c r="M2709">
        <f>IF(G2709=1,0.2*R2709/E2709,M2708)</f>
        <v/>
      </c>
      <c r="N2709">
        <f>IF(G2709=1,0.2*R2709/F2709,N2708)</f>
        <v/>
      </c>
      <c r="O2709">
        <f>IF(G2709=1,R2709*(1-1.0),IF(H2708=0,1,O2708*(1+0.00023125256064071564)))</f>
        <v/>
      </c>
      <c r="P2709">
        <f>IF(G2709=1,IF(H2708=0,1,ABS(0.2-J2708*B2709/I2709)+ABS(0.2-K2708*C2709/I2709)+ABS(0.2-L2708*D2709/I2709)+ABS(0.2-M2708*E2709/I2709)+ABS(0.2-N2708*F2709/I2709)),0)</f>
        <v/>
      </c>
      <c r="Q2709">
        <f>P2709*0.0015</f>
        <v/>
      </c>
      <c r="R2709">
        <f>I2709*(1-Q2709)</f>
        <v/>
      </c>
      <c r="S2709">
        <f>R2709/R2708-1</f>
        <v/>
      </c>
      <c r="T2709">
        <f>MAX(T2708,R2709)</f>
        <v/>
      </c>
      <c r="U2709">
        <f>R2709/T2709-1</f>
        <v/>
      </c>
      <c r="V2709" t="n">
        <v>5.628303196227668</v>
      </c>
      <c r="W2709" s="5">
        <f>R2709-V2709</f>
        <v/>
      </c>
    </row>
    <row r="2710">
      <c r="A2710" s="3" t="n">
        <v>42425</v>
      </c>
      <c r="B2710">
        <f>Prices!B2710</f>
        <v/>
      </c>
      <c r="C2710">
        <f>Prices!C2710</f>
        <v/>
      </c>
      <c r="D2710">
        <f>Prices!D2710</f>
        <v/>
      </c>
      <c r="E2710">
        <f>Prices!E2710</f>
        <v/>
      </c>
      <c r="F2710">
        <f>Prices!F2710</f>
        <v/>
      </c>
      <c r="G2710">
        <f>IF(AND(2708&gt;=16,TEXT(A2710,"yyyy-mm")&lt;&gt;TEXT(A2711,"yyyy-mm")),1,0)</f>
        <v/>
      </c>
      <c r="H2710">
        <f>IF(OR(H2709=1,G2710=1),1,0)</f>
        <v/>
      </c>
      <c r="I2710">
        <f>IF(H2709=0,1,SUMPRODUCT(J2709:N2709,B2710:F2710)+O2709*(1+0.00023125256064071564))</f>
        <v/>
      </c>
      <c r="J2710">
        <f>IF(G2710=1,0.2*R2710/B2710,J2709)</f>
        <v/>
      </c>
      <c r="K2710">
        <f>IF(G2710=1,0.2*R2710/C2710,K2709)</f>
        <v/>
      </c>
      <c r="L2710">
        <f>IF(G2710=1,0.2*R2710/D2710,L2709)</f>
        <v/>
      </c>
      <c r="M2710">
        <f>IF(G2710=1,0.2*R2710/E2710,M2709)</f>
        <v/>
      </c>
      <c r="N2710">
        <f>IF(G2710=1,0.2*R2710/F2710,N2709)</f>
        <v/>
      </c>
      <c r="O2710">
        <f>IF(G2710=1,R2710*(1-1.0),IF(H2709=0,1,O2709*(1+0.00023125256064071564)))</f>
        <v/>
      </c>
      <c r="P2710">
        <f>IF(G2710=1,IF(H2709=0,1,ABS(0.2-J2709*B2710/I2710)+ABS(0.2-K2709*C2710/I2710)+ABS(0.2-L2709*D2710/I2710)+ABS(0.2-M2709*E2710/I2710)+ABS(0.2-N2709*F2710/I2710)),0)</f>
        <v/>
      </c>
      <c r="Q2710">
        <f>P2710*0.0015</f>
        <v/>
      </c>
      <c r="R2710">
        <f>I2710*(1-Q2710)</f>
        <v/>
      </c>
      <c r="S2710">
        <f>R2710/R2709-1</f>
        <v/>
      </c>
      <c r="T2710">
        <f>MAX(T2709,R2710)</f>
        <v/>
      </c>
      <c r="U2710">
        <f>R2710/T2710-1</f>
        <v/>
      </c>
      <c r="V2710" t="n">
        <v>5.580231872980245</v>
      </c>
      <c r="W2710" s="5">
        <f>R2710-V2710</f>
        <v/>
      </c>
    </row>
    <row r="2711">
      <c r="A2711" s="3" t="n">
        <v>42426</v>
      </c>
      <c r="B2711">
        <f>Prices!B2711</f>
        <v/>
      </c>
      <c r="C2711">
        <f>Prices!C2711</f>
        <v/>
      </c>
      <c r="D2711">
        <f>Prices!D2711</f>
        <v/>
      </c>
      <c r="E2711">
        <f>Prices!E2711</f>
        <v/>
      </c>
      <c r="F2711">
        <f>Prices!F2711</f>
        <v/>
      </c>
      <c r="G2711">
        <f>IF(AND(2709&gt;=16,TEXT(A2711,"yyyy-mm")&lt;&gt;TEXT(A2712,"yyyy-mm")),1,0)</f>
        <v/>
      </c>
      <c r="H2711">
        <f>IF(OR(H2710=1,G2711=1),1,0)</f>
        <v/>
      </c>
      <c r="I2711">
        <f>IF(H2710=0,1,SUMPRODUCT(J2710:N2710,B2711:F2711)+O2710*(1+0.00023125256064071564))</f>
        <v/>
      </c>
      <c r="J2711">
        <f>IF(G2711=1,0.2*R2711/B2711,J2710)</f>
        <v/>
      </c>
      <c r="K2711">
        <f>IF(G2711=1,0.2*R2711/C2711,K2710)</f>
        <v/>
      </c>
      <c r="L2711">
        <f>IF(G2711=1,0.2*R2711/D2711,L2710)</f>
        <v/>
      </c>
      <c r="M2711">
        <f>IF(G2711=1,0.2*R2711/E2711,M2710)</f>
        <v/>
      </c>
      <c r="N2711">
        <f>IF(G2711=1,0.2*R2711/F2711,N2710)</f>
        <v/>
      </c>
      <c r="O2711">
        <f>IF(G2711=1,R2711*(1-1.0),IF(H2710=0,1,O2710*(1+0.00023125256064071564)))</f>
        <v/>
      </c>
      <c r="P2711">
        <f>IF(G2711=1,IF(H2710=0,1,ABS(0.2-J2710*B2711/I2711)+ABS(0.2-K2710*C2711/I2711)+ABS(0.2-L2710*D2711/I2711)+ABS(0.2-M2710*E2711/I2711)+ABS(0.2-N2710*F2711/I2711)),0)</f>
        <v/>
      </c>
      <c r="Q2711">
        <f>P2711*0.0015</f>
        <v/>
      </c>
      <c r="R2711">
        <f>I2711*(1-Q2711)</f>
        <v/>
      </c>
      <c r="S2711">
        <f>R2711/R2710-1</f>
        <v/>
      </c>
      <c r="T2711">
        <f>MAX(T2710,R2711)</f>
        <v/>
      </c>
      <c r="U2711">
        <f>R2711/T2711-1</f>
        <v/>
      </c>
      <c r="V2711" t="n">
        <v>5.578881683010509</v>
      </c>
      <c r="W2711" s="5">
        <f>R2711-V2711</f>
        <v/>
      </c>
    </row>
    <row r="2712">
      <c r="A2712" s="3" t="n">
        <v>42429</v>
      </c>
      <c r="B2712">
        <f>Prices!B2712</f>
        <v/>
      </c>
      <c r="C2712">
        <f>Prices!C2712</f>
        <v/>
      </c>
      <c r="D2712">
        <f>Prices!D2712</f>
        <v/>
      </c>
      <c r="E2712">
        <f>Prices!E2712</f>
        <v/>
      </c>
      <c r="F2712">
        <f>Prices!F2712</f>
        <v/>
      </c>
      <c r="G2712">
        <f>IF(AND(2710&gt;=16,TEXT(A2712,"yyyy-mm")&lt;&gt;TEXT(A2713,"yyyy-mm")),1,0)</f>
        <v/>
      </c>
      <c r="H2712">
        <f>IF(OR(H2711=1,G2712=1),1,0)</f>
        <v/>
      </c>
      <c r="I2712">
        <f>IF(H2711=0,1,SUMPRODUCT(J2711:N2711,B2712:F2712)+O2711*(1+0.00023125256064071564))</f>
        <v/>
      </c>
      <c r="J2712">
        <f>IF(G2712=1,0.2*R2712/B2712,J2711)</f>
        <v/>
      </c>
      <c r="K2712">
        <f>IF(G2712=1,0.2*R2712/C2712,K2711)</f>
        <v/>
      </c>
      <c r="L2712">
        <f>IF(G2712=1,0.2*R2712/D2712,L2711)</f>
        <v/>
      </c>
      <c r="M2712">
        <f>IF(G2712=1,0.2*R2712/E2712,M2711)</f>
        <v/>
      </c>
      <c r="N2712">
        <f>IF(G2712=1,0.2*R2712/F2712,N2711)</f>
        <v/>
      </c>
      <c r="O2712">
        <f>IF(G2712=1,R2712*(1-1.0),IF(H2711=0,1,O2711*(1+0.00023125256064071564)))</f>
        <v/>
      </c>
      <c r="P2712">
        <f>IF(G2712=1,IF(H2711=0,1,ABS(0.2-J2711*B2712/I2712)+ABS(0.2-K2711*C2712/I2712)+ABS(0.2-L2711*D2712/I2712)+ABS(0.2-M2711*E2712/I2712)+ABS(0.2-N2711*F2712/I2712)),0)</f>
        <v/>
      </c>
      <c r="Q2712">
        <f>P2712*0.0015</f>
        <v/>
      </c>
      <c r="R2712">
        <f>I2712*(1-Q2712)</f>
        <v/>
      </c>
      <c r="S2712">
        <f>R2712/R2711-1</f>
        <v/>
      </c>
      <c r="T2712">
        <f>MAX(T2711,R2712)</f>
        <v/>
      </c>
      <c r="U2712">
        <f>R2712/T2712-1</f>
        <v/>
      </c>
      <c r="V2712" t="n">
        <v>5.582263652925063</v>
      </c>
      <c r="W2712" s="5">
        <f>R2712-V2712</f>
        <v/>
      </c>
    </row>
    <row r="2713">
      <c r="A2713" s="3" t="n">
        <v>42430</v>
      </c>
      <c r="B2713">
        <f>Prices!B2713</f>
        <v/>
      </c>
      <c r="C2713">
        <f>Prices!C2713</f>
        <v/>
      </c>
      <c r="D2713">
        <f>Prices!D2713</f>
        <v/>
      </c>
      <c r="E2713">
        <f>Prices!E2713</f>
        <v/>
      </c>
      <c r="F2713">
        <f>Prices!F2713</f>
        <v/>
      </c>
      <c r="G2713">
        <f>IF(AND(2711&gt;=16,TEXT(A2713,"yyyy-mm")&lt;&gt;TEXT(A2714,"yyyy-mm")),1,0)</f>
        <v/>
      </c>
      <c r="H2713">
        <f>IF(OR(H2712=1,G2713=1),1,0)</f>
        <v/>
      </c>
      <c r="I2713">
        <f>IF(H2712=0,1,SUMPRODUCT(J2712:N2712,B2713:F2713)+O2712*(1+0.00023125256064071564))</f>
        <v/>
      </c>
      <c r="J2713">
        <f>IF(G2713=1,0.2*R2713/B2713,J2712)</f>
        <v/>
      </c>
      <c r="K2713">
        <f>IF(G2713=1,0.2*R2713/C2713,K2712)</f>
        <v/>
      </c>
      <c r="L2713">
        <f>IF(G2713=1,0.2*R2713/D2713,L2712)</f>
        <v/>
      </c>
      <c r="M2713">
        <f>IF(G2713=1,0.2*R2713/E2713,M2712)</f>
        <v/>
      </c>
      <c r="N2713">
        <f>IF(G2713=1,0.2*R2713/F2713,N2712)</f>
        <v/>
      </c>
      <c r="O2713">
        <f>IF(G2713=1,R2713*(1-1.0),IF(H2712=0,1,O2712*(1+0.00023125256064071564)))</f>
        <v/>
      </c>
      <c r="P2713">
        <f>IF(G2713=1,IF(H2712=0,1,ABS(0.2-J2712*B2713/I2713)+ABS(0.2-K2712*C2713/I2713)+ABS(0.2-L2712*D2713/I2713)+ABS(0.2-M2712*E2713/I2713)+ABS(0.2-N2712*F2713/I2713)),0)</f>
        <v/>
      </c>
      <c r="Q2713">
        <f>P2713*0.0015</f>
        <v/>
      </c>
      <c r="R2713">
        <f>I2713*(1-Q2713)</f>
        <v/>
      </c>
      <c r="S2713">
        <f>R2713/R2712-1</f>
        <v/>
      </c>
      <c r="T2713">
        <f>MAX(T2712,R2713)</f>
        <v/>
      </c>
      <c r="U2713">
        <f>R2713/T2713-1</f>
        <v/>
      </c>
      <c r="V2713" t="n">
        <v>5.765522195065176</v>
      </c>
      <c r="W2713" s="5">
        <f>R2713-V2713</f>
        <v/>
      </c>
    </row>
    <row r="2714">
      <c r="A2714" s="3" t="n">
        <v>42431</v>
      </c>
      <c r="B2714">
        <f>Prices!B2714</f>
        <v/>
      </c>
      <c r="C2714">
        <f>Prices!C2714</f>
        <v/>
      </c>
      <c r="D2714">
        <f>Prices!D2714</f>
        <v/>
      </c>
      <c r="E2714">
        <f>Prices!E2714</f>
        <v/>
      </c>
      <c r="F2714">
        <f>Prices!F2714</f>
        <v/>
      </c>
      <c r="G2714">
        <f>IF(AND(2712&gt;=16,TEXT(A2714,"yyyy-mm")&lt;&gt;TEXT(A2715,"yyyy-mm")),1,0)</f>
        <v/>
      </c>
      <c r="H2714">
        <f>IF(OR(H2713=1,G2714=1),1,0)</f>
        <v/>
      </c>
      <c r="I2714">
        <f>IF(H2713=0,1,SUMPRODUCT(J2713:N2713,B2714:F2714)+O2713*(1+0.00023125256064071564))</f>
        <v/>
      </c>
      <c r="J2714">
        <f>IF(G2714=1,0.2*R2714/B2714,J2713)</f>
        <v/>
      </c>
      <c r="K2714">
        <f>IF(G2714=1,0.2*R2714/C2714,K2713)</f>
        <v/>
      </c>
      <c r="L2714">
        <f>IF(G2714=1,0.2*R2714/D2714,L2713)</f>
        <v/>
      </c>
      <c r="M2714">
        <f>IF(G2714=1,0.2*R2714/E2714,M2713)</f>
        <v/>
      </c>
      <c r="N2714">
        <f>IF(G2714=1,0.2*R2714/F2714,N2713)</f>
        <v/>
      </c>
      <c r="O2714">
        <f>IF(G2714=1,R2714*(1-1.0),IF(H2713=0,1,O2713*(1+0.00023125256064071564)))</f>
        <v/>
      </c>
      <c r="P2714">
        <f>IF(G2714=1,IF(H2713=0,1,ABS(0.2-J2713*B2714/I2714)+ABS(0.2-K2713*C2714/I2714)+ABS(0.2-L2713*D2714/I2714)+ABS(0.2-M2713*E2714/I2714)+ABS(0.2-N2713*F2714/I2714)),0)</f>
        <v/>
      </c>
      <c r="Q2714">
        <f>P2714*0.0015</f>
        <v/>
      </c>
      <c r="R2714">
        <f>I2714*(1-Q2714)</f>
        <v/>
      </c>
      <c r="S2714">
        <f>R2714/R2713-1</f>
        <v/>
      </c>
      <c r="T2714">
        <f>MAX(T2713,R2714)</f>
        <v/>
      </c>
      <c r="U2714">
        <f>R2714/T2714-1</f>
        <v/>
      </c>
      <c r="V2714" t="n">
        <v>5.884974584613259</v>
      </c>
      <c r="W2714" s="5">
        <f>R2714-V2714</f>
        <v/>
      </c>
    </row>
    <row r="2715">
      <c r="A2715" s="3" t="n">
        <v>42432</v>
      </c>
      <c r="B2715">
        <f>Prices!B2715</f>
        <v/>
      </c>
      <c r="C2715">
        <f>Prices!C2715</f>
        <v/>
      </c>
      <c r="D2715">
        <f>Prices!D2715</f>
        <v/>
      </c>
      <c r="E2715">
        <f>Prices!E2715</f>
        <v/>
      </c>
      <c r="F2715">
        <f>Prices!F2715</f>
        <v/>
      </c>
      <c r="G2715">
        <f>IF(AND(2713&gt;=16,TEXT(A2715,"yyyy-mm")&lt;&gt;TEXT(A2716,"yyyy-mm")),1,0)</f>
        <v/>
      </c>
      <c r="H2715">
        <f>IF(OR(H2714=1,G2715=1),1,0)</f>
        <v/>
      </c>
      <c r="I2715">
        <f>IF(H2714=0,1,SUMPRODUCT(J2714:N2714,B2715:F2715)+O2714*(1+0.00023125256064071564))</f>
        <v/>
      </c>
      <c r="J2715">
        <f>IF(G2715=1,0.2*R2715/B2715,J2714)</f>
        <v/>
      </c>
      <c r="K2715">
        <f>IF(G2715=1,0.2*R2715/C2715,K2714)</f>
        <v/>
      </c>
      <c r="L2715">
        <f>IF(G2715=1,0.2*R2715/D2715,L2714)</f>
        <v/>
      </c>
      <c r="M2715">
        <f>IF(G2715=1,0.2*R2715/E2715,M2714)</f>
        <v/>
      </c>
      <c r="N2715">
        <f>IF(G2715=1,0.2*R2715/F2715,N2714)</f>
        <v/>
      </c>
      <c r="O2715">
        <f>IF(G2715=1,R2715*(1-1.0),IF(H2714=0,1,O2714*(1+0.00023125256064071564)))</f>
        <v/>
      </c>
      <c r="P2715">
        <f>IF(G2715=1,IF(H2714=0,1,ABS(0.2-J2714*B2715/I2715)+ABS(0.2-K2714*C2715/I2715)+ABS(0.2-L2714*D2715/I2715)+ABS(0.2-M2714*E2715/I2715)+ABS(0.2-N2714*F2715/I2715)),0)</f>
        <v/>
      </c>
      <c r="Q2715">
        <f>P2715*0.0015</f>
        <v/>
      </c>
      <c r="R2715">
        <f>I2715*(1-Q2715)</f>
        <v/>
      </c>
      <c r="S2715">
        <f>R2715/R2714-1</f>
        <v/>
      </c>
      <c r="T2715">
        <f>MAX(T2714,R2715)</f>
        <v/>
      </c>
      <c r="U2715">
        <f>R2715/T2715-1</f>
        <v/>
      </c>
      <c r="V2715" t="n">
        <v>5.981588381255864</v>
      </c>
      <c r="W2715" s="5">
        <f>R2715-V2715</f>
        <v/>
      </c>
    </row>
    <row r="2716">
      <c r="A2716" s="3" t="n">
        <v>42433</v>
      </c>
      <c r="B2716">
        <f>Prices!B2716</f>
        <v/>
      </c>
      <c r="C2716">
        <f>Prices!C2716</f>
        <v/>
      </c>
      <c r="D2716">
        <f>Prices!D2716</f>
        <v/>
      </c>
      <c r="E2716">
        <f>Prices!E2716</f>
        <v/>
      </c>
      <c r="F2716">
        <f>Prices!F2716</f>
        <v/>
      </c>
      <c r="G2716">
        <f>IF(AND(2714&gt;=16,TEXT(A2716,"yyyy-mm")&lt;&gt;TEXT(A2717,"yyyy-mm")),1,0)</f>
        <v/>
      </c>
      <c r="H2716">
        <f>IF(OR(H2715=1,G2716=1),1,0)</f>
        <v/>
      </c>
      <c r="I2716">
        <f>IF(H2715=0,1,SUMPRODUCT(J2715:N2715,B2716:F2716)+O2715*(1+0.00023125256064071564))</f>
        <v/>
      </c>
      <c r="J2716">
        <f>IF(G2716=1,0.2*R2716/B2716,J2715)</f>
        <v/>
      </c>
      <c r="K2716">
        <f>IF(G2716=1,0.2*R2716/C2716,K2715)</f>
        <v/>
      </c>
      <c r="L2716">
        <f>IF(G2716=1,0.2*R2716/D2716,L2715)</f>
        <v/>
      </c>
      <c r="M2716">
        <f>IF(G2716=1,0.2*R2716/E2716,M2715)</f>
        <v/>
      </c>
      <c r="N2716">
        <f>IF(G2716=1,0.2*R2716/F2716,N2715)</f>
        <v/>
      </c>
      <c r="O2716">
        <f>IF(G2716=1,R2716*(1-1.0),IF(H2715=0,1,O2715*(1+0.00023125256064071564)))</f>
        <v/>
      </c>
      <c r="P2716">
        <f>IF(G2716=1,IF(H2715=0,1,ABS(0.2-J2715*B2716/I2716)+ABS(0.2-K2715*C2716/I2716)+ABS(0.2-L2715*D2716/I2716)+ABS(0.2-M2715*E2716/I2716)+ABS(0.2-N2715*F2716/I2716)),0)</f>
        <v/>
      </c>
      <c r="Q2716">
        <f>P2716*0.0015</f>
        <v/>
      </c>
      <c r="R2716">
        <f>I2716*(1-Q2716)</f>
        <v/>
      </c>
      <c r="S2716">
        <f>R2716/R2715-1</f>
        <v/>
      </c>
      <c r="T2716">
        <f>MAX(T2715,R2716)</f>
        <v/>
      </c>
      <c r="U2716">
        <f>R2716/T2716-1</f>
        <v/>
      </c>
      <c r="V2716" t="n">
        <v>6.028236937855293</v>
      </c>
      <c r="W2716" s="5">
        <f>R2716-V2716</f>
        <v/>
      </c>
    </row>
    <row r="2717">
      <c r="A2717" s="3" t="n">
        <v>42437</v>
      </c>
      <c r="B2717">
        <f>Prices!B2717</f>
        <v/>
      </c>
      <c r="C2717">
        <f>Prices!C2717</f>
        <v/>
      </c>
      <c r="D2717">
        <f>Prices!D2717</f>
        <v/>
      </c>
      <c r="E2717">
        <f>Prices!E2717</f>
        <v/>
      </c>
      <c r="F2717">
        <f>Prices!F2717</f>
        <v/>
      </c>
      <c r="G2717">
        <f>IF(AND(2715&gt;=16,TEXT(A2717,"yyyy-mm")&lt;&gt;TEXT(A2718,"yyyy-mm")),1,0)</f>
        <v/>
      </c>
      <c r="H2717">
        <f>IF(OR(H2716=1,G2717=1),1,0)</f>
        <v/>
      </c>
      <c r="I2717">
        <f>IF(H2716=0,1,SUMPRODUCT(J2716:N2716,B2717:F2717)+O2716*(1+0.00023125256064071564))</f>
        <v/>
      </c>
      <c r="J2717">
        <f>IF(G2717=1,0.2*R2717/B2717,J2716)</f>
        <v/>
      </c>
      <c r="K2717">
        <f>IF(G2717=1,0.2*R2717/C2717,K2716)</f>
        <v/>
      </c>
      <c r="L2717">
        <f>IF(G2717=1,0.2*R2717/D2717,L2716)</f>
        <v/>
      </c>
      <c r="M2717">
        <f>IF(G2717=1,0.2*R2717/E2717,M2716)</f>
        <v/>
      </c>
      <c r="N2717">
        <f>IF(G2717=1,0.2*R2717/F2717,N2716)</f>
        <v/>
      </c>
      <c r="O2717">
        <f>IF(G2717=1,R2717*(1-1.0),IF(H2716=0,1,O2716*(1+0.00023125256064071564)))</f>
        <v/>
      </c>
      <c r="P2717">
        <f>IF(G2717=1,IF(H2716=0,1,ABS(0.2-J2716*B2717/I2717)+ABS(0.2-K2716*C2717/I2717)+ABS(0.2-L2716*D2717/I2717)+ABS(0.2-M2716*E2717/I2717)+ABS(0.2-N2716*F2717/I2717)),0)</f>
        <v/>
      </c>
      <c r="Q2717">
        <f>P2717*0.0015</f>
        <v/>
      </c>
      <c r="R2717">
        <f>I2717*(1-Q2717)</f>
        <v/>
      </c>
      <c r="S2717">
        <f>R2717/R2716-1</f>
        <v/>
      </c>
      <c r="T2717">
        <f>MAX(T2716,R2717)</f>
        <v/>
      </c>
      <c r="U2717">
        <f>R2717/T2717-1</f>
        <v/>
      </c>
      <c r="V2717" t="n">
        <v>6.062978123398655</v>
      </c>
      <c r="W2717" s="5">
        <f>R2717-V2717</f>
        <v/>
      </c>
    </row>
    <row r="2718">
      <c r="A2718" s="3" t="n">
        <v>42438</v>
      </c>
      <c r="B2718">
        <f>Prices!B2718</f>
        <v/>
      </c>
      <c r="C2718">
        <f>Prices!C2718</f>
        <v/>
      </c>
      <c r="D2718">
        <f>Prices!D2718</f>
        <v/>
      </c>
      <c r="E2718">
        <f>Prices!E2718</f>
        <v/>
      </c>
      <c r="F2718">
        <f>Prices!F2718</f>
        <v/>
      </c>
      <c r="G2718">
        <f>IF(AND(2716&gt;=16,TEXT(A2718,"yyyy-mm")&lt;&gt;TEXT(A2719,"yyyy-mm")),1,0)</f>
        <v/>
      </c>
      <c r="H2718">
        <f>IF(OR(H2717=1,G2718=1),1,0)</f>
        <v/>
      </c>
      <c r="I2718">
        <f>IF(H2717=0,1,SUMPRODUCT(J2717:N2717,B2718:F2718)+O2717*(1+0.00023125256064071564))</f>
        <v/>
      </c>
      <c r="J2718">
        <f>IF(G2718=1,0.2*R2718/B2718,J2717)</f>
        <v/>
      </c>
      <c r="K2718">
        <f>IF(G2718=1,0.2*R2718/C2718,K2717)</f>
        <v/>
      </c>
      <c r="L2718">
        <f>IF(G2718=1,0.2*R2718/D2718,L2717)</f>
        <v/>
      </c>
      <c r="M2718">
        <f>IF(G2718=1,0.2*R2718/E2718,M2717)</f>
        <v/>
      </c>
      <c r="N2718">
        <f>IF(G2718=1,0.2*R2718/F2718,N2717)</f>
        <v/>
      </c>
      <c r="O2718">
        <f>IF(G2718=1,R2718*(1-1.0),IF(H2717=0,1,O2717*(1+0.00023125256064071564)))</f>
        <v/>
      </c>
      <c r="P2718">
        <f>IF(G2718=1,IF(H2717=0,1,ABS(0.2-J2717*B2718/I2718)+ABS(0.2-K2717*C2718/I2718)+ABS(0.2-L2717*D2718/I2718)+ABS(0.2-M2717*E2718/I2718)+ABS(0.2-N2717*F2718/I2718)),0)</f>
        <v/>
      </c>
      <c r="Q2718">
        <f>P2718*0.0015</f>
        <v/>
      </c>
      <c r="R2718">
        <f>I2718*(1-Q2718)</f>
        <v/>
      </c>
      <c r="S2718">
        <f>R2718/R2717-1</f>
        <v/>
      </c>
      <c r="T2718">
        <f>MAX(T2717,R2718)</f>
        <v/>
      </c>
      <c r="U2718">
        <f>R2718/T2718-1</f>
        <v/>
      </c>
      <c r="V2718" t="n">
        <v>6.084038212418526</v>
      </c>
      <c r="W2718" s="5">
        <f>R2718-V2718</f>
        <v/>
      </c>
    </row>
    <row r="2719">
      <c r="A2719" s="3" t="n">
        <v>42439</v>
      </c>
      <c r="B2719">
        <f>Prices!B2719</f>
        <v/>
      </c>
      <c r="C2719">
        <f>Prices!C2719</f>
        <v/>
      </c>
      <c r="D2719">
        <f>Prices!D2719</f>
        <v/>
      </c>
      <c r="E2719">
        <f>Prices!E2719</f>
        <v/>
      </c>
      <c r="F2719">
        <f>Prices!F2719</f>
        <v/>
      </c>
      <c r="G2719">
        <f>IF(AND(2717&gt;=16,TEXT(A2719,"yyyy-mm")&lt;&gt;TEXT(A2720,"yyyy-mm")),1,0)</f>
        <v/>
      </c>
      <c r="H2719">
        <f>IF(OR(H2718=1,G2719=1),1,0)</f>
        <v/>
      </c>
      <c r="I2719">
        <f>IF(H2718=0,1,SUMPRODUCT(J2718:N2718,B2719:F2719)+O2718*(1+0.00023125256064071564))</f>
        <v/>
      </c>
      <c r="J2719">
        <f>IF(G2719=1,0.2*R2719/B2719,J2718)</f>
        <v/>
      </c>
      <c r="K2719">
        <f>IF(G2719=1,0.2*R2719/C2719,K2718)</f>
        <v/>
      </c>
      <c r="L2719">
        <f>IF(G2719=1,0.2*R2719/D2719,L2718)</f>
        <v/>
      </c>
      <c r="M2719">
        <f>IF(G2719=1,0.2*R2719/E2719,M2718)</f>
        <v/>
      </c>
      <c r="N2719">
        <f>IF(G2719=1,0.2*R2719/F2719,N2718)</f>
        <v/>
      </c>
      <c r="O2719">
        <f>IF(G2719=1,R2719*(1-1.0),IF(H2718=0,1,O2718*(1+0.00023125256064071564)))</f>
        <v/>
      </c>
      <c r="P2719">
        <f>IF(G2719=1,IF(H2718=0,1,ABS(0.2-J2718*B2719/I2719)+ABS(0.2-K2718*C2719/I2719)+ABS(0.2-L2718*D2719/I2719)+ABS(0.2-M2718*E2719/I2719)+ABS(0.2-N2718*F2719/I2719)),0)</f>
        <v/>
      </c>
      <c r="Q2719">
        <f>P2719*0.0015</f>
        <v/>
      </c>
      <c r="R2719">
        <f>I2719*(1-Q2719)</f>
        <v/>
      </c>
      <c r="S2719">
        <f>R2719/R2718-1</f>
        <v/>
      </c>
      <c r="T2719">
        <f>MAX(T2718,R2719)</f>
        <v/>
      </c>
      <c r="U2719">
        <f>R2719/T2719-1</f>
        <v/>
      </c>
      <c r="V2719" t="n">
        <v>6.056593296413622</v>
      </c>
      <c r="W2719" s="5">
        <f>R2719-V2719</f>
        <v/>
      </c>
    </row>
    <row r="2720">
      <c r="A2720" s="3" t="n">
        <v>42440</v>
      </c>
      <c r="B2720">
        <f>Prices!B2720</f>
        <v/>
      </c>
      <c r="C2720">
        <f>Prices!C2720</f>
        <v/>
      </c>
      <c r="D2720">
        <f>Prices!D2720</f>
        <v/>
      </c>
      <c r="E2720">
        <f>Prices!E2720</f>
        <v/>
      </c>
      <c r="F2720">
        <f>Prices!F2720</f>
        <v/>
      </c>
      <c r="G2720">
        <f>IF(AND(2718&gt;=16,TEXT(A2720,"yyyy-mm")&lt;&gt;TEXT(A2721,"yyyy-mm")),1,0)</f>
        <v/>
      </c>
      <c r="H2720">
        <f>IF(OR(H2719=1,G2720=1),1,0)</f>
        <v/>
      </c>
      <c r="I2720">
        <f>IF(H2719=0,1,SUMPRODUCT(J2719:N2719,B2720:F2720)+O2719*(1+0.00023125256064071564))</f>
        <v/>
      </c>
      <c r="J2720">
        <f>IF(G2720=1,0.2*R2720/B2720,J2719)</f>
        <v/>
      </c>
      <c r="K2720">
        <f>IF(G2720=1,0.2*R2720/C2720,K2719)</f>
        <v/>
      </c>
      <c r="L2720">
        <f>IF(G2720=1,0.2*R2720/D2720,L2719)</f>
        <v/>
      </c>
      <c r="M2720">
        <f>IF(G2720=1,0.2*R2720/E2720,M2719)</f>
        <v/>
      </c>
      <c r="N2720">
        <f>IF(G2720=1,0.2*R2720/F2720,N2719)</f>
        <v/>
      </c>
      <c r="O2720">
        <f>IF(G2720=1,R2720*(1-1.0),IF(H2719=0,1,O2719*(1+0.00023125256064071564)))</f>
        <v/>
      </c>
      <c r="P2720">
        <f>IF(G2720=1,IF(H2719=0,1,ABS(0.2-J2719*B2720/I2720)+ABS(0.2-K2719*C2720/I2720)+ABS(0.2-L2719*D2720/I2720)+ABS(0.2-M2719*E2720/I2720)+ABS(0.2-N2719*F2720/I2720)),0)</f>
        <v/>
      </c>
      <c r="Q2720">
        <f>P2720*0.0015</f>
        <v/>
      </c>
      <c r="R2720">
        <f>I2720*(1-Q2720)</f>
        <v/>
      </c>
      <c r="S2720">
        <f>R2720/R2719-1</f>
        <v/>
      </c>
      <c r="T2720">
        <f>MAX(T2719,R2720)</f>
        <v/>
      </c>
      <c r="U2720">
        <f>R2720/T2720-1</f>
        <v/>
      </c>
      <c r="V2720" t="n">
        <v>6.068876594010903</v>
      </c>
      <c r="W2720" s="5">
        <f>R2720-V2720</f>
        <v/>
      </c>
    </row>
    <row r="2721">
      <c r="A2721" s="3" t="n">
        <v>42443</v>
      </c>
      <c r="B2721">
        <f>Prices!B2721</f>
        <v/>
      </c>
      <c r="C2721">
        <f>Prices!C2721</f>
        <v/>
      </c>
      <c r="D2721">
        <f>Prices!D2721</f>
        <v/>
      </c>
      <c r="E2721">
        <f>Prices!E2721</f>
        <v/>
      </c>
      <c r="F2721">
        <f>Prices!F2721</f>
        <v/>
      </c>
      <c r="G2721">
        <f>IF(AND(2719&gt;=16,TEXT(A2721,"yyyy-mm")&lt;&gt;TEXT(A2722,"yyyy-mm")),1,0)</f>
        <v/>
      </c>
      <c r="H2721">
        <f>IF(OR(H2720=1,G2721=1),1,0)</f>
        <v/>
      </c>
      <c r="I2721">
        <f>IF(H2720=0,1,SUMPRODUCT(J2720:N2720,B2721:F2721)+O2720*(1+0.00023125256064071564))</f>
        <v/>
      </c>
      <c r="J2721">
        <f>IF(G2721=1,0.2*R2721/B2721,J2720)</f>
        <v/>
      </c>
      <c r="K2721">
        <f>IF(G2721=1,0.2*R2721/C2721,K2720)</f>
        <v/>
      </c>
      <c r="L2721">
        <f>IF(G2721=1,0.2*R2721/D2721,L2720)</f>
        <v/>
      </c>
      <c r="M2721">
        <f>IF(G2721=1,0.2*R2721/E2721,M2720)</f>
        <v/>
      </c>
      <c r="N2721">
        <f>IF(G2721=1,0.2*R2721/F2721,N2720)</f>
        <v/>
      </c>
      <c r="O2721">
        <f>IF(G2721=1,R2721*(1-1.0),IF(H2720=0,1,O2720*(1+0.00023125256064071564)))</f>
        <v/>
      </c>
      <c r="P2721">
        <f>IF(G2721=1,IF(H2720=0,1,ABS(0.2-J2720*B2721/I2721)+ABS(0.2-K2720*C2721/I2721)+ABS(0.2-L2720*D2721/I2721)+ABS(0.2-M2720*E2721/I2721)+ABS(0.2-N2720*F2721/I2721)),0)</f>
        <v/>
      </c>
      <c r="Q2721">
        <f>P2721*0.0015</f>
        <v/>
      </c>
      <c r="R2721">
        <f>I2721*(1-Q2721)</f>
        <v/>
      </c>
      <c r="S2721">
        <f>R2721/R2720-1</f>
        <v/>
      </c>
      <c r="T2721">
        <f>MAX(T2720,R2721)</f>
        <v/>
      </c>
      <c r="U2721">
        <f>R2721/T2721-1</f>
        <v/>
      </c>
      <c r="V2721" t="n">
        <v>6.100813164899827</v>
      </c>
      <c r="W2721" s="5">
        <f>R2721-V2721</f>
        <v/>
      </c>
    </row>
    <row r="2722">
      <c r="A2722" s="3" t="n">
        <v>42444</v>
      </c>
      <c r="B2722">
        <f>Prices!B2722</f>
        <v/>
      </c>
      <c r="C2722">
        <f>Prices!C2722</f>
        <v/>
      </c>
      <c r="D2722">
        <f>Prices!D2722</f>
        <v/>
      </c>
      <c r="E2722">
        <f>Prices!E2722</f>
        <v/>
      </c>
      <c r="F2722">
        <f>Prices!F2722</f>
        <v/>
      </c>
      <c r="G2722">
        <f>IF(AND(2720&gt;=16,TEXT(A2722,"yyyy-mm")&lt;&gt;TEXT(A2723,"yyyy-mm")),1,0)</f>
        <v/>
      </c>
      <c r="H2722">
        <f>IF(OR(H2721=1,G2722=1),1,0)</f>
        <v/>
      </c>
      <c r="I2722">
        <f>IF(H2721=0,1,SUMPRODUCT(J2721:N2721,B2722:F2722)+O2721*(1+0.00023125256064071564))</f>
        <v/>
      </c>
      <c r="J2722">
        <f>IF(G2722=1,0.2*R2722/B2722,J2721)</f>
        <v/>
      </c>
      <c r="K2722">
        <f>IF(G2722=1,0.2*R2722/C2722,K2721)</f>
        <v/>
      </c>
      <c r="L2722">
        <f>IF(G2722=1,0.2*R2722/D2722,L2721)</f>
        <v/>
      </c>
      <c r="M2722">
        <f>IF(G2722=1,0.2*R2722/E2722,M2721)</f>
        <v/>
      </c>
      <c r="N2722">
        <f>IF(G2722=1,0.2*R2722/F2722,N2721)</f>
        <v/>
      </c>
      <c r="O2722">
        <f>IF(G2722=1,R2722*(1-1.0),IF(H2721=0,1,O2721*(1+0.00023125256064071564)))</f>
        <v/>
      </c>
      <c r="P2722">
        <f>IF(G2722=1,IF(H2721=0,1,ABS(0.2-J2721*B2722/I2722)+ABS(0.2-K2721*C2722/I2722)+ABS(0.2-L2721*D2722/I2722)+ABS(0.2-M2721*E2722/I2722)+ABS(0.2-N2721*F2722/I2722)),0)</f>
        <v/>
      </c>
      <c r="Q2722">
        <f>P2722*0.0015</f>
        <v/>
      </c>
      <c r="R2722">
        <f>I2722*(1-Q2722)</f>
        <v/>
      </c>
      <c r="S2722">
        <f>R2722/R2721-1</f>
        <v/>
      </c>
      <c r="T2722">
        <f>MAX(T2721,R2722)</f>
        <v/>
      </c>
      <c r="U2722">
        <f>R2722/T2722-1</f>
        <v/>
      </c>
      <c r="V2722" t="n">
        <v>6.036002351342153</v>
      </c>
      <c r="W2722" s="5">
        <f>R2722-V2722</f>
        <v/>
      </c>
    </row>
    <row r="2723">
      <c r="A2723" s="3" t="n">
        <v>42445</v>
      </c>
      <c r="B2723">
        <f>Prices!B2723</f>
        <v/>
      </c>
      <c r="C2723">
        <f>Prices!C2723</f>
        <v/>
      </c>
      <c r="D2723">
        <f>Prices!D2723</f>
        <v/>
      </c>
      <c r="E2723">
        <f>Prices!E2723</f>
        <v/>
      </c>
      <c r="F2723">
        <f>Prices!F2723</f>
        <v/>
      </c>
      <c r="G2723">
        <f>IF(AND(2721&gt;=16,TEXT(A2723,"yyyy-mm")&lt;&gt;TEXT(A2724,"yyyy-mm")),1,0)</f>
        <v/>
      </c>
      <c r="H2723">
        <f>IF(OR(H2722=1,G2723=1),1,0)</f>
        <v/>
      </c>
      <c r="I2723">
        <f>IF(H2722=0,1,SUMPRODUCT(J2722:N2722,B2723:F2723)+O2722*(1+0.00023125256064071564))</f>
        <v/>
      </c>
      <c r="J2723">
        <f>IF(G2723=1,0.2*R2723/B2723,J2722)</f>
        <v/>
      </c>
      <c r="K2723">
        <f>IF(G2723=1,0.2*R2723/C2723,K2722)</f>
        <v/>
      </c>
      <c r="L2723">
        <f>IF(G2723=1,0.2*R2723/D2723,L2722)</f>
        <v/>
      </c>
      <c r="M2723">
        <f>IF(G2723=1,0.2*R2723/E2723,M2722)</f>
        <v/>
      </c>
      <c r="N2723">
        <f>IF(G2723=1,0.2*R2723/F2723,N2722)</f>
        <v/>
      </c>
      <c r="O2723">
        <f>IF(G2723=1,R2723*(1-1.0),IF(H2722=0,1,O2722*(1+0.00023125256064071564)))</f>
        <v/>
      </c>
      <c r="P2723">
        <f>IF(G2723=1,IF(H2722=0,1,ABS(0.2-J2722*B2723/I2723)+ABS(0.2-K2722*C2723/I2723)+ABS(0.2-L2722*D2723/I2723)+ABS(0.2-M2722*E2723/I2723)+ABS(0.2-N2722*F2723/I2723)),0)</f>
        <v/>
      </c>
      <c r="Q2723">
        <f>P2723*0.0015</f>
        <v/>
      </c>
      <c r="R2723">
        <f>I2723*(1-Q2723)</f>
        <v/>
      </c>
      <c r="S2723">
        <f>R2723/R2722-1</f>
        <v/>
      </c>
      <c r="T2723">
        <f>MAX(T2722,R2723)</f>
        <v/>
      </c>
      <c r="U2723">
        <f>R2723/T2723-1</f>
        <v/>
      </c>
      <c r="V2723" t="n">
        <v>6.004464550506829</v>
      </c>
      <c r="W2723" s="5">
        <f>R2723-V2723</f>
        <v/>
      </c>
    </row>
    <row r="2724">
      <c r="A2724" s="3" t="n">
        <v>42446</v>
      </c>
      <c r="B2724">
        <f>Prices!B2724</f>
        <v/>
      </c>
      <c r="C2724">
        <f>Prices!C2724</f>
        <v/>
      </c>
      <c r="D2724">
        <f>Prices!D2724</f>
        <v/>
      </c>
      <c r="E2724">
        <f>Prices!E2724</f>
        <v/>
      </c>
      <c r="F2724">
        <f>Prices!F2724</f>
        <v/>
      </c>
      <c r="G2724">
        <f>IF(AND(2722&gt;=16,TEXT(A2724,"yyyy-mm")&lt;&gt;TEXT(A2725,"yyyy-mm")),1,0)</f>
        <v/>
      </c>
      <c r="H2724">
        <f>IF(OR(H2723=1,G2724=1),1,0)</f>
        <v/>
      </c>
      <c r="I2724">
        <f>IF(H2723=0,1,SUMPRODUCT(J2723:N2723,B2724:F2724)+O2723*(1+0.00023125256064071564))</f>
        <v/>
      </c>
      <c r="J2724">
        <f>IF(G2724=1,0.2*R2724/B2724,J2723)</f>
        <v/>
      </c>
      <c r="K2724">
        <f>IF(G2724=1,0.2*R2724/C2724,K2723)</f>
        <v/>
      </c>
      <c r="L2724">
        <f>IF(G2724=1,0.2*R2724/D2724,L2723)</f>
        <v/>
      </c>
      <c r="M2724">
        <f>IF(G2724=1,0.2*R2724/E2724,M2723)</f>
        <v/>
      </c>
      <c r="N2724">
        <f>IF(G2724=1,0.2*R2724/F2724,N2723)</f>
        <v/>
      </c>
      <c r="O2724">
        <f>IF(G2724=1,R2724*(1-1.0),IF(H2723=0,1,O2723*(1+0.00023125256064071564)))</f>
        <v/>
      </c>
      <c r="P2724">
        <f>IF(G2724=1,IF(H2723=0,1,ABS(0.2-J2723*B2724/I2724)+ABS(0.2-K2723*C2724/I2724)+ABS(0.2-L2723*D2724/I2724)+ABS(0.2-M2723*E2724/I2724)+ABS(0.2-N2723*F2724/I2724)),0)</f>
        <v/>
      </c>
      <c r="Q2724">
        <f>P2724*0.0015</f>
        <v/>
      </c>
      <c r="R2724">
        <f>I2724*(1-Q2724)</f>
        <v/>
      </c>
      <c r="S2724">
        <f>R2724/R2723-1</f>
        <v/>
      </c>
      <c r="T2724">
        <f>MAX(T2723,R2724)</f>
        <v/>
      </c>
      <c r="U2724">
        <f>R2724/T2724-1</f>
        <v/>
      </c>
      <c r="V2724" t="n">
        <v>6.019576701595897</v>
      </c>
      <c r="W2724" s="5">
        <f>R2724-V2724</f>
        <v/>
      </c>
    </row>
    <row r="2725">
      <c r="A2725" s="3" t="n">
        <v>42447</v>
      </c>
      <c r="B2725">
        <f>Prices!B2725</f>
        <v/>
      </c>
      <c r="C2725">
        <f>Prices!C2725</f>
        <v/>
      </c>
      <c r="D2725">
        <f>Prices!D2725</f>
        <v/>
      </c>
      <c r="E2725">
        <f>Prices!E2725</f>
        <v/>
      </c>
      <c r="F2725">
        <f>Prices!F2725</f>
        <v/>
      </c>
      <c r="G2725">
        <f>IF(AND(2723&gt;=16,TEXT(A2725,"yyyy-mm")&lt;&gt;TEXT(A2726,"yyyy-mm")),1,0)</f>
        <v/>
      </c>
      <c r="H2725">
        <f>IF(OR(H2724=1,G2725=1),1,0)</f>
        <v/>
      </c>
      <c r="I2725">
        <f>IF(H2724=0,1,SUMPRODUCT(J2724:N2724,B2725:F2725)+O2724*(1+0.00023125256064071564))</f>
        <v/>
      </c>
      <c r="J2725">
        <f>IF(G2725=1,0.2*R2725/B2725,J2724)</f>
        <v/>
      </c>
      <c r="K2725">
        <f>IF(G2725=1,0.2*R2725/C2725,K2724)</f>
        <v/>
      </c>
      <c r="L2725">
        <f>IF(G2725=1,0.2*R2725/D2725,L2724)</f>
        <v/>
      </c>
      <c r="M2725">
        <f>IF(G2725=1,0.2*R2725/E2725,M2724)</f>
        <v/>
      </c>
      <c r="N2725">
        <f>IF(G2725=1,0.2*R2725/F2725,N2724)</f>
        <v/>
      </c>
      <c r="O2725">
        <f>IF(G2725=1,R2725*(1-1.0),IF(H2724=0,1,O2724*(1+0.00023125256064071564)))</f>
        <v/>
      </c>
      <c r="P2725">
        <f>IF(G2725=1,IF(H2724=0,1,ABS(0.2-J2724*B2725/I2725)+ABS(0.2-K2724*C2725/I2725)+ABS(0.2-L2724*D2725/I2725)+ABS(0.2-M2724*E2725/I2725)+ABS(0.2-N2724*F2725/I2725)),0)</f>
        <v/>
      </c>
      <c r="Q2725">
        <f>P2725*0.0015</f>
        <v/>
      </c>
      <c r="R2725">
        <f>I2725*(1-Q2725)</f>
        <v/>
      </c>
      <c r="S2725">
        <f>R2725/R2724-1</f>
        <v/>
      </c>
      <c r="T2725">
        <f>MAX(T2724,R2725)</f>
        <v/>
      </c>
      <c r="U2725">
        <f>R2725/T2725-1</f>
        <v/>
      </c>
      <c r="V2725" t="n">
        <v>6.070172926079337</v>
      </c>
      <c r="W2725" s="5">
        <f>R2725-V2725</f>
        <v/>
      </c>
    </row>
    <row r="2726">
      <c r="A2726" s="3" t="n">
        <v>42450</v>
      </c>
      <c r="B2726">
        <f>Prices!B2726</f>
        <v/>
      </c>
      <c r="C2726">
        <f>Prices!C2726</f>
        <v/>
      </c>
      <c r="D2726">
        <f>Prices!D2726</f>
        <v/>
      </c>
      <c r="E2726">
        <f>Prices!E2726</f>
        <v/>
      </c>
      <c r="F2726">
        <f>Prices!F2726</f>
        <v/>
      </c>
      <c r="G2726">
        <f>IF(AND(2724&gt;=16,TEXT(A2726,"yyyy-mm")&lt;&gt;TEXT(A2727,"yyyy-mm")),1,0)</f>
        <v/>
      </c>
      <c r="H2726">
        <f>IF(OR(H2725=1,G2726=1),1,0)</f>
        <v/>
      </c>
      <c r="I2726">
        <f>IF(H2725=0,1,SUMPRODUCT(J2725:N2725,B2726:F2726)+O2725*(1+0.00023125256064071564))</f>
        <v/>
      </c>
      <c r="J2726">
        <f>IF(G2726=1,0.2*R2726/B2726,J2725)</f>
        <v/>
      </c>
      <c r="K2726">
        <f>IF(G2726=1,0.2*R2726/C2726,K2725)</f>
        <v/>
      </c>
      <c r="L2726">
        <f>IF(G2726=1,0.2*R2726/D2726,L2725)</f>
        <v/>
      </c>
      <c r="M2726">
        <f>IF(G2726=1,0.2*R2726/E2726,M2725)</f>
        <v/>
      </c>
      <c r="N2726">
        <f>IF(G2726=1,0.2*R2726/F2726,N2725)</f>
        <v/>
      </c>
      <c r="O2726">
        <f>IF(G2726=1,R2726*(1-1.0),IF(H2725=0,1,O2725*(1+0.00023125256064071564)))</f>
        <v/>
      </c>
      <c r="P2726">
        <f>IF(G2726=1,IF(H2725=0,1,ABS(0.2-J2725*B2726/I2726)+ABS(0.2-K2725*C2726/I2726)+ABS(0.2-L2725*D2726/I2726)+ABS(0.2-M2725*E2726/I2726)+ABS(0.2-N2725*F2726/I2726)),0)</f>
        <v/>
      </c>
      <c r="Q2726">
        <f>P2726*0.0015</f>
        <v/>
      </c>
      <c r="R2726">
        <f>I2726*(1-Q2726)</f>
        <v/>
      </c>
      <c r="S2726">
        <f>R2726/R2725-1</f>
        <v/>
      </c>
      <c r="T2726">
        <f>MAX(T2725,R2726)</f>
        <v/>
      </c>
      <c r="U2726">
        <f>R2726/T2726-1</f>
        <v/>
      </c>
      <c r="V2726" t="n">
        <v>6.152877165843928</v>
      </c>
      <c r="W2726" s="5">
        <f>R2726-V2726</f>
        <v/>
      </c>
    </row>
    <row r="2727">
      <c r="A2727" s="3" t="n">
        <v>42451</v>
      </c>
      <c r="B2727">
        <f>Prices!B2727</f>
        <v/>
      </c>
      <c r="C2727">
        <f>Prices!C2727</f>
        <v/>
      </c>
      <c r="D2727">
        <f>Prices!D2727</f>
        <v/>
      </c>
      <c r="E2727">
        <f>Prices!E2727</f>
        <v/>
      </c>
      <c r="F2727">
        <f>Prices!F2727</f>
        <v/>
      </c>
      <c r="G2727">
        <f>IF(AND(2725&gt;=16,TEXT(A2727,"yyyy-mm")&lt;&gt;TEXT(A2728,"yyyy-mm")),1,0)</f>
        <v/>
      </c>
      <c r="H2727">
        <f>IF(OR(H2726=1,G2727=1),1,0)</f>
        <v/>
      </c>
      <c r="I2727">
        <f>IF(H2726=0,1,SUMPRODUCT(J2726:N2726,B2727:F2727)+O2726*(1+0.00023125256064071564))</f>
        <v/>
      </c>
      <c r="J2727">
        <f>IF(G2727=1,0.2*R2727/B2727,J2726)</f>
        <v/>
      </c>
      <c r="K2727">
        <f>IF(G2727=1,0.2*R2727/C2727,K2726)</f>
        <v/>
      </c>
      <c r="L2727">
        <f>IF(G2727=1,0.2*R2727/D2727,L2726)</f>
        <v/>
      </c>
      <c r="M2727">
        <f>IF(G2727=1,0.2*R2727/E2727,M2726)</f>
        <v/>
      </c>
      <c r="N2727">
        <f>IF(G2727=1,0.2*R2727/F2727,N2726)</f>
        <v/>
      </c>
      <c r="O2727">
        <f>IF(G2727=1,R2727*(1-1.0),IF(H2726=0,1,O2726*(1+0.00023125256064071564)))</f>
        <v/>
      </c>
      <c r="P2727">
        <f>IF(G2727=1,IF(H2726=0,1,ABS(0.2-J2726*B2727/I2727)+ABS(0.2-K2726*C2727/I2727)+ABS(0.2-L2726*D2727/I2727)+ABS(0.2-M2726*E2727/I2727)+ABS(0.2-N2726*F2727/I2727)),0)</f>
        <v/>
      </c>
      <c r="Q2727">
        <f>P2727*0.0015</f>
        <v/>
      </c>
      <c r="R2727">
        <f>I2727*(1-Q2727)</f>
        <v/>
      </c>
      <c r="S2727">
        <f>R2727/R2726-1</f>
        <v/>
      </c>
      <c r="T2727">
        <f>MAX(T2726,R2727)</f>
        <v/>
      </c>
      <c r="U2727">
        <f>R2727/T2727-1</f>
        <v/>
      </c>
      <c r="V2727" t="n">
        <v>6.160731658937481</v>
      </c>
      <c r="W2727" s="5">
        <f>R2727-V2727</f>
        <v/>
      </c>
    </row>
    <row r="2728">
      <c r="A2728" s="3" t="n">
        <v>42452</v>
      </c>
      <c r="B2728">
        <f>Prices!B2728</f>
        <v/>
      </c>
      <c r="C2728">
        <f>Prices!C2728</f>
        <v/>
      </c>
      <c r="D2728">
        <f>Prices!D2728</f>
        <v/>
      </c>
      <c r="E2728">
        <f>Prices!E2728</f>
        <v/>
      </c>
      <c r="F2728">
        <f>Prices!F2728</f>
        <v/>
      </c>
      <c r="G2728">
        <f>IF(AND(2726&gt;=16,TEXT(A2728,"yyyy-mm")&lt;&gt;TEXT(A2729,"yyyy-mm")),1,0)</f>
        <v/>
      </c>
      <c r="H2728">
        <f>IF(OR(H2727=1,G2728=1),1,0)</f>
        <v/>
      </c>
      <c r="I2728">
        <f>IF(H2727=0,1,SUMPRODUCT(J2727:N2727,B2728:F2728)+O2727*(1+0.00023125256064071564))</f>
        <v/>
      </c>
      <c r="J2728">
        <f>IF(G2728=1,0.2*R2728/B2728,J2727)</f>
        <v/>
      </c>
      <c r="K2728">
        <f>IF(G2728=1,0.2*R2728/C2728,K2727)</f>
        <v/>
      </c>
      <c r="L2728">
        <f>IF(G2728=1,0.2*R2728/D2728,L2727)</f>
        <v/>
      </c>
      <c r="M2728">
        <f>IF(G2728=1,0.2*R2728/E2728,M2727)</f>
        <v/>
      </c>
      <c r="N2728">
        <f>IF(G2728=1,0.2*R2728/F2728,N2727)</f>
        <v/>
      </c>
      <c r="O2728">
        <f>IF(G2728=1,R2728*(1-1.0),IF(H2727=0,1,O2727*(1+0.00023125256064071564)))</f>
        <v/>
      </c>
      <c r="P2728">
        <f>IF(G2728=1,IF(H2727=0,1,ABS(0.2-J2727*B2728/I2728)+ABS(0.2-K2727*C2728/I2728)+ABS(0.2-L2727*D2728/I2728)+ABS(0.2-M2727*E2728/I2728)+ABS(0.2-N2727*F2728/I2728)),0)</f>
        <v/>
      </c>
      <c r="Q2728">
        <f>P2728*0.0015</f>
        <v/>
      </c>
      <c r="R2728">
        <f>I2728*(1-Q2728)</f>
        <v/>
      </c>
      <c r="S2728">
        <f>R2728/R2727-1</f>
        <v/>
      </c>
      <c r="T2728">
        <f>MAX(T2727,R2728)</f>
        <v/>
      </c>
      <c r="U2728">
        <f>R2728/T2728-1</f>
        <v/>
      </c>
      <c r="V2728" t="n">
        <v>6.178367670926916</v>
      </c>
      <c r="W2728" s="5">
        <f>R2728-V2728</f>
        <v/>
      </c>
    </row>
    <row r="2729">
      <c r="A2729" s="3" t="n">
        <v>42457</v>
      </c>
      <c r="B2729">
        <f>Prices!B2729</f>
        <v/>
      </c>
      <c r="C2729">
        <f>Prices!C2729</f>
        <v/>
      </c>
      <c r="D2729">
        <f>Prices!D2729</f>
        <v/>
      </c>
      <c r="E2729">
        <f>Prices!E2729</f>
        <v/>
      </c>
      <c r="F2729">
        <f>Prices!F2729</f>
        <v/>
      </c>
      <c r="G2729">
        <f>IF(AND(2727&gt;=16,TEXT(A2729,"yyyy-mm")&lt;&gt;TEXT(A2730,"yyyy-mm")),1,0)</f>
        <v/>
      </c>
      <c r="H2729">
        <f>IF(OR(H2728=1,G2729=1),1,0)</f>
        <v/>
      </c>
      <c r="I2729">
        <f>IF(H2728=0,1,SUMPRODUCT(J2728:N2728,B2729:F2729)+O2728*(1+0.00023125256064071564))</f>
        <v/>
      </c>
      <c r="J2729">
        <f>IF(G2729=1,0.2*R2729/B2729,J2728)</f>
        <v/>
      </c>
      <c r="K2729">
        <f>IF(G2729=1,0.2*R2729/C2729,K2728)</f>
        <v/>
      </c>
      <c r="L2729">
        <f>IF(G2729=1,0.2*R2729/D2729,L2728)</f>
        <v/>
      </c>
      <c r="M2729">
        <f>IF(G2729=1,0.2*R2729/E2729,M2728)</f>
        <v/>
      </c>
      <c r="N2729">
        <f>IF(G2729=1,0.2*R2729/F2729,N2728)</f>
        <v/>
      </c>
      <c r="O2729">
        <f>IF(G2729=1,R2729*(1-1.0),IF(H2728=0,1,O2728*(1+0.00023125256064071564)))</f>
        <v/>
      </c>
      <c r="P2729">
        <f>IF(G2729=1,IF(H2728=0,1,ABS(0.2-J2728*B2729/I2729)+ABS(0.2-K2728*C2729/I2729)+ABS(0.2-L2728*D2729/I2729)+ABS(0.2-M2728*E2729/I2729)+ABS(0.2-N2728*F2729/I2729)),0)</f>
        <v/>
      </c>
      <c r="Q2729">
        <f>P2729*0.0015</f>
        <v/>
      </c>
      <c r="R2729">
        <f>I2729*(1-Q2729)</f>
        <v/>
      </c>
      <c r="S2729">
        <f>R2729/R2728-1</f>
        <v/>
      </c>
      <c r="T2729">
        <f>MAX(T2728,R2729)</f>
        <v/>
      </c>
      <c r="U2729">
        <f>R2729/T2729-1</f>
        <v/>
      </c>
      <c r="V2729" t="n">
        <v>6.059660897451688</v>
      </c>
      <c r="W2729" s="5">
        <f>R2729-V2729</f>
        <v/>
      </c>
    </row>
    <row r="2730">
      <c r="A2730" s="3" t="n">
        <v>42458</v>
      </c>
      <c r="B2730">
        <f>Prices!B2730</f>
        <v/>
      </c>
      <c r="C2730">
        <f>Prices!C2730</f>
        <v/>
      </c>
      <c r="D2730">
        <f>Prices!D2730</f>
        <v/>
      </c>
      <c r="E2730">
        <f>Prices!E2730</f>
        <v/>
      </c>
      <c r="F2730">
        <f>Prices!F2730</f>
        <v/>
      </c>
      <c r="G2730">
        <f>IF(AND(2728&gt;=16,TEXT(A2730,"yyyy-mm")&lt;&gt;TEXT(A2731,"yyyy-mm")),1,0)</f>
        <v/>
      </c>
      <c r="H2730">
        <f>IF(OR(H2729=1,G2730=1),1,0)</f>
        <v/>
      </c>
      <c r="I2730">
        <f>IF(H2729=0,1,SUMPRODUCT(J2729:N2729,B2730:F2730)+O2729*(1+0.00023125256064071564))</f>
        <v/>
      </c>
      <c r="J2730">
        <f>IF(G2730=1,0.2*R2730/B2730,J2729)</f>
        <v/>
      </c>
      <c r="K2730">
        <f>IF(G2730=1,0.2*R2730/C2730,K2729)</f>
        <v/>
      </c>
      <c r="L2730">
        <f>IF(G2730=1,0.2*R2730/D2730,L2729)</f>
        <v/>
      </c>
      <c r="M2730">
        <f>IF(G2730=1,0.2*R2730/E2730,M2729)</f>
        <v/>
      </c>
      <c r="N2730">
        <f>IF(G2730=1,0.2*R2730/F2730,N2729)</f>
        <v/>
      </c>
      <c r="O2730">
        <f>IF(G2730=1,R2730*(1-1.0),IF(H2729=0,1,O2729*(1+0.00023125256064071564)))</f>
        <v/>
      </c>
      <c r="P2730">
        <f>IF(G2730=1,IF(H2729=0,1,ABS(0.2-J2729*B2730/I2730)+ABS(0.2-K2729*C2730/I2730)+ABS(0.2-L2729*D2730/I2730)+ABS(0.2-M2729*E2730/I2730)+ABS(0.2-N2729*F2730/I2730)),0)</f>
        <v/>
      </c>
      <c r="Q2730">
        <f>P2730*0.0015</f>
        <v/>
      </c>
      <c r="R2730">
        <f>I2730*(1-Q2730)</f>
        <v/>
      </c>
      <c r="S2730">
        <f>R2730/R2729-1</f>
        <v/>
      </c>
      <c r="T2730">
        <f>MAX(T2729,R2730)</f>
        <v/>
      </c>
      <c r="U2730">
        <f>R2730/T2730-1</f>
        <v/>
      </c>
      <c r="V2730" t="n">
        <v>6.02558501771571</v>
      </c>
      <c r="W2730" s="5">
        <f>R2730-V2730</f>
        <v/>
      </c>
    </row>
    <row r="2731">
      <c r="A2731" s="3" t="n">
        <v>42459</v>
      </c>
      <c r="B2731">
        <f>Prices!B2731</f>
        <v/>
      </c>
      <c r="C2731">
        <f>Prices!C2731</f>
        <v/>
      </c>
      <c r="D2731">
        <f>Prices!D2731</f>
        <v/>
      </c>
      <c r="E2731">
        <f>Prices!E2731</f>
        <v/>
      </c>
      <c r="F2731">
        <f>Prices!F2731</f>
        <v/>
      </c>
      <c r="G2731">
        <f>IF(AND(2729&gt;=16,TEXT(A2731,"yyyy-mm")&lt;&gt;TEXT(A2732,"yyyy-mm")),1,0)</f>
        <v/>
      </c>
      <c r="H2731">
        <f>IF(OR(H2730=1,G2731=1),1,0)</f>
        <v/>
      </c>
      <c r="I2731">
        <f>IF(H2730=0,1,SUMPRODUCT(J2730:N2730,B2731:F2731)+O2730*(1+0.00023125256064071564))</f>
        <v/>
      </c>
      <c r="J2731">
        <f>IF(G2731=1,0.2*R2731/B2731,J2730)</f>
        <v/>
      </c>
      <c r="K2731">
        <f>IF(G2731=1,0.2*R2731/C2731,K2730)</f>
        <v/>
      </c>
      <c r="L2731">
        <f>IF(G2731=1,0.2*R2731/D2731,L2730)</f>
        <v/>
      </c>
      <c r="M2731">
        <f>IF(G2731=1,0.2*R2731/E2731,M2730)</f>
        <v/>
      </c>
      <c r="N2731">
        <f>IF(G2731=1,0.2*R2731/F2731,N2730)</f>
        <v/>
      </c>
      <c r="O2731">
        <f>IF(G2731=1,R2731*(1-1.0),IF(H2730=0,1,O2730*(1+0.00023125256064071564)))</f>
        <v/>
      </c>
      <c r="P2731">
        <f>IF(G2731=1,IF(H2730=0,1,ABS(0.2-J2730*B2731/I2731)+ABS(0.2-K2730*C2731/I2731)+ABS(0.2-L2730*D2731/I2731)+ABS(0.2-M2730*E2731/I2731)+ABS(0.2-N2730*F2731/I2731)),0)</f>
        <v/>
      </c>
      <c r="Q2731">
        <f>P2731*0.0015</f>
        <v/>
      </c>
      <c r="R2731">
        <f>I2731*(1-Q2731)</f>
        <v/>
      </c>
      <c r="S2731">
        <f>R2731/R2730-1</f>
        <v/>
      </c>
      <c r="T2731">
        <f>MAX(T2730,R2731)</f>
        <v/>
      </c>
      <c r="U2731">
        <f>R2731/T2731-1</f>
        <v/>
      </c>
      <c r="V2731" t="n">
        <v>6.145688311074822</v>
      </c>
      <c r="W2731" s="5">
        <f>R2731-V2731</f>
        <v/>
      </c>
    </row>
    <row r="2732">
      <c r="A2732" s="3" t="n">
        <v>42460</v>
      </c>
      <c r="B2732">
        <f>Prices!B2732</f>
        <v/>
      </c>
      <c r="C2732">
        <f>Prices!C2732</f>
        <v/>
      </c>
      <c r="D2732">
        <f>Prices!D2732</f>
        <v/>
      </c>
      <c r="E2732">
        <f>Prices!E2732</f>
        <v/>
      </c>
      <c r="F2732">
        <f>Prices!F2732</f>
        <v/>
      </c>
      <c r="G2732">
        <f>IF(AND(2730&gt;=16,TEXT(A2732,"yyyy-mm")&lt;&gt;TEXT(A2733,"yyyy-mm")),1,0)</f>
        <v/>
      </c>
      <c r="H2732">
        <f>IF(OR(H2731=1,G2732=1),1,0)</f>
        <v/>
      </c>
      <c r="I2732">
        <f>IF(H2731=0,1,SUMPRODUCT(J2731:N2731,B2732:F2732)+O2731*(1+0.00023125256064071564))</f>
        <v/>
      </c>
      <c r="J2732">
        <f>IF(G2732=1,0.2*R2732/B2732,J2731)</f>
        <v/>
      </c>
      <c r="K2732">
        <f>IF(G2732=1,0.2*R2732/C2732,K2731)</f>
        <v/>
      </c>
      <c r="L2732">
        <f>IF(G2732=1,0.2*R2732/D2732,L2731)</f>
        <v/>
      </c>
      <c r="M2732">
        <f>IF(G2732=1,0.2*R2732/E2732,M2731)</f>
        <v/>
      </c>
      <c r="N2732">
        <f>IF(G2732=1,0.2*R2732/F2732,N2731)</f>
        <v/>
      </c>
      <c r="O2732">
        <f>IF(G2732=1,R2732*(1-1.0),IF(H2731=0,1,O2731*(1+0.00023125256064071564)))</f>
        <v/>
      </c>
      <c r="P2732">
        <f>IF(G2732=1,IF(H2731=0,1,ABS(0.2-J2731*B2732/I2732)+ABS(0.2-K2731*C2732/I2732)+ABS(0.2-L2731*D2732/I2732)+ABS(0.2-M2731*E2732/I2732)+ABS(0.2-N2731*F2732/I2732)),0)</f>
        <v/>
      </c>
      <c r="Q2732">
        <f>P2732*0.0015</f>
        <v/>
      </c>
      <c r="R2732">
        <f>I2732*(1-Q2732)</f>
        <v/>
      </c>
      <c r="S2732">
        <f>R2732/R2731-1</f>
        <v/>
      </c>
      <c r="T2732">
        <f>MAX(T2731,R2732)</f>
        <v/>
      </c>
      <c r="U2732">
        <f>R2732/T2732-1</f>
        <v/>
      </c>
      <c r="V2732" t="n">
        <v>6.18061902877007</v>
      </c>
      <c r="W2732" s="5">
        <f>R2732-V2732</f>
        <v/>
      </c>
    </row>
    <row r="2733">
      <c r="A2733" s="3" t="n">
        <v>42461</v>
      </c>
      <c r="B2733">
        <f>Prices!B2733</f>
        <v/>
      </c>
      <c r="C2733">
        <f>Prices!C2733</f>
        <v/>
      </c>
      <c r="D2733">
        <f>Prices!D2733</f>
        <v/>
      </c>
      <c r="E2733">
        <f>Prices!E2733</f>
        <v/>
      </c>
      <c r="F2733">
        <f>Prices!F2733</f>
        <v/>
      </c>
      <c r="G2733">
        <f>IF(AND(2731&gt;=16,TEXT(A2733,"yyyy-mm")&lt;&gt;TEXT(A2734,"yyyy-mm")),1,0)</f>
        <v/>
      </c>
      <c r="H2733">
        <f>IF(OR(H2732=1,G2733=1),1,0)</f>
        <v/>
      </c>
      <c r="I2733">
        <f>IF(H2732=0,1,SUMPRODUCT(J2732:N2732,B2733:F2733)+O2732*(1+0.00023125256064071564))</f>
        <v/>
      </c>
      <c r="J2733">
        <f>IF(G2733=1,0.2*R2733/B2733,J2732)</f>
        <v/>
      </c>
      <c r="K2733">
        <f>IF(G2733=1,0.2*R2733/C2733,K2732)</f>
        <v/>
      </c>
      <c r="L2733">
        <f>IF(G2733=1,0.2*R2733/D2733,L2732)</f>
        <v/>
      </c>
      <c r="M2733">
        <f>IF(G2733=1,0.2*R2733/E2733,M2732)</f>
        <v/>
      </c>
      <c r="N2733">
        <f>IF(G2733=1,0.2*R2733/F2733,N2732)</f>
        <v/>
      </c>
      <c r="O2733">
        <f>IF(G2733=1,R2733*(1-1.0),IF(H2732=0,1,O2732*(1+0.00023125256064071564)))</f>
        <v/>
      </c>
      <c r="P2733">
        <f>IF(G2733=1,IF(H2732=0,1,ABS(0.2-J2732*B2733/I2733)+ABS(0.2-K2732*C2733/I2733)+ABS(0.2-L2732*D2733/I2733)+ABS(0.2-M2732*E2733/I2733)+ABS(0.2-N2732*F2733/I2733)),0)</f>
        <v/>
      </c>
      <c r="Q2733">
        <f>P2733*0.0015</f>
        <v/>
      </c>
      <c r="R2733">
        <f>I2733*(1-Q2733)</f>
        <v/>
      </c>
      <c r="S2733">
        <f>R2733/R2732-1</f>
        <v/>
      </c>
      <c r="T2733">
        <f>MAX(T2732,R2733)</f>
        <v/>
      </c>
      <c r="U2733">
        <f>R2733/T2733-1</f>
        <v/>
      </c>
      <c r="V2733" t="n">
        <v>6.191686211274113</v>
      </c>
      <c r="W2733" s="5">
        <f>R2733-V2733</f>
        <v/>
      </c>
    </row>
    <row r="2734">
      <c r="A2734" s="3" t="n">
        <v>42464</v>
      </c>
      <c r="B2734">
        <f>Prices!B2734</f>
        <v/>
      </c>
      <c r="C2734">
        <f>Prices!C2734</f>
        <v/>
      </c>
      <c r="D2734">
        <f>Prices!D2734</f>
        <v/>
      </c>
      <c r="E2734">
        <f>Prices!E2734</f>
        <v/>
      </c>
      <c r="F2734">
        <f>Prices!F2734</f>
        <v/>
      </c>
      <c r="G2734">
        <f>IF(AND(2732&gt;=16,TEXT(A2734,"yyyy-mm")&lt;&gt;TEXT(A2735,"yyyy-mm")),1,0)</f>
        <v/>
      </c>
      <c r="H2734">
        <f>IF(OR(H2733=1,G2734=1),1,0)</f>
        <v/>
      </c>
      <c r="I2734">
        <f>IF(H2733=0,1,SUMPRODUCT(J2733:N2733,B2734:F2734)+O2733*(1+0.00023125256064071564))</f>
        <v/>
      </c>
      <c r="J2734">
        <f>IF(G2734=1,0.2*R2734/B2734,J2733)</f>
        <v/>
      </c>
      <c r="K2734">
        <f>IF(G2734=1,0.2*R2734/C2734,K2733)</f>
        <v/>
      </c>
      <c r="L2734">
        <f>IF(G2734=1,0.2*R2734/D2734,L2733)</f>
        <v/>
      </c>
      <c r="M2734">
        <f>IF(G2734=1,0.2*R2734/E2734,M2733)</f>
        <v/>
      </c>
      <c r="N2734">
        <f>IF(G2734=1,0.2*R2734/F2734,N2733)</f>
        <v/>
      </c>
      <c r="O2734">
        <f>IF(G2734=1,R2734*(1-1.0),IF(H2733=0,1,O2733*(1+0.00023125256064071564)))</f>
        <v/>
      </c>
      <c r="P2734">
        <f>IF(G2734=1,IF(H2733=0,1,ABS(0.2-J2733*B2734/I2734)+ABS(0.2-K2733*C2734/I2734)+ABS(0.2-L2733*D2734/I2734)+ABS(0.2-M2733*E2734/I2734)+ABS(0.2-N2733*F2734/I2734)),0)</f>
        <v/>
      </c>
      <c r="Q2734">
        <f>P2734*0.0015</f>
        <v/>
      </c>
      <c r="R2734">
        <f>I2734*(1-Q2734)</f>
        <v/>
      </c>
      <c r="S2734">
        <f>R2734/R2733-1</f>
        <v/>
      </c>
      <c r="T2734">
        <f>MAX(T2733,R2734)</f>
        <v/>
      </c>
      <c r="U2734">
        <f>R2734/T2734-1</f>
        <v/>
      </c>
      <c r="V2734" t="n">
        <v>6.215727997415327</v>
      </c>
      <c r="W2734" s="5">
        <f>R2734-V2734</f>
        <v/>
      </c>
    </row>
    <row r="2735">
      <c r="A2735" s="3" t="n">
        <v>42465</v>
      </c>
      <c r="B2735">
        <f>Prices!B2735</f>
        <v/>
      </c>
      <c r="C2735">
        <f>Prices!C2735</f>
        <v/>
      </c>
      <c r="D2735">
        <f>Prices!D2735</f>
        <v/>
      </c>
      <c r="E2735">
        <f>Prices!E2735</f>
        <v/>
      </c>
      <c r="F2735">
        <f>Prices!F2735</f>
        <v/>
      </c>
      <c r="G2735">
        <f>IF(AND(2733&gt;=16,TEXT(A2735,"yyyy-mm")&lt;&gt;TEXT(A2736,"yyyy-mm")),1,0)</f>
        <v/>
      </c>
      <c r="H2735">
        <f>IF(OR(H2734=1,G2735=1),1,0)</f>
        <v/>
      </c>
      <c r="I2735">
        <f>IF(H2734=0,1,SUMPRODUCT(J2734:N2734,B2735:F2735)+O2734*(1+0.00023125256064071564))</f>
        <v/>
      </c>
      <c r="J2735">
        <f>IF(G2735=1,0.2*R2735/B2735,J2734)</f>
        <v/>
      </c>
      <c r="K2735">
        <f>IF(G2735=1,0.2*R2735/C2735,K2734)</f>
        <v/>
      </c>
      <c r="L2735">
        <f>IF(G2735=1,0.2*R2735/D2735,L2734)</f>
        <v/>
      </c>
      <c r="M2735">
        <f>IF(G2735=1,0.2*R2735/E2735,M2734)</f>
        <v/>
      </c>
      <c r="N2735">
        <f>IF(G2735=1,0.2*R2735/F2735,N2734)</f>
        <v/>
      </c>
      <c r="O2735">
        <f>IF(G2735=1,R2735*(1-1.0),IF(H2734=0,1,O2734*(1+0.00023125256064071564)))</f>
        <v/>
      </c>
      <c r="P2735">
        <f>IF(G2735=1,IF(H2734=0,1,ABS(0.2-J2734*B2735/I2735)+ABS(0.2-K2734*C2735/I2735)+ABS(0.2-L2734*D2735/I2735)+ABS(0.2-M2734*E2735/I2735)+ABS(0.2-N2734*F2735/I2735)),0)</f>
        <v/>
      </c>
      <c r="Q2735">
        <f>P2735*0.0015</f>
        <v/>
      </c>
      <c r="R2735">
        <f>I2735*(1-Q2735)</f>
        <v/>
      </c>
      <c r="S2735">
        <f>R2735/R2734-1</f>
        <v/>
      </c>
      <c r="T2735">
        <f>MAX(T2734,R2735)</f>
        <v/>
      </c>
      <c r="U2735">
        <f>R2735/T2735-1</f>
        <v/>
      </c>
      <c r="V2735" t="n">
        <v>6.122476308768822</v>
      </c>
      <c r="W2735" s="5">
        <f>R2735-V2735</f>
        <v/>
      </c>
    </row>
    <row r="2736">
      <c r="A2736" s="3" t="n">
        <v>42466</v>
      </c>
      <c r="B2736">
        <f>Prices!B2736</f>
        <v/>
      </c>
      <c r="C2736">
        <f>Prices!C2736</f>
        <v/>
      </c>
      <c r="D2736">
        <f>Prices!D2736</f>
        <v/>
      </c>
      <c r="E2736">
        <f>Prices!E2736</f>
        <v/>
      </c>
      <c r="F2736">
        <f>Prices!F2736</f>
        <v/>
      </c>
      <c r="G2736">
        <f>IF(AND(2734&gt;=16,TEXT(A2736,"yyyy-mm")&lt;&gt;TEXT(A2737,"yyyy-mm")),1,0)</f>
        <v/>
      </c>
      <c r="H2736">
        <f>IF(OR(H2735=1,G2736=1),1,0)</f>
        <v/>
      </c>
      <c r="I2736">
        <f>IF(H2735=0,1,SUMPRODUCT(J2735:N2735,B2736:F2736)+O2735*(1+0.00023125256064071564))</f>
        <v/>
      </c>
      <c r="J2736">
        <f>IF(G2736=1,0.2*R2736/B2736,J2735)</f>
        <v/>
      </c>
      <c r="K2736">
        <f>IF(G2736=1,0.2*R2736/C2736,K2735)</f>
        <v/>
      </c>
      <c r="L2736">
        <f>IF(G2736=1,0.2*R2736/D2736,L2735)</f>
        <v/>
      </c>
      <c r="M2736">
        <f>IF(G2736=1,0.2*R2736/E2736,M2735)</f>
        <v/>
      </c>
      <c r="N2736">
        <f>IF(G2736=1,0.2*R2736/F2736,N2735)</f>
        <v/>
      </c>
      <c r="O2736">
        <f>IF(G2736=1,R2736*(1-1.0),IF(H2735=0,1,O2735*(1+0.00023125256064071564)))</f>
        <v/>
      </c>
      <c r="P2736">
        <f>IF(G2736=1,IF(H2735=0,1,ABS(0.2-J2735*B2736/I2736)+ABS(0.2-K2735*C2736/I2736)+ABS(0.2-L2735*D2736/I2736)+ABS(0.2-M2735*E2736/I2736)+ABS(0.2-N2735*F2736/I2736)),0)</f>
        <v/>
      </c>
      <c r="Q2736">
        <f>P2736*0.0015</f>
        <v/>
      </c>
      <c r="R2736">
        <f>I2736*(1-Q2736)</f>
        <v/>
      </c>
      <c r="S2736">
        <f>R2736/R2735-1</f>
        <v/>
      </c>
      <c r="T2736">
        <f>MAX(T2735,R2736)</f>
        <v/>
      </c>
      <c r="U2736">
        <f>R2736/T2736-1</f>
        <v/>
      </c>
      <c r="V2736" t="n">
        <v>6.161594770489537</v>
      </c>
      <c r="W2736" s="5">
        <f>R2736-V2736</f>
        <v/>
      </c>
    </row>
    <row r="2737">
      <c r="A2737" s="3" t="n">
        <v>42467</v>
      </c>
      <c r="B2737">
        <f>Prices!B2737</f>
        <v/>
      </c>
      <c r="C2737">
        <f>Prices!C2737</f>
        <v/>
      </c>
      <c r="D2737">
        <f>Prices!D2737</f>
        <v/>
      </c>
      <c r="E2737">
        <f>Prices!E2737</f>
        <v/>
      </c>
      <c r="F2737">
        <f>Prices!F2737</f>
        <v/>
      </c>
      <c r="G2737">
        <f>IF(AND(2735&gt;=16,TEXT(A2737,"yyyy-mm")&lt;&gt;TEXT(A2738,"yyyy-mm")),1,0)</f>
        <v/>
      </c>
      <c r="H2737">
        <f>IF(OR(H2736=1,G2737=1),1,0)</f>
        <v/>
      </c>
      <c r="I2737">
        <f>IF(H2736=0,1,SUMPRODUCT(J2736:N2736,B2737:F2737)+O2736*(1+0.00023125256064071564))</f>
        <v/>
      </c>
      <c r="J2737">
        <f>IF(G2737=1,0.2*R2737/B2737,J2736)</f>
        <v/>
      </c>
      <c r="K2737">
        <f>IF(G2737=1,0.2*R2737/C2737,K2736)</f>
        <v/>
      </c>
      <c r="L2737">
        <f>IF(G2737=1,0.2*R2737/D2737,L2736)</f>
        <v/>
      </c>
      <c r="M2737">
        <f>IF(G2737=1,0.2*R2737/E2737,M2736)</f>
        <v/>
      </c>
      <c r="N2737">
        <f>IF(G2737=1,0.2*R2737/F2737,N2736)</f>
        <v/>
      </c>
      <c r="O2737">
        <f>IF(G2737=1,R2737*(1-1.0),IF(H2736=0,1,O2736*(1+0.00023125256064071564)))</f>
        <v/>
      </c>
      <c r="P2737">
        <f>IF(G2737=1,IF(H2736=0,1,ABS(0.2-J2736*B2737/I2737)+ABS(0.2-K2736*C2737/I2737)+ABS(0.2-L2736*D2737/I2737)+ABS(0.2-M2736*E2737/I2737)+ABS(0.2-N2736*F2737/I2737)),0)</f>
        <v/>
      </c>
      <c r="Q2737">
        <f>P2737*0.0015</f>
        <v/>
      </c>
      <c r="R2737">
        <f>I2737*(1-Q2737)</f>
        <v/>
      </c>
      <c r="S2737">
        <f>R2737/R2736-1</f>
        <v/>
      </c>
      <c r="T2737">
        <f>MAX(T2736,R2737)</f>
        <v/>
      </c>
      <c r="U2737">
        <f>R2737/T2737-1</f>
        <v/>
      </c>
      <c r="V2737" t="n">
        <v>6.119951108273127</v>
      </c>
      <c r="W2737" s="5">
        <f>R2737-V2737</f>
        <v/>
      </c>
    </row>
    <row r="2738">
      <c r="A2738" s="3" t="n">
        <v>42468</v>
      </c>
      <c r="B2738">
        <f>Prices!B2738</f>
        <v/>
      </c>
      <c r="C2738">
        <f>Prices!C2738</f>
        <v/>
      </c>
      <c r="D2738">
        <f>Prices!D2738</f>
        <v/>
      </c>
      <c r="E2738">
        <f>Prices!E2738</f>
        <v/>
      </c>
      <c r="F2738">
        <f>Prices!F2738</f>
        <v/>
      </c>
      <c r="G2738">
        <f>IF(AND(2736&gt;=16,TEXT(A2738,"yyyy-mm")&lt;&gt;TEXT(A2739,"yyyy-mm")),1,0)</f>
        <v/>
      </c>
      <c r="H2738">
        <f>IF(OR(H2737=1,G2738=1),1,0)</f>
        <v/>
      </c>
      <c r="I2738">
        <f>IF(H2737=0,1,SUMPRODUCT(J2737:N2737,B2738:F2738)+O2737*(1+0.00023125256064071564))</f>
        <v/>
      </c>
      <c r="J2738">
        <f>IF(G2738=1,0.2*R2738/B2738,J2737)</f>
        <v/>
      </c>
      <c r="K2738">
        <f>IF(G2738=1,0.2*R2738/C2738,K2737)</f>
        <v/>
      </c>
      <c r="L2738">
        <f>IF(G2738=1,0.2*R2738/D2738,L2737)</f>
        <v/>
      </c>
      <c r="M2738">
        <f>IF(G2738=1,0.2*R2738/E2738,M2737)</f>
        <v/>
      </c>
      <c r="N2738">
        <f>IF(G2738=1,0.2*R2738/F2738,N2737)</f>
        <v/>
      </c>
      <c r="O2738">
        <f>IF(G2738=1,R2738*(1-1.0),IF(H2737=0,1,O2737*(1+0.00023125256064071564)))</f>
        <v/>
      </c>
      <c r="P2738">
        <f>IF(G2738=1,IF(H2737=0,1,ABS(0.2-J2737*B2738/I2738)+ABS(0.2-K2737*C2738/I2738)+ABS(0.2-L2737*D2738/I2738)+ABS(0.2-M2737*E2738/I2738)+ABS(0.2-N2737*F2738/I2738)),0)</f>
        <v/>
      </c>
      <c r="Q2738">
        <f>P2738*0.0015</f>
        <v/>
      </c>
      <c r="R2738">
        <f>I2738*(1-Q2738)</f>
        <v/>
      </c>
      <c r="S2738">
        <f>R2738/R2737-1</f>
        <v/>
      </c>
      <c r="T2738">
        <f>MAX(T2737,R2738)</f>
        <v/>
      </c>
      <c r="U2738">
        <f>R2738/T2738-1</f>
        <v/>
      </c>
      <c r="V2738" t="n">
        <v>6.144806620297143</v>
      </c>
      <c r="W2738" s="5">
        <f>R2738-V2738</f>
        <v/>
      </c>
    </row>
    <row r="2739">
      <c r="A2739" s="3" t="n">
        <v>42471</v>
      </c>
      <c r="B2739">
        <f>Prices!B2739</f>
        <v/>
      </c>
      <c r="C2739">
        <f>Prices!C2739</f>
        <v/>
      </c>
      <c r="D2739">
        <f>Prices!D2739</f>
        <v/>
      </c>
      <c r="E2739">
        <f>Prices!E2739</f>
        <v/>
      </c>
      <c r="F2739">
        <f>Prices!F2739</f>
        <v/>
      </c>
      <c r="G2739">
        <f>IF(AND(2737&gt;=16,TEXT(A2739,"yyyy-mm")&lt;&gt;TEXT(A2740,"yyyy-mm")),1,0)</f>
        <v/>
      </c>
      <c r="H2739">
        <f>IF(OR(H2738=1,G2739=1),1,0)</f>
        <v/>
      </c>
      <c r="I2739">
        <f>IF(H2738=0,1,SUMPRODUCT(J2738:N2738,B2739:F2739)+O2738*(1+0.00023125256064071564))</f>
        <v/>
      </c>
      <c r="J2739">
        <f>IF(G2739=1,0.2*R2739/B2739,J2738)</f>
        <v/>
      </c>
      <c r="K2739">
        <f>IF(G2739=1,0.2*R2739/C2739,K2738)</f>
        <v/>
      </c>
      <c r="L2739">
        <f>IF(G2739=1,0.2*R2739/D2739,L2738)</f>
        <v/>
      </c>
      <c r="M2739">
        <f>IF(G2739=1,0.2*R2739/E2739,M2738)</f>
        <v/>
      </c>
      <c r="N2739">
        <f>IF(G2739=1,0.2*R2739/F2739,N2738)</f>
        <v/>
      </c>
      <c r="O2739">
        <f>IF(G2739=1,R2739*(1-1.0),IF(H2738=0,1,O2738*(1+0.00023125256064071564)))</f>
        <v/>
      </c>
      <c r="P2739">
        <f>IF(G2739=1,IF(H2738=0,1,ABS(0.2-J2738*B2739/I2739)+ABS(0.2-K2738*C2739/I2739)+ABS(0.2-L2738*D2739/I2739)+ABS(0.2-M2738*E2739/I2739)+ABS(0.2-N2738*F2739/I2739)),0)</f>
        <v/>
      </c>
      <c r="Q2739">
        <f>P2739*0.0015</f>
        <v/>
      </c>
      <c r="R2739">
        <f>I2739*(1-Q2739)</f>
        <v/>
      </c>
      <c r="S2739">
        <f>R2739/R2738-1</f>
        <v/>
      </c>
      <c r="T2739">
        <f>MAX(T2738,R2739)</f>
        <v/>
      </c>
      <c r="U2739">
        <f>R2739/T2739-1</f>
        <v/>
      </c>
      <c r="V2739" t="n">
        <v>6.220693818640173</v>
      </c>
      <c r="W2739" s="5">
        <f>R2739-V2739</f>
        <v/>
      </c>
    </row>
    <row r="2740">
      <c r="A2740" s="3" t="n">
        <v>42472</v>
      </c>
      <c r="B2740">
        <f>Prices!B2740</f>
        <v/>
      </c>
      <c r="C2740">
        <f>Prices!C2740</f>
        <v/>
      </c>
      <c r="D2740">
        <f>Prices!D2740</f>
        <v/>
      </c>
      <c r="E2740">
        <f>Prices!E2740</f>
        <v/>
      </c>
      <c r="F2740">
        <f>Prices!F2740</f>
        <v/>
      </c>
      <c r="G2740">
        <f>IF(AND(2738&gt;=16,TEXT(A2740,"yyyy-mm")&lt;&gt;TEXT(A2741,"yyyy-mm")),1,0)</f>
        <v/>
      </c>
      <c r="H2740">
        <f>IF(OR(H2739=1,G2740=1),1,0)</f>
        <v/>
      </c>
      <c r="I2740">
        <f>IF(H2739=0,1,SUMPRODUCT(J2739:N2739,B2740:F2740)+O2739*(1+0.00023125256064071564))</f>
        <v/>
      </c>
      <c r="J2740">
        <f>IF(G2740=1,0.2*R2740/B2740,J2739)</f>
        <v/>
      </c>
      <c r="K2740">
        <f>IF(G2740=1,0.2*R2740/C2740,K2739)</f>
        <v/>
      </c>
      <c r="L2740">
        <f>IF(G2740=1,0.2*R2740/D2740,L2739)</f>
        <v/>
      </c>
      <c r="M2740">
        <f>IF(G2740=1,0.2*R2740/E2740,M2739)</f>
        <v/>
      </c>
      <c r="N2740">
        <f>IF(G2740=1,0.2*R2740/F2740,N2739)</f>
        <v/>
      </c>
      <c r="O2740">
        <f>IF(G2740=1,R2740*(1-1.0),IF(H2739=0,1,O2739*(1+0.00023125256064071564)))</f>
        <v/>
      </c>
      <c r="P2740">
        <f>IF(G2740=1,IF(H2739=0,1,ABS(0.2-J2739*B2740/I2740)+ABS(0.2-K2739*C2740/I2740)+ABS(0.2-L2739*D2740/I2740)+ABS(0.2-M2739*E2740/I2740)+ABS(0.2-N2739*F2740/I2740)),0)</f>
        <v/>
      </c>
      <c r="Q2740">
        <f>P2740*0.0015</f>
        <v/>
      </c>
      <c r="R2740">
        <f>I2740*(1-Q2740)</f>
        <v/>
      </c>
      <c r="S2740">
        <f>R2740/R2739-1</f>
        <v/>
      </c>
      <c r="T2740">
        <f>MAX(T2739,R2740)</f>
        <v/>
      </c>
      <c r="U2740">
        <f>R2740/T2740-1</f>
        <v/>
      </c>
      <c r="V2740" t="n">
        <v>6.255659801652096</v>
      </c>
      <c r="W2740" s="5">
        <f>R2740-V2740</f>
        <v/>
      </c>
    </row>
    <row r="2741">
      <c r="A2741" s="3" t="n">
        <v>42473</v>
      </c>
      <c r="B2741">
        <f>Prices!B2741</f>
        <v/>
      </c>
      <c r="C2741">
        <f>Prices!C2741</f>
        <v/>
      </c>
      <c r="D2741">
        <f>Prices!D2741</f>
        <v/>
      </c>
      <c r="E2741">
        <f>Prices!E2741</f>
        <v/>
      </c>
      <c r="F2741">
        <f>Prices!F2741</f>
        <v/>
      </c>
      <c r="G2741">
        <f>IF(AND(2739&gt;=16,TEXT(A2741,"yyyy-mm")&lt;&gt;TEXT(A2742,"yyyy-mm")),1,0)</f>
        <v/>
      </c>
      <c r="H2741">
        <f>IF(OR(H2740=1,G2741=1),1,0)</f>
        <v/>
      </c>
      <c r="I2741">
        <f>IF(H2740=0,1,SUMPRODUCT(J2740:N2740,B2741:F2741)+O2740*(1+0.00023125256064071564))</f>
        <v/>
      </c>
      <c r="J2741">
        <f>IF(G2741=1,0.2*R2741/B2741,J2740)</f>
        <v/>
      </c>
      <c r="K2741">
        <f>IF(G2741=1,0.2*R2741/C2741,K2740)</f>
        <v/>
      </c>
      <c r="L2741">
        <f>IF(G2741=1,0.2*R2741/D2741,L2740)</f>
        <v/>
      </c>
      <c r="M2741">
        <f>IF(G2741=1,0.2*R2741/E2741,M2740)</f>
        <v/>
      </c>
      <c r="N2741">
        <f>IF(G2741=1,0.2*R2741/F2741,N2740)</f>
        <v/>
      </c>
      <c r="O2741">
        <f>IF(G2741=1,R2741*(1-1.0),IF(H2740=0,1,O2740*(1+0.00023125256064071564)))</f>
        <v/>
      </c>
      <c r="P2741">
        <f>IF(G2741=1,IF(H2740=0,1,ABS(0.2-J2740*B2741/I2741)+ABS(0.2-K2740*C2741/I2741)+ABS(0.2-L2740*D2741/I2741)+ABS(0.2-M2740*E2741/I2741)+ABS(0.2-N2740*F2741/I2741)),0)</f>
        <v/>
      </c>
      <c r="Q2741">
        <f>P2741*0.0015</f>
        <v/>
      </c>
      <c r="R2741">
        <f>I2741*(1-Q2741)</f>
        <v/>
      </c>
      <c r="S2741">
        <f>R2741/R2740-1</f>
        <v/>
      </c>
      <c r="T2741">
        <f>MAX(T2740,R2741)</f>
        <v/>
      </c>
      <c r="U2741">
        <f>R2741/T2741-1</f>
        <v/>
      </c>
      <c r="V2741" t="n">
        <v>6.331064846591156</v>
      </c>
      <c r="W2741" s="5">
        <f>R2741-V2741</f>
        <v/>
      </c>
    </row>
    <row r="2742">
      <c r="A2742" s="3" t="n">
        <v>42478</v>
      </c>
      <c r="B2742">
        <f>Prices!B2742</f>
        <v/>
      </c>
      <c r="C2742">
        <f>Prices!C2742</f>
        <v/>
      </c>
      <c r="D2742">
        <f>Prices!D2742</f>
        <v/>
      </c>
      <c r="E2742">
        <f>Prices!E2742</f>
        <v/>
      </c>
      <c r="F2742">
        <f>Prices!F2742</f>
        <v/>
      </c>
      <c r="G2742">
        <f>IF(AND(2740&gt;=16,TEXT(A2742,"yyyy-mm")&lt;&gt;TEXT(A2743,"yyyy-mm")),1,0)</f>
        <v/>
      </c>
      <c r="H2742">
        <f>IF(OR(H2741=1,G2742=1),1,0)</f>
        <v/>
      </c>
      <c r="I2742">
        <f>IF(H2741=0,1,SUMPRODUCT(J2741:N2741,B2742:F2742)+O2741*(1+0.00023125256064071564))</f>
        <v/>
      </c>
      <c r="J2742">
        <f>IF(G2742=1,0.2*R2742/B2742,J2741)</f>
        <v/>
      </c>
      <c r="K2742">
        <f>IF(G2742=1,0.2*R2742/C2742,K2741)</f>
        <v/>
      </c>
      <c r="L2742">
        <f>IF(G2742=1,0.2*R2742/D2742,L2741)</f>
        <v/>
      </c>
      <c r="M2742">
        <f>IF(G2742=1,0.2*R2742/E2742,M2741)</f>
        <v/>
      </c>
      <c r="N2742">
        <f>IF(G2742=1,0.2*R2742/F2742,N2741)</f>
        <v/>
      </c>
      <c r="O2742">
        <f>IF(G2742=1,R2742*(1-1.0),IF(H2741=0,1,O2741*(1+0.00023125256064071564)))</f>
        <v/>
      </c>
      <c r="P2742">
        <f>IF(G2742=1,IF(H2741=0,1,ABS(0.2-J2741*B2742/I2742)+ABS(0.2-K2741*C2742/I2742)+ABS(0.2-L2741*D2742/I2742)+ABS(0.2-M2741*E2742/I2742)+ABS(0.2-N2741*F2742/I2742)),0)</f>
        <v/>
      </c>
      <c r="Q2742">
        <f>P2742*0.0015</f>
        <v/>
      </c>
      <c r="R2742">
        <f>I2742*(1-Q2742)</f>
        <v/>
      </c>
      <c r="S2742">
        <f>R2742/R2741-1</f>
        <v/>
      </c>
      <c r="T2742">
        <f>MAX(T2741,R2742)</f>
        <v/>
      </c>
      <c r="U2742">
        <f>R2742/T2742-1</f>
        <v/>
      </c>
      <c r="V2742" t="n">
        <v>6.392212133303231</v>
      </c>
      <c r="W2742" s="5">
        <f>R2742-V2742</f>
        <v/>
      </c>
    </row>
    <row r="2743">
      <c r="A2743" s="3" t="n">
        <v>42480</v>
      </c>
      <c r="B2743">
        <f>Prices!B2743</f>
        <v/>
      </c>
      <c r="C2743">
        <f>Prices!C2743</f>
        <v/>
      </c>
      <c r="D2743">
        <f>Prices!D2743</f>
        <v/>
      </c>
      <c r="E2743">
        <f>Prices!E2743</f>
        <v/>
      </c>
      <c r="F2743">
        <f>Prices!F2743</f>
        <v/>
      </c>
      <c r="G2743">
        <f>IF(AND(2741&gt;=16,TEXT(A2743,"yyyy-mm")&lt;&gt;TEXT(A2744,"yyyy-mm")),1,0)</f>
        <v/>
      </c>
      <c r="H2743">
        <f>IF(OR(H2742=1,G2743=1),1,0)</f>
        <v/>
      </c>
      <c r="I2743">
        <f>IF(H2742=0,1,SUMPRODUCT(J2742:N2742,B2743:F2743)+O2742*(1+0.00023125256064071564))</f>
        <v/>
      </c>
      <c r="J2743">
        <f>IF(G2743=1,0.2*R2743/B2743,J2742)</f>
        <v/>
      </c>
      <c r="K2743">
        <f>IF(G2743=1,0.2*R2743/C2743,K2742)</f>
        <v/>
      </c>
      <c r="L2743">
        <f>IF(G2743=1,0.2*R2743/D2743,L2742)</f>
        <v/>
      </c>
      <c r="M2743">
        <f>IF(G2743=1,0.2*R2743/E2743,M2742)</f>
        <v/>
      </c>
      <c r="N2743">
        <f>IF(G2743=1,0.2*R2743/F2743,N2742)</f>
        <v/>
      </c>
      <c r="O2743">
        <f>IF(G2743=1,R2743*(1-1.0),IF(H2742=0,1,O2742*(1+0.00023125256064071564)))</f>
        <v/>
      </c>
      <c r="P2743">
        <f>IF(G2743=1,IF(H2742=0,1,ABS(0.2-J2742*B2743/I2743)+ABS(0.2-K2742*C2743/I2743)+ABS(0.2-L2742*D2743/I2743)+ABS(0.2-M2742*E2743/I2743)+ABS(0.2-N2742*F2743/I2743)),0)</f>
        <v/>
      </c>
      <c r="Q2743">
        <f>P2743*0.0015</f>
        <v/>
      </c>
      <c r="R2743">
        <f>I2743*(1-Q2743)</f>
        <v/>
      </c>
      <c r="S2743">
        <f>R2743/R2742-1</f>
        <v/>
      </c>
      <c r="T2743">
        <f>MAX(T2742,R2743)</f>
        <v/>
      </c>
      <c r="U2743">
        <f>R2743/T2743-1</f>
        <v/>
      </c>
      <c r="V2743" t="n">
        <v>6.411957852929599</v>
      </c>
      <c r="W2743" s="5">
        <f>R2743-V2743</f>
        <v/>
      </c>
    </row>
    <row r="2744">
      <c r="A2744" s="3" t="n">
        <v>42481</v>
      </c>
      <c r="B2744">
        <f>Prices!B2744</f>
        <v/>
      </c>
      <c r="C2744">
        <f>Prices!C2744</f>
        <v/>
      </c>
      <c r="D2744">
        <f>Prices!D2744</f>
        <v/>
      </c>
      <c r="E2744">
        <f>Prices!E2744</f>
        <v/>
      </c>
      <c r="F2744">
        <f>Prices!F2744</f>
        <v/>
      </c>
      <c r="G2744">
        <f>IF(AND(2742&gt;=16,TEXT(A2744,"yyyy-mm")&lt;&gt;TEXT(A2745,"yyyy-mm")),1,0)</f>
        <v/>
      </c>
      <c r="H2744">
        <f>IF(OR(H2743=1,G2744=1),1,0)</f>
        <v/>
      </c>
      <c r="I2744">
        <f>IF(H2743=0,1,SUMPRODUCT(J2743:N2743,B2744:F2744)+O2743*(1+0.00023125256064071564))</f>
        <v/>
      </c>
      <c r="J2744">
        <f>IF(G2744=1,0.2*R2744/B2744,J2743)</f>
        <v/>
      </c>
      <c r="K2744">
        <f>IF(G2744=1,0.2*R2744/C2744,K2743)</f>
        <v/>
      </c>
      <c r="L2744">
        <f>IF(G2744=1,0.2*R2744/D2744,L2743)</f>
        <v/>
      </c>
      <c r="M2744">
        <f>IF(G2744=1,0.2*R2744/E2744,M2743)</f>
        <v/>
      </c>
      <c r="N2744">
        <f>IF(G2744=1,0.2*R2744/F2744,N2743)</f>
        <v/>
      </c>
      <c r="O2744">
        <f>IF(G2744=1,R2744*(1-1.0),IF(H2743=0,1,O2743*(1+0.00023125256064071564)))</f>
        <v/>
      </c>
      <c r="P2744">
        <f>IF(G2744=1,IF(H2743=0,1,ABS(0.2-J2743*B2744/I2744)+ABS(0.2-K2743*C2744/I2744)+ABS(0.2-L2743*D2744/I2744)+ABS(0.2-M2743*E2744/I2744)+ABS(0.2-N2743*F2744/I2744)),0)</f>
        <v/>
      </c>
      <c r="Q2744">
        <f>P2744*0.0015</f>
        <v/>
      </c>
      <c r="R2744">
        <f>I2744*(1-Q2744)</f>
        <v/>
      </c>
      <c r="S2744">
        <f>R2744/R2743-1</f>
        <v/>
      </c>
      <c r="T2744">
        <f>MAX(T2743,R2744)</f>
        <v/>
      </c>
      <c r="U2744">
        <f>R2744/T2744-1</f>
        <v/>
      </c>
      <c r="V2744" t="n">
        <v>6.385294735259945</v>
      </c>
      <c r="W2744" s="5">
        <f>R2744-V2744</f>
        <v/>
      </c>
    </row>
    <row r="2745">
      <c r="A2745" s="3" t="n">
        <v>42482</v>
      </c>
      <c r="B2745">
        <f>Prices!B2745</f>
        <v/>
      </c>
      <c r="C2745">
        <f>Prices!C2745</f>
        <v/>
      </c>
      <c r="D2745">
        <f>Prices!D2745</f>
        <v/>
      </c>
      <c r="E2745">
        <f>Prices!E2745</f>
        <v/>
      </c>
      <c r="F2745">
        <f>Prices!F2745</f>
        <v/>
      </c>
      <c r="G2745">
        <f>IF(AND(2743&gt;=16,TEXT(A2745,"yyyy-mm")&lt;&gt;TEXT(A2746,"yyyy-mm")),1,0)</f>
        <v/>
      </c>
      <c r="H2745">
        <f>IF(OR(H2744=1,G2745=1),1,0)</f>
        <v/>
      </c>
      <c r="I2745">
        <f>IF(H2744=0,1,SUMPRODUCT(J2744:N2744,B2745:F2745)+O2744*(1+0.00023125256064071564))</f>
        <v/>
      </c>
      <c r="J2745">
        <f>IF(G2745=1,0.2*R2745/B2745,J2744)</f>
        <v/>
      </c>
      <c r="K2745">
        <f>IF(G2745=1,0.2*R2745/C2745,K2744)</f>
        <v/>
      </c>
      <c r="L2745">
        <f>IF(G2745=1,0.2*R2745/D2745,L2744)</f>
        <v/>
      </c>
      <c r="M2745">
        <f>IF(G2745=1,0.2*R2745/E2745,M2744)</f>
        <v/>
      </c>
      <c r="N2745">
        <f>IF(G2745=1,0.2*R2745/F2745,N2744)</f>
        <v/>
      </c>
      <c r="O2745">
        <f>IF(G2745=1,R2745*(1-1.0),IF(H2744=0,1,O2744*(1+0.00023125256064071564)))</f>
        <v/>
      </c>
      <c r="P2745">
        <f>IF(G2745=1,IF(H2744=0,1,ABS(0.2-J2744*B2745/I2745)+ABS(0.2-K2744*C2745/I2745)+ABS(0.2-L2744*D2745/I2745)+ABS(0.2-M2744*E2745/I2745)+ABS(0.2-N2744*F2745/I2745)),0)</f>
        <v/>
      </c>
      <c r="Q2745">
        <f>P2745*0.0015</f>
        <v/>
      </c>
      <c r="R2745">
        <f>I2745*(1-Q2745)</f>
        <v/>
      </c>
      <c r="S2745">
        <f>R2745/R2744-1</f>
        <v/>
      </c>
      <c r="T2745">
        <f>MAX(T2744,R2745)</f>
        <v/>
      </c>
      <c r="U2745">
        <f>R2745/T2745-1</f>
        <v/>
      </c>
      <c r="V2745" t="n">
        <v>6.375420122932562</v>
      </c>
      <c r="W2745" s="5">
        <f>R2745-V2745</f>
        <v/>
      </c>
    </row>
    <row r="2746">
      <c r="A2746" s="3" t="n">
        <v>42485</v>
      </c>
      <c r="B2746">
        <f>Prices!B2746</f>
        <v/>
      </c>
      <c r="C2746">
        <f>Prices!C2746</f>
        <v/>
      </c>
      <c r="D2746">
        <f>Prices!D2746</f>
        <v/>
      </c>
      <c r="E2746">
        <f>Prices!E2746</f>
        <v/>
      </c>
      <c r="F2746">
        <f>Prices!F2746</f>
        <v/>
      </c>
      <c r="G2746">
        <f>IF(AND(2744&gt;=16,TEXT(A2746,"yyyy-mm")&lt;&gt;TEXT(A2747,"yyyy-mm")),1,0)</f>
        <v/>
      </c>
      <c r="H2746">
        <f>IF(OR(H2745=1,G2746=1),1,0)</f>
        <v/>
      </c>
      <c r="I2746">
        <f>IF(H2745=0,1,SUMPRODUCT(J2745:N2745,B2746:F2746)+O2745*(1+0.00023125256064071564))</f>
        <v/>
      </c>
      <c r="J2746">
        <f>IF(G2746=1,0.2*R2746/B2746,J2745)</f>
        <v/>
      </c>
      <c r="K2746">
        <f>IF(G2746=1,0.2*R2746/C2746,K2745)</f>
        <v/>
      </c>
      <c r="L2746">
        <f>IF(G2746=1,0.2*R2746/D2746,L2745)</f>
        <v/>
      </c>
      <c r="M2746">
        <f>IF(G2746=1,0.2*R2746/E2746,M2745)</f>
        <v/>
      </c>
      <c r="N2746">
        <f>IF(G2746=1,0.2*R2746/F2746,N2745)</f>
        <v/>
      </c>
      <c r="O2746">
        <f>IF(G2746=1,R2746*(1-1.0),IF(H2745=0,1,O2745*(1+0.00023125256064071564)))</f>
        <v/>
      </c>
      <c r="P2746">
        <f>IF(G2746=1,IF(H2745=0,1,ABS(0.2-J2745*B2746/I2746)+ABS(0.2-K2745*C2746/I2746)+ABS(0.2-L2745*D2746/I2746)+ABS(0.2-M2745*E2746/I2746)+ABS(0.2-N2745*F2746/I2746)),0)</f>
        <v/>
      </c>
      <c r="Q2746">
        <f>P2746*0.0015</f>
        <v/>
      </c>
      <c r="R2746">
        <f>I2746*(1-Q2746)</f>
        <v/>
      </c>
      <c r="S2746">
        <f>R2746/R2745-1</f>
        <v/>
      </c>
      <c r="T2746">
        <f>MAX(T2745,R2746)</f>
        <v/>
      </c>
      <c r="U2746">
        <f>R2746/T2746-1</f>
        <v/>
      </c>
      <c r="V2746" t="n">
        <v>6.33353708025732</v>
      </c>
      <c r="W2746" s="5">
        <f>R2746-V2746</f>
        <v/>
      </c>
    </row>
    <row r="2747">
      <c r="A2747" s="3" t="n">
        <v>42486</v>
      </c>
      <c r="B2747">
        <f>Prices!B2747</f>
        <v/>
      </c>
      <c r="C2747">
        <f>Prices!C2747</f>
        <v/>
      </c>
      <c r="D2747">
        <f>Prices!D2747</f>
        <v/>
      </c>
      <c r="E2747">
        <f>Prices!E2747</f>
        <v/>
      </c>
      <c r="F2747">
        <f>Prices!F2747</f>
        <v/>
      </c>
      <c r="G2747">
        <f>IF(AND(2745&gt;=16,TEXT(A2747,"yyyy-mm")&lt;&gt;TEXT(A2748,"yyyy-mm")),1,0)</f>
        <v/>
      </c>
      <c r="H2747">
        <f>IF(OR(H2746=1,G2747=1),1,0)</f>
        <v/>
      </c>
      <c r="I2747">
        <f>IF(H2746=0,1,SUMPRODUCT(J2746:N2746,B2747:F2747)+O2746*(1+0.00023125256064071564))</f>
        <v/>
      </c>
      <c r="J2747">
        <f>IF(G2747=1,0.2*R2747/B2747,J2746)</f>
        <v/>
      </c>
      <c r="K2747">
        <f>IF(G2747=1,0.2*R2747/C2747,K2746)</f>
        <v/>
      </c>
      <c r="L2747">
        <f>IF(G2747=1,0.2*R2747/D2747,L2746)</f>
        <v/>
      </c>
      <c r="M2747">
        <f>IF(G2747=1,0.2*R2747/E2747,M2746)</f>
        <v/>
      </c>
      <c r="N2747">
        <f>IF(G2747=1,0.2*R2747/F2747,N2746)</f>
        <v/>
      </c>
      <c r="O2747">
        <f>IF(G2747=1,R2747*(1-1.0),IF(H2746=0,1,O2746*(1+0.00023125256064071564)))</f>
        <v/>
      </c>
      <c r="P2747">
        <f>IF(G2747=1,IF(H2746=0,1,ABS(0.2-J2746*B2747/I2747)+ABS(0.2-K2746*C2747/I2747)+ABS(0.2-L2746*D2747/I2747)+ABS(0.2-M2746*E2747/I2747)+ABS(0.2-N2746*F2747/I2747)),0)</f>
        <v/>
      </c>
      <c r="Q2747">
        <f>P2747*0.0015</f>
        <v/>
      </c>
      <c r="R2747">
        <f>I2747*(1-Q2747)</f>
        <v/>
      </c>
      <c r="S2747">
        <f>R2747/R2746-1</f>
        <v/>
      </c>
      <c r="T2747">
        <f>MAX(T2746,R2747)</f>
        <v/>
      </c>
      <c r="U2747">
        <f>R2747/T2747-1</f>
        <v/>
      </c>
      <c r="V2747" t="n">
        <v>6.397801420422246</v>
      </c>
      <c r="W2747" s="5">
        <f>R2747-V2747</f>
        <v/>
      </c>
    </row>
    <row r="2748">
      <c r="A2748" s="3" t="n">
        <v>42487</v>
      </c>
      <c r="B2748">
        <f>Prices!B2748</f>
        <v/>
      </c>
      <c r="C2748">
        <f>Prices!C2748</f>
        <v/>
      </c>
      <c r="D2748">
        <f>Prices!D2748</f>
        <v/>
      </c>
      <c r="E2748">
        <f>Prices!E2748</f>
        <v/>
      </c>
      <c r="F2748">
        <f>Prices!F2748</f>
        <v/>
      </c>
      <c r="G2748">
        <f>IF(AND(2746&gt;=16,TEXT(A2748,"yyyy-mm")&lt;&gt;TEXT(A2749,"yyyy-mm")),1,0)</f>
        <v/>
      </c>
      <c r="H2748">
        <f>IF(OR(H2747=1,G2748=1),1,0)</f>
        <v/>
      </c>
      <c r="I2748">
        <f>IF(H2747=0,1,SUMPRODUCT(J2747:N2747,B2748:F2748)+O2747*(1+0.00023125256064071564))</f>
        <v/>
      </c>
      <c r="J2748">
        <f>IF(G2748=1,0.2*R2748/B2748,J2747)</f>
        <v/>
      </c>
      <c r="K2748">
        <f>IF(G2748=1,0.2*R2748/C2748,K2747)</f>
        <v/>
      </c>
      <c r="L2748">
        <f>IF(G2748=1,0.2*R2748/D2748,L2747)</f>
        <v/>
      </c>
      <c r="M2748">
        <f>IF(G2748=1,0.2*R2748/E2748,M2747)</f>
        <v/>
      </c>
      <c r="N2748">
        <f>IF(G2748=1,0.2*R2748/F2748,N2747)</f>
        <v/>
      </c>
      <c r="O2748">
        <f>IF(G2748=1,R2748*(1-1.0),IF(H2747=0,1,O2747*(1+0.00023125256064071564)))</f>
        <v/>
      </c>
      <c r="P2748">
        <f>IF(G2748=1,IF(H2747=0,1,ABS(0.2-J2747*B2748/I2748)+ABS(0.2-K2747*C2748/I2748)+ABS(0.2-L2747*D2748/I2748)+ABS(0.2-M2747*E2748/I2748)+ABS(0.2-N2747*F2748/I2748)),0)</f>
        <v/>
      </c>
      <c r="Q2748">
        <f>P2748*0.0015</f>
        <v/>
      </c>
      <c r="R2748">
        <f>I2748*(1-Q2748)</f>
        <v/>
      </c>
      <c r="S2748">
        <f>R2748/R2747-1</f>
        <v/>
      </c>
      <c r="T2748">
        <f>MAX(T2747,R2748)</f>
        <v/>
      </c>
      <c r="U2748">
        <f>R2748/T2748-1</f>
        <v/>
      </c>
      <c r="V2748" t="n">
        <v>6.41883745416879</v>
      </c>
      <c r="W2748" s="5">
        <f>R2748-V2748</f>
        <v/>
      </c>
    </row>
    <row r="2749">
      <c r="A2749" s="3" t="n">
        <v>42488</v>
      </c>
      <c r="B2749">
        <f>Prices!B2749</f>
        <v/>
      </c>
      <c r="C2749">
        <f>Prices!C2749</f>
        <v/>
      </c>
      <c r="D2749">
        <f>Prices!D2749</f>
        <v/>
      </c>
      <c r="E2749">
        <f>Prices!E2749</f>
        <v/>
      </c>
      <c r="F2749">
        <f>Prices!F2749</f>
        <v/>
      </c>
      <c r="G2749">
        <f>IF(AND(2747&gt;=16,TEXT(A2749,"yyyy-mm")&lt;&gt;TEXT(A2750,"yyyy-mm")),1,0)</f>
        <v/>
      </c>
      <c r="H2749">
        <f>IF(OR(H2748=1,G2749=1),1,0)</f>
        <v/>
      </c>
      <c r="I2749">
        <f>IF(H2748=0,1,SUMPRODUCT(J2748:N2748,B2749:F2749)+O2748*(1+0.00023125256064071564))</f>
        <v/>
      </c>
      <c r="J2749">
        <f>IF(G2749=1,0.2*R2749/B2749,J2748)</f>
        <v/>
      </c>
      <c r="K2749">
        <f>IF(G2749=1,0.2*R2749/C2749,K2748)</f>
        <v/>
      </c>
      <c r="L2749">
        <f>IF(G2749=1,0.2*R2749/D2749,L2748)</f>
        <v/>
      </c>
      <c r="M2749">
        <f>IF(G2749=1,0.2*R2749/E2749,M2748)</f>
        <v/>
      </c>
      <c r="N2749">
        <f>IF(G2749=1,0.2*R2749/F2749,N2748)</f>
        <v/>
      </c>
      <c r="O2749">
        <f>IF(G2749=1,R2749*(1-1.0),IF(H2748=0,1,O2748*(1+0.00023125256064071564)))</f>
        <v/>
      </c>
      <c r="P2749">
        <f>IF(G2749=1,IF(H2748=0,1,ABS(0.2-J2748*B2749/I2749)+ABS(0.2-K2748*C2749/I2749)+ABS(0.2-L2748*D2749/I2749)+ABS(0.2-M2748*E2749/I2749)+ABS(0.2-N2748*F2749/I2749)),0)</f>
        <v/>
      </c>
      <c r="Q2749">
        <f>P2749*0.0015</f>
        <v/>
      </c>
      <c r="R2749">
        <f>I2749*(1-Q2749)</f>
        <v/>
      </c>
      <c r="S2749">
        <f>R2749/R2748-1</f>
        <v/>
      </c>
      <c r="T2749">
        <f>MAX(T2748,R2749)</f>
        <v/>
      </c>
      <c r="U2749">
        <f>R2749/T2749-1</f>
        <v/>
      </c>
      <c r="V2749" t="n">
        <v>6.32423082376611</v>
      </c>
      <c r="W2749" s="5">
        <f>R2749-V2749</f>
        <v/>
      </c>
    </row>
    <row r="2750">
      <c r="A2750" s="3" t="n">
        <v>42489</v>
      </c>
      <c r="B2750">
        <f>Prices!B2750</f>
        <v/>
      </c>
      <c r="C2750">
        <f>Prices!C2750</f>
        <v/>
      </c>
      <c r="D2750">
        <f>Prices!D2750</f>
        <v/>
      </c>
      <c r="E2750">
        <f>Prices!E2750</f>
        <v/>
      </c>
      <c r="F2750">
        <f>Prices!F2750</f>
        <v/>
      </c>
      <c r="G2750">
        <f>IF(AND(2748&gt;=16,TEXT(A2750,"yyyy-mm")&lt;&gt;TEXT(A2751,"yyyy-mm")),1,0)</f>
        <v/>
      </c>
      <c r="H2750">
        <f>IF(OR(H2749=1,G2750=1),1,0)</f>
        <v/>
      </c>
      <c r="I2750">
        <f>IF(H2749=0,1,SUMPRODUCT(J2749:N2749,B2750:F2750)+O2749*(1+0.00023125256064071564))</f>
        <v/>
      </c>
      <c r="J2750">
        <f>IF(G2750=1,0.2*R2750/B2750,J2749)</f>
        <v/>
      </c>
      <c r="K2750">
        <f>IF(G2750=1,0.2*R2750/C2750,K2749)</f>
        <v/>
      </c>
      <c r="L2750">
        <f>IF(G2750=1,0.2*R2750/D2750,L2749)</f>
        <v/>
      </c>
      <c r="M2750">
        <f>IF(G2750=1,0.2*R2750/E2750,M2749)</f>
        <v/>
      </c>
      <c r="N2750">
        <f>IF(G2750=1,0.2*R2750/F2750,N2749)</f>
        <v/>
      </c>
      <c r="O2750">
        <f>IF(G2750=1,R2750*(1-1.0),IF(H2749=0,1,O2749*(1+0.00023125256064071564)))</f>
        <v/>
      </c>
      <c r="P2750">
        <f>IF(G2750=1,IF(H2749=0,1,ABS(0.2-J2749*B2750/I2750)+ABS(0.2-K2749*C2750/I2750)+ABS(0.2-L2749*D2750/I2750)+ABS(0.2-M2749*E2750/I2750)+ABS(0.2-N2749*F2750/I2750)),0)</f>
        <v/>
      </c>
      <c r="Q2750">
        <f>P2750*0.0015</f>
        <v/>
      </c>
      <c r="R2750">
        <f>I2750*(1-Q2750)</f>
        <v/>
      </c>
      <c r="S2750">
        <f>R2750/R2749-1</f>
        <v/>
      </c>
      <c r="T2750">
        <f>MAX(T2749,R2750)</f>
        <v/>
      </c>
      <c r="U2750">
        <f>R2750/T2750-1</f>
        <v/>
      </c>
      <c r="V2750" t="n">
        <v>6.339516093398922</v>
      </c>
      <c r="W2750" s="5">
        <f>R2750-V2750</f>
        <v/>
      </c>
    </row>
    <row r="2751">
      <c r="A2751" s="3" t="n">
        <v>42492</v>
      </c>
      <c r="B2751">
        <f>Prices!B2751</f>
        <v/>
      </c>
      <c r="C2751">
        <f>Prices!C2751</f>
        <v/>
      </c>
      <c r="D2751">
        <f>Prices!D2751</f>
        <v/>
      </c>
      <c r="E2751">
        <f>Prices!E2751</f>
        <v/>
      </c>
      <c r="F2751">
        <f>Prices!F2751</f>
        <v/>
      </c>
      <c r="G2751">
        <f>IF(AND(2749&gt;=16,TEXT(A2751,"yyyy-mm")&lt;&gt;TEXT(A2752,"yyyy-mm")),1,0)</f>
        <v/>
      </c>
      <c r="H2751">
        <f>IF(OR(H2750=1,G2751=1),1,0)</f>
        <v/>
      </c>
      <c r="I2751">
        <f>IF(H2750=0,1,SUMPRODUCT(J2750:N2750,B2751:F2751)+O2750*(1+0.00023125256064071564))</f>
        <v/>
      </c>
      <c r="J2751">
        <f>IF(G2751=1,0.2*R2751/B2751,J2750)</f>
        <v/>
      </c>
      <c r="K2751">
        <f>IF(G2751=1,0.2*R2751/C2751,K2750)</f>
        <v/>
      </c>
      <c r="L2751">
        <f>IF(G2751=1,0.2*R2751/D2751,L2750)</f>
        <v/>
      </c>
      <c r="M2751">
        <f>IF(G2751=1,0.2*R2751/E2751,M2750)</f>
        <v/>
      </c>
      <c r="N2751">
        <f>IF(G2751=1,0.2*R2751/F2751,N2750)</f>
        <v/>
      </c>
      <c r="O2751">
        <f>IF(G2751=1,R2751*(1-1.0),IF(H2750=0,1,O2750*(1+0.00023125256064071564)))</f>
        <v/>
      </c>
      <c r="P2751">
        <f>IF(G2751=1,IF(H2750=0,1,ABS(0.2-J2750*B2751/I2751)+ABS(0.2-K2750*C2751/I2751)+ABS(0.2-L2750*D2751/I2751)+ABS(0.2-M2750*E2751/I2751)+ABS(0.2-N2750*F2751/I2751)),0)</f>
        <v/>
      </c>
      <c r="Q2751">
        <f>P2751*0.0015</f>
        <v/>
      </c>
      <c r="R2751">
        <f>I2751*(1-Q2751)</f>
        <v/>
      </c>
      <c r="S2751">
        <f>R2751/R2750-1</f>
        <v/>
      </c>
      <c r="T2751">
        <f>MAX(T2750,R2751)</f>
        <v/>
      </c>
      <c r="U2751">
        <f>R2751/T2751-1</f>
        <v/>
      </c>
      <c r="V2751" t="n">
        <v>6.361226019489848</v>
      </c>
      <c r="W2751" s="5">
        <f>R2751-V2751</f>
        <v/>
      </c>
    </row>
    <row r="2752">
      <c r="A2752" s="3" t="n">
        <v>42493</v>
      </c>
      <c r="B2752">
        <f>Prices!B2752</f>
        <v/>
      </c>
      <c r="C2752">
        <f>Prices!C2752</f>
        <v/>
      </c>
      <c r="D2752">
        <f>Prices!D2752</f>
        <v/>
      </c>
      <c r="E2752">
        <f>Prices!E2752</f>
        <v/>
      </c>
      <c r="F2752">
        <f>Prices!F2752</f>
        <v/>
      </c>
      <c r="G2752">
        <f>IF(AND(2750&gt;=16,TEXT(A2752,"yyyy-mm")&lt;&gt;TEXT(A2753,"yyyy-mm")),1,0)</f>
        <v/>
      </c>
      <c r="H2752">
        <f>IF(OR(H2751=1,G2752=1),1,0)</f>
        <v/>
      </c>
      <c r="I2752">
        <f>IF(H2751=0,1,SUMPRODUCT(J2751:N2751,B2752:F2752)+O2751*(1+0.00023125256064071564))</f>
        <v/>
      </c>
      <c r="J2752">
        <f>IF(G2752=1,0.2*R2752/B2752,J2751)</f>
        <v/>
      </c>
      <c r="K2752">
        <f>IF(G2752=1,0.2*R2752/C2752,K2751)</f>
        <v/>
      </c>
      <c r="L2752">
        <f>IF(G2752=1,0.2*R2752/D2752,L2751)</f>
        <v/>
      </c>
      <c r="M2752">
        <f>IF(G2752=1,0.2*R2752/E2752,M2751)</f>
        <v/>
      </c>
      <c r="N2752">
        <f>IF(G2752=1,0.2*R2752/F2752,N2751)</f>
        <v/>
      </c>
      <c r="O2752">
        <f>IF(G2752=1,R2752*(1-1.0),IF(H2751=0,1,O2751*(1+0.00023125256064071564)))</f>
        <v/>
      </c>
      <c r="P2752">
        <f>IF(G2752=1,IF(H2751=0,1,ABS(0.2-J2751*B2752/I2752)+ABS(0.2-K2751*C2752/I2752)+ABS(0.2-L2751*D2752/I2752)+ABS(0.2-M2751*E2752/I2752)+ABS(0.2-N2751*F2752/I2752)),0)</f>
        <v/>
      </c>
      <c r="Q2752">
        <f>P2752*0.0015</f>
        <v/>
      </c>
      <c r="R2752">
        <f>I2752*(1-Q2752)</f>
        <v/>
      </c>
      <c r="S2752">
        <f>R2752/R2751-1</f>
        <v/>
      </c>
      <c r="T2752">
        <f>MAX(T2751,R2752)</f>
        <v/>
      </c>
      <c r="U2752">
        <f>R2752/T2752-1</f>
        <v/>
      </c>
      <c r="V2752" t="n">
        <v>6.310368351796084</v>
      </c>
      <c r="W2752" s="5">
        <f>R2752-V2752</f>
        <v/>
      </c>
    </row>
    <row r="2753">
      <c r="A2753" s="3" t="n">
        <v>42494</v>
      </c>
      <c r="B2753">
        <f>Prices!B2753</f>
        <v/>
      </c>
      <c r="C2753">
        <f>Prices!C2753</f>
        <v/>
      </c>
      <c r="D2753">
        <f>Prices!D2753</f>
        <v/>
      </c>
      <c r="E2753">
        <f>Prices!E2753</f>
        <v/>
      </c>
      <c r="F2753">
        <f>Prices!F2753</f>
        <v/>
      </c>
      <c r="G2753">
        <f>IF(AND(2751&gt;=16,TEXT(A2753,"yyyy-mm")&lt;&gt;TEXT(A2754,"yyyy-mm")),1,0)</f>
        <v/>
      </c>
      <c r="H2753">
        <f>IF(OR(H2752=1,G2753=1),1,0)</f>
        <v/>
      </c>
      <c r="I2753">
        <f>IF(H2752=0,1,SUMPRODUCT(J2752:N2752,B2753:F2753)+O2752*(1+0.00023125256064071564))</f>
        <v/>
      </c>
      <c r="J2753">
        <f>IF(G2753=1,0.2*R2753/B2753,J2752)</f>
        <v/>
      </c>
      <c r="K2753">
        <f>IF(G2753=1,0.2*R2753/C2753,K2752)</f>
        <v/>
      </c>
      <c r="L2753">
        <f>IF(G2753=1,0.2*R2753/D2753,L2752)</f>
        <v/>
      </c>
      <c r="M2753">
        <f>IF(G2753=1,0.2*R2753/E2753,M2752)</f>
        <v/>
      </c>
      <c r="N2753">
        <f>IF(G2753=1,0.2*R2753/F2753,N2752)</f>
        <v/>
      </c>
      <c r="O2753">
        <f>IF(G2753=1,R2753*(1-1.0),IF(H2752=0,1,O2752*(1+0.00023125256064071564)))</f>
        <v/>
      </c>
      <c r="P2753">
        <f>IF(G2753=1,IF(H2752=0,1,ABS(0.2-J2752*B2753/I2753)+ABS(0.2-K2752*C2753/I2753)+ABS(0.2-L2752*D2753/I2753)+ABS(0.2-M2752*E2753/I2753)+ABS(0.2-N2752*F2753/I2753)),0)</f>
        <v/>
      </c>
      <c r="Q2753">
        <f>P2753*0.0015</f>
        <v/>
      </c>
      <c r="R2753">
        <f>I2753*(1-Q2753)</f>
        <v/>
      </c>
      <c r="S2753">
        <f>R2753/R2752-1</f>
        <v/>
      </c>
      <c r="T2753">
        <f>MAX(T2752,R2753)</f>
        <v/>
      </c>
      <c r="U2753">
        <f>R2753/T2753-1</f>
        <v/>
      </c>
      <c r="V2753" t="n">
        <v>6.218659405760218</v>
      </c>
      <c r="W2753" s="5">
        <f>R2753-V2753</f>
        <v/>
      </c>
    </row>
    <row r="2754">
      <c r="A2754" s="3" t="n">
        <v>42495</v>
      </c>
      <c r="B2754">
        <f>Prices!B2754</f>
        <v/>
      </c>
      <c r="C2754">
        <f>Prices!C2754</f>
        <v/>
      </c>
      <c r="D2754">
        <f>Prices!D2754</f>
        <v/>
      </c>
      <c r="E2754">
        <f>Prices!E2754</f>
        <v/>
      </c>
      <c r="F2754">
        <f>Prices!F2754</f>
        <v/>
      </c>
      <c r="G2754">
        <f>IF(AND(2752&gt;=16,TEXT(A2754,"yyyy-mm")&lt;&gt;TEXT(A2755,"yyyy-mm")),1,0)</f>
        <v/>
      </c>
      <c r="H2754">
        <f>IF(OR(H2753=1,G2754=1),1,0)</f>
        <v/>
      </c>
      <c r="I2754">
        <f>IF(H2753=0,1,SUMPRODUCT(J2753:N2753,B2754:F2754)+O2753*(1+0.00023125256064071564))</f>
        <v/>
      </c>
      <c r="J2754">
        <f>IF(G2754=1,0.2*R2754/B2754,J2753)</f>
        <v/>
      </c>
      <c r="K2754">
        <f>IF(G2754=1,0.2*R2754/C2754,K2753)</f>
        <v/>
      </c>
      <c r="L2754">
        <f>IF(G2754=1,0.2*R2754/D2754,L2753)</f>
        <v/>
      </c>
      <c r="M2754">
        <f>IF(G2754=1,0.2*R2754/E2754,M2753)</f>
        <v/>
      </c>
      <c r="N2754">
        <f>IF(G2754=1,0.2*R2754/F2754,N2753)</f>
        <v/>
      </c>
      <c r="O2754">
        <f>IF(G2754=1,R2754*(1-1.0),IF(H2753=0,1,O2753*(1+0.00023125256064071564)))</f>
        <v/>
      </c>
      <c r="P2754">
        <f>IF(G2754=1,IF(H2753=0,1,ABS(0.2-J2753*B2754/I2754)+ABS(0.2-K2753*C2754/I2754)+ABS(0.2-L2753*D2754/I2754)+ABS(0.2-M2753*E2754/I2754)+ABS(0.2-N2753*F2754/I2754)),0)</f>
        <v/>
      </c>
      <c r="Q2754">
        <f>P2754*0.0015</f>
        <v/>
      </c>
      <c r="R2754">
        <f>I2754*(1-Q2754)</f>
        <v/>
      </c>
      <c r="S2754">
        <f>R2754/R2753-1</f>
        <v/>
      </c>
      <c r="T2754">
        <f>MAX(T2753,R2754)</f>
        <v/>
      </c>
      <c r="U2754">
        <f>R2754/T2754-1</f>
        <v/>
      </c>
      <c r="V2754" t="n">
        <v>6.216242295132798</v>
      </c>
      <c r="W2754" s="5">
        <f>R2754-V2754</f>
        <v/>
      </c>
    </row>
    <row r="2755">
      <c r="A2755" s="3" t="n">
        <v>42496</v>
      </c>
      <c r="B2755">
        <f>Prices!B2755</f>
        <v/>
      </c>
      <c r="C2755">
        <f>Prices!C2755</f>
        <v/>
      </c>
      <c r="D2755">
        <f>Prices!D2755</f>
        <v/>
      </c>
      <c r="E2755">
        <f>Prices!E2755</f>
        <v/>
      </c>
      <c r="F2755">
        <f>Prices!F2755</f>
        <v/>
      </c>
      <c r="G2755">
        <f>IF(AND(2753&gt;=16,TEXT(A2755,"yyyy-mm")&lt;&gt;TEXT(A2756,"yyyy-mm")),1,0)</f>
        <v/>
      </c>
      <c r="H2755">
        <f>IF(OR(H2754=1,G2755=1),1,0)</f>
        <v/>
      </c>
      <c r="I2755">
        <f>IF(H2754=0,1,SUMPRODUCT(J2754:N2754,B2755:F2755)+O2754*(1+0.00023125256064071564))</f>
        <v/>
      </c>
      <c r="J2755">
        <f>IF(G2755=1,0.2*R2755/B2755,J2754)</f>
        <v/>
      </c>
      <c r="K2755">
        <f>IF(G2755=1,0.2*R2755/C2755,K2754)</f>
        <v/>
      </c>
      <c r="L2755">
        <f>IF(G2755=1,0.2*R2755/D2755,L2754)</f>
        <v/>
      </c>
      <c r="M2755">
        <f>IF(G2755=1,0.2*R2755/E2755,M2754)</f>
        <v/>
      </c>
      <c r="N2755">
        <f>IF(G2755=1,0.2*R2755/F2755,N2754)</f>
        <v/>
      </c>
      <c r="O2755">
        <f>IF(G2755=1,R2755*(1-1.0),IF(H2754=0,1,O2754*(1+0.00023125256064071564)))</f>
        <v/>
      </c>
      <c r="P2755">
        <f>IF(G2755=1,IF(H2754=0,1,ABS(0.2-J2754*B2755/I2755)+ABS(0.2-K2754*C2755/I2755)+ABS(0.2-L2754*D2755/I2755)+ABS(0.2-M2754*E2755/I2755)+ABS(0.2-N2754*F2755/I2755)),0)</f>
        <v/>
      </c>
      <c r="Q2755">
        <f>P2755*0.0015</f>
        <v/>
      </c>
      <c r="R2755">
        <f>I2755*(1-Q2755)</f>
        <v/>
      </c>
      <c r="S2755">
        <f>R2755/R2754-1</f>
        <v/>
      </c>
      <c r="T2755">
        <f>MAX(T2754,R2755)</f>
        <v/>
      </c>
      <c r="U2755">
        <f>R2755/T2755-1</f>
        <v/>
      </c>
      <c r="V2755" t="n">
        <v>6.227318772833991</v>
      </c>
      <c r="W2755" s="5">
        <f>R2755-V2755</f>
        <v/>
      </c>
    </row>
    <row r="2756">
      <c r="A2756" s="3" t="n">
        <v>42499</v>
      </c>
      <c r="B2756">
        <f>Prices!B2756</f>
        <v/>
      </c>
      <c r="C2756">
        <f>Prices!C2756</f>
        <v/>
      </c>
      <c r="D2756">
        <f>Prices!D2756</f>
        <v/>
      </c>
      <c r="E2756">
        <f>Prices!E2756</f>
        <v/>
      </c>
      <c r="F2756">
        <f>Prices!F2756</f>
        <v/>
      </c>
      <c r="G2756">
        <f>IF(AND(2754&gt;=16,TEXT(A2756,"yyyy-mm")&lt;&gt;TEXT(A2757,"yyyy-mm")),1,0)</f>
        <v/>
      </c>
      <c r="H2756">
        <f>IF(OR(H2755=1,G2756=1),1,0)</f>
        <v/>
      </c>
      <c r="I2756">
        <f>IF(H2755=0,1,SUMPRODUCT(J2755:N2755,B2756:F2756)+O2755*(1+0.00023125256064071564))</f>
        <v/>
      </c>
      <c r="J2756">
        <f>IF(G2756=1,0.2*R2756/B2756,J2755)</f>
        <v/>
      </c>
      <c r="K2756">
        <f>IF(G2756=1,0.2*R2756/C2756,K2755)</f>
        <v/>
      </c>
      <c r="L2756">
        <f>IF(G2756=1,0.2*R2756/D2756,L2755)</f>
        <v/>
      </c>
      <c r="M2756">
        <f>IF(G2756=1,0.2*R2756/E2756,M2755)</f>
        <v/>
      </c>
      <c r="N2756">
        <f>IF(G2756=1,0.2*R2756/F2756,N2755)</f>
        <v/>
      </c>
      <c r="O2756">
        <f>IF(G2756=1,R2756*(1-1.0),IF(H2755=0,1,O2755*(1+0.00023125256064071564)))</f>
        <v/>
      </c>
      <c r="P2756">
        <f>IF(G2756=1,IF(H2755=0,1,ABS(0.2-J2755*B2756/I2756)+ABS(0.2-K2755*C2756/I2756)+ABS(0.2-L2755*D2756/I2756)+ABS(0.2-M2755*E2756/I2756)+ABS(0.2-N2755*F2756/I2756)),0)</f>
        <v/>
      </c>
      <c r="Q2756">
        <f>P2756*0.0015</f>
        <v/>
      </c>
      <c r="R2756">
        <f>I2756*(1-Q2756)</f>
        <v/>
      </c>
      <c r="S2756">
        <f>R2756/R2755-1</f>
        <v/>
      </c>
      <c r="T2756">
        <f>MAX(T2755,R2756)</f>
        <v/>
      </c>
      <c r="U2756">
        <f>R2756/T2756-1</f>
        <v/>
      </c>
      <c r="V2756" t="n">
        <v>6.303137494047074</v>
      </c>
      <c r="W2756" s="5">
        <f>R2756-V2756</f>
        <v/>
      </c>
    </row>
    <row r="2757">
      <c r="A2757" s="3" t="n">
        <v>42500</v>
      </c>
      <c r="B2757">
        <f>Prices!B2757</f>
        <v/>
      </c>
      <c r="C2757">
        <f>Prices!C2757</f>
        <v/>
      </c>
      <c r="D2757">
        <f>Prices!D2757</f>
        <v/>
      </c>
      <c r="E2757">
        <f>Prices!E2757</f>
        <v/>
      </c>
      <c r="F2757">
        <f>Prices!F2757</f>
        <v/>
      </c>
      <c r="G2757">
        <f>IF(AND(2755&gt;=16,TEXT(A2757,"yyyy-mm")&lt;&gt;TEXT(A2758,"yyyy-mm")),1,0)</f>
        <v/>
      </c>
      <c r="H2757">
        <f>IF(OR(H2756=1,G2757=1),1,0)</f>
        <v/>
      </c>
      <c r="I2757">
        <f>IF(H2756=0,1,SUMPRODUCT(J2756:N2756,B2757:F2757)+O2756*(1+0.00023125256064071564))</f>
        <v/>
      </c>
      <c r="J2757">
        <f>IF(G2757=1,0.2*R2757/B2757,J2756)</f>
        <v/>
      </c>
      <c r="K2757">
        <f>IF(G2757=1,0.2*R2757/C2757,K2756)</f>
        <v/>
      </c>
      <c r="L2757">
        <f>IF(G2757=1,0.2*R2757/D2757,L2756)</f>
        <v/>
      </c>
      <c r="M2757">
        <f>IF(G2757=1,0.2*R2757/E2757,M2756)</f>
        <v/>
      </c>
      <c r="N2757">
        <f>IF(G2757=1,0.2*R2757/F2757,N2756)</f>
        <v/>
      </c>
      <c r="O2757">
        <f>IF(G2757=1,R2757*(1-1.0),IF(H2756=0,1,O2756*(1+0.00023125256064071564)))</f>
        <v/>
      </c>
      <c r="P2757">
        <f>IF(G2757=1,IF(H2756=0,1,ABS(0.2-J2756*B2757/I2757)+ABS(0.2-K2756*C2757/I2757)+ABS(0.2-L2756*D2757/I2757)+ABS(0.2-M2756*E2757/I2757)+ABS(0.2-N2756*F2757/I2757)),0)</f>
        <v/>
      </c>
      <c r="Q2757">
        <f>P2757*0.0015</f>
        <v/>
      </c>
      <c r="R2757">
        <f>I2757*(1-Q2757)</f>
        <v/>
      </c>
      <c r="S2757">
        <f>R2757/R2756-1</f>
        <v/>
      </c>
      <c r="T2757">
        <f>MAX(T2756,R2757)</f>
        <v/>
      </c>
      <c r="U2757">
        <f>R2757/T2757-1</f>
        <v/>
      </c>
      <c r="V2757" t="n">
        <v>6.296235804449757</v>
      </c>
      <c r="W2757" s="5">
        <f>R2757-V2757</f>
        <v/>
      </c>
    </row>
    <row r="2758">
      <c r="A2758" s="3" t="n">
        <v>42501</v>
      </c>
      <c r="B2758">
        <f>Prices!B2758</f>
        <v/>
      </c>
      <c r="C2758">
        <f>Prices!C2758</f>
        <v/>
      </c>
      <c r="D2758">
        <f>Prices!D2758</f>
        <v/>
      </c>
      <c r="E2758">
        <f>Prices!E2758</f>
        <v/>
      </c>
      <c r="F2758">
        <f>Prices!F2758</f>
        <v/>
      </c>
      <c r="G2758">
        <f>IF(AND(2756&gt;=16,TEXT(A2758,"yyyy-mm")&lt;&gt;TEXT(A2759,"yyyy-mm")),1,0)</f>
        <v/>
      </c>
      <c r="H2758">
        <f>IF(OR(H2757=1,G2758=1),1,0)</f>
        <v/>
      </c>
      <c r="I2758">
        <f>IF(H2757=0,1,SUMPRODUCT(J2757:N2757,B2758:F2758)+O2757*(1+0.00023125256064071564))</f>
        <v/>
      </c>
      <c r="J2758">
        <f>IF(G2758=1,0.2*R2758/B2758,J2757)</f>
        <v/>
      </c>
      <c r="K2758">
        <f>IF(G2758=1,0.2*R2758/C2758,K2757)</f>
        <v/>
      </c>
      <c r="L2758">
        <f>IF(G2758=1,0.2*R2758/D2758,L2757)</f>
        <v/>
      </c>
      <c r="M2758">
        <f>IF(G2758=1,0.2*R2758/E2758,M2757)</f>
        <v/>
      </c>
      <c r="N2758">
        <f>IF(G2758=1,0.2*R2758/F2758,N2757)</f>
        <v/>
      </c>
      <c r="O2758">
        <f>IF(G2758=1,R2758*(1-1.0),IF(H2757=0,1,O2757*(1+0.00023125256064071564)))</f>
        <v/>
      </c>
      <c r="P2758">
        <f>IF(G2758=1,IF(H2757=0,1,ABS(0.2-J2757*B2758/I2758)+ABS(0.2-K2757*C2758/I2758)+ABS(0.2-L2757*D2758/I2758)+ABS(0.2-M2757*E2758/I2758)+ABS(0.2-N2757*F2758/I2758)),0)</f>
        <v/>
      </c>
      <c r="Q2758">
        <f>P2758*0.0015</f>
        <v/>
      </c>
      <c r="R2758">
        <f>I2758*(1-Q2758)</f>
        <v/>
      </c>
      <c r="S2758">
        <f>R2758/R2757-1</f>
        <v/>
      </c>
      <c r="T2758">
        <f>MAX(T2757,R2758)</f>
        <v/>
      </c>
      <c r="U2758">
        <f>R2758/T2758-1</f>
        <v/>
      </c>
      <c r="V2758" t="n">
        <v>6.273369984167385</v>
      </c>
      <c r="W2758" s="5">
        <f>R2758-V2758</f>
        <v/>
      </c>
    </row>
    <row r="2759">
      <c r="A2759" s="3" t="n">
        <v>42502</v>
      </c>
      <c r="B2759">
        <f>Prices!B2759</f>
        <v/>
      </c>
      <c r="C2759">
        <f>Prices!C2759</f>
        <v/>
      </c>
      <c r="D2759">
        <f>Prices!D2759</f>
        <v/>
      </c>
      <c r="E2759">
        <f>Prices!E2759</f>
        <v/>
      </c>
      <c r="F2759">
        <f>Prices!F2759</f>
        <v/>
      </c>
      <c r="G2759">
        <f>IF(AND(2757&gt;=16,TEXT(A2759,"yyyy-mm")&lt;&gt;TEXT(A2760,"yyyy-mm")),1,0)</f>
        <v/>
      </c>
      <c r="H2759">
        <f>IF(OR(H2758=1,G2759=1),1,0)</f>
        <v/>
      </c>
      <c r="I2759">
        <f>IF(H2758=0,1,SUMPRODUCT(J2758:N2758,B2759:F2759)+O2758*(1+0.00023125256064071564))</f>
        <v/>
      </c>
      <c r="J2759">
        <f>IF(G2759=1,0.2*R2759/B2759,J2758)</f>
        <v/>
      </c>
      <c r="K2759">
        <f>IF(G2759=1,0.2*R2759/C2759,K2758)</f>
        <v/>
      </c>
      <c r="L2759">
        <f>IF(G2759=1,0.2*R2759/D2759,L2758)</f>
        <v/>
      </c>
      <c r="M2759">
        <f>IF(G2759=1,0.2*R2759/E2759,M2758)</f>
        <v/>
      </c>
      <c r="N2759">
        <f>IF(G2759=1,0.2*R2759/F2759,N2758)</f>
        <v/>
      </c>
      <c r="O2759">
        <f>IF(G2759=1,R2759*(1-1.0),IF(H2758=0,1,O2758*(1+0.00023125256064071564)))</f>
        <v/>
      </c>
      <c r="P2759">
        <f>IF(G2759=1,IF(H2758=0,1,ABS(0.2-J2758*B2759/I2759)+ABS(0.2-K2758*C2759/I2759)+ABS(0.2-L2758*D2759/I2759)+ABS(0.2-M2758*E2759/I2759)+ABS(0.2-N2758*F2759/I2759)),0)</f>
        <v/>
      </c>
      <c r="Q2759">
        <f>P2759*0.0015</f>
        <v/>
      </c>
      <c r="R2759">
        <f>I2759*(1-Q2759)</f>
        <v/>
      </c>
      <c r="S2759">
        <f>R2759/R2758-1</f>
        <v/>
      </c>
      <c r="T2759">
        <f>MAX(T2758,R2759)</f>
        <v/>
      </c>
      <c r="U2759">
        <f>R2759/T2759-1</f>
        <v/>
      </c>
      <c r="V2759" t="n">
        <v>6.320972070361422</v>
      </c>
      <c r="W2759" s="5">
        <f>R2759-V2759</f>
        <v/>
      </c>
    </row>
    <row r="2760">
      <c r="A2760" s="3" t="n">
        <v>42503</v>
      </c>
      <c r="B2760">
        <f>Prices!B2760</f>
        <v/>
      </c>
      <c r="C2760">
        <f>Prices!C2760</f>
        <v/>
      </c>
      <c r="D2760">
        <f>Prices!D2760</f>
        <v/>
      </c>
      <c r="E2760">
        <f>Prices!E2760</f>
        <v/>
      </c>
      <c r="F2760">
        <f>Prices!F2760</f>
        <v/>
      </c>
      <c r="G2760">
        <f>IF(AND(2758&gt;=16,TEXT(A2760,"yyyy-mm")&lt;&gt;TEXT(A2761,"yyyy-mm")),1,0)</f>
        <v/>
      </c>
      <c r="H2760">
        <f>IF(OR(H2759=1,G2760=1),1,0)</f>
        <v/>
      </c>
      <c r="I2760">
        <f>IF(H2759=0,1,SUMPRODUCT(J2759:N2759,B2760:F2760)+O2759*(1+0.00023125256064071564))</f>
        <v/>
      </c>
      <c r="J2760">
        <f>IF(G2760=1,0.2*R2760/B2760,J2759)</f>
        <v/>
      </c>
      <c r="K2760">
        <f>IF(G2760=1,0.2*R2760/C2760,K2759)</f>
        <v/>
      </c>
      <c r="L2760">
        <f>IF(G2760=1,0.2*R2760/D2760,L2759)</f>
        <v/>
      </c>
      <c r="M2760">
        <f>IF(G2760=1,0.2*R2760/E2760,M2759)</f>
        <v/>
      </c>
      <c r="N2760">
        <f>IF(G2760=1,0.2*R2760/F2760,N2759)</f>
        <v/>
      </c>
      <c r="O2760">
        <f>IF(G2760=1,R2760*(1-1.0),IF(H2759=0,1,O2759*(1+0.00023125256064071564)))</f>
        <v/>
      </c>
      <c r="P2760">
        <f>IF(G2760=1,IF(H2759=0,1,ABS(0.2-J2759*B2760/I2760)+ABS(0.2-K2759*C2760/I2760)+ABS(0.2-L2759*D2760/I2760)+ABS(0.2-M2759*E2760/I2760)+ABS(0.2-N2759*F2760/I2760)),0)</f>
        <v/>
      </c>
      <c r="Q2760">
        <f>P2760*0.0015</f>
        <v/>
      </c>
      <c r="R2760">
        <f>I2760*(1-Q2760)</f>
        <v/>
      </c>
      <c r="S2760">
        <f>R2760/R2759-1</f>
        <v/>
      </c>
      <c r="T2760">
        <f>MAX(T2759,R2760)</f>
        <v/>
      </c>
      <c r="U2760">
        <f>R2760/T2760-1</f>
        <v/>
      </c>
      <c r="V2760" t="n">
        <v>6.275853658342426</v>
      </c>
      <c r="W2760" s="5">
        <f>R2760-V2760</f>
        <v/>
      </c>
    </row>
    <row r="2761">
      <c r="A2761" s="3" t="n">
        <v>42506</v>
      </c>
      <c r="B2761">
        <f>Prices!B2761</f>
        <v/>
      </c>
      <c r="C2761">
        <f>Prices!C2761</f>
        <v/>
      </c>
      <c r="D2761">
        <f>Prices!D2761</f>
        <v/>
      </c>
      <c r="E2761">
        <f>Prices!E2761</f>
        <v/>
      </c>
      <c r="F2761">
        <f>Prices!F2761</f>
        <v/>
      </c>
      <c r="G2761">
        <f>IF(AND(2759&gt;=16,TEXT(A2761,"yyyy-mm")&lt;&gt;TEXT(A2762,"yyyy-mm")),1,0)</f>
        <v/>
      </c>
      <c r="H2761">
        <f>IF(OR(H2760=1,G2761=1),1,0)</f>
        <v/>
      </c>
      <c r="I2761">
        <f>IF(H2760=0,1,SUMPRODUCT(J2760:N2760,B2761:F2761)+O2760*(1+0.00023125256064071564))</f>
        <v/>
      </c>
      <c r="J2761">
        <f>IF(G2761=1,0.2*R2761/B2761,J2760)</f>
        <v/>
      </c>
      <c r="K2761">
        <f>IF(G2761=1,0.2*R2761/C2761,K2760)</f>
        <v/>
      </c>
      <c r="L2761">
        <f>IF(G2761=1,0.2*R2761/D2761,L2760)</f>
        <v/>
      </c>
      <c r="M2761">
        <f>IF(G2761=1,0.2*R2761/E2761,M2760)</f>
        <v/>
      </c>
      <c r="N2761">
        <f>IF(G2761=1,0.2*R2761/F2761,N2760)</f>
        <v/>
      </c>
      <c r="O2761">
        <f>IF(G2761=1,R2761*(1-1.0),IF(H2760=0,1,O2760*(1+0.00023125256064071564)))</f>
        <v/>
      </c>
      <c r="P2761">
        <f>IF(G2761=1,IF(H2760=0,1,ABS(0.2-J2760*B2761/I2761)+ABS(0.2-K2760*C2761/I2761)+ABS(0.2-L2760*D2761/I2761)+ABS(0.2-M2760*E2761/I2761)+ABS(0.2-N2760*F2761/I2761)),0)</f>
        <v/>
      </c>
      <c r="Q2761">
        <f>P2761*0.0015</f>
        <v/>
      </c>
      <c r="R2761">
        <f>I2761*(1-Q2761)</f>
        <v/>
      </c>
      <c r="S2761">
        <f>R2761/R2760-1</f>
        <v/>
      </c>
      <c r="T2761">
        <f>MAX(T2760,R2761)</f>
        <v/>
      </c>
      <c r="U2761">
        <f>R2761/T2761-1</f>
        <v/>
      </c>
      <c r="V2761" t="n">
        <v>6.277966843174796</v>
      </c>
      <c r="W2761" s="5">
        <f>R2761-V2761</f>
        <v/>
      </c>
    </row>
    <row r="2762">
      <c r="A2762" s="3" t="n">
        <v>42507</v>
      </c>
      <c r="B2762">
        <f>Prices!B2762</f>
        <v/>
      </c>
      <c r="C2762">
        <f>Prices!C2762</f>
        <v/>
      </c>
      <c r="D2762">
        <f>Prices!D2762</f>
        <v/>
      </c>
      <c r="E2762">
        <f>Prices!E2762</f>
        <v/>
      </c>
      <c r="F2762">
        <f>Prices!F2762</f>
        <v/>
      </c>
      <c r="G2762">
        <f>IF(AND(2760&gt;=16,TEXT(A2762,"yyyy-mm")&lt;&gt;TEXT(A2763,"yyyy-mm")),1,0)</f>
        <v/>
      </c>
      <c r="H2762">
        <f>IF(OR(H2761=1,G2762=1),1,0)</f>
        <v/>
      </c>
      <c r="I2762">
        <f>IF(H2761=0,1,SUMPRODUCT(J2761:N2761,B2762:F2762)+O2761*(1+0.00023125256064071564))</f>
        <v/>
      </c>
      <c r="J2762">
        <f>IF(G2762=1,0.2*R2762/B2762,J2761)</f>
        <v/>
      </c>
      <c r="K2762">
        <f>IF(G2762=1,0.2*R2762/C2762,K2761)</f>
        <v/>
      </c>
      <c r="L2762">
        <f>IF(G2762=1,0.2*R2762/D2762,L2761)</f>
        <v/>
      </c>
      <c r="M2762">
        <f>IF(G2762=1,0.2*R2762/E2762,M2761)</f>
        <v/>
      </c>
      <c r="N2762">
        <f>IF(G2762=1,0.2*R2762/F2762,N2761)</f>
        <v/>
      </c>
      <c r="O2762">
        <f>IF(G2762=1,R2762*(1-1.0),IF(H2761=0,1,O2761*(1+0.00023125256064071564)))</f>
        <v/>
      </c>
      <c r="P2762">
        <f>IF(G2762=1,IF(H2761=0,1,ABS(0.2-J2761*B2762/I2762)+ABS(0.2-K2761*C2762/I2762)+ABS(0.2-L2761*D2762/I2762)+ABS(0.2-M2761*E2762/I2762)+ABS(0.2-N2761*F2762/I2762)),0)</f>
        <v/>
      </c>
      <c r="Q2762">
        <f>P2762*0.0015</f>
        <v/>
      </c>
      <c r="R2762">
        <f>I2762*(1-Q2762)</f>
        <v/>
      </c>
      <c r="S2762">
        <f>R2762/R2761-1</f>
        <v/>
      </c>
      <c r="T2762">
        <f>MAX(T2761,R2762)</f>
        <v/>
      </c>
      <c r="U2762">
        <f>R2762/T2762-1</f>
        <v/>
      </c>
      <c r="V2762" t="n">
        <v>6.297876904861684</v>
      </c>
      <c r="W2762" s="5">
        <f>R2762-V2762</f>
        <v/>
      </c>
    </row>
    <row r="2763">
      <c r="A2763" s="3" t="n">
        <v>42508</v>
      </c>
      <c r="B2763">
        <f>Prices!B2763</f>
        <v/>
      </c>
      <c r="C2763">
        <f>Prices!C2763</f>
        <v/>
      </c>
      <c r="D2763">
        <f>Prices!D2763</f>
        <v/>
      </c>
      <c r="E2763">
        <f>Prices!E2763</f>
        <v/>
      </c>
      <c r="F2763">
        <f>Prices!F2763</f>
        <v/>
      </c>
      <c r="G2763">
        <f>IF(AND(2761&gt;=16,TEXT(A2763,"yyyy-mm")&lt;&gt;TEXT(A2764,"yyyy-mm")),1,0)</f>
        <v/>
      </c>
      <c r="H2763">
        <f>IF(OR(H2762=1,G2763=1),1,0)</f>
        <v/>
      </c>
      <c r="I2763">
        <f>IF(H2762=0,1,SUMPRODUCT(J2762:N2762,B2763:F2763)+O2762*(1+0.00023125256064071564))</f>
        <v/>
      </c>
      <c r="J2763">
        <f>IF(G2763=1,0.2*R2763/B2763,J2762)</f>
        <v/>
      </c>
      <c r="K2763">
        <f>IF(G2763=1,0.2*R2763/C2763,K2762)</f>
        <v/>
      </c>
      <c r="L2763">
        <f>IF(G2763=1,0.2*R2763/D2763,L2762)</f>
        <v/>
      </c>
      <c r="M2763">
        <f>IF(G2763=1,0.2*R2763/E2763,M2762)</f>
        <v/>
      </c>
      <c r="N2763">
        <f>IF(G2763=1,0.2*R2763/F2763,N2762)</f>
        <v/>
      </c>
      <c r="O2763">
        <f>IF(G2763=1,R2763*(1-1.0),IF(H2762=0,1,O2762*(1+0.00023125256064071564)))</f>
        <v/>
      </c>
      <c r="P2763">
        <f>IF(G2763=1,IF(H2762=0,1,ABS(0.2-J2762*B2763/I2763)+ABS(0.2-K2762*C2763/I2763)+ABS(0.2-L2762*D2763/I2763)+ABS(0.2-M2762*E2763/I2763)+ABS(0.2-N2762*F2763/I2763)),0)</f>
        <v/>
      </c>
      <c r="Q2763">
        <f>P2763*0.0015</f>
        <v/>
      </c>
      <c r="R2763">
        <f>I2763*(1-Q2763)</f>
        <v/>
      </c>
      <c r="S2763">
        <f>R2763/R2762-1</f>
        <v/>
      </c>
      <c r="T2763">
        <f>MAX(T2762,R2763)</f>
        <v/>
      </c>
      <c r="U2763">
        <f>R2763/T2763-1</f>
        <v/>
      </c>
      <c r="V2763" t="n">
        <v>6.305801229367895</v>
      </c>
      <c r="W2763" s="5">
        <f>R2763-V2763</f>
        <v/>
      </c>
    </row>
    <row r="2764">
      <c r="A2764" s="3" t="n">
        <v>42509</v>
      </c>
      <c r="B2764">
        <f>Prices!B2764</f>
        <v/>
      </c>
      <c r="C2764">
        <f>Prices!C2764</f>
        <v/>
      </c>
      <c r="D2764">
        <f>Prices!D2764</f>
        <v/>
      </c>
      <c r="E2764">
        <f>Prices!E2764</f>
        <v/>
      </c>
      <c r="F2764">
        <f>Prices!F2764</f>
        <v/>
      </c>
      <c r="G2764">
        <f>IF(AND(2762&gt;=16,TEXT(A2764,"yyyy-mm")&lt;&gt;TEXT(A2765,"yyyy-mm")),1,0)</f>
        <v/>
      </c>
      <c r="H2764">
        <f>IF(OR(H2763=1,G2764=1),1,0)</f>
        <v/>
      </c>
      <c r="I2764">
        <f>IF(H2763=0,1,SUMPRODUCT(J2763:N2763,B2764:F2764)+O2763*(1+0.00023125256064071564))</f>
        <v/>
      </c>
      <c r="J2764">
        <f>IF(G2764=1,0.2*R2764/B2764,J2763)</f>
        <v/>
      </c>
      <c r="K2764">
        <f>IF(G2764=1,0.2*R2764/C2764,K2763)</f>
        <v/>
      </c>
      <c r="L2764">
        <f>IF(G2764=1,0.2*R2764/D2764,L2763)</f>
        <v/>
      </c>
      <c r="M2764">
        <f>IF(G2764=1,0.2*R2764/E2764,M2763)</f>
        <v/>
      </c>
      <c r="N2764">
        <f>IF(G2764=1,0.2*R2764/F2764,N2763)</f>
        <v/>
      </c>
      <c r="O2764">
        <f>IF(G2764=1,R2764*(1-1.0),IF(H2763=0,1,O2763*(1+0.00023125256064071564)))</f>
        <v/>
      </c>
      <c r="P2764">
        <f>IF(G2764=1,IF(H2763=0,1,ABS(0.2-J2763*B2764/I2764)+ABS(0.2-K2763*C2764/I2764)+ABS(0.2-L2763*D2764/I2764)+ABS(0.2-M2763*E2764/I2764)+ABS(0.2-N2763*F2764/I2764)),0)</f>
        <v/>
      </c>
      <c r="Q2764">
        <f>P2764*0.0015</f>
        <v/>
      </c>
      <c r="R2764">
        <f>I2764*(1-Q2764)</f>
        <v/>
      </c>
      <c r="S2764">
        <f>R2764/R2763-1</f>
        <v/>
      </c>
      <c r="T2764">
        <f>MAX(T2763,R2764)</f>
        <v/>
      </c>
      <c r="U2764">
        <f>R2764/T2764-1</f>
        <v/>
      </c>
      <c r="V2764" t="n">
        <v>6.222715144404126</v>
      </c>
      <c r="W2764" s="5">
        <f>R2764-V2764</f>
        <v/>
      </c>
    </row>
    <row r="2765">
      <c r="A2765" s="3" t="n">
        <v>42510</v>
      </c>
      <c r="B2765">
        <f>Prices!B2765</f>
        <v/>
      </c>
      <c r="C2765">
        <f>Prices!C2765</f>
        <v/>
      </c>
      <c r="D2765">
        <f>Prices!D2765</f>
        <v/>
      </c>
      <c r="E2765">
        <f>Prices!E2765</f>
        <v/>
      </c>
      <c r="F2765">
        <f>Prices!F2765</f>
        <v/>
      </c>
      <c r="G2765">
        <f>IF(AND(2763&gt;=16,TEXT(A2765,"yyyy-mm")&lt;&gt;TEXT(A2766,"yyyy-mm")),1,0)</f>
        <v/>
      </c>
      <c r="H2765">
        <f>IF(OR(H2764=1,G2765=1),1,0)</f>
        <v/>
      </c>
      <c r="I2765">
        <f>IF(H2764=0,1,SUMPRODUCT(J2764:N2764,B2765:F2765)+O2764*(1+0.00023125256064071564))</f>
        <v/>
      </c>
      <c r="J2765">
        <f>IF(G2765=1,0.2*R2765/B2765,J2764)</f>
        <v/>
      </c>
      <c r="K2765">
        <f>IF(G2765=1,0.2*R2765/C2765,K2764)</f>
        <v/>
      </c>
      <c r="L2765">
        <f>IF(G2765=1,0.2*R2765/D2765,L2764)</f>
        <v/>
      </c>
      <c r="M2765">
        <f>IF(G2765=1,0.2*R2765/E2765,M2764)</f>
        <v/>
      </c>
      <c r="N2765">
        <f>IF(G2765=1,0.2*R2765/F2765,N2764)</f>
        <v/>
      </c>
      <c r="O2765">
        <f>IF(G2765=1,R2765*(1-1.0),IF(H2764=0,1,O2764*(1+0.00023125256064071564)))</f>
        <v/>
      </c>
      <c r="P2765">
        <f>IF(G2765=1,IF(H2764=0,1,ABS(0.2-J2764*B2765/I2765)+ABS(0.2-K2764*C2765/I2765)+ABS(0.2-L2764*D2765/I2765)+ABS(0.2-M2764*E2765/I2765)+ABS(0.2-N2764*F2765/I2765)),0)</f>
        <v/>
      </c>
      <c r="Q2765">
        <f>P2765*0.0015</f>
        <v/>
      </c>
      <c r="R2765">
        <f>I2765*(1-Q2765)</f>
        <v/>
      </c>
      <c r="S2765">
        <f>R2765/R2764-1</f>
        <v/>
      </c>
      <c r="T2765">
        <f>MAX(T2764,R2765)</f>
        <v/>
      </c>
      <c r="U2765">
        <f>R2765/T2765-1</f>
        <v/>
      </c>
      <c r="V2765" t="n">
        <v>6.172506178643451</v>
      </c>
      <c r="W2765" s="5">
        <f>R2765-V2765</f>
        <v/>
      </c>
    </row>
    <row r="2766">
      <c r="A2766" s="3" t="n">
        <v>42513</v>
      </c>
      <c r="B2766">
        <f>Prices!B2766</f>
        <v/>
      </c>
      <c r="C2766">
        <f>Prices!C2766</f>
        <v/>
      </c>
      <c r="D2766">
        <f>Prices!D2766</f>
        <v/>
      </c>
      <c r="E2766">
        <f>Prices!E2766</f>
        <v/>
      </c>
      <c r="F2766">
        <f>Prices!F2766</f>
        <v/>
      </c>
      <c r="G2766">
        <f>IF(AND(2764&gt;=16,TEXT(A2766,"yyyy-mm")&lt;&gt;TEXT(A2767,"yyyy-mm")),1,0)</f>
        <v/>
      </c>
      <c r="H2766">
        <f>IF(OR(H2765=1,G2766=1),1,0)</f>
        <v/>
      </c>
      <c r="I2766">
        <f>IF(H2765=0,1,SUMPRODUCT(J2765:N2765,B2766:F2766)+O2765*(1+0.00023125256064071564))</f>
        <v/>
      </c>
      <c r="J2766">
        <f>IF(G2766=1,0.2*R2766/B2766,J2765)</f>
        <v/>
      </c>
      <c r="K2766">
        <f>IF(G2766=1,0.2*R2766/C2766,K2765)</f>
        <v/>
      </c>
      <c r="L2766">
        <f>IF(G2766=1,0.2*R2766/D2766,L2765)</f>
        <v/>
      </c>
      <c r="M2766">
        <f>IF(G2766=1,0.2*R2766/E2766,M2765)</f>
        <v/>
      </c>
      <c r="N2766">
        <f>IF(G2766=1,0.2*R2766/F2766,N2765)</f>
        <v/>
      </c>
      <c r="O2766">
        <f>IF(G2766=1,R2766*(1-1.0),IF(H2765=0,1,O2765*(1+0.00023125256064071564)))</f>
        <v/>
      </c>
      <c r="P2766">
        <f>IF(G2766=1,IF(H2765=0,1,ABS(0.2-J2765*B2766/I2766)+ABS(0.2-K2765*C2766/I2766)+ABS(0.2-L2765*D2766/I2766)+ABS(0.2-M2765*E2766/I2766)+ABS(0.2-N2765*F2766/I2766)),0)</f>
        <v/>
      </c>
      <c r="Q2766">
        <f>P2766*0.0015</f>
        <v/>
      </c>
      <c r="R2766">
        <f>I2766*(1-Q2766)</f>
        <v/>
      </c>
      <c r="S2766">
        <f>R2766/R2765-1</f>
        <v/>
      </c>
      <c r="T2766">
        <f>MAX(T2765,R2766)</f>
        <v/>
      </c>
      <c r="U2766">
        <f>R2766/T2766-1</f>
        <v/>
      </c>
      <c r="V2766" t="n">
        <v>6.144025678428587</v>
      </c>
      <c r="W2766" s="5">
        <f>R2766-V2766</f>
        <v/>
      </c>
    </row>
    <row r="2767">
      <c r="A2767" s="3" t="n">
        <v>42514</v>
      </c>
      <c r="B2767">
        <f>Prices!B2767</f>
        <v/>
      </c>
      <c r="C2767">
        <f>Prices!C2767</f>
        <v/>
      </c>
      <c r="D2767">
        <f>Prices!D2767</f>
        <v/>
      </c>
      <c r="E2767">
        <f>Prices!E2767</f>
        <v/>
      </c>
      <c r="F2767">
        <f>Prices!F2767</f>
        <v/>
      </c>
      <c r="G2767">
        <f>IF(AND(2765&gt;=16,TEXT(A2767,"yyyy-mm")&lt;&gt;TEXT(A2768,"yyyy-mm")),1,0)</f>
        <v/>
      </c>
      <c r="H2767">
        <f>IF(OR(H2766=1,G2767=1),1,0)</f>
        <v/>
      </c>
      <c r="I2767">
        <f>IF(H2766=0,1,SUMPRODUCT(J2766:N2766,B2767:F2767)+O2766*(1+0.00023125256064071564))</f>
        <v/>
      </c>
      <c r="J2767">
        <f>IF(G2767=1,0.2*R2767/B2767,J2766)</f>
        <v/>
      </c>
      <c r="K2767">
        <f>IF(G2767=1,0.2*R2767/C2767,K2766)</f>
        <v/>
      </c>
      <c r="L2767">
        <f>IF(G2767=1,0.2*R2767/D2767,L2766)</f>
        <v/>
      </c>
      <c r="M2767">
        <f>IF(G2767=1,0.2*R2767/E2767,M2766)</f>
        <v/>
      </c>
      <c r="N2767">
        <f>IF(G2767=1,0.2*R2767/F2767,N2766)</f>
        <v/>
      </c>
      <c r="O2767">
        <f>IF(G2767=1,R2767*(1-1.0),IF(H2766=0,1,O2766*(1+0.00023125256064071564)))</f>
        <v/>
      </c>
      <c r="P2767">
        <f>IF(G2767=1,IF(H2766=0,1,ABS(0.2-J2766*B2767/I2767)+ABS(0.2-K2766*C2767/I2767)+ABS(0.2-L2766*D2767/I2767)+ABS(0.2-M2766*E2767/I2767)+ABS(0.2-N2766*F2767/I2767)),0)</f>
        <v/>
      </c>
      <c r="Q2767">
        <f>P2767*0.0015</f>
        <v/>
      </c>
      <c r="R2767">
        <f>I2767*(1-Q2767)</f>
        <v/>
      </c>
      <c r="S2767">
        <f>R2767/R2766-1</f>
        <v/>
      </c>
      <c r="T2767">
        <f>MAX(T2766,R2767)</f>
        <v/>
      </c>
      <c r="U2767">
        <f>R2767/T2767-1</f>
        <v/>
      </c>
      <c r="V2767" t="n">
        <v>6.116583856710574</v>
      </c>
      <c r="W2767" s="5">
        <f>R2767-V2767</f>
        <v/>
      </c>
    </row>
    <row r="2768">
      <c r="A2768" s="3" t="n">
        <v>42515</v>
      </c>
      <c r="B2768">
        <f>Prices!B2768</f>
        <v/>
      </c>
      <c r="C2768">
        <f>Prices!C2768</f>
        <v/>
      </c>
      <c r="D2768">
        <f>Prices!D2768</f>
        <v/>
      </c>
      <c r="E2768">
        <f>Prices!E2768</f>
        <v/>
      </c>
      <c r="F2768">
        <f>Prices!F2768</f>
        <v/>
      </c>
      <c r="G2768">
        <f>IF(AND(2766&gt;=16,TEXT(A2768,"yyyy-mm")&lt;&gt;TEXT(A2769,"yyyy-mm")),1,0)</f>
        <v/>
      </c>
      <c r="H2768">
        <f>IF(OR(H2767=1,G2768=1),1,0)</f>
        <v/>
      </c>
      <c r="I2768">
        <f>IF(H2767=0,1,SUMPRODUCT(J2767:N2767,B2768:F2768)+O2767*(1+0.00023125256064071564))</f>
        <v/>
      </c>
      <c r="J2768">
        <f>IF(G2768=1,0.2*R2768/B2768,J2767)</f>
        <v/>
      </c>
      <c r="K2768">
        <f>IF(G2768=1,0.2*R2768/C2768,K2767)</f>
        <v/>
      </c>
      <c r="L2768">
        <f>IF(G2768=1,0.2*R2768/D2768,L2767)</f>
        <v/>
      </c>
      <c r="M2768">
        <f>IF(G2768=1,0.2*R2768/E2768,M2767)</f>
        <v/>
      </c>
      <c r="N2768">
        <f>IF(G2768=1,0.2*R2768/F2768,N2767)</f>
        <v/>
      </c>
      <c r="O2768">
        <f>IF(G2768=1,R2768*(1-1.0),IF(H2767=0,1,O2767*(1+0.00023125256064071564)))</f>
        <v/>
      </c>
      <c r="P2768">
        <f>IF(G2768=1,IF(H2767=0,1,ABS(0.2-J2767*B2768/I2768)+ABS(0.2-K2767*C2768/I2768)+ABS(0.2-L2767*D2768/I2768)+ABS(0.2-M2767*E2768/I2768)+ABS(0.2-N2767*F2768/I2768)),0)</f>
        <v/>
      </c>
      <c r="Q2768">
        <f>P2768*0.0015</f>
        <v/>
      </c>
      <c r="R2768">
        <f>I2768*(1-Q2768)</f>
        <v/>
      </c>
      <c r="S2768">
        <f>R2768/R2767-1</f>
        <v/>
      </c>
      <c r="T2768">
        <f>MAX(T2767,R2768)</f>
        <v/>
      </c>
      <c r="U2768">
        <f>R2768/T2768-1</f>
        <v/>
      </c>
      <c r="V2768" t="n">
        <v>6.196175760005895</v>
      </c>
      <c r="W2768" s="5">
        <f>R2768-V2768</f>
        <v/>
      </c>
    </row>
    <row r="2769">
      <c r="A2769" s="3" t="n">
        <v>42516</v>
      </c>
      <c r="B2769">
        <f>Prices!B2769</f>
        <v/>
      </c>
      <c r="C2769">
        <f>Prices!C2769</f>
        <v/>
      </c>
      <c r="D2769">
        <f>Prices!D2769</f>
        <v/>
      </c>
      <c r="E2769">
        <f>Prices!E2769</f>
        <v/>
      </c>
      <c r="F2769">
        <f>Prices!F2769</f>
        <v/>
      </c>
      <c r="G2769">
        <f>IF(AND(2767&gt;=16,TEXT(A2769,"yyyy-mm")&lt;&gt;TEXT(A2770,"yyyy-mm")),1,0)</f>
        <v/>
      </c>
      <c r="H2769">
        <f>IF(OR(H2768=1,G2769=1),1,0)</f>
        <v/>
      </c>
      <c r="I2769">
        <f>IF(H2768=0,1,SUMPRODUCT(J2768:N2768,B2769:F2769)+O2768*(1+0.00023125256064071564))</f>
        <v/>
      </c>
      <c r="J2769">
        <f>IF(G2769=1,0.2*R2769/B2769,J2768)</f>
        <v/>
      </c>
      <c r="K2769">
        <f>IF(G2769=1,0.2*R2769/C2769,K2768)</f>
        <v/>
      </c>
      <c r="L2769">
        <f>IF(G2769=1,0.2*R2769/D2769,L2768)</f>
        <v/>
      </c>
      <c r="M2769">
        <f>IF(G2769=1,0.2*R2769/E2769,M2768)</f>
        <v/>
      </c>
      <c r="N2769">
        <f>IF(G2769=1,0.2*R2769/F2769,N2768)</f>
        <v/>
      </c>
      <c r="O2769">
        <f>IF(G2769=1,R2769*(1-1.0),IF(H2768=0,1,O2768*(1+0.00023125256064071564)))</f>
        <v/>
      </c>
      <c r="P2769">
        <f>IF(G2769=1,IF(H2768=0,1,ABS(0.2-J2768*B2769/I2769)+ABS(0.2-K2768*C2769/I2769)+ABS(0.2-L2768*D2769/I2769)+ABS(0.2-M2768*E2769/I2769)+ABS(0.2-N2768*F2769/I2769)),0)</f>
        <v/>
      </c>
      <c r="Q2769">
        <f>P2769*0.0015</f>
        <v/>
      </c>
      <c r="R2769">
        <f>I2769*(1-Q2769)</f>
        <v/>
      </c>
      <c r="S2769">
        <f>R2769/R2768-1</f>
        <v/>
      </c>
      <c r="T2769">
        <f>MAX(T2768,R2769)</f>
        <v/>
      </c>
      <c r="U2769">
        <f>R2769/T2769-1</f>
        <v/>
      </c>
      <c r="V2769" t="n">
        <v>6.263662447440352</v>
      </c>
      <c r="W2769" s="5">
        <f>R2769-V2769</f>
        <v/>
      </c>
    </row>
    <row r="2770">
      <c r="A2770" s="3" t="n">
        <v>42517</v>
      </c>
      <c r="B2770">
        <f>Prices!B2770</f>
        <v/>
      </c>
      <c r="C2770">
        <f>Prices!C2770</f>
        <v/>
      </c>
      <c r="D2770">
        <f>Prices!D2770</f>
        <v/>
      </c>
      <c r="E2770">
        <f>Prices!E2770</f>
        <v/>
      </c>
      <c r="F2770">
        <f>Prices!F2770</f>
        <v/>
      </c>
      <c r="G2770">
        <f>IF(AND(2768&gt;=16,TEXT(A2770,"yyyy-mm")&lt;&gt;TEXT(A2771,"yyyy-mm")),1,0)</f>
        <v/>
      </c>
      <c r="H2770">
        <f>IF(OR(H2769=1,G2770=1),1,0)</f>
        <v/>
      </c>
      <c r="I2770">
        <f>IF(H2769=0,1,SUMPRODUCT(J2769:N2769,B2770:F2770)+O2769*(1+0.00023125256064071564))</f>
        <v/>
      </c>
      <c r="J2770">
        <f>IF(G2770=1,0.2*R2770/B2770,J2769)</f>
        <v/>
      </c>
      <c r="K2770">
        <f>IF(G2770=1,0.2*R2770/C2770,K2769)</f>
        <v/>
      </c>
      <c r="L2770">
        <f>IF(G2770=1,0.2*R2770/D2770,L2769)</f>
        <v/>
      </c>
      <c r="M2770">
        <f>IF(G2770=1,0.2*R2770/E2770,M2769)</f>
        <v/>
      </c>
      <c r="N2770">
        <f>IF(G2770=1,0.2*R2770/F2770,N2769)</f>
        <v/>
      </c>
      <c r="O2770">
        <f>IF(G2770=1,R2770*(1-1.0),IF(H2769=0,1,O2769*(1+0.00023125256064071564)))</f>
        <v/>
      </c>
      <c r="P2770">
        <f>IF(G2770=1,IF(H2769=0,1,ABS(0.2-J2769*B2770/I2770)+ABS(0.2-K2769*C2770/I2770)+ABS(0.2-L2769*D2770/I2770)+ABS(0.2-M2769*E2770/I2770)+ABS(0.2-N2769*F2770/I2770)),0)</f>
        <v/>
      </c>
      <c r="Q2770">
        <f>P2770*0.0015</f>
        <v/>
      </c>
      <c r="R2770">
        <f>I2770*(1-Q2770)</f>
        <v/>
      </c>
      <c r="S2770">
        <f>R2770/R2769-1</f>
        <v/>
      </c>
      <c r="T2770">
        <f>MAX(T2769,R2770)</f>
        <v/>
      </c>
      <c r="U2770">
        <f>R2770/T2770-1</f>
        <v/>
      </c>
      <c r="V2770" t="n">
        <v>6.330219027533126</v>
      </c>
      <c r="W2770" s="5">
        <f>R2770-V2770</f>
        <v/>
      </c>
    </row>
    <row r="2771">
      <c r="A2771" s="3" t="n">
        <v>42520</v>
      </c>
      <c r="B2771">
        <f>Prices!B2771</f>
        <v/>
      </c>
      <c r="C2771">
        <f>Prices!C2771</f>
        <v/>
      </c>
      <c r="D2771">
        <f>Prices!D2771</f>
        <v/>
      </c>
      <c r="E2771">
        <f>Prices!E2771</f>
        <v/>
      </c>
      <c r="F2771">
        <f>Prices!F2771</f>
        <v/>
      </c>
      <c r="G2771">
        <f>IF(AND(2769&gt;=16,TEXT(A2771,"yyyy-mm")&lt;&gt;TEXT(A2772,"yyyy-mm")),1,0)</f>
        <v/>
      </c>
      <c r="H2771">
        <f>IF(OR(H2770=1,G2771=1),1,0)</f>
        <v/>
      </c>
      <c r="I2771">
        <f>IF(H2770=0,1,SUMPRODUCT(J2770:N2770,B2771:F2771)+O2770*(1+0.00023125256064071564))</f>
        <v/>
      </c>
      <c r="J2771">
        <f>IF(G2771=1,0.2*R2771/B2771,J2770)</f>
        <v/>
      </c>
      <c r="K2771">
        <f>IF(G2771=1,0.2*R2771/C2771,K2770)</f>
        <v/>
      </c>
      <c r="L2771">
        <f>IF(G2771=1,0.2*R2771/D2771,L2770)</f>
        <v/>
      </c>
      <c r="M2771">
        <f>IF(G2771=1,0.2*R2771/E2771,M2770)</f>
        <v/>
      </c>
      <c r="N2771">
        <f>IF(G2771=1,0.2*R2771/F2771,N2770)</f>
        <v/>
      </c>
      <c r="O2771">
        <f>IF(G2771=1,R2771*(1-1.0),IF(H2770=0,1,O2770*(1+0.00023125256064071564)))</f>
        <v/>
      </c>
      <c r="P2771">
        <f>IF(G2771=1,IF(H2770=0,1,ABS(0.2-J2770*B2771/I2771)+ABS(0.2-K2770*C2771/I2771)+ABS(0.2-L2770*D2771/I2771)+ABS(0.2-M2770*E2771/I2771)+ABS(0.2-N2770*F2771/I2771)),0)</f>
        <v/>
      </c>
      <c r="Q2771">
        <f>P2771*0.0015</f>
        <v/>
      </c>
      <c r="R2771">
        <f>I2771*(1-Q2771)</f>
        <v/>
      </c>
      <c r="S2771">
        <f>R2771/R2770-1</f>
        <v/>
      </c>
      <c r="T2771">
        <f>MAX(T2770,R2771)</f>
        <v/>
      </c>
      <c r="U2771">
        <f>R2771/T2771-1</f>
        <v/>
      </c>
      <c r="V2771" t="n">
        <v>6.359591208126435</v>
      </c>
      <c r="W2771" s="5">
        <f>R2771-V2771</f>
        <v/>
      </c>
    </row>
    <row r="2772">
      <c r="A2772" s="3" t="n">
        <v>42521</v>
      </c>
      <c r="B2772">
        <f>Prices!B2772</f>
        <v/>
      </c>
      <c r="C2772">
        <f>Prices!C2772</f>
        <v/>
      </c>
      <c r="D2772">
        <f>Prices!D2772</f>
        <v/>
      </c>
      <c r="E2772">
        <f>Prices!E2772</f>
        <v/>
      </c>
      <c r="F2772">
        <f>Prices!F2772</f>
        <v/>
      </c>
      <c r="G2772">
        <f>IF(AND(2770&gt;=16,TEXT(A2772,"yyyy-mm")&lt;&gt;TEXT(A2773,"yyyy-mm")),1,0)</f>
        <v/>
      </c>
      <c r="H2772">
        <f>IF(OR(H2771=1,G2772=1),1,0)</f>
        <v/>
      </c>
      <c r="I2772">
        <f>IF(H2771=0,1,SUMPRODUCT(J2771:N2771,B2772:F2772)+O2771*(1+0.00023125256064071564))</f>
        <v/>
      </c>
      <c r="J2772">
        <f>IF(G2772=1,0.2*R2772/B2772,J2771)</f>
        <v/>
      </c>
      <c r="K2772">
        <f>IF(G2772=1,0.2*R2772/C2772,K2771)</f>
        <v/>
      </c>
      <c r="L2772">
        <f>IF(G2772=1,0.2*R2772/D2772,L2771)</f>
        <v/>
      </c>
      <c r="M2772">
        <f>IF(G2772=1,0.2*R2772/E2772,M2771)</f>
        <v/>
      </c>
      <c r="N2772">
        <f>IF(G2772=1,0.2*R2772/F2772,N2771)</f>
        <v/>
      </c>
      <c r="O2772">
        <f>IF(G2772=1,R2772*(1-1.0),IF(H2771=0,1,O2771*(1+0.00023125256064071564)))</f>
        <v/>
      </c>
      <c r="P2772">
        <f>IF(G2772=1,IF(H2771=0,1,ABS(0.2-J2771*B2772/I2772)+ABS(0.2-K2771*C2772/I2772)+ABS(0.2-L2771*D2772/I2772)+ABS(0.2-M2771*E2772/I2772)+ABS(0.2-N2771*F2772/I2772)),0)</f>
        <v/>
      </c>
      <c r="Q2772">
        <f>P2772*0.0015</f>
        <v/>
      </c>
      <c r="R2772">
        <f>I2772*(1-Q2772)</f>
        <v/>
      </c>
      <c r="S2772">
        <f>R2772/R2771-1</f>
        <v/>
      </c>
      <c r="T2772">
        <f>MAX(T2771,R2772)</f>
        <v/>
      </c>
      <c r="U2772">
        <f>R2772/T2772-1</f>
        <v/>
      </c>
      <c r="V2772" t="n">
        <v>6.352116743259786</v>
      </c>
      <c r="W2772" s="5">
        <f>R2772-V2772</f>
        <v/>
      </c>
    </row>
    <row r="2773">
      <c r="A2773" s="3" t="n">
        <v>42522</v>
      </c>
      <c r="B2773">
        <f>Prices!B2773</f>
        <v/>
      </c>
      <c r="C2773">
        <f>Prices!C2773</f>
        <v/>
      </c>
      <c r="D2773">
        <f>Prices!D2773</f>
        <v/>
      </c>
      <c r="E2773">
        <f>Prices!E2773</f>
        <v/>
      </c>
      <c r="F2773">
        <f>Prices!F2773</f>
        <v/>
      </c>
      <c r="G2773">
        <f>IF(AND(2771&gt;=16,TEXT(A2773,"yyyy-mm")&lt;&gt;TEXT(A2774,"yyyy-mm")),1,0)</f>
        <v/>
      </c>
      <c r="H2773">
        <f>IF(OR(H2772=1,G2773=1),1,0)</f>
        <v/>
      </c>
      <c r="I2773">
        <f>IF(H2772=0,1,SUMPRODUCT(J2772:N2772,B2773:F2773)+O2772*(1+0.00023125256064071564))</f>
        <v/>
      </c>
      <c r="J2773">
        <f>IF(G2773=1,0.2*R2773/B2773,J2772)</f>
        <v/>
      </c>
      <c r="K2773">
        <f>IF(G2773=1,0.2*R2773/C2773,K2772)</f>
        <v/>
      </c>
      <c r="L2773">
        <f>IF(G2773=1,0.2*R2773/D2773,L2772)</f>
        <v/>
      </c>
      <c r="M2773">
        <f>IF(G2773=1,0.2*R2773/E2773,M2772)</f>
        <v/>
      </c>
      <c r="N2773">
        <f>IF(G2773=1,0.2*R2773/F2773,N2772)</f>
        <v/>
      </c>
      <c r="O2773">
        <f>IF(G2773=1,R2773*(1-1.0),IF(H2772=0,1,O2772*(1+0.00023125256064071564)))</f>
        <v/>
      </c>
      <c r="P2773">
        <f>IF(G2773=1,IF(H2772=0,1,ABS(0.2-J2772*B2773/I2773)+ABS(0.2-K2772*C2773/I2773)+ABS(0.2-L2772*D2773/I2773)+ABS(0.2-M2772*E2773/I2773)+ABS(0.2-N2772*F2773/I2773)),0)</f>
        <v/>
      </c>
      <c r="Q2773">
        <f>P2773*0.0015</f>
        <v/>
      </c>
      <c r="R2773">
        <f>I2773*(1-Q2773)</f>
        <v/>
      </c>
      <c r="S2773">
        <f>R2773/R2772-1</f>
        <v/>
      </c>
      <c r="T2773">
        <f>MAX(T2772,R2773)</f>
        <v/>
      </c>
      <c r="U2773">
        <f>R2773/T2773-1</f>
        <v/>
      </c>
      <c r="V2773" t="n">
        <v>6.364828659079176</v>
      </c>
      <c r="W2773" s="5">
        <f>R2773-V2773</f>
        <v/>
      </c>
    </row>
    <row r="2774">
      <c r="A2774" s="3" t="n">
        <v>42523</v>
      </c>
      <c r="B2774">
        <f>Prices!B2774</f>
        <v/>
      </c>
      <c r="C2774">
        <f>Prices!C2774</f>
        <v/>
      </c>
      <c r="D2774">
        <f>Prices!D2774</f>
        <v/>
      </c>
      <c r="E2774">
        <f>Prices!E2774</f>
        <v/>
      </c>
      <c r="F2774">
        <f>Prices!F2774</f>
        <v/>
      </c>
      <c r="G2774">
        <f>IF(AND(2772&gt;=16,TEXT(A2774,"yyyy-mm")&lt;&gt;TEXT(A2775,"yyyy-mm")),1,0)</f>
        <v/>
      </c>
      <c r="H2774">
        <f>IF(OR(H2773=1,G2774=1),1,0)</f>
        <v/>
      </c>
      <c r="I2774">
        <f>IF(H2773=0,1,SUMPRODUCT(J2773:N2773,B2774:F2774)+O2773*(1+0.00023125256064071564))</f>
        <v/>
      </c>
      <c r="J2774">
        <f>IF(G2774=1,0.2*R2774/B2774,J2773)</f>
        <v/>
      </c>
      <c r="K2774">
        <f>IF(G2774=1,0.2*R2774/C2774,K2773)</f>
        <v/>
      </c>
      <c r="L2774">
        <f>IF(G2774=1,0.2*R2774/D2774,L2773)</f>
        <v/>
      </c>
      <c r="M2774">
        <f>IF(G2774=1,0.2*R2774/E2774,M2773)</f>
        <v/>
      </c>
      <c r="N2774">
        <f>IF(G2774=1,0.2*R2774/F2774,N2773)</f>
        <v/>
      </c>
      <c r="O2774">
        <f>IF(G2774=1,R2774*(1-1.0),IF(H2773=0,1,O2773*(1+0.00023125256064071564)))</f>
        <v/>
      </c>
      <c r="P2774">
        <f>IF(G2774=1,IF(H2773=0,1,ABS(0.2-J2773*B2774/I2774)+ABS(0.2-K2773*C2774/I2774)+ABS(0.2-L2773*D2774/I2774)+ABS(0.2-M2773*E2774/I2774)+ABS(0.2-N2773*F2774/I2774)),0)</f>
        <v/>
      </c>
      <c r="Q2774">
        <f>P2774*0.0015</f>
        <v/>
      </c>
      <c r="R2774">
        <f>I2774*(1-Q2774)</f>
        <v/>
      </c>
      <c r="S2774">
        <f>R2774/R2773-1</f>
        <v/>
      </c>
      <c r="T2774">
        <f>MAX(T2773,R2774)</f>
        <v/>
      </c>
      <c r="U2774">
        <f>R2774/T2774-1</f>
        <v/>
      </c>
      <c r="V2774" t="n">
        <v>6.390389367728469</v>
      </c>
      <c r="W2774" s="5">
        <f>R2774-V2774</f>
        <v/>
      </c>
    </row>
    <row r="2775">
      <c r="A2775" s="3" t="n">
        <v>42524</v>
      </c>
      <c r="B2775">
        <f>Prices!B2775</f>
        <v/>
      </c>
      <c r="C2775">
        <f>Prices!C2775</f>
        <v/>
      </c>
      <c r="D2775">
        <f>Prices!D2775</f>
        <v/>
      </c>
      <c r="E2775">
        <f>Prices!E2775</f>
        <v/>
      </c>
      <c r="F2775">
        <f>Prices!F2775</f>
        <v/>
      </c>
      <c r="G2775">
        <f>IF(AND(2773&gt;=16,TEXT(A2775,"yyyy-mm")&lt;&gt;TEXT(A2776,"yyyy-mm")),1,0)</f>
        <v/>
      </c>
      <c r="H2775">
        <f>IF(OR(H2774=1,G2775=1),1,0)</f>
        <v/>
      </c>
      <c r="I2775">
        <f>IF(H2774=0,1,SUMPRODUCT(J2774:N2774,B2775:F2775)+O2774*(1+0.00023125256064071564))</f>
        <v/>
      </c>
      <c r="J2775">
        <f>IF(G2775=1,0.2*R2775/B2775,J2774)</f>
        <v/>
      </c>
      <c r="K2775">
        <f>IF(G2775=1,0.2*R2775/C2775,K2774)</f>
        <v/>
      </c>
      <c r="L2775">
        <f>IF(G2775=1,0.2*R2775/D2775,L2774)</f>
        <v/>
      </c>
      <c r="M2775">
        <f>IF(G2775=1,0.2*R2775/E2775,M2774)</f>
        <v/>
      </c>
      <c r="N2775">
        <f>IF(G2775=1,0.2*R2775/F2775,N2774)</f>
        <v/>
      </c>
      <c r="O2775">
        <f>IF(G2775=1,R2775*(1-1.0),IF(H2774=0,1,O2774*(1+0.00023125256064071564)))</f>
        <v/>
      </c>
      <c r="P2775">
        <f>IF(G2775=1,IF(H2774=0,1,ABS(0.2-J2774*B2775/I2775)+ABS(0.2-K2774*C2775/I2775)+ABS(0.2-L2774*D2775/I2775)+ABS(0.2-M2774*E2775/I2775)+ABS(0.2-N2774*F2775/I2775)),0)</f>
        <v/>
      </c>
      <c r="Q2775">
        <f>P2775*0.0015</f>
        <v/>
      </c>
      <c r="R2775">
        <f>I2775*(1-Q2775)</f>
        <v/>
      </c>
      <c r="S2775">
        <f>R2775/R2774-1</f>
        <v/>
      </c>
      <c r="T2775">
        <f>MAX(T2774,R2775)</f>
        <v/>
      </c>
      <c r="U2775">
        <f>R2775/T2775-1</f>
        <v/>
      </c>
      <c r="V2775" t="n">
        <v>6.367809365748037</v>
      </c>
      <c r="W2775" s="5">
        <f>R2775-V2775</f>
        <v/>
      </c>
    </row>
    <row r="2776">
      <c r="A2776" s="3" t="n">
        <v>42527</v>
      </c>
      <c r="B2776">
        <f>Prices!B2776</f>
        <v/>
      </c>
      <c r="C2776">
        <f>Prices!C2776</f>
        <v/>
      </c>
      <c r="D2776">
        <f>Prices!D2776</f>
        <v/>
      </c>
      <c r="E2776">
        <f>Prices!E2776</f>
        <v/>
      </c>
      <c r="F2776">
        <f>Prices!F2776</f>
        <v/>
      </c>
      <c r="G2776">
        <f>IF(AND(2774&gt;=16,TEXT(A2776,"yyyy-mm")&lt;&gt;TEXT(A2777,"yyyy-mm")),1,0)</f>
        <v/>
      </c>
      <c r="H2776">
        <f>IF(OR(H2775=1,G2776=1),1,0)</f>
        <v/>
      </c>
      <c r="I2776">
        <f>IF(H2775=0,1,SUMPRODUCT(J2775:N2775,B2776:F2776)+O2775*(1+0.00023125256064071564))</f>
        <v/>
      </c>
      <c r="J2776">
        <f>IF(G2776=1,0.2*R2776/B2776,J2775)</f>
        <v/>
      </c>
      <c r="K2776">
        <f>IF(G2776=1,0.2*R2776/C2776,K2775)</f>
        <v/>
      </c>
      <c r="L2776">
        <f>IF(G2776=1,0.2*R2776/D2776,L2775)</f>
        <v/>
      </c>
      <c r="M2776">
        <f>IF(G2776=1,0.2*R2776/E2776,M2775)</f>
        <v/>
      </c>
      <c r="N2776">
        <f>IF(G2776=1,0.2*R2776/F2776,N2775)</f>
        <v/>
      </c>
      <c r="O2776">
        <f>IF(G2776=1,R2776*(1-1.0),IF(H2775=0,1,O2775*(1+0.00023125256064071564)))</f>
        <v/>
      </c>
      <c r="P2776">
        <f>IF(G2776=1,IF(H2775=0,1,ABS(0.2-J2775*B2776/I2776)+ABS(0.2-K2775*C2776/I2776)+ABS(0.2-L2775*D2776/I2776)+ABS(0.2-M2775*E2776/I2776)+ABS(0.2-N2775*F2776/I2776)),0)</f>
        <v/>
      </c>
      <c r="Q2776">
        <f>P2776*0.0015</f>
        <v/>
      </c>
      <c r="R2776">
        <f>I2776*(1-Q2776)</f>
        <v/>
      </c>
      <c r="S2776">
        <f>R2776/R2775-1</f>
        <v/>
      </c>
      <c r="T2776">
        <f>MAX(T2775,R2776)</f>
        <v/>
      </c>
      <c r="U2776">
        <f>R2776/T2776-1</f>
        <v/>
      </c>
      <c r="V2776" t="n">
        <v>6.356240478501051</v>
      </c>
      <c r="W2776" s="5">
        <f>R2776-V2776</f>
        <v/>
      </c>
    </row>
    <row r="2777">
      <c r="A2777" s="3" t="n">
        <v>42528</v>
      </c>
      <c r="B2777">
        <f>Prices!B2777</f>
        <v/>
      </c>
      <c r="C2777">
        <f>Prices!C2777</f>
        <v/>
      </c>
      <c r="D2777">
        <f>Prices!D2777</f>
        <v/>
      </c>
      <c r="E2777">
        <f>Prices!E2777</f>
        <v/>
      </c>
      <c r="F2777">
        <f>Prices!F2777</f>
        <v/>
      </c>
      <c r="G2777">
        <f>IF(AND(2775&gt;=16,TEXT(A2777,"yyyy-mm")&lt;&gt;TEXT(A2778,"yyyy-mm")),1,0)</f>
        <v/>
      </c>
      <c r="H2777">
        <f>IF(OR(H2776=1,G2777=1),1,0)</f>
        <v/>
      </c>
      <c r="I2777">
        <f>IF(H2776=0,1,SUMPRODUCT(J2776:N2776,B2777:F2777)+O2776*(1+0.00023125256064071564))</f>
        <v/>
      </c>
      <c r="J2777">
        <f>IF(G2777=1,0.2*R2777/B2777,J2776)</f>
        <v/>
      </c>
      <c r="K2777">
        <f>IF(G2777=1,0.2*R2777/C2777,K2776)</f>
        <v/>
      </c>
      <c r="L2777">
        <f>IF(G2777=1,0.2*R2777/D2777,L2776)</f>
        <v/>
      </c>
      <c r="M2777">
        <f>IF(G2777=1,0.2*R2777/E2777,M2776)</f>
        <v/>
      </c>
      <c r="N2777">
        <f>IF(G2777=1,0.2*R2777/F2777,N2776)</f>
        <v/>
      </c>
      <c r="O2777">
        <f>IF(G2777=1,R2777*(1-1.0),IF(H2776=0,1,O2776*(1+0.00023125256064071564)))</f>
        <v/>
      </c>
      <c r="P2777">
        <f>IF(G2777=1,IF(H2776=0,1,ABS(0.2-J2776*B2777/I2777)+ABS(0.2-K2776*C2777/I2777)+ABS(0.2-L2776*D2777/I2777)+ABS(0.2-M2776*E2777/I2777)+ABS(0.2-N2776*F2777/I2777)),0)</f>
        <v/>
      </c>
      <c r="Q2777">
        <f>P2777*0.0015</f>
        <v/>
      </c>
      <c r="R2777">
        <f>I2777*(1-Q2777)</f>
        <v/>
      </c>
      <c r="S2777">
        <f>R2777/R2776-1</f>
        <v/>
      </c>
      <c r="T2777">
        <f>MAX(T2776,R2777)</f>
        <v/>
      </c>
      <c r="U2777">
        <f>R2777/T2777-1</f>
        <v/>
      </c>
      <c r="V2777" t="n">
        <v>6.393690889565367</v>
      </c>
      <c r="W2777" s="5">
        <f>R2777-V2777</f>
        <v/>
      </c>
    </row>
    <row r="2778">
      <c r="A2778" s="3" t="n">
        <v>42529</v>
      </c>
      <c r="B2778">
        <f>Prices!B2778</f>
        <v/>
      </c>
      <c r="C2778">
        <f>Prices!C2778</f>
        <v/>
      </c>
      <c r="D2778">
        <f>Prices!D2778</f>
        <v/>
      </c>
      <c r="E2778">
        <f>Prices!E2778</f>
        <v/>
      </c>
      <c r="F2778">
        <f>Prices!F2778</f>
        <v/>
      </c>
      <c r="G2778">
        <f>IF(AND(2776&gt;=16,TEXT(A2778,"yyyy-mm")&lt;&gt;TEXT(A2779,"yyyy-mm")),1,0)</f>
        <v/>
      </c>
      <c r="H2778">
        <f>IF(OR(H2777=1,G2778=1),1,0)</f>
        <v/>
      </c>
      <c r="I2778">
        <f>IF(H2777=0,1,SUMPRODUCT(J2777:N2777,B2778:F2778)+O2777*(1+0.00023125256064071564))</f>
        <v/>
      </c>
      <c r="J2778">
        <f>IF(G2778=1,0.2*R2778/B2778,J2777)</f>
        <v/>
      </c>
      <c r="K2778">
        <f>IF(G2778=1,0.2*R2778/C2778,K2777)</f>
        <v/>
      </c>
      <c r="L2778">
        <f>IF(G2778=1,0.2*R2778/D2778,L2777)</f>
        <v/>
      </c>
      <c r="M2778">
        <f>IF(G2778=1,0.2*R2778/E2778,M2777)</f>
        <v/>
      </c>
      <c r="N2778">
        <f>IF(G2778=1,0.2*R2778/F2778,N2777)</f>
        <v/>
      </c>
      <c r="O2778">
        <f>IF(G2778=1,R2778*(1-1.0),IF(H2777=0,1,O2777*(1+0.00023125256064071564)))</f>
        <v/>
      </c>
      <c r="P2778">
        <f>IF(G2778=1,IF(H2777=0,1,ABS(0.2-J2777*B2778/I2778)+ABS(0.2-K2777*C2778/I2778)+ABS(0.2-L2777*D2778/I2778)+ABS(0.2-M2777*E2778/I2778)+ABS(0.2-N2777*F2778/I2778)),0)</f>
        <v/>
      </c>
      <c r="Q2778">
        <f>P2778*0.0015</f>
        <v/>
      </c>
      <c r="R2778">
        <f>I2778*(1-Q2778)</f>
        <v/>
      </c>
      <c r="S2778">
        <f>R2778/R2777-1</f>
        <v/>
      </c>
      <c r="T2778">
        <f>MAX(T2777,R2778)</f>
        <v/>
      </c>
      <c r="U2778">
        <f>R2778/T2778-1</f>
        <v/>
      </c>
      <c r="V2778" t="n">
        <v>6.409689632236132</v>
      </c>
      <c r="W2778" s="5">
        <f>R2778-V2778</f>
        <v/>
      </c>
    </row>
    <row r="2779">
      <c r="A2779" s="3" t="n">
        <v>42530</v>
      </c>
      <c r="B2779">
        <f>Prices!B2779</f>
        <v/>
      </c>
      <c r="C2779">
        <f>Prices!C2779</f>
        <v/>
      </c>
      <c r="D2779">
        <f>Prices!D2779</f>
        <v/>
      </c>
      <c r="E2779">
        <f>Prices!E2779</f>
        <v/>
      </c>
      <c r="F2779">
        <f>Prices!F2779</f>
        <v/>
      </c>
      <c r="G2779">
        <f>IF(AND(2777&gt;=16,TEXT(A2779,"yyyy-mm")&lt;&gt;TEXT(A2780,"yyyy-mm")),1,0)</f>
        <v/>
      </c>
      <c r="H2779">
        <f>IF(OR(H2778=1,G2779=1),1,0)</f>
        <v/>
      </c>
      <c r="I2779">
        <f>IF(H2778=0,1,SUMPRODUCT(J2778:N2778,B2779:F2779)+O2778*(1+0.00023125256064071564))</f>
        <v/>
      </c>
      <c r="J2779">
        <f>IF(G2779=1,0.2*R2779/B2779,J2778)</f>
        <v/>
      </c>
      <c r="K2779">
        <f>IF(G2779=1,0.2*R2779/C2779,K2778)</f>
        <v/>
      </c>
      <c r="L2779">
        <f>IF(G2779=1,0.2*R2779/D2779,L2778)</f>
        <v/>
      </c>
      <c r="M2779">
        <f>IF(G2779=1,0.2*R2779/E2779,M2778)</f>
        <v/>
      </c>
      <c r="N2779">
        <f>IF(G2779=1,0.2*R2779/F2779,N2778)</f>
        <v/>
      </c>
      <c r="O2779">
        <f>IF(G2779=1,R2779*(1-1.0),IF(H2778=0,1,O2778*(1+0.00023125256064071564)))</f>
        <v/>
      </c>
      <c r="P2779">
        <f>IF(G2779=1,IF(H2778=0,1,ABS(0.2-J2778*B2779/I2779)+ABS(0.2-K2778*C2779/I2779)+ABS(0.2-L2778*D2779/I2779)+ABS(0.2-M2778*E2779/I2779)+ABS(0.2-N2778*F2779/I2779)),0)</f>
        <v/>
      </c>
      <c r="Q2779">
        <f>P2779*0.0015</f>
        <v/>
      </c>
      <c r="R2779">
        <f>I2779*(1-Q2779)</f>
        <v/>
      </c>
      <c r="S2779">
        <f>R2779/R2778-1</f>
        <v/>
      </c>
      <c r="T2779">
        <f>MAX(T2778,R2779)</f>
        <v/>
      </c>
      <c r="U2779">
        <f>R2779/T2779-1</f>
        <v/>
      </c>
      <c r="V2779" t="n">
        <v>6.385976310612826</v>
      </c>
      <c r="W2779" s="5">
        <f>R2779-V2779</f>
        <v/>
      </c>
    </row>
    <row r="2780">
      <c r="A2780" s="3" t="n">
        <v>42531</v>
      </c>
      <c r="B2780">
        <f>Prices!B2780</f>
        <v/>
      </c>
      <c r="C2780">
        <f>Prices!C2780</f>
        <v/>
      </c>
      <c r="D2780">
        <f>Prices!D2780</f>
        <v/>
      </c>
      <c r="E2780">
        <f>Prices!E2780</f>
        <v/>
      </c>
      <c r="F2780">
        <f>Prices!F2780</f>
        <v/>
      </c>
      <c r="G2780">
        <f>IF(AND(2778&gt;=16,TEXT(A2780,"yyyy-mm")&lt;&gt;TEXT(A2781,"yyyy-mm")),1,0)</f>
        <v/>
      </c>
      <c r="H2780">
        <f>IF(OR(H2779=1,G2780=1),1,0)</f>
        <v/>
      </c>
      <c r="I2780">
        <f>IF(H2779=0,1,SUMPRODUCT(J2779:N2779,B2780:F2780)+O2779*(1+0.00023125256064071564))</f>
        <v/>
      </c>
      <c r="J2780">
        <f>IF(G2780=1,0.2*R2780/B2780,J2779)</f>
        <v/>
      </c>
      <c r="K2780">
        <f>IF(G2780=1,0.2*R2780/C2780,K2779)</f>
        <v/>
      </c>
      <c r="L2780">
        <f>IF(G2780=1,0.2*R2780/D2780,L2779)</f>
        <v/>
      </c>
      <c r="M2780">
        <f>IF(G2780=1,0.2*R2780/E2780,M2779)</f>
        <v/>
      </c>
      <c r="N2780">
        <f>IF(G2780=1,0.2*R2780/F2780,N2779)</f>
        <v/>
      </c>
      <c r="O2780">
        <f>IF(G2780=1,R2780*(1-1.0),IF(H2779=0,1,O2779*(1+0.00023125256064071564)))</f>
        <v/>
      </c>
      <c r="P2780">
        <f>IF(G2780=1,IF(H2779=0,1,ABS(0.2-J2779*B2780/I2780)+ABS(0.2-K2779*C2780/I2780)+ABS(0.2-L2779*D2780/I2780)+ABS(0.2-M2779*E2780/I2780)+ABS(0.2-N2779*F2780/I2780)),0)</f>
        <v/>
      </c>
      <c r="Q2780">
        <f>P2780*0.0015</f>
        <v/>
      </c>
      <c r="R2780">
        <f>I2780*(1-Q2780)</f>
        <v/>
      </c>
      <c r="S2780">
        <f>R2780/R2779-1</f>
        <v/>
      </c>
      <c r="T2780">
        <f>MAX(T2779,R2780)</f>
        <v/>
      </c>
      <c r="U2780">
        <f>R2780/T2780-1</f>
        <v/>
      </c>
      <c r="V2780" t="n">
        <v>6.38485488429109</v>
      </c>
      <c r="W2780" s="5">
        <f>R2780-V2780</f>
        <v/>
      </c>
    </row>
    <row r="2781">
      <c r="A2781" s="3" t="n">
        <v>42534</v>
      </c>
      <c r="B2781">
        <f>Prices!B2781</f>
        <v/>
      </c>
      <c r="C2781">
        <f>Prices!C2781</f>
        <v/>
      </c>
      <c r="D2781">
        <f>Prices!D2781</f>
        <v/>
      </c>
      <c r="E2781">
        <f>Prices!E2781</f>
        <v/>
      </c>
      <c r="F2781">
        <f>Prices!F2781</f>
        <v/>
      </c>
      <c r="G2781">
        <f>IF(AND(2779&gt;=16,TEXT(A2781,"yyyy-mm")&lt;&gt;TEXT(A2782,"yyyy-mm")),1,0)</f>
        <v/>
      </c>
      <c r="H2781">
        <f>IF(OR(H2780=1,G2781=1),1,0)</f>
        <v/>
      </c>
      <c r="I2781">
        <f>IF(H2780=0,1,SUMPRODUCT(J2780:N2780,B2781:F2781)+O2780*(1+0.00023125256064071564))</f>
        <v/>
      </c>
      <c r="J2781">
        <f>IF(G2781=1,0.2*R2781/B2781,J2780)</f>
        <v/>
      </c>
      <c r="K2781">
        <f>IF(G2781=1,0.2*R2781/C2781,K2780)</f>
        <v/>
      </c>
      <c r="L2781">
        <f>IF(G2781=1,0.2*R2781/D2781,L2780)</f>
        <v/>
      </c>
      <c r="M2781">
        <f>IF(G2781=1,0.2*R2781/E2781,M2780)</f>
        <v/>
      </c>
      <c r="N2781">
        <f>IF(G2781=1,0.2*R2781/F2781,N2780)</f>
        <v/>
      </c>
      <c r="O2781">
        <f>IF(G2781=1,R2781*(1-1.0),IF(H2780=0,1,O2780*(1+0.00023125256064071564)))</f>
        <v/>
      </c>
      <c r="P2781">
        <f>IF(G2781=1,IF(H2780=0,1,ABS(0.2-J2780*B2781/I2781)+ABS(0.2-K2780*C2781/I2781)+ABS(0.2-L2780*D2781/I2781)+ABS(0.2-M2780*E2781/I2781)+ABS(0.2-N2780*F2781/I2781)),0)</f>
        <v/>
      </c>
      <c r="Q2781">
        <f>P2781*0.0015</f>
        <v/>
      </c>
      <c r="R2781">
        <f>I2781*(1-Q2781)</f>
        <v/>
      </c>
      <c r="S2781">
        <f>R2781/R2780-1</f>
        <v/>
      </c>
      <c r="T2781">
        <f>MAX(T2780,R2781)</f>
        <v/>
      </c>
      <c r="U2781">
        <f>R2781/T2781-1</f>
        <v/>
      </c>
      <c r="V2781" t="n">
        <v>6.353793733828877</v>
      </c>
      <c r="W2781" s="5">
        <f>R2781-V2781</f>
        <v/>
      </c>
    </row>
    <row r="2782">
      <c r="A2782" s="3" t="n">
        <v>42535</v>
      </c>
      <c r="B2782">
        <f>Prices!B2782</f>
        <v/>
      </c>
      <c r="C2782">
        <f>Prices!C2782</f>
        <v/>
      </c>
      <c r="D2782">
        <f>Prices!D2782</f>
        <v/>
      </c>
      <c r="E2782">
        <f>Prices!E2782</f>
        <v/>
      </c>
      <c r="F2782">
        <f>Prices!F2782</f>
        <v/>
      </c>
      <c r="G2782">
        <f>IF(AND(2780&gt;=16,TEXT(A2782,"yyyy-mm")&lt;&gt;TEXT(A2783,"yyyy-mm")),1,0)</f>
        <v/>
      </c>
      <c r="H2782">
        <f>IF(OR(H2781=1,G2782=1),1,0)</f>
        <v/>
      </c>
      <c r="I2782">
        <f>IF(H2781=0,1,SUMPRODUCT(J2781:N2781,B2782:F2782)+O2781*(1+0.00023125256064071564))</f>
        <v/>
      </c>
      <c r="J2782">
        <f>IF(G2782=1,0.2*R2782/B2782,J2781)</f>
        <v/>
      </c>
      <c r="K2782">
        <f>IF(G2782=1,0.2*R2782/C2782,K2781)</f>
        <v/>
      </c>
      <c r="L2782">
        <f>IF(G2782=1,0.2*R2782/D2782,L2781)</f>
        <v/>
      </c>
      <c r="M2782">
        <f>IF(G2782=1,0.2*R2782/E2782,M2781)</f>
        <v/>
      </c>
      <c r="N2782">
        <f>IF(G2782=1,0.2*R2782/F2782,N2781)</f>
        <v/>
      </c>
      <c r="O2782">
        <f>IF(G2782=1,R2782*(1-1.0),IF(H2781=0,1,O2781*(1+0.00023125256064071564)))</f>
        <v/>
      </c>
      <c r="P2782">
        <f>IF(G2782=1,IF(H2781=0,1,ABS(0.2-J2781*B2782/I2782)+ABS(0.2-K2781*C2782/I2782)+ABS(0.2-L2781*D2782/I2782)+ABS(0.2-M2781*E2782/I2782)+ABS(0.2-N2781*F2782/I2782)),0)</f>
        <v/>
      </c>
      <c r="Q2782">
        <f>P2782*0.0015</f>
        <v/>
      </c>
      <c r="R2782">
        <f>I2782*(1-Q2782)</f>
        <v/>
      </c>
      <c r="S2782">
        <f>R2782/R2781-1</f>
        <v/>
      </c>
      <c r="T2782">
        <f>MAX(T2781,R2782)</f>
        <v/>
      </c>
      <c r="U2782">
        <f>R2782/T2782-1</f>
        <v/>
      </c>
      <c r="V2782" t="n">
        <v>6.377995333729619</v>
      </c>
      <c r="W2782" s="5">
        <f>R2782-V2782</f>
        <v/>
      </c>
    </row>
    <row r="2783">
      <c r="A2783" s="3" t="n">
        <v>42536</v>
      </c>
      <c r="B2783">
        <f>Prices!B2783</f>
        <v/>
      </c>
      <c r="C2783">
        <f>Prices!C2783</f>
        <v/>
      </c>
      <c r="D2783">
        <f>Prices!D2783</f>
        <v/>
      </c>
      <c r="E2783">
        <f>Prices!E2783</f>
        <v/>
      </c>
      <c r="F2783">
        <f>Prices!F2783</f>
        <v/>
      </c>
      <c r="G2783">
        <f>IF(AND(2781&gt;=16,TEXT(A2783,"yyyy-mm")&lt;&gt;TEXT(A2784,"yyyy-mm")),1,0)</f>
        <v/>
      </c>
      <c r="H2783">
        <f>IF(OR(H2782=1,G2783=1),1,0)</f>
        <v/>
      </c>
      <c r="I2783">
        <f>IF(H2782=0,1,SUMPRODUCT(J2782:N2782,B2783:F2783)+O2782*(1+0.00023125256064071564))</f>
        <v/>
      </c>
      <c r="J2783">
        <f>IF(G2783=1,0.2*R2783/B2783,J2782)</f>
        <v/>
      </c>
      <c r="K2783">
        <f>IF(G2783=1,0.2*R2783/C2783,K2782)</f>
        <v/>
      </c>
      <c r="L2783">
        <f>IF(G2783=1,0.2*R2783/D2783,L2782)</f>
        <v/>
      </c>
      <c r="M2783">
        <f>IF(G2783=1,0.2*R2783/E2783,M2782)</f>
        <v/>
      </c>
      <c r="N2783">
        <f>IF(G2783=1,0.2*R2783/F2783,N2782)</f>
        <v/>
      </c>
      <c r="O2783">
        <f>IF(G2783=1,R2783*(1-1.0),IF(H2782=0,1,O2782*(1+0.00023125256064071564)))</f>
        <v/>
      </c>
      <c r="P2783">
        <f>IF(G2783=1,IF(H2782=0,1,ABS(0.2-J2782*B2783/I2783)+ABS(0.2-K2782*C2783/I2783)+ABS(0.2-L2782*D2783/I2783)+ABS(0.2-M2782*E2783/I2783)+ABS(0.2-N2782*F2783/I2783)),0)</f>
        <v/>
      </c>
      <c r="Q2783">
        <f>P2783*0.0015</f>
        <v/>
      </c>
      <c r="R2783">
        <f>I2783*(1-Q2783)</f>
        <v/>
      </c>
      <c r="S2783">
        <f>R2783/R2782-1</f>
        <v/>
      </c>
      <c r="T2783">
        <f>MAX(T2782,R2783)</f>
        <v/>
      </c>
      <c r="U2783">
        <f>R2783/T2783-1</f>
        <v/>
      </c>
      <c r="V2783" t="n">
        <v>6.419324379433574</v>
      </c>
      <c r="W2783" s="5">
        <f>R2783-V2783</f>
        <v/>
      </c>
    </row>
    <row r="2784">
      <c r="A2784" s="3" t="n">
        <v>42537</v>
      </c>
      <c r="B2784">
        <f>Prices!B2784</f>
        <v/>
      </c>
      <c r="C2784">
        <f>Prices!C2784</f>
        <v/>
      </c>
      <c r="D2784">
        <f>Prices!D2784</f>
        <v/>
      </c>
      <c r="E2784">
        <f>Prices!E2784</f>
        <v/>
      </c>
      <c r="F2784">
        <f>Prices!F2784</f>
        <v/>
      </c>
      <c r="G2784">
        <f>IF(AND(2782&gt;=16,TEXT(A2784,"yyyy-mm")&lt;&gt;TEXT(A2785,"yyyy-mm")),1,0)</f>
        <v/>
      </c>
      <c r="H2784">
        <f>IF(OR(H2783=1,G2784=1),1,0)</f>
        <v/>
      </c>
      <c r="I2784">
        <f>IF(H2783=0,1,SUMPRODUCT(J2783:N2783,B2784:F2784)+O2783*(1+0.00023125256064071564))</f>
        <v/>
      </c>
      <c r="J2784">
        <f>IF(G2784=1,0.2*R2784/B2784,J2783)</f>
        <v/>
      </c>
      <c r="K2784">
        <f>IF(G2784=1,0.2*R2784/C2784,K2783)</f>
        <v/>
      </c>
      <c r="L2784">
        <f>IF(G2784=1,0.2*R2784/D2784,L2783)</f>
        <v/>
      </c>
      <c r="M2784">
        <f>IF(G2784=1,0.2*R2784/E2784,M2783)</f>
        <v/>
      </c>
      <c r="N2784">
        <f>IF(G2784=1,0.2*R2784/F2784,N2783)</f>
        <v/>
      </c>
      <c r="O2784">
        <f>IF(G2784=1,R2784*(1-1.0),IF(H2783=0,1,O2783*(1+0.00023125256064071564)))</f>
        <v/>
      </c>
      <c r="P2784">
        <f>IF(G2784=1,IF(H2783=0,1,ABS(0.2-J2783*B2784/I2784)+ABS(0.2-K2783*C2784/I2784)+ABS(0.2-L2783*D2784/I2784)+ABS(0.2-M2783*E2784/I2784)+ABS(0.2-N2783*F2784/I2784)),0)</f>
        <v/>
      </c>
      <c r="Q2784">
        <f>P2784*0.0015</f>
        <v/>
      </c>
      <c r="R2784">
        <f>I2784*(1-Q2784)</f>
        <v/>
      </c>
      <c r="S2784">
        <f>R2784/R2783-1</f>
        <v/>
      </c>
      <c r="T2784">
        <f>MAX(T2783,R2784)</f>
        <v/>
      </c>
      <c r="U2784">
        <f>R2784/T2784-1</f>
        <v/>
      </c>
      <c r="V2784" t="n">
        <v>6.395595656405165</v>
      </c>
      <c r="W2784" s="5">
        <f>R2784-V2784</f>
        <v/>
      </c>
    </row>
    <row r="2785">
      <c r="A2785" s="3" t="n">
        <v>42538</v>
      </c>
      <c r="B2785">
        <f>Prices!B2785</f>
        <v/>
      </c>
      <c r="C2785">
        <f>Prices!C2785</f>
        <v/>
      </c>
      <c r="D2785">
        <f>Prices!D2785</f>
        <v/>
      </c>
      <c r="E2785">
        <f>Prices!E2785</f>
        <v/>
      </c>
      <c r="F2785">
        <f>Prices!F2785</f>
        <v/>
      </c>
      <c r="G2785">
        <f>IF(AND(2783&gt;=16,TEXT(A2785,"yyyy-mm")&lt;&gt;TEXT(A2786,"yyyy-mm")),1,0)</f>
        <v/>
      </c>
      <c r="H2785">
        <f>IF(OR(H2784=1,G2785=1),1,0)</f>
        <v/>
      </c>
      <c r="I2785">
        <f>IF(H2784=0,1,SUMPRODUCT(J2784:N2784,B2785:F2785)+O2784*(1+0.00023125256064071564))</f>
        <v/>
      </c>
      <c r="J2785">
        <f>IF(G2785=1,0.2*R2785/B2785,J2784)</f>
        <v/>
      </c>
      <c r="K2785">
        <f>IF(G2785=1,0.2*R2785/C2785,K2784)</f>
        <v/>
      </c>
      <c r="L2785">
        <f>IF(G2785=1,0.2*R2785/D2785,L2784)</f>
        <v/>
      </c>
      <c r="M2785">
        <f>IF(G2785=1,0.2*R2785/E2785,M2784)</f>
        <v/>
      </c>
      <c r="N2785">
        <f>IF(G2785=1,0.2*R2785/F2785,N2784)</f>
        <v/>
      </c>
      <c r="O2785">
        <f>IF(G2785=1,R2785*(1-1.0),IF(H2784=0,1,O2784*(1+0.00023125256064071564)))</f>
        <v/>
      </c>
      <c r="P2785">
        <f>IF(G2785=1,IF(H2784=0,1,ABS(0.2-J2784*B2785/I2785)+ABS(0.2-K2784*C2785/I2785)+ABS(0.2-L2784*D2785/I2785)+ABS(0.2-M2784*E2785/I2785)+ABS(0.2-N2784*F2785/I2785)),0)</f>
        <v/>
      </c>
      <c r="Q2785">
        <f>P2785*0.0015</f>
        <v/>
      </c>
      <c r="R2785">
        <f>I2785*(1-Q2785)</f>
        <v/>
      </c>
      <c r="S2785">
        <f>R2785/R2784-1</f>
        <v/>
      </c>
      <c r="T2785">
        <f>MAX(T2784,R2785)</f>
        <v/>
      </c>
      <c r="U2785">
        <f>R2785/T2785-1</f>
        <v/>
      </c>
      <c r="V2785" t="n">
        <v>6.413772502047873</v>
      </c>
      <c r="W2785" s="5">
        <f>R2785-V2785</f>
        <v/>
      </c>
    </row>
    <row r="2786">
      <c r="A2786" s="3" t="n">
        <v>42541</v>
      </c>
      <c r="B2786">
        <f>Prices!B2786</f>
        <v/>
      </c>
      <c r="C2786">
        <f>Prices!C2786</f>
        <v/>
      </c>
      <c r="D2786">
        <f>Prices!D2786</f>
        <v/>
      </c>
      <c r="E2786">
        <f>Prices!E2786</f>
        <v/>
      </c>
      <c r="F2786">
        <f>Prices!F2786</f>
        <v/>
      </c>
      <c r="G2786">
        <f>IF(AND(2784&gt;=16,TEXT(A2786,"yyyy-mm")&lt;&gt;TEXT(A2787,"yyyy-mm")),1,0)</f>
        <v/>
      </c>
      <c r="H2786">
        <f>IF(OR(H2785=1,G2786=1),1,0)</f>
        <v/>
      </c>
      <c r="I2786">
        <f>IF(H2785=0,1,SUMPRODUCT(J2785:N2785,B2786:F2786)+O2785*(1+0.00023125256064071564))</f>
        <v/>
      </c>
      <c r="J2786">
        <f>IF(G2786=1,0.2*R2786/B2786,J2785)</f>
        <v/>
      </c>
      <c r="K2786">
        <f>IF(G2786=1,0.2*R2786/C2786,K2785)</f>
        <v/>
      </c>
      <c r="L2786">
        <f>IF(G2786=1,0.2*R2786/D2786,L2785)</f>
        <v/>
      </c>
      <c r="M2786">
        <f>IF(G2786=1,0.2*R2786/E2786,M2785)</f>
        <v/>
      </c>
      <c r="N2786">
        <f>IF(G2786=1,0.2*R2786/F2786,N2785)</f>
        <v/>
      </c>
      <c r="O2786">
        <f>IF(G2786=1,R2786*(1-1.0),IF(H2785=0,1,O2785*(1+0.00023125256064071564)))</f>
        <v/>
      </c>
      <c r="P2786">
        <f>IF(G2786=1,IF(H2785=0,1,ABS(0.2-J2785*B2786/I2786)+ABS(0.2-K2785*C2786/I2786)+ABS(0.2-L2785*D2786/I2786)+ABS(0.2-M2785*E2786/I2786)+ABS(0.2-N2785*F2786/I2786)),0)</f>
        <v/>
      </c>
      <c r="Q2786">
        <f>P2786*0.0015</f>
        <v/>
      </c>
      <c r="R2786">
        <f>I2786*(1-Q2786)</f>
        <v/>
      </c>
      <c r="S2786">
        <f>R2786/R2785-1</f>
        <v/>
      </c>
      <c r="T2786">
        <f>MAX(T2785,R2786)</f>
        <v/>
      </c>
      <c r="U2786">
        <f>R2786/T2786-1</f>
        <v/>
      </c>
      <c r="V2786" t="n">
        <v>6.452058406454293</v>
      </c>
      <c r="W2786" s="5">
        <f>R2786-V2786</f>
        <v/>
      </c>
    </row>
    <row r="2787">
      <c r="A2787" s="3" t="n">
        <v>42542</v>
      </c>
      <c r="B2787">
        <f>Prices!B2787</f>
        <v/>
      </c>
      <c r="C2787">
        <f>Prices!C2787</f>
        <v/>
      </c>
      <c r="D2787">
        <f>Prices!D2787</f>
        <v/>
      </c>
      <c r="E2787">
        <f>Prices!E2787</f>
        <v/>
      </c>
      <c r="F2787">
        <f>Prices!F2787</f>
        <v/>
      </c>
      <c r="G2787">
        <f>IF(AND(2785&gt;=16,TEXT(A2787,"yyyy-mm")&lt;&gt;TEXT(A2788,"yyyy-mm")),1,0)</f>
        <v/>
      </c>
      <c r="H2787">
        <f>IF(OR(H2786=1,G2787=1),1,0)</f>
        <v/>
      </c>
      <c r="I2787">
        <f>IF(H2786=0,1,SUMPRODUCT(J2786:N2786,B2787:F2787)+O2786*(1+0.00023125256064071564))</f>
        <v/>
      </c>
      <c r="J2787">
        <f>IF(G2787=1,0.2*R2787/B2787,J2786)</f>
        <v/>
      </c>
      <c r="K2787">
        <f>IF(G2787=1,0.2*R2787/C2787,K2786)</f>
        <v/>
      </c>
      <c r="L2787">
        <f>IF(G2787=1,0.2*R2787/D2787,L2786)</f>
        <v/>
      </c>
      <c r="M2787">
        <f>IF(G2787=1,0.2*R2787/E2787,M2786)</f>
        <v/>
      </c>
      <c r="N2787">
        <f>IF(G2787=1,0.2*R2787/F2787,N2786)</f>
        <v/>
      </c>
      <c r="O2787">
        <f>IF(G2787=1,R2787*(1-1.0),IF(H2786=0,1,O2786*(1+0.00023125256064071564)))</f>
        <v/>
      </c>
      <c r="P2787">
        <f>IF(G2787=1,IF(H2786=0,1,ABS(0.2-J2786*B2787/I2787)+ABS(0.2-K2786*C2787/I2787)+ABS(0.2-L2786*D2787/I2787)+ABS(0.2-M2786*E2787/I2787)+ABS(0.2-N2786*F2787/I2787)),0)</f>
        <v/>
      </c>
      <c r="Q2787">
        <f>P2787*0.0015</f>
        <v/>
      </c>
      <c r="R2787">
        <f>I2787*(1-Q2787)</f>
        <v/>
      </c>
      <c r="S2787">
        <f>R2787/R2786-1</f>
        <v/>
      </c>
      <c r="T2787">
        <f>MAX(T2786,R2787)</f>
        <v/>
      </c>
      <c r="U2787">
        <f>R2787/T2787-1</f>
        <v/>
      </c>
      <c r="V2787" t="n">
        <v>6.459643682007264</v>
      </c>
      <c r="W2787" s="5">
        <f>R2787-V2787</f>
        <v/>
      </c>
    </row>
    <row r="2788">
      <c r="A2788" s="3" t="n">
        <v>42543</v>
      </c>
      <c r="B2788">
        <f>Prices!B2788</f>
        <v/>
      </c>
      <c r="C2788">
        <f>Prices!C2788</f>
        <v/>
      </c>
      <c r="D2788">
        <f>Prices!D2788</f>
        <v/>
      </c>
      <c r="E2788">
        <f>Prices!E2788</f>
        <v/>
      </c>
      <c r="F2788">
        <f>Prices!F2788</f>
        <v/>
      </c>
      <c r="G2788">
        <f>IF(AND(2786&gt;=16,TEXT(A2788,"yyyy-mm")&lt;&gt;TEXT(A2789,"yyyy-mm")),1,0)</f>
        <v/>
      </c>
      <c r="H2788">
        <f>IF(OR(H2787=1,G2788=1),1,0)</f>
        <v/>
      </c>
      <c r="I2788">
        <f>IF(H2787=0,1,SUMPRODUCT(J2787:N2787,B2788:F2788)+O2787*(1+0.00023125256064071564))</f>
        <v/>
      </c>
      <c r="J2788">
        <f>IF(G2788=1,0.2*R2788/B2788,J2787)</f>
        <v/>
      </c>
      <c r="K2788">
        <f>IF(G2788=1,0.2*R2788/C2788,K2787)</f>
        <v/>
      </c>
      <c r="L2788">
        <f>IF(G2788=1,0.2*R2788/D2788,L2787)</f>
        <v/>
      </c>
      <c r="M2788">
        <f>IF(G2788=1,0.2*R2788/E2788,M2787)</f>
        <v/>
      </c>
      <c r="N2788">
        <f>IF(G2788=1,0.2*R2788/F2788,N2787)</f>
        <v/>
      </c>
      <c r="O2788">
        <f>IF(G2788=1,R2788*(1-1.0),IF(H2787=0,1,O2787*(1+0.00023125256064071564)))</f>
        <v/>
      </c>
      <c r="P2788">
        <f>IF(G2788=1,IF(H2787=0,1,ABS(0.2-J2787*B2788/I2788)+ABS(0.2-K2787*C2788/I2788)+ABS(0.2-L2787*D2788/I2788)+ABS(0.2-M2787*E2788/I2788)+ABS(0.2-N2787*F2788/I2788)),0)</f>
        <v/>
      </c>
      <c r="Q2788">
        <f>P2788*0.0015</f>
        <v/>
      </c>
      <c r="R2788">
        <f>I2788*(1-Q2788)</f>
        <v/>
      </c>
      <c r="S2788">
        <f>R2788/R2787-1</f>
        <v/>
      </c>
      <c r="T2788">
        <f>MAX(T2787,R2788)</f>
        <v/>
      </c>
      <c r="U2788">
        <f>R2788/T2788-1</f>
        <v/>
      </c>
      <c r="V2788" t="n">
        <v>6.43964906901998</v>
      </c>
      <c r="W2788" s="5">
        <f>R2788-V2788</f>
        <v/>
      </c>
    </row>
    <row r="2789">
      <c r="A2789" s="3" t="n">
        <v>42544</v>
      </c>
      <c r="B2789">
        <f>Prices!B2789</f>
        <v/>
      </c>
      <c r="C2789">
        <f>Prices!C2789</f>
        <v/>
      </c>
      <c r="D2789">
        <f>Prices!D2789</f>
        <v/>
      </c>
      <c r="E2789">
        <f>Prices!E2789</f>
        <v/>
      </c>
      <c r="F2789">
        <f>Prices!F2789</f>
        <v/>
      </c>
      <c r="G2789">
        <f>IF(AND(2787&gt;=16,TEXT(A2789,"yyyy-mm")&lt;&gt;TEXT(A2790,"yyyy-mm")),1,0)</f>
        <v/>
      </c>
      <c r="H2789">
        <f>IF(OR(H2788=1,G2789=1),1,0)</f>
        <v/>
      </c>
      <c r="I2789">
        <f>IF(H2788=0,1,SUMPRODUCT(J2788:N2788,B2789:F2789)+O2788*(1+0.00023125256064071564))</f>
        <v/>
      </c>
      <c r="J2789">
        <f>IF(G2789=1,0.2*R2789/B2789,J2788)</f>
        <v/>
      </c>
      <c r="K2789">
        <f>IF(G2789=1,0.2*R2789/C2789,K2788)</f>
        <v/>
      </c>
      <c r="L2789">
        <f>IF(G2789=1,0.2*R2789/D2789,L2788)</f>
        <v/>
      </c>
      <c r="M2789">
        <f>IF(G2789=1,0.2*R2789/E2789,M2788)</f>
        <v/>
      </c>
      <c r="N2789">
        <f>IF(G2789=1,0.2*R2789/F2789,N2788)</f>
        <v/>
      </c>
      <c r="O2789">
        <f>IF(G2789=1,R2789*(1-1.0),IF(H2788=0,1,O2788*(1+0.00023125256064071564)))</f>
        <v/>
      </c>
      <c r="P2789">
        <f>IF(G2789=1,IF(H2788=0,1,ABS(0.2-J2788*B2789/I2789)+ABS(0.2-K2788*C2789/I2789)+ABS(0.2-L2788*D2789/I2789)+ABS(0.2-M2788*E2789/I2789)+ABS(0.2-N2788*F2789/I2789)),0)</f>
        <v/>
      </c>
      <c r="Q2789">
        <f>P2789*0.0015</f>
        <v/>
      </c>
      <c r="R2789">
        <f>I2789*(1-Q2789)</f>
        <v/>
      </c>
      <c r="S2789">
        <f>R2789/R2788-1</f>
        <v/>
      </c>
      <c r="T2789">
        <f>MAX(T2788,R2789)</f>
        <v/>
      </c>
      <c r="U2789">
        <f>R2789/T2789-1</f>
        <v/>
      </c>
      <c r="V2789" t="n">
        <v>6.445101328620942</v>
      </c>
      <c r="W2789" s="5">
        <f>R2789-V2789</f>
        <v/>
      </c>
    </row>
    <row r="2790">
      <c r="A2790" s="3" t="n">
        <v>42545</v>
      </c>
      <c r="B2790">
        <f>Prices!B2790</f>
        <v/>
      </c>
      <c r="C2790">
        <f>Prices!C2790</f>
        <v/>
      </c>
      <c r="D2790">
        <f>Prices!D2790</f>
        <v/>
      </c>
      <c r="E2790">
        <f>Prices!E2790</f>
        <v/>
      </c>
      <c r="F2790">
        <f>Prices!F2790</f>
        <v/>
      </c>
      <c r="G2790">
        <f>IF(AND(2788&gt;=16,TEXT(A2790,"yyyy-mm")&lt;&gt;TEXT(A2791,"yyyy-mm")),1,0)</f>
        <v/>
      </c>
      <c r="H2790">
        <f>IF(OR(H2789=1,G2790=1),1,0)</f>
        <v/>
      </c>
      <c r="I2790">
        <f>IF(H2789=0,1,SUMPRODUCT(J2789:N2789,B2790:F2790)+O2789*(1+0.00023125256064071564))</f>
        <v/>
      </c>
      <c r="J2790">
        <f>IF(G2790=1,0.2*R2790/B2790,J2789)</f>
        <v/>
      </c>
      <c r="K2790">
        <f>IF(G2790=1,0.2*R2790/C2790,K2789)</f>
        <v/>
      </c>
      <c r="L2790">
        <f>IF(G2790=1,0.2*R2790/D2790,L2789)</f>
        <v/>
      </c>
      <c r="M2790">
        <f>IF(G2790=1,0.2*R2790/E2790,M2789)</f>
        <v/>
      </c>
      <c r="N2790">
        <f>IF(G2790=1,0.2*R2790/F2790,N2789)</f>
        <v/>
      </c>
      <c r="O2790">
        <f>IF(G2790=1,R2790*(1-1.0),IF(H2789=0,1,O2789*(1+0.00023125256064071564)))</f>
        <v/>
      </c>
      <c r="P2790">
        <f>IF(G2790=1,IF(H2789=0,1,ABS(0.2-J2789*B2790/I2790)+ABS(0.2-K2789*C2790/I2790)+ABS(0.2-L2789*D2790/I2790)+ABS(0.2-M2789*E2790/I2790)+ABS(0.2-N2789*F2790/I2790)),0)</f>
        <v/>
      </c>
      <c r="Q2790">
        <f>P2790*0.0015</f>
        <v/>
      </c>
      <c r="R2790">
        <f>I2790*(1-Q2790)</f>
        <v/>
      </c>
      <c r="S2790">
        <f>R2790/R2789-1</f>
        <v/>
      </c>
      <c r="T2790">
        <f>MAX(T2789,R2790)</f>
        <v/>
      </c>
      <c r="U2790">
        <f>R2790/T2790-1</f>
        <v/>
      </c>
      <c r="V2790" t="n">
        <v>6.34051201571986</v>
      </c>
      <c r="W2790" s="5">
        <f>R2790-V2790</f>
        <v/>
      </c>
    </row>
    <row r="2791">
      <c r="A2791" s="3" t="n">
        <v>42548</v>
      </c>
      <c r="B2791">
        <f>Prices!B2791</f>
        <v/>
      </c>
      <c r="C2791">
        <f>Prices!C2791</f>
        <v/>
      </c>
      <c r="D2791">
        <f>Prices!D2791</f>
        <v/>
      </c>
      <c r="E2791">
        <f>Prices!E2791</f>
        <v/>
      </c>
      <c r="F2791">
        <f>Prices!F2791</f>
        <v/>
      </c>
      <c r="G2791">
        <f>IF(AND(2789&gt;=16,TEXT(A2791,"yyyy-mm")&lt;&gt;TEXT(A2792,"yyyy-mm")),1,0)</f>
        <v/>
      </c>
      <c r="H2791">
        <f>IF(OR(H2790=1,G2791=1),1,0)</f>
        <v/>
      </c>
      <c r="I2791">
        <f>IF(H2790=0,1,SUMPRODUCT(J2790:N2790,B2791:F2791)+O2790*(1+0.00023125256064071564))</f>
        <v/>
      </c>
      <c r="J2791">
        <f>IF(G2791=1,0.2*R2791/B2791,J2790)</f>
        <v/>
      </c>
      <c r="K2791">
        <f>IF(G2791=1,0.2*R2791/C2791,K2790)</f>
        <v/>
      </c>
      <c r="L2791">
        <f>IF(G2791=1,0.2*R2791/D2791,L2790)</f>
        <v/>
      </c>
      <c r="M2791">
        <f>IF(G2791=1,0.2*R2791/E2791,M2790)</f>
        <v/>
      </c>
      <c r="N2791">
        <f>IF(G2791=1,0.2*R2791/F2791,N2790)</f>
        <v/>
      </c>
      <c r="O2791">
        <f>IF(G2791=1,R2791*(1-1.0),IF(H2790=0,1,O2790*(1+0.00023125256064071564)))</f>
        <v/>
      </c>
      <c r="P2791">
        <f>IF(G2791=1,IF(H2790=0,1,ABS(0.2-J2790*B2791/I2791)+ABS(0.2-K2790*C2791/I2791)+ABS(0.2-L2790*D2791/I2791)+ABS(0.2-M2790*E2791/I2791)+ABS(0.2-N2790*F2791/I2791)),0)</f>
        <v/>
      </c>
      <c r="Q2791">
        <f>P2791*0.0015</f>
        <v/>
      </c>
      <c r="R2791">
        <f>I2791*(1-Q2791)</f>
        <v/>
      </c>
      <c r="S2791">
        <f>R2791/R2790-1</f>
        <v/>
      </c>
      <c r="T2791">
        <f>MAX(T2790,R2791)</f>
        <v/>
      </c>
      <c r="U2791">
        <f>R2791/T2791-1</f>
        <v/>
      </c>
      <c r="V2791" t="n">
        <v>6.393872288620297</v>
      </c>
      <c r="W2791" s="5">
        <f>R2791-V2791</f>
        <v/>
      </c>
    </row>
    <row r="2792">
      <c r="A2792" s="3" t="n">
        <v>42549</v>
      </c>
      <c r="B2792">
        <f>Prices!B2792</f>
        <v/>
      </c>
      <c r="C2792">
        <f>Prices!C2792</f>
        <v/>
      </c>
      <c r="D2792">
        <f>Prices!D2792</f>
        <v/>
      </c>
      <c r="E2792">
        <f>Prices!E2792</f>
        <v/>
      </c>
      <c r="F2792">
        <f>Prices!F2792</f>
        <v/>
      </c>
      <c r="G2792">
        <f>IF(AND(2790&gt;=16,TEXT(A2792,"yyyy-mm")&lt;&gt;TEXT(A2793,"yyyy-mm")),1,0)</f>
        <v/>
      </c>
      <c r="H2792">
        <f>IF(OR(H2791=1,G2792=1),1,0)</f>
        <v/>
      </c>
      <c r="I2792">
        <f>IF(H2791=0,1,SUMPRODUCT(J2791:N2791,B2792:F2792)+O2791*(1+0.00023125256064071564))</f>
        <v/>
      </c>
      <c r="J2792">
        <f>IF(G2792=1,0.2*R2792/B2792,J2791)</f>
        <v/>
      </c>
      <c r="K2792">
        <f>IF(G2792=1,0.2*R2792/C2792,K2791)</f>
        <v/>
      </c>
      <c r="L2792">
        <f>IF(G2792=1,0.2*R2792/D2792,L2791)</f>
        <v/>
      </c>
      <c r="M2792">
        <f>IF(G2792=1,0.2*R2792/E2792,M2791)</f>
        <v/>
      </c>
      <c r="N2792">
        <f>IF(G2792=1,0.2*R2792/F2792,N2791)</f>
        <v/>
      </c>
      <c r="O2792">
        <f>IF(G2792=1,R2792*(1-1.0),IF(H2791=0,1,O2791*(1+0.00023125256064071564)))</f>
        <v/>
      </c>
      <c r="P2792">
        <f>IF(G2792=1,IF(H2791=0,1,ABS(0.2-J2791*B2792/I2792)+ABS(0.2-K2791*C2792/I2792)+ABS(0.2-L2791*D2792/I2792)+ABS(0.2-M2791*E2792/I2792)+ABS(0.2-N2791*F2792/I2792)),0)</f>
        <v/>
      </c>
      <c r="Q2792">
        <f>P2792*0.0015</f>
        <v/>
      </c>
      <c r="R2792">
        <f>I2792*(1-Q2792)</f>
        <v/>
      </c>
      <c r="S2792">
        <f>R2792/R2791-1</f>
        <v/>
      </c>
      <c r="T2792">
        <f>MAX(T2791,R2792)</f>
        <v/>
      </c>
      <c r="U2792">
        <f>R2792/T2792-1</f>
        <v/>
      </c>
      <c r="V2792" t="n">
        <v>6.44059269781987</v>
      </c>
      <c r="W2792" s="5">
        <f>R2792-V2792</f>
        <v/>
      </c>
    </row>
    <row r="2793">
      <c r="A2793" s="3" t="n">
        <v>42550</v>
      </c>
      <c r="B2793">
        <f>Prices!B2793</f>
        <v/>
      </c>
      <c r="C2793">
        <f>Prices!C2793</f>
        <v/>
      </c>
      <c r="D2793">
        <f>Prices!D2793</f>
        <v/>
      </c>
      <c r="E2793">
        <f>Prices!E2793</f>
        <v/>
      </c>
      <c r="F2793">
        <f>Prices!F2793</f>
        <v/>
      </c>
      <c r="G2793">
        <f>IF(AND(2791&gt;=16,TEXT(A2793,"yyyy-mm")&lt;&gt;TEXT(A2794,"yyyy-mm")),1,0)</f>
        <v/>
      </c>
      <c r="H2793">
        <f>IF(OR(H2792=1,G2793=1),1,0)</f>
        <v/>
      </c>
      <c r="I2793">
        <f>IF(H2792=0,1,SUMPRODUCT(J2792:N2792,B2793:F2793)+O2792*(1+0.00023125256064071564))</f>
        <v/>
      </c>
      <c r="J2793">
        <f>IF(G2793=1,0.2*R2793/B2793,J2792)</f>
        <v/>
      </c>
      <c r="K2793">
        <f>IF(G2793=1,0.2*R2793/C2793,K2792)</f>
        <v/>
      </c>
      <c r="L2793">
        <f>IF(G2793=1,0.2*R2793/D2793,L2792)</f>
        <v/>
      </c>
      <c r="M2793">
        <f>IF(G2793=1,0.2*R2793/E2793,M2792)</f>
        <v/>
      </c>
      <c r="N2793">
        <f>IF(G2793=1,0.2*R2793/F2793,N2792)</f>
        <v/>
      </c>
      <c r="O2793">
        <f>IF(G2793=1,R2793*(1-1.0),IF(H2792=0,1,O2792*(1+0.00023125256064071564)))</f>
        <v/>
      </c>
      <c r="P2793">
        <f>IF(G2793=1,IF(H2792=0,1,ABS(0.2-J2792*B2793/I2793)+ABS(0.2-K2792*C2793/I2793)+ABS(0.2-L2792*D2793/I2793)+ABS(0.2-M2792*E2793/I2793)+ABS(0.2-N2792*F2793/I2793)),0)</f>
        <v/>
      </c>
      <c r="Q2793">
        <f>P2793*0.0015</f>
        <v/>
      </c>
      <c r="R2793">
        <f>I2793*(1-Q2793)</f>
        <v/>
      </c>
      <c r="S2793">
        <f>R2793/R2792-1</f>
        <v/>
      </c>
      <c r="T2793">
        <f>MAX(T2792,R2793)</f>
        <v/>
      </c>
      <c r="U2793">
        <f>R2793/T2793-1</f>
        <v/>
      </c>
      <c r="V2793" t="n">
        <v>6.504546532052735</v>
      </c>
      <c r="W2793" s="5">
        <f>R2793-V2793</f>
        <v/>
      </c>
    </row>
    <row r="2794">
      <c r="A2794" s="3" t="n">
        <v>42551</v>
      </c>
      <c r="B2794">
        <f>Prices!B2794</f>
        <v/>
      </c>
      <c r="C2794">
        <f>Prices!C2794</f>
        <v/>
      </c>
      <c r="D2794">
        <f>Prices!D2794</f>
        <v/>
      </c>
      <c r="E2794">
        <f>Prices!E2794</f>
        <v/>
      </c>
      <c r="F2794">
        <f>Prices!F2794</f>
        <v/>
      </c>
      <c r="G2794">
        <f>IF(AND(2792&gt;=16,TEXT(A2794,"yyyy-mm")&lt;&gt;TEXT(A2795,"yyyy-mm")),1,0)</f>
        <v/>
      </c>
      <c r="H2794">
        <f>IF(OR(H2793=1,G2794=1),1,0)</f>
        <v/>
      </c>
      <c r="I2794">
        <f>IF(H2793=0,1,SUMPRODUCT(J2793:N2793,B2794:F2794)+O2793*(1+0.00023125256064071564))</f>
        <v/>
      </c>
      <c r="J2794">
        <f>IF(G2794=1,0.2*R2794/B2794,J2793)</f>
        <v/>
      </c>
      <c r="K2794">
        <f>IF(G2794=1,0.2*R2794/C2794,K2793)</f>
        <v/>
      </c>
      <c r="L2794">
        <f>IF(G2794=1,0.2*R2794/D2794,L2793)</f>
        <v/>
      </c>
      <c r="M2794">
        <f>IF(G2794=1,0.2*R2794/E2794,M2793)</f>
        <v/>
      </c>
      <c r="N2794">
        <f>IF(G2794=1,0.2*R2794/F2794,N2793)</f>
        <v/>
      </c>
      <c r="O2794">
        <f>IF(G2794=1,R2794*(1-1.0),IF(H2793=0,1,O2793*(1+0.00023125256064071564)))</f>
        <v/>
      </c>
      <c r="P2794">
        <f>IF(G2794=1,IF(H2793=0,1,ABS(0.2-J2793*B2794/I2794)+ABS(0.2-K2793*C2794/I2794)+ABS(0.2-L2793*D2794/I2794)+ABS(0.2-M2793*E2794/I2794)+ABS(0.2-N2793*F2794/I2794)),0)</f>
        <v/>
      </c>
      <c r="Q2794">
        <f>P2794*0.0015</f>
        <v/>
      </c>
      <c r="R2794">
        <f>I2794*(1-Q2794)</f>
        <v/>
      </c>
      <c r="S2794">
        <f>R2794/R2793-1</f>
        <v/>
      </c>
      <c r="T2794">
        <f>MAX(T2793,R2794)</f>
        <v/>
      </c>
      <c r="U2794">
        <f>R2794/T2794-1</f>
        <v/>
      </c>
      <c r="V2794" t="n">
        <v>6.576299323177902</v>
      </c>
      <c r="W2794" s="5">
        <f>R2794-V2794</f>
        <v/>
      </c>
    </row>
    <row r="2795">
      <c r="A2795" s="3" t="n">
        <v>42552</v>
      </c>
      <c r="B2795">
        <f>Prices!B2795</f>
        <v/>
      </c>
      <c r="C2795">
        <f>Prices!C2795</f>
        <v/>
      </c>
      <c r="D2795">
        <f>Prices!D2795</f>
        <v/>
      </c>
      <c r="E2795">
        <f>Prices!E2795</f>
        <v/>
      </c>
      <c r="F2795">
        <f>Prices!F2795</f>
        <v/>
      </c>
      <c r="G2795">
        <f>IF(AND(2793&gt;=16,TEXT(A2795,"yyyy-mm")&lt;&gt;TEXT(A2796,"yyyy-mm")),1,0)</f>
        <v/>
      </c>
      <c r="H2795">
        <f>IF(OR(H2794=1,G2795=1),1,0)</f>
        <v/>
      </c>
      <c r="I2795">
        <f>IF(H2794=0,1,SUMPRODUCT(J2794:N2794,B2795:F2795)+O2794*(1+0.00023125256064071564))</f>
        <v/>
      </c>
      <c r="J2795">
        <f>IF(G2795=1,0.2*R2795/B2795,J2794)</f>
        <v/>
      </c>
      <c r="K2795">
        <f>IF(G2795=1,0.2*R2795/C2795,K2794)</f>
        <v/>
      </c>
      <c r="L2795">
        <f>IF(G2795=1,0.2*R2795/D2795,L2794)</f>
        <v/>
      </c>
      <c r="M2795">
        <f>IF(G2795=1,0.2*R2795/E2795,M2794)</f>
        <v/>
      </c>
      <c r="N2795">
        <f>IF(G2795=1,0.2*R2795/F2795,N2794)</f>
        <v/>
      </c>
      <c r="O2795">
        <f>IF(G2795=1,R2795*(1-1.0),IF(H2794=0,1,O2794*(1+0.00023125256064071564)))</f>
        <v/>
      </c>
      <c r="P2795">
        <f>IF(G2795=1,IF(H2794=0,1,ABS(0.2-J2794*B2795/I2795)+ABS(0.2-K2794*C2795/I2795)+ABS(0.2-L2794*D2795/I2795)+ABS(0.2-M2794*E2795/I2795)+ABS(0.2-N2794*F2795/I2795)),0)</f>
        <v/>
      </c>
      <c r="Q2795">
        <f>P2795*0.0015</f>
        <v/>
      </c>
      <c r="R2795">
        <f>I2795*(1-Q2795)</f>
        <v/>
      </c>
      <c r="S2795">
        <f>R2795/R2794-1</f>
        <v/>
      </c>
      <c r="T2795">
        <f>MAX(T2794,R2795)</f>
        <v/>
      </c>
      <c r="U2795">
        <f>R2795/T2795-1</f>
        <v/>
      </c>
      <c r="V2795" t="n">
        <v>6.633182637610444</v>
      </c>
      <c r="W2795" s="5">
        <f>R2795-V2795</f>
        <v/>
      </c>
    </row>
    <row r="2796">
      <c r="A2796" s="3" t="n">
        <v>42555</v>
      </c>
      <c r="B2796">
        <f>Prices!B2796</f>
        <v/>
      </c>
      <c r="C2796">
        <f>Prices!C2796</f>
        <v/>
      </c>
      <c r="D2796">
        <f>Prices!D2796</f>
        <v/>
      </c>
      <c r="E2796">
        <f>Prices!E2796</f>
        <v/>
      </c>
      <c r="F2796">
        <f>Prices!F2796</f>
        <v/>
      </c>
      <c r="G2796">
        <f>IF(AND(2794&gt;=16,TEXT(A2796,"yyyy-mm")&lt;&gt;TEXT(A2797,"yyyy-mm")),1,0)</f>
        <v/>
      </c>
      <c r="H2796">
        <f>IF(OR(H2795=1,G2796=1),1,0)</f>
        <v/>
      </c>
      <c r="I2796">
        <f>IF(H2795=0,1,SUMPRODUCT(J2795:N2795,B2796:F2796)+O2795*(1+0.00023125256064071564))</f>
        <v/>
      </c>
      <c r="J2796">
        <f>IF(G2796=1,0.2*R2796/B2796,J2795)</f>
        <v/>
      </c>
      <c r="K2796">
        <f>IF(G2796=1,0.2*R2796/C2796,K2795)</f>
        <v/>
      </c>
      <c r="L2796">
        <f>IF(G2796=1,0.2*R2796/D2796,L2795)</f>
        <v/>
      </c>
      <c r="M2796">
        <f>IF(G2796=1,0.2*R2796/E2796,M2795)</f>
        <v/>
      </c>
      <c r="N2796">
        <f>IF(G2796=1,0.2*R2796/F2796,N2795)</f>
        <v/>
      </c>
      <c r="O2796">
        <f>IF(G2796=1,R2796*(1-1.0),IF(H2795=0,1,O2795*(1+0.00023125256064071564)))</f>
        <v/>
      </c>
      <c r="P2796">
        <f>IF(G2796=1,IF(H2795=0,1,ABS(0.2-J2795*B2796/I2796)+ABS(0.2-K2795*C2796/I2796)+ABS(0.2-L2795*D2796/I2796)+ABS(0.2-M2795*E2796/I2796)+ABS(0.2-N2795*F2796/I2796)),0)</f>
        <v/>
      </c>
      <c r="Q2796">
        <f>P2796*0.0015</f>
        <v/>
      </c>
      <c r="R2796">
        <f>I2796*(1-Q2796)</f>
        <v/>
      </c>
      <c r="S2796">
        <f>R2796/R2795-1</f>
        <v/>
      </c>
      <c r="T2796">
        <f>MAX(T2795,R2796)</f>
        <v/>
      </c>
      <c r="U2796">
        <f>R2796/T2796-1</f>
        <v/>
      </c>
      <c r="V2796" t="n">
        <v>6.685077939259245</v>
      </c>
      <c r="W2796" s="5">
        <f>R2796-V2796</f>
        <v/>
      </c>
    </row>
    <row r="2797">
      <c r="A2797" s="3" t="n">
        <v>42556</v>
      </c>
      <c r="B2797">
        <f>Prices!B2797</f>
        <v/>
      </c>
      <c r="C2797">
        <f>Prices!C2797</f>
        <v/>
      </c>
      <c r="D2797">
        <f>Prices!D2797</f>
        <v/>
      </c>
      <c r="E2797">
        <f>Prices!E2797</f>
        <v/>
      </c>
      <c r="F2797">
        <f>Prices!F2797</f>
        <v/>
      </c>
      <c r="G2797">
        <f>IF(AND(2795&gt;=16,TEXT(A2797,"yyyy-mm")&lt;&gt;TEXT(A2798,"yyyy-mm")),1,0)</f>
        <v/>
      </c>
      <c r="H2797">
        <f>IF(OR(H2796=1,G2797=1),1,0)</f>
        <v/>
      </c>
      <c r="I2797">
        <f>IF(H2796=0,1,SUMPRODUCT(J2796:N2796,B2797:F2797)+O2796*(1+0.00023125256064071564))</f>
        <v/>
      </c>
      <c r="J2797">
        <f>IF(G2797=1,0.2*R2797/B2797,J2796)</f>
        <v/>
      </c>
      <c r="K2797">
        <f>IF(G2797=1,0.2*R2797/C2797,K2796)</f>
        <v/>
      </c>
      <c r="L2797">
        <f>IF(G2797=1,0.2*R2797/D2797,L2796)</f>
        <v/>
      </c>
      <c r="M2797">
        <f>IF(G2797=1,0.2*R2797/E2797,M2796)</f>
        <v/>
      </c>
      <c r="N2797">
        <f>IF(G2797=1,0.2*R2797/F2797,N2796)</f>
        <v/>
      </c>
      <c r="O2797">
        <f>IF(G2797=1,R2797*(1-1.0),IF(H2796=0,1,O2796*(1+0.00023125256064071564)))</f>
        <v/>
      </c>
      <c r="P2797">
        <f>IF(G2797=1,IF(H2796=0,1,ABS(0.2-J2796*B2797/I2797)+ABS(0.2-K2796*C2797/I2797)+ABS(0.2-L2796*D2797/I2797)+ABS(0.2-M2796*E2797/I2797)+ABS(0.2-N2796*F2797/I2797)),0)</f>
        <v/>
      </c>
      <c r="Q2797">
        <f>P2797*0.0015</f>
        <v/>
      </c>
      <c r="R2797">
        <f>I2797*(1-Q2797)</f>
        <v/>
      </c>
      <c r="S2797">
        <f>R2797/R2796-1</f>
        <v/>
      </c>
      <c r="T2797">
        <f>MAX(T2796,R2797)</f>
        <v/>
      </c>
      <c r="U2797">
        <f>R2797/T2797-1</f>
        <v/>
      </c>
      <c r="V2797" t="n">
        <v>6.676279502513374</v>
      </c>
      <c r="W2797" s="5">
        <f>R2797-V2797</f>
        <v/>
      </c>
    </row>
    <row r="2798">
      <c r="A2798" s="3" t="n">
        <v>42558</v>
      </c>
      <c r="B2798">
        <f>Prices!B2798</f>
        <v/>
      </c>
      <c r="C2798">
        <f>Prices!C2798</f>
        <v/>
      </c>
      <c r="D2798">
        <f>Prices!D2798</f>
        <v/>
      </c>
      <c r="E2798">
        <f>Prices!E2798</f>
        <v/>
      </c>
      <c r="F2798">
        <f>Prices!F2798</f>
        <v/>
      </c>
      <c r="G2798">
        <f>IF(AND(2796&gt;=16,TEXT(A2798,"yyyy-mm")&lt;&gt;TEXT(A2799,"yyyy-mm")),1,0)</f>
        <v/>
      </c>
      <c r="H2798">
        <f>IF(OR(H2797=1,G2798=1),1,0)</f>
        <v/>
      </c>
      <c r="I2798">
        <f>IF(H2797=0,1,SUMPRODUCT(J2797:N2797,B2798:F2798)+O2797*(1+0.00023125256064071564))</f>
        <v/>
      </c>
      <c r="J2798">
        <f>IF(G2798=1,0.2*R2798/B2798,J2797)</f>
        <v/>
      </c>
      <c r="K2798">
        <f>IF(G2798=1,0.2*R2798/C2798,K2797)</f>
        <v/>
      </c>
      <c r="L2798">
        <f>IF(G2798=1,0.2*R2798/D2798,L2797)</f>
        <v/>
      </c>
      <c r="M2798">
        <f>IF(G2798=1,0.2*R2798/E2798,M2797)</f>
        <v/>
      </c>
      <c r="N2798">
        <f>IF(G2798=1,0.2*R2798/F2798,N2797)</f>
        <v/>
      </c>
      <c r="O2798">
        <f>IF(G2798=1,R2798*(1-1.0),IF(H2797=0,1,O2797*(1+0.00023125256064071564)))</f>
        <v/>
      </c>
      <c r="P2798">
        <f>IF(G2798=1,IF(H2797=0,1,ABS(0.2-J2797*B2798/I2798)+ABS(0.2-K2797*C2798/I2798)+ABS(0.2-L2797*D2798/I2798)+ABS(0.2-M2797*E2798/I2798)+ABS(0.2-N2797*F2798/I2798)),0)</f>
        <v/>
      </c>
      <c r="Q2798">
        <f>P2798*0.0015</f>
        <v/>
      </c>
      <c r="R2798">
        <f>I2798*(1-Q2798)</f>
        <v/>
      </c>
      <c r="S2798">
        <f>R2798/R2797-1</f>
        <v/>
      </c>
      <c r="T2798">
        <f>MAX(T2797,R2798)</f>
        <v/>
      </c>
      <c r="U2798">
        <f>R2798/T2798-1</f>
        <v/>
      </c>
      <c r="V2798" t="n">
        <v>6.691683138381917</v>
      </c>
      <c r="W2798" s="5">
        <f>R2798-V2798</f>
        <v/>
      </c>
    </row>
    <row r="2799">
      <c r="A2799" s="3" t="n">
        <v>42559</v>
      </c>
      <c r="B2799">
        <f>Prices!B2799</f>
        <v/>
      </c>
      <c r="C2799">
        <f>Prices!C2799</f>
        <v/>
      </c>
      <c r="D2799">
        <f>Prices!D2799</f>
        <v/>
      </c>
      <c r="E2799">
        <f>Prices!E2799</f>
        <v/>
      </c>
      <c r="F2799">
        <f>Prices!F2799</f>
        <v/>
      </c>
      <c r="G2799">
        <f>IF(AND(2797&gt;=16,TEXT(A2799,"yyyy-mm")&lt;&gt;TEXT(A2800,"yyyy-mm")),1,0)</f>
        <v/>
      </c>
      <c r="H2799">
        <f>IF(OR(H2798=1,G2799=1),1,0)</f>
        <v/>
      </c>
      <c r="I2799">
        <f>IF(H2798=0,1,SUMPRODUCT(J2798:N2798,B2799:F2799)+O2798*(1+0.00023125256064071564))</f>
        <v/>
      </c>
      <c r="J2799">
        <f>IF(G2799=1,0.2*R2799/B2799,J2798)</f>
        <v/>
      </c>
      <c r="K2799">
        <f>IF(G2799=1,0.2*R2799/C2799,K2798)</f>
        <v/>
      </c>
      <c r="L2799">
        <f>IF(G2799=1,0.2*R2799/D2799,L2798)</f>
        <v/>
      </c>
      <c r="M2799">
        <f>IF(G2799=1,0.2*R2799/E2799,M2798)</f>
        <v/>
      </c>
      <c r="N2799">
        <f>IF(G2799=1,0.2*R2799/F2799,N2798)</f>
        <v/>
      </c>
      <c r="O2799">
        <f>IF(G2799=1,R2799*(1-1.0),IF(H2798=0,1,O2798*(1+0.00023125256064071564)))</f>
        <v/>
      </c>
      <c r="P2799">
        <f>IF(G2799=1,IF(H2798=0,1,ABS(0.2-J2798*B2799/I2799)+ABS(0.2-K2798*C2799/I2799)+ABS(0.2-L2798*D2799/I2799)+ABS(0.2-M2798*E2799/I2799)+ABS(0.2-N2798*F2799/I2799)),0)</f>
        <v/>
      </c>
      <c r="Q2799">
        <f>P2799*0.0015</f>
        <v/>
      </c>
      <c r="R2799">
        <f>I2799*(1-Q2799)</f>
        <v/>
      </c>
      <c r="S2799">
        <f>R2799/R2798-1</f>
        <v/>
      </c>
      <c r="T2799">
        <f>MAX(T2798,R2799)</f>
        <v/>
      </c>
      <c r="U2799">
        <f>R2799/T2799-1</f>
        <v/>
      </c>
      <c r="V2799" t="n">
        <v>6.686238906388574</v>
      </c>
      <c r="W2799" s="5">
        <f>R2799-V2799</f>
        <v/>
      </c>
    </row>
    <row r="2800">
      <c r="A2800" s="3" t="n">
        <v>42562</v>
      </c>
      <c r="B2800">
        <f>Prices!B2800</f>
        <v/>
      </c>
      <c r="C2800">
        <f>Prices!C2800</f>
        <v/>
      </c>
      <c r="D2800">
        <f>Prices!D2800</f>
        <v/>
      </c>
      <c r="E2800">
        <f>Prices!E2800</f>
        <v/>
      </c>
      <c r="F2800">
        <f>Prices!F2800</f>
        <v/>
      </c>
      <c r="G2800">
        <f>IF(AND(2798&gt;=16,TEXT(A2800,"yyyy-mm")&lt;&gt;TEXT(A2801,"yyyy-mm")),1,0)</f>
        <v/>
      </c>
      <c r="H2800">
        <f>IF(OR(H2799=1,G2800=1),1,0)</f>
        <v/>
      </c>
      <c r="I2800">
        <f>IF(H2799=0,1,SUMPRODUCT(J2799:N2799,B2800:F2800)+O2799*(1+0.00023125256064071564))</f>
        <v/>
      </c>
      <c r="J2800">
        <f>IF(G2800=1,0.2*R2800/B2800,J2799)</f>
        <v/>
      </c>
      <c r="K2800">
        <f>IF(G2800=1,0.2*R2800/C2800,K2799)</f>
        <v/>
      </c>
      <c r="L2800">
        <f>IF(G2800=1,0.2*R2800/D2800,L2799)</f>
        <v/>
      </c>
      <c r="M2800">
        <f>IF(G2800=1,0.2*R2800/E2800,M2799)</f>
        <v/>
      </c>
      <c r="N2800">
        <f>IF(G2800=1,0.2*R2800/F2800,N2799)</f>
        <v/>
      </c>
      <c r="O2800">
        <f>IF(G2800=1,R2800*(1-1.0),IF(H2799=0,1,O2799*(1+0.00023125256064071564)))</f>
        <v/>
      </c>
      <c r="P2800">
        <f>IF(G2800=1,IF(H2799=0,1,ABS(0.2-J2799*B2800/I2800)+ABS(0.2-K2799*C2800/I2800)+ABS(0.2-L2799*D2800/I2800)+ABS(0.2-M2799*E2800/I2800)+ABS(0.2-N2799*F2800/I2800)),0)</f>
        <v/>
      </c>
      <c r="Q2800">
        <f>P2800*0.0015</f>
        <v/>
      </c>
      <c r="R2800">
        <f>I2800*(1-Q2800)</f>
        <v/>
      </c>
      <c r="S2800">
        <f>R2800/R2799-1</f>
        <v/>
      </c>
      <c r="T2800">
        <f>MAX(T2799,R2800)</f>
        <v/>
      </c>
      <c r="U2800">
        <f>R2800/T2800-1</f>
        <v/>
      </c>
      <c r="V2800" t="n">
        <v>6.781458566546958</v>
      </c>
      <c r="W2800" s="5">
        <f>R2800-V2800</f>
        <v/>
      </c>
    </row>
    <row r="2801">
      <c r="A2801" s="3" t="n">
        <v>42563</v>
      </c>
      <c r="B2801">
        <f>Prices!B2801</f>
        <v/>
      </c>
      <c r="C2801">
        <f>Prices!C2801</f>
        <v/>
      </c>
      <c r="D2801">
        <f>Prices!D2801</f>
        <v/>
      </c>
      <c r="E2801">
        <f>Prices!E2801</f>
        <v/>
      </c>
      <c r="F2801">
        <f>Prices!F2801</f>
        <v/>
      </c>
      <c r="G2801">
        <f>IF(AND(2799&gt;=16,TEXT(A2801,"yyyy-mm")&lt;&gt;TEXT(A2802,"yyyy-mm")),1,0)</f>
        <v/>
      </c>
      <c r="H2801">
        <f>IF(OR(H2800=1,G2801=1),1,0)</f>
        <v/>
      </c>
      <c r="I2801">
        <f>IF(H2800=0,1,SUMPRODUCT(J2800:N2800,B2801:F2801)+O2800*(1+0.00023125256064071564))</f>
        <v/>
      </c>
      <c r="J2801">
        <f>IF(G2801=1,0.2*R2801/B2801,J2800)</f>
        <v/>
      </c>
      <c r="K2801">
        <f>IF(G2801=1,0.2*R2801/C2801,K2800)</f>
        <v/>
      </c>
      <c r="L2801">
        <f>IF(G2801=1,0.2*R2801/D2801,L2800)</f>
        <v/>
      </c>
      <c r="M2801">
        <f>IF(G2801=1,0.2*R2801/E2801,M2800)</f>
        <v/>
      </c>
      <c r="N2801">
        <f>IF(G2801=1,0.2*R2801/F2801,N2800)</f>
        <v/>
      </c>
      <c r="O2801">
        <f>IF(G2801=1,R2801*(1-1.0),IF(H2800=0,1,O2800*(1+0.00023125256064071564)))</f>
        <v/>
      </c>
      <c r="P2801">
        <f>IF(G2801=1,IF(H2800=0,1,ABS(0.2-J2800*B2801/I2801)+ABS(0.2-K2800*C2801/I2801)+ABS(0.2-L2800*D2801/I2801)+ABS(0.2-M2800*E2801/I2801)+ABS(0.2-N2800*F2801/I2801)),0)</f>
        <v/>
      </c>
      <c r="Q2801">
        <f>P2801*0.0015</f>
        <v/>
      </c>
      <c r="R2801">
        <f>I2801*(1-Q2801)</f>
        <v/>
      </c>
      <c r="S2801">
        <f>R2801/R2800-1</f>
        <v/>
      </c>
      <c r="T2801">
        <f>MAX(T2800,R2801)</f>
        <v/>
      </c>
      <c r="U2801">
        <f>R2801/T2801-1</f>
        <v/>
      </c>
      <c r="V2801" t="n">
        <v>6.819243120426552</v>
      </c>
      <c r="W2801" s="5">
        <f>R2801-V2801</f>
        <v/>
      </c>
    </row>
    <row r="2802">
      <c r="A2802" s="3" t="n">
        <v>42564</v>
      </c>
      <c r="B2802">
        <f>Prices!B2802</f>
        <v/>
      </c>
      <c r="C2802">
        <f>Prices!C2802</f>
        <v/>
      </c>
      <c r="D2802">
        <f>Prices!D2802</f>
        <v/>
      </c>
      <c r="E2802">
        <f>Prices!E2802</f>
        <v/>
      </c>
      <c r="F2802">
        <f>Prices!F2802</f>
        <v/>
      </c>
      <c r="G2802">
        <f>IF(AND(2800&gt;=16,TEXT(A2802,"yyyy-mm")&lt;&gt;TEXT(A2803,"yyyy-mm")),1,0)</f>
        <v/>
      </c>
      <c r="H2802">
        <f>IF(OR(H2801=1,G2802=1),1,0)</f>
        <v/>
      </c>
      <c r="I2802">
        <f>IF(H2801=0,1,SUMPRODUCT(J2801:N2801,B2802:F2802)+O2801*(1+0.00023125256064071564))</f>
        <v/>
      </c>
      <c r="J2802">
        <f>IF(G2802=1,0.2*R2802/B2802,J2801)</f>
        <v/>
      </c>
      <c r="K2802">
        <f>IF(G2802=1,0.2*R2802/C2802,K2801)</f>
        <v/>
      </c>
      <c r="L2802">
        <f>IF(G2802=1,0.2*R2802/D2802,L2801)</f>
        <v/>
      </c>
      <c r="M2802">
        <f>IF(G2802=1,0.2*R2802/E2802,M2801)</f>
        <v/>
      </c>
      <c r="N2802">
        <f>IF(G2802=1,0.2*R2802/F2802,N2801)</f>
        <v/>
      </c>
      <c r="O2802">
        <f>IF(G2802=1,R2802*(1-1.0),IF(H2801=0,1,O2801*(1+0.00023125256064071564)))</f>
        <v/>
      </c>
      <c r="P2802">
        <f>IF(G2802=1,IF(H2801=0,1,ABS(0.2-J2801*B2802/I2802)+ABS(0.2-K2801*C2802/I2802)+ABS(0.2-L2801*D2802/I2802)+ABS(0.2-M2801*E2802/I2802)+ABS(0.2-N2801*F2802/I2802)),0)</f>
        <v/>
      </c>
      <c r="Q2802">
        <f>P2802*0.0015</f>
        <v/>
      </c>
      <c r="R2802">
        <f>I2802*(1-Q2802)</f>
        <v/>
      </c>
      <c r="S2802">
        <f>R2802/R2801-1</f>
        <v/>
      </c>
      <c r="T2802">
        <f>MAX(T2801,R2802)</f>
        <v/>
      </c>
      <c r="U2802">
        <f>R2802/T2802-1</f>
        <v/>
      </c>
      <c r="V2802" t="n">
        <v>6.799597081279589</v>
      </c>
      <c r="W2802" s="5">
        <f>R2802-V2802</f>
        <v/>
      </c>
    </row>
    <row r="2803">
      <c r="A2803" s="3" t="n">
        <v>42565</v>
      </c>
      <c r="B2803">
        <f>Prices!B2803</f>
        <v/>
      </c>
      <c r="C2803">
        <f>Prices!C2803</f>
        <v/>
      </c>
      <c r="D2803">
        <f>Prices!D2803</f>
        <v/>
      </c>
      <c r="E2803">
        <f>Prices!E2803</f>
        <v/>
      </c>
      <c r="F2803">
        <f>Prices!F2803</f>
        <v/>
      </c>
      <c r="G2803">
        <f>IF(AND(2801&gt;=16,TEXT(A2803,"yyyy-mm")&lt;&gt;TEXT(A2804,"yyyy-mm")),1,0)</f>
        <v/>
      </c>
      <c r="H2803">
        <f>IF(OR(H2802=1,G2803=1),1,0)</f>
        <v/>
      </c>
      <c r="I2803">
        <f>IF(H2802=0,1,SUMPRODUCT(J2802:N2802,B2803:F2803)+O2802*(1+0.00023125256064071564))</f>
        <v/>
      </c>
      <c r="J2803">
        <f>IF(G2803=1,0.2*R2803/B2803,J2802)</f>
        <v/>
      </c>
      <c r="K2803">
        <f>IF(G2803=1,0.2*R2803/C2803,K2802)</f>
        <v/>
      </c>
      <c r="L2803">
        <f>IF(G2803=1,0.2*R2803/D2803,L2802)</f>
        <v/>
      </c>
      <c r="M2803">
        <f>IF(G2803=1,0.2*R2803/E2803,M2802)</f>
        <v/>
      </c>
      <c r="N2803">
        <f>IF(G2803=1,0.2*R2803/F2803,N2802)</f>
        <v/>
      </c>
      <c r="O2803">
        <f>IF(G2803=1,R2803*(1-1.0),IF(H2802=0,1,O2802*(1+0.00023125256064071564)))</f>
        <v/>
      </c>
      <c r="P2803">
        <f>IF(G2803=1,IF(H2802=0,1,ABS(0.2-J2802*B2803/I2803)+ABS(0.2-K2802*C2803/I2803)+ABS(0.2-L2802*D2803/I2803)+ABS(0.2-M2802*E2803/I2803)+ABS(0.2-N2802*F2803/I2803)),0)</f>
        <v/>
      </c>
      <c r="Q2803">
        <f>P2803*0.0015</f>
        <v/>
      </c>
      <c r="R2803">
        <f>I2803*(1-Q2803)</f>
        <v/>
      </c>
      <c r="S2803">
        <f>R2803/R2802-1</f>
        <v/>
      </c>
      <c r="T2803">
        <f>MAX(T2802,R2803)</f>
        <v/>
      </c>
      <c r="U2803">
        <f>R2803/T2803-1</f>
        <v/>
      </c>
      <c r="V2803" t="n">
        <v>6.839118836468709</v>
      </c>
      <c r="W2803" s="5">
        <f>R2803-V2803</f>
        <v/>
      </c>
    </row>
    <row r="2804">
      <c r="A2804" s="3" t="n">
        <v>42566</v>
      </c>
      <c r="B2804">
        <f>Prices!B2804</f>
        <v/>
      </c>
      <c r="C2804">
        <f>Prices!C2804</f>
        <v/>
      </c>
      <c r="D2804">
        <f>Prices!D2804</f>
        <v/>
      </c>
      <c r="E2804">
        <f>Prices!E2804</f>
        <v/>
      </c>
      <c r="F2804">
        <f>Prices!F2804</f>
        <v/>
      </c>
      <c r="G2804">
        <f>IF(AND(2802&gt;=16,TEXT(A2804,"yyyy-mm")&lt;&gt;TEXT(A2805,"yyyy-mm")),1,0)</f>
        <v/>
      </c>
      <c r="H2804">
        <f>IF(OR(H2803=1,G2804=1),1,0)</f>
        <v/>
      </c>
      <c r="I2804">
        <f>IF(H2803=0,1,SUMPRODUCT(J2803:N2803,B2804:F2804)+O2803*(1+0.00023125256064071564))</f>
        <v/>
      </c>
      <c r="J2804">
        <f>IF(G2804=1,0.2*R2804/B2804,J2803)</f>
        <v/>
      </c>
      <c r="K2804">
        <f>IF(G2804=1,0.2*R2804/C2804,K2803)</f>
        <v/>
      </c>
      <c r="L2804">
        <f>IF(G2804=1,0.2*R2804/D2804,L2803)</f>
        <v/>
      </c>
      <c r="M2804">
        <f>IF(G2804=1,0.2*R2804/E2804,M2803)</f>
        <v/>
      </c>
      <c r="N2804">
        <f>IF(G2804=1,0.2*R2804/F2804,N2803)</f>
        <v/>
      </c>
      <c r="O2804">
        <f>IF(G2804=1,R2804*(1-1.0),IF(H2803=0,1,O2803*(1+0.00023125256064071564)))</f>
        <v/>
      </c>
      <c r="P2804">
        <f>IF(G2804=1,IF(H2803=0,1,ABS(0.2-J2803*B2804/I2804)+ABS(0.2-K2803*C2804/I2804)+ABS(0.2-L2803*D2804/I2804)+ABS(0.2-M2803*E2804/I2804)+ABS(0.2-N2803*F2804/I2804)),0)</f>
        <v/>
      </c>
      <c r="Q2804">
        <f>P2804*0.0015</f>
        <v/>
      </c>
      <c r="R2804">
        <f>I2804*(1-Q2804)</f>
        <v/>
      </c>
      <c r="S2804">
        <f>R2804/R2803-1</f>
        <v/>
      </c>
      <c r="T2804">
        <f>MAX(T2803,R2804)</f>
        <v/>
      </c>
      <c r="U2804">
        <f>R2804/T2804-1</f>
        <v/>
      </c>
      <c r="V2804" t="n">
        <v>6.799954088145771</v>
      </c>
      <c r="W2804" s="5">
        <f>R2804-V2804</f>
        <v/>
      </c>
    </row>
    <row r="2805">
      <c r="A2805" s="3" t="n">
        <v>42569</v>
      </c>
      <c r="B2805">
        <f>Prices!B2805</f>
        <v/>
      </c>
      <c r="C2805">
        <f>Prices!C2805</f>
        <v/>
      </c>
      <c r="D2805">
        <f>Prices!D2805</f>
        <v/>
      </c>
      <c r="E2805">
        <f>Prices!E2805</f>
        <v/>
      </c>
      <c r="F2805">
        <f>Prices!F2805</f>
        <v/>
      </c>
      <c r="G2805">
        <f>IF(AND(2803&gt;=16,TEXT(A2805,"yyyy-mm")&lt;&gt;TEXT(A2806,"yyyy-mm")),1,0)</f>
        <v/>
      </c>
      <c r="H2805">
        <f>IF(OR(H2804=1,G2805=1),1,0)</f>
        <v/>
      </c>
      <c r="I2805">
        <f>IF(H2804=0,1,SUMPRODUCT(J2804:N2804,B2805:F2805)+O2804*(1+0.00023125256064071564))</f>
        <v/>
      </c>
      <c r="J2805">
        <f>IF(G2805=1,0.2*R2805/B2805,J2804)</f>
        <v/>
      </c>
      <c r="K2805">
        <f>IF(G2805=1,0.2*R2805/C2805,K2804)</f>
        <v/>
      </c>
      <c r="L2805">
        <f>IF(G2805=1,0.2*R2805/D2805,L2804)</f>
        <v/>
      </c>
      <c r="M2805">
        <f>IF(G2805=1,0.2*R2805/E2805,M2804)</f>
        <v/>
      </c>
      <c r="N2805">
        <f>IF(G2805=1,0.2*R2805/F2805,N2804)</f>
        <v/>
      </c>
      <c r="O2805">
        <f>IF(G2805=1,R2805*(1-1.0),IF(H2804=0,1,O2804*(1+0.00023125256064071564)))</f>
        <v/>
      </c>
      <c r="P2805">
        <f>IF(G2805=1,IF(H2804=0,1,ABS(0.2-J2804*B2805/I2805)+ABS(0.2-K2804*C2805/I2805)+ABS(0.2-L2804*D2805/I2805)+ABS(0.2-M2804*E2805/I2805)+ABS(0.2-N2804*F2805/I2805)),0)</f>
        <v/>
      </c>
      <c r="Q2805">
        <f>P2805*0.0015</f>
        <v/>
      </c>
      <c r="R2805">
        <f>I2805*(1-Q2805)</f>
        <v/>
      </c>
      <c r="S2805">
        <f>R2805/R2804-1</f>
        <v/>
      </c>
      <c r="T2805">
        <f>MAX(T2804,R2805)</f>
        <v/>
      </c>
      <c r="U2805">
        <f>R2805/T2805-1</f>
        <v/>
      </c>
      <c r="V2805" t="n">
        <v>6.760641158234243</v>
      </c>
      <c r="W2805" s="5">
        <f>R2805-V2805</f>
        <v/>
      </c>
    </row>
    <row r="2806">
      <c r="A2806" s="3" t="n">
        <v>42570</v>
      </c>
      <c r="B2806">
        <f>Prices!B2806</f>
        <v/>
      </c>
      <c r="C2806">
        <f>Prices!C2806</f>
        <v/>
      </c>
      <c r="D2806">
        <f>Prices!D2806</f>
        <v/>
      </c>
      <c r="E2806">
        <f>Prices!E2806</f>
        <v/>
      </c>
      <c r="F2806">
        <f>Prices!F2806</f>
        <v/>
      </c>
      <c r="G2806">
        <f>IF(AND(2804&gt;=16,TEXT(A2806,"yyyy-mm")&lt;&gt;TEXT(A2807,"yyyy-mm")),1,0)</f>
        <v/>
      </c>
      <c r="H2806">
        <f>IF(OR(H2805=1,G2806=1),1,0)</f>
        <v/>
      </c>
      <c r="I2806">
        <f>IF(H2805=0,1,SUMPRODUCT(J2805:N2805,B2806:F2806)+O2805*(1+0.00023125256064071564))</f>
        <v/>
      </c>
      <c r="J2806">
        <f>IF(G2806=1,0.2*R2806/B2806,J2805)</f>
        <v/>
      </c>
      <c r="K2806">
        <f>IF(G2806=1,0.2*R2806/C2806,K2805)</f>
        <v/>
      </c>
      <c r="L2806">
        <f>IF(G2806=1,0.2*R2806/D2806,L2805)</f>
        <v/>
      </c>
      <c r="M2806">
        <f>IF(G2806=1,0.2*R2806/E2806,M2805)</f>
        <v/>
      </c>
      <c r="N2806">
        <f>IF(G2806=1,0.2*R2806/F2806,N2805)</f>
        <v/>
      </c>
      <c r="O2806">
        <f>IF(G2806=1,R2806*(1-1.0),IF(H2805=0,1,O2805*(1+0.00023125256064071564)))</f>
        <v/>
      </c>
      <c r="P2806">
        <f>IF(G2806=1,IF(H2805=0,1,ABS(0.2-J2805*B2806/I2806)+ABS(0.2-K2805*C2806/I2806)+ABS(0.2-L2805*D2806/I2806)+ABS(0.2-M2805*E2806/I2806)+ABS(0.2-N2805*F2806/I2806)),0)</f>
        <v/>
      </c>
      <c r="Q2806">
        <f>P2806*0.0015</f>
        <v/>
      </c>
      <c r="R2806">
        <f>I2806*(1-Q2806)</f>
        <v/>
      </c>
      <c r="S2806">
        <f>R2806/R2805-1</f>
        <v/>
      </c>
      <c r="T2806">
        <f>MAX(T2805,R2806)</f>
        <v/>
      </c>
      <c r="U2806">
        <f>R2806/T2806-1</f>
        <v/>
      </c>
      <c r="V2806" t="n">
        <v>6.776248162126174</v>
      </c>
      <c r="W2806" s="5">
        <f>R2806-V2806</f>
        <v/>
      </c>
    </row>
    <row r="2807">
      <c r="A2807" s="3" t="n">
        <v>42571</v>
      </c>
      <c r="B2807">
        <f>Prices!B2807</f>
        <v/>
      </c>
      <c r="C2807">
        <f>Prices!C2807</f>
        <v/>
      </c>
      <c r="D2807">
        <f>Prices!D2807</f>
        <v/>
      </c>
      <c r="E2807">
        <f>Prices!E2807</f>
        <v/>
      </c>
      <c r="F2807">
        <f>Prices!F2807</f>
        <v/>
      </c>
      <c r="G2807">
        <f>IF(AND(2805&gt;=16,TEXT(A2807,"yyyy-mm")&lt;&gt;TEXT(A2808,"yyyy-mm")),1,0)</f>
        <v/>
      </c>
      <c r="H2807">
        <f>IF(OR(H2806=1,G2807=1),1,0)</f>
        <v/>
      </c>
      <c r="I2807">
        <f>IF(H2806=0,1,SUMPRODUCT(J2806:N2806,B2807:F2807)+O2806*(1+0.00023125256064071564))</f>
        <v/>
      </c>
      <c r="J2807">
        <f>IF(G2807=1,0.2*R2807/B2807,J2806)</f>
        <v/>
      </c>
      <c r="K2807">
        <f>IF(G2807=1,0.2*R2807/C2807,K2806)</f>
        <v/>
      </c>
      <c r="L2807">
        <f>IF(G2807=1,0.2*R2807/D2807,L2806)</f>
        <v/>
      </c>
      <c r="M2807">
        <f>IF(G2807=1,0.2*R2807/E2807,M2806)</f>
        <v/>
      </c>
      <c r="N2807">
        <f>IF(G2807=1,0.2*R2807/F2807,N2806)</f>
        <v/>
      </c>
      <c r="O2807">
        <f>IF(G2807=1,R2807*(1-1.0),IF(H2806=0,1,O2806*(1+0.00023125256064071564)))</f>
        <v/>
      </c>
      <c r="P2807">
        <f>IF(G2807=1,IF(H2806=0,1,ABS(0.2-J2806*B2807/I2807)+ABS(0.2-K2806*C2807/I2807)+ABS(0.2-L2806*D2807/I2807)+ABS(0.2-M2806*E2807/I2807)+ABS(0.2-N2806*F2807/I2807)),0)</f>
        <v/>
      </c>
      <c r="Q2807">
        <f>P2807*0.0015</f>
        <v/>
      </c>
      <c r="R2807">
        <f>I2807*(1-Q2807)</f>
        <v/>
      </c>
      <c r="S2807">
        <f>R2807/R2806-1</f>
        <v/>
      </c>
      <c r="T2807">
        <f>MAX(T2806,R2807)</f>
        <v/>
      </c>
      <c r="U2807">
        <f>R2807/T2807-1</f>
        <v/>
      </c>
      <c r="V2807" t="n">
        <v>6.832877570202481</v>
      </c>
      <c r="W2807" s="5">
        <f>R2807-V2807</f>
        <v/>
      </c>
    </row>
    <row r="2808">
      <c r="A2808" s="3" t="n">
        <v>42572</v>
      </c>
      <c r="B2808">
        <f>Prices!B2808</f>
        <v/>
      </c>
      <c r="C2808">
        <f>Prices!C2808</f>
        <v/>
      </c>
      <c r="D2808">
        <f>Prices!D2808</f>
        <v/>
      </c>
      <c r="E2808">
        <f>Prices!E2808</f>
        <v/>
      </c>
      <c r="F2808">
        <f>Prices!F2808</f>
        <v/>
      </c>
      <c r="G2808">
        <f>IF(AND(2806&gt;=16,TEXT(A2808,"yyyy-mm")&lt;&gt;TEXT(A2809,"yyyy-mm")),1,0)</f>
        <v/>
      </c>
      <c r="H2808">
        <f>IF(OR(H2807=1,G2808=1),1,0)</f>
        <v/>
      </c>
      <c r="I2808">
        <f>IF(H2807=0,1,SUMPRODUCT(J2807:N2807,B2808:F2808)+O2807*(1+0.00023125256064071564))</f>
        <v/>
      </c>
      <c r="J2808">
        <f>IF(G2808=1,0.2*R2808/B2808,J2807)</f>
        <v/>
      </c>
      <c r="K2808">
        <f>IF(G2808=1,0.2*R2808/C2808,K2807)</f>
        <v/>
      </c>
      <c r="L2808">
        <f>IF(G2808=1,0.2*R2808/D2808,L2807)</f>
        <v/>
      </c>
      <c r="M2808">
        <f>IF(G2808=1,0.2*R2808/E2808,M2807)</f>
        <v/>
      </c>
      <c r="N2808">
        <f>IF(G2808=1,0.2*R2808/F2808,N2807)</f>
        <v/>
      </c>
      <c r="O2808">
        <f>IF(G2808=1,R2808*(1-1.0),IF(H2807=0,1,O2807*(1+0.00023125256064071564)))</f>
        <v/>
      </c>
      <c r="P2808">
        <f>IF(G2808=1,IF(H2807=0,1,ABS(0.2-J2807*B2808/I2808)+ABS(0.2-K2807*C2808/I2808)+ABS(0.2-L2807*D2808/I2808)+ABS(0.2-M2807*E2808/I2808)+ABS(0.2-N2807*F2808/I2808)),0)</f>
        <v/>
      </c>
      <c r="Q2808">
        <f>P2808*0.0015</f>
        <v/>
      </c>
      <c r="R2808">
        <f>I2808*(1-Q2808)</f>
        <v/>
      </c>
      <c r="S2808">
        <f>R2808/R2807-1</f>
        <v/>
      </c>
      <c r="T2808">
        <f>MAX(T2807,R2808)</f>
        <v/>
      </c>
      <c r="U2808">
        <f>R2808/T2808-1</f>
        <v/>
      </c>
      <c r="V2808" t="n">
        <v>6.819485082915361</v>
      </c>
      <c r="W2808" s="5">
        <f>R2808-V2808</f>
        <v/>
      </c>
    </row>
    <row r="2809">
      <c r="A2809" s="3" t="n">
        <v>42573</v>
      </c>
      <c r="B2809">
        <f>Prices!B2809</f>
        <v/>
      </c>
      <c r="C2809">
        <f>Prices!C2809</f>
        <v/>
      </c>
      <c r="D2809">
        <f>Prices!D2809</f>
        <v/>
      </c>
      <c r="E2809">
        <f>Prices!E2809</f>
        <v/>
      </c>
      <c r="F2809">
        <f>Prices!F2809</f>
        <v/>
      </c>
      <c r="G2809">
        <f>IF(AND(2807&gt;=16,TEXT(A2809,"yyyy-mm")&lt;&gt;TEXT(A2810,"yyyy-mm")),1,0)</f>
        <v/>
      </c>
      <c r="H2809">
        <f>IF(OR(H2808=1,G2809=1),1,0)</f>
        <v/>
      </c>
      <c r="I2809">
        <f>IF(H2808=0,1,SUMPRODUCT(J2808:N2808,B2809:F2809)+O2808*(1+0.00023125256064071564))</f>
        <v/>
      </c>
      <c r="J2809">
        <f>IF(G2809=1,0.2*R2809/B2809,J2808)</f>
        <v/>
      </c>
      <c r="K2809">
        <f>IF(G2809=1,0.2*R2809/C2809,K2808)</f>
        <v/>
      </c>
      <c r="L2809">
        <f>IF(G2809=1,0.2*R2809/D2809,L2808)</f>
        <v/>
      </c>
      <c r="M2809">
        <f>IF(G2809=1,0.2*R2809/E2809,M2808)</f>
        <v/>
      </c>
      <c r="N2809">
        <f>IF(G2809=1,0.2*R2809/F2809,N2808)</f>
        <v/>
      </c>
      <c r="O2809">
        <f>IF(G2809=1,R2809*(1-1.0),IF(H2808=0,1,O2808*(1+0.00023125256064071564)))</f>
        <v/>
      </c>
      <c r="P2809">
        <f>IF(G2809=1,IF(H2808=0,1,ABS(0.2-J2808*B2809/I2809)+ABS(0.2-K2808*C2809/I2809)+ABS(0.2-L2808*D2809/I2809)+ABS(0.2-M2808*E2809/I2809)+ABS(0.2-N2808*F2809/I2809)),0)</f>
        <v/>
      </c>
      <c r="Q2809">
        <f>P2809*0.0015</f>
        <v/>
      </c>
      <c r="R2809">
        <f>I2809*(1-Q2809)</f>
        <v/>
      </c>
      <c r="S2809">
        <f>R2809/R2808-1</f>
        <v/>
      </c>
      <c r="T2809">
        <f>MAX(T2808,R2809)</f>
        <v/>
      </c>
      <c r="U2809">
        <f>R2809/T2809-1</f>
        <v/>
      </c>
      <c r="V2809" t="n">
        <v>6.865703242522358</v>
      </c>
      <c r="W2809" s="5">
        <f>R2809-V2809</f>
        <v/>
      </c>
    </row>
    <row r="2810">
      <c r="A2810" s="3" t="n">
        <v>42576</v>
      </c>
      <c r="B2810">
        <f>Prices!B2810</f>
        <v/>
      </c>
      <c r="C2810">
        <f>Prices!C2810</f>
        <v/>
      </c>
      <c r="D2810">
        <f>Prices!D2810</f>
        <v/>
      </c>
      <c r="E2810">
        <f>Prices!E2810</f>
        <v/>
      </c>
      <c r="F2810">
        <f>Prices!F2810</f>
        <v/>
      </c>
      <c r="G2810">
        <f>IF(AND(2808&gt;=16,TEXT(A2810,"yyyy-mm")&lt;&gt;TEXT(A2811,"yyyy-mm")),1,0)</f>
        <v/>
      </c>
      <c r="H2810">
        <f>IF(OR(H2809=1,G2810=1),1,0)</f>
        <v/>
      </c>
      <c r="I2810">
        <f>IF(H2809=0,1,SUMPRODUCT(J2809:N2809,B2810:F2810)+O2809*(1+0.00023125256064071564))</f>
        <v/>
      </c>
      <c r="J2810">
        <f>IF(G2810=1,0.2*R2810/B2810,J2809)</f>
        <v/>
      </c>
      <c r="K2810">
        <f>IF(G2810=1,0.2*R2810/C2810,K2809)</f>
        <v/>
      </c>
      <c r="L2810">
        <f>IF(G2810=1,0.2*R2810/D2810,L2809)</f>
        <v/>
      </c>
      <c r="M2810">
        <f>IF(G2810=1,0.2*R2810/E2810,M2809)</f>
        <v/>
      </c>
      <c r="N2810">
        <f>IF(G2810=1,0.2*R2810/F2810,N2809)</f>
        <v/>
      </c>
      <c r="O2810">
        <f>IF(G2810=1,R2810*(1-1.0),IF(H2809=0,1,O2809*(1+0.00023125256064071564)))</f>
        <v/>
      </c>
      <c r="P2810">
        <f>IF(G2810=1,IF(H2809=0,1,ABS(0.2-J2809*B2810/I2810)+ABS(0.2-K2809*C2810/I2810)+ABS(0.2-L2809*D2810/I2810)+ABS(0.2-M2809*E2810/I2810)+ABS(0.2-N2809*F2810/I2810)),0)</f>
        <v/>
      </c>
      <c r="Q2810">
        <f>P2810*0.0015</f>
        <v/>
      </c>
      <c r="R2810">
        <f>I2810*(1-Q2810)</f>
        <v/>
      </c>
      <c r="S2810">
        <f>R2810/R2809-1</f>
        <v/>
      </c>
      <c r="T2810">
        <f>MAX(T2809,R2810)</f>
        <v/>
      </c>
      <c r="U2810">
        <f>R2810/T2810-1</f>
        <v/>
      </c>
      <c r="V2810" t="n">
        <v>6.938272422427636</v>
      </c>
      <c r="W2810" s="5">
        <f>R2810-V2810</f>
        <v/>
      </c>
    </row>
    <row r="2811">
      <c r="A2811" s="3" t="n">
        <v>42577</v>
      </c>
      <c r="B2811">
        <f>Prices!B2811</f>
        <v/>
      </c>
      <c r="C2811">
        <f>Prices!C2811</f>
        <v/>
      </c>
      <c r="D2811">
        <f>Prices!D2811</f>
        <v/>
      </c>
      <c r="E2811">
        <f>Prices!E2811</f>
        <v/>
      </c>
      <c r="F2811">
        <f>Prices!F2811</f>
        <v/>
      </c>
      <c r="G2811">
        <f>IF(AND(2809&gt;=16,TEXT(A2811,"yyyy-mm")&lt;&gt;TEXT(A2812,"yyyy-mm")),1,0)</f>
        <v/>
      </c>
      <c r="H2811">
        <f>IF(OR(H2810=1,G2811=1),1,0)</f>
        <v/>
      </c>
      <c r="I2811">
        <f>IF(H2810=0,1,SUMPRODUCT(J2810:N2810,B2811:F2811)+O2810*(1+0.00023125256064071564))</f>
        <v/>
      </c>
      <c r="J2811">
        <f>IF(G2811=1,0.2*R2811/B2811,J2810)</f>
        <v/>
      </c>
      <c r="K2811">
        <f>IF(G2811=1,0.2*R2811/C2811,K2810)</f>
        <v/>
      </c>
      <c r="L2811">
        <f>IF(G2811=1,0.2*R2811/D2811,L2810)</f>
        <v/>
      </c>
      <c r="M2811">
        <f>IF(G2811=1,0.2*R2811/E2811,M2810)</f>
        <v/>
      </c>
      <c r="N2811">
        <f>IF(G2811=1,0.2*R2811/F2811,N2810)</f>
        <v/>
      </c>
      <c r="O2811">
        <f>IF(G2811=1,R2811*(1-1.0),IF(H2810=0,1,O2810*(1+0.00023125256064071564)))</f>
        <v/>
      </c>
      <c r="P2811">
        <f>IF(G2811=1,IF(H2810=0,1,ABS(0.2-J2810*B2811/I2811)+ABS(0.2-K2810*C2811/I2811)+ABS(0.2-L2810*D2811/I2811)+ABS(0.2-M2810*E2811/I2811)+ABS(0.2-N2810*F2811/I2811)),0)</f>
        <v/>
      </c>
      <c r="Q2811">
        <f>P2811*0.0015</f>
        <v/>
      </c>
      <c r="R2811">
        <f>I2811*(1-Q2811)</f>
        <v/>
      </c>
      <c r="S2811">
        <f>R2811/R2810-1</f>
        <v/>
      </c>
      <c r="T2811">
        <f>MAX(T2810,R2811)</f>
        <v/>
      </c>
      <c r="U2811">
        <f>R2811/T2811-1</f>
        <v/>
      </c>
      <c r="V2811" t="n">
        <v>6.912753567500011</v>
      </c>
      <c r="W2811" s="5">
        <f>R2811-V2811</f>
        <v/>
      </c>
    </row>
    <row r="2812">
      <c r="A2812" s="3" t="n">
        <v>42578</v>
      </c>
      <c r="B2812">
        <f>Prices!B2812</f>
        <v/>
      </c>
      <c r="C2812">
        <f>Prices!C2812</f>
        <v/>
      </c>
      <c r="D2812">
        <f>Prices!D2812</f>
        <v/>
      </c>
      <c r="E2812">
        <f>Prices!E2812</f>
        <v/>
      </c>
      <c r="F2812">
        <f>Prices!F2812</f>
        <v/>
      </c>
      <c r="G2812">
        <f>IF(AND(2810&gt;=16,TEXT(A2812,"yyyy-mm")&lt;&gt;TEXT(A2813,"yyyy-mm")),1,0)</f>
        <v/>
      </c>
      <c r="H2812">
        <f>IF(OR(H2811=1,G2812=1),1,0)</f>
        <v/>
      </c>
      <c r="I2812">
        <f>IF(H2811=0,1,SUMPRODUCT(J2811:N2811,B2812:F2812)+O2811*(1+0.00023125256064071564))</f>
        <v/>
      </c>
      <c r="J2812">
        <f>IF(G2812=1,0.2*R2812/B2812,J2811)</f>
        <v/>
      </c>
      <c r="K2812">
        <f>IF(G2812=1,0.2*R2812/C2812,K2811)</f>
        <v/>
      </c>
      <c r="L2812">
        <f>IF(G2812=1,0.2*R2812/D2812,L2811)</f>
        <v/>
      </c>
      <c r="M2812">
        <f>IF(G2812=1,0.2*R2812/E2812,M2811)</f>
        <v/>
      </c>
      <c r="N2812">
        <f>IF(G2812=1,0.2*R2812/F2812,N2811)</f>
        <v/>
      </c>
      <c r="O2812">
        <f>IF(G2812=1,R2812*(1-1.0),IF(H2811=0,1,O2811*(1+0.00023125256064071564)))</f>
        <v/>
      </c>
      <c r="P2812">
        <f>IF(G2812=1,IF(H2811=0,1,ABS(0.2-J2811*B2812/I2812)+ABS(0.2-K2811*C2812/I2812)+ABS(0.2-L2811*D2812/I2812)+ABS(0.2-M2811*E2812/I2812)+ABS(0.2-N2811*F2812/I2812)),0)</f>
        <v/>
      </c>
      <c r="Q2812">
        <f>P2812*0.0015</f>
        <v/>
      </c>
      <c r="R2812">
        <f>I2812*(1-Q2812)</f>
        <v/>
      </c>
      <c r="S2812">
        <f>R2812/R2811-1</f>
        <v/>
      </c>
      <c r="T2812">
        <f>MAX(T2811,R2812)</f>
        <v/>
      </c>
      <c r="U2812">
        <f>R2812/T2812-1</f>
        <v/>
      </c>
      <c r="V2812" t="n">
        <v>6.934472933155245</v>
      </c>
      <c r="W2812" s="5">
        <f>R2812-V2812</f>
        <v/>
      </c>
    </row>
    <row r="2813">
      <c r="A2813" s="3" t="n">
        <v>42579</v>
      </c>
      <c r="B2813">
        <f>Prices!B2813</f>
        <v/>
      </c>
      <c r="C2813">
        <f>Prices!C2813</f>
        <v/>
      </c>
      <c r="D2813">
        <f>Prices!D2813</f>
        <v/>
      </c>
      <c r="E2813">
        <f>Prices!E2813</f>
        <v/>
      </c>
      <c r="F2813">
        <f>Prices!F2813</f>
        <v/>
      </c>
      <c r="G2813">
        <f>IF(AND(2811&gt;=16,TEXT(A2813,"yyyy-mm")&lt;&gt;TEXT(A2814,"yyyy-mm")),1,0)</f>
        <v/>
      </c>
      <c r="H2813">
        <f>IF(OR(H2812=1,G2813=1),1,0)</f>
        <v/>
      </c>
      <c r="I2813">
        <f>IF(H2812=0,1,SUMPRODUCT(J2812:N2812,B2813:F2813)+O2812*(1+0.00023125256064071564))</f>
        <v/>
      </c>
      <c r="J2813">
        <f>IF(G2813=1,0.2*R2813/B2813,J2812)</f>
        <v/>
      </c>
      <c r="K2813">
        <f>IF(G2813=1,0.2*R2813/C2813,K2812)</f>
        <v/>
      </c>
      <c r="L2813">
        <f>IF(G2813=1,0.2*R2813/D2813,L2812)</f>
        <v/>
      </c>
      <c r="M2813">
        <f>IF(G2813=1,0.2*R2813/E2813,M2812)</f>
        <v/>
      </c>
      <c r="N2813">
        <f>IF(G2813=1,0.2*R2813/F2813,N2812)</f>
        <v/>
      </c>
      <c r="O2813">
        <f>IF(G2813=1,R2813*(1-1.0),IF(H2812=0,1,O2812*(1+0.00023125256064071564)))</f>
        <v/>
      </c>
      <c r="P2813">
        <f>IF(G2813=1,IF(H2812=0,1,ABS(0.2-J2812*B2813/I2813)+ABS(0.2-K2812*C2813/I2813)+ABS(0.2-L2812*D2813/I2813)+ABS(0.2-M2812*E2813/I2813)+ABS(0.2-N2812*F2813/I2813)),0)</f>
        <v/>
      </c>
      <c r="Q2813">
        <f>P2813*0.0015</f>
        <v/>
      </c>
      <c r="R2813">
        <f>I2813*(1-Q2813)</f>
        <v/>
      </c>
      <c r="S2813">
        <f>R2813/R2812-1</f>
        <v/>
      </c>
      <c r="T2813">
        <f>MAX(T2812,R2813)</f>
        <v/>
      </c>
      <c r="U2813">
        <f>R2813/T2813-1</f>
        <v/>
      </c>
      <c r="V2813" t="n">
        <v>6.986376098233219</v>
      </c>
      <c r="W2813" s="5">
        <f>R2813-V2813</f>
        <v/>
      </c>
    </row>
    <row r="2814">
      <c r="A2814" s="3" t="n">
        <v>42580</v>
      </c>
      <c r="B2814">
        <f>Prices!B2814</f>
        <v/>
      </c>
      <c r="C2814">
        <f>Prices!C2814</f>
        <v/>
      </c>
      <c r="D2814">
        <f>Prices!D2814</f>
        <v/>
      </c>
      <c r="E2814">
        <f>Prices!E2814</f>
        <v/>
      </c>
      <c r="F2814">
        <f>Prices!F2814</f>
        <v/>
      </c>
      <c r="G2814">
        <f>IF(AND(2812&gt;=16,TEXT(A2814,"yyyy-mm")&lt;&gt;TEXT(A2815,"yyyy-mm")),1,0)</f>
        <v/>
      </c>
      <c r="H2814">
        <f>IF(OR(H2813=1,G2814=1),1,0)</f>
        <v/>
      </c>
      <c r="I2814">
        <f>IF(H2813=0,1,SUMPRODUCT(J2813:N2813,B2814:F2814)+O2813*(1+0.00023125256064071564))</f>
        <v/>
      </c>
      <c r="J2814">
        <f>IF(G2814=1,0.2*R2814/B2814,J2813)</f>
        <v/>
      </c>
      <c r="K2814">
        <f>IF(G2814=1,0.2*R2814/C2814,K2813)</f>
        <v/>
      </c>
      <c r="L2814">
        <f>IF(G2814=1,0.2*R2814/D2814,L2813)</f>
        <v/>
      </c>
      <c r="M2814">
        <f>IF(G2814=1,0.2*R2814/E2814,M2813)</f>
        <v/>
      </c>
      <c r="N2814">
        <f>IF(G2814=1,0.2*R2814/F2814,N2813)</f>
        <v/>
      </c>
      <c r="O2814">
        <f>IF(G2814=1,R2814*(1-1.0),IF(H2813=0,1,O2813*(1+0.00023125256064071564)))</f>
        <v/>
      </c>
      <c r="P2814">
        <f>IF(G2814=1,IF(H2813=0,1,ABS(0.2-J2813*B2814/I2814)+ABS(0.2-K2813*C2814/I2814)+ABS(0.2-L2813*D2814/I2814)+ABS(0.2-M2813*E2814/I2814)+ABS(0.2-N2813*F2814/I2814)),0)</f>
        <v/>
      </c>
      <c r="Q2814">
        <f>P2814*0.0015</f>
        <v/>
      </c>
      <c r="R2814">
        <f>I2814*(1-Q2814)</f>
        <v/>
      </c>
      <c r="S2814">
        <f>R2814/R2813-1</f>
        <v/>
      </c>
      <c r="T2814">
        <f>MAX(T2813,R2814)</f>
        <v/>
      </c>
      <c r="U2814">
        <f>R2814/T2814-1</f>
        <v/>
      </c>
      <c r="V2814" t="n">
        <v>7.005648273808705</v>
      </c>
      <c r="W2814" s="5">
        <f>R2814-V2814</f>
        <v/>
      </c>
    </row>
    <row r="2815">
      <c r="A2815" s="3" t="n">
        <v>42583</v>
      </c>
      <c r="B2815">
        <f>Prices!B2815</f>
        <v/>
      </c>
      <c r="C2815">
        <f>Prices!C2815</f>
        <v/>
      </c>
      <c r="D2815">
        <f>Prices!D2815</f>
        <v/>
      </c>
      <c r="E2815">
        <f>Prices!E2815</f>
        <v/>
      </c>
      <c r="F2815">
        <f>Prices!F2815</f>
        <v/>
      </c>
      <c r="G2815">
        <f>IF(AND(2813&gt;=16,TEXT(A2815,"yyyy-mm")&lt;&gt;TEXT(A2816,"yyyy-mm")),1,0)</f>
        <v/>
      </c>
      <c r="H2815">
        <f>IF(OR(H2814=1,G2815=1),1,0)</f>
        <v/>
      </c>
      <c r="I2815">
        <f>IF(H2814=0,1,SUMPRODUCT(J2814:N2814,B2815:F2815)+O2814*(1+0.00023125256064071564))</f>
        <v/>
      </c>
      <c r="J2815">
        <f>IF(G2815=1,0.2*R2815/B2815,J2814)</f>
        <v/>
      </c>
      <c r="K2815">
        <f>IF(G2815=1,0.2*R2815/C2815,K2814)</f>
        <v/>
      </c>
      <c r="L2815">
        <f>IF(G2815=1,0.2*R2815/D2815,L2814)</f>
        <v/>
      </c>
      <c r="M2815">
        <f>IF(G2815=1,0.2*R2815/E2815,M2814)</f>
        <v/>
      </c>
      <c r="N2815">
        <f>IF(G2815=1,0.2*R2815/F2815,N2814)</f>
        <v/>
      </c>
      <c r="O2815">
        <f>IF(G2815=1,R2815*(1-1.0),IF(H2814=0,1,O2814*(1+0.00023125256064071564)))</f>
        <v/>
      </c>
      <c r="P2815">
        <f>IF(G2815=1,IF(H2814=0,1,ABS(0.2-J2814*B2815/I2815)+ABS(0.2-K2814*C2815/I2815)+ABS(0.2-L2814*D2815/I2815)+ABS(0.2-M2814*E2815/I2815)+ABS(0.2-N2814*F2815/I2815)),0)</f>
        <v/>
      </c>
      <c r="Q2815">
        <f>P2815*0.0015</f>
        <v/>
      </c>
      <c r="R2815">
        <f>I2815*(1-Q2815)</f>
        <v/>
      </c>
      <c r="S2815">
        <f>R2815/R2814-1</f>
        <v/>
      </c>
      <c r="T2815">
        <f>MAX(T2814,R2815)</f>
        <v/>
      </c>
      <c r="U2815">
        <f>R2815/T2815-1</f>
        <v/>
      </c>
      <c r="V2815" t="n">
        <v>7.039180547698981</v>
      </c>
      <c r="W2815" s="5">
        <f>R2815-V2815</f>
        <v/>
      </c>
    </row>
    <row r="2816">
      <c r="A2816" s="3" t="n">
        <v>42584</v>
      </c>
      <c r="B2816">
        <f>Prices!B2816</f>
        <v/>
      </c>
      <c r="C2816">
        <f>Prices!C2816</f>
        <v/>
      </c>
      <c r="D2816">
        <f>Prices!D2816</f>
        <v/>
      </c>
      <c r="E2816">
        <f>Prices!E2816</f>
        <v/>
      </c>
      <c r="F2816">
        <f>Prices!F2816</f>
        <v/>
      </c>
      <c r="G2816">
        <f>IF(AND(2814&gt;=16,TEXT(A2816,"yyyy-mm")&lt;&gt;TEXT(A2817,"yyyy-mm")),1,0)</f>
        <v/>
      </c>
      <c r="H2816">
        <f>IF(OR(H2815=1,G2816=1),1,0)</f>
        <v/>
      </c>
      <c r="I2816">
        <f>IF(H2815=0,1,SUMPRODUCT(J2815:N2815,B2816:F2816)+O2815*(1+0.00023125256064071564))</f>
        <v/>
      </c>
      <c r="J2816">
        <f>IF(G2816=1,0.2*R2816/B2816,J2815)</f>
        <v/>
      </c>
      <c r="K2816">
        <f>IF(G2816=1,0.2*R2816/C2816,K2815)</f>
        <v/>
      </c>
      <c r="L2816">
        <f>IF(G2816=1,0.2*R2816/D2816,L2815)</f>
        <v/>
      </c>
      <c r="M2816">
        <f>IF(G2816=1,0.2*R2816/E2816,M2815)</f>
        <v/>
      </c>
      <c r="N2816">
        <f>IF(G2816=1,0.2*R2816/F2816,N2815)</f>
        <v/>
      </c>
      <c r="O2816">
        <f>IF(G2816=1,R2816*(1-1.0),IF(H2815=0,1,O2815*(1+0.00023125256064071564)))</f>
        <v/>
      </c>
      <c r="P2816">
        <f>IF(G2816=1,IF(H2815=0,1,ABS(0.2-J2815*B2816/I2816)+ABS(0.2-K2815*C2816/I2816)+ABS(0.2-L2815*D2816/I2816)+ABS(0.2-M2815*E2816/I2816)+ABS(0.2-N2815*F2816/I2816)),0)</f>
        <v/>
      </c>
      <c r="Q2816">
        <f>P2816*0.0015</f>
        <v/>
      </c>
      <c r="R2816">
        <f>I2816*(1-Q2816)</f>
        <v/>
      </c>
      <c r="S2816">
        <f>R2816/R2815-1</f>
        <v/>
      </c>
      <c r="T2816">
        <f>MAX(T2815,R2816)</f>
        <v/>
      </c>
      <c r="U2816">
        <f>R2816/T2816-1</f>
        <v/>
      </c>
      <c r="V2816" t="n">
        <v>7.007641704658913</v>
      </c>
      <c r="W2816" s="5">
        <f>R2816-V2816</f>
        <v/>
      </c>
    </row>
    <row r="2817">
      <c r="A2817" s="3" t="n">
        <v>42585</v>
      </c>
      <c r="B2817">
        <f>Prices!B2817</f>
        <v/>
      </c>
      <c r="C2817">
        <f>Prices!C2817</f>
        <v/>
      </c>
      <c r="D2817">
        <f>Prices!D2817</f>
        <v/>
      </c>
      <c r="E2817">
        <f>Prices!E2817</f>
        <v/>
      </c>
      <c r="F2817">
        <f>Prices!F2817</f>
        <v/>
      </c>
      <c r="G2817">
        <f>IF(AND(2815&gt;=16,TEXT(A2817,"yyyy-mm")&lt;&gt;TEXT(A2818,"yyyy-mm")),1,0)</f>
        <v/>
      </c>
      <c r="H2817">
        <f>IF(OR(H2816=1,G2817=1),1,0)</f>
        <v/>
      </c>
      <c r="I2817">
        <f>IF(H2816=0,1,SUMPRODUCT(J2816:N2816,B2817:F2817)+O2816*(1+0.00023125256064071564))</f>
        <v/>
      </c>
      <c r="J2817">
        <f>IF(G2817=1,0.2*R2817/B2817,J2816)</f>
        <v/>
      </c>
      <c r="K2817">
        <f>IF(G2817=1,0.2*R2817/C2817,K2816)</f>
        <v/>
      </c>
      <c r="L2817">
        <f>IF(G2817=1,0.2*R2817/D2817,L2816)</f>
        <v/>
      </c>
      <c r="M2817">
        <f>IF(G2817=1,0.2*R2817/E2817,M2816)</f>
        <v/>
      </c>
      <c r="N2817">
        <f>IF(G2817=1,0.2*R2817/F2817,N2816)</f>
        <v/>
      </c>
      <c r="O2817">
        <f>IF(G2817=1,R2817*(1-1.0),IF(H2816=0,1,O2816*(1+0.00023125256064071564)))</f>
        <v/>
      </c>
      <c r="P2817">
        <f>IF(G2817=1,IF(H2816=0,1,ABS(0.2-J2816*B2817/I2817)+ABS(0.2-K2816*C2817/I2817)+ABS(0.2-L2816*D2817/I2817)+ABS(0.2-M2816*E2817/I2817)+ABS(0.2-N2816*F2817/I2817)),0)</f>
        <v/>
      </c>
      <c r="Q2817">
        <f>P2817*0.0015</f>
        <v/>
      </c>
      <c r="R2817">
        <f>I2817*(1-Q2817)</f>
        <v/>
      </c>
      <c r="S2817">
        <f>R2817/R2816-1</f>
        <v/>
      </c>
      <c r="T2817">
        <f>MAX(T2816,R2817)</f>
        <v/>
      </c>
      <c r="U2817">
        <f>R2817/T2817-1</f>
        <v/>
      </c>
      <c r="V2817" t="n">
        <v>6.923911178449943</v>
      </c>
      <c r="W2817" s="5">
        <f>R2817-V2817</f>
        <v/>
      </c>
    </row>
    <row r="2818">
      <c r="A2818" s="3" t="n">
        <v>42586</v>
      </c>
      <c r="B2818">
        <f>Prices!B2818</f>
        <v/>
      </c>
      <c r="C2818">
        <f>Prices!C2818</f>
        <v/>
      </c>
      <c r="D2818">
        <f>Prices!D2818</f>
        <v/>
      </c>
      <c r="E2818">
        <f>Prices!E2818</f>
        <v/>
      </c>
      <c r="F2818">
        <f>Prices!F2818</f>
        <v/>
      </c>
      <c r="G2818">
        <f>IF(AND(2816&gt;=16,TEXT(A2818,"yyyy-mm")&lt;&gt;TEXT(A2819,"yyyy-mm")),1,0)</f>
        <v/>
      </c>
      <c r="H2818">
        <f>IF(OR(H2817=1,G2818=1),1,0)</f>
        <v/>
      </c>
      <c r="I2818">
        <f>IF(H2817=0,1,SUMPRODUCT(J2817:N2817,B2818:F2818)+O2817*(1+0.00023125256064071564))</f>
        <v/>
      </c>
      <c r="J2818">
        <f>IF(G2818=1,0.2*R2818/B2818,J2817)</f>
        <v/>
      </c>
      <c r="K2818">
        <f>IF(G2818=1,0.2*R2818/C2818,K2817)</f>
        <v/>
      </c>
      <c r="L2818">
        <f>IF(G2818=1,0.2*R2818/D2818,L2817)</f>
        <v/>
      </c>
      <c r="M2818">
        <f>IF(G2818=1,0.2*R2818/E2818,M2817)</f>
        <v/>
      </c>
      <c r="N2818">
        <f>IF(G2818=1,0.2*R2818/F2818,N2817)</f>
        <v/>
      </c>
      <c r="O2818">
        <f>IF(G2818=1,R2818*(1-1.0),IF(H2817=0,1,O2817*(1+0.00023125256064071564)))</f>
        <v/>
      </c>
      <c r="P2818">
        <f>IF(G2818=1,IF(H2817=0,1,ABS(0.2-J2817*B2818/I2818)+ABS(0.2-K2817*C2818/I2818)+ABS(0.2-L2817*D2818/I2818)+ABS(0.2-M2817*E2818/I2818)+ABS(0.2-N2817*F2818/I2818)),0)</f>
        <v/>
      </c>
      <c r="Q2818">
        <f>P2818*0.0015</f>
        <v/>
      </c>
      <c r="R2818">
        <f>I2818*(1-Q2818)</f>
        <v/>
      </c>
      <c r="S2818">
        <f>R2818/R2817-1</f>
        <v/>
      </c>
      <c r="T2818">
        <f>MAX(T2817,R2818)</f>
        <v/>
      </c>
      <c r="U2818">
        <f>R2818/T2818-1</f>
        <v/>
      </c>
      <c r="V2818" t="n">
        <v>6.950009018178281</v>
      </c>
      <c r="W2818" s="5">
        <f>R2818-V2818</f>
        <v/>
      </c>
    </row>
    <row r="2819">
      <c r="A2819" s="3" t="n">
        <v>42587</v>
      </c>
      <c r="B2819">
        <f>Prices!B2819</f>
        <v/>
      </c>
      <c r="C2819">
        <f>Prices!C2819</f>
        <v/>
      </c>
      <c r="D2819">
        <f>Prices!D2819</f>
        <v/>
      </c>
      <c r="E2819">
        <f>Prices!E2819</f>
        <v/>
      </c>
      <c r="F2819">
        <f>Prices!F2819</f>
        <v/>
      </c>
      <c r="G2819">
        <f>IF(AND(2817&gt;=16,TEXT(A2819,"yyyy-mm")&lt;&gt;TEXT(A2820,"yyyy-mm")),1,0)</f>
        <v/>
      </c>
      <c r="H2819">
        <f>IF(OR(H2818=1,G2819=1),1,0)</f>
        <v/>
      </c>
      <c r="I2819">
        <f>IF(H2818=0,1,SUMPRODUCT(J2818:N2818,B2819:F2819)+O2818*(1+0.00023125256064071564))</f>
        <v/>
      </c>
      <c r="J2819">
        <f>IF(G2819=1,0.2*R2819/B2819,J2818)</f>
        <v/>
      </c>
      <c r="K2819">
        <f>IF(G2819=1,0.2*R2819/C2819,K2818)</f>
        <v/>
      </c>
      <c r="L2819">
        <f>IF(G2819=1,0.2*R2819/D2819,L2818)</f>
        <v/>
      </c>
      <c r="M2819">
        <f>IF(G2819=1,0.2*R2819/E2819,M2818)</f>
        <v/>
      </c>
      <c r="N2819">
        <f>IF(G2819=1,0.2*R2819/F2819,N2818)</f>
        <v/>
      </c>
      <c r="O2819">
        <f>IF(G2819=1,R2819*(1-1.0),IF(H2818=0,1,O2818*(1+0.00023125256064071564)))</f>
        <v/>
      </c>
      <c r="P2819">
        <f>IF(G2819=1,IF(H2818=0,1,ABS(0.2-J2818*B2819/I2819)+ABS(0.2-K2818*C2819/I2819)+ABS(0.2-L2818*D2819/I2819)+ABS(0.2-M2818*E2819/I2819)+ABS(0.2-N2818*F2819/I2819)),0)</f>
        <v/>
      </c>
      <c r="Q2819">
        <f>P2819*0.0015</f>
        <v/>
      </c>
      <c r="R2819">
        <f>I2819*(1-Q2819)</f>
        <v/>
      </c>
      <c r="S2819">
        <f>R2819/R2818-1</f>
        <v/>
      </c>
      <c r="T2819">
        <f>MAX(T2818,R2819)</f>
        <v/>
      </c>
      <c r="U2819">
        <f>R2819/T2819-1</f>
        <v/>
      </c>
      <c r="V2819" t="n">
        <v>7.057142802011748</v>
      </c>
      <c r="W2819" s="5">
        <f>R2819-V2819</f>
        <v/>
      </c>
    </row>
    <row r="2820">
      <c r="A2820" s="3" t="n">
        <v>42590</v>
      </c>
      <c r="B2820">
        <f>Prices!B2820</f>
        <v/>
      </c>
      <c r="C2820">
        <f>Prices!C2820</f>
        <v/>
      </c>
      <c r="D2820">
        <f>Prices!D2820</f>
        <v/>
      </c>
      <c r="E2820">
        <f>Prices!E2820</f>
        <v/>
      </c>
      <c r="F2820">
        <f>Prices!F2820</f>
        <v/>
      </c>
      <c r="G2820">
        <f>IF(AND(2818&gt;=16,TEXT(A2820,"yyyy-mm")&lt;&gt;TEXT(A2821,"yyyy-mm")),1,0)</f>
        <v/>
      </c>
      <c r="H2820">
        <f>IF(OR(H2819=1,G2820=1),1,0)</f>
        <v/>
      </c>
      <c r="I2820">
        <f>IF(H2819=0,1,SUMPRODUCT(J2819:N2819,B2820:F2820)+O2819*(1+0.00023125256064071564))</f>
        <v/>
      </c>
      <c r="J2820">
        <f>IF(G2820=1,0.2*R2820/B2820,J2819)</f>
        <v/>
      </c>
      <c r="K2820">
        <f>IF(G2820=1,0.2*R2820/C2820,K2819)</f>
        <v/>
      </c>
      <c r="L2820">
        <f>IF(G2820=1,0.2*R2820/D2820,L2819)</f>
        <v/>
      </c>
      <c r="M2820">
        <f>IF(G2820=1,0.2*R2820/E2820,M2819)</f>
        <v/>
      </c>
      <c r="N2820">
        <f>IF(G2820=1,0.2*R2820/F2820,N2819)</f>
        <v/>
      </c>
      <c r="O2820">
        <f>IF(G2820=1,R2820*(1-1.0),IF(H2819=0,1,O2819*(1+0.00023125256064071564)))</f>
        <v/>
      </c>
      <c r="P2820">
        <f>IF(G2820=1,IF(H2819=0,1,ABS(0.2-J2819*B2820/I2820)+ABS(0.2-K2819*C2820/I2820)+ABS(0.2-L2819*D2820/I2820)+ABS(0.2-M2819*E2820/I2820)+ABS(0.2-N2819*F2820/I2820)),0)</f>
        <v/>
      </c>
      <c r="Q2820">
        <f>P2820*0.0015</f>
        <v/>
      </c>
      <c r="R2820">
        <f>I2820*(1-Q2820)</f>
        <v/>
      </c>
      <c r="S2820">
        <f>R2820/R2819-1</f>
        <v/>
      </c>
      <c r="T2820">
        <f>MAX(T2819,R2820)</f>
        <v/>
      </c>
      <c r="U2820">
        <f>R2820/T2820-1</f>
        <v/>
      </c>
      <c r="V2820" t="n">
        <v>7.115975410791604</v>
      </c>
      <c r="W2820" s="5">
        <f>R2820-V2820</f>
        <v/>
      </c>
    </row>
    <row r="2821">
      <c r="A2821" s="3" t="n">
        <v>42591</v>
      </c>
      <c r="B2821">
        <f>Prices!B2821</f>
        <v/>
      </c>
      <c r="C2821">
        <f>Prices!C2821</f>
        <v/>
      </c>
      <c r="D2821">
        <f>Prices!D2821</f>
        <v/>
      </c>
      <c r="E2821">
        <f>Prices!E2821</f>
        <v/>
      </c>
      <c r="F2821">
        <f>Prices!F2821</f>
        <v/>
      </c>
      <c r="G2821">
        <f>IF(AND(2819&gt;=16,TEXT(A2821,"yyyy-mm")&lt;&gt;TEXT(A2822,"yyyy-mm")),1,0)</f>
        <v/>
      </c>
      <c r="H2821">
        <f>IF(OR(H2820=1,G2821=1),1,0)</f>
        <v/>
      </c>
      <c r="I2821">
        <f>IF(H2820=0,1,SUMPRODUCT(J2820:N2820,B2821:F2821)+O2820*(1+0.00023125256064071564))</f>
        <v/>
      </c>
      <c r="J2821">
        <f>IF(G2821=1,0.2*R2821/B2821,J2820)</f>
        <v/>
      </c>
      <c r="K2821">
        <f>IF(G2821=1,0.2*R2821/C2821,K2820)</f>
        <v/>
      </c>
      <c r="L2821">
        <f>IF(G2821=1,0.2*R2821/D2821,L2820)</f>
        <v/>
      </c>
      <c r="M2821">
        <f>IF(G2821=1,0.2*R2821/E2821,M2820)</f>
        <v/>
      </c>
      <c r="N2821">
        <f>IF(G2821=1,0.2*R2821/F2821,N2820)</f>
        <v/>
      </c>
      <c r="O2821">
        <f>IF(G2821=1,R2821*(1-1.0),IF(H2820=0,1,O2820*(1+0.00023125256064071564)))</f>
        <v/>
      </c>
      <c r="P2821">
        <f>IF(G2821=1,IF(H2820=0,1,ABS(0.2-J2820*B2821/I2821)+ABS(0.2-K2820*C2821/I2821)+ABS(0.2-L2820*D2821/I2821)+ABS(0.2-M2820*E2821/I2821)+ABS(0.2-N2820*F2821/I2821)),0)</f>
        <v/>
      </c>
      <c r="Q2821">
        <f>P2821*0.0015</f>
        <v/>
      </c>
      <c r="R2821">
        <f>I2821*(1-Q2821)</f>
        <v/>
      </c>
      <c r="S2821">
        <f>R2821/R2820-1</f>
        <v/>
      </c>
      <c r="T2821">
        <f>MAX(T2820,R2821)</f>
        <v/>
      </c>
      <c r="U2821">
        <f>R2821/T2821-1</f>
        <v/>
      </c>
      <c r="V2821" t="n">
        <v>7.063905223011538</v>
      </c>
      <c r="W2821" s="5">
        <f>R2821-V2821</f>
        <v/>
      </c>
    </row>
    <row r="2822">
      <c r="A2822" s="3" t="n">
        <v>42592</v>
      </c>
      <c r="B2822">
        <f>Prices!B2822</f>
        <v/>
      </c>
      <c r="C2822">
        <f>Prices!C2822</f>
        <v/>
      </c>
      <c r="D2822">
        <f>Prices!D2822</f>
        <v/>
      </c>
      <c r="E2822">
        <f>Prices!E2822</f>
        <v/>
      </c>
      <c r="F2822">
        <f>Prices!F2822</f>
        <v/>
      </c>
      <c r="G2822">
        <f>IF(AND(2820&gt;=16,TEXT(A2822,"yyyy-mm")&lt;&gt;TEXT(A2823,"yyyy-mm")),1,0)</f>
        <v/>
      </c>
      <c r="H2822">
        <f>IF(OR(H2821=1,G2822=1),1,0)</f>
        <v/>
      </c>
      <c r="I2822">
        <f>IF(H2821=0,1,SUMPRODUCT(J2821:N2821,B2822:F2822)+O2821*(1+0.00023125256064071564))</f>
        <v/>
      </c>
      <c r="J2822">
        <f>IF(G2822=1,0.2*R2822/B2822,J2821)</f>
        <v/>
      </c>
      <c r="K2822">
        <f>IF(G2822=1,0.2*R2822/C2822,K2821)</f>
        <v/>
      </c>
      <c r="L2822">
        <f>IF(G2822=1,0.2*R2822/D2822,L2821)</f>
        <v/>
      </c>
      <c r="M2822">
        <f>IF(G2822=1,0.2*R2822/E2822,M2821)</f>
        <v/>
      </c>
      <c r="N2822">
        <f>IF(G2822=1,0.2*R2822/F2822,N2821)</f>
        <v/>
      </c>
      <c r="O2822">
        <f>IF(G2822=1,R2822*(1-1.0),IF(H2821=0,1,O2821*(1+0.00023125256064071564)))</f>
        <v/>
      </c>
      <c r="P2822">
        <f>IF(G2822=1,IF(H2821=0,1,ABS(0.2-J2821*B2822/I2822)+ABS(0.2-K2821*C2822/I2822)+ABS(0.2-L2821*D2822/I2822)+ABS(0.2-M2821*E2822/I2822)+ABS(0.2-N2821*F2822/I2822)),0)</f>
        <v/>
      </c>
      <c r="Q2822">
        <f>P2822*0.0015</f>
        <v/>
      </c>
      <c r="R2822">
        <f>I2822*(1-Q2822)</f>
        <v/>
      </c>
      <c r="S2822">
        <f>R2822/R2821-1</f>
        <v/>
      </c>
      <c r="T2822">
        <f>MAX(T2821,R2822)</f>
        <v/>
      </c>
      <c r="U2822">
        <f>R2822/T2822-1</f>
        <v/>
      </c>
      <c r="V2822" t="n">
        <v>6.978667617119256</v>
      </c>
      <c r="W2822" s="5">
        <f>R2822-V2822</f>
        <v/>
      </c>
    </row>
    <row r="2823">
      <c r="A2823" s="3" t="n">
        <v>42593</v>
      </c>
      <c r="B2823">
        <f>Prices!B2823</f>
        <v/>
      </c>
      <c r="C2823">
        <f>Prices!C2823</f>
        <v/>
      </c>
      <c r="D2823">
        <f>Prices!D2823</f>
        <v/>
      </c>
      <c r="E2823">
        <f>Prices!E2823</f>
        <v/>
      </c>
      <c r="F2823">
        <f>Prices!F2823</f>
        <v/>
      </c>
      <c r="G2823">
        <f>IF(AND(2821&gt;=16,TEXT(A2823,"yyyy-mm")&lt;&gt;TEXT(A2824,"yyyy-mm")),1,0)</f>
        <v/>
      </c>
      <c r="H2823">
        <f>IF(OR(H2822=1,G2823=1),1,0)</f>
        <v/>
      </c>
      <c r="I2823">
        <f>IF(H2822=0,1,SUMPRODUCT(J2822:N2822,B2823:F2823)+O2822*(1+0.00023125256064071564))</f>
        <v/>
      </c>
      <c r="J2823">
        <f>IF(G2823=1,0.2*R2823/B2823,J2822)</f>
        <v/>
      </c>
      <c r="K2823">
        <f>IF(G2823=1,0.2*R2823/C2823,K2822)</f>
        <v/>
      </c>
      <c r="L2823">
        <f>IF(G2823=1,0.2*R2823/D2823,L2822)</f>
        <v/>
      </c>
      <c r="M2823">
        <f>IF(G2823=1,0.2*R2823/E2823,M2822)</f>
        <v/>
      </c>
      <c r="N2823">
        <f>IF(G2823=1,0.2*R2823/F2823,N2822)</f>
        <v/>
      </c>
      <c r="O2823">
        <f>IF(G2823=1,R2823*(1-1.0),IF(H2822=0,1,O2822*(1+0.00023125256064071564)))</f>
        <v/>
      </c>
      <c r="P2823">
        <f>IF(G2823=1,IF(H2822=0,1,ABS(0.2-J2822*B2823/I2823)+ABS(0.2-K2822*C2823/I2823)+ABS(0.2-L2822*D2823/I2823)+ABS(0.2-M2822*E2823/I2823)+ABS(0.2-N2822*F2823/I2823)),0)</f>
        <v/>
      </c>
      <c r="Q2823">
        <f>P2823*0.0015</f>
        <v/>
      </c>
      <c r="R2823">
        <f>I2823*(1-Q2823)</f>
        <v/>
      </c>
      <c r="S2823">
        <f>R2823/R2822-1</f>
        <v/>
      </c>
      <c r="T2823">
        <f>MAX(T2822,R2823)</f>
        <v/>
      </c>
      <c r="U2823">
        <f>R2823/T2823-1</f>
        <v/>
      </c>
      <c r="V2823" t="n">
        <v>6.98479884490565</v>
      </c>
      <c r="W2823" s="5">
        <f>R2823-V2823</f>
        <v/>
      </c>
    </row>
    <row r="2824">
      <c r="A2824" s="3" t="n">
        <v>42594</v>
      </c>
      <c r="B2824">
        <f>Prices!B2824</f>
        <v/>
      </c>
      <c r="C2824">
        <f>Prices!C2824</f>
        <v/>
      </c>
      <c r="D2824">
        <f>Prices!D2824</f>
        <v/>
      </c>
      <c r="E2824">
        <f>Prices!E2824</f>
        <v/>
      </c>
      <c r="F2824">
        <f>Prices!F2824</f>
        <v/>
      </c>
      <c r="G2824">
        <f>IF(AND(2822&gt;=16,TEXT(A2824,"yyyy-mm")&lt;&gt;TEXT(A2825,"yyyy-mm")),1,0)</f>
        <v/>
      </c>
      <c r="H2824">
        <f>IF(OR(H2823=1,G2824=1),1,0)</f>
        <v/>
      </c>
      <c r="I2824">
        <f>IF(H2823=0,1,SUMPRODUCT(J2823:N2823,B2824:F2824)+O2823*(1+0.00023125256064071564))</f>
        <v/>
      </c>
      <c r="J2824">
        <f>IF(G2824=1,0.2*R2824/B2824,J2823)</f>
        <v/>
      </c>
      <c r="K2824">
        <f>IF(G2824=1,0.2*R2824/C2824,K2823)</f>
        <v/>
      </c>
      <c r="L2824">
        <f>IF(G2824=1,0.2*R2824/D2824,L2823)</f>
        <v/>
      </c>
      <c r="M2824">
        <f>IF(G2824=1,0.2*R2824/E2824,M2823)</f>
        <v/>
      </c>
      <c r="N2824">
        <f>IF(G2824=1,0.2*R2824/F2824,N2823)</f>
        <v/>
      </c>
      <c r="O2824">
        <f>IF(G2824=1,R2824*(1-1.0),IF(H2823=0,1,O2823*(1+0.00023125256064071564)))</f>
        <v/>
      </c>
      <c r="P2824">
        <f>IF(G2824=1,IF(H2823=0,1,ABS(0.2-J2823*B2824/I2824)+ABS(0.2-K2823*C2824/I2824)+ABS(0.2-L2823*D2824/I2824)+ABS(0.2-M2823*E2824/I2824)+ABS(0.2-N2823*F2824/I2824)),0)</f>
        <v/>
      </c>
      <c r="Q2824">
        <f>P2824*0.0015</f>
        <v/>
      </c>
      <c r="R2824">
        <f>I2824*(1-Q2824)</f>
        <v/>
      </c>
      <c r="S2824">
        <f>R2824/R2823-1</f>
        <v/>
      </c>
      <c r="T2824">
        <f>MAX(T2823,R2824)</f>
        <v/>
      </c>
      <c r="U2824">
        <f>R2824/T2824-1</f>
        <v/>
      </c>
      <c r="V2824" t="n">
        <v>7.020887145679702</v>
      </c>
      <c r="W2824" s="5">
        <f>R2824-V2824</f>
        <v/>
      </c>
    </row>
    <row r="2825">
      <c r="A2825" s="3" t="n">
        <v>42598</v>
      </c>
      <c r="B2825">
        <f>Prices!B2825</f>
        <v/>
      </c>
      <c r="C2825">
        <f>Prices!C2825</f>
        <v/>
      </c>
      <c r="D2825">
        <f>Prices!D2825</f>
        <v/>
      </c>
      <c r="E2825">
        <f>Prices!E2825</f>
        <v/>
      </c>
      <c r="F2825">
        <f>Prices!F2825</f>
        <v/>
      </c>
      <c r="G2825">
        <f>IF(AND(2823&gt;=16,TEXT(A2825,"yyyy-mm")&lt;&gt;TEXT(A2826,"yyyy-mm")),1,0)</f>
        <v/>
      </c>
      <c r="H2825">
        <f>IF(OR(H2824=1,G2825=1),1,0)</f>
        <v/>
      </c>
      <c r="I2825">
        <f>IF(H2824=0,1,SUMPRODUCT(J2824:N2824,B2825:F2825)+O2824*(1+0.00023125256064071564))</f>
        <v/>
      </c>
      <c r="J2825">
        <f>IF(G2825=1,0.2*R2825/B2825,J2824)</f>
        <v/>
      </c>
      <c r="K2825">
        <f>IF(G2825=1,0.2*R2825/C2825,K2824)</f>
        <v/>
      </c>
      <c r="L2825">
        <f>IF(G2825=1,0.2*R2825/D2825,L2824)</f>
        <v/>
      </c>
      <c r="M2825">
        <f>IF(G2825=1,0.2*R2825/E2825,M2824)</f>
        <v/>
      </c>
      <c r="N2825">
        <f>IF(G2825=1,0.2*R2825/F2825,N2824)</f>
        <v/>
      </c>
      <c r="O2825">
        <f>IF(G2825=1,R2825*(1-1.0),IF(H2824=0,1,O2824*(1+0.00023125256064071564)))</f>
        <v/>
      </c>
      <c r="P2825">
        <f>IF(G2825=1,IF(H2824=0,1,ABS(0.2-J2824*B2825/I2825)+ABS(0.2-K2824*C2825/I2825)+ABS(0.2-L2824*D2825/I2825)+ABS(0.2-M2824*E2825/I2825)+ABS(0.2-N2824*F2825/I2825)),0)</f>
        <v/>
      </c>
      <c r="Q2825">
        <f>P2825*0.0015</f>
        <v/>
      </c>
      <c r="R2825">
        <f>I2825*(1-Q2825)</f>
        <v/>
      </c>
      <c r="S2825">
        <f>R2825/R2824-1</f>
        <v/>
      </c>
      <c r="T2825">
        <f>MAX(T2824,R2825)</f>
        <v/>
      </c>
      <c r="U2825">
        <f>R2825/T2825-1</f>
        <v/>
      </c>
      <c r="V2825" t="n">
        <v>7.024772081916044</v>
      </c>
      <c r="W2825" s="5">
        <f>R2825-V2825</f>
        <v/>
      </c>
    </row>
    <row r="2826">
      <c r="A2826" s="3" t="n">
        <v>42599</v>
      </c>
      <c r="B2826">
        <f>Prices!B2826</f>
        <v/>
      </c>
      <c r="C2826">
        <f>Prices!C2826</f>
        <v/>
      </c>
      <c r="D2826">
        <f>Prices!D2826</f>
        <v/>
      </c>
      <c r="E2826">
        <f>Prices!E2826</f>
        <v/>
      </c>
      <c r="F2826">
        <f>Prices!F2826</f>
        <v/>
      </c>
      <c r="G2826">
        <f>IF(AND(2824&gt;=16,TEXT(A2826,"yyyy-mm")&lt;&gt;TEXT(A2827,"yyyy-mm")),1,0)</f>
        <v/>
      </c>
      <c r="H2826">
        <f>IF(OR(H2825=1,G2826=1),1,0)</f>
        <v/>
      </c>
      <c r="I2826">
        <f>IF(H2825=0,1,SUMPRODUCT(J2825:N2825,B2826:F2826)+O2825*(1+0.00023125256064071564))</f>
        <v/>
      </c>
      <c r="J2826">
        <f>IF(G2826=1,0.2*R2826/B2826,J2825)</f>
        <v/>
      </c>
      <c r="K2826">
        <f>IF(G2826=1,0.2*R2826/C2826,K2825)</f>
        <v/>
      </c>
      <c r="L2826">
        <f>IF(G2826=1,0.2*R2826/D2826,L2825)</f>
        <v/>
      </c>
      <c r="M2826">
        <f>IF(G2826=1,0.2*R2826/E2826,M2825)</f>
        <v/>
      </c>
      <c r="N2826">
        <f>IF(G2826=1,0.2*R2826/F2826,N2825)</f>
        <v/>
      </c>
      <c r="O2826">
        <f>IF(G2826=1,R2826*(1-1.0),IF(H2825=0,1,O2825*(1+0.00023125256064071564)))</f>
        <v/>
      </c>
      <c r="P2826">
        <f>IF(G2826=1,IF(H2825=0,1,ABS(0.2-J2825*B2826/I2826)+ABS(0.2-K2825*C2826/I2826)+ABS(0.2-L2825*D2826/I2826)+ABS(0.2-M2825*E2826/I2826)+ABS(0.2-N2825*F2826/I2826)),0)</f>
        <v/>
      </c>
      <c r="Q2826">
        <f>P2826*0.0015</f>
        <v/>
      </c>
      <c r="R2826">
        <f>I2826*(1-Q2826)</f>
        <v/>
      </c>
      <c r="S2826">
        <f>R2826/R2825-1</f>
        <v/>
      </c>
      <c r="T2826">
        <f>MAX(T2825,R2826)</f>
        <v/>
      </c>
      <c r="U2826">
        <f>R2826/T2826-1</f>
        <v/>
      </c>
      <c r="V2826" t="n">
        <v>7.046397777566929</v>
      </c>
      <c r="W2826" s="5">
        <f>R2826-V2826</f>
        <v/>
      </c>
    </row>
    <row r="2827">
      <c r="A2827" s="3" t="n">
        <v>42600</v>
      </c>
      <c r="B2827">
        <f>Prices!B2827</f>
        <v/>
      </c>
      <c r="C2827">
        <f>Prices!C2827</f>
        <v/>
      </c>
      <c r="D2827">
        <f>Prices!D2827</f>
        <v/>
      </c>
      <c r="E2827">
        <f>Prices!E2827</f>
        <v/>
      </c>
      <c r="F2827">
        <f>Prices!F2827</f>
        <v/>
      </c>
      <c r="G2827">
        <f>IF(AND(2825&gt;=16,TEXT(A2827,"yyyy-mm")&lt;&gt;TEXT(A2828,"yyyy-mm")),1,0)</f>
        <v/>
      </c>
      <c r="H2827">
        <f>IF(OR(H2826=1,G2827=1),1,0)</f>
        <v/>
      </c>
      <c r="I2827">
        <f>IF(H2826=0,1,SUMPRODUCT(J2826:N2826,B2827:F2827)+O2826*(1+0.00023125256064071564))</f>
        <v/>
      </c>
      <c r="J2827">
        <f>IF(G2827=1,0.2*R2827/B2827,J2826)</f>
        <v/>
      </c>
      <c r="K2827">
        <f>IF(G2827=1,0.2*R2827/C2827,K2826)</f>
        <v/>
      </c>
      <c r="L2827">
        <f>IF(G2827=1,0.2*R2827/D2827,L2826)</f>
        <v/>
      </c>
      <c r="M2827">
        <f>IF(G2827=1,0.2*R2827/E2827,M2826)</f>
        <v/>
      </c>
      <c r="N2827">
        <f>IF(G2827=1,0.2*R2827/F2827,N2826)</f>
        <v/>
      </c>
      <c r="O2827">
        <f>IF(G2827=1,R2827*(1-1.0),IF(H2826=0,1,O2826*(1+0.00023125256064071564)))</f>
        <v/>
      </c>
      <c r="P2827">
        <f>IF(G2827=1,IF(H2826=0,1,ABS(0.2-J2826*B2827/I2827)+ABS(0.2-K2826*C2827/I2827)+ABS(0.2-L2826*D2827/I2827)+ABS(0.2-M2826*E2827/I2827)+ABS(0.2-N2826*F2827/I2827)),0)</f>
        <v/>
      </c>
      <c r="Q2827">
        <f>P2827*0.0015</f>
        <v/>
      </c>
      <c r="R2827">
        <f>I2827*(1-Q2827)</f>
        <v/>
      </c>
      <c r="S2827">
        <f>R2827/R2826-1</f>
        <v/>
      </c>
      <c r="T2827">
        <f>MAX(T2826,R2827)</f>
        <v/>
      </c>
      <c r="U2827">
        <f>R2827/T2827-1</f>
        <v/>
      </c>
      <c r="V2827" t="n">
        <v>7.102898178355286</v>
      </c>
      <c r="W2827" s="5">
        <f>R2827-V2827</f>
        <v/>
      </c>
    </row>
    <row r="2828">
      <c r="A2828" s="3" t="n">
        <v>42601</v>
      </c>
      <c r="B2828">
        <f>Prices!B2828</f>
        <v/>
      </c>
      <c r="C2828">
        <f>Prices!C2828</f>
        <v/>
      </c>
      <c r="D2828">
        <f>Prices!D2828</f>
        <v/>
      </c>
      <c r="E2828">
        <f>Prices!E2828</f>
        <v/>
      </c>
      <c r="F2828">
        <f>Prices!F2828</f>
        <v/>
      </c>
      <c r="G2828">
        <f>IF(AND(2826&gt;=16,TEXT(A2828,"yyyy-mm")&lt;&gt;TEXT(A2829,"yyyy-mm")),1,0)</f>
        <v/>
      </c>
      <c r="H2828">
        <f>IF(OR(H2827=1,G2828=1),1,0)</f>
        <v/>
      </c>
      <c r="I2828">
        <f>IF(H2827=0,1,SUMPRODUCT(J2827:N2827,B2828:F2828)+O2827*(1+0.00023125256064071564))</f>
        <v/>
      </c>
      <c r="J2828">
        <f>IF(G2828=1,0.2*R2828/B2828,J2827)</f>
        <v/>
      </c>
      <c r="K2828">
        <f>IF(G2828=1,0.2*R2828/C2828,K2827)</f>
        <v/>
      </c>
      <c r="L2828">
        <f>IF(G2828=1,0.2*R2828/D2828,L2827)</f>
        <v/>
      </c>
      <c r="M2828">
        <f>IF(G2828=1,0.2*R2828/E2828,M2827)</f>
        <v/>
      </c>
      <c r="N2828">
        <f>IF(G2828=1,0.2*R2828/F2828,N2827)</f>
        <v/>
      </c>
      <c r="O2828">
        <f>IF(G2828=1,R2828*(1-1.0),IF(H2827=0,1,O2827*(1+0.00023125256064071564)))</f>
        <v/>
      </c>
      <c r="P2828">
        <f>IF(G2828=1,IF(H2827=0,1,ABS(0.2-J2827*B2828/I2828)+ABS(0.2-K2827*C2828/I2828)+ABS(0.2-L2827*D2828/I2828)+ABS(0.2-M2827*E2828/I2828)+ABS(0.2-N2827*F2828/I2828)),0)</f>
        <v/>
      </c>
      <c r="Q2828">
        <f>P2828*0.0015</f>
        <v/>
      </c>
      <c r="R2828">
        <f>I2828*(1-Q2828)</f>
        <v/>
      </c>
      <c r="S2828">
        <f>R2828/R2827-1</f>
        <v/>
      </c>
      <c r="T2828">
        <f>MAX(T2827,R2828)</f>
        <v/>
      </c>
      <c r="U2828">
        <f>R2828/T2828-1</f>
        <v/>
      </c>
      <c r="V2828" t="n">
        <v>7.137265101363643</v>
      </c>
      <c r="W2828" s="5">
        <f>R2828-V2828</f>
        <v/>
      </c>
    </row>
    <row r="2829">
      <c r="A2829" s="3" t="n">
        <v>42604</v>
      </c>
      <c r="B2829">
        <f>Prices!B2829</f>
        <v/>
      </c>
      <c r="C2829">
        <f>Prices!C2829</f>
        <v/>
      </c>
      <c r="D2829">
        <f>Prices!D2829</f>
        <v/>
      </c>
      <c r="E2829">
        <f>Prices!E2829</f>
        <v/>
      </c>
      <c r="F2829">
        <f>Prices!F2829</f>
        <v/>
      </c>
      <c r="G2829">
        <f>IF(AND(2827&gt;=16,TEXT(A2829,"yyyy-mm")&lt;&gt;TEXT(A2830,"yyyy-mm")),1,0)</f>
        <v/>
      </c>
      <c r="H2829">
        <f>IF(OR(H2828=1,G2829=1),1,0)</f>
        <v/>
      </c>
      <c r="I2829">
        <f>IF(H2828=0,1,SUMPRODUCT(J2828:N2828,B2829:F2829)+O2828*(1+0.00023125256064071564))</f>
        <v/>
      </c>
      <c r="J2829">
        <f>IF(G2829=1,0.2*R2829/B2829,J2828)</f>
        <v/>
      </c>
      <c r="K2829">
        <f>IF(G2829=1,0.2*R2829/C2829,K2828)</f>
        <v/>
      </c>
      <c r="L2829">
        <f>IF(G2829=1,0.2*R2829/D2829,L2828)</f>
        <v/>
      </c>
      <c r="M2829">
        <f>IF(G2829=1,0.2*R2829/E2829,M2828)</f>
        <v/>
      </c>
      <c r="N2829">
        <f>IF(G2829=1,0.2*R2829/F2829,N2828)</f>
        <v/>
      </c>
      <c r="O2829">
        <f>IF(G2829=1,R2829*(1-1.0),IF(H2828=0,1,O2828*(1+0.00023125256064071564)))</f>
        <v/>
      </c>
      <c r="P2829">
        <f>IF(G2829=1,IF(H2828=0,1,ABS(0.2-J2828*B2829/I2829)+ABS(0.2-K2828*C2829/I2829)+ABS(0.2-L2828*D2829/I2829)+ABS(0.2-M2828*E2829/I2829)+ABS(0.2-N2828*F2829/I2829)),0)</f>
        <v/>
      </c>
      <c r="Q2829">
        <f>P2829*0.0015</f>
        <v/>
      </c>
      <c r="R2829">
        <f>I2829*(1-Q2829)</f>
        <v/>
      </c>
      <c r="S2829">
        <f>R2829/R2828-1</f>
        <v/>
      </c>
      <c r="T2829">
        <f>MAX(T2828,R2829)</f>
        <v/>
      </c>
      <c r="U2829">
        <f>R2829/T2829-1</f>
        <v/>
      </c>
      <c r="V2829" t="n">
        <v>7.091362427313308</v>
      </c>
      <c r="W2829" s="5">
        <f>R2829-V2829</f>
        <v/>
      </c>
    </row>
    <row r="2830">
      <c r="A2830" s="3" t="n">
        <v>42605</v>
      </c>
      <c r="B2830">
        <f>Prices!B2830</f>
        <v/>
      </c>
      <c r="C2830">
        <f>Prices!C2830</f>
        <v/>
      </c>
      <c r="D2830">
        <f>Prices!D2830</f>
        <v/>
      </c>
      <c r="E2830">
        <f>Prices!E2830</f>
        <v/>
      </c>
      <c r="F2830">
        <f>Prices!F2830</f>
        <v/>
      </c>
      <c r="G2830">
        <f>IF(AND(2828&gt;=16,TEXT(A2830,"yyyy-mm")&lt;&gt;TEXT(A2831,"yyyy-mm")),1,0)</f>
        <v/>
      </c>
      <c r="H2830">
        <f>IF(OR(H2829=1,G2830=1),1,0)</f>
        <v/>
      </c>
      <c r="I2830">
        <f>IF(H2829=0,1,SUMPRODUCT(J2829:N2829,B2830:F2830)+O2829*(1+0.00023125256064071564))</f>
        <v/>
      </c>
      <c r="J2830">
        <f>IF(G2830=1,0.2*R2830/B2830,J2829)</f>
        <v/>
      </c>
      <c r="K2830">
        <f>IF(G2830=1,0.2*R2830/C2830,K2829)</f>
        <v/>
      </c>
      <c r="L2830">
        <f>IF(G2830=1,0.2*R2830/D2830,L2829)</f>
        <v/>
      </c>
      <c r="M2830">
        <f>IF(G2830=1,0.2*R2830/E2830,M2829)</f>
        <v/>
      </c>
      <c r="N2830">
        <f>IF(G2830=1,0.2*R2830/F2830,N2829)</f>
        <v/>
      </c>
      <c r="O2830">
        <f>IF(G2830=1,R2830*(1-1.0),IF(H2829=0,1,O2829*(1+0.00023125256064071564)))</f>
        <v/>
      </c>
      <c r="P2830">
        <f>IF(G2830=1,IF(H2829=0,1,ABS(0.2-J2829*B2830/I2830)+ABS(0.2-K2829*C2830/I2830)+ABS(0.2-L2829*D2830/I2830)+ABS(0.2-M2829*E2830/I2830)+ABS(0.2-N2829*F2830/I2830)),0)</f>
        <v/>
      </c>
      <c r="Q2830">
        <f>P2830*0.0015</f>
        <v/>
      </c>
      <c r="R2830">
        <f>I2830*(1-Q2830)</f>
        <v/>
      </c>
      <c r="S2830">
        <f>R2830/R2829-1</f>
        <v/>
      </c>
      <c r="T2830">
        <f>MAX(T2829,R2830)</f>
        <v/>
      </c>
      <c r="U2830">
        <f>R2830/T2830-1</f>
        <v/>
      </c>
      <c r="V2830" t="n">
        <v>7.06064692499847</v>
      </c>
      <c r="W2830" s="5">
        <f>R2830-V2830</f>
        <v/>
      </c>
    </row>
    <row r="2831">
      <c r="A2831" s="3" t="n">
        <v>42606</v>
      </c>
      <c r="B2831">
        <f>Prices!B2831</f>
        <v/>
      </c>
      <c r="C2831">
        <f>Prices!C2831</f>
        <v/>
      </c>
      <c r="D2831">
        <f>Prices!D2831</f>
        <v/>
      </c>
      <c r="E2831">
        <f>Prices!E2831</f>
        <v/>
      </c>
      <c r="F2831">
        <f>Prices!F2831</f>
        <v/>
      </c>
      <c r="G2831">
        <f>IF(AND(2829&gt;=16,TEXT(A2831,"yyyy-mm")&lt;&gt;TEXT(A2832,"yyyy-mm")),1,0)</f>
        <v/>
      </c>
      <c r="H2831">
        <f>IF(OR(H2830=1,G2831=1),1,0)</f>
        <v/>
      </c>
      <c r="I2831">
        <f>IF(H2830=0,1,SUMPRODUCT(J2830:N2830,B2831:F2831)+O2830*(1+0.00023125256064071564))</f>
        <v/>
      </c>
      <c r="J2831">
        <f>IF(G2831=1,0.2*R2831/B2831,J2830)</f>
        <v/>
      </c>
      <c r="K2831">
        <f>IF(G2831=1,0.2*R2831/C2831,K2830)</f>
        <v/>
      </c>
      <c r="L2831">
        <f>IF(G2831=1,0.2*R2831/D2831,L2830)</f>
        <v/>
      </c>
      <c r="M2831">
        <f>IF(G2831=1,0.2*R2831/E2831,M2830)</f>
        <v/>
      </c>
      <c r="N2831">
        <f>IF(G2831=1,0.2*R2831/F2831,N2830)</f>
        <v/>
      </c>
      <c r="O2831">
        <f>IF(G2831=1,R2831*(1-1.0),IF(H2830=0,1,O2830*(1+0.00023125256064071564)))</f>
        <v/>
      </c>
      <c r="P2831">
        <f>IF(G2831=1,IF(H2830=0,1,ABS(0.2-J2830*B2831/I2831)+ABS(0.2-K2830*C2831/I2831)+ABS(0.2-L2830*D2831/I2831)+ABS(0.2-M2830*E2831/I2831)+ABS(0.2-N2830*F2831/I2831)),0)</f>
        <v/>
      </c>
      <c r="Q2831">
        <f>P2831*0.0015</f>
        <v/>
      </c>
      <c r="R2831">
        <f>I2831*(1-Q2831)</f>
        <v/>
      </c>
      <c r="S2831">
        <f>R2831/R2830-1</f>
        <v/>
      </c>
      <c r="T2831">
        <f>MAX(T2830,R2831)</f>
        <v/>
      </c>
      <c r="U2831">
        <f>R2831/T2831-1</f>
        <v/>
      </c>
      <c r="V2831" t="n">
        <v>7.092832743329144</v>
      </c>
      <c r="W2831" s="5">
        <f>R2831-V2831</f>
        <v/>
      </c>
    </row>
    <row r="2832">
      <c r="A2832" s="3" t="n">
        <v>42607</v>
      </c>
      <c r="B2832">
        <f>Prices!B2832</f>
        <v/>
      </c>
      <c r="C2832">
        <f>Prices!C2832</f>
        <v/>
      </c>
      <c r="D2832">
        <f>Prices!D2832</f>
        <v/>
      </c>
      <c r="E2832">
        <f>Prices!E2832</f>
        <v/>
      </c>
      <c r="F2832">
        <f>Prices!F2832</f>
        <v/>
      </c>
      <c r="G2832">
        <f>IF(AND(2830&gt;=16,TEXT(A2832,"yyyy-mm")&lt;&gt;TEXT(A2833,"yyyy-mm")),1,0)</f>
        <v/>
      </c>
      <c r="H2832">
        <f>IF(OR(H2831=1,G2832=1),1,0)</f>
        <v/>
      </c>
      <c r="I2832">
        <f>IF(H2831=0,1,SUMPRODUCT(J2831:N2831,B2832:F2832)+O2831*(1+0.00023125256064071564))</f>
        <v/>
      </c>
      <c r="J2832">
        <f>IF(G2832=1,0.2*R2832/B2832,J2831)</f>
        <v/>
      </c>
      <c r="K2832">
        <f>IF(G2832=1,0.2*R2832/C2832,K2831)</f>
        <v/>
      </c>
      <c r="L2832">
        <f>IF(G2832=1,0.2*R2832/D2832,L2831)</f>
        <v/>
      </c>
      <c r="M2832">
        <f>IF(G2832=1,0.2*R2832/E2832,M2831)</f>
        <v/>
      </c>
      <c r="N2832">
        <f>IF(G2832=1,0.2*R2832/F2832,N2831)</f>
        <v/>
      </c>
      <c r="O2832">
        <f>IF(G2832=1,R2832*(1-1.0),IF(H2831=0,1,O2831*(1+0.00023125256064071564)))</f>
        <v/>
      </c>
      <c r="P2832">
        <f>IF(G2832=1,IF(H2831=0,1,ABS(0.2-J2831*B2832/I2832)+ABS(0.2-K2831*C2832/I2832)+ABS(0.2-L2831*D2832/I2832)+ABS(0.2-M2831*E2832/I2832)+ABS(0.2-N2831*F2832/I2832)),0)</f>
        <v/>
      </c>
      <c r="Q2832">
        <f>P2832*0.0015</f>
        <v/>
      </c>
      <c r="R2832">
        <f>I2832*(1-Q2832)</f>
        <v/>
      </c>
      <c r="S2832">
        <f>R2832/R2831-1</f>
        <v/>
      </c>
      <c r="T2832">
        <f>MAX(T2831,R2832)</f>
        <v/>
      </c>
      <c r="U2832">
        <f>R2832/T2832-1</f>
        <v/>
      </c>
      <c r="V2832" t="n">
        <v>7.054139374905945</v>
      </c>
      <c r="W2832" s="5">
        <f>R2832-V2832</f>
        <v/>
      </c>
    </row>
    <row r="2833">
      <c r="A2833" s="3" t="n">
        <v>42608</v>
      </c>
      <c r="B2833">
        <f>Prices!B2833</f>
        <v/>
      </c>
      <c r="C2833">
        <f>Prices!C2833</f>
        <v/>
      </c>
      <c r="D2833">
        <f>Prices!D2833</f>
        <v/>
      </c>
      <c r="E2833">
        <f>Prices!E2833</f>
        <v/>
      </c>
      <c r="F2833">
        <f>Prices!F2833</f>
        <v/>
      </c>
      <c r="G2833">
        <f>IF(AND(2831&gt;=16,TEXT(A2833,"yyyy-mm")&lt;&gt;TEXT(A2834,"yyyy-mm")),1,0)</f>
        <v/>
      </c>
      <c r="H2833">
        <f>IF(OR(H2832=1,G2833=1),1,0)</f>
        <v/>
      </c>
      <c r="I2833">
        <f>IF(H2832=0,1,SUMPRODUCT(J2832:N2832,B2833:F2833)+O2832*(1+0.00023125256064071564))</f>
        <v/>
      </c>
      <c r="J2833">
        <f>IF(G2833=1,0.2*R2833/B2833,J2832)</f>
        <v/>
      </c>
      <c r="K2833">
        <f>IF(G2833=1,0.2*R2833/C2833,K2832)</f>
        <v/>
      </c>
      <c r="L2833">
        <f>IF(G2833=1,0.2*R2833/D2833,L2832)</f>
        <v/>
      </c>
      <c r="M2833">
        <f>IF(G2833=1,0.2*R2833/E2833,M2832)</f>
        <v/>
      </c>
      <c r="N2833">
        <f>IF(G2833=1,0.2*R2833/F2833,N2832)</f>
        <v/>
      </c>
      <c r="O2833">
        <f>IF(G2833=1,R2833*(1-1.0),IF(H2832=0,1,O2832*(1+0.00023125256064071564)))</f>
        <v/>
      </c>
      <c r="P2833">
        <f>IF(G2833=1,IF(H2832=0,1,ABS(0.2-J2832*B2833/I2833)+ABS(0.2-K2832*C2833/I2833)+ABS(0.2-L2832*D2833/I2833)+ABS(0.2-M2832*E2833/I2833)+ABS(0.2-N2832*F2833/I2833)),0)</f>
        <v/>
      </c>
      <c r="Q2833">
        <f>P2833*0.0015</f>
        <v/>
      </c>
      <c r="R2833">
        <f>I2833*(1-Q2833)</f>
        <v/>
      </c>
      <c r="S2833">
        <f>R2833/R2832-1</f>
        <v/>
      </c>
      <c r="T2833">
        <f>MAX(T2832,R2833)</f>
        <v/>
      </c>
      <c r="U2833">
        <f>R2833/T2833-1</f>
        <v/>
      </c>
      <c r="V2833" t="n">
        <v>7.043807790349955</v>
      </c>
      <c r="W2833" s="5">
        <f>R2833-V2833</f>
        <v/>
      </c>
    </row>
    <row r="2834">
      <c r="A2834" s="3" t="n">
        <v>42611</v>
      </c>
      <c r="B2834">
        <f>Prices!B2834</f>
        <v/>
      </c>
      <c r="C2834">
        <f>Prices!C2834</f>
        <v/>
      </c>
      <c r="D2834">
        <f>Prices!D2834</f>
        <v/>
      </c>
      <c r="E2834">
        <f>Prices!E2834</f>
        <v/>
      </c>
      <c r="F2834">
        <f>Prices!F2834</f>
        <v/>
      </c>
      <c r="G2834">
        <f>IF(AND(2832&gt;=16,TEXT(A2834,"yyyy-mm")&lt;&gt;TEXT(A2835,"yyyy-mm")),1,0)</f>
        <v/>
      </c>
      <c r="H2834">
        <f>IF(OR(H2833=1,G2834=1),1,0)</f>
        <v/>
      </c>
      <c r="I2834">
        <f>IF(H2833=0,1,SUMPRODUCT(J2833:N2833,B2834:F2834)+O2833*(1+0.00023125256064071564))</f>
        <v/>
      </c>
      <c r="J2834">
        <f>IF(G2834=1,0.2*R2834/B2834,J2833)</f>
        <v/>
      </c>
      <c r="K2834">
        <f>IF(G2834=1,0.2*R2834/C2834,K2833)</f>
        <v/>
      </c>
      <c r="L2834">
        <f>IF(G2834=1,0.2*R2834/D2834,L2833)</f>
        <v/>
      </c>
      <c r="M2834">
        <f>IF(G2834=1,0.2*R2834/E2834,M2833)</f>
        <v/>
      </c>
      <c r="N2834">
        <f>IF(G2834=1,0.2*R2834/F2834,N2833)</f>
        <v/>
      </c>
      <c r="O2834">
        <f>IF(G2834=1,R2834*(1-1.0),IF(H2833=0,1,O2833*(1+0.00023125256064071564)))</f>
        <v/>
      </c>
      <c r="P2834">
        <f>IF(G2834=1,IF(H2833=0,1,ABS(0.2-J2833*B2834/I2834)+ABS(0.2-K2833*C2834/I2834)+ABS(0.2-L2833*D2834/I2834)+ABS(0.2-M2833*E2834/I2834)+ABS(0.2-N2833*F2834/I2834)),0)</f>
        <v/>
      </c>
      <c r="Q2834">
        <f>P2834*0.0015</f>
        <v/>
      </c>
      <c r="R2834">
        <f>I2834*(1-Q2834)</f>
        <v/>
      </c>
      <c r="S2834">
        <f>R2834/R2833-1</f>
        <v/>
      </c>
      <c r="T2834">
        <f>MAX(T2833,R2834)</f>
        <v/>
      </c>
      <c r="U2834">
        <f>R2834/T2834-1</f>
        <v/>
      </c>
      <c r="V2834" t="n">
        <v>7.049519840876129</v>
      </c>
      <c r="W2834" s="5">
        <f>R2834-V2834</f>
        <v/>
      </c>
    </row>
    <row r="2835">
      <c r="A2835" s="3" t="n">
        <v>42612</v>
      </c>
      <c r="B2835">
        <f>Prices!B2835</f>
        <v/>
      </c>
      <c r="C2835">
        <f>Prices!C2835</f>
        <v/>
      </c>
      <c r="D2835">
        <f>Prices!D2835</f>
        <v/>
      </c>
      <c r="E2835">
        <f>Prices!E2835</f>
        <v/>
      </c>
      <c r="F2835">
        <f>Prices!F2835</f>
        <v/>
      </c>
      <c r="G2835">
        <f>IF(AND(2833&gt;=16,TEXT(A2835,"yyyy-mm")&lt;&gt;TEXT(A2836,"yyyy-mm")),1,0)</f>
        <v/>
      </c>
      <c r="H2835">
        <f>IF(OR(H2834=1,G2835=1),1,0)</f>
        <v/>
      </c>
      <c r="I2835">
        <f>IF(H2834=0,1,SUMPRODUCT(J2834:N2834,B2835:F2835)+O2834*(1+0.00023125256064071564))</f>
        <v/>
      </c>
      <c r="J2835">
        <f>IF(G2835=1,0.2*R2835/B2835,J2834)</f>
        <v/>
      </c>
      <c r="K2835">
        <f>IF(G2835=1,0.2*R2835/C2835,K2834)</f>
        <v/>
      </c>
      <c r="L2835">
        <f>IF(G2835=1,0.2*R2835/D2835,L2834)</f>
        <v/>
      </c>
      <c r="M2835">
        <f>IF(G2835=1,0.2*R2835/E2835,M2834)</f>
        <v/>
      </c>
      <c r="N2835">
        <f>IF(G2835=1,0.2*R2835/F2835,N2834)</f>
        <v/>
      </c>
      <c r="O2835">
        <f>IF(G2835=1,R2835*(1-1.0),IF(H2834=0,1,O2834*(1+0.00023125256064071564)))</f>
        <v/>
      </c>
      <c r="P2835">
        <f>IF(G2835=1,IF(H2834=0,1,ABS(0.2-J2834*B2835/I2835)+ABS(0.2-K2834*C2835/I2835)+ABS(0.2-L2834*D2835/I2835)+ABS(0.2-M2834*E2835/I2835)+ABS(0.2-N2834*F2835/I2835)),0)</f>
        <v/>
      </c>
      <c r="Q2835">
        <f>P2835*0.0015</f>
        <v/>
      </c>
      <c r="R2835">
        <f>I2835*(1-Q2835)</f>
        <v/>
      </c>
      <c r="S2835">
        <f>R2835/R2834-1</f>
        <v/>
      </c>
      <c r="T2835">
        <f>MAX(T2834,R2835)</f>
        <v/>
      </c>
      <c r="U2835">
        <f>R2835/T2835-1</f>
        <v/>
      </c>
      <c r="V2835" t="n">
        <v>7.135608329329193</v>
      </c>
      <c r="W2835" s="5">
        <f>R2835-V2835</f>
        <v/>
      </c>
    </row>
    <row r="2836">
      <c r="A2836" s="3" t="n">
        <v>42613</v>
      </c>
      <c r="B2836">
        <f>Prices!B2836</f>
        <v/>
      </c>
      <c r="C2836">
        <f>Prices!C2836</f>
        <v/>
      </c>
      <c r="D2836">
        <f>Prices!D2836</f>
        <v/>
      </c>
      <c r="E2836">
        <f>Prices!E2836</f>
        <v/>
      </c>
      <c r="F2836">
        <f>Prices!F2836</f>
        <v/>
      </c>
      <c r="G2836">
        <f>IF(AND(2834&gt;=16,TEXT(A2836,"yyyy-mm")&lt;&gt;TEXT(A2837,"yyyy-mm")),1,0)</f>
        <v/>
      </c>
      <c r="H2836">
        <f>IF(OR(H2835=1,G2836=1),1,0)</f>
        <v/>
      </c>
      <c r="I2836">
        <f>IF(H2835=0,1,SUMPRODUCT(J2835:N2835,B2836:F2836)+O2835*(1+0.00023125256064071564))</f>
        <v/>
      </c>
      <c r="J2836">
        <f>IF(G2836=1,0.2*R2836/B2836,J2835)</f>
        <v/>
      </c>
      <c r="K2836">
        <f>IF(G2836=1,0.2*R2836/C2836,K2835)</f>
        <v/>
      </c>
      <c r="L2836">
        <f>IF(G2836=1,0.2*R2836/D2836,L2835)</f>
        <v/>
      </c>
      <c r="M2836">
        <f>IF(G2836=1,0.2*R2836/E2836,M2835)</f>
        <v/>
      </c>
      <c r="N2836">
        <f>IF(G2836=1,0.2*R2836/F2836,N2835)</f>
        <v/>
      </c>
      <c r="O2836">
        <f>IF(G2836=1,R2836*(1-1.0),IF(H2835=0,1,O2835*(1+0.00023125256064071564)))</f>
        <v/>
      </c>
      <c r="P2836">
        <f>IF(G2836=1,IF(H2835=0,1,ABS(0.2-J2835*B2836/I2836)+ABS(0.2-K2835*C2836/I2836)+ABS(0.2-L2835*D2836/I2836)+ABS(0.2-M2835*E2836/I2836)+ABS(0.2-N2835*F2836/I2836)),0)</f>
        <v/>
      </c>
      <c r="Q2836">
        <f>P2836*0.0015</f>
        <v/>
      </c>
      <c r="R2836">
        <f>I2836*(1-Q2836)</f>
        <v/>
      </c>
      <c r="S2836">
        <f>R2836/R2835-1</f>
        <v/>
      </c>
      <c r="T2836">
        <f>MAX(T2835,R2836)</f>
        <v/>
      </c>
      <c r="U2836">
        <f>R2836/T2836-1</f>
        <v/>
      </c>
      <c r="V2836" t="n">
        <v>7.159696498094543</v>
      </c>
      <c r="W2836" s="5">
        <f>R2836-V2836</f>
        <v/>
      </c>
    </row>
    <row r="2837">
      <c r="A2837" s="3" t="n">
        <v>42614</v>
      </c>
      <c r="B2837">
        <f>Prices!B2837</f>
        <v/>
      </c>
      <c r="C2837">
        <f>Prices!C2837</f>
        <v/>
      </c>
      <c r="D2837">
        <f>Prices!D2837</f>
        <v/>
      </c>
      <c r="E2837">
        <f>Prices!E2837</f>
        <v/>
      </c>
      <c r="F2837">
        <f>Prices!F2837</f>
        <v/>
      </c>
      <c r="G2837">
        <f>IF(AND(2835&gt;=16,TEXT(A2837,"yyyy-mm")&lt;&gt;TEXT(A2838,"yyyy-mm")),1,0)</f>
        <v/>
      </c>
      <c r="H2837">
        <f>IF(OR(H2836=1,G2837=1),1,0)</f>
        <v/>
      </c>
      <c r="I2837">
        <f>IF(H2836=0,1,SUMPRODUCT(J2836:N2836,B2837:F2837)+O2836*(1+0.00023125256064071564))</f>
        <v/>
      </c>
      <c r="J2837">
        <f>IF(G2837=1,0.2*R2837/B2837,J2836)</f>
        <v/>
      </c>
      <c r="K2837">
        <f>IF(G2837=1,0.2*R2837/C2837,K2836)</f>
        <v/>
      </c>
      <c r="L2837">
        <f>IF(G2837=1,0.2*R2837/D2837,L2836)</f>
        <v/>
      </c>
      <c r="M2837">
        <f>IF(G2837=1,0.2*R2837/E2837,M2836)</f>
        <v/>
      </c>
      <c r="N2837">
        <f>IF(G2837=1,0.2*R2837/F2837,N2836)</f>
        <v/>
      </c>
      <c r="O2837">
        <f>IF(G2837=1,R2837*(1-1.0),IF(H2836=0,1,O2836*(1+0.00023125256064071564)))</f>
        <v/>
      </c>
      <c r="P2837">
        <f>IF(G2837=1,IF(H2836=0,1,ABS(0.2-J2836*B2837/I2837)+ABS(0.2-K2836*C2837/I2837)+ABS(0.2-L2836*D2837/I2837)+ABS(0.2-M2836*E2837/I2837)+ABS(0.2-N2836*F2837/I2837)),0)</f>
        <v/>
      </c>
      <c r="Q2837">
        <f>P2837*0.0015</f>
        <v/>
      </c>
      <c r="R2837">
        <f>I2837*(1-Q2837)</f>
        <v/>
      </c>
      <c r="S2837">
        <f>R2837/R2836-1</f>
        <v/>
      </c>
      <c r="T2837">
        <f>MAX(T2836,R2837)</f>
        <v/>
      </c>
      <c r="U2837">
        <f>R2837/T2837-1</f>
        <v/>
      </c>
      <c r="V2837" t="n">
        <v>7.125937802003964</v>
      </c>
      <c r="W2837" s="5">
        <f>R2837-V2837</f>
        <v/>
      </c>
    </row>
    <row r="2838">
      <c r="A2838" s="3" t="n">
        <v>42615</v>
      </c>
      <c r="B2838">
        <f>Prices!B2838</f>
        <v/>
      </c>
      <c r="C2838">
        <f>Prices!C2838</f>
        <v/>
      </c>
      <c r="D2838">
        <f>Prices!D2838</f>
        <v/>
      </c>
      <c r="E2838">
        <f>Prices!E2838</f>
        <v/>
      </c>
      <c r="F2838">
        <f>Prices!F2838</f>
        <v/>
      </c>
      <c r="G2838">
        <f>IF(AND(2836&gt;=16,TEXT(A2838,"yyyy-mm")&lt;&gt;TEXT(A2839,"yyyy-mm")),1,0)</f>
        <v/>
      </c>
      <c r="H2838">
        <f>IF(OR(H2837=1,G2838=1),1,0)</f>
        <v/>
      </c>
      <c r="I2838">
        <f>IF(H2837=0,1,SUMPRODUCT(J2837:N2837,B2838:F2838)+O2837*(1+0.00023125256064071564))</f>
        <v/>
      </c>
      <c r="J2838">
        <f>IF(G2838=1,0.2*R2838/B2838,J2837)</f>
        <v/>
      </c>
      <c r="K2838">
        <f>IF(G2838=1,0.2*R2838/C2838,K2837)</f>
        <v/>
      </c>
      <c r="L2838">
        <f>IF(G2838=1,0.2*R2838/D2838,L2837)</f>
        <v/>
      </c>
      <c r="M2838">
        <f>IF(G2838=1,0.2*R2838/E2838,M2837)</f>
        <v/>
      </c>
      <c r="N2838">
        <f>IF(G2838=1,0.2*R2838/F2838,N2837)</f>
        <v/>
      </c>
      <c r="O2838">
        <f>IF(G2838=1,R2838*(1-1.0),IF(H2837=0,1,O2837*(1+0.00023125256064071564)))</f>
        <v/>
      </c>
      <c r="P2838">
        <f>IF(G2838=1,IF(H2837=0,1,ABS(0.2-J2837*B2838/I2838)+ABS(0.2-K2837*C2838/I2838)+ABS(0.2-L2837*D2838/I2838)+ABS(0.2-M2837*E2838/I2838)+ABS(0.2-N2837*F2838/I2838)),0)</f>
        <v/>
      </c>
      <c r="Q2838">
        <f>P2838*0.0015</f>
        <v/>
      </c>
      <c r="R2838">
        <f>I2838*(1-Q2838)</f>
        <v/>
      </c>
      <c r="S2838">
        <f>R2838/R2837-1</f>
        <v/>
      </c>
      <c r="T2838">
        <f>MAX(T2837,R2838)</f>
        <v/>
      </c>
      <c r="U2838">
        <f>R2838/T2838-1</f>
        <v/>
      </c>
      <c r="V2838" t="n">
        <v>7.15181052841758</v>
      </c>
      <c r="W2838" s="5">
        <f>R2838-V2838</f>
        <v/>
      </c>
    </row>
    <row r="2839">
      <c r="A2839" s="3" t="n">
        <v>42619</v>
      </c>
      <c r="B2839">
        <f>Prices!B2839</f>
        <v/>
      </c>
      <c r="C2839">
        <f>Prices!C2839</f>
        <v/>
      </c>
      <c r="D2839">
        <f>Prices!D2839</f>
        <v/>
      </c>
      <c r="E2839">
        <f>Prices!E2839</f>
        <v/>
      </c>
      <c r="F2839">
        <f>Prices!F2839</f>
        <v/>
      </c>
      <c r="G2839">
        <f>IF(AND(2837&gt;=16,TEXT(A2839,"yyyy-mm")&lt;&gt;TEXT(A2840,"yyyy-mm")),1,0)</f>
        <v/>
      </c>
      <c r="H2839">
        <f>IF(OR(H2838=1,G2839=1),1,0)</f>
        <v/>
      </c>
      <c r="I2839">
        <f>IF(H2838=0,1,SUMPRODUCT(J2838:N2838,B2839:F2839)+O2838*(1+0.00023125256064071564))</f>
        <v/>
      </c>
      <c r="J2839">
        <f>IF(G2839=1,0.2*R2839/B2839,J2838)</f>
        <v/>
      </c>
      <c r="K2839">
        <f>IF(G2839=1,0.2*R2839/C2839,K2838)</f>
        <v/>
      </c>
      <c r="L2839">
        <f>IF(G2839=1,0.2*R2839/D2839,L2838)</f>
        <v/>
      </c>
      <c r="M2839">
        <f>IF(G2839=1,0.2*R2839/E2839,M2838)</f>
        <v/>
      </c>
      <c r="N2839">
        <f>IF(G2839=1,0.2*R2839/F2839,N2838)</f>
        <v/>
      </c>
      <c r="O2839">
        <f>IF(G2839=1,R2839*(1-1.0),IF(H2838=0,1,O2838*(1+0.00023125256064071564)))</f>
        <v/>
      </c>
      <c r="P2839">
        <f>IF(G2839=1,IF(H2838=0,1,ABS(0.2-J2838*B2839/I2839)+ABS(0.2-K2838*C2839/I2839)+ABS(0.2-L2838*D2839/I2839)+ABS(0.2-M2838*E2839/I2839)+ABS(0.2-N2838*F2839/I2839)),0)</f>
        <v/>
      </c>
      <c r="Q2839">
        <f>P2839*0.0015</f>
        <v/>
      </c>
      <c r="R2839">
        <f>I2839*(1-Q2839)</f>
        <v/>
      </c>
      <c r="S2839">
        <f>R2839/R2838-1</f>
        <v/>
      </c>
      <c r="T2839">
        <f>MAX(T2838,R2839)</f>
        <v/>
      </c>
      <c r="U2839">
        <f>R2839/T2839-1</f>
        <v/>
      </c>
      <c r="V2839" t="n">
        <v>7.252601998120517</v>
      </c>
      <c r="W2839" s="5">
        <f>R2839-V2839</f>
        <v/>
      </c>
    </row>
    <row r="2840">
      <c r="A2840" s="3" t="n">
        <v>42620</v>
      </c>
      <c r="B2840">
        <f>Prices!B2840</f>
        <v/>
      </c>
      <c r="C2840">
        <f>Prices!C2840</f>
        <v/>
      </c>
      <c r="D2840">
        <f>Prices!D2840</f>
        <v/>
      </c>
      <c r="E2840">
        <f>Prices!E2840</f>
        <v/>
      </c>
      <c r="F2840">
        <f>Prices!F2840</f>
        <v/>
      </c>
      <c r="G2840">
        <f>IF(AND(2838&gt;=16,TEXT(A2840,"yyyy-mm")&lt;&gt;TEXT(A2841,"yyyy-mm")),1,0)</f>
        <v/>
      </c>
      <c r="H2840">
        <f>IF(OR(H2839=1,G2840=1),1,0)</f>
        <v/>
      </c>
      <c r="I2840">
        <f>IF(H2839=0,1,SUMPRODUCT(J2839:N2839,B2840:F2840)+O2839*(1+0.00023125256064071564))</f>
        <v/>
      </c>
      <c r="J2840">
        <f>IF(G2840=1,0.2*R2840/B2840,J2839)</f>
        <v/>
      </c>
      <c r="K2840">
        <f>IF(G2840=1,0.2*R2840/C2840,K2839)</f>
        <v/>
      </c>
      <c r="L2840">
        <f>IF(G2840=1,0.2*R2840/D2840,L2839)</f>
        <v/>
      </c>
      <c r="M2840">
        <f>IF(G2840=1,0.2*R2840/E2840,M2839)</f>
        <v/>
      </c>
      <c r="N2840">
        <f>IF(G2840=1,0.2*R2840/F2840,N2839)</f>
        <v/>
      </c>
      <c r="O2840">
        <f>IF(G2840=1,R2840*(1-1.0),IF(H2839=0,1,O2839*(1+0.00023125256064071564)))</f>
        <v/>
      </c>
      <c r="P2840">
        <f>IF(G2840=1,IF(H2839=0,1,ABS(0.2-J2839*B2840/I2840)+ABS(0.2-K2839*C2840/I2840)+ABS(0.2-L2839*D2840/I2840)+ABS(0.2-M2839*E2840/I2840)+ABS(0.2-N2839*F2840/I2840)),0)</f>
        <v/>
      </c>
      <c r="Q2840">
        <f>P2840*0.0015</f>
        <v/>
      </c>
      <c r="R2840">
        <f>I2840*(1-Q2840)</f>
        <v/>
      </c>
      <c r="S2840">
        <f>R2840/R2839-1</f>
        <v/>
      </c>
      <c r="T2840">
        <f>MAX(T2839,R2840)</f>
        <v/>
      </c>
      <c r="U2840">
        <f>R2840/T2840-1</f>
        <v/>
      </c>
      <c r="V2840" t="n">
        <v>7.266103533551527</v>
      </c>
      <c r="W2840" s="5">
        <f>R2840-V2840</f>
        <v/>
      </c>
    </row>
    <row r="2841">
      <c r="A2841" s="3" t="n">
        <v>42621</v>
      </c>
      <c r="B2841">
        <f>Prices!B2841</f>
        <v/>
      </c>
      <c r="C2841">
        <f>Prices!C2841</f>
        <v/>
      </c>
      <c r="D2841">
        <f>Prices!D2841</f>
        <v/>
      </c>
      <c r="E2841">
        <f>Prices!E2841</f>
        <v/>
      </c>
      <c r="F2841">
        <f>Prices!F2841</f>
        <v/>
      </c>
      <c r="G2841">
        <f>IF(AND(2839&gt;=16,TEXT(A2841,"yyyy-mm")&lt;&gt;TEXT(A2842,"yyyy-mm")),1,0)</f>
        <v/>
      </c>
      <c r="H2841">
        <f>IF(OR(H2840=1,G2841=1),1,0)</f>
        <v/>
      </c>
      <c r="I2841">
        <f>IF(H2840=0,1,SUMPRODUCT(J2840:N2840,B2841:F2841)+O2840*(1+0.00023125256064071564))</f>
        <v/>
      </c>
      <c r="J2841">
        <f>IF(G2841=1,0.2*R2841/B2841,J2840)</f>
        <v/>
      </c>
      <c r="K2841">
        <f>IF(G2841=1,0.2*R2841/C2841,K2840)</f>
        <v/>
      </c>
      <c r="L2841">
        <f>IF(G2841=1,0.2*R2841/D2841,L2840)</f>
        <v/>
      </c>
      <c r="M2841">
        <f>IF(G2841=1,0.2*R2841/E2841,M2840)</f>
        <v/>
      </c>
      <c r="N2841">
        <f>IF(G2841=1,0.2*R2841/F2841,N2840)</f>
        <v/>
      </c>
      <c r="O2841">
        <f>IF(G2841=1,R2841*(1-1.0),IF(H2840=0,1,O2840*(1+0.00023125256064071564)))</f>
        <v/>
      </c>
      <c r="P2841">
        <f>IF(G2841=1,IF(H2840=0,1,ABS(0.2-J2840*B2841/I2841)+ABS(0.2-K2840*C2841/I2841)+ABS(0.2-L2840*D2841/I2841)+ABS(0.2-M2840*E2841/I2841)+ABS(0.2-N2840*F2841/I2841)),0)</f>
        <v/>
      </c>
      <c r="Q2841">
        <f>P2841*0.0015</f>
        <v/>
      </c>
      <c r="R2841">
        <f>I2841*(1-Q2841)</f>
        <v/>
      </c>
      <c r="S2841">
        <f>R2841/R2840-1</f>
        <v/>
      </c>
      <c r="T2841">
        <f>MAX(T2840,R2841)</f>
        <v/>
      </c>
      <c r="U2841">
        <f>R2841/T2841-1</f>
        <v/>
      </c>
      <c r="V2841" t="n">
        <v>7.317930478963258</v>
      </c>
      <c r="W2841" s="5">
        <f>R2841-V2841</f>
        <v/>
      </c>
    </row>
    <row r="2842">
      <c r="A2842" s="3" t="n">
        <v>42622</v>
      </c>
      <c r="B2842">
        <f>Prices!B2842</f>
        <v/>
      </c>
      <c r="C2842">
        <f>Prices!C2842</f>
        <v/>
      </c>
      <c r="D2842">
        <f>Prices!D2842</f>
        <v/>
      </c>
      <c r="E2842">
        <f>Prices!E2842</f>
        <v/>
      </c>
      <c r="F2842">
        <f>Prices!F2842</f>
        <v/>
      </c>
      <c r="G2842">
        <f>IF(AND(2840&gt;=16,TEXT(A2842,"yyyy-mm")&lt;&gt;TEXT(A2843,"yyyy-mm")),1,0)</f>
        <v/>
      </c>
      <c r="H2842">
        <f>IF(OR(H2841=1,G2842=1),1,0)</f>
        <v/>
      </c>
      <c r="I2842">
        <f>IF(H2841=0,1,SUMPRODUCT(J2841:N2841,B2842:F2842)+O2841*(1+0.00023125256064071564))</f>
        <v/>
      </c>
      <c r="J2842">
        <f>IF(G2842=1,0.2*R2842/B2842,J2841)</f>
        <v/>
      </c>
      <c r="K2842">
        <f>IF(G2842=1,0.2*R2842/C2842,K2841)</f>
        <v/>
      </c>
      <c r="L2842">
        <f>IF(G2842=1,0.2*R2842/D2842,L2841)</f>
        <v/>
      </c>
      <c r="M2842">
        <f>IF(G2842=1,0.2*R2842/E2842,M2841)</f>
        <v/>
      </c>
      <c r="N2842">
        <f>IF(G2842=1,0.2*R2842/F2842,N2841)</f>
        <v/>
      </c>
      <c r="O2842">
        <f>IF(G2842=1,R2842*(1-1.0),IF(H2841=0,1,O2841*(1+0.00023125256064071564)))</f>
        <v/>
      </c>
      <c r="P2842">
        <f>IF(G2842=1,IF(H2841=0,1,ABS(0.2-J2841*B2842/I2842)+ABS(0.2-K2841*C2842/I2842)+ABS(0.2-L2841*D2842/I2842)+ABS(0.2-M2841*E2842/I2842)+ABS(0.2-N2841*F2842/I2842)),0)</f>
        <v/>
      </c>
      <c r="Q2842">
        <f>P2842*0.0015</f>
        <v/>
      </c>
      <c r="R2842">
        <f>I2842*(1-Q2842)</f>
        <v/>
      </c>
      <c r="S2842">
        <f>R2842/R2841-1</f>
        <v/>
      </c>
      <c r="T2842">
        <f>MAX(T2841,R2842)</f>
        <v/>
      </c>
      <c r="U2842">
        <f>R2842/T2842-1</f>
        <v/>
      </c>
      <c r="V2842" t="n">
        <v>7.254107024795217</v>
      </c>
      <c r="W2842" s="5">
        <f>R2842-V2842</f>
        <v/>
      </c>
    </row>
    <row r="2843">
      <c r="A2843" s="3" t="n">
        <v>42625</v>
      </c>
      <c r="B2843">
        <f>Prices!B2843</f>
        <v/>
      </c>
      <c r="C2843">
        <f>Prices!C2843</f>
        <v/>
      </c>
      <c r="D2843">
        <f>Prices!D2843</f>
        <v/>
      </c>
      <c r="E2843">
        <f>Prices!E2843</f>
        <v/>
      </c>
      <c r="F2843">
        <f>Prices!F2843</f>
        <v/>
      </c>
      <c r="G2843">
        <f>IF(AND(2841&gt;=16,TEXT(A2843,"yyyy-mm")&lt;&gt;TEXT(A2844,"yyyy-mm")),1,0)</f>
        <v/>
      </c>
      <c r="H2843">
        <f>IF(OR(H2842=1,G2843=1),1,0)</f>
        <v/>
      </c>
      <c r="I2843">
        <f>IF(H2842=0,1,SUMPRODUCT(J2842:N2842,B2843:F2843)+O2842*(1+0.00023125256064071564))</f>
        <v/>
      </c>
      <c r="J2843">
        <f>IF(G2843=1,0.2*R2843/B2843,J2842)</f>
        <v/>
      </c>
      <c r="K2843">
        <f>IF(G2843=1,0.2*R2843/C2843,K2842)</f>
        <v/>
      </c>
      <c r="L2843">
        <f>IF(G2843=1,0.2*R2843/D2843,L2842)</f>
        <v/>
      </c>
      <c r="M2843">
        <f>IF(G2843=1,0.2*R2843/E2843,M2842)</f>
        <v/>
      </c>
      <c r="N2843">
        <f>IF(G2843=1,0.2*R2843/F2843,N2842)</f>
        <v/>
      </c>
      <c r="O2843">
        <f>IF(G2843=1,R2843*(1-1.0),IF(H2842=0,1,O2842*(1+0.00023125256064071564)))</f>
        <v/>
      </c>
      <c r="P2843">
        <f>IF(G2843=1,IF(H2842=0,1,ABS(0.2-J2842*B2843/I2843)+ABS(0.2-K2842*C2843/I2843)+ABS(0.2-L2842*D2843/I2843)+ABS(0.2-M2842*E2843/I2843)+ABS(0.2-N2842*F2843/I2843)),0)</f>
        <v/>
      </c>
      <c r="Q2843">
        <f>P2843*0.0015</f>
        <v/>
      </c>
      <c r="R2843">
        <f>I2843*(1-Q2843)</f>
        <v/>
      </c>
      <c r="S2843">
        <f>R2843/R2842-1</f>
        <v/>
      </c>
      <c r="T2843">
        <f>MAX(T2842,R2843)</f>
        <v/>
      </c>
      <c r="U2843">
        <f>R2843/T2843-1</f>
        <v/>
      </c>
      <c r="V2843" t="n">
        <v>7.071585350239553</v>
      </c>
      <c r="W2843" s="5">
        <f>R2843-V2843</f>
        <v/>
      </c>
    </row>
    <row r="2844">
      <c r="A2844" s="3" t="n">
        <v>42627</v>
      </c>
      <c r="B2844">
        <f>Prices!B2844</f>
        <v/>
      </c>
      <c r="C2844">
        <f>Prices!C2844</f>
        <v/>
      </c>
      <c r="D2844">
        <f>Prices!D2844</f>
        <v/>
      </c>
      <c r="E2844">
        <f>Prices!E2844</f>
        <v/>
      </c>
      <c r="F2844">
        <f>Prices!F2844</f>
        <v/>
      </c>
      <c r="G2844">
        <f>IF(AND(2842&gt;=16,TEXT(A2844,"yyyy-mm")&lt;&gt;TEXT(A2845,"yyyy-mm")),1,0)</f>
        <v/>
      </c>
      <c r="H2844">
        <f>IF(OR(H2843=1,G2844=1),1,0)</f>
        <v/>
      </c>
      <c r="I2844">
        <f>IF(H2843=0,1,SUMPRODUCT(J2843:N2843,B2844:F2844)+O2843*(1+0.00023125256064071564))</f>
        <v/>
      </c>
      <c r="J2844">
        <f>IF(G2844=1,0.2*R2844/B2844,J2843)</f>
        <v/>
      </c>
      <c r="K2844">
        <f>IF(G2844=1,0.2*R2844/C2844,K2843)</f>
        <v/>
      </c>
      <c r="L2844">
        <f>IF(G2844=1,0.2*R2844/D2844,L2843)</f>
        <v/>
      </c>
      <c r="M2844">
        <f>IF(G2844=1,0.2*R2844/E2844,M2843)</f>
        <v/>
      </c>
      <c r="N2844">
        <f>IF(G2844=1,0.2*R2844/F2844,N2843)</f>
        <v/>
      </c>
      <c r="O2844">
        <f>IF(G2844=1,R2844*(1-1.0),IF(H2843=0,1,O2843*(1+0.00023125256064071564)))</f>
        <v/>
      </c>
      <c r="P2844">
        <f>IF(G2844=1,IF(H2843=0,1,ABS(0.2-J2843*B2844/I2844)+ABS(0.2-K2843*C2844/I2844)+ABS(0.2-L2843*D2844/I2844)+ABS(0.2-M2843*E2844/I2844)+ABS(0.2-N2843*F2844/I2844)),0)</f>
        <v/>
      </c>
      <c r="Q2844">
        <f>P2844*0.0015</f>
        <v/>
      </c>
      <c r="R2844">
        <f>I2844*(1-Q2844)</f>
        <v/>
      </c>
      <c r="S2844">
        <f>R2844/R2843-1</f>
        <v/>
      </c>
      <c r="T2844">
        <f>MAX(T2843,R2844)</f>
        <v/>
      </c>
      <c r="U2844">
        <f>R2844/T2844-1</f>
        <v/>
      </c>
      <c r="V2844" t="n">
        <v>7.13638023734226</v>
      </c>
      <c r="W2844" s="5">
        <f>R2844-V2844</f>
        <v/>
      </c>
    </row>
    <row r="2845">
      <c r="A2845" s="3" t="n">
        <v>42628</v>
      </c>
      <c r="B2845">
        <f>Prices!B2845</f>
        <v/>
      </c>
      <c r="C2845">
        <f>Prices!C2845</f>
        <v/>
      </c>
      <c r="D2845">
        <f>Prices!D2845</f>
        <v/>
      </c>
      <c r="E2845">
        <f>Prices!E2845</f>
        <v/>
      </c>
      <c r="F2845">
        <f>Prices!F2845</f>
        <v/>
      </c>
      <c r="G2845">
        <f>IF(AND(2843&gt;=16,TEXT(A2845,"yyyy-mm")&lt;&gt;TEXT(A2846,"yyyy-mm")),1,0)</f>
        <v/>
      </c>
      <c r="H2845">
        <f>IF(OR(H2844=1,G2845=1),1,0)</f>
        <v/>
      </c>
      <c r="I2845">
        <f>IF(H2844=0,1,SUMPRODUCT(J2844:N2844,B2845:F2845)+O2844*(1+0.00023125256064071564))</f>
        <v/>
      </c>
      <c r="J2845">
        <f>IF(G2845=1,0.2*R2845/B2845,J2844)</f>
        <v/>
      </c>
      <c r="K2845">
        <f>IF(G2845=1,0.2*R2845/C2845,K2844)</f>
        <v/>
      </c>
      <c r="L2845">
        <f>IF(G2845=1,0.2*R2845/D2845,L2844)</f>
        <v/>
      </c>
      <c r="M2845">
        <f>IF(G2845=1,0.2*R2845/E2845,M2844)</f>
        <v/>
      </c>
      <c r="N2845">
        <f>IF(G2845=1,0.2*R2845/F2845,N2844)</f>
        <v/>
      </c>
      <c r="O2845">
        <f>IF(G2845=1,R2845*(1-1.0),IF(H2844=0,1,O2844*(1+0.00023125256064071564)))</f>
        <v/>
      </c>
      <c r="P2845">
        <f>IF(G2845=1,IF(H2844=0,1,ABS(0.2-J2844*B2845/I2845)+ABS(0.2-K2844*C2845/I2845)+ABS(0.2-L2844*D2845/I2845)+ABS(0.2-M2844*E2845/I2845)+ABS(0.2-N2844*F2845/I2845)),0)</f>
        <v/>
      </c>
      <c r="Q2845">
        <f>P2845*0.0015</f>
        <v/>
      </c>
      <c r="R2845">
        <f>I2845*(1-Q2845)</f>
        <v/>
      </c>
      <c r="S2845">
        <f>R2845/R2844-1</f>
        <v/>
      </c>
      <c r="T2845">
        <f>MAX(T2844,R2845)</f>
        <v/>
      </c>
      <c r="U2845">
        <f>R2845/T2845-1</f>
        <v/>
      </c>
      <c r="V2845" t="n">
        <v>7.144342962146885</v>
      </c>
      <c r="W2845" s="5">
        <f>R2845-V2845</f>
        <v/>
      </c>
    </row>
    <row r="2846">
      <c r="A2846" s="3" t="n">
        <v>42629</v>
      </c>
      <c r="B2846">
        <f>Prices!B2846</f>
        <v/>
      </c>
      <c r="C2846">
        <f>Prices!C2846</f>
        <v/>
      </c>
      <c r="D2846">
        <f>Prices!D2846</f>
        <v/>
      </c>
      <c r="E2846">
        <f>Prices!E2846</f>
        <v/>
      </c>
      <c r="F2846">
        <f>Prices!F2846</f>
        <v/>
      </c>
      <c r="G2846">
        <f>IF(AND(2844&gt;=16,TEXT(A2846,"yyyy-mm")&lt;&gt;TEXT(A2847,"yyyy-mm")),1,0)</f>
        <v/>
      </c>
      <c r="H2846">
        <f>IF(OR(H2845=1,G2846=1),1,0)</f>
        <v/>
      </c>
      <c r="I2846">
        <f>IF(H2845=0,1,SUMPRODUCT(J2845:N2845,B2846:F2846)+O2845*(1+0.00023125256064071564))</f>
        <v/>
      </c>
      <c r="J2846">
        <f>IF(G2846=1,0.2*R2846/B2846,J2845)</f>
        <v/>
      </c>
      <c r="K2846">
        <f>IF(G2846=1,0.2*R2846/C2846,K2845)</f>
        <v/>
      </c>
      <c r="L2846">
        <f>IF(G2846=1,0.2*R2846/D2846,L2845)</f>
        <v/>
      </c>
      <c r="M2846">
        <f>IF(G2846=1,0.2*R2846/E2846,M2845)</f>
        <v/>
      </c>
      <c r="N2846">
        <f>IF(G2846=1,0.2*R2846/F2846,N2845)</f>
        <v/>
      </c>
      <c r="O2846">
        <f>IF(G2846=1,R2846*(1-1.0),IF(H2845=0,1,O2845*(1+0.00023125256064071564)))</f>
        <v/>
      </c>
      <c r="P2846">
        <f>IF(G2846=1,IF(H2845=0,1,ABS(0.2-J2845*B2846/I2846)+ABS(0.2-K2845*C2846/I2846)+ABS(0.2-L2845*D2846/I2846)+ABS(0.2-M2845*E2846/I2846)+ABS(0.2-N2845*F2846/I2846)),0)</f>
        <v/>
      </c>
      <c r="Q2846">
        <f>P2846*0.0015</f>
        <v/>
      </c>
      <c r="R2846">
        <f>I2846*(1-Q2846)</f>
        <v/>
      </c>
      <c r="S2846">
        <f>R2846/R2845-1</f>
        <v/>
      </c>
      <c r="T2846">
        <f>MAX(T2845,R2846)</f>
        <v/>
      </c>
      <c r="U2846">
        <f>R2846/T2846-1</f>
        <v/>
      </c>
      <c r="V2846" t="n">
        <v>7.156235537943795</v>
      </c>
      <c r="W2846" s="5">
        <f>R2846-V2846</f>
        <v/>
      </c>
    </row>
    <row r="2847">
      <c r="A2847" s="3" t="n">
        <v>42632</v>
      </c>
      <c r="B2847">
        <f>Prices!B2847</f>
        <v/>
      </c>
      <c r="C2847">
        <f>Prices!C2847</f>
        <v/>
      </c>
      <c r="D2847">
        <f>Prices!D2847</f>
        <v/>
      </c>
      <c r="E2847">
        <f>Prices!E2847</f>
        <v/>
      </c>
      <c r="F2847">
        <f>Prices!F2847</f>
        <v/>
      </c>
      <c r="G2847">
        <f>IF(AND(2845&gt;=16,TEXT(A2847,"yyyy-mm")&lt;&gt;TEXT(A2848,"yyyy-mm")),1,0)</f>
        <v/>
      </c>
      <c r="H2847">
        <f>IF(OR(H2846=1,G2847=1),1,0)</f>
        <v/>
      </c>
      <c r="I2847">
        <f>IF(H2846=0,1,SUMPRODUCT(J2846:N2846,B2847:F2847)+O2846*(1+0.00023125256064071564))</f>
        <v/>
      </c>
      <c r="J2847">
        <f>IF(G2847=1,0.2*R2847/B2847,J2846)</f>
        <v/>
      </c>
      <c r="K2847">
        <f>IF(G2847=1,0.2*R2847/C2847,K2846)</f>
        <v/>
      </c>
      <c r="L2847">
        <f>IF(G2847=1,0.2*R2847/D2847,L2846)</f>
        <v/>
      </c>
      <c r="M2847">
        <f>IF(G2847=1,0.2*R2847/E2847,M2846)</f>
        <v/>
      </c>
      <c r="N2847">
        <f>IF(G2847=1,0.2*R2847/F2847,N2846)</f>
        <v/>
      </c>
      <c r="O2847">
        <f>IF(G2847=1,R2847*(1-1.0),IF(H2846=0,1,O2846*(1+0.00023125256064071564)))</f>
        <v/>
      </c>
      <c r="P2847">
        <f>IF(G2847=1,IF(H2846=0,1,ABS(0.2-J2846*B2847/I2847)+ABS(0.2-K2846*C2847/I2847)+ABS(0.2-L2846*D2847/I2847)+ABS(0.2-M2846*E2847/I2847)+ABS(0.2-N2846*F2847/I2847)),0)</f>
        <v/>
      </c>
      <c r="Q2847">
        <f>P2847*0.0015</f>
        <v/>
      </c>
      <c r="R2847">
        <f>I2847*(1-Q2847)</f>
        <v/>
      </c>
      <c r="S2847">
        <f>R2847/R2846-1</f>
        <v/>
      </c>
      <c r="T2847">
        <f>MAX(T2846,R2847)</f>
        <v/>
      </c>
      <c r="U2847">
        <f>R2847/T2847-1</f>
        <v/>
      </c>
      <c r="V2847" t="n">
        <v>7.189986174164281</v>
      </c>
      <c r="W2847" s="5">
        <f>R2847-V2847</f>
        <v/>
      </c>
    </row>
    <row r="2848">
      <c r="A2848" s="3" t="n">
        <v>42633</v>
      </c>
      <c r="B2848">
        <f>Prices!B2848</f>
        <v/>
      </c>
      <c r="C2848">
        <f>Prices!C2848</f>
        <v/>
      </c>
      <c r="D2848">
        <f>Prices!D2848</f>
        <v/>
      </c>
      <c r="E2848">
        <f>Prices!E2848</f>
        <v/>
      </c>
      <c r="F2848">
        <f>Prices!F2848</f>
        <v/>
      </c>
      <c r="G2848">
        <f>IF(AND(2846&gt;=16,TEXT(A2848,"yyyy-mm")&lt;&gt;TEXT(A2849,"yyyy-mm")),1,0)</f>
        <v/>
      </c>
      <c r="H2848">
        <f>IF(OR(H2847=1,G2848=1),1,0)</f>
        <v/>
      </c>
      <c r="I2848">
        <f>IF(H2847=0,1,SUMPRODUCT(J2847:N2847,B2848:F2848)+O2847*(1+0.00023125256064071564))</f>
        <v/>
      </c>
      <c r="J2848">
        <f>IF(G2848=1,0.2*R2848/B2848,J2847)</f>
        <v/>
      </c>
      <c r="K2848">
        <f>IF(G2848=1,0.2*R2848/C2848,K2847)</f>
        <v/>
      </c>
      <c r="L2848">
        <f>IF(G2848=1,0.2*R2848/D2848,L2847)</f>
        <v/>
      </c>
      <c r="M2848">
        <f>IF(G2848=1,0.2*R2848/E2848,M2847)</f>
        <v/>
      </c>
      <c r="N2848">
        <f>IF(G2848=1,0.2*R2848/F2848,N2847)</f>
        <v/>
      </c>
      <c r="O2848">
        <f>IF(G2848=1,R2848*(1-1.0),IF(H2847=0,1,O2847*(1+0.00023125256064071564)))</f>
        <v/>
      </c>
      <c r="P2848">
        <f>IF(G2848=1,IF(H2847=0,1,ABS(0.2-J2847*B2848/I2848)+ABS(0.2-K2847*C2848/I2848)+ABS(0.2-L2847*D2848/I2848)+ABS(0.2-M2847*E2848/I2848)+ABS(0.2-N2847*F2848/I2848)),0)</f>
        <v/>
      </c>
      <c r="Q2848">
        <f>P2848*0.0015</f>
        <v/>
      </c>
      <c r="R2848">
        <f>I2848*(1-Q2848)</f>
        <v/>
      </c>
      <c r="S2848">
        <f>R2848/R2847-1</f>
        <v/>
      </c>
      <c r="T2848">
        <f>MAX(T2847,R2848)</f>
        <v/>
      </c>
      <c r="U2848">
        <f>R2848/T2848-1</f>
        <v/>
      </c>
      <c r="V2848" t="n">
        <v>7.170475353069941</v>
      </c>
      <c r="W2848" s="5">
        <f>R2848-V2848</f>
        <v/>
      </c>
    </row>
    <row r="2849">
      <c r="A2849" s="3" t="n">
        <v>42634</v>
      </c>
      <c r="B2849">
        <f>Prices!B2849</f>
        <v/>
      </c>
      <c r="C2849">
        <f>Prices!C2849</f>
        <v/>
      </c>
      <c r="D2849">
        <f>Prices!D2849</f>
        <v/>
      </c>
      <c r="E2849">
        <f>Prices!E2849</f>
        <v/>
      </c>
      <c r="F2849">
        <f>Prices!F2849</f>
        <v/>
      </c>
      <c r="G2849">
        <f>IF(AND(2847&gt;=16,TEXT(A2849,"yyyy-mm")&lt;&gt;TEXT(A2850,"yyyy-mm")),1,0)</f>
        <v/>
      </c>
      <c r="H2849">
        <f>IF(OR(H2848=1,G2849=1),1,0)</f>
        <v/>
      </c>
      <c r="I2849">
        <f>IF(H2848=0,1,SUMPRODUCT(J2848:N2848,B2849:F2849)+O2848*(1+0.00023125256064071564))</f>
        <v/>
      </c>
      <c r="J2849">
        <f>IF(G2849=1,0.2*R2849/B2849,J2848)</f>
        <v/>
      </c>
      <c r="K2849">
        <f>IF(G2849=1,0.2*R2849/C2849,K2848)</f>
        <v/>
      </c>
      <c r="L2849">
        <f>IF(G2849=1,0.2*R2849/D2849,L2848)</f>
        <v/>
      </c>
      <c r="M2849">
        <f>IF(G2849=1,0.2*R2849/E2849,M2848)</f>
        <v/>
      </c>
      <c r="N2849">
        <f>IF(G2849=1,0.2*R2849/F2849,N2848)</f>
        <v/>
      </c>
      <c r="O2849">
        <f>IF(G2849=1,R2849*(1-1.0),IF(H2848=0,1,O2848*(1+0.00023125256064071564)))</f>
        <v/>
      </c>
      <c r="P2849">
        <f>IF(G2849=1,IF(H2848=0,1,ABS(0.2-J2848*B2849/I2849)+ABS(0.2-K2848*C2849/I2849)+ABS(0.2-L2848*D2849/I2849)+ABS(0.2-M2848*E2849/I2849)+ABS(0.2-N2848*F2849/I2849)),0)</f>
        <v/>
      </c>
      <c r="Q2849">
        <f>P2849*0.0015</f>
        <v/>
      </c>
      <c r="R2849">
        <f>I2849*(1-Q2849)</f>
        <v/>
      </c>
      <c r="S2849">
        <f>R2849/R2848-1</f>
        <v/>
      </c>
      <c r="T2849">
        <f>MAX(T2848,R2849)</f>
        <v/>
      </c>
      <c r="U2849">
        <f>R2849/T2849-1</f>
        <v/>
      </c>
      <c r="V2849" t="n">
        <v>7.180161604530055</v>
      </c>
      <c r="W2849" s="5">
        <f>R2849-V2849</f>
        <v/>
      </c>
    </row>
    <row r="2850">
      <c r="A2850" s="3" t="n">
        <v>42635</v>
      </c>
      <c r="B2850">
        <f>Prices!B2850</f>
        <v/>
      </c>
      <c r="C2850">
        <f>Prices!C2850</f>
        <v/>
      </c>
      <c r="D2850">
        <f>Prices!D2850</f>
        <v/>
      </c>
      <c r="E2850">
        <f>Prices!E2850</f>
        <v/>
      </c>
      <c r="F2850">
        <f>Prices!F2850</f>
        <v/>
      </c>
      <c r="G2850">
        <f>IF(AND(2848&gt;=16,TEXT(A2850,"yyyy-mm")&lt;&gt;TEXT(A2851,"yyyy-mm")),1,0)</f>
        <v/>
      </c>
      <c r="H2850">
        <f>IF(OR(H2849=1,G2850=1),1,0)</f>
        <v/>
      </c>
      <c r="I2850">
        <f>IF(H2849=0,1,SUMPRODUCT(J2849:N2849,B2850:F2850)+O2849*(1+0.00023125256064071564))</f>
        <v/>
      </c>
      <c r="J2850">
        <f>IF(G2850=1,0.2*R2850/B2850,J2849)</f>
        <v/>
      </c>
      <c r="K2850">
        <f>IF(G2850=1,0.2*R2850/C2850,K2849)</f>
        <v/>
      </c>
      <c r="L2850">
        <f>IF(G2850=1,0.2*R2850/D2850,L2849)</f>
        <v/>
      </c>
      <c r="M2850">
        <f>IF(G2850=1,0.2*R2850/E2850,M2849)</f>
        <v/>
      </c>
      <c r="N2850">
        <f>IF(G2850=1,0.2*R2850/F2850,N2849)</f>
        <v/>
      </c>
      <c r="O2850">
        <f>IF(G2850=1,R2850*(1-1.0),IF(H2849=0,1,O2849*(1+0.00023125256064071564)))</f>
        <v/>
      </c>
      <c r="P2850">
        <f>IF(G2850=1,IF(H2849=0,1,ABS(0.2-J2849*B2850/I2850)+ABS(0.2-K2849*C2850/I2850)+ABS(0.2-L2849*D2850/I2850)+ABS(0.2-M2849*E2850/I2850)+ABS(0.2-N2849*F2850/I2850)),0)</f>
        <v/>
      </c>
      <c r="Q2850">
        <f>P2850*0.0015</f>
        <v/>
      </c>
      <c r="R2850">
        <f>I2850*(1-Q2850)</f>
        <v/>
      </c>
      <c r="S2850">
        <f>R2850/R2849-1</f>
        <v/>
      </c>
      <c r="T2850">
        <f>MAX(T2849,R2850)</f>
        <v/>
      </c>
      <c r="U2850">
        <f>R2850/T2850-1</f>
        <v/>
      </c>
      <c r="V2850" t="n">
        <v>7.263774021388779</v>
      </c>
      <c r="W2850" s="5">
        <f>R2850-V2850</f>
        <v/>
      </c>
    </row>
    <row r="2851">
      <c r="A2851" s="3" t="n">
        <v>42636</v>
      </c>
      <c r="B2851">
        <f>Prices!B2851</f>
        <v/>
      </c>
      <c r="C2851">
        <f>Prices!C2851</f>
        <v/>
      </c>
      <c r="D2851">
        <f>Prices!D2851</f>
        <v/>
      </c>
      <c r="E2851">
        <f>Prices!E2851</f>
        <v/>
      </c>
      <c r="F2851">
        <f>Prices!F2851</f>
        <v/>
      </c>
      <c r="G2851">
        <f>IF(AND(2849&gt;=16,TEXT(A2851,"yyyy-mm")&lt;&gt;TEXT(A2852,"yyyy-mm")),1,0)</f>
        <v/>
      </c>
      <c r="H2851">
        <f>IF(OR(H2850=1,G2851=1),1,0)</f>
        <v/>
      </c>
      <c r="I2851">
        <f>IF(H2850=0,1,SUMPRODUCT(J2850:N2850,B2851:F2851)+O2850*(1+0.00023125256064071564))</f>
        <v/>
      </c>
      <c r="J2851">
        <f>IF(G2851=1,0.2*R2851/B2851,J2850)</f>
        <v/>
      </c>
      <c r="K2851">
        <f>IF(G2851=1,0.2*R2851/C2851,K2850)</f>
        <v/>
      </c>
      <c r="L2851">
        <f>IF(G2851=1,0.2*R2851/D2851,L2850)</f>
        <v/>
      </c>
      <c r="M2851">
        <f>IF(G2851=1,0.2*R2851/E2851,M2850)</f>
        <v/>
      </c>
      <c r="N2851">
        <f>IF(G2851=1,0.2*R2851/F2851,N2850)</f>
        <v/>
      </c>
      <c r="O2851">
        <f>IF(G2851=1,R2851*(1-1.0),IF(H2850=0,1,O2850*(1+0.00023125256064071564)))</f>
        <v/>
      </c>
      <c r="P2851">
        <f>IF(G2851=1,IF(H2850=0,1,ABS(0.2-J2850*B2851/I2851)+ABS(0.2-K2850*C2851/I2851)+ABS(0.2-L2850*D2851/I2851)+ABS(0.2-M2850*E2851/I2851)+ABS(0.2-N2850*F2851/I2851)),0)</f>
        <v/>
      </c>
      <c r="Q2851">
        <f>P2851*0.0015</f>
        <v/>
      </c>
      <c r="R2851">
        <f>I2851*(1-Q2851)</f>
        <v/>
      </c>
      <c r="S2851">
        <f>R2851/R2850-1</f>
        <v/>
      </c>
      <c r="T2851">
        <f>MAX(T2850,R2851)</f>
        <v/>
      </c>
      <c r="U2851">
        <f>R2851/T2851-1</f>
        <v/>
      </c>
      <c r="V2851" t="n">
        <v>7.262376399483047</v>
      </c>
      <c r="W2851" s="5">
        <f>R2851-V2851</f>
        <v/>
      </c>
    </row>
    <row r="2852">
      <c r="A2852" s="3" t="n">
        <v>42639</v>
      </c>
      <c r="B2852">
        <f>Prices!B2852</f>
        <v/>
      </c>
      <c r="C2852">
        <f>Prices!C2852</f>
        <v/>
      </c>
      <c r="D2852">
        <f>Prices!D2852</f>
        <v/>
      </c>
      <c r="E2852">
        <f>Prices!E2852</f>
        <v/>
      </c>
      <c r="F2852">
        <f>Prices!F2852</f>
        <v/>
      </c>
      <c r="G2852">
        <f>IF(AND(2850&gt;=16,TEXT(A2852,"yyyy-mm")&lt;&gt;TEXT(A2853,"yyyy-mm")),1,0)</f>
        <v/>
      </c>
      <c r="H2852">
        <f>IF(OR(H2851=1,G2852=1),1,0)</f>
        <v/>
      </c>
      <c r="I2852">
        <f>IF(H2851=0,1,SUMPRODUCT(J2851:N2851,B2852:F2852)+O2851*(1+0.00023125256064071564))</f>
        <v/>
      </c>
      <c r="J2852">
        <f>IF(G2852=1,0.2*R2852/B2852,J2851)</f>
        <v/>
      </c>
      <c r="K2852">
        <f>IF(G2852=1,0.2*R2852/C2852,K2851)</f>
        <v/>
      </c>
      <c r="L2852">
        <f>IF(G2852=1,0.2*R2852/D2852,L2851)</f>
        <v/>
      </c>
      <c r="M2852">
        <f>IF(G2852=1,0.2*R2852/E2852,M2851)</f>
        <v/>
      </c>
      <c r="N2852">
        <f>IF(G2852=1,0.2*R2852/F2852,N2851)</f>
        <v/>
      </c>
      <c r="O2852">
        <f>IF(G2852=1,R2852*(1-1.0),IF(H2851=0,1,O2851*(1+0.00023125256064071564)))</f>
        <v/>
      </c>
      <c r="P2852">
        <f>IF(G2852=1,IF(H2851=0,1,ABS(0.2-J2851*B2852/I2852)+ABS(0.2-K2851*C2852/I2852)+ABS(0.2-L2851*D2852/I2852)+ABS(0.2-M2851*E2852/I2852)+ABS(0.2-N2851*F2852/I2852)),0)</f>
        <v/>
      </c>
      <c r="Q2852">
        <f>P2852*0.0015</f>
        <v/>
      </c>
      <c r="R2852">
        <f>I2852*(1-Q2852)</f>
        <v/>
      </c>
      <c r="S2852">
        <f>R2852/R2851-1</f>
        <v/>
      </c>
      <c r="T2852">
        <f>MAX(T2851,R2852)</f>
        <v/>
      </c>
      <c r="U2852">
        <f>R2852/T2852-1</f>
        <v/>
      </c>
      <c r="V2852" t="n">
        <v>7.224352897977758</v>
      </c>
      <c r="W2852" s="5">
        <f>R2852-V2852</f>
        <v/>
      </c>
    </row>
    <row r="2853">
      <c r="A2853" s="3" t="n">
        <v>42640</v>
      </c>
      <c r="B2853">
        <f>Prices!B2853</f>
        <v/>
      </c>
      <c r="C2853">
        <f>Prices!C2853</f>
        <v/>
      </c>
      <c r="D2853">
        <f>Prices!D2853</f>
        <v/>
      </c>
      <c r="E2853">
        <f>Prices!E2853</f>
        <v/>
      </c>
      <c r="F2853">
        <f>Prices!F2853</f>
        <v/>
      </c>
      <c r="G2853">
        <f>IF(AND(2851&gt;=16,TEXT(A2853,"yyyy-mm")&lt;&gt;TEXT(A2854,"yyyy-mm")),1,0)</f>
        <v/>
      </c>
      <c r="H2853">
        <f>IF(OR(H2852=1,G2853=1),1,0)</f>
        <v/>
      </c>
      <c r="I2853">
        <f>IF(H2852=0,1,SUMPRODUCT(J2852:N2852,B2853:F2853)+O2852*(1+0.00023125256064071564))</f>
        <v/>
      </c>
      <c r="J2853">
        <f>IF(G2853=1,0.2*R2853/B2853,J2852)</f>
        <v/>
      </c>
      <c r="K2853">
        <f>IF(G2853=1,0.2*R2853/C2853,K2852)</f>
        <v/>
      </c>
      <c r="L2853">
        <f>IF(G2853=1,0.2*R2853/D2853,L2852)</f>
        <v/>
      </c>
      <c r="M2853">
        <f>IF(G2853=1,0.2*R2853/E2853,M2852)</f>
        <v/>
      </c>
      <c r="N2853">
        <f>IF(G2853=1,0.2*R2853/F2853,N2852)</f>
        <v/>
      </c>
      <c r="O2853">
        <f>IF(G2853=1,R2853*(1-1.0),IF(H2852=0,1,O2852*(1+0.00023125256064071564)))</f>
        <v/>
      </c>
      <c r="P2853">
        <f>IF(G2853=1,IF(H2852=0,1,ABS(0.2-J2852*B2853/I2853)+ABS(0.2-K2852*C2853/I2853)+ABS(0.2-L2852*D2853/I2853)+ABS(0.2-M2852*E2853/I2853)+ABS(0.2-N2852*F2853/I2853)),0)</f>
        <v/>
      </c>
      <c r="Q2853">
        <f>P2853*0.0015</f>
        <v/>
      </c>
      <c r="R2853">
        <f>I2853*(1-Q2853)</f>
        <v/>
      </c>
      <c r="S2853">
        <f>R2853/R2852-1</f>
        <v/>
      </c>
      <c r="T2853">
        <f>MAX(T2852,R2853)</f>
        <v/>
      </c>
      <c r="U2853">
        <f>R2853/T2853-1</f>
        <v/>
      </c>
      <c r="V2853" t="n">
        <v>7.213951682442157</v>
      </c>
      <c r="W2853" s="5">
        <f>R2853-V2853</f>
        <v/>
      </c>
    </row>
    <row r="2854">
      <c r="A2854" s="3" t="n">
        <v>42641</v>
      </c>
      <c r="B2854">
        <f>Prices!B2854</f>
        <v/>
      </c>
      <c r="C2854">
        <f>Prices!C2854</f>
        <v/>
      </c>
      <c r="D2854">
        <f>Prices!D2854</f>
        <v/>
      </c>
      <c r="E2854">
        <f>Prices!E2854</f>
        <v/>
      </c>
      <c r="F2854">
        <f>Prices!F2854</f>
        <v/>
      </c>
      <c r="G2854">
        <f>IF(AND(2852&gt;=16,TEXT(A2854,"yyyy-mm")&lt;&gt;TEXT(A2855,"yyyy-mm")),1,0)</f>
        <v/>
      </c>
      <c r="H2854">
        <f>IF(OR(H2853=1,G2854=1),1,0)</f>
        <v/>
      </c>
      <c r="I2854">
        <f>IF(H2853=0,1,SUMPRODUCT(J2853:N2853,B2854:F2854)+O2853*(1+0.00023125256064071564))</f>
        <v/>
      </c>
      <c r="J2854">
        <f>IF(G2854=1,0.2*R2854/B2854,J2853)</f>
        <v/>
      </c>
      <c r="K2854">
        <f>IF(G2854=1,0.2*R2854/C2854,K2853)</f>
        <v/>
      </c>
      <c r="L2854">
        <f>IF(G2854=1,0.2*R2854/D2854,L2853)</f>
        <v/>
      </c>
      <c r="M2854">
        <f>IF(G2854=1,0.2*R2854/E2854,M2853)</f>
        <v/>
      </c>
      <c r="N2854">
        <f>IF(G2854=1,0.2*R2854/F2854,N2853)</f>
        <v/>
      </c>
      <c r="O2854">
        <f>IF(G2854=1,R2854*(1-1.0),IF(H2853=0,1,O2853*(1+0.00023125256064071564)))</f>
        <v/>
      </c>
      <c r="P2854">
        <f>IF(G2854=1,IF(H2853=0,1,ABS(0.2-J2853*B2854/I2854)+ABS(0.2-K2853*C2854/I2854)+ABS(0.2-L2853*D2854/I2854)+ABS(0.2-M2853*E2854/I2854)+ABS(0.2-N2853*F2854/I2854)),0)</f>
        <v/>
      </c>
      <c r="Q2854">
        <f>P2854*0.0015</f>
        <v/>
      </c>
      <c r="R2854">
        <f>I2854*(1-Q2854)</f>
        <v/>
      </c>
      <c r="S2854">
        <f>R2854/R2853-1</f>
        <v/>
      </c>
      <c r="T2854">
        <f>MAX(T2853,R2854)</f>
        <v/>
      </c>
      <c r="U2854">
        <f>R2854/T2854-1</f>
        <v/>
      </c>
      <c r="V2854" t="n">
        <v>7.270537886901635</v>
      </c>
      <c r="W2854" s="5">
        <f>R2854-V2854</f>
        <v/>
      </c>
    </row>
    <row r="2855">
      <c r="A2855" s="3" t="n">
        <v>42642</v>
      </c>
      <c r="B2855">
        <f>Prices!B2855</f>
        <v/>
      </c>
      <c r="C2855">
        <f>Prices!C2855</f>
        <v/>
      </c>
      <c r="D2855">
        <f>Prices!D2855</f>
        <v/>
      </c>
      <c r="E2855">
        <f>Prices!E2855</f>
        <v/>
      </c>
      <c r="F2855">
        <f>Prices!F2855</f>
        <v/>
      </c>
      <c r="G2855">
        <f>IF(AND(2853&gt;=16,TEXT(A2855,"yyyy-mm")&lt;&gt;TEXT(A2856,"yyyy-mm")),1,0)</f>
        <v/>
      </c>
      <c r="H2855">
        <f>IF(OR(H2854=1,G2855=1),1,0)</f>
        <v/>
      </c>
      <c r="I2855">
        <f>IF(H2854=0,1,SUMPRODUCT(J2854:N2854,B2855:F2855)+O2854*(1+0.00023125256064071564))</f>
        <v/>
      </c>
      <c r="J2855">
        <f>IF(G2855=1,0.2*R2855/B2855,J2854)</f>
        <v/>
      </c>
      <c r="K2855">
        <f>IF(G2855=1,0.2*R2855/C2855,K2854)</f>
        <v/>
      </c>
      <c r="L2855">
        <f>IF(G2855=1,0.2*R2855/D2855,L2854)</f>
        <v/>
      </c>
      <c r="M2855">
        <f>IF(G2855=1,0.2*R2855/E2855,M2854)</f>
        <v/>
      </c>
      <c r="N2855">
        <f>IF(G2855=1,0.2*R2855/F2855,N2854)</f>
        <v/>
      </c>
      <c r="O2855">
        <f>IF(G2855=1,R2855*(1-1.0),IF(H2854=0,1,O2854*(1+0.00023125256064071564)))</f>
        <v/>
      </c>
      <c r="P2855">
        <f>IF(G2855=1,IF(H2854=0,1,ABS(0.2-J2854*B2855/I2855)+ABS(0.2-K2854*C2855/I2855)+ABS(0.2-L2854*D2855/I2855)+ABS(0.2-M2854*E2855/I2855)+ABS(0.2-N2854*F2855/I2855)),0)</f>
        <v/>
      </c>
      <c r="Q2855">
        <f>P2855*0.0015</f>
        <v/>
      </c>
      <c r="R2855">
        <f>I2855*(1-Q2855)</f>
        <v/>
      </c>
      <c r="S2855">
        <f>R2855/R2854-1</f>
        <v/>
      </c>
      <c r="T2855">
        <f>MAX(T2854,R2855)</f>
        <v/>
      </c>
      <c r="U2855">
        <f>R2855/T2855-1</f>
        <v/>
      </c>
      <c r="V2855" t="n">
        <v>7.020576961432529</v>
      </c>
      <c r="W2855" s="5">
        <f>R2855-V2855</f>
        <v/>
      </c>
    </row>
    <row r="2856">
      <c r="A2856" s="3" t="n">
        <v>42643</v>
      </c>
      <c r="B2856">
        <f>Prices!B2856</f>
        <v/>
      </c>
      <c r="C2856">
        <f>Prices!C2856</f>
        <v/>
      </c>
      <c r="D2856">
        <f>Prices!D2856</f>
        <v/>
      </c>
      <c r="E2856">
        <f>Prices!E2856</f>
        <v/>
      </c>
      <c r="F2856">
        <f>Prices!F2856</f>
        <v/>
      </c>
      <c r="G2856">
        <f>IF(AND(2854&gt;=16,TEXT(A2856,"yyyy-mm")&lt;&gt;TEXT(A2857,"yyyy-mm")),1,0)</f>
        <v/>
      </c>
      <c r="H2856">
        <f>IF(OR(H2855=1,G2856=1),1,0)</f>
        <v/>
      </c>
      <c r="I2856">
        <f>IF(H2855=0,1,SUMPRODUCT(J2855:N2855,B2856:F2856)+O2855*(1+0.00023125256064071564))</f>
        <v/>
      </c>
      <c r="J2856">
        <f>IF(G2856=1,0.2*R2856/B2856,J2855)</f>
        <v/>
      </c>
      <c r="K2856">
        <f>IF(G2856=1,0.2*R2856/C2856,K2855)</f>
        <v/>
      </c>
      <c r="L2856">
        <f>IF(G2856=1,0.2*R2856/D2856,L2855)</f>
        <v/>
      </c>
      <c r="M2856">
        <f>IF(G2856=1,0.2*R2856/E2856,M2855)</f>
        <v/>
      </c>
      <c r="N2856">
        <f>IF(G2856=1,0.2*R2856/F2856,N2855)</f>
        <v/>
      </c>
      <c r="O2856">
        <f>IF(G2856=1,R2856*(1-1.0),IF(H2855=0,1,O2855*(1+0.00023125256064071564)))</f>
        <v/>
      </c>
      <c r="P2856">
        <f>IF(G2856=1,IF(H2855=0,1,ABS(0.2-J2855*B2856/I2856)+ABS(0.2-K2855*C2856/I2856)+ABS(0.2-L2855*D2856/I2856)+ABS(0.2-M2855*E2856/I2856)+ABS(0.2-N2855*F2856/I2856)),0)</f>
        <v/>
      </c>
      <c r="Q2856">
        <f>P2856*0.0015</f>
        <v/>
      </c>
      <c r="R2856">
        <f>I2856*(1-Q2856)</f>
        <v/>
      </c>
      <c r="S2856">
        <f>R2856/R2855-1</f>
        <v/>
      </c>
      <c r="T2856">
        <f>MAX(T2855,R2856)</f>
        <v/>
      </c>
      <c r="U2856">
        <f>R2856/T2856-1</f>
        <v/>
      </c>
      <c r="V2856" t="n">
        <v>7.121736532104377</v>
      </c>
      <c r="W2856" s="5">
        <f>R2856-V2856</f>
        <v/>
      </c>
    </row>
    <row r="2857">
      <c r="A2857" s="3" t="n">
        <v>42646</v>
      </c>
      <c r="B2857">
        <f>Prices!B2857</f>
        <v/>
      </c>
      <c r="C2857">
        <f>Prices!C2857</f>
        <v/>
      </c>
      <c r="D2857">
        <f>Prices!D2857</f>
        <v/>
      </c>
      <c r="E2857">
        <f>Prices!E2857</f>
        <v/>
      </c>
      <c r="F2857">
        <f>Prices!F2857</f>
        <v/>
      </c>
      <c r="G2857">
        <f>IF(AND(2855&gt;=16,TEXT(A2857,"yyyy-mm")&lt;&gt;TEXT(A2858,"yyyy-mm")),1,0)</f>
        <v/>
      </c>
      <c r="H2857">
        <f>IF(OR(H2856=1,G2857=1),1,0)</f>
        <v/>
      </c>
      <c r="I2857">
        <f>IF(H2856=0,1,SUMPRODUCT(J2856:N2856,B2857:F2857)+O2856*(1+0.00023125256064071564))</f>
        <v/>
      </c>
      <c r="J2857">
        <f>IF(G2857=1,0.2*R2857/B2857,J2856)</f>
        <v/>
      </c>
      <c r="K2857">
        <f>IF(G2857=1,0.2*R2857/C2857,K2856)</f>
        <v/>
      </c>
      <c r="L2857">
        <f>IF(G2857=1,0.2*R2857/D2857,L2856)</f>
        <v/>
      </c>
      <c r="M2857">
        <f>IF(G2857=1,0.2*R2857/E2857,M2856)</f>
        <v/>
      </c>
      <c r="N2857">
        <f>IF(G2857=1,0.2*R2857/F2857,N2856)</f>
        <v/>
      </c>
      <c r="O2857">
        <f>IF(G2857=1,R2857*(1-1.0),IF(H2856=0,1,O2856*(1+0.00023125256064071564)))</f>
        <v/>
      </c>
      <c r="P2857">
        <f>IF(G2857=1,IF(H2856=0,1,ABS(0.2-J2856*B2857/I2857)+ABS(0.2-K2856*C2857/I2857)+ABS(0.2-L2856*D2857/I2857)+ABS(0.2-M2856*E2857/I2857)+ABS(0.2-N2856*F2857/I2857)),0)</f>
        <v/>
      </c>
      <c r="Q2857">
        <f>P2857*0.0015</f>
        <v/>
      </c>
      <c r="R2857">
        <f>I2857*(1-Q2857)</f>
        <v/>
      </c>
      <c r="S2857">
        <f>R2857/R2856-1</f>
        <v/>
      </c>
      <c r="T2857">
        <f>MAX(T2856,R2857)</f>
        <v/>
      </c>
      <c r="U2857">
        <f>R2857/T2857-1</f>
        <v/>
      </c>
      <c r="V2857" t="n">
        <v>7.290933134865692</v>
      </c>
      <c r="W2857" s="5">
        <f>R2857-V2857</f>
        <v/>
      </c>
    </row>
    <row r="2858">
      <c r="A2858" s="3" t="n">
        <v>42647</v>
      </c>
      <c r="B2858">
        <f>Prices!B2858</f>
        <v/>
      </c>
      <c r="C2858">
        <f>Prices!C2858</f>
        <v/>
      </c>
      <c r="D2858">
        <f>Prices!D2858</f>
        <v/>
      </c>
      <c r="E2858">
        <f>Prices!E2858</f>
        <v/>
      </c>
      <c r="F2858">
        <f>Prices!F2858</f>
        <v/>
      </c>
      <c r="G2858">
        <f>IF(AND(2856&gt;=16,TEXT(A2858,"yyyy-mm")&lt;&gt;TEXT(A2859,"yyyy-mm")),1,0)</f>
        <v/>
      </c>
      <c r="H2858">
        <f>IF(OR(H2857=1,G2858=1),1,0)</f>
        <v/>
      </c>
      <c r="I2858">
        <f>IF(H2857=0,1,SUMPRODUCT(J2857:N2857,B2858:F2858)+O2857*(1+0.00023125256064071564))</f>
        <v/>
      </c>
      <c r="J2858">
        <f>IF(G2858=1,0.2*R2858/B2858,J2857)</f>
        <v/>
      </c>
      <c r="K2858">
        <f>IF(G2858=1,0.2*R2858/C2858,K2857)</f>
        <v/>
      </c>
      <c r="L2858">
        <f>IF(G2858=1,0.2*R2858/D2858,L2857)</f>
        <v/>
      </c>
      <c r="M2858">
        <f>IF(G2858=1,0.2*R2858/E2858,M2857)</f>
        <v/>
      </c>
      <c r="N2858">
        <f>IF(G2858=1,0.2*R2858/F2858,N2857)</f>
        <v/>
      </c>
      <c r="O2858">
        <f>IF(G2858=1,R2858*(1-1.0),IF(H2857=0,1,O2857*(1+0.00023125256064071564)))</f>
        <v/>
      </c>
      <c r="P2858">
        <f>IF(G2858=1,IF(H2857=0,1,ABS(0.2-J2857*B2858/I2858)+ABS(0.2-K2857*C2858/I2858)+ABS(0.2-L2857*D2858/I2858)+ABS(0.2-M2857*E2858/I2858)+ABS(0.2-N2857*F2858/I2858)),0)</f>
        <v/>
      </c>
      <c r="Q2858">
        <f>P2858*0.0015</f>
        <v/>
      </c>
      <c r="R2858">
        <f>I2858*(1-Q2858)</f>
        <v/>
      </c>
      <c r="S2858">
        <f>R2858/R2857-1</f>
        <v/>
      </c>
      <c r="T2858">
        <f>MAX(T2857,R2858)</f>
        <v/>
      </c>
      <c r="U2858">
        <f>R2858/T2858-1</f>
        <v/>
      </c>
      <c r="V2858" t="n">
        <v>7.340030610585155</v>
      </c>
      <c r="W2858" s="5">
        <f>R2858-V2858</f>
        <v/>
      </c>
    </row>
    <row r="2859">
      <c r="A2859" s="3" t="n">
        <v>42648</v>
      </c>
      <c r="B2859">
        <f>Prices!B2859</f>
        <v/>
      </c>
      <c r="C2859">
        <f>Prices!C2859</f>
        <v/>
      </c>
      <c r="D2859">
        <f>Prices!D2859</f>
        <v/>
      </c>
      <c r="E2859">
        <f>Prices!E2859</f>
        <v/>
      </c>
      <c r="F2859">
        <f>Prices!F2859</f>
        <v/>
      </c>
      <c r="G2859">
        <f>IF(AND(2857&gt;=16,TEXT(A2859,"yyyy-mm")&lt;&gt;TEXT(A2860,"yyyy-mm")),1,0)</f>
        <v/>
      </c>
      <c r="H2859">
        <f>IF(OR(H2858=1,G2859=1),1,0)</f>
        <v/>
      </c>
      <c r="I2859">
        <f>IF(H2858=0,1,SUMPRODUCT(J2858:N2858,B2859:F2859)+O2858*(1+0.00023125256064071564))</f>
        <v/>
      </c>
      <c r="J2859">
        <f>IF(G2859=1,0.2*R2859/B2859,J2858)</f>
        <v/>
      </c>
      <c r="K2859">
        <f>IF(G2859=1,0.2*R2859/C2859,K2858)</f>
        <v/>
      </c>
      <c r="L2859">
        <f>IF(G2859=1,0.2*R2859/D2859,L2858)</f>
        <v/>
      </c>
      <c r="M2859">
        <f>IF(G2859=1,0.2*R2859/E2859,M2858)</f>
        <v/>
      </c>
      <c r="N2859">
        <f>IF(G2859=1,0.2*R2859/F2859,N2858)</f>
        <v/>
      </c>
      <c r="O2859">
        <f>IF(G2859=1,R2859*(1-1.0),IF(H2858=0,1,O2858*(1+0.00023125256064071564)))</f>
        <v/>
      </c>
      <c r="P2859">
        <f>IF(G2859=1,IF(H2858=0,1,ABS(0.2-J2858*B2859/I2859)+ABS(0.2-K2858*C2859/I2859)+ABS(0.2-L2858*D2859/I2859)+ABS(0.2-M2858*E2859/I2859)+ABS(0.2-N2858*F2859/I2859)),0)</f>
        <v/>
      </c>
      <c r="Q2859">
        <f>P2859*0.0015</f>
        <v/>
      </c>
      <c r="R2859">
        <f>I2859*(1-Q2859)</f>
        <v/>
      </c>
      <c r="S2859">
        <f>R2859/R2858-1</f>
        <v/>
      </c>
      <c r="T2859">
        <f>MAX(T2858,R2859)</f>
        <v/>
      </c>
      <c r="U2859">
        <f>R2859/T2859-1</f>
        <v/>
      </c>
      <c r="V2859" t="n">
        <v>7.356234427697776</v>
      </c>
      <c r="W2859" s="5">
        <f>R2859-V2859</f>
        <v/>
      </c>
    </row>
    <row r="2860">
      <c r="A2860" s="3" t="n">
        <v>42649</v>
      </c>
      <c r="B2860">
        <f>Prices!B2860</f>
        <v/>
      </c>
      <c r="C2860">
        <f>Prices!C2860</f>
        <v/>
      </c>
      <c r="D2860">
        <f>Prices!D2860</f>
        <v/>
      </c>
      <c r="E2860">
        <f>Prices!E2860</f>
        <v/>
      </c>
      <c r="F2860">
        <f>Prices!F2860</f>
        <v/>
      </c>
      <c r="G2860">
        <f>IF(AND(2858&gt;=16,TEXT(A2860,"yyyy-mm")&lt;&gt;TEXT(A2861,"yyyy-mm")),1,0)</f>
        <v/>
      </c>
      <c r="H2860">
        <f>IF(OR(H2859=1,G2860=1),1,0)</f>
        <v/>
      </c>
      <c r="I2860">
        <f>IF(H2859=0,1,SUMPRODUCT(J2859:N2859,B2860:F2860)+O2859*(1+0.00023125256064071564))</f>
        <v/>
      </c>
      <c r="J2860">
        <f>IF(G2860=1,0.2*R2860/B2860,J2859)</f>
        <v/>
      </c>
      <c r="K2860">
        <f>IF(G2860=1,0.2*R2860/C2860,K2859)</f>
        <v/>
      </c>
      <c r="L2860">
        <f>IF(G2860=1,0.2*R2860/D2860,L2859)</f>
        <v/>
      </c>
      <c r="M2860">
        <f>IF(G2860=1,0.2*R2860/E2860,M2859)</f>
        <v/>
      </c>
      <c r="N2860">
        <f>IF(G2860=1,0.2*R2860/F2860,N2859)</f>
        <v/>
      </c>
      <c r="O2860">
        <f>IF(G2860=1,R2860*(1-1.0),IF(H2859=0,1,O2859*(1+0.00023125256064071564)))</f>
        <v/>
      </c>
      <c r="P2860">
        <f>IF(G2860=1,IF(H2859=0,1,ABS(0.2-J2859*B2860/I2860)+ABS(0.2-K2859*C2860/I2860)+ABS(0.2-L2859*D2860/I2860)+ABS(0.2-M2859*E2860/I2860)+ABS(0.2-N2859*F2860/I2860)),0)</f>
        <v/>
      </c>
      <c r="Q2860">
        <f>P2860*0.0015</f>
        <v/>
      </c>
      <c r="R2860">
        <f>I2860*(1-Q2860)</f>
        <v/>
      </c>
      <c r="S2860">
        <f>R2860/R2859-1</f>
        <v/>
      </c>
      <c r="T2860">
        <f>MAX(T2859,R2860)</f>
        <v/>
      </c>
      <c r="U2860">
        <f>R2860/T2860-1</f>
        <v/>
      </c>
      <c r="V2860" t="n">
        <v>7.335236968169799</v>
      </c>
      <c r="W2860" s="5">
        <f>R2860-V2860</f>
        <v/>
      </c>
    </row>
    <row r="2861">
      <c r="A2861" s="3" t="n">
        <v>42650</v>
      </c>
      <c r="B2861">
        <f>Prices!B2861</f>
        <v/>
      </c>
      <c r="C2861">
        <f>Prices!C2861</f>
        <v/>
      </c>
      <c r="D2861">
        <f>Prices!D2861</f>
        <v/>
      </c>
      <c r="E2861">
        <f>Prices!E2861</f>
        <v/>
      </c>
      <c r="F2861">
        <f>Prices!F2861</f>
        <v/>
      </c>
      <c r="G2861">
        <f>IF(AND(2859&gt;=16,TEXT(A2861,"yyyy-mm")&lt;&gt;TEXT(A2862,"yyyy-mm")),1,0)</f>
        <v/>
      </c>
      <c r="H2861">
        <f>IF(OR(H2860=1,G2861=1),1,0)</f>
        <v/>
      </c>
      <c r="I2861">
        <f>IF(H2860=0,1,SUMPRODUCT(J2860:N2860,B2861:F2861)+O2860*(1+0.00023125256064071564))</f>
        <v/>
      </c>
      <c r="J2861">
        <f>IF(G2861=1,0.2*R2861/B2861,J2860)</f>
        <v/>
      </c>
      <c r="K2861">
        <f>IF(G2861=1,0.2*R2861/C2861,K2860)</f>
        <v/>
      </c>
      <c r="L2861">
        <f>IF(G2861=1,0.2*R2861/D2861,L2860)</f>
        <v/>
      </c>
      <c r="M2861">
        <f>IF(G2861=1,0.2*R2861/E2861,M2860)</f>
        <v/>
      </c>
      <c r="N2861">
        <f>IF(G2861=1,0.2*R2861/F2861,N2860)</f>
        <v/>
      </c>
      <c r="O2861">
        <f>IF(G2861=1,R2861*(1-1.0),IF(H2860=0,1,O2860*(1+0.00023125256064071564)))</f>
        <v/>
      </c>
      <c r="P2861">
        <f>IF(G2861=1,IF(H2860=0,1,ABS(0.2-J2860*B2861/I2861)+ABS(0.2-K2860*C2861/I2861)+ABS(0.2-L2860*D2861/I2861)+ABS(0.2-M2860*E2861/I2861)+ABS(0.2-N2860*F2861/I2861)),0)</f>
        <v/>
      </c>
      <c r="Q2861">
        <f>P2861*0.0015</f>
        <v/>
      </c>
      <c r="R2861">
        <f>I2861*(1-Q2861)</f>
        <v/>
      </c>
      <c r="S2861">
        <f>R2861/R2860-1</f>
        <v/>
      </c>
      <c r="T2861">
        <f>MAX(T2860,R2861)</f>
        <v/>
      </c>
      <c r="U2861">
        <f>R2861/T2861-1</f>
        <v/>
      </c>
      <c r="V2861" t="n">
        <v>7.32610238845694</v>
      </c>
      <c r="W2861" s="5">
        <f>R2861-V2861</f>
        <v/>
      </c>
    </row>
    <row r="2862">
      <c r="A2862" s="3" t="n">
        <v>42653</v>
      </c>
      <c r="B2862">
        <f>Prices!B2862</f>
        <v/>
      </c>
      <c r="C2862">
        <f>Prices!C2862</f>
        <v/>
      </c>
      <c r="D2862">
        <f>Prices!D2862</f>
        <v/>
      </c>
      <c r="E2862">
        <f>Prices!E2862</f>
        <v/>
      </c>
      <c r="F2862">
        <f>Prices!F2862</f>
        <v/>
      </c>
      <c r="G2862">
        <f>IF(AND(2860&gt;=16,TEXT(A2862,"yyyy-mm")&lt;&gt;TEXT(A2863,"yyyy-mm")),1,0)</f>
        <v/>
      </c>
      <c r="H2862">
        <f>IF(OR(H2861=1,G2862=1),1,0)</f>
        <v/>
      </c>
      <c r="I2862">
        <f>IF(H2861=0,1,SUMPRODUCT(J2861:N2861,B2862:F2862)+O2861*(1+0.00023125256064071564))</f>
        <v/>
      </c>
      <c r="J2862">
        <f>IF(G2862=1,0.2*R2862/B2862,J2861)</f>
        <v/>
      </c>
      <c r="K2862">
        <f>IF(G2862=1,0.2*R2862/C2862,K2861)</f>
        <v/>
      </c>
      <c r="L2862">
        <f>IF(G2862=1,0.2*R2862/D2862,L2861)</f>
        <v/>
      </c>
      <c r="M2862">
        <f>IF(G2862=1,0.2*R2862/E2862,M2861)</f>
        <v/>
      </c>
      <c r="N2862">
        <f>IF(G2862=1,0.2*R2862/F2862,N2861)</f>
        <v/>
      </c>
      <c r="O2862">
        <f>IF(G2862=1,R2862*(1-1.0),IF(H2861=0,1,O2861*(1+0.00023125256064071564)))</f>
        <v/>
      </c>
      <c r="P2862">
        <f>IF(G2862=1,IF(H2861=0,1,ABS(0.2-J2861*B2862/I2862)+ABS(0.2-K2861*C2862/I2862)+ABS(0.2-L2861*D2862/I2862)+ABS(0.2-M2861*E2862/I2862)+ABS(0.2-N2861*F2862/I2862)),0)</f>
        <v/>
      </c>
      <c r="Q2862">
        <f>P2862*0.0015</f>
        <v/>
      </c>
      <c r="R2862">
        <f>I2862*(1-Q2862)</f>
        <v/>
      </c>
      <c r="S2862">
        <f>R2862/R2861-1</f>
        <v/>
      </c>
      <c r="T2862">
        <f>MAX(T2861,R2862)</f>
        <v/>
      </c>
      <c r="U2862">
        <f>R2862/T2862-1</f>
        <v/>
      </c>
      <c r="V2862" t="n">
        <v>7.336422859723585</v>
      </c>
      <c r="W2862" s="5">
        <f>R2862-V2862</f>
        <v/>
      </c>
    </row>
    <row r="2863">
      <c r="A2863" s="3" t="n">
        <v>42656</v>
      </c>
      <c r="B2863">
        <f>Prices!B2863</f>
        <v/>
      </c>
      <c r="C2863">
        <f>Prices!C2863</f>
        <v/>
      </c>
      <c r="D2863">
        <f>Prices!D2863</f>
        <v/>
      </c>
      <c r="E2863">
        <f>Prices!E2863</f>
        <v/>
      </c>
      <c r="F2863">
        <f>Prices!F2863</f>
        <v/>
      </c>
      <c r="G2863">
        <f>IF(AND(2861&gt;=16,TEXT(A2863,"yyyy-mm")&lt;&gt;TEXT(A2864,"yyyy-mm")),1,0)</f>
        <v/>
      </c>
      <c r="H2863">
        <f>IF(OR(H2862=1,G2863=1),1,0)</f>
        <v/>
      </c>
      <c r="I2863">
        <f>IF(H2862=0,1,SUMPRODUCT(J2862:N2862,B2863:F2863)+O2862*(1+0.00023125256064071564))</f>
        <v/>
      </c>
      <c r="J2863">
        <f>IF(G2863=1,0.2*R2863/B2863,J2862)</f>
        <v/>
      </c>
      <c r="K2863">
        <f>IF(G2863=1,0.2*R2863/C2863,K2862)</f>
        <v/>
      </c>
      <c r="L2863">
        <f>IF(G2863=1,0.2*R2863/D2863,L2862)</f>
        <v/>
      </c>
      <c r="M2863">
        <f>IF(G2863=1,0.2*R2863/E2863,M2862)</f>
        <v/>
      </c>
      <c r="N2863">
        <f>IF(G2863=1,0.2*R2863/F2863,N2862)</f>
        <v/>
      </c>
      <c r="O2863">
        <f>IF(G2863=1,R2863*(1-1.0),IF(H2862=0,1,O2862*(1+0.00023125256064071564)))</f>
        <v/>
      </c>
      <c r="P2863">
        <f>IF(G2863=1,IF(H2862=0,1,ABS(0.2-J2862*B2863/I2863)+ABS(0.2-K2862*C2863/I2863)+ABS(0.2-L2862*D2863/I2863)+ABS(0.2-M2862*E2863/I2863)+ABS(0.2-N2862*F2863/I2863)),0)</f>
        <v/>
      </c>
      <c r="Q2863">
        <f>P2863*0.0015</f>
        <v/>
      </c>
      <c r="R2863">
        <f>I2863*(1-Q2863)</f>
        <v/>
      </c>
      <c r="S2863">
        <f>R2863/R2862-1</f>
        <v/>
      </c>
      <c r="T2863">
        <f>MAX(T2862,R2863)</f>
        <v/>
      </c>
      <c r="U2863">
        <f>R2863/T2863-1</f>
        <v/>
      </c>
      <c r="V2863" t="n">
        <v>7.245969847558629</v>
      </c>
      <c r="W2863" s="5">
        <f>R2863-V2863</f>
        <v/>
      </c>
    </row>
    <row r="2864">
      <c r="A2864" s="3" t="n">
        <v>42657</v>
      </c>
      <c r="B2864">
        <f>Prices!B2864</f>
        <v/>
      </c>
      <c r="C2864">
        <f>Prices!C2864</f>
        <v/>
      </c>
      <c r="D2864">
        <f>Prices!D2864</f>
        <v/>
      </c>
      <c r="E2864">
        <f>Prices!E2864</f>
        <v/>
      </c>
      <c r="F2864">
        <f>Prices!F2864</f>
        <v/>
      </c>
      <c r="G2864">
        <f>IF(AND(2862&gt;=16,TEXT(A2864,"yyyy-mm")&lt;&gt;TEXT(A2865,"yyyy-mm")),1,0)</f>
        <v/>
      </c>
      <c r="H2864">
        <f>IF(OR(H2863=1,G2864=1),1,0)</f>
        <v/>
      </c>
      <c r="I2864">
        <f>IF(H2863=0,1,SUMPRODUCT(J2863:N2863,B2864:F2864)+O2863*(1+0.00023125256064071564))</f>
        <v/>
      </c>
      <c r="J2864">
        <f>IF(G2864=1,0.2*R2864/B2864,J2863)</f>
        <v/>
      </c>
      <c r="K2864">
        <f>IF(G2864=1,0.2*R2864/C2864,K2863)</f>
        <v/>
      </c>
      <c r="L2864">
        <f>IF(G2864=1,0.2*R2864/D2864,L2863)</f>
        <v/>
      </c>
      <c r="M2864">
        <f>IF(G2864=1,0.2*R2864/E2864,M2863)</f>
        <v/>
      </c>
      <c r="N2864">
        <f>IF(G2864=1,0.2*R2864/F2864,N2863)</f>
        <v/>
      </c>
      <c r="O2864">
        <f>IF(G2864=1,R2864*(1-1.0),IF(H2863=0,1,O2863*(1+0.00023125256064071564)))</f>
        <v/>
      </c>
      <c r="P2864">
        <f>IF(G2864=1,IF(H2863=0,1,ABS(0.2-J2863*B2864/I2864)+ABS(0.2-K2863*C2864/I2864)+ABS(0.2-L2863*D2864/I2864)+ABS(0.2-M2863*E2864/I2864)+ABS(0.2-N2863*F2864/I2864)),0)</f>
        <v/>
      </c>
      <c r="Q2864">
        <f>P2864*0.0015</f>
        <v/>
      </c>
      <c r="R2864">
        <f>I2864*(1-Q2864)</f>
        <v/>
      </c>
      <c r="S2864">
        <f>R2864/R2863-1</f>
        <v/>
      </c>
      <c r="T2864">
        <f>MAX(T2863,R2864)</f>
        <v/>
      </c>
      <c r="U2864">
        <f>R2864/T2864-1</f>
        <v/>
      </c>
      <c r="V2864" t="n">
        <v>7.278697455799046</v>
      </c>
      <c r="W2864" s="5">
        <f>R2864-V2864</f>
        <v/>
      </c>
    </row>
    <row r="2865">
      <c r="A2865" s="3" t="n">
        <v>42660</v>
      </c>
      <c r="B2865">
        <f>Prices!B2865</f>
        <v/>
      </c>
      <c r="C2865">
        <f>Prices!C2865</f>
        <v/>
      </c>
      <c r="D2865">
        <f>Prices!D2865</f>
        <v/>
      </c>
      <c r="E2865">
        <f>Prices!E2865</f>
        <v/>
      </c>
      <c r="F2865">
        <f>Prices!F2865</f>
        <v/>
      </c>
      <c r="G2865">
        <f>IF(AND(2863&gt;=16,TEXT(A2865,"yyyy-mm")&lt;&gt;TEXT(A2866,"yyyy-mm")),1,0)</f>
        <v/>
      </c>
      <c r="H2865">
        <f>IF(OR(H2864=1,G2865=1),1,0)</f>
        <v/>
      </c>
      <c r="I2865">
        <f>IF(H2864=0,1,SUMPRODUCT(J2864:N2864,B2865:F2865)+O2864*(1+0.00023125256064071564))</f>
        <v/>
      </c>
      <c r="J2865">
        <f>IF(G2865=1,0.2*R2865/B2865,J2864)</f>
        <v/>
      </c>
      <c r="K2865">
        <f>IF(G2865=1,0.2*R2865/C2865,K2864)</f>
        <v/>
      </c>
      <c r="L2865">
        <f>IF(G2865=1,0.2*R2865/D2865,L2864)</f>
        <v/>
      </c>
      <c r="M2865">
        <f>IF(G2865=1,0.2*R2865/E2865,M2864)</f>
        <v/>
      </c>
      <c r="N2865">
        <f>IF(G2865=1,0.2*R2865/F2865,N2864)</f>
        <v/>
      </c>
      <c r="O2865">
        <f>IF(G2865=1,R2865*(1-1.0),IF(H2864=0,1,O2864*(1+0.00023125256064071564)))</f>
        <v/>
      </c>
      <c r="P2865">
        <f>IF(G2865=1,IF(H2864=0,1,ABS(0.2-J2864*B2865/I2865)+ABS(0.2-K2864*C2865/I2865)+ABS(0.2-L2864*D2865/I2865)+ABS(0.2-M2864*E2865/I2865)+ABS(0.2-N2864*F2865/I2865)),0)</f>
        <v/>
      </c>
      <c r="Q2865">
        <f>P2865*0.0015</f>
        <v/>
      </c>
      <c r="R2865">
        <f>I2865*(1-Q2865)</f>
        <v/>
      </c>
      <c r="S2865">
        <f>R2865/R2864-1</f>
        <v/>
      </c>
      <c r="T2865">
        <f>MAX(T2864,R2865)</f>
        <v/>
      </c>
      <c r="U2865">
        <f>R2865/T2865-1</f>
        <v/>
      </c>
      <c r="V2865" t="n">
        <v>7.235547243399478</v>
      </c>
      <c r="W2865" s="5">
        <f>R2865-V2865</f>
        <v/>
      </c>
    </row>
    <row r="2866">
      <c r="A2866" s="3" t="n">
        <v>42661</v>
      </c>
      <c r="B2866">
        <f>Prices!B2866</f>
        <v/>
      </c>
      <c r="C2866">
        <f>Prices!C2866</f>
        <v/>
      </c>
      <c r="D2866">
        <f>Prices!D2866</f>
        <v/>
      </c>
      <c r="E2866">
        <f>Prices!E2866</f>
        <v/>
      </c>
      <c r="F2866">
        <f>Prices!F2866</f>
        <v/>
      </c>
      <c r="G2866">
        <f>IF(AND(2864&gt;=16,TEXT(A2866,"yyyy-mm")&lt;&gt;TEXT(A2867,"yyyy-mm")),1,0)</f>
        <v/>
      </c>
      <c r="H2866">
        <f>IF(OR(H2865=1,G2866=1),1,0)</f>
        <v/>
      </c>
      <c r="I2866">
        <f>IF(H2865=0,1,SUMPRODUCT(J2865:N2865,B2866:F2866)+O2865*(1+0.00023125256064071564))</f>
        <v/>
      </c>
      <c r="J2866">
        <f>IF(G2866=1,0.2*R2866/B2866,J2865)</f>
        <v/>
      </c>
      <c r="K2866">
        <f>IF(G2866=1,0.2*R2866/C2866,K2865)</f>
        <v/>
      </c>
      <c r="L2866">
        <f>IF(G2866=1,0.2*R2866/D2866,L2865)</f>
        <v/>
      </c>
      <c r="M2866">
        <f>IF(G2866=1,0.2*R2866/E2866,M2865)</f>
        <v/>
      </c>
      <c r="N2866">
        <f>IF(G2866=1,0.2*R2866/F2866,N2865)</f>
        <v/>
      </c>
      <c r="O2866">
        <f>IF(G2866=1,R2866*(1-1.0),IF(H2865=0,1,O2865*(1+0.00023125256064071564)))</f>
        <v/>
      </c>
      <c r="P2866">
        <f>IF(G2866=1,IF(H2865=0,1,ABS(0.2-J2865*B2866/I2866)+ABS(0.2-K2865*C2866/I2866)+ABS(0.2-L2865*D2866/I2866)+ABS(0.2-M2865*E2866/I2866)+ABS(0.2-N2865*F2866/I2866)),0)</f>
        <v/>
      </c>
      <c r="Q2866">
        <f>P2866*0.0015</f>
        <v/>
      </c>
      <c r="R2866">
        <f>I2866*(1-Q2866)</f>
        <v/>
      </c>
      <c r="S2866">
        <f>R2866/R2865-1</f>
        <v/>
      </c>
      <c r="T2866">
        <f>MAX(T2865,R2866)</f>
        <v/>
      </c>
      <c r="U2866">
        <f>R2866/T2866-1</f>
        <v/>
      </c>
      <c r="V2866" t="n">
        <v>7.343751552280334</v>
      </c>
      <c r="W2866" s="5">
        <f>R2866-V2866</f>
        <v/>
      </c>
    </row>
    <row r="2867">
      <c r="A2867" s="3" t="n">
        <v>42662</v>
      </c>
      <c r="B2867">
        <f>Prices!B2867</f>
        <v/>
      </c>
      <c r="C2867">
        <f>Prices!C2867</f>
        <v/>
      </c>
      <c r="D2867">
        <f>Prices!D2867</f>
        <v/>
      </c>
      <c r="E2867">
        <f>Prices!E2867</f>
        <v/>
      </c>
      <c r="F2867">
        <f>Prices!F2867</f>
        <v/>
      </c>
      <c r="G2867">
        <f>IF(AND(2865&gt;=16,TEXT(A2867,"yyyy-mm")&lt;&gt;TEXT(A2868,"yyyy-mm")),1,0)</f>
        <v/>
      </c>
      <c r="H2867">
        <f>IF(OR(H2866=1,G2867=1),1,0)</f>
        <v/>
      </c>
      <c r="I2867">
        <f>IF(H2866=0,1,SUMPRODUCT(J2866:N2866,B2867:F2867)+O2866*(1+0.00023125256064071564))</f>
        <v/>
      </c>
      <c r="J2867">
        <f>IF(G2867=1,0.2*R2867/B2867,J2866)</f>
        <v/>
      </c>
      <c r="K2867">
        <f>IF(G2867=1,0.2*R2867/C2867,K2866)</f>
        <v/>
      </c>
      <c r="L2867">
        <f>IF(G2867=1,0.2*R2867/D2867,L2866)</f>
        <v/>
      </c>
      <c r="M2867">
        <f>IF(G2867=1,0.2*R2867/E2867,M2866)</f>
        <v/>
      </c>
      <c r="N2867">
        <f>IF(G2867=1,0.2*R2867/F2867,N2866)</f>
        <v/>
      </c>
      <c r="O2867">
        <f>IF(G2867=1,R2867*(1-1.0),IF(H2866=0,1,O2866*(1+0.00023125256064071564)))</f>
        <v/>
      </c>
      <c r="P2867">
        <f>IF(G2867=1,IF(H2866=0,1,ABS(0.2-J2866*B2867/I2867)+ABS(0.2-K2866*C2867/I2867)+ABS(0.2-L2866*D2867/I2867)+ABS(0.2-M2866*E2867/I2867)+ABS(0.2-N2866*F2867/I2867)),0)</f>
        <v/>
      </c>
      <c r="Q2867">
        <f>P2867*0.0015</f>
        <v/>
      </c>
      <c r="R2867">
        <f>I2867*(1-Q2867)</f>
        <v/>
      </c>
      <c r="S2867">
        <f>R2867/R2866-1</f>
        <v/>
      </c>
      <c r="T2867">
        <f>MAX(T2866,R2867)</f>
        <v/>
      </c>
      <c r="U2867">
        <f>R2867/T2867-1</f>
        <v/>
      </c>
      <c r="V2867" t="n">
        <v>7.353103533742322</v>
      </c>
      <c r="W2867" s="5">
        <f>R2867-V2867</f>
        <v/>
      </c>
    </row>
    <row r="2868">
      <c r="A2868" s="3" t="n">
        <v>42663</v>
      </c>
      <c r="B2868">
        <f>Prices!B2868</f>
        <v/>
      </c>
      <c r="C2868">
        <f>Prices!C2868</f>
        <v/>
      </c>
      <c r="D2868">
        <f>Prices!D2868</f>
        <v/>
      </c>
      <c r="E2868">
        <f>Prices!E2868</f>
        <v/>
      </c>
      <c r="F2868">
        <f>Prices!F2868</f>
        <v/>
      </c>
      <c r="G2868">
        <f>IF(AND(2866&gt;=16,TEXT(A2868,"yyyy-mm")&lt;&gt;TEXT(A2869,"yyyy-mm")),1,0)</f>
        <v/>
      </c>
      <c r="H2868">
        <f>IF(OR(H2867=1,G2868=1),1,0)</f>
        <v/>
      </c>
      <c r="I2868">
        <f>IF(H2867=0,1,SUMPRODUCT(J2867:N2867,B2868:F2868)+O2867*(1+0.00023125256064071564))</f>
        <v/>
      </c>
      <c r="J2868">
        <f>IF(G2868=1,0.2*R2868/B2868,J2867)</f>
        <v/>
      </c>
      <c r="K2868">
        <f>IF(G2868=1,0.2*R2868/C2868,K2867)</f>
        <v/>
      </c>
      <c r="L2868">
        <f>IF(G2868=1,0.2*R2868/D2868,L2867)</f>
        <v/>
      </c>
      <c r="M2868">
        <f>IF(G2868=1,0.2*R2868/E2868,M2867)</f>
        <v/>
      </c>
      <c r="N2868">
        <f>IF(G2868=1,0.2*R2868/F2868,N2867)</f>
        <v/>
      </c>
      <c r="O2868">
        <f>IF(G2868=1,R2868*(1-1.0),IF(H2867=0,1,O2867*(1+0.00023125256064071564)))</f>
        <v/>
      </c>
      <c r="P2868">
        <f>IF(G2868=1,IF(H2867=0,1,ABS(0.2-J2867*B2868/I2868)+ABS(0.2-K2867*C2868/I2868)+ABS(0.2-L2867*D2868/I2868)+ABS(0.2-M2867*E2868/I2868)+ABS(0.2-N2867*F2868/I2868)),0)</f>
        <v/>
      </c>
      <c r="Q2868">
        <f>P2868*0.0015</f>
        <v/>
      </c>
      <c r="R2868">
        <f>I2868*(1-Q2868)</f>
        <v/>
      </c>
      <c r="S2868">
        <f>R2868/R2867-1</f>
        <v/>
      </c>
      <c r="T2868">
        <f>MAX(T2867,R2868)</f>
        <v/>
      </c>
      <c r="U2868">
        <f>R2868/T2868-1</f>
        <v/>
      </c>
      <c r="V2868" t="n">
        <v>7.376330563895906</v>
      </c>
      <c r="W2868" s="5">
        <f>R2868-V2868</f>
        <v/>
      </c>
    </row>
    <row r="2869">
      <c r="A2869" s="3" t="n">
        <v>42664</v>
      </c>
      <c r="B2869">
        <f>Prices!B2869</f>
        <v/>
      </c>
      <c r="C2869">
        <f>Prices!C2869</f>
        <v/>
      </c>
      <c r="D2869">
        <f>Prices!D2869</f>
        <v/>
      </c>
      <c r="E2869">
        <f>Prices!E2869</f>
        <v/>
      </c>
      <c r="F2869">
        <f>Prices!F2869</f>
        <v/>
      </c>
      <c r="G2869">
        <f>IF(AND(2867&gt;=16,TEXT(A2869,"yyyy-mm")&lt;&gt;TEXT(A2870,"yyyy-mm")),1,0)</f>
        <v/>
      </c>
      <c r="H2869">
        <f>IF(OR(H2868=1,G2869=1),1,0)</f>
        <v/>
      </c>
      <c r="I2869">
        <f>IF(H2868=0,1,SUMPRODUCT(J2868:N2868,B2869:F2869)+O2868*(1+0.00023125256064071564))</f>
        <v/>
      </c>
      <c r="J2869">
        <f>IF(G2869=1,0.2*R2869/B2869,J2868)</f>
        <v/>
      </c>
      <c r="K2869">
        <f>IF(G2869=1,0.2*R2869/C2869,K2868)</f>
        <v/>
      </c>
      <c r="L2869">
        <f>IF(G2869=1,0.2*R2869/D2869,L2868)</f>
        <v/>
      </c>
      <c r="M2869">
        <f>IF(G2869=1,0.2*R2869/E2869,M2868)</f>
        <v/>
      </c>
      <c r="N2869">
        <f>IF(G2869=1,0.2*R2869/F2869,N2868)</f>
        <v/>
      </c>
      <c r="O2869">
        <f>IF(G2869=1,R2869*(1-1.0),IF(H2868=0,1,O2868*(1+0.00023125256064071564)))</f>
        <v/>
      </c>
      <c r="P2869">
        <f>IF(G2869=1,IF(H2868=0,1,ABS(0.2-J2868*B2869/I2869)+ABS(0.2-K2868*C2869/I2869)+ABS(0.2-L2868*D2869/I2869)+ABS(0.2-M2868*E2869/I2869)+ABS(0.2-N2868*F2869/I2869)),0)</f>
        <v/>
      </c>
      <c r="Q2869">
        <f>P2869*0.0015</f>
        <v/>
      </c>
      <c r="R2869">
        <f>I2869*(1-Q2869)</f>
        <v/>
      </c>
      <c r="S2869">
        <f>R2869/R2868-1</f>
        <v/>
      </c>
      <c r="T2869">
        <f>MAX(T2868,R2869)</f>
        <v/>
      </c>
      <c r="U2869">
        <f>R2869/T2869-1</f>
        <v/>
      </c>
      <c r="V2869" t="n">
        <v>7.38440702970145</v>
      </c>
      <c r="W2869" s="5">
        <f>R2869-V2869</f>
        <v/>
      </c>
    </row>
    <row r="2870">
      <c r="A2870" s="3" t="n">
        <v>42667</v>
      </c>
      <c r="B2870">
        <f>Prices!B2870</f>
        <v/>
      </c>
      <c r="C2870">
        <f>Prices!C2870</f>
        <v/>
      </c>
      <c r="D2870">
        <f>Prices!D2870</f>
        <v/>
      </c>
      <c r="E2870">
        <f>Prices!E2870</f>
        <v/>
      </c>
      <c r="F2870">
        <f>Prices!F2870</f>
        <v/>
      </c>
      <c r="G2870">
        <f>IF(AND(2868&gt;=16,TEXT(A2870,"yyyy-mm")&lt;&gt;TEXT(A2871,"yyyy-mm")),1,0)</f>
        <v/>
      </c>
      <c r="H2870">
        <f>IF(OR(H2869=1,G2870=1),1,0)</f>
        <v/>
      </c>
      <c r="I2870">
        <f>IF(H2869=0,1,SUMPRODUCT(J2869:N2869,B2870:F2870)+O2869*(1+0.00023125256064071564))</f>
        <v/>
      </c>
      <c r="J2870">
        <f>IF(G2870=1,0.2*R2870/B2870,J2869)</f>
        <v/>
      </c>
      <c r="K2870">
        <f>IF(G2870=1,0.2*R2870/C2870,K2869)</f>
        <v/>
      </c>
      <c r="L2870">
        <f>IF(G2870=1,0.2*R2870/D2870,L2869)</f>
        <v/>
      </c>
      <c r="M2870">
        <f>IF(G2870=1,0.2*R2870/E2870,M2869)</f>
        <v/>
      </c>
      <c r="N2870">
        <f>IF(G2870=1,0.2*R2870/F2870,N2869)</f>
        <v/>
      </c>
      <c r="O2870">
        <f>IF(G2870=1,R2870*(1-1.0),IF(H2869=0,1,O2869*(1+0.00023125256064071564)))</f>
        <v/>
      </c>
      <c r="P2870">
        <f>IF(G2870=1,IF(H2869=0,1,ABS(0.2-J2869*B2870/I2870)+ABS(0.2-K2869*C2870/I2870)+ABS(0.2-L2869*D2870/I2870)+ABS(0.2-M2869*E2870/I2870)+ABS(0.2-N2869*F2870/I2870)),0)</f>
        <v/>
      </c>
      <c r="Q2870">
        <f>P2870*0.0015</f>
        <v/>
      </c>
      <c r="R2870">
        <f>I2870*(1-Q2870)</f>
        <v/>
      </c>
      <c r="S2870">
        <f>R2870/R2869-1</f>
        <v/>
      </c>
      <c r="T2870">
        <f>MAX(T2869,R2870)</f>
        <v/>
      </c>
      <c r="U2870">
        <f>R2870/T2870-1</f>
        <v/>
      </c>
      <c r="V2870" t="n">
        <v>7.384725418143475</v>
      </c>
      <c r="W2870" s="5">
        <f>R2870-V2870</f>
        <v/>
      </c>
    </row>
    <row r="2871">
      <c r="A2871" s="3" t="n">
        <v>42668</v>
      </c>
      <c r="B2871">
        <f>Prices!B2871</f>
        <v/>
      </c>
      <c r="C2871">
        <f>Prices!C2871</f>
        <v/>
      </c>
      <c r="D2871">
        <f>Prices!D2871</f>
        <v/>
      </c>
      <c r="E2871">
        <f>Prices!E2871</f>
        <v/>
      </c>
      <c r="F2871">
        <f>Prices!F2871</f>
        <v/>
      </c>
      <c r="G2871">
        <f>IF(AND(2869&gt;=16,TEXT(A2871,"yyyy-mm")&lt;&gt;TEXT(A2872,"yyyy-mm")),1,0)</f>
        <v/>
      </c>
      <c r="H2871">
        <f>IF(OR(H2870=1,G2871=1),1,0)</f>
        <v/>
      </c>
      <c r="I2871">
        <f>IF(H2870=0,1,SUMPRODUCT(J2870:N2870,B2871:F2871)+O2870*(1+0.00023125256064071564))</f>
        <v/>
      </c>
      <c r="J2871">
        <f>IF(G2871=1,0.2*R2871/B2871,J2870)</f>
        <v/>
      </c>
      <c r="K2871">
        <f>IF(G2871=1,0.2*R2871/C2871,K2870)</f>
        <v/>
      </c>
      <c r="L2871">
        <f>IF(G2871=1,0.2*R2871/D2871,L2870)</f>
        <v/>
      </c>
      <c r="M2871">
        <f>IF(G2871=1,0.2*R2871/E2871,M2870)</f>
        <v/>
      </c>
      <c r="N2871">
        <f>IF(G2871=1,0.2*R2871/F2871,N2870)</f>
        <v/>
      </c>
      <c r="O2871">
        <f>IF(G2871=1,R2871*(1-1.0),IF(H2870=0,1,O2870*(1+0.00023125256064071564)))</f>
        <v/>
      </c>
      <c r="P2871">
        <f>IF(G2871=1,IF(H2870=0,1,ABS(0.2-J2870*B2871/I2871)+ABS(0.2-K2870*C2871/I2871)+ABS(0.2-L2870*D2871/I2871)+ABS(0.2-M2870*E2871/I2871)+ABS(0.2-N2870*F2871/I2871)),0)</f>
        <v/>
      </c>
      <c r="Q2871">
        <f>P2871*0.0015</f>
        <v/>
      </c>
      <c r="R2871">
        <f>I2871*(1-Q2871)</f>
        <v/>
      </c>
      <c r="S2871">
        <f>R2871/R2870-1</f>
        <v/>
      </c>
      <c r="T2871">
        <f>MAX(T2870,R2871)</f>
        <v/>
      </c>
      <c r="U2871">
        <f>R2871/T2871-1</f>
        <v/>
      </c>
      <c r="V2871" t="n">
        <v>7.377152277042346</v>
      </c>
      <c r="W2871" s="5">
        <f>R2871-V2871</f>
        <v/>
      </c>
    </row>
    <row r="2872">
      <c r="A2872" s="3" t="n">
        <v>42669</v>
      </c>
      <c r="B2872">
        <f>Prices!B2872</f>
        <v/>
      </c>
      <c r="C2872">
        <f>Prices!C2872</f>
        <v/>
      </c>
      <c r="D2872">
        <f>Prices!D2872</f>
        <v/>
      </c>
      <c r="E2872">
        <f>Prices!E2872</f>
        <v/>
      </c>
      <c r="F2872">
        <f>Prices!F2872</f>
        <v/>
      </c>
      <c r="G2872">
        <f>IF(AND(2870&gt;=16,TEXT(A2872,"yyyy-mm")&lt;&gt;TEXT(A2873,"yyyy-mm")),1,0)</f>
        <v/>
      </c>
      <c r="H2872">
        <f>IF(OR(H2871=1,G2872=1),1,0)</f>
        <v/>
      </c>
      <c r="I2872">
        <f>IF(H2871=0,1,SUMPRODUCT(J2871:N2871,B2872:F2872)+O2871*(1+0.00023125256064071564))</f>
        <v/>
      </c>
      <c r="J2872">
        <f>IF(G2872=1,0.2*R2872/B2872,J2871)</f>
        <v/>
      </c>
      <c r="K2872">
        <f>IF(G2872=1,0.2*R2872/C2872,K2871)</f>
        <v/>
      </c>
      <c r="L2872">
        <f>IF(G2872=1,0.2*R2872/D2872,L2871)</f>
        <v/>
      </c>
      <c r="M2872">
        <f>IF(G2872=1,0.2*R2872/E2872,M2871)</f>
        <v/>
      </c>
      <c r="N2872">
        <f>IF(G2872=1,0.2*R2872/F2872,N2871)</f>
        <v/>
      </c>
      <c r="O2872">
        <f>IF(G2872=1,R2872*(1-1.0),IF(H2871=0,1,O2871*(1+0.00023125256064071564)))</f>
        <v/>
      </c>
      <c r="P2872">
        <f>IF(G2872=1,IF(H2871=0,1,ABS(0.2-J2871*B2872/I2872)+ABS(0.2-K2871*C2872/I2872)+ABS(0.2-L2871*D2872/I2872)+ABS(0.2-M2871*E2872/I2872)+ABS(0.2-N2871*F2872/I2872)),0)</f>
        <v/>
      </c>
      <c r="Q2872">
        <f>P2872*0.0015</f>
        <v/>
      </c>
      <c r="R2872">
        <f>I2872*(1-Q2872)</f>
        <v/>
      </c>
      <c r="S2872">
        <f>R2872/R2871-1</f>
        <v/>
      </c>
      <c r="T2872">
        <f>MAX(T2871,R2872)</f>
        <v/>
      </c>
      <c r="U2872">
        <f>R2872/T2872-1</f>
        <v/>
      </c>
      <c r="V2872" t="n">
        <v>7.3239264472827</v>
      </c>
      <c r="W2872" s="5">
        <f>R2872-V2872</f>
        <v/>
      </c>
    </row>
    <row r="2873">
      <c r="A2873" s="3" t="n">
        <v>42670</v>
      </c>
      <c r="B2873">
        <f>Prices!B2873</f>
        <v/>
      </c>
      <c r="C2873">
        <f>Prices!C2873</f>
        <v/>
      </c>
      <c r="D2873">
        <f>Prices!D2873</f>
        <v/>
      </c>
      <c r="E2873">
        <f>Prices!E2873</f>
        <v/>
      </c>
      <c r="F2873">
        <f>Prices!F2873</f>
        <v/>
      </c>
      <c r="G2873">
        <f>IF(AND(2871&gt;=16,TEXT(A2873,"yyyy-mm")&lt;&gt;TEXT(A2874,"yyyy-mm")),1,0)</f>
        <v/>
      </c>
      <c r="H2873">
        <f>IF(OR(H2872=1,G2873=1),1,0)</f>
        <v/>
      </c>
      <c r="I2873">
        <f>IF(H2872=0,1,SUMPRODUCT(J2872:N2872,B2873:F2873)+O2872*(1+0.00023125256064071564))</f>
        <v/>
      </c>
      <c r="J2873">
        <f>IF(G2873=1,0.2*R2873/B2873,J2872)</f>
        <v/>
      </c>
      <c r="K2873">
        <f>IF(G2873=1,0.2*R2873/C2873,K2872)</f>
        <v/>
      </c>
      <c r="L2873">
        <f>IF(G2873=1,0.2*R2873/D2873,L2872)</f>
        <v/>
      </c>
      <c r="M2873">
        <f>IF(G2873=1,0.2*R2873/E2873,M2872)</f>
        <v/>
      </c>
      <c r="N2873">
        <f>IF(G2873=1,0.2*R2873/F2873,N2872)</f>
        <v/>
      </c>
      <c r="O2873">
        <f>IF(G2873=1,R2873*(1-1.0),IF(H2872=0,1,O2872*(1+0.00023125256064071564)))</f>
        <v/>
      </c>
      <c r="P2873">
        <f>IF(G2873=1,IF(H2872=0,1,ABS(0.2-J2872*B2873/I2873)+ABS(0.2-K2872*C2873/I2873)+ABS(0.2-L2872*D2873/I2873)+ABS(0.2-M2872*E2873/I2873)+ABS(0.2-N2872*F2873/I2873)),0)</f>
        <v/>
      </c>
      <c r="Q2873">
        <f>P2873*0.0015</f>
        <v/>
      </c>
      <c r="R2873">
        <f>I2873*(1-Q2873)</f>
        <v/>
      </c>
      <c r="S2873">
        <f>R2873/R2872-1</f>
        <v/>
      </c>
      <c r="T2873">
        <f>MAX(T2872,R2873)</f>
        <v/>
      </c>
      <c r="U2873">
        <f>R2873/T2873-1</f>
        <v/>
      </c>
      <c r="V2873" t="n">
        <v>7.254359865576857</v>
      </c>
      <c r="W2873" s="5">
        <f>R2873-V2873</f>
        <v/>
      </c>
    </row>
    <row r="2874">
      <c r="A2874" s="3" t="n">
        <v>42671</v>
      </c>
      <c r="B2874">
        <f>Prices!B2874</f>
        <v/>
      </c>
      <c r="C2874">
        <f>Prices!C2874</f>
        <v/>
      </c>
      <c r="D2874">
        <f>Prices!D2874</f>
        <v/>
      </c>
      <c r="E2874">
        <f>Prices!E2874</f>
        <v/>
      </c>
      <c r="F2874">
        <f>Prices!F2874</f>
        <v/>
      </c>
      <c r="G2874">
        <f>IF(AND(2872&gt;=16,TEXT(A2874,"yyyy-mm")&lt;&gt;TEXT(A2875,"yyyy-mm")),1,0)</f>
        <v/>
      </c>
      <c r="H2874">
        <f>IF(OR(H2873=1,G2874=1),1,0)</f>
        <v/>
      </c>
      <c r="I2874">
        <f>IF(H2873=0,1,SUMPRODUCT(J2873:N2873,B2874:F2874)+O2873*(1+0.00023125256064071564))</f>
        <v/>
      </c>
      <c r="J2874">
        <f>IF(G2874=1,0.2*R2874/B2874,J2873)</f>
        <v/>
      </c>
      <c r="K2874">
        <f>IF(G2874=1,0.2*R2874/C2874,K2873)</f>
        <v/>
      </c>
      <c r="L2874">
        <f>IF(G2874=1,0.2*R2874/D2874,L2873)</f>
        <v/>
      </c>
      <c r="M2874">
        <f>IF(G2874=1,0.2*R2874/E2874,M2873)</f>
        <v/>
      </c>
      <c r="N2874">
        <f>IF(G2874=1,0.2*R2874/F2874,N2873)</f>
        <v/>
      </c>
      <c r="O2874">
        <f>IF(G2874=1,R2874*(1-1.0),IF(H2873=0,1,O2873*(1+0.00023125256064071564)))</f>
        <v/>
      </c>
      <c r="P2874">
        <f>IF(G2874=1,IF(H2873=0,1,ABS(0.2-J2873*B2874/I2874)+ABS(0.2-K2873*C2874/I2874)+ABS(0.2-L2873*D2874/I2874)+ABS(0.2-M2873*E2874/I2874)+ABS(0.2-N2873*F2874/I2874)),0)</f>
        <v/>
      </c>
      <c r="Q2874">
        <f>P2874*0.0015</f>
        <v/>
      </c>
      <c r="R2874">
        <f>I2874*(1-Q2874)</f>
        <v/>
      </c>
      <c r="S2874">
        <f>R2874/R2873-1</f>
        <v/>
      </c>
      <c r="T2874">
        <f>MAX(T2873,R2874)</f>
        <v/>
      </c>
      <c r="U2874">
        <f>R2874/T2874-1</f>
        <v/>
      </c>
      <c r="V2874" t="n">
        <v>7.32797455068666</v>
      </c>
      <c r="W2874" s="5">
        <f>R2874-V2874</f>
        <v/>
      </c>
    </row>
    <row r="2875">
      <c r="A2875" s="3" t="n">
        <v>42673</v>
      </c>
      <c r="B2875">
        <f>Prices!B2875</f>
        <v/>
      </c>
      <c r="C2875">
        <f>Prices!C2875</f>
        <v/>
      </c>
      <c r="D2875">
        <f>Prices!D2875</f>
        <v/>
      </c>
      <c r="E2875">
        <f>Prices!E2875</f>
        <v/>
      </c>
      <c r="F2875">
        <f>Prices!F2875</f>
        <v/>
      </c>
      <c r="G2875">
        <f>IF(AND(2873&gt;=16,TEXT(A2875,"yyyy-mm")&lt;&gt;TEXT(A2876,"yyyy-mm")),1,0)</f>
        <v/>
      </c>
      <c r="H2875">
        <f>IF(OR(H2874=1,G2875=1),1,0)</f>
        <v/>
      </c>
      <c r="I2875">
        <f>IF(H2874=0,1,SUMPRODUCT(J2874:N2874,B2875:F2875)+O2874*(1+0.00023125256064071564))</f>
        <v/>
      </c>
      <c r="J2875">
        <f>IF(G2875=1,0.2*R2875/B2875,J2874)</f>
        <v/>
      </c>
      <c r="K2875">
        <f>IF(G2875=1,0.2*R2875/C2875,K2874)</f>
        <v/>
      </c>
      <c r="L2875">
        <f>IF(G2875=1,0.2*R2875/D2875,L2874)</f>
        <v/>
      </c>
      <c r="M2875">
        <f>IF(G2875=1,0.2*R2875/E2875,M2874)</f>
        <v/>
      </c>
      <c r="N2875">
        <f>IF(G2875=1,0.2*R2875/F2875,N2874)</f>
        <v/>
      </c>
      <c r="O2875">
        <f>IF(G2875=1,R2875*(1-1.0),IF(H2874=0,1,O2874*(1+0.00023125256064071564)))</f>
        <v/>
      </c>
      <c r="P2875">
        <f>IF(G2875=1,IF(H2874=0,1,ABS(0.2-J2874*B2875/I2875)+ABS(0.2-K2874*C2875/I2875)+ABS(0.2-L2874*D2875/I2875)+ABS(0.2-M2874*E2875/I2875)+ABS(0.2-N2874*F2875/I2875)),0)</f>
        <v/>
      </c>
      <c r="Q2875">
        <f>P2875*0.0015</f>
        <v/>
      </c>
      <c r="R2875">
        <f>I2875*(1-Q2875)</f>
        <v/>
      </c>
      <c r="S2875">
        <f>R2875/R2874-1</f>
        <v/>
      </c>
      <c r="T2875">
        <f>MAX(T2874,R2875)</f>
        <v/>
      </c>
      <c r="U2875">
        <f>R2875/T2875-1</f>
        <v/>
      </c>
      <c r="V2875" t="n">
        <v>7.349361332645186</v>
      </c>
      <c r="W2875" s="5">
        <f>R2875-V2875</f>
        <v/>
      </c>
    </row>
    <row r="2876">
      <c r="A2876" s="3" t="n">
        <v>42675</v>
      </c>
      <c r="B2876">
        <f>Prices!B2876</f>
        <v/>
      </c>
      <c r="C2876">
        <f>Prices!C2876</f>
        <v/>
      </c>
      <c r="D2876">
        <f>Prices!D2876</f>
        <v/>
      </c>
      <c r="E2876">
        <f>Prices!E2876</f>
        <v/>
      </c>
      <c r="F2876">
        <f>Prices!F2876</f>
        <v/>
      </c>
      <c r="G2876">
        <f>IF(AND(2874&gt;=16,TEXT(A2876,"yyyy-mm")&lt;&gt;TEXT(A2877,"yyyy-mm")),1,0)</f>
        <v/>
      </c>
      <c r="H2876">
        <f>IF(OR(H2875=1,G2876=1),1,0)</f>
        <v/>
      </c>
      <c r="I2876">
        <f>IF(H2875=0,1,SUMPRODUCT(J2875:N2875,B2876:F2876)+O2875*(1+0.00023125256064071564))</f>
        <v/>
      </c>
      <c r="J2876">
        <f>IF(G2876=1,0.2*R2876/B2876,J2875)</f>
        <v/>
      </c>
      <c r="K2876">
        <f>IF(G2876=1,0.2*R2876/C2876,K2875)</f>
        <v/>
      </c>
      <c r="L2876">
        <f>IF(G2876=1,0.2*R2876/D2876,L2875)</f>
        <v/>
      </c>
      <c r="M2876">
        <f>IF(G2876=1,0.2*R2876/E2876,M2875)</f>
        <v/>
      </c>
      <c r="N2876">
        <f>IF(G2876=1,0.2*R2876/F2876,N2875)</f>
        <v/>
      </c>
      <c r="O2876">
        <f>IF(G2876=1,R2876*(1-1.0),IF(H2875=0,1,O2875*(1+0.00023125256064071564)))</f>
        <v/>
      </c>
      <c r="P2876">
        <f>IF(G2876=1,IF(H2875=0,1,ABS(0.2-J2875*B2876/I2876)+ABS(0.2-K2875*C2876/I2876)+ABS(0.2-L2875*D2876/I2876)+ABS(0.2-M2875*E2876/I2876)+ABS(0.2-N2875*F2876/I2876)),0)</f>
        <v/>
      </c>
      <c r="Q2876">
        <f>P2876*0.0015</f>
        <v/>
      </c>
      <c r="R2876">
        <f>I2876*(1-Q2876)</f>
        <v/>
      </c>
      <c r="S2876">
        <f>R2876/R2875-1</f>
        <v/>
      </c>
      <c r="T2876">
        <f>MAX(T2875,R2876)</f>
        <v/>
      </c>
      <c r="U2876">
        <f>R2876/T2876-1</f>
        <v/>
      </c>
      <c r="V2876" t="n">
        <v>7.367150019651041</v>
      </c>
      <c r="W2876" s="5">
        <f>R2876-V2876</f>
        <v/>
      </c>
    </row>
    <row r="2877">
      <c r="A2877" s="3" t="n">
        <v>42676</v>
      </c>
      <c r="B2877">
        <f>Prices!B2877</f>
        <v/>
      </c>
      <c r="C2877">
        <f>Prices!C2877</f>
        <v/>
      </c>
      <c r="D2877">
        <f>Prices!D2877</f>
        <v/>
      </c>
      <c r="E2877">
        <f>Prices!E2877</f>
        <v/>
      </c>
      <c r="F2877">
        <f>Prices!F2877</f>
        <v/>
      </c>
      <c r="G2877">
        <f>IF(AND(2875&gt;=16,TEXT(A2877,"yyyy-mm")&lt;&gt;TEXT(A2878,"yyyy-mm")),1,0)</f>
        <v/>
      </c>
      <c r="H2877">
        <f>IF(OR(H2876=1,G2877=1),1,0)</f>
        <v/>
      </c>
      <c r="I2877">
        <f>IF(H2876=0,1,SUMPRODUCT(J2876:N2876,B2877:F2877)+O2876*(1+0.00023125256064071564))</f>
        <v/>
      </c>
      <c r="J2877">
        <f>IF(G2877=1,0.2*R2877/B2877,J2876)</f>
        <v/>
      </c>
      <c r="K2877">
        <f>IF(G2877=1,0.2*R2877/C2877,K2876)</f>
        <v/>
      </c>
      <c r="L2877">
        <f>IF(G2877=1,0.2*R2877/D2877,L2876)</f>
        <v/>
      </c>
      <c r="M2877">
        <f>IF(G2877=1,0.2*R2877/E2877,M2876)</f>
        <v/>
      </c>
      <c r="N2877">
        <f>IF(G2877=1,0.2*R2877/F2877,N2876)</f>
        <v/>
      </c>
      <c r="O2877">
        <f>IF(G2877=1,R2877*(1-1.0),IF(H2876=0,1,O2876*(1+0.00023125256064071564)))</f>
        <v/>
      </c>
      <c r="P2877">
        <f>IF(G2877=1,IF(H2876=0,1,ABS(0.2-J2876*B2877/I2877)+ABS(0.2-K2876*C2877/I2877)+ABS(0.2-L2876*D2877/I2877)+ABS(0.2-M2876*E2877/I2877)+ABS(0.2-N2876*F2877/I2877)),0)</f>
        <v/>
      </c>
      <c r="Q2877">
        <f>P2877*0.0015</f>
        <v/>
      </c>
      <c r="R2877">
        <f>I2877*(1-Q2877)</f>
        <v/>
      </c>
      <c r="S2877">
        <f>R2877/R2876-1</f>
        <v/>
      </c>
      <c r="T2877">
        <f>MAX(T2876,R2877)</f>
        <v/>
      </c>
      <c r="U2877">
        <f>R2877/T2877-1</f>
        <v/>
      </c>
      <c r="V2877" t="n">
        <v>7.235172316272251</v>
      </c>
      <c r="W2877" s="5">
        <f>R2877-V2877</f>
        <v/>
      </c>
    </row>
    <row r="2878">
      <c r="A2878" s="3" t="n">
        <v>42677</v>
      </c>
      <c r="B2878">
        <f>Prices!B2878</f>
        <v/>
      </c>
      <c r="C2878">
        <f>Prices!C2878</f>
        <v/>
      </c>
      <c r="D2878">
        <f>Prices!D2878</f>
        <v/>
      </c>
      <c r="E2878">
        <f>Prices!E2878</f>
        <v/>
      </c>
      <c r="F2878">
        <f>Prices!F2878</f>
        <v/>
      </c>
      <c r="G2878">
        <f>IF(AND(2876&gt;=16,TEXT(A2878,"yyyy-mm")&lt;&gt;TEXT(A2879,"yyyy-mm")),1,0)</f>
        <v/>
      </c>
      <c r="H2878">
        <f>IF(OR(H2877=1,G2878=1),1,0)</f>
        <v/>
      </c>
      <c r="I2878">
        <f>IF(H2877=0,1,SUMPRODUCT(J2877:N2877,B2878:F2878)+O2877*(1+0.00023125256064071564))</f>
        <v/>
      </c>
      <c r="J2878">
        <f>IF(G2878=1,0.2*R2878/B2878,J2877)</f>
        <v/>
      </c>
      <c r="K2878">
        <f>IF(G2878=1,0.2*R2878/C2878,K2877)</f>
        <v/>
      </c>
      <c r="L2878">
        <f>IF(G2878=1,0.2*R2878/D2878,L2877)</f>
        <v/>
      </c>
      <c r="M2878">
        <f>IF(G2878=1,0.2*R2878/E2878,M2877)</f>
        <v/>
      </c>
      <c r="N2878">
        <f>IF(G2878=1,0.2*R2878/F2878,N2877)</f>
        <v/>
      </c>
      <c r="O2878">
        <f>IF(G2878=1,R2878*(1-1.0),IF(H2877=0,1,O2877*(1+0.00023125256064071564)))</f>
        <v/>
      </c>
      <c r="P2878">
        <f>IF(G2878=1,IF(H2877=0,1,ABS(0.2-J2877*B2878/I2878)+ABS(0.2-K2877*C2878/I2878)+ABS(0.2-L2877*D2878/I2878)+ABS(0.2-M2877*E2878/I2878)+ABS(0.2-N2877*F2878/I2878)),0)</f>
        <v/>
      </c>
      <c r="Q2878">
        <f>P2878*0.0015</f>
        <v/>
      </c>
      <c r="R2878">
        <f>I2878*(1-Q2878)</f>
        <v/>
      </c>
      <c r="S2878">
        <f>R2878/R2877-1</f>
        <v/>
      </c>
      <c r="T2878">
        <f>MAX(T2877,R2878)</f>
        <v/>
      </c>
      <c r="U2878">
        <f>R2878/T2878-1</f>
        <v/>
      </c>
      <c r="V2878" t="n">
        <v>7.171569914722281</v>
      </c>
      <c r="W2878" s="5">
        <f>R2878-V2878</f>
        <v/>
      </c>
    </row>
    <row r="2879">
      <c r="A2879" s="3" t="n">
        <v>42678</v>
      </c>
      <c r="B2879">
        <f>Prices!B2879</f>
        <v/>
      </c>
      <c r="C2879">
        <f>Prices!C2879</f>
        <v/>
      </c>
      <c r="D2879">
        <f>Prices!D2879</f>
        <v/>
      </c>
      <c r="E2879">
        <f>Prices!E2879</f>
        <v/>
      </c>
      <c r="F2879">
        <f>Prices!F2879</f>
        <v/>
      </c>
      <c r="G2879">
        <f>IF(AND(2877&gt;=16,TEXT(A2879,"yyyy-mm")&lt;&gt;TEXT(A2880,"yyyy-mm")),1,0)</f>
        <v/>
      </c>
      <c r="H2879">
        <f>IF(OR(H2878=1,G2879=1),1,0)</f>
        <v/>
      </c>
      <c r="I2879">
        <f>IF(H2878=0,1,SUMPRODUCT(J2878:N2878,B2879:F2879)+O2878*(1+0.00023125256064071564))</f>
        <v/>
      </c>
      <c r="J2879">
        <f>IF(G2879=1,0.2*R2879/B2879,J2878)</f>
        <v/>
      </c>
      <c r="K2879">
        <f>IF(G2879=1,0.2*R2879/C2879,K2878)</f>
        <v/>
      </c>
      <c r="L2879">
        <f>IF(G2879=1,0.2*R2879/D2879,L2878)</f>
        <v/>
      </c>
      <c r="M2879">
        <f>IF(G2879=1,0.2*R2879/E2879,M2878)</f>
        <v/>
      </c>
      <c r="N2879">
        <f>IF(G2879=1,0.2*R2879/F2879,N2878)</f>
        <v/>
      </c>
      <c r="O2879">
        <f>IF(G2879=1,R2879*(1-1.0),IF(H2878=0,1,O2878*(1+0.00023125256064071564)))</f>
        <v/>
      </c>
      <c r="P2879">
        <f>IF(G2879=1,IF(H2878=0,1,ABS(0.2-J2878*B2879/I2879)+ABS(0.2-K2878*C2879/I2879)+ABS(0.2-L2878*D2879/I2879)+ABS(0.2-M2878*E2879/I2879)+ABS(0.2-N2878*F2879/I2879)),0)</f>
        <v/>
      </c>
      <c r="Q2879">
        <f>P2879*0.0015</f>
        <v/>
      </c>
      <c r="R2879">
        <f>I2879*(1-Q2879)</f>
        <v/>
      </c>
      <c r="S2879">
        <f>R2879/R2878-1</f>
        <v/>
      </c>
      <c r="T2879">
        <f>MAX(T2878,R2879)</f>
        <v/>
      </c>
      <c r="U2879">
        <f>R2879/T2879-1</f>
        <v/>
      </c>
      <c r="V2879" t="n">
        <v>7.082435537889057</v>
      </c>
      <c r="W2879" s="5">
        <f>R2879-V2879</f>
        <v/>
      </c>
    </row>
    <row r="2880">
      <c r="A2880" s="3" t="n">
        <v>42681</v>
      </c>
      <c r="B2880">
        <f>Prices!B2880</f>
        <v/>
      </c>
      <c r="C2880">
        <f>Prices!C2880</f>
        <v/>
      </c>
      <c r="D2880">
        <f>Prices!D2880</f>
        <v/>
      </c>
      <c r="E2880">
        <f>Prices!E2880</f>
        <v/>
      </c>
      <c r="F2880">
        <f>Prices!F2880</f>
        <v/>
      </c>
      <c r="G2880">
        <f>IF(AND(2878&gt;=16,TEXT(A2880,"yyyy-mm")&lt;&gt;TEXT(A2881,"yyyy-mm")),1,0)</f>
        <v/>
      </c>
      <c r="H2880">
        <f>IF(OR(H2879=1,G2880=1),1,0)</f>
        <v/>
      </c>
      <c r="I2880">
        <f>IF(H2879=0,1,SUMPRODUCT(J2879:N2879,B2880:F2880)+O2879*(1+0.00023125256064071564))</f>
        <v/>
      </c>
      <c r="J2880">
        <f>IF(G2880=1,0.2*R2880/B2880,J2879)</f>
        <v/>
      </c>
      <c r="K2880">
        <f>IF(G2880=1,0.2*R2880/C2880,K2879)</f>
        <v/>
      </c>
      <c r="L2880">
        <f>IF(G2880=1,0.2*R2880/D2880,L2879)</f>
        <v/>
      </c>
      <c r="M2880">
        <f>IF(G2880=1,0.2*R2880/E2880,M2879)</f>
        <v/>
      </c>
      <c r="N2880">
        <f>IF(G2880=1,0.2*R2880/F2880,N2879)</f>
        <v/>
      </c>
      <c r="O2880">
        <f>IF(G2880=1,R2880*(1-1.0),IF(H2879=0,1,O2879*(1+0.00023125256064071564)))</f>
        <v/>
      </c>
      <c r="P2880">
        <f>IF(G2880=1,IF(H2879=0,1,ABS(0.2-J2879*B2880/I2880)+ABS(0.2-K2879*C2880/I2880)+ABS(0.2-L2879*D2880/I2880)+ABS(0.2-M2879*E2880/I2880)+ABS(0.2-N2879*F2880/I2880)),0)</f>
        <v/>
      </c>
      <c r="Q2880">
        <f>P2880*0.0015</f>
        <v/>
      </c>
      <c r="R2880">
        <f>I2880*(1-Q2880)</f>
        <v/>
      </c>
      <c r="S2880">
        <f>R2880/R2879-1</f>
        <v/>
      </c>
      <c r="T2880">
        <f>MAX(T2879,R2880)</f>
        <v/>
      </c>
      <c r="U2880">
        <f>R2880/T2880-1</f>
        <v/>
      </c>
      <c r="V2880" t="n">
        <v>7.152516657625527</v>
      </c>
      <c r="W2880" s="5">
        <f>R2880-V2880</f>
        <v/>
      </c>
    </row>
    <row r="2881">
      <c r="A2881" s="3" t="n">
        <v>42682</v>
      </c>
      <c r="B2881">
        <f>Prices!B2881</f>
        <v/>
      </c>
      <c r="C2881">
        <f>Prices!C2881</f>
        <v/>
      </c>
      <c r="D2881">
        <f>Prices!D2881</f>
        <v/>
      </c>
      <c r="E2881">
        <f>Prices!E2881</f>
        <v/>
      </c>
      <c r="F2881">
        <f>Prices!F2881</f>
        <v/>
      </c>
      <c r="G2881">
        <f>IF(AND(2879&gt;=16,TEXT(A2881,"yyyy-mm")&lt;&gt;TEXT(A2882,"yyyy-mm")),1,0)</f>
        <v/>
      </c>
      <c r="H2881">
        <f>IF(OR(H2880=1,G2881=1),1,0)</f>
        <v/>
      </c>
      <c r="I2881">
        <f>IF(H2880=0,1,SUMPRODUCT(J2880:N2880,B2881:F2881)+O2880*(1+0.00023125256064071564))</f>
        <v/>
      </c>
      <c r="J2881">
        <f>IF(G2881=1,0.2*R2881/B2881,J2880)</f>
        <v/>
      </c>
      <c r="K2881">
        <f>IF(G2881=1,0.2*R2881/C2881,K2880)</f>
        <v/>
      </c>
      <c r="L2881">
        <f>IF(G2881=1,0.2*R2881/D2881,L2880)</f>
        <v/>
      </c>
      <c r="M2881">
        <f>IF(G2881=1,0.2*R2881/E2881,M2880)</f>
        <v/>
      </c>
      <c r="N2881">
        <f>IF(G2881=1,0.2*R2881/F2881,N2880)</f>
        <v/>
      </c>
      <c r="O2881">
        <f>IF(G2881=1,R2881*(1-1.0),IF(H2880=0,1,O2880*(1+0.00023125256064071564)))</f>
        <v/>
      </c>
      <c r="P2881">
        <f>IF(G2881=1,IF(H2880=0,1,ABS(0.2-J2880*B2881/I2881)+ABS(0.2-K2880*C2881/I2881)+ABS(0.2-L2880*D2881/I2881)+ABS(0.2-M2880*E2881/I2881)+ABS(0.2-N2880*F2881/I2881)),0)</f>
        <v/>
      </c>
      <c r="Q2881">
        <f>P2881*0.0015</f>
        <v/>
      </c>
      <c r="R2881">
        <f>I2881*(1-Q2881)</f>
        <v/>
      </c>
      <c r="S2881">
        <f>R2881/R2880-1</f>
        <v/>
      </c>
      <c r="T2881">
        <f>MAX(T2880,R2881)</f>
        <v/>
      </c>
      <c r="U2881">
        <f>R2881/T2881-1</f>
        <v/>
      </c>
      <c r="V2881" t="n">
        <v>7.178912242655662</v>
      </c>
      <c r="W2881" s="5">
        <f>R2881-V2881</f>
        <v/>
      </c>
    </row>
    <row r="2882">
      <c r="A2882" s="3" t="n">
        <v>42683</v>
      </c>
      <c r="B2882">
        <f>Prices!B2882</f>
        <v/>
      </c>
      <c r="C2882">
        <f>Prices!C2882</f>
        <v/>
      </c>
      <c r="D2882">
        <f>Prices!D2882</f>
        <v/>
      </c>
      <c r="E2882">
        <f>Prices!E2882</f>
        <v/>
      </c>
      <c r="F2882">
        <f>Prices!F2882</f>
        <v/>
      </c>
      <c r="G2882">
        <f>IF(AND(2880&gt;=16,TEXT(A2882,"yyyy-mm")&lt;&gt;TEXT(A2883,"yyyy-mm")),1,0)</f>
        <v/>
      </c>
      <c r="H2882">
        <f>IF(OR(H2881=1,G2882=1),1,0)</f>
        <v/>
      </c>
      <c r="I2882">
        <f>IF(H2881=0,1,SUMPRODUCT(J2881:N2881,B2882:F2882)+O2881*(1+0.00023125256064071564))</f>
        <v/>
      </c>
      <c r="J2882">
        <f>IF(G2882=1,0.2*R2882/B2882,J2881)</f>
        <v/>
      </c>
      <c r="K2882">
        <f>IF(G2882=1,0.2*R2882/C2882,K2881)</f>
        <v/>
      </c>
      <c r="L2882">
        <f>IF(G2882=1,0.2*R2882/D2882,L2881)</f>
        <v/>
      </c>
      <c r="M2882">
        <f>IF(G2882=1,0.2*R2882/E2882,M2881)</f>
        <v/>
      </c>
      <c r="N2882">
        <f>IF(G2882=1,0.2*R2882/F2882,N2881)</f>
        <v/>
      </c>
      <c r="O2882">
        <f>IF(G2882=1,R2882*(1-1.0),IF(H2881=0,1,O2881*(1+0.00023125256064071564)))</f>
        <v/>
      </c>
      <c r="P2882">
        <f>IF(G2882=1,IF(H2881=0,1,ABS(0.2-J2881*B2882/I2882)+ABS(0.2-K2881*C2882/I2882)+ABS(0.2-L2881*D2882/I2882)+ABS(0.2-M2881*E2882/I2882)+ABS(0.2-N2881*F2882/I2882)),0)</f>
        <v/>
      </c>
      <c r="Q2882">
        <f>P2882*0.0015</f>
        <v/>
      </c>
      <c r="R2882">
        <f>I2882*(1-Q2882)</f>
        <v/>
      </c>
      <c r="S2882">
        <f>R2882/R2881-1</f>
        <v/>
      </c>
      <c r="T2882">
        <f>MAX(T2881,R2882)</f>
        <v/>
      </c>
      <c r="U2882">
        <f>R2882/T2882-1</f>
        <v/>
      </c>
      <c r="V2882" t="n">
        <v>7.017970954545173</v>
      </c>
      <c r="W2882" s="5">
        <f>R2882-V2882</f>
        <v/>
      </c>
    </row>
    <row r="2883">
      <c r="A2883" s="3" t="n">
        <v>42684</v>
      </c>
      <c r="B2883">
        <f>Prices!B2883</f>
        <v/>
      </c>
      <c r="C2883">
        <f>Prices!C2883</f>
        <v/>
      </c>
      <c r="D2883">
        <f>Prices!D2883</f>
        <v/>
      </c>
      <c r="E2883">
        <f>Prices!E2883</f>
        <v/>
      </c>
      <c r="F2883">
        <f>Prices!F2883</f>
        <v/>
      </c>
      <c r="G2883">
        <f>IF(AND(2881&gt;=16,TEXT(A2883,"yyyy-mm")&lt;&gt;TEXT(A2884,"yyyy-mm")),1,0)</f>
        <v/>
      </c>
      <c r="H2883">
        <f>IF(OR(H2882=1,G2883=1),1,0)</f>
        <v/>
      </c>
      <c r="I2883">
        <f>IF(H2882=0,1,SUMPRODUCT(J2882:N2882,B2883:F2883)+O2882*(1+0.00023125256064071564))</f>
        <v/>
      </c>
      <c r="J2883">
        <f>IF(G2883=1,0.2*R2883/B2883,J2882)</f>
        <v/>
      </c>
      <c r="K2883">
        <f>IF(G2883=1,0.2*R2883/C2883,K2882)</f>
        <v/>
      </c>
      <c r="L2883">
        <f>IF(G2883=1,0.2*R2883/D2883,L2882)</f>
        <v/>
      </c>
      <c r="M2883">
        <f>IF(G2883=1,0.2*R2883/E2883,M2882)</f>
        <v/>
      </c>
      <c r="N2883">
        <f>IF(G2883=1,0.2*R2883/F2883,N2882)</f>
        <v/>
      </c>
      <c r="O2883">
        <f>IF(G2883=1,R2883*(1-1.0),IF(H2882=0,1,O2882*(1+0.00023125256064071564)))</f>
        <v/>
      </c>
      <c r="P2883">
        <f>IF(G2883=1,IF(H2882=0,1,ABS(0.2-J2882*B2883/I2883)+ABS(0.2-K2882*C2883/I2883)+ABS(0.2-L2882*D2883/I2883)+ABS(0.2-M2882*E2883/I2883)+ABS(0.2-N2882*F2883/I2883)),0)</f>
        <v/>
      </c>
      <c r="Q2883">
        <f>P2883*0.0015</f>
        <v/>
      </c>
      <c r="R2883">
        <f>I2883*(1-Q2883)</f>
        <v/>
      </c>
      <c r="S2883">
        <f>R2883/R2882-1</f>
        <v/>
      </c>
      <c r="T2883">
        <f>MAX(T2882,R2883)</f>
        <v/>
      </c>
      <c r="U2883">
        <f>R2883/T2883-1</f>
        <v/>
      </c>
      <c r="V2883" t="n">
        <v>7.132555423194078</v>
      </c>
      <c r="W2883" s="5">
        <f>R2883-V2883</f>
        <v/>
      </c>
    </row>
    <row r="2884">
      <c r="A2884" s="3" t="n">
        <v>42685</v>
      </c>
      <c r="B2884">
        <f>Prices!B2884</f>
        <v/>
      </c>
      <c r="C2884">
        <f>Prices!C2884</f>
        <v/>
      </c>
      <c r="D2884">
        <f>Prices!D2884</f>
        <v/>
      </c>
      <c r="E2884">
        <f>Prices!E2884</f>
        <v/>
      </c>
      <c r="F2884">
        <f>Prices!F2884</f>
        <v/>
      </c>
      <c r="G2884">
        <f>IF(AND(2882&gt;=16,TEXT(A2884,"yyyy-mm")&lt;&gt;TEXT(A2885,"yyyy-mm")),1,0)</f>
        <v/>
      </c>
      <c r="H2884">
        <f>IF(OR(H2883=1,G2884=1),1,0)</f>
        <v/>
      </c>
      <c r="I2884">
        <f>IF(H2883=0,1,SUMPRODUCT(J2883:N2883,B2884:F2884)+O2883*(1+0.00023125256064071564))</f>
        <v/>
      </c>
      <c r="J2884">
        <f>IF(G2884=1,0.2*R2884/B2884,J2883)</f>
        <v/>
      </c>
      <c r="K2884">
        <f>IF(G2884=1,0.2*R2884/C2884,K2883)</f>
        <v/>
      </c>
      <c r="L2884">
        <f>IF(G2884=1,0.2*R2884/D2884,L2883)</f>
        <v/>
      </c>
      <c r="M2884">
        <f>IF(G2884=1,0.2*R2884/E2884,M2883)</f>
        <v/>
      </c>
      <c r="N2884">
        <f>IF(G2884=1,0.2*R2884/F2884,N2883)</f>
        <v/>
      </c>
      <c r="O2884">
        <f>IF(G2884=1,R2884*(1-1.0),IF(H2883=0,1,O2883*(1+0.00023125256064071564)))</f>
        <v/>
      </c>
      <c r="P2884">
        <f>IF(G2884=1,IF(H2883=0,1,ABS(0.2-J2883*B2884/I2884)+ABS(0.2-K2883*C2884/I2884)+ABS(0.2-L2883*D2884/I2884)+ABS(0.2-M2883*E2884/I2884)+ABS(0.2-N2883*F2884/I2884)),0)</f>
        <v/>
      </c>
      <c r="Q2884">
        <f>P2884*0.0015</f>
        <v/>
      </c>
      <c r="R2884">
        <f>I2884*(1-Q2884)</f>
        <v/>
      </c>
      <c r="S2884">
        <f>R2884/R2883-1</f>
        <v/>
      </c>
      <c r="T2884">
        <f>MAX(T2883,R2884)</f>
        <v/>
      </c>
      <c r="U2884">
        <f>R2884/T2884-1</f>
        <v/>
      </c>
      <c r="V2884" t="n">
        <v>6.879473337641093</v>
      </c>
      <c r="W2884" s="5">
        <f>R2884-V2884</f>
        <v/>
      </c>
    </row>
    <row r="2885">
      <c r="A2885" s="3" t="n">
        <v>42689</v>
      </c>
      <c r="B2885">
        <f>Prices!B2885</f>
        <v/>
      </c>
      <c r="C2885">
        <f>Prices!C2885</f>
        <v/>
      </c>
      <c r="D2885">
        <f>Prices!D2885</f>
        <v/>
      </c>
      <c r="E2885">
        <f>Prices!E2885</f>
        <v/>
      </c>
      <c r="F2885">
        <f>Prices!F2885</f>
        <v/>
      </c>
      <c r="G2885">
        <f>IF(AND(2883&gt;=16,TEXT(A2885,"yyyy-mm")&lt;&gt;TEXT(A2886,"yyyy-mm")),1,0)</f>
        <v/>
      </c>
      <c r="H2885">
        <f>IF(OR(H2884=1,G2885=1),1,0)</f>
        <v/>
      </c>
      <c r="I2885">
        <f>IF(H2884=0,1,SUMPRODUCT(J2884:N2884,B2885:F2885)+O2884*(1+0.00023125256064071564))</f>
        <v/>
      </c>
      <c r="J2885">
        <f>IF(G2885=1,0.2*R2885/B2885,J2884)</f>
        <v/>
      </c>
      <c r="K2885">
        <f>IF(G2885=1,0.2*R2885/C2885,K2884)</f>
        <v/>
      </c>
      <c r="L2885">
        <f>IF(G2885=1,0.2*R2885/D2885,L2884)</f>
        <v/>
      </c>
      <c r="M2885">
        <f>IF(G2885=1,0.2*R2885/E2885,M2884)</f>
        <v/>
      </c>
      <c r="N2885">
        <f>IF(G2885=1,0.2*R2885/F2885,N2884)</f>
        <v/>
      </c>
      <c r="O2885">
        <f>IF(G2885=1,R2885*(1-1.0),IF(H2884=0,1,O2884*(1+0.00023125256064071564)))</f>
        <v/>
      </c>
      <c r="P2885">
        <f>IF(G2885=1,IF(H2884=0,1,ABS(0.2-J2884*B2885/I2885)+ABS(0.2-K2884*C2885/I2885)+ABS(0.2-L2884*D2885/I2885)+ABS(0.2-M2884*E2885/I2885)+ABS(0.2-N2884*F2885/I2885)),0)</f>
        <v/>
      </c>
      <c r="Q2885">
        <f>P2885*0.0015</f>
        <v/>
      </c>
      <c r="R2885">
        <f>I2885*(1-Q2885)</f>
        <v/>
      </c>
      <c r="S2885">
        <f>R2885/R2884-1</f>
        <v/>
      </c>
      <c r="T2885">
        <f>MAX(T2884,R2885)</f>
        <v/>
      </c>
      <c r="U2885">
        <f>R2885/T2885-1</f>
        <v/>
      </c>
      <c r="V2885" t="n">
        <v>6.583344323586964</v>
      </c>
      <c r="W2885" s="5">
        <f>R2885-V2885</f>
        <v/>
      </c>
    </row>
    <row r="2886">
      <c r="A2886" s="3" t="n">
        <v>42690</v>
      </c>
      <c r="B2886">
        <f>Prices!B2886</f>
        <v/>
      </c>
      <c r="C2886">
        <f>Prices!C2886</f>
        <v/>
      </c>
      <c r="D2886">
        <f>Prices!D2886</f>
        <v/>
      </c>
      <c r="E2886">
        <f>Prices!E2886</f>
        <v/>
      </c>
      <c r="F2886">
        <f>Prices!F2886</f>
        <v/>
      </c>
      <c r="G2886">
        <f>IF(AND(2884&gt;=16,TEXT(A2886,"yyyy-mm")&lt;&gt;TEXT(A2887,"yyyy-mm")),1,0)</f>
        <v/>
      </c>
      <c r="H2886">
        <f>IF(OR(H2885=1,G2886=1),1,0)</f>
        <v/>
      </c>
      <c r="I2886">
        <f>IF(H2885=0,1,SUMPRODUCT(J2885:N2885,B2886:F2886)+O2885*(1+0.00023125256064071564))</f>
        <v/>
      </c>
      <c r="J2886">
        <f>IF(G2886=1,0.2*R2886/B2886,J2885)</f>
        <v/>
      </c>
      <c r="K2886">
        <f>IF(G2886=1,0.2*R2886/C2886,K2885)</f>
        <v/>
      </c>
      <c r="L2886">
        <f>IF(G2886=1,0.2*R2886/D2886,L2885)</f>
        <v/>
      </c>
      <c r="M2886">
        <f>IF(G2886=1,0.2*R2886/E2886,M2885)</f>
        <v/>
      </c>
      <c r="N2886">
        <f>IF(G2886=1,0.2*R2886/F2886,N2885)</f>
        <v/>
      </c>
      <c r="O2886">
        <f>IF(G2886=1,R2886*(1-1.0),IF(H2885=0,1,O2885*(1+0.00023125256064071564)))</f>
        <v/>
      </c>
      <c r="P2886">
        <f>IF(G2886=1,IF(H2885=0,1,ABS(0.2-J2885*B2886/I2886)+ABS(0.2-K2885*C2886/I2886)+ABS(0.2-L2885*D2886/I2886)+ABS(0.2-M2885*E2886/I2886)+ABS(0.2-N2885*F2886/I2886)),0)</f>
        <v/>
      </c>
      <c r="Q2886">
        <f>P2886*0.0015</f>
        <v/>
      </c>
      <c r="R2886">
        <f>I2886*(1-Q2886)</f>
        <v/>
      </c>
      <c r="S2886">
        <f>R2886/R2885-1</f>
        <v/>
      </c>
      <c r="T2886">
        <f>MAX(T2885,R2886)</f>
        <v/>
      </c>
      <c r="U2886">
        <f>R2886/T2886-1</f>
        <v/>
      </c>
      <c r="V2886" t="n">
        <v>6.598771563905574</v>
      </c>
      <c r="W2886" s="5">
        <f>R2886-V2886</f>
        <v/>
      </c>
    </row>
    <row r="2887">
      <c r="A2887" s="3" t="n">
        <v>42691</v>
      </c>
      <c r="B2887">
        <f>Prices!B2887</f>
        <v/>
      </c>
      <c r="C2887">
        <f>Prices!C2887</f>
        <v/>
      </c>
      <c r="D2887">
        <f>Prices!D2887</f>
        <v/>
      </c>
      <c r="E2887">
        <f>Prices!E2887</f>
        <v/>
      </c>
      <c r="F2887">
        <f>Prices!F2887</f>
        <v/>
      </c>
      <c r="G2887">
        <f>IF(AND(2885&gt;=16,TEXT(A2887,"yyyy-mm")&lt;&gt;TEXT(A2888,"yyyy-mm")),1,0)</f>
        <v/>
      </c>
      <c r="H2887">
        <f>IF(OR(H2886=1,G2887=1),1,0)</f>
        <v/>
      </c>
      <c r="I2887">
        <f>IF(H2886=0,1,SUMPRODUCT(J2886:N2886,B2887:F2887)+O2886*(1+0.00023125256064071564))</f>
        <v/>
      </c>
      <c r="J2887">
        <f>IF(G2887=1,0.2*R2887/B2887,J2886)</f>
        <v/>
      </c>
      <c r="K2887">
        <f>IF(G2887=1,0.2*R2887/C2887,K2886)</f>
        <v/>
      </c>
      <c r="L2887">
        <f>IF(G2887=1,0.2*R2887/D2887,L2886)</f>
        <v/>
      </c>
      <c r="M2887">
        <f>IF(G2887=1,0.2*R2887/E2887,M2886)</f>
        <v/>
      </c>
      <c r="N2887">
        <f>IF(G2887=1,0.2*R2887/F2887,N2886)</f>
        <v/>
      </c>
      <c r="O2887">
        <f>IF(G2887=1,R2887*(1-1.0),IF(H2886=0,1,O2886*(1+0.00023125256064071564)))</f>
        <v/>
      </c>
      <c r="P2887">
        <f>IF(G2887=1,IF(H2886=0,1,ABS(0.2-J2886*B2887/I2887)+ABS(0.2-K2886*C2887/I2887)+ABS(0.2-L2886*D2887/I2887)+ABS(0.2-M2886*E2887/I2887)+ABS(0.2-N2886*F2887/I2887)),0)</f>
        <v/>
      </c>
      <c r="Q2887">
        <f>P2887*0.0015</f>
        <v/>
      </c>
      <c r="R2887">
        <f>I2887*(1-Q2887)</f>
        <v/>
      </c>
      <c r="S2887">
        <f>R2887/R2886-1</f>
        <v/>
      </c>
      <c r="T2887">
        <f>MAX(T2886,R2887)</f>
        <v/>
      </c>
      <c r="U2887">
        <f>R2887/T2887-1</f>
        <v/>
      </c>
      <c r="V2887" t="n">
        <v>6.593182302901175</v>
      </c>
      <c r="W2887" s="5">
        <f>R2887-V2887</f>
        <v/>
      </c>
    </row>
    <row r="2888">
      <c r="A2888" s="3" t="n">
        <v>42692</v>
      </c>
      <c r="B2888">
        <f>Prices!B2888</f>
        <v/>
      </c>
      <c r="C2888">
        <f>Prices!C2888</f>
        <v/>
      </c>
      <c r="D2888">
        <f>Prices!D2888</f>
        <v/>
      </c>
      <c r="E2888">
        <f>Prices!E2888</f>
        <v/>
      </c>
      <c r="F2888">
        <f>Prices!F2888</f>
        <v/>
      </c>
      <c r="G2888">
        <f>IF(AND(2886&gt;=16,TEXT(A2888,"yyyy-mm")&lt;&gt;TEXT(A2889,"yyyy-mm")),1,0)</f>
        <v/>
      </c>
      <c r="H2888">
        <f>IF(OR(H2887=1,G2888=1),1,0)</f>
        <v/>
      </c>
      <c r="I2888">
        <f>IF(H2887=0,1,SUMPRODUCT(J2887:N2887,B2888:F2888)+O2887*(1+0.00023125256064071564))</f>
        <v/>
      </c>
      <c r="J2888">
        <f>IF(G2888=1,0.2*R2888/B2888,J2887)</f>
        <v/>
      </c>
      <c r="K2888">
        <f>IF(G2888=1,0.2*R2888/C2888,K2887)</f>
        <v/>
      </c>
      <c r="L2888">
        <f>IF(G2888=1,0.2*R2888/D2888,L2887)</f>
        <v/>
      </c>
      <c r="M2888">
        <f>IF(G2888=1,0.2*R2888/E2888,M2887)</f>
        <v/>
      </c>
      <c r="N2888">
        <f>IF(G2888=1,0.2*R2888/F2888,N2887)</f>
        <v/>
      </c>
      <c r="O2888">
        <f>IF(G2888=1,R2888*(1-1.0),IF(H2887=0,1,O2887*(1+0.00023125256064071564)))</f>
        <v/>
      </c>
      <c r="P2888">
        <f>IF(G2888=1,IF(H2887=0,1,ABS(0.2-J2887*B2888/I2888)+ABS(0.2-K2887*C2888/I2888)+ABS(0.2-L2887*D2888/I2888)+ABS(0.2-M2887*E2888/I2888)+ABS(0.2-N2887*F2888/I2888)),0)</f>
        <v/>
      </c>
      <c r="Q2888">
        <f>P2888*0.0015</f>
        <v/>
      </c>
      <c r="R2888">
        <f>I2888*(1-Q2888)</f>
        <v/>
      </c>
      <c r="S2888">
        <f>R2888/R2887-1</f>
        <v/>
      </c>
      <c r="T2888">
        <f>MAX(T2887,R2888)</f>
        <v/>
      </c>
      <c r="U2888">
        <f>R2888/T2888-1</f>
        <v/>
      </c>
      <c r="V2888" t="n">
        <v>6.606411901723323</v>
      </c>
      <c r="W2888" s="5">
        <f>R2888-V2888</f>
        <v/>
      </c>
    </row>
    <row r="2889">
      <c r="A2889" s="3" t="n">
        <v>42695</v>
      </c>
      <c r="B2889">
        <f>Prices!B2889</f>
        <v/>
      </c>
      <c r="C2889">
        <f>Prices!C2889</f>
        <v/>
      </c>
      <c r="D2889">
        <f>Prices!D2889</f>
        <v/>
      </c>
      <c r="E2889">
        <f>Prices!E2889</f>
        <v/>
      </c>
      <c r="F2889">
        <f>Prices!F2889</f>
        <v/>
      </c>
      <c r="G2889">
        <f>IF(AND(2887&gt;=16,TEXT(A2889,"yyyy-mm")&lt;&gt;TEXT(A2890,"yyyy-mm")),1,0)</f>
        <v/>
      </c>
      <c r="H2889">
        <f>IF(OR(H2888=1,G2889=1),1,0)</f>
        <v/>
      </c>
      <c r="I2889">
        <f>IF(H2888=0,1,SUMPRODUCT(J2888:N2888,B2889:F2889)+O2888*(1+0.00023125256064071564))</f>
        <v/>
      </c>
      <c r="J2889">
        <f>IF(G2889=1,0.2*R2889/B2889,J2888)</f>
        <v/>
      </c>
      <c r="K2889">
        <f>IF(G2889=1,0.2*R2889/C2889,K2888)</f>
        <v/>
      </c>
      <c r="L2889">
        <f>IF(G2889=1,0.2*R2889/D2889,L2888)</f>
        <v/>
      </c>
      <c r="M2889">
        <f>IF(G2889=1,0.2*R2889/E2889,M2888)</f>
        <v/>
      </c>
      <c r="N2889">
        <f>IF(G2889=1,0.2*R2889/F2889,N2888)</f>
        <v/>
      </c>
      <c r="O2889">
        <f>IF(G2889=1,R2889*(1-1.0),IF(H2888=0,1,O2888*(1+0.00023125256064071564)))</f>
        <v/>
      </c>
      <c r="P2889">
        <f>IF(G2889=1,IF(H2888=0,1,ABS(0.2-J2888*B2889/I2889)+ABS(0.2-K2888*C2889/I2889)+ABS(0.2-L2888*D2889/I2889)+ABS(0.2-M2888*E2889/I2889)+ABS(0.2-N2888*F2889/I2889)),0)</f>
        <v/>
      </c>
      <c r="Q2889">
        <f>P2889*0.0015</f>
        <v/>
      </c>
      <c r="R2889">
        <f>I2889*(1-Q2889)</f>
        <v/>
      </c>
      <c r="S2889">
        <f>R2889/R2888-1</f>
        <v/>
      </c>
      <c r="T2889">
        <f>MAX(T2888,R2889)</f>
        <v/>
      </c>
      <c r="U2889">
        <f>R2889/T2889-1</f>
        <v/>
      </c>
      <c r="V2889" t="n">
        <v>6.432507182257824</v>
      </c>
      <c r="W2889" s="5">
        <f>R2889-V2889</f>
        <v/>
      </c>
    </row>
    <row r="2890">
      <c r="A2890" s="3" t="n">
        <v>42696</v>
      </c>
      <c r="B2890">
        <f>Prices!B2890</f>
        <v/>
      </c>
      <c r="C2890">
        <f>Prices!C2890</f>
        <v/>
      </c>
      <c r="D2890">
        <f>Prices!D2890</f>
        <v/>
      </c>
      <c r="E2890">
        <f>Prices!E2890</f>
        <v/>
      </c>
      <c r="F2890">
        <f>Prices!F2890</f>
        <v/>
      </c>
      <c r="G2890">
        <f>IF(AND(2888&gt;=16,TEXT(A2890,"yyyy-mm")&lt;&gt;TEXT(A2891,"yyyy-mm")),1,0)</f>
        <v/>
      </c>
      <c r="H2890">
        <f>IF(OR(H2889=1,G2890=1),1,0)</f>
        <v/>
      </c>
      <c r="I2890">
        <f>IF(H2889=0,1,SUMPRODUCT(J2889:N2889,B2890:F2890)+O2889*(1+0.00023125256064071564))</f>
        <v/>
      </c>
      <c r="J2890">
        <f>IF(G2890=1,0.2*R2890/B2890,J2889)</f>
        <v/>
      </c>
      <c r="K2890">
        <f>IF(G2890=1,0.2*R2890/C2890,K2889)</f>
        <v/>
      </c>
      <c r="L2890">
        <f>IF(G2890=1,0.2*R2890/D2890,L2889)</f>
        <v/>
      </c>
      <c r="M2890">
        <f>IF(G2890=1,0.2*R2890/E2890,M2889)</f>
        <v/>
      </c>
      <c r="N2890">
        <f>IF(G2890=1,0.2*R2890/F2890,N2889)</f>
        <v/>
      </c>
      <c r="O2890">
        <f>IF(G2890=1,R2890*(1-1.0),IF(H2889=0,1,O2889*(1+0.00023125256064071564)))</f>
        <v/>
      </c>
      <c r="P2890">
        <f>IF(G2890=1,IF(H2889=0,1,ABS(0.2-J2889*B2890/I2890)+ABS(0.2-K2889*C2890/I2890)+ABS(0.2-L2889*D2890/I2890)+ABS(0.2-M2889*E2890/I2890)+ABS(0.2-N2889*F2890/I2890)),0)</f>
        <v/>
      </c>
      <c r="Q2890">
        <f>P2890*0.0015</f>
        <v/>
      </c>
      <c r="R2890">
        <f>I2890*(1-Q2890)</f>
        <v/>
      </c>
      <c r="S2890">
        <f>R2890/R2889-1</f>
        <v/>
      </c>
      <c r="T2890">
        <f>MAX(T2889,R2890)</f>
        <v/>
      </c>
      <c r="U2890">
        <f>R2890/T2890-1</f>
        <v/>
      </c>
      <c r="V2890" t="n">
        <v>6.54547426805198</v>
      </c>
      <c r="W2890" s="5">
        <f>R2890-V2890</f>
        <v/>
      </c>
    </row>
    <row r="2891">
      <c r="A2891" s="3" t="n">
        <v>42697</v>
      </c>
      <c r="B2891">
        <f>Prices!B2891</f>
        <v/>
      </c>
      <c r="C2891">
        <f>Prices!C2891</f>
        <v/>
      </c>
      <c r="D2891">
        <f>Prices!D2891</f>
        <v/>
      </c>
      <c r="E2891">
        <f>Prices!E2891</f>
        <v/>
      </c>
      <c r="F2891">
        <f>Prices!F2891</f>
        <v/>
      </c>
      <c r="G2891">
        <f>IF(AND(2889&gt;=16,TEXT(A2891,"yyyy-mm")&lt;&gt;TEXT(A2892,"yyyy-mm")),1,0)</f>
        <v/>
      </c>
      <c r="H2891">
        <f>IF(OR(H2890=1,G2891=1),1,0)</f>
        <v/>
      </c>
      <c r="I2891">
        <f>IF(H2890=0,1,SUMPRODUCT(J2890:N2890,B2891:F2891)+O2890*(1+0.00023125256064071564))</f>
        <v/>
      </c>
      <c r="J2891">
        <f>IF(G2891=1,0.2*R2891/B2891,J2890)</f>
        <v/>
      </c>
      <c r="K2891">
        <f>IF(G2891=1,0.2*R2891/C2891,K2890)</f>
        <v/>
      </c>
      <c r="L2891">
        <f>IF(G2891=1,0.2*R2891/D2891,L2890)</f>
        <v/>
      </c>
      <c r="M2891">
        <f>IF(G2891=1,0.2*R2891/E2891,M2890)</f>
        <v/>
      </c>
      <c r="N2891">
        <f>IF(G2891=1,0.2*R2891/F2891,N2890)</f>
        <v/>
      </c>
      <c r="O2891">
        <f>IF(G2891=1,R2891*(1-1.0),IF(H2890=0,1,O2890*(1+0.00023125256064071564)))</f>
        <v/>
      </c>
      <c r="P2891">
        <f>IF(G2891=1,IF(H2890=0,1,ABS(0.2-J2890*B2891/I2891)+ABS(0.2-K2890*C2891/I2891)+ABS(0.2-L2890*D2891/I2891)+ABS(0.2-M2890*E2891/I2891)+ABS(0.2-N2890*F2891/I2891)),0)</f>
        <v/>
      </c>
      <c r="Q2891">
        <f>P2891*0.0015</f>
        <v/>
      </c>
      <c r="R2891">
        <f>I2891*(1-Q2891)</f>
        <v/>
      </c>
      <c r="S2891">
        <f>R2891/R2890-1</f>
        <v/>
      </c>
      <c r="T2891">
        <f>MAX(T2890,R2891)</f>
        <v/>
      </c>
      <c r="U2891">
        <f>R2891/T2891-1</f>
        <v/>
      </c>
      <c r="V2891" t="n">
        <v>6.646000444809043</v>
      </c>
      <c r="W2891" s="5">
        <f>R2891-V2891</f>
        <v/>
      </c>
    </row>
    <row r="2892">
      <c r="A2892" s="3" t="n">
        <v>42698</v>
      </c>
      <c r="B2892">
        <f>Prices!B2892</f>
        <v/>
      </c>
      <c r="C2892">
        <f>Prices!C2892</f>
        <v/>
      </c>
      <c r="D2892">
        <f>Prices!D2892</f>
        <v/>
      </c>
      <c r="E2892">
        <f>Prices!E2892</f>
        <v/>
      </c>
      <c r="F2892">
        <f>Prices!F2892</f>
        <v/>
      </c>
      <c r="G2892">
        <f>IF(AND(2890&gt;=16,TEXT(A2892,"yyyy-mm")&lt;&gt;TEXT(A2893,"yyyy-mm")),1,0)</f>
        <v/>
      </c>
      <c r="H2892">
        <f>IF(OR(H2891=1,G2892=1),1,0)</f>
        <v/>
      </c>
      <c r="I2892">
        <f>IF(H2891=0,1,SUMPRODUCT(J2891:N2891,B2892:F2892)+O2891*(1+0.00023125256064071564))</f>
        <v/>
      </c>
      <c r="J2892">
        <f>IF(G2892=1,0.2*R2892/B2892,J2891)</f>
        <v/>
      </c>
      <c r="K2892">
        <f>IF(G2892=1,0.2*R2892/C2892,K2891)</f>
        <v/>
      </c>
      <c r="L2892">
        <f>IF(G2892=1,0.2*R2892/D2892,L2891)</f>
        <v/>
      </c>
      <c r="M2892">
        <f>IF(G2892=1,0.2*R2892/E2892,M2891)</f>
        <v/>
      </c>
      <c r="N2892">
        <f>IF(G2892=1,0.2*R2892/F2892,N2891)</f>
        <v/>
      </c>
      <c r="O2892">
        <f>IF(G2892=1,R2892*(1-1.0),IF(H2891=0,1,O2891*(1+0.00023125256064071564)))</f>
        <v/>
      </c>
      <c r="P2892">
        <f>IF(G2892=1,IF(H2891=0,1,ABS(0.2-J2891*B2892/I2892)+ABS(0.2-K2891*C2892/I2892)+ABS(0.2-L2891*D2892/I2892)+ABS(0.2-M2891*E2892/I2892)+ABS(0.2-N2891*F2892/I2892)),0)</f>
        <v/>
      </c>
      <c r="Q2892">
        <f>P2892*0.0015</f>
        <v/>
      </c>
      <c r="R2892">
        <f>I2892*(1-Q2892)</f>
        <v/>
      </c>
      <c r="S2892">
        <f>R2892/R2891-1</f>
        <v/>
      </c>
      <c r="T2892">
        <f>MAX(T2891,R2892)</f>
        <v/>
      </c>
      <c r="U2892">
        <f>R2892/T2892-1</f>
        <v/>
      </c>
      <c r="V2892" t="n">
        <v>6.632180858243671</v>
      </c>
      <c r="W2892" s="5">
        <f>R2892-V2892</f>
        <v/>
      </c>
    </row>
    <row r="2893">
      <c r="A2893" s="3" t="n">
        <v>42699</v>
      </c>
      <c r="B2893">
        <f>Prices!B2893</f>
        <v/>
      </c>
      <c r="C2893">
        <f>Prices!C2893</f>
        <v/>
      </c>
      <c r="D2893">
        <f>Prices!D2893</f>
        <v/>
      </c>
      <c r="E2893">
        <f>Prices!E2893</f>
        <v/>
      </c>
      <c r="F2893">
        <f>Prices!F2893</f>
        <v/>
      </c>
      <c r="G2893">
        <f>IF(AND(2891&gt;=16,TEXT(A2893,"yyyy-mm")&lt;&gt;TEXT(A2894,"yyyy-mm")),1,0)</f>
        <v/>
      </c>
      <c r="H2893">
        <f>IF(OR(H2892=1,G2893=1),1,0)</f>
        <v/>
      </c>
      <c r="I2893">
        <f>IF(H2892=0,1,SUMPRODUCT(J2892:N2892,B2893:F2893)+O2892*(1+0.00023125256064071564))</f>
        <v/>
      </c>
      <c r="J2893">
        <f>IF(G2893=1,0.2*R2893/B2893,J2892)</f>
        <v/>
      </c>
      <c r="K2893">
        <f>IF(G2893=1,0.2*R2893/C2893,K2892)</f>
        <v/>
      </c>
      <c r="L2893">
        <f>IF(G2893=1,0.2*R2893/D2893,L2892)</f>
        <v/>
      </c>
      <c r="M2893">
        <f>IF(G2893=1,0.2*R2893/E2893,M2892)</f>
        <v/>
      </c>
      <c r="N2893">
        <f>IF(G2893=1,0.2*R2893/F2893,N2892)</f>
        <v/>
      </c>
      <c r="O2893">
        <f>IF(G2893=1,R2893*(1-1.0),IF(H2892=0,1,O2892*(1+0.00023125256064071564)))</f>
        <v/>
      </c>
      <c r="P2893">
        <f>IF(G2893=1,IF(H2892=0,1,ABS(0.2-J2892*B2893/I2893)+ABS(0.2-K2892*C2893/I2893)+ABS(0.2-L2892*D2893/I2893)+ABS(0.2-M2892*E2893/I2893)+ABS(0.2-N2892*F2893/I2893)),0)</f>
        <v/>
      </c>
      <c r="Q2893">
        <f>P2893*0.0015</f>
        <v/>
      </c>
      <c r="R2893">
        <f>I2893*(1-Q2893)</f>
        <v/>
      </c>
      <c r="S2893">
        <f>R2893/R2892-1</f>
        <v/>
      </c>
      <c r="T2893">
        <f>MAX(T2892,R2893)</f>
        <v/>
      </c>
      <c r="U2893">
        <f>R2893/T2893-1</f>
        <v/>
      </c>
      <c r="V2893" t="n">
        <v>6.766141193613371</v>
      </c>
      <c r="W2893" s="5">
        <f>R2893-V2893</f>
        <v/>
      </c>
    </row>
    <row r="2894">
      <c r="A2894" s="3" t="n">
        <v>42702</v>
      </c>
      <c r="B2894">
        <f>Prices!B2894</f>
        <v/>
      </c>
      <c r="C2894">
        <f>Prices!C2894</f>
        <v/>
      </c>
      <c r="D2894">
        <f>Prices!D2894</f>
        <v/>
      </c>
      <c r="E2894">
        <f>Prices!E2894</f>
        <v/>
      </c>
      <c r="F2894">
        <f>Prices!F2894</f>
        <v/>
      </c>
      <c r="G2894">
        <f>IF(AND(2892&gt;=16,TEXT(A2894,"yyyy-mm")&lt;&gt;TEXT(A2895,"yyyy-mm")),1,0)</f>
        <v/>
      </c>
      <c r="H2894">
        <f>IF(OR(H2893=1,G2894=1),1,0)</f>
        <v/>
      </c>
      <c r="I2894">
        <f>IF(H2893=0,1,SUMPRODUCT(J2893:N2893,B2894:F2894)+O2893*(1+0.00023125256064071564))</f>
        <v/>
      </c>
      <c r="J2894">
        <f>IF(G2894=1,0.2*R2894/B2894,J2893)</f>
        <v/>
      </c>
      <c r="K2894">
        <f>IF(G2894=1,0.2*R2894/C2894,K2893)</f>
        <v/>
      </c>
      <c r="L2894">
        <f>IF(G2894=1,0.2*R2894/D2894,L2893)</f>
        <v/>
      </c>
      <c r="M2894">
        <f>IF(G2894=1,0.2*R2894/E2894,M2893)</f>
        <v/>
      </c>
      <c r="N2894">
        <f>IF(G2894=1,0.2*R2894/F2894,N2893)</f>
        <v/>
      </c>
      <c r="O2894">
        <f>IF(G2894=1,R2894*(1-1.0),IF(H2893=0,1,O2893*(1+0.00023125256064071564)))</f>
        <v/>
      </c>
      <c r="P2894">
        <f>IF(G2894=1,IF(H2893=0,1,ABS(0.2-J2893*B2894/I2894)+ABS(0.2-K2893*C2894/I2894)+ABS(0.2-L2893*D2894/I2894)+ABS(0.2-M2893*E2894/I2894)+ABS(0.2-N2893*F2894/I2894)),0)</f>
        <v/>
      </c>
      <c r="Q2894">
        <f>P2894*0.0015</f>
        <v/>
      </c>
      <c r="R2894">
        <f>I2894*(1-Q2894)</f>
        <v/>
      </c>
      <c r="S2894">
        <f>R2894/R2893-1</f>
        <v/>
      </c>
      <c r="T2894">
        <f>MAX(T2893,R2894)</f>
        <v/>
      </c>
      <c r="U2894">
        <f>R2894/T2894-1</f>
        <v/>
      </c>
      <c r="V2894" t="n">
        <v>6.799459745965249</v>
      </c>
      <c r="W2894" s="5">
        <f>R2894-V2894</f>
        <v/>
      </c>
    </row>
    <row r="2895">
      <c r="A2895" s="3" t="n">
        <v>42703</v>
      </c>
      <c r="B2895">
        <f>Prices!B2895</f>
        <v/>
      </c>
      <c r="C2895">
        <f>Prices!C2895</f>
        <v/>
      </c>
      <c r="D2895">
        <f>Prices!D2895</f>
        <v/>
      </c>
      <c r="E2895">
        <f>Prices!E2895</f>
        <v/>
      </c>
      <c r="F2895">
        <f>Prices!F2895</f>
        <v/>
      </c>
      <c r="G2895">
        <f>IF(AND(2893&gt;=16,TEXT(A2895,"yyyy-mm")&lt;&gt;TEXT(A2896,"yyyy-mm")),1,0)</f>
        <v/>
      </c>
      <c r="H2895">
        <f>IF(OR(H2894=1,G2895=1),1,0)</f>
        <v/>
      </c>
      <c r="I2895">
        <f>IF(H2894=0,1,SUMPRODUCT(J2894:N2894,B2895:F2895)+O2894*(1+0.00023125256064071564))</f>
        <v/>
      </c>
      <c r="J2895">
        <f>IF(G2895=1,0.2*R2895/B2895,J2894)</f>
        <v/>
      </c>
      <c r="K2895">
        <f>IF(G2895=1,0.2*R2895/C2895,K2894)</f>
        <v/>
      </c>
      <c r="L2895">
        <f>IF(G2895=1,0.2*R2895/D2895,L2894)</f>
        <v/>
      </c>
      <c r="M2895">
        <f>IF(G2895=1,0.2*R2895/E2895,M2894)</f>
        <v/>
      </c>
      <c r="N2895">
        <f>IF(G2895=1,0.2*R2895/F2895,N2894)</f>
        <v/>
      </c>
      <c r="O2895">
        <f>IF(G2895=1,R2895*(1-1.0),IF(H2894=0,1,O2894*(1+0.00023125256064071564)))</f>
        <v/>
      </c>
      <c r="P2895">
        <f>IF(G2895=1,IF(H2894=0,1,ABS(0.2-J2894*B2895/I2895)+ABS(0.2-K2894*C2895/I2895)+ABS(0.2-L2894*D2895/I2895)+ABS(0.2-M2894*E2895/I2895)+ABS(0.2-N2894*F2895/I2895)),0)</f>
        <v/>
      </c>
      <c r="Q2895">
        <f>P2895*0.0015</f>
        <v/>
      </c>
      <c r="R2895">
        <f>I2895*(1-Q2895)</f>
        <v/>
      </c>
      <c r="S2895">
        <f>R2895/R2894-1</f>
        <v/>
      </c>
      <c r="T2895">
        <f>MAX(T2894,R2895)</f>
        <v/>
      </c>
      <c r="U2895">
        <f>R2895/T2895-1</f>
        <v/>
      </c>
      <c r="V2895" t="n">
        <v>6.838353720013425</v>
      </c>
      <c r="W2895" s="5">
        <f>R2895-V2895</f>
        <v/>
      </c>
    </row>
    <row r="2896">
      <c r="A2896" s="3" t="n">
        <v>42704</v>
      </c>
      <c r="B2896">
        <f>Prices!B2896</f>
        <v/>
      </c>
      <c r="C2896">
        <f>Prices!C2896</f>
        <v/>
      </c>
      <c r="D2896">
        <f>Prices!D2896</f>
        <v/>
      </c>
      <c r="E2896">
        <f>Prices!E2896</f>
        <v/>
      </c>
      <c r="F2896">
        <f>Prices!F2896</f>
        <v/>
      </c>
      <c r="G2896">
        <f>IF(AND(2894&gt;=16,TEXT(A2896,"yyyy-mm")&lt;&gt;TEXT(A2897,"yyyy-mm")),1,0)</f>
        <v/>
      </c>
      <c r="H2896">
        <f>IF(OR(H2895=1,G2896=1),1,0)</f>
        <v/>
      </c>
      <c r="I2896">
        <f>IF(H2895=0,1,SUMPRODUCT(J2895:N2895,B2896:F2896)+O2895*(1+0.00023125256064071564))</f>
        <v/>
      </c>
      <c r="J2896">
        <f>IF(G2896=1,0.2*R2896/B2896,J2895)</f>
        <v/>
      </c>
      <c r="K2896">
        <f>IF(G2896=1,0.2*R2896/C2896,K2895)</f>
        <v/>
      </c>
      <c r="L2896">
        <f>IF(G2896=1,0.2*R2896/D2896,L2895)</f>
        <v/>
      </c>
      <c r="M2896">
        <f>IF(G2896=1,0.2*R2896/E2896,M2895)</f>
        <v/>
      </c>
      <c r="N2896">
        <f>IF(G2896=1,0.2*R2896/F2896,N2895)</f>
        <v/>
      </c>
      <c r="O2896">
        <f>IF(G2896=1,R2896*(1-1.0),IF(H2895=0,1,O2895*(1+0.00023125256064071564)))</f>
        <v/>
      </c>
      <c r="P2896">
        <f>IF(G2896=1,IF(H2895=0,1,ABS(0.2-J2895*B2896/I2896)+ABS(0.2-K2895*C2896/I2896)+ABS(0.2-L2895*D2896/I2896)+ABS(0.2-M2895*E2896/I2896)+ABS(0.2-N2895*F2896/I2896)),0)</f>
        <v/>
      </c>
      <c r="Q2896">
        <f>P2896*0.0015</f>
        <v/>
      </c>
      <c r="R2896">
        <f>I2896*(1-Q2896)</f>
        <v/>
      </c>
      <c r="S2896">
        <f>R2896/R2895-1</f>
        <v/>
      </c>
      <c r="T2896">
        <f>MAX(T2895,R2896)</f>
        <v/>
      </c>
      <c r="U2896">
        <f>R2896/T2896-1</f>
        <v/>
      </c>
      <c r="V2896" t="n">
        <v>6.909282503377689</v>
      </c>
      <c r="W2896" s="5">
        <f>R2896-V2896</f>
        <v/>
      </c>
    </row>
    <row r="2897">
      <c r="A2897" s="3" t="n">
        <v>42705</v>
      </c>
      <c r="B2897">
        <f>Prices!B2897</f>
        <v/>
      </c>
      <c r="C2897">
        <f>Prices!C2897</f>
        <v/>
      </c>
      <c r="D2897">
        <f>Prices!D2897</f>
        <v/>
      </c>
      <c r="E2897">
        <f>Prices!E2897</f>
        <v/>
      </c>
      <c r="F2897">
        <f>Prices!F2897</f>
        <v/>
      </c>
      <c r="G2897">
        <f>IF(AND(2895&gt;=16,TEXT(A2897,"yyyy-mm")&lt;&gt;TEXT(A2898,"yyyy-mm")),1,0)</f>
        <v/>
      </c>
      <c r="H2897">
        <f>IF(OR(H2896=1,G2897=1),1,0)</f>
        <v/>
      </c>
      <c r="I2897">
        <f>IF(H2896=0,1,SUMPRODUCT(J2896:N2896,B2897:F2897)+O2896*(1+0.00023125256064071564))</f>
        <v/>
      </c>
      <c r="J2897">
        <f>IF(G2897=1,0.2*R2897/B2897,J2896)</f>
        <v/>
      </c>
      <c r="K2897">
        <f>IF(G2897=1,0.2*R2897/C2897,K2896)</f>
        <v/>
      </c>
      <c r="L2897">
        <f>IF(G2897=1,0.2*R2897/D2897,L2896)</f>
        <v/>
      </c>
      <c r="M2897">
        <f>IF(G2897=1,0.2*R2897/E2897,M2896)</f>
        <v/>
      </c>
      <c r="N2897">
        <f>IF(G2897=1,0.2*R2897/F2897,N2896)</f>
        <v/>
      </c>
      <c r="O2897">
        <f>IF(G2897=1,R2897*(1-1.0),IF(H2896=0,1,O2896*(1+0.00023125256064071564)))</f>
        <v/>
      </c>
      <c r="P2897">
        <f>IF(G2897=1,IF(H2896=0,1,ABS(0.2-J2896*B2897/I2897)+ABS(0.2-K2896*C2897/I2897)+ABS(0.2-L2896*D2897/I2897)+ABS(0.2-M2896*E2897/I2897)+ABS(0.2-N2896*F2897/I2897)),0)</f>
        <v/>
      </c>
      <c r="Q2897">
        <f>P2897*0.0015</f>
        <v/>
      </c>
      <c r="R2897">
        <f>I2897*(1-Q2897)</f>
        <v/>
      </c>
      <c r="S2897">
        <f>R2897/R2896-1</f>
        <v/>
      </c>
      <c r="T2897">
        <f>MAX(T2896,R2897)</f>
        <v/>
      </c>
      <c r="U2897">
        <f>R2897/T2897-1</f>
        <v/>
      </c>
      <c r="V2897" t="n">
        <v>6.829544927316273</v>
      </c>
      <c r="W2897" s="5">
        <f>R2897-V2897</f>
        <v/>
      </c>
    </row>
    <row r="2898">
      <c r="A2898" s="3" t="n">
        <v>42706</v>
      </c>
      <c r="B2898">
        <f>Prices!B2898</f>
        <v/>
      </c>
      <c r="C2898">
        <f>Prices!C2898</f>
        <v/>
      </c>
      <c r="D2898">
        <f>Prices!D2898</f>
        <v/>
      </c>
      <c r="E2898">
        <f>Prices!E2898</f>
        <v/>
      </c>
      <c r="F2898">
        <f>Prices!F2898</f>
        <v/>
      </c>
      <c r="G2898">
        <f>IF(AND(2896&gt;=16,TEXT(A2898,"yyyy-mm")&lt;&gt;TEXT(A2899,"yyyy-mm")),1,0)</f>
        <v/>
      </c>
      <c r="H2898">
        <f>IF(OR(H2897=1,G2898=1),1,0)</f>
        <v/>
      </c>
      <c r="I2898">
        <f>IF(H2897=0,1,SUMPRODUCT(J2897:N2897,B2898:F2898)+O2897*(1+0.00023125256064071564))</f>
        <v/>
      </c>
      <c r="J2898">
        <f>IF(G2898=1,0.2*R2898/B2898,J2897)</f>
        <v/>
      </c>
      <c r="K2898">
        <f>IF(G2898=1,0.2*R2898/C2898,K2897)</f>
        <v/>
      </c>
      <c r="L2898">
        <f>IF(G2898=1,0.2*R2898/D2898,L2897)</f>
        <v/>
      </c>
      <c r="M2898">
        <f>IF(G2898=1,0.2*R2898/E2898,M2897)</f>
        <v/>
      </c>
      <c r="N2898">
        <f>IF(G2898=1,0.2*R2898/F2898,N2897)</f>
        <v/>
      </c>
      <c r="O2898">
        <f>IF(G2898=1,R2898*(1-1.0),IF(H2897=0,1,O2897*(1+0.00023125256064071564)))</f>
        <v/>
      </c>
      <c r="P2898">
        <f>IF(G2898=1,IF(H2897=0,1,ABS(0.2-J2897*B2898/I2898)+ABS(0.2-K2897*C2898/I2898)+ABS(0.2-L2897*D2898/I2898)+ABS(0.2-M2897*E2898/I2898)+ABS(0.2-N2897*F2898/I2898)),0)</f>
        <v/>
      </c>
      <c r="Q2898">
        <f>P2898*0.0015</f>
        <v/>
      </c>
      <c r="R2898">
        <f>I2898*(1-Q2898)</f>
        <v/>
      </c>
      <c r="S2898">
        <f>R2898/R2897-1</f>
        <v/>
      </c>
      <c r="T2898">
        <f>MAX(T2897,R2898)</f>
        <v/>
      </c>
      <c r="U2898">
        <f>R2898/T2898-1</f>
        <v/>
      </c>
      <c r="V2898" t="n">
        <v>6.729716347732918</v>
      </c>
      <c r="W2898" s="5">
        <f>R2898-V2898</f>
        <v/>
      </c>
    </row>
    <row r="2899">
      <c r="A2899" s="3" t="n">
        <v>42709</v>
      </c>
      <c r="B2899">
        <f>Prices!B2899</f>
        <v/>
      </c>
      <c r="C2899">
        <f>Prices!C2899</f>
        <v/>
      </c>
      <c r="D2899">
        <f>Prices!D2899</f>
        <v/>
      </c>
      <c r="E2899">
        <f>Prices!E2899</f>
        <v/>
      </c>
      <c r="F2899">
        <f>Prices!F2899</f>
        <v/>
      </c>
      <c r="G2899">
        <f>IF(AND(2897&gt;=16,TEXT(A2899,"yyyy-mm")&lt;&gt;TEXT(A2900,"yyyy-mm")),1,0)</f>
        <v/>
      </c>
      <c r="H2899">
        <f>IF(OR(H2898=1,G2899=1),1,0)</f>
        <v/>
      </c>
      <c r="I2899">
        <f>IF(H2898=0,1,SUMPRODUCT(J2898:N2898,B2899:F2899)+O2898*(1+0.00023125256064071564))</f>
        <v/>
      </c>
      <c r="J2899">
        <f>IF(G2899=1,0.2*R2899/B2899,J2898)</f>
        <v/>
      </c>
      <c r="K2899">
        <f>IF(G2899=1,0.2*R2899/C2899,K2898)</f>
        <v/>
      </c>
      <c r="L2899">
        <f>IF(G2899=1,0.2*R2899/D2899,L2898)</f>
        <v/>
      </c>
      <c r="M2899">
        <f>IF(G2899=1,0.2*R2899/E2899,M2898)</f>
        <v/>
      </c>
      <c r="N2899">
        <f>IF(G2899=1,0.2*R2899/F2899,N2898)</f>
        <v/>
      </c>
      <c r="O2899">
        <f>IF(G2899=1,R2899*(1-1.0),IF(H2898=0,1,O2898*(1+0.00023125256064071564)))</f>
        <v/>
      </c>
      <c r="P2899">
        <f>IF(G2899=1,IF(H2898=0,1,ABS(0.2-J2898*B2899/I2899)+ABS(0.2-K2898*C2899/I2899)+ABS(0.2-L2898*D2899/I2899)+ABS(0.2-M2898*E2899/I2899)+ABS(0.2-N2898*F2899/I2899)),0)</f>
        <v/>
      </c>
      <c r="Q2899">
        <f>P2899*0.0015</f>
        <v/>
      </c>
      <c r="R2899">
        <f>I2899*(1-Q2899)</f>
        <v/>
      </c>
      <c r="S2899">
        <f>R2899/R2898-1</f>
        <v/>
      </c>
      <c r="T2899">
        <f>MAX(T2898,R2899)</f>
        <v/>
      </c>
      <c r="U2899">
        <f>R2899/T2899-1</f>
        <v/>
      </c>
      <c r="V2899" t="n">
        <v>6.770404471859206</v>
      </c>
      <c r="W2899" s="5">
        <f>R2899-V2899</f>
        <v/>
      </c>
    </row>
    <row r="2900">
      <c r="A2900" s="3" t="n">
        <v>42710</v>
      </c>
      <c r="B2900">
        <f>Prices!B2900</f>
        <v/>
      </c>
      <c r="C2900">
        <f>Prices!C2900</f>
        <v/>
      </c>
      <c r="D2900">
        <f>Prices!D2900</f>
        <v/>
      </c>
      <c r="E2900">
        <f>Prices!E2900</f>
        <v/>
      </c>
      <c r="F2900">
        <f>Prices!F2900</f>
        <v/>
      </c>
      <c r="G2900">
        <f>IF(AND(2898&gt;=16,TEXT(A2900,"yyyy-mm")&lt;&gt;TEXT(A2901,"yyyy-mm")),1,0)</f>
        <v/>
      </c>
      <c r="H2900">
        <f>IF(OR(H2899=1,G2900=1),1,0)</f>
        <v/>
      </c>
      <c r="I2900">
        <f>IF(H2899=0,1,SUMPRODUCT(J2899:N2899,B2900:F2900)+O2899*(1+0.00023125256064071564))</f>
        <v/>
      </c>
      <c r="J2900">
        <f>IF(G2900=1,0.2*R2900/B2900,J2899)</f>
        <v/>
      </c>
      <c r="K2900">
        <f>IF(G2900=1,0.2*R2900/C2900,K2899)</f>
        <v/>
      </c>
      <c r="L2900">
        <f>IF(G2900=1,0.2*R2900/D2900,L2899)</f>
        <v/>
      </c>
      <c r="M2900">
        <f>IF(G2900=1,0.2*R2900/E2900,M2899)</f>
        <v/>
      </c>
      <c r="N2900">
        <f>IF(G2900=1,0.2*R2900/F2900,N2899)</f>
        <v/>
      </c>
      <c r="O2900">
        <f>IF(G2900=1,R2900*(1-1.0),IF(H2899=0,1,O2899*(1+0.00023125256064071564)))</f>
        <v/>
      </c>
      <c r="P2900">
        <f>IF(G2900=1,IF(H2899=0,1,ABS(0.2-J2899*B2900/I2900)+ABS(0.2-K2899*C2900/I2900)+ABS(0.2-L2899*D2900/I2900)+ABS(0.2-M2899*E2900/I2900)+ABS(0.2-N2899*F2900/I2900)),0)</f>
        <v/>
      </c>
      <c r="Q2900">
        <f>P2900*0.0015</f>
        <v/>
      </c>
      <c r="R2900">
        <f>I2900*(1-Q2900)</f>
        <v/>
      </c>
      <c r="S2900">
        <f>R2900/R2899-1</f>
        <v/>
      </c>
      <c r="T2900">
        <f>MAX(T2899,R2900)</f>
        <v/>
      </c>
      <c r="U2900">
        <f>R2900/T2900-1</f>
        <v/>
      </c>
      <c r="V2900" t="n">
        <v>6.796907344987811</v>
      </c>
      <c r="W2900" s="5">
        <f>R2900-V2900</f>
        <v/>
      </c>
    </row>
    <row r="2901">
      <c r="A2901" s="3" t="n">
        <v>42711</v>
      </c>
      <c r="B2901">
        <f>Prices!B2901</f>
        <v/>
      </c>
      <c r="C2901">
        <f>Prices!C2901</f>
        <v/>
      </c>
      <c r="D2901">
        <f>Prices!D2901</f>
        <v/>
      </c>
      <c r="E2901">
        <f>Prices!E2901</f>
        <v/>
      </c>
      <c r="F2901">
        <f>Prices!F2901</f>
        <v/>
      </c>
      <c r="G2901">
        <f>IF(AND(2899&gt;=16,TEXT(A2901,"yyyy-mm")&lt;&gt;TEXT(A2902,"yyyy-mm")),1,0)</f>
        <v/>
      </c>
      <c r="H2901">
        <f>IF(OR(H2900=1,G2901=1),1,0)</f>
        <v/>
      </c>
      <c r="I2901">
        <f>IF(H2900=0,1,SUMPRODUCT(J2900:N2900,B2901:F2901)+O2900*(1+0.00023125256064071564))</f>
        <v/>
      </c>
      <c r="J2901">
        <f>IF(G2901=1,0.2*R2901/B2901,J2900)</f>
        <v/>
      </c>
      <c r="K2901">
        <f>IF(G2901=1,0.2*R2901/C2901,K2900)</f>
        <v/>
      </c>
      <c r="L2901">
        <f>IF(G2901=1,0.2*R2901/D2901,L2900)</f>
        <v/>
      </c>
      <c r="M2901">
        <f>IF(G2901=1,0.2*R2901/E2901,M2900)</f>
        <v/>
      </c>
      <c r="N2901">
        <f>IF(G2901=1,0.2*R2901/F2901,N2900)</f>
        <v/>
      </c>
      <c r="O2901">
        <f>IF(G2901=1,R2901*(1-1.0),IF(H2900=0,1,O2900*(1+0.00023125256064071564)))</f>
        <v/>
      </c>
      <c r="P2901">
        <f>IF(G2901=1,IF(H2900=0,1,ABS(0.2-J2900*B2901/I2901)+ABS(0.2-K2900*C2901/I2901)+ABS(0.2-L2900*D2901/I2901)+ABS(0.2-M2900*E2901/I2901)+ABS(0.2-N2900*F2901/I2901)),0)</f>
        <v/>
      </c>
      <c r="Q2901">
        <f>P2901*0.0015</f>
        <v/>
      </c>
      <c r="R2901">
        <f>I2901*(1-Q2901)</f>
        <v/>
      </c>
      <c r="S2901">
        <f>R2901/R2900-1</f>
        <v/>
      </c>
      <c r="T2901">
        <f>MAX(T2900,R2901)</f>
        <v/>
      </c>
      <c r="U2901">
        <f>R2901/T2901-1</f>
        <v/>
      </c>
      <c r="V2901" t="n">
        <v>6.781957721315253</v>
      </c>
      <c r="W2901" s="5">
        <f>R2901-V2901</f>
        <v/>
      </c>
    </row>
    <row r="2902">
      <c r="A2902" s="3" t="n">
        <v>42712</v>
      </c>
      <c r="B2902">
        <f>Prices!B2902</f>
        <v/>
      </c>
      <c r="C2902">
        <f>Prices!C2902</f>
        <v/>
      </c>
      <c r="D2902">
        <f>Prices!D2902</f>
        <v/>
      </c>
      <c r="E2902">
        <f>Prices!E2902</f>
        <v/>
      </c>
      <c r="F2902">
        <f>Prices!F2902</f>
        <v/>
      </c>
      <c r="G2902">
        <f>IF(AND(2900&gt;=16,TEXT(A2902,"yyyy-mm")&lt;&gt;TEXT(A2903,"yyyy-mm")),1,0)</f>
        <v/>
      </c>
      <c r="H2902">
        <f>IF(OR(H2901=1,G2902=1),1,0)</f>
        <v/>
      </c>
      <c r="I2902">
        <f>IF(H2901=0,1,SUMPRODUCT(J2901:N2901,B2902:F2902)+O2901*(1+0.00023125256064071564))</f>
        <v/>
      </c>
      <c r="J2902">
        <f>IF(G2902=1,0.2*R2902/B2902,J2901)</f>
        <v/>
      </c>
      <c r="K2902">
        <f>IF(G2902=1,0.2*R2902/C2902,K2901)</f>
        <v/>
      </c>
      <c r="L2902">
        <f>IF(G2902=1,0.2*R2902/D2902,L2901)</f>
        <v/>
      </c>
      <c r="M2902">
        <f>IF(G2902=1,0.2*R2902/E2902,M2901)</f>
        <v/>
      </c>
      <c r="N2902">
        <f>IF(G2902=1,0.2*R2902/F2902,N2901)</f>
        <v/>
      </c>
      <c r="O2902">
        <f>IF(G2902=1,R2902*(1-1.0),IF(H2901=0,1,O2901*(1+0.00023125256064071564)))</f>
        <v/>
      </c>
      <c r="P2902">
        <f>IF(G2902=1,IF(H2901=0,1,ABS(0.2-J2901*B2902/I2902)+ABS(0.2-K2901*C2902/I2902)+ABS(0.2-L2901*D2902/I2902)+ABS(0.2-M2901*E2902/I2902)+ABS(0.2-N2901*F2902/I2902)),0)</f>
        <v/>
      </c>
      <c r="Q2902">
        <f>P2902*0.0015</f>
        <v/>
      </c>
      <c r="R2902">
        <f>I2902*(1-Q2902)</f>
        <v/>
      </c>
      <c r="S2902">
        <f>R2902/R2901-1</f>
        <v/>
      </c>
      <c r="T2902">
        <f>MAX(T2901,R2902)</f>
        <v/>
      </c>
      <c r="U2902">
        <f>R2902/T2902-1</f>
        <v/>
      </c>
      <c r="V2902" t="n">
        <v>6.897269842998507</v>
      </c>
      <c r="W2902" s="5">
        <f>R2902-V2902</f>
        <v/>
      </c>
    </row>
    <row r="2903">
      <c r="A2903" s="3" t="n">
        <v>42713</v>
      </c>
      <c r="B2903">
        <f>Prices!B2903</f>
        <v/>
      </c>
      <c r="C2903">
        <f>Prices!C2903</f>
        <v/>
      </c>
      <c r="D2903">
        <f>Prices!D2903</f>
        <v/>
      </c>
      <c r="E2903">
        <f>Prices!E2903</f>
        <v/>
      </c>
      <c r="F2903">
        <f>Prices!F2903</f>
        <v/>
      </c>
      <c r="G2903">
        <f>IF(AND(2901&gt;=16,TEXT(A2903,"yyyy-mm")&lt;&gt;TEXT(A2904,"yyyy-mm")),1,0)</f>
        <v/>
      </c>
      <c r="H2903">
        <f>IF(OR(H2902=1,G2903=1),1,0)</f>
        <v/>
      </c>
      <c r="I2903">
        <f>IF(H2902=0,1,SUMPRODUCT(J2902:N2902,B2903:F2903)+O2902*(1+0.00023125256064071564))</f>
        <v/>
      </c>
      <c r="J2903">
        <f>IF(G2903=1,0.2*R2903/B2903,J2902)</f>
        <v/>
      </c>
      <c r="K2903">
        <f>IF(G2903=1,0.2*R2903/C2903,K2902)</f>
        <v/>
      </c>
      <c r="L2903">
        <f>IF(G2903=1,0.2*R2903/D2903,L2902)</f>
        <v/>
      </c>
      <c r="M2903">
        <f>IF(G2903=1,0.2*R2903/E2903,M2902)</f>
        <v/>
      </c>
      <c r="N2903">
        <f>IF(G2903=1,0.2*R2903/F2903,N2902)</f>
        <v/>
      </c>
      <c r="O2903">
        <f>IF(G2903=1,R2903*(1-1.0),IF(H2902=0,1,O2902*(1+0.00023125256064071564)))</f>
        <v/>
      </c>
      <c r="P2903">
        <f>IF(G2903=1,IF(H2902=0,1,ABS(0.2-J2902*B2903/I2903)+ABS(0.2-K2902*C2903/I2903)+ABS(0.2-L2902*D2903/I2903)+ABS(0.2-M2902*E2903/I2903)+ABS(0.2-N2902*F2903/I2903)),0)</f>
        <v/>
      </c>
      <c r="Q2903">
        <f>P2903*0.0015</f>
        <v/>
      </c>
      <c r="R2903">
        <f>I2903*(1-Q2903)</f>
        <v/>
      </c>
      <c r="S2903">
        <f>R2903/R2902-1</f>
        <v/>
      </c>
      <c r="T2903">
        <f>MAX(T2902,R2903)</f>
        <v/>
      </c>
      <c r="U2903">
        <f>R2903/T2903-1</f>
        <v/>
      </c>
      <c r="V2903" t="n">
        <v>6.909831939507793</v>
      </c>
      <c r="W2903" s="5">
        <f>R2903-V2903</f>
        <v/>
      </c>
    </row>
    <row r="2904">
      <c r="A2904" s="3" t="n">
        <v>42716</v>
      </c>
      <c r="B2904">
        <f>Prices!B2904</f>
        <v/>
      </c>
      <c r="C2904">
        <f>Prices!C2904</f>
        <v/>
      </c>
      <c r="D2904">
        <f>Prices!D2904</f>
        <v/>
      </c>
      <c r="E2904">
        <f>Prices!E2904</f>
        <v/>
      </c>
      <c r="F2904">
        <f>Prices!F2904</f>
        <v/>
      </c>
      <c r="G2904">
        <f>IF(AND(2902&gt;=16,TEXT(A2904,"yyyy-mm")&lt;&gt;TEXT(A2905,"yyyy-mm")),1,0)</f>
        <v/>
      </c>
      <c r="H2904">
        <f>IF(OR(H2903=1,G2904=1),1,0)</f>
        <v/>
      </c>
      <c r="I2904">
        <f>IF(H2903=0,1,SUMPRODUCT(J2903:N2903,B2904:F2904)+O2903*(1+0.00023125256064071564))</f>
        <v/>
      </c>
      <c r="J2904">
        <f>IF(G2904=1,0.2*R2904/B2904,J2903)</f>
        <v/>
      </c>
      <c r="K2904">
        <f>IF(G2904=1,0.2*R2904/C2904,K2903)</f>
        <v/>
      </c>
      <c r="L2904">
        <f>IF(G2904=1,0.2*R2904/D2904,L2903)</f>
        <v/>
      </c>
      <c r="M2904">
        <f>IF(G2904=1,0.2*R2904/E2904,M2903)</f>
        <v/>
      </c>
      <c r="N2904">
        <f>IF(G2904=1,0.2*R2904/F2904,N2903)</f>
        <v/>
      </c>
      <c r="O2904">
        <f>IF(G2904=1,R2904*(1-1.0),IF(H2903=0,1,O2903*(1+0.00023125256064071564)))</f>
        <v/>
      </c>
      <c r="P2904">
        <f>IF(G2904=1,IF(H2903=0,1,ABS(0.2-J2903*B2904/I2904)+ABS(0.2-K2903*C2904/I2904)+ABS(0.2-L2903*D2904/I2904)+ABS(0.2-M2903*E2904/I2904)+ABS(0.2-N2903*F2904/I2904)),0)</f>
        <v/>
      </c>
      <c r="Q2904">
        <f>P2904*0.0015</f>
        <v/>
      </c>
      <c r="R2904">
        <f>I2904*(1-Q2904)</f>
        <v/>
      </c>
      <c r="S2904">
        <f>R2904/R2903-1</f>
        <v/>
      </c>
      <c r="T2904">
        <f>MAX(T2903,R2904)</f>
        <v/>
      </c>
      <c r="U2904">
        <f>R2904/T2904-1</f>
        <v/>
      </c>
      <c r="V2904" t="n">
        <v>6.814418226479459</v>
      </c>
      <c r="W2904" s="5">
        <f>R2904-V2904</f>
        <v/>
      </c>
    </row>
    <row r="2905">
      <c r="A2905" s="3" t="n">
        <v>42717</v>
      </c>
      <c r="B2905">
        <f>Prices!B2905</f>
        <v/>
      </c>
      <c r="C2905">
        <f>Prices!C2905</f>
        <v/>
      </c>
      <c r="D2905">
        <f>Prices!D2905</f>
        <v/>
      </c>
      <c r="E2905">
        <f>Prices!E2905</f>
        <v/>
      </c>
      <c r="F2905">
        <f>Prices!F2905</f>
        <v/>
      </c>
      <c r="G2905">
        <f>IF(AND(2903&gt;=16,TEXT(A2905,"yyyy-mm")&lt;&gt;TEXT(A2906,"yyyy-mm")),1,0)</f>
        <v/>
      </c>
      <c r="H2905">
        <f>IF(OR(H2904=1,G2905=1),1,0)</f>
        <v/>
      </c>
      <c r="I2905">
        <f>IF(H2904=0,1,SUMPRODUCT(J2904:N2904,B2905:F2905)+O2904*(1+0.00023125256064071564))</f>
        <v/>
      </c>
      <c r="J2905">
        <f>IF(G2905=1,0.2*R2905/B2905,J2904)</f>
        <v/>
      </c>
      <c r="K2905">
        <f>IF(G2905=1,0.2*R2905/C2905,K2904)</f>
        <v/>
      </c>
      <c r="L2905">
        <f>IF(G2905=1,0.2*R2905/D2905,L2904)</f>
        <v/>
      </c>
      <c r="M2905">
        <f>IF(G2905=1,0.2*R2905/E2905,M2904)</f>
        <v/>
      </c>
      <c r="N2905">
        <f>IF(G2905=1,0.2*R2905/F2905,N2904)</f>
        <v/>
      </c>
      <c r="O2905">
        <f>IF(G2905=1,R2905*(1-1.0),IF(H2904=0,1,O2904*(1+0.00023125256064071564)))</f>
        <v/>
      </c>
      <c r="P2905">
        <f>IF(G2905=1,IF(H2904=0,1,ABS(0.2-J2904*B2905/I2905)+ABS(0.2-K2904*C2905/I2905)+ABS(0.2-L2904*D2905/I2905)+ABS(0.2-M2904*E2905/I2905)+ABS(0.2-N2904*F2905/I2905)),0)</f>
        <v/>
      </c>
      <c r="Q2905">
        <f>P2905*0.0015</f>
        <v/>
      </c>
      <c r="R2905">
        <f>I2905*(1-Q2905)</f>
        <v/>
      </c>
      <c r="S2905">
        <f>R2905/R2904-1</f>
        <v/>
      </c>
      <c r="T2905">
        <f>MAX(T2904,R2905)</f>
        <v/>
      </c>
      <c r="U2905">
        <f>R2905/T2905-1</f>
        <v/>
      </c>
      <c r="V2905" t="n">
        <v>6.793706544966109</v>
      </c>
      <c r="W2905" s="5">
        <f>R2905-V2905</f>
        <v/>
      </c>
    </row>
    <row r="2906">
      <c r="A2906" s="3" t="n">
        <v>42718</v>
      </c>
      <c r="B2906">
        <f>Prices!B2906</f>
        <v/>
      </c>
      <c r="C2906">
        <f>Prices!C2906</f>
        <v/>
      </c>
      <c r="D2906">
        <f>Prices!D2906</f>
        <v/>
      </c>
      <c r="E2906">
        <f>Prices!E2906</f>
        <v/>
      </c>
      <c r="F2906">
        <f>Prices!F2906</f>
        <v/>
      </c>
      <c r="G2906">
        <f>IF(AND(2904&gt;=16,TEXT(A2906,"yyyy-mm")&lt;&gt;TEXT(A2907,"yyyy-mm")),1,0)</f>
        <v/>
      </c>
      <c r="H2906">
        <f>IF(OR(H2905=1,G2906=1),1,0)</f>
        <v/>
      </c>
      <c r="I2906">
        <f>IF(H2905=0,1,SUMPRODUCT(J2905:N2905,B2906:F2906)+O2905*(1+0.00023125256064071564))</f>
        <v/>
      </c>
      <c r="J2906">
        <f>IF(G2906=1,0.2*R2906/B2906,J2905)</f>
        <v/>
      </c>
      <c r="K2906">
        <f>IF(G2906=1,0.2*R2906/C2906,K2905)</f>
        <v/>
      </c>
      <c r="L2906">
        <f>IF(G2906=1,0.2*R2906/D2906,L2905)</f>
        <v/>
      </c>
      <c r="M2906">
        <f>IF(G2906=1,0.2*R2906/E2906,M2905)</f>
        <v/>
      </c>
      <c r="N2906">
        <f>IF(G2906=1,0.2*R2906/F2906,N2905)</f>
        <v/>
      </c>
      <c r="O2906">
        <f>IF(G2906=1,R2906*(1-1.0),IF(H2905=0,1,O2905*(1+0.00023125256064071564)))</f>
        <v/>
      </c>
      <c r="P2906">
        <f>IF(G2906=1,IF(H2905=0,1,ABS(0.2-J2905*B2906/I2906)+ABS(0.2-K2905*C2906/I2906)+ABS(0.2-L2905*D2906/I2906)+ABS(0.2-M2905*E2906/I2906)+ABS(0.2-N2905*F2906/I2906)),0)</f>
        <v/>
      </c>
      <c r="Q2906">
        <f>P2906*0.0015</f>
        <v/>
      </c>
      <c r="R2906">
        <f>I2906*(1-Q2906)</f>
        <v/>
      </c>
      <c r="S2906">
        <f>R2906/R2905-1</f>
        <v/>
      </c>
      <c r="T2906">
        <f>MAX(T2905,R2906)</f>
        <v/>
      </c>
      <c r="U2906">
        <f>R2906/T2906-1</f>
        <v/>
      </c>
      <c r="V2906" t="n">
        <v>6.743764671423034</v>
      </c>
      <c r="W2906" s="5">
        <f>R2906-V2906</f>
        <v/>
      </c>
    </row>
    <row r="2907">
      <c r="A2907" s="3" t="n">
        <v>42719</v>
      </c>
      <c r="B2907">
        <f>Prices!B2907</f>
        <v/>
      </c>
      <c r="C2907">
        <f>Prices!C2907</f>
        <v/>
      </c>
      <c r="D2907">
        <f>Prices!D2907</f>
        <v/>
      </c>
      <c r="E2907">
        <f>Prices!E2907</f>
        <v/>
      </c>
      <c r="F2907">
        <f>Prices!F2907</f>
        <v/>
      </c>
      <c r="G2907">
        <f>IF(AND(2905&gt;=16,TEXT(A2907,"yyyy-mm")&lt;&gt;TEXT(A2908,"yyyy-mm")),1,0)</f>
        <v/>
      </c>
      <c r="H2907">
        <f>IF(OR(H2906=1,G2907=1),1,0)</f>
        <v/>
      </c>
      <c r="I2907">
        <f>IF(H2906=0,1,SUMPRODUCT(J2906:N2906,B2907:F2907)+O2906*(1+0.00023125256064071564))</f>
        <v/>
      </c>
      <c r="J2907">
        <f>IF(G2907=1,0.2*R2907/B2907,J2906)</f>
        <v/>
      </c>
      <c r="K2907">
        <f>IF(G2907=1,0.2*R2907/C2907,K2906)</f>
        <v/>
      </c>
      <c r="L2907">
        <f>IF(G2907=1,0.2*R2907/D2907,L2906)</f>
        <v/>
      </c>
      <c r="M2907">
        <f>IF(G2907=1,0.2*R2907/E2907,M2906)</f>
        <v/>
      </c>
      <c r="N2907">
        <f>IF(G2907=1,0.2*R2907/F2907,N2906)</f>
        <v/>
      </c>
      <c r="O2907">
        <f>IF(G2907=1,R2907*(1-1.0),IF(H2906=0,1,O2906*(1+0.00023125256064071564)))</f>
        <v/>
      </c>
      <c r="P2907">
        <f>IF(G2907=1,IF(H2906=0,1,ABS(0.2-J2906*B2907/I2907)+ABS(0.2-K2906*C2907/I2907)+ABS(0.2-L2906*D2907/I2907)+ABS(0.2-M2906*E2907/I2907)+ABS(0.2-N2906*F2907/I2907)),0)</f>
        <v/>
      </c>
      <c r="Q2907">
        <f>P2907*0.0015</f>
        <v/>
      </c>
      <c r="R2907">
        <f>I2907*(1-Q2907)</f>
        <v/>
      </c>
      <c r="S2907">
        <f>R2907/R2906-1</f>
        <v/>
      </c>
      <c r="T2907">
        <f>MAX(T2906,R2907)</f>
        <v/>
      </c>
      <c r="U2907">
        <f>R2907/T2907-1</f>
        <v/>
      </c>
      <c r="V2907" t="n">
        <v>6.737920364887929</v>
      </c>
      <c r="W2907" s="5">
        <f>R2907-V2907</f>
        <v/>
      </c>
    </row>
    <row r="2908">
      <c r="A2908" s="3" t="n">
        <v>42720</v>
      </c>
      <c r="B2908">
        <f>Prices!B2908</f>
        <v/>
      </c>
      <c r="C2908">
        <f>Prices!C2908</f>
        <v/>
      </c>
      <c r="D2908">
        <f>Prices!D2908</f>
        <v/>
      </c>
      <c r="E2908">
        <f>Prices!E2908</f>
        <v/>
      </c>
      <c r="F2908">
        <f>Prices!F2908</f>
        <v/>
      </c>
      <c r="G2908">
        <f>IF(AND(2906&gt;=16,TEXT(A2908,"yyyy-mm")&lt;&gt;TEXT(A2909,"yyyy-mm")),1,0)</f>
        <v/>
      </c>
      <c r="H2908">
        <f>IF(OR(H2907=1,G2908=1),1,0)</f>
        <v/>
      </c>
      <c r="I2908">
        <f>IF(H2907=0,1,SUMPRODUCT(J2907:N2907,B2908:F2908)+O2907*(1+0.00023125256064071564))</f>
        <v/>
      </c>
      <c r="J2908">
        <f>IF(G2908=1,0.2*R2908/B2908,J2907)</f>
        <v/>
      </c>
      <c r="K2908">
        <f>IF(G2908=1,0.2*R2908/C2908,K2907)</f>
        <v/>
      </c>
      <c r="L2908">
        <f>IF(G2908=1,0.2*R2908/D2908,L2907)</f>
        <v/>
      </c>
      <c r="M2908">
        <f>IF(G2908=1,0.2*R2908/E2908,M2907)</f>
        <v/>
      </c>
      <c r="N2908">
        <f>IF(G2908=1,0.2*R2908/F2908,N2907)</f>
        <v/>
      </c>
      <c r="O2908">
        <f>IF(G2908=1,R2908*(1-1.0),IF(H2907=0,1,O2907*(1+0.00023125256064071564)))</f>
        <v/>
      </c>
      <c r="P2908">
        <f>IF(G2908=1,IF(H2907=0,1,ABS(0.2-J2907*B2908/I2908)+ABS(0.2-K2907*C2908/I2908)+ABS(0.2-L2907*D2908/I2908)+ABS(0.2-M2907*E2908/I2908)+ABS(0.2-N2907*F2908/I2908)),0)</f>
        <v/>
      </c>
      <c r="Q2908">
        <f>P2908*0.0015</f>
        <v/>
      </c>
      <c r="R2908">
        <f>I2908*(1-Q2908)</f>
        <v/>
      </c>
      <c r="S2908">
        <f>R2908/R2907-1</f>
        <v/>
      </c>
      <c r="T2908">
        <f>MAX(T2907,R2908)</f>
        <v/>
      </c>
      <c r="U2908">
        <f>R2908/T2908-1</f>
        <v/>
      </c>
      <c r="V2908" t="n">
        <v>6.709780717753471</v>
      </c>
      <c r="W2908" s="5">
        <f>R2908-V2908</f>
        <v/>
      </c>
    </row>
    <row r="2909">
      <c r="A2909" s="3" t="n">
        <v>42723</v>
      </c>
      <c r="B2909">
        <f>Prices!B2909</f>
        <v/>
      </c>
      <c r="C2909">
        <f>Prices!C2909</f>
        <v/>
      </c>
      <c r="D2909">
        <f>Prices!D2909</f>
        <v/>
      </c>
      <c r="E2909">
        <f>Prices!E2909</f>
        <v/>
      </c>
      <c r="F2909">
        <f>Prices!F2909</f>
        <v/>
      </c>
      <c r="G2909">
        <f>IF(AND(2907&gt;=16,TEXT(A2909,"yyyy-mm")&lt;&gt;TEXT(A2910,"yyyy-mm")),1,0)</f>
        <v/>
      </c>
      <c r="H2909">
        <f>IF(OR(H2908=1,G2909=1),1,0)</f>
        <v/>
      </c>
      <c r="I2909">
        <f>IF(H2908=0,1,SUMPRODUCT(J2908:N2908,B2909:F2909)+O2908*(1+0.00023125256064071564))</f>
        <v/>
      </c>
      <c r="J2909">
        <f>IF(G2909=1,0.2*R2909/B2909,J2908)</f>
        <v/>
      </c>
      <c r="K2909">
        <f>IF(G2909=1,0.2*R2909/C2909,K2908)</f>
        <v/>
      </c>
      <c r="L2909">
        <f>IF(G2909=1,0.2*R2909/D2909,L2908)</f>
        <v/>
      </c>
      <c r="M2909">
        <f>IF(G2909=1,0.2*R2909/E2909,M2908)</f>
        <v/>
      </c>
      <c r="N2909">
        <f>IF(G2909=1,0.2*R2909/F2909,N2908)</f>
        <v/>
      </c>
      <c r="O2909">
        <f>IF(G2909=1,R2909*(1-1.0),IF(H2908=0,1,O2908*(1+0.00023125256064071564)))</f>
        <v/>
      </c>
      <c r="P2909">
        <f>IF(G2909=1,IF(H2908=0,1,ABS(0.2-J2908*B2909/I2909)+ABS(0.2-K2908*C2909/I2909)+ABS(0.2-L2908*D2909/I2909)+ABS(0.2-M2908*E2909/I2909)+ABS(0.2-N2908*F2909/I2909)),0)</f>
        <v/>
      </c>
      <c r="Q2909">
        <f>P2909*0.0015</f>
        <v/>
      </c>
      <c r="R2909">
        <f>I2909*(1-Q2909)</f>
        <v/>
      </c>
      <c r="S2909">
        <f>R2909/R2908-1</f>
        <v/>
      </c>
      <c r="T2909">
        <f>MAX(T2908,R2909)</f>
        <v/>
      </c>
      <c r="U2909">
        <f>R2909/T2909-1</f>
        <v/>
      </c>
      <c r="V2909" t="n">
        <v>6.673452655138167</v>
      </c>
      <c r="W2909" s="5">
        <f>R2909-V2909</f>
        <v/>
      </c>
    </row>
    <row r="2910">
      <c r="A2910" s="3" t="n">
        <v>42724</v>
      </c>
      <c r="B2910">
        <f>Prices!B2910</f>
        <v/>
      </c>
      <c r="C2910">
        <f>Prices!C2910</f>
        <v/>
      </c>
      <c r="D2910">
        <f>Prices!D2910</f>
        <v/>
      </c>
      <c r="E2910">
        <f>Prices!E2910</f>
        <v/>
      </c>
      <c r="F2910">
        <f>Prices!F2910</f>
        <v/>
      </c>
      <c r="G2910">
        <f>IF(AND(2908&gt;=16,TEXT(A2910,"yyyy-mm")&lt;&gt;TEXT(A2911,"yyyy-mm")),1,0)</f>
        <v/>
      </c>
      <c r="H2910">
        <f>IF(OR(H2909=1,G2910=1),1,0)</f>
        <v/>
      </c>
      <c r="I2910">
        <f>IF(H2909=0,1,SUMPRODUCT(J2909:N2909,B2910:F2910)+O2909*(1+0.00023125256064071564))</f>
        <v/>
      </c>
      <c r="J2910">
        <f>IF(G2910=1,0.2*R2910/B2910,J2909)</f>
        <v/>
      </c>
      <c r="K2910">
        <f>IF(G2910=1,0.2*R2910/C2910,K2909)</f>
        <v/>
      </c>
      <c r="L2910">
        <f>IF(G2910=1,0.2*R2910/D2910,L2909)</f>
        <v/>
      </c>
      <c r="M2910">
        <f>IF(G2910=1,0.2*R2910/E2910,M2909)</f>
        <v/>
      </c>
      <c r="N2910">
        <f>IF(G2910=1,0.2*R2910/F2910,N2909)</f>
        <v/>
      </c>
      <c r="O2910">
        <f>IF(G2910=1,R2910*(1-1.0),IF(H2909=0,1,O2909*(1+0.00023125256064071564)))</f>
        <v/>
      </c>
      <c r="P2910">
        <f>IF(G2910=1,IF(H2909=0,1,ABS(0.2-J2909*B2910/I2910)+ABS(0.2-K2909*C2910/I2910)+ABS(0.2-L2909*D2910/I2910)+ABS(0.2-M2909*E2910/I2910)+ABS(0.2-N2909*F2910/I2910)),0)</f>
        <v/>
      </c>
      <c r="Q2910">
        <f>P2910*0.0015</f>
        <v/>
      </c>
      <c r="R2910">
        <f>I2910*(1-Q2910)</f>
        <v/>
      </c>
      <c r="S2910">
        <f>R2910/R2909-1</f>
        <v/>
      </c>
      <c r="T2910">
        <f>MAX(T2909,R2910)</f>
        <v/>
      </c>
      <c r="U2910">
        <f>R2910/T2910-1</f>
        <v/>
      </c>
      <c r="V2910" t="n">
        <v>6.620720107158464</v>
      </c>
      <c r="W2910" s="5">
        <f>R2910-V2910</f>
        <v/>
      </c>
    </row>
    <row r="2911">
      <c r="A2911" s="3" t="n">
        <v>42725</v>
      </c>
      <c r="B2911">
        <f>Prices!B2911</f>
        <v/>
      </c>
      <c r="C2911">
        <f>Prices!C2911</f>
        <v/>
      </c>
      <c r="D2911">
        <f>Prices!D2911</f>
        <v/>
      </c>
      <c r="E2911">
        <f>Prices!E2911</f>
        <v/>
      </c>
      <c r="F2911">
        <f>Prices!F2911</f>
        <v/>
      </c>
      <c r="G2911">
        <f>IF(AND(2909&gt;=16,TEXT(A2911,"yyyy-mm")&lt;&gt;TEXT(A2912,"yyyy-mm")),1,0)</f>
        <v/>
      </c>
      <c r="H2911">
        <f>IF(OR(H2910=1,G2911=1),1,0)</f>
        <v/>
      </c>
      <c r="I2911">
        <f>IF(H2910=0,1,SUMPRODUCT(J2910:N2910,B2911:F2911)+O2910*(1+0.00023125256064071564))</f>
        <v/>
      </c>
      <c r="J2911">
        <f>IF(G2911=1,0.2*R2911/B2911,J2910)</f>
        <v/>
      </c>
      <c r="K2911">
        <f>IF(G2911=1,0.2*R2911/C2911,K2910)</f>
        <v/>
      </c>
      <c r="L2911">
        <f>IF(G2911=1,0.2*R2911/D2911,L2910)</f>
        <v/>
      </c>
      <c r="M2911">
        <f>IF(G2911=1,0.2*R2911/E2911,M2910)</f>
        <v/>
      </c>
      <c r="N2911">
        <f>IF(G2911=1,0.2*R2911/F2911,N2910)</f>
        <v/>
      </c>
      <c r="O2911">
        <f>IF(G2911=1,R2911*(1-1.0),IF(H2910=0,1,O2910*(1+0.00023125256064071564)))</f>
        <v/>
      </c>
      <c r="P2911">
        <f>IF(G2911=1,IF(H2910=0,1,ABS(0.2-J2910*B2911/I2911)+ABS(0.2-K2910*C2911/I2911)+ABS(0.2-L2910*D2911/I2911)+ABS(0.2-M2910*E2911/I2911)+ABS(0.2-N2910*F2911/I2911)),0)</f>
        <v/>
      </c>
      <c r="Q2911">
        <f>P2911*0.0015</f>
        <v/>
      </c>
      <c r="R2911">
        <f>I2911*(1-Q2911)</f>
        <v/>
      </c>
      <c r="S2911">
        <f>R2911/R2910-1</f>
        <v/>
      </c>
      <c r="T2911">
        <f>MAX(T2910,R2911)</f>
        <v/>
      </c>
      <c r="U2911">
        <f>R2911/T2911-1</f>
        <v/>
      </c>
      <c r="V2911" t="n">
        <v>6.620236529014552</v>
      </c>
      <c r="W2911" s="5">
        <f>R2911-V2911</f>
        <v/>
      </c>
    </row>
    <row r="2912">
      <c r="A2912" s="3" t="n">
        <v>42726</v>
      </c>
      <c r="B2912">
        <f>Prices!B2912</f>
        <v/>
      </c>
      <c r="C2912">
        <f>Prices!C2912</f>
        <v/>
      </c>
      <c r="D2912">
        <f>Prices!D2912</f>
        <v/>
      </c>
      <c r="E2912">
        <f>Prices!E2912</f>
        <v/>
      </c>
      <c r="F2912">
        <f>Prices!F2912</f>
        <v/>
      </c>
      <c r="G2912">
        <f>IF(AND(2910&gt;=16,TEXT(A2912,"yyyy-mm")&lt;&gt;TEXT(A2913,"yyyy-mm")),1,0)</f>
        <v/>
      </c>
      <c r="H2912">
        <f>IF(OR(H2911=1,G2912=1),1,0)</f>
        <v/>
      </c>
      <c r="I2912">
        <f>IF(H2911=0,1,SUMPRODUCT(J2911:N2911,B2912:F2912)+O2911*(1+0.00023125256064071564))</f>
        <v/>
      </c>
      <c r="J2912">
        <f>IF(G2912=1,0.2*R2912/B2912,J2911)</f>
        <v/>
      </c>
      <c r="K2912">
        <f>IF(G2912=1,0.2*R2912/C2912,K2911)</f>
        <v/>
      </c>
      <c r="L2912">
        <f>IF(G2912=1,0.2*R2912/D2912,L2911)</f>
        <v/>
      </c>
      <c r="M2912">
        <f>IF(G2912=1,0.2*R2912/E2912,M2911)</f>
        <v/>
      </c>
      <c r="N2912">
        <f>IF(G2912=1,0.2*R2912/F2912,N2911)</f>
        <v/>
      </c>
      <c r="O2912">
        <f>IF(G2912=1,R2912*(1-1.0),IF(H2911=0,1,O2911*(1+0.00023125256064071564)))</f>
        <v/>
      </c>
      <c r="P2912">
        <f>IF(G2912=1,IF(H2911=0,1,ABS(0.2-J2911*B2912/I2912)+ABS(0.2-K2911*C2912/I2912)+ABS(0.2-L2911*D2912/I2912)+ABS(0.2-M2911*E2912/I2912)+ABS(0.2-N2911*F2912/I2912)),0)</f>
        <v/>
      </c>
      <c r="Q2912">
        <f>P2912*0.0015</f>
        <v/>
      </c>
      <c r="R2912">
        <f>I2912*(1-Q2912)</f>
        <v/>
      </c>
      <c r="S2912">
        <f>R2912/R2911-1</f>
        <v/>
      </c>
      <c r="T2912">
        <f>MAX(T2911,R2912)</f>
        <v/>
      </c>
      <c r="U2912">
        <f>R2912/T2912-1</f>
        <v/>
      </c>
      <c r="V2912" t="n">
        <v>6.522693931967491</v>
      </c>
      <c r="W2912" s="5">
        <f>R2912-V2912</f>
        <v/>
      </c>
    </row>
    <row r="2913">
      <c r="A2913" s="3" t="n">
        <v>42727</v>
      </c>
      <c r="B2913">
        <f>Prices!B2913</f>
        <v/>
      </c>
      <c r="C2913">
        <f>Prices!C2913</f>
        <v/>
      </c>
      <c r="D2913">
        <f>Prices!D2913</f>
        <v/>
      </c>
      <c r="E2913">
        <f>Prices!E2913</f>
        <v/>
      </c>
      <c r="F2913">
        <f>Prices!F2913</f>
        <v/>
      </c>
      <c r="G2913">
        <f>IF(AND(2911&gt;=16,TEXT(A2913,"yyyy-mm")&lt;&gt;TEXT(A2914,"yyyy-mm")),1,0)</f>
        <v/>
      </c>
      <c r="H2913">
        <f>IF(OR(H2912=1,G2913=1),1,0)</f>
        <v/>
      </c>
      <c r="I2913">
        <f>IF(H2912=0,1,SUMPRODUCT(J2912:N2912,B2913:F2913)+O2912*(1+0.00023125256064071564))</f>
        <v/>
      </c>
      <c r="J2913">
        <f>IF(G2913=1,0.2*R2913/B2913,J2912)</f>
        <v/>
      </c>
      <c r="K2913">
        <f>IF(G2913=1,0.2*R2913/C2913,K2912)</f>
        <v/>
      </c>
      <c r="L2913">
        <f>IF(G2913=1,0.2*R2913/D2913,L2912)</f>
        <v/>
      </c>
      <c r="M2913">
        <f>IF(G2913=1,0.2*R2913/E2913,M2912)</f>
        <v/>
      </c>
      <c r="N2913">
        <f>IF(G2913=1,0.2*R2913/F2913,N2912)</f>
        <v/>
      </c>
      <c r="O2913">
        <f>IF(G2913=1,R2913*(1-1.0),IF(H2912=0,1,O2912*(1+0.00023125256064071564)))</f>
        <v/>
      </c>
      <c r="P2913">
        <f>IF(G2913=1,IF(H2912=0,1,ABS(0.2-J2912*B2913/I2913)+ABS(0.2-K2912*C2913/I2913)+ABS(0.2-L2912*D2913/I2913)+ABS(0.2-M2912*E2913/I2913)+ABS(0.2-N2912*F2913/I2913)),0)</f>
        <v/>
      </c>
      <c r="Q2913">
        <f>P2913*0.0015</f>
        <v/>
      </c>
      <c r="R2913">
        <f>I2913*(1-Q2913)</f>
        <v/>
      </c>
      <c r="S2913">
        <f>R2913/R2912-1</f>
        <v/>
      </c>
      <c r="T2913">
        <f>MAX(T2912,R2913)</f>
        <v/>
      </c>
      <c r="U2913">
        <f>R2913/T2913-1</f>
        <v/>
      </c>
      <c r="V2913" t="n">
        <v>6.509685189488788</v>
      </c>
      <c r="W2913" s="5">
        <f>R2913-V2913</f>
        <v/>
      </c>
    </row>
    <row r="2914">
      <c r="A2914" s="3" t="n">
        <v>42730</v>
      </c>
      <c r="B2914">
        <f>Prices!B2914</f>
        <v/>
      </c>
      <c r="C2914">
        <f>Prices!C2914</f>
        <v/>
      </c>
      <c r="D2914">
        <f>Prices!D2914</f>
        <v/>
      </c>
      <c r="E2914">
        <f>Prices!E2914</f>
        <v/>
      </c>
      <c r="F2914">
        <f>Prices!F2914</f>
        <v/>
      </c>
      <c r="G2914">
        <f>IF(AND(2912&gt;=16,TEXT(A2914,"yyyy-mm")&lt;&gt;TEXT(A2915,"yyyy-mm")),1,0)</f>
        <v/>
      </c>
      <c r="H2914">
        <f>IF(OR(H2913=1,G2914=1),1,0)</f>
        <v/>
      </c>
      <c r="I2914">
        <f>IF(H2913=0,1,SUMPRODUCT(J2913:N2913,B2914:F2914)+O2913*(1+0.00023125256064071564))</f>
        <v/>
      </c>
      <c r="J2914">
        <f>IF(G2914=1,0.2*R2914/B2914,J2913)</f>
        <v/>
      </c>
      <c r="K2914">
        <f>IF(G2914=1,0.2*R2914/C2914,K2913)</f>
        <v/>
      </c>
      <c r="L2914">
        <f>IF(G2914=1,0.2*R2914/D2914,L2913)</f>
        <v/>
      </c>
      <c r="M2914">
        <f>IF(G2914=1,0.2*R2914/E2914,M2913)</f>
        <v/>
      </c>
      <c r="N2914">
        <f>IF(G2914=1,0.2*R2914/F2914,N2913)</f>
        <v/>
      </c>
      <c r="O2914">
        <f>IF(G2914=1,R2914*(1-1.0),IF(H2913=0,1,O2913*(1+0.00023125256064071564)))</f>
        <v/>
      </c>
      <c r="P2914">
        <f>IF(G2914=1,IF(H2913=0,1,ABS(0.2-J2913*B2914/I2914)+ABS(0.2-K2913*C2914/I2914)+ABS(0.2-L2913*D2914/I2914)+ABS(0.2-M2913*E2914/I2914)+ABS(0.2-N2913*F2914/I2914)),0)</f>
        <v/>
      </c>
      <c r="Q2914">
        <f>P2914*0.0015</f>
        <v/>
      </c>
      <c r="R2914">
        <f>I2914*(1-Q2914)</f>
        <v/>
      </c>
      <c r="S2914">
        <f>R2914/R2913-1</f>
        <v/>
      </c>
      <c r="T2914">
        <f>MAX(T2913,R2914)</f>
        <v/>
      </c>
      <c r="U2914">
        <f>R2914/T2914-1</f>
        <v/>
      </c>
      <c r="V2914" t="n">
        <v>6.377563587583471</v>
      </c>
      <c r="W2914" s="5">
        <f>R2914-V2914</f>
        <v/>
      </c>
    </row>
    <row r="2915">
      <c r="A2915" s="3" t="n">
        <v>42731</v>
      </c>
      <c r="B2915">
        <f>Prices!B2915</f>
        <v/>
      </c>
      <c r="C2915">
        <f>Prices!C2915</f>
        <v/>
      </c>
      <c r="D2915">
        <f>Prices!D2915</f>
        <v/>
      </c>
      <c r="E2915">
        <f>Prices!E2915</f>
        <v/>
      </c>
      <c r="F2915">
        <f>Prices!F2915</f>
        <v/>
      </c>
      <c r="G2915">
        <f>IF(AND(2913&gt;=16,TEXT(A2915,"yyyy-mm")&lt;&gt;TEXT(A2916,"yyyy-mm")),1,0)</f>
        <v/>
      </c>
      <c r="H2915">
        <f>IF(OR(H2914=1,G2915=1),1,0)</f>
        <v/>
      </c>
      <c r="I2915">
        <f>IF(H2914=0,1,SUMPRODUCT(J2914:N2914,B2915:F2915)+O2914*(1+0.00023125256064071564))</f>
        <v/>
      </c>
      <c r="J2915">
        <f>IF(G2915=1,0.2*R2915/B2915,J2914)</f>
        <v/>
      </c>
      <c r="K2915">
        <f>IF(G2915=1,0.2*R2915/C2915,K2914)</f>
        <v/>
      </c>
      <c r="L2915">
        <f>IF(G2915=1,0.2*R2915/D2915,L2914)</f>
        <v/>
      </c>
      <c r="M2915">
        <f>IF(G2915=1,0.2*R2915/E2915,M2914)</f>
        <v/>
      </c>
      <c r="N2915">
        <f>IF(G2915=1,0.2*R2915/F2915,N2914)</f>
        <v/>
      </c>
      <c r="O2915">
        <f>IF(G2915=1,R2915*(1-1.0),IF(H2914=0,1,O2914*(1+0.00023125256064071564)))</f>
        <v/>
      </c>
      <c r="P2915">
        <f>IF(G2915=1,IF(H2914=0,1,ABS(0.2-J2914*B2915/I2915)+ABS(0.2-K2914*C2915/I2915)+ABS(0.2-L2914*D2915/I2915)+ABS(0.2-M2914*E2915/I2915)+ABS(0.2-N2914*F2915/I2915)),0)</f>
        <v/>
      </c>
      <c r="Q2915">
        <f>P2915*0.0015</f>
        <v/>
      </c>
      <c r="R2915">
        <f>I2915*(1-Q2915)</f>
        <v/>
      </c>
      <c r="S2915">
        <f>R2915/R2914-1</f>
        <v/>
      </c>
      <c r="T2915">
        <f>MAX(T2914,R2915)</f>
        <v/>
      </c>
      <c r="U2915">
        <f>R2915/T2915-1</f>
        <v/>
      </c>
      <c r="V2915" t="n">
        <v>6.49643735665932</v>
      </c>
      <c r="W2915" s="5">
        <f>R2915-V2915</f>
        <v/>
      </c>
    </row>
    <row r="2916">
      <c r="A2916" s="3" t="n">
        <v>42732</v>
      </c>
      <c r="B2916">
        <f>Prices!B2916</f>
        <v/>
      </c>
      <c r="C2916">
        <f>Prices!C2916</f>
        <v/>
      </c>
      <c r="D2916">
        <f>Prices!D2916</f>
        <v/>
      </c>
      <c r="E2916">
        <f>Prices!E2916</f>
        <v/>
      </c>
      <c r="F2916">
        <f>Prices!F2916</f>
        <v/>
      </c>
      <c r="G2916">
        <f>IF(AND(2914&gt;=16,TEXT(A2916,"yyyy-mm")&lt;&gt;TEXT(A2917,"yyyy-mm")),1,0)</f>
        <v/>
      </c>
      <c r="H2916">
        <f>IF(OR(H2915=1,G2916=1),1,0)</f>
        <v/>
      </c>
      <c r="I2916">
        <f>IF(H2915=0,1,SUMPRODUCT(J2915:N2915,B2916:F2916)+O2915*(1+0.00023125256064071564))</f>
        <v/>
      </c>
      <c r="J2916">
        <f>IF(G2916=1,0.2*R2916/B2916,J2915)</f>
        <v/>
      </c>
      <c r="K2916">
        <f>IF(G2916=1,0.2*R2916/C2916,K2915)</f>
        <v/>
      </c>
      <c r="L2916">
        <f>IF(G2916=1,0.2*R2916/D2916,L2915)</f>
        <v/>
      </c>
      <c r="M2916">
        <f>IF(G2916=1,0.2*R2916/E2916,M2915)</f>
        <v/>
      </c>
      <c r="N2916">
        <f>IF(G2916=1,0.2*R2916/F2916,N2915)</f>
        <v/>
      </c>
      <c r="O2916">
        <f>IF(G2916=1,R2916*(1-1.0),IF(H2915=0,1,O2915*(1+0.00023125256064071564)))</f>
        <v/>
      </c>
      <c r="P2916">
        <f>IF(G2916=1,IF(H2915=0,1,ABS(0.2-J2915*B2916/I2916)+ABS(0.2-K2915*C2916/I2916)+ABS(0.2-L2915*D2916/I2916)+ABS(0.2-M2915*E2916/I2916)+ABS(0.2-N2915*F2916/I2916)),0)</f>
        <v/>
      </c>
      <c r="Q2916">
        <f>P2916*0.0015</f>
        <v/>
      </c>
      <c r="R2916">
        <f>I2916*(1-Q2916)</f>
        <v/>
      </c>
      <c r="S2916">
        <f>R2916/R2915-1</f>
        <v/>
      </c>
      <c r="T2916">
        <f>MAX(T2915,R2916)</f>
        <v/>
      </c>
      <c r="U2916">
        <f>R2916/T2916-1</f>
        <v/>
      </c>
      <c r="V2916" t="n">
        <v>6.532032440614612</v>
      </c>
      <c r="W2916" s="5">
        <f>R2916-V2916</f>
        <v/>
      </c>
    </row>
    <row r="2917">
      <c r="A2917" s="3" t="n">
        <v>42733</v>
      </c>
      <c r="B2917">
        <f>Prices!B2917</f>
        <v/>
      </c>
      <c r="C2917">
        <f>Prices!C2917</f>
        <v/>
      </c>
      <c r="D2917">
        <f>Prices!D2917</f>
        <v/>
      </c>
      <c r="E2917">
        <f>Prices!E2917</f>
        <v/>
      </c>
      <c r="F2917">
        <f>Prices!F2917</f>
        <v/>
      </c>
      <c r="G2917">
        <f>IF(AND(2915&gt;=16,TEXT(A2917,"yyyy-mm")&lt;&gt;TEXT(A2918,"yyyy-mm")),1,0)</f>
        <v/>
      </c>
      <c r="H2917">
        <f>IF(OR(H2916=1,G2917=1),1,0)</f>
        <v/>
      </c>
      <c r="I2917">
        <f>IF(H2916=0,1,SUMPRODUCT(J2916:N2916,B2917:F2917)+O2916*(1+0.00023125256064071564))</f>
        <v/>
      </c>
      <c r="J2917">
        <f>IF(G2917=1,0.2*R2917/B2917,J2916)</f>
        <v/>
      </c>
      <c r="K2917">
        <f>IF(G2917=1,0.2*R2917/C2917,K2916)</f>
        <v/>
      </c>
      <c r="L2917">
        <f>IF(G2917=1,0.2*R2917/D2917,L2916)</f>
        <v/>
      </c>
      <c r="M2917">
        <f>IF(G2917=1,0.2*R2917/E2917,M2916)</f>
        <v/>
      </c>
      <c r="N2917">
        <f>IF(G2917=1,0.2*R2917/F2917,N2916)</f>
        <v/>
      </c>
      <c r="O2917">
        <f>IF(G2917=1,R2917*(1-1.0),IF(H2916=0,1,O2916*(1+0.00023125256064071564)))</f>
        <v/>
      </c>
      <c r="P2917">
        <f>IF(G2917=1,IF(H2916=0,1,ABS(0.2-J2916*B2917/I2917)+ABS(0.2-K2916*C2917/I2917)+ABS(0.2-L2916*D2917/I2917)+ABS(0.2-M2916*E2917/I2917)+ABS(0.2-N2916*F2917/I2917)),0)</f>
        <v/>
      </c>
      <c r="Q2917">
        <f>P2917*0.0015</f>
        <v/>
      </c>
      <c r="R2917">
        <f>I2917*(1-Q2917)</f>
        <v/>
      </c>
      <c r="S2917">
        <f>R2917/R2916-1</f>
        <v/>
      </c>
      <c r="T2917">
        <f>MAX(T2916,R2917)</f>
        <v/>
      </c>
      <c r="U2917">
        <f>R2917/T2917-1</f>
        <v/>
      </c>
      <c r="V2917" t="n">
        <v>6.616695487678791</v>
      </c>
      <c r="W2917" s="5">
        <f>R2917-V2917</f>
        <v/>
      </c>
    </row>
    <row r="2918">
      <c r="A2918" s="3" t="n">
        <v>42734</v>
      </c>
      <c r="B2918">
        <f>Prices!B2918</f>
        <v/>
      </c>
      <c r="C2918">
        <f>Prices!C2918</f>
        <v/>
      </c>
      <c r="D2918">
        <f>Prices!D2918</f>
        <v/>
      </c>
      <c r="E2918">
        <f>Prices!E2918</f>
        <v/>
      </c>
      <c r="F2918">
        <f>Prices!F2918</f>
        <v/>
      </c>
      <c r="G2918">
        <f>IF(AND(2916&gt;=16,TEXT(A2918,"yyyy-mm")&lt;&gt;TEXT(A2919,"yyyy-mm")),1,0)</f>
        <v/>
      </c>
      <c r="H2918">
        <f>IF(OR(H2917=1,G2918=1),1,0)</f>
        <v/>
      </c>
      <c r="I2918">
        <f>IF(H2917=0,1,SUMPRODUCT(J2917:N2917,B2918:F2918)+O2917*(1+0.00023125256064071564))</f>
        <v/>
      </c>
      <c r="J2918">
        <f>IF(G2918=1,0.2*R2918/B2918,J2917)</f>
        <v/>
      </c>
      <c r="K2918">
        <f>IF(G2918=1,0.2*R2918/C2918,K2917)</f>
        <v/>
      </c>
      <c r="L2918">
        <f>IF(G2918=1,0.2*R2918/D2918,L2917)</f>
        <v/>
      </c>
      <c r="M2918">
        <f>IF(G2918=1,0.2*R2918/E2918,M2917)</f>
        <v/>
      </c>
      <c r="N2918">
        <f>IF(G2918=1,0.2*R2918/F2918,N2917)</f>
        <v/>
      </c>
      <c r="O2918">
        <f>IF(G2918=1,R2918*(1-1.0),IF(H2917=0,1,O2917*(1+0.00023125256064071564)))</f>
        <v/>
      </c>
      <c r="P2918">
        <f>IF(G2918=1,IF(H2917=0,1,ABS(0.2-J2917*B2918/I2918)+ABS(0.2-K2917*C2918/I2918)+ABS(0.2-L2917*D2918/I2918)+ABS(0.2-M2917*E2918/I2918)+ABS(0.2-N2917*F2918/I2918)),0)</f>
        <v/>
      </c>
      <c r="Q2918">
        <f>P2918*0.0015</f>
        <v/>
      </c>
      <c r="R2918">
        <f>I2918*(1-Q2918)</f>
        <v/>
      </c>
      <c r="S2918">
        <f>R2918/R2917-1</f>
        <v/>
      </c>
      <c r="T2918">
        <f>MAX(T2917,R2918)</f>
        <v/>
      </c>
      <c r="U2918">
        <f>R2918/T2918-1</f>
        <v/>
      </c>
      <c r="V2918" t="n">
        <v>6.68271917772197</v>
      </c>
      <c r="W2918" s="5">
        <f>R2918-V2918</f>
        <v/>
      </c>
    </row>
    <row r="2919">
      <c r="A2919" s="3" t="n">
        <v>42737</v>
      </c>
      <c r="B2919">
        <f>Prices!B2919</f>
        <v/>
      </c>
      <c r="C2919">
        <f>Prices!C2919</f>
        <v/>
      </c>
      <c r="D2919">
        <f>Prices!D2919</f>
        <v/>
      </c>
      <c r="E2919">
        <f>Prices!E2919</f>
        <v/>
      </c>
      <c r="F2919">
        <f>Prices!F2919</f>
        <v/>
      </c>
      <c r="G2919">
        <f>IF(AND(2917&gt;=16,TEXT(A2919,"yyyy-mm")&lt;&gt;TEXT(A2920,"yyyy-mm")),1,0)</f>
        <v/>
      </c>
      <c r="H2919">
        <f>IF(OR(H2918=1,G2919=1),1,0)</f>
        <v/>
      </c>
      <c r="I2919">
        <f>IF(H2918=0,1,SUMPRODUCT(J2918:N2918,B2919:F2919)+O2918*(1+0.00023125256064071564))</f>
        <v/>
      </c>
      <c r="J2919">
        <f>IF(G2919=1,0.2*R2919/B2919,J2918)</f>
        <v/>
      </c>
      <c r="K2919">
        <f>IF(G2919=1,0.2*R2919/C2919,K2918)</f>
        <v/>
      </c>
      <c r="L2919">
        <f>IF(G2919=1,0.2*R2919/D2919,L2918)</f>
        <v/>
      </c>
      <c r="M2919">
        <f>IF(G2919=1,0.2*R2919/E2919,M2918)</f>
        <v/>
      </c>
      <c r="N2919">
        <f>IF(G2919=1,0.2*R2919/F2919,N2918)</f>
        <v/>
      </c>
      <c r="O2919">
        <f>IF(G2919=1,R2919*(1-1.0),IF(H2918=0,1,O2918*(1+0.00023125256064071564)))</f>
        <v/>
      </c>
      <c r="P2919">
        <f>IF(G2919=1,IF(H2918=0,1,ABS(0.2-J2918*B2919/I2919)+ABS(0.2-K2918*C2919/I2919)+ABS(0.2-L2918*D2919/I2919)+ABS(0.2-M2918*E2919/I2919)+ABS(0.2-N2918*F2919/I2919)),0)</f>
        <v/>
      </c>
      <c r="Q2919">
        <f>P2919*0.0015</f>
        <v/>
      </c>
      <c r="R2919">
        <f>I2919*(1-Q2919)</f>
        <v/>
      </c>
      <c r="S2919">
        <f>R2919/R2918-1</f>
        <v/>
      </c>
      <c r="T2919">
        <f>MAX(T2918,R2919)</f>
        <v/>
      </c>
      <c r="U2919">
        <f>R2919/T2919-1</f>
        <v/>
      </c>
      <c r="V2919" t="n">
        <v>6.754599316108413</v>
      </c>
      <c r="W2919" s="5">
        <f>R2919-V2919</f>
        <v/>
      </c>
    </row>
    <row r="2920">
      <c r="A2920" s="3" t="n">
        <v>42738</v>
      </c>
      <c r="B2920">
        <f>Prices!B2920</f>
        <v/>
      </c>
      <c r="C2920">
        <f>Prices!C2920</f>
        <v/>
      </c>
      <c r="D2920">
        <f>Prices!D2920</f>
        <v/>
      </c>
      <c r="E2920">
        <f>Prices!E2920</f>
        <v/>
      </c>
      <c r="F2920">
        <f>Prices!F2920</f>
        <v/>
      </c>
      <c r="G2920">
        <f>IF(AND(2918&gt;=16,TEXT(A2920,"yyyy-mm")&lt;&gt;TEXT(A2921,"yyyy-mm")),1,0)</f>
        <v/>
      </c>
      <c r="H2920">
        <f>IF(OR(H2919=1,G2920=1),1,0)</f>
        <v/>
      </c>
      <c r="I2920">
        <f>IF(H2919=0,1,SUMPRODUCT(J2919:N2919,B2920:F2920)+O2919*(1+0.00023125256064071564))</f>
        <v/>
      </c>
      <c r="J2920">
        <f>IF(G2920=1,0.2*R2920/B2920,J2919)</f>
        <v/>
      </c>
      <c r="K2920">
        <f>IF(G2920=1,0.2*R2920/C2920,K2919)</f>
        <v/>
      </c>
      <c r="L2920">
        <f>IF(G2920=1,0.2*R2920/D2920,L2919)</f>
        <v/>
      </c>
      <c r="M2920">
        <f>IF(G2920=1,0.2*R2920/E2920,M2919)</f>
        <v/>
      </c>
      <c r="N2920">
        <f>IF(G2920=1,0.2*R2920/F2920,N2919)</f>
        <v/>
      </c>
      <c r="O2920">
        <f>IF(G2920=1,R2920*(1-1.0),IF(H2919=0,1,O2919*(1+0.00023125256064071564)))</f>
        <v/>
      </c>
      <c r="P2920">
        <f>IF(G2920=1,IF(H2919=0,1,ABS(0.2-J2919*B2920/I2920)+ABS(0.2-K2919*C2920/I2920)+ABS(0.2-L2919*D2920/I2920)+ABS(0.2-M2919*E2920/I2920)+ABS(0.2-N2919*F2920/I2920)),0)</f>
        <v/>
      </c>
      <c r="Q2920">
        <f>P2920*0.0015</f>
        <v/>
      </c>
      <c r="R2920">
        <f>I2920*(1-Q2920)</f>
        <v/>
      </c>
      <c r="S2920">
        <f>R2920/R2919-1</f>
        <v/>
      </c>
      <c r="T2920">
        <f>MAX(T2919,R2920)</f>
        <v/>
      </c>
      <c r="U2920">
        <f>R2920/T2920-1</f>
        <v/>
      </c>
      <c r="V2920" t="n">
        <v>6.80708461892393</v>
      </c>
      <c r="W2920" s="5">
        <f>R2920-V2920</f>
        <v/>
      </c>
    </row>
    <row r="2921">
      <c r="A2921" s="3" t="n">
        <v>42739</v>
      </c>
      <c r="B2921">
        <f>Prices!B2921</f>
        <v/>
      </c>
      <c r="C2921">
        <f>Prices!C2921</f>
        <v/>
      </c>
      <c r="D2921">
        <f>Prices!D2921</f>
        <v/>
      </c>
      <c r="E2921">
        <f>Prices!E2921</f>
        <v/>
      </c>
      <c r="F2921">
        <f>Prices!F2921</f>
        <v/>
      </c>
      <c r="G2921">
        <f>IF(AND(2919&gt;=16,TEXT(A2921,"yyyy-mm")&lt;&gt;TEXT(A2922,"yyyy-mm")),1,0)</f>
        <v/>
      </c>
      <c r="H2921">
        <f>IF(OR(H2920=1,G2921=1),1,0)</f>
        <v/>
      </c>
      <c r="I2921">
        <f>IF(H2920=0,1,SUMPRODUCT(J2920:N2920,B2921:F2921)+O2920*(1+0.00023125256064071564))</f>
        <v/>
      </c>
      <c r="J2921">
        <f>IF(G2921=1,0.2*R2921/B2921,J2920)</f>
        <v/>
      </c>
      <c r="K2921">
        <f>IF(G2921=1,0.2*R2921/C2921,K2920)</f>
        <v/>
      </c>
      <c r="L2921">
        <f>IF(G2921=1,0.2*R2921/D2921,L2920)</f>
        <v/>
      </c>
      <c r="M2921">
        <f>IF(G2921=1,0.2*R2921/E2921,M2920)</f>
        <v/>
      </c>
      <c r="N2921">
        <f>IF(G2921=1,0.2*R2921/F2921,N2920)</f>
        <v/>
      </c>
      <c r="O2921">
        <f>IF(G2921=1,R2921*(1-1.0),IF(H2920=0,1,O2920*(1+0.00023125256064071564)))</f>
        <v/>
      </c>
      <c r="P2921">
        <f>IF(G2921=1,IF(H2920=0,1,ABS(0.2-J2920*B2921/I2921)+ABS(0.2-K2920*C2921/I2921)+ABS(0.2-L2920*D2921/I2921)+ABS(0.2-M2920*E2921/I2921)+ABS(0.2-N2920*F2921/I2921)),0)</f>
        <v/>
      </c>
      <c r="Q2921">
        <f>P2921*0.0015</f>
        <v/>
      </c>
      <c r="R2921">
        <f>I2921*(1-Q2921)</f>
        <v/>
      </c>
      <c r="S2921">
        <f>R2921/R2920-1</f>
        <v/>
      </c>
      <c r="T2921">
        <f>MAX(T2920,R2921)</f>
        <v/>
      </c>
      <c r="U2921">
        <f>R2921/T2921-1</f>
        <v/>
      </c>
      <c r="V2921" t="n">
        <v>6.815274014722379</v>
      </c>
      <c r="W2921" s="5">
        <f>R2921-V2921</f>
        <v/>
      </c>
    </row>
    <row r="2922">
      <c r="A2922" s="3" t="n">
        <v>42740</v>
      </c>
      <c r="B2922">
        <f>Prices!B2922</f>
        <v/>
      </c>
      <c r="C2922">
        <f>Prices!C2922</f>
        <v/>
      </c>
      <c r="D2922">
        <f>Prices!D2922</f>
        <v/>
      </c>
      <c r="E2922">
        <f>Prices!E2922</f>
        <v/>
      </c>
      <c r="F2922">
        <f>Prices!F2922</f>
        <v/>
      </c>
      <c r="G2922">
        <f>IF(AND(2920&gt;=16,TEXT(A2922,"yyyy-mm")&lt;&gt;TEXT(A2923,"yyyy-mm")),1,0)</f>
        <v/>
      </c>
      <c r="H2922">
        <f>IF(OR(H2921=1,G2922=1),1,0)</f>
        <v/>
      </c>
      <c r="I2922">
        <f>IF(H2921=0,1,SUMPRODUCT(J2921:N2921,B2922:F2922)+O2921*(1+0.00023125256064071564))</f>
        <v/>
      </c>
      <c r="J2922">
        <f>IF(G2922=1,0.2*R2922/B2922,J2921)</f>
        <v/>
      </c>
      <c r="K2922">
        <f>IF(G2922=1,0.2*R2922/C2922,K2921)</f>
        <v/>
      </c>
      <c r="L2922">
        <f>IF(G2922=1,0.2*R2922/D2922,L2921)</f>
        <v/>
      </c>
      <c r="M2922">
        <f>IF(G2922=1,0.2*R2922/E2922,M2921)</f>
        <v/>
      </c>
      <c r="N2922">
        <f>IF(G2922=1,0.2*R2922/F2922,N2921)</f>
        <v/>
      </c>
      <c r="O2922">
        <f>IF(G2922=1,R2922*(1-1.0),IF(H2921=0,1,O2921*(1+0.00023125256064071564)))</f>
        <v/>
      </c>
      <c r="P2922">
        <f>IF(G2922=1,IF(H2921=0,1,ABS(0.2-J2921*B2922/I2922)+ABS(0.2-K2921*C2922/I2922)+ABS(0.2-L2921*D2922/I2922)+ABS(0.2-M2921*E2922/I2922)+ABS(0.2-N2921*F2922/I2922)),0)</f>
        <v/>
      </c>
      <c r="Q2922">
        <f>P2922*0.0015</f>
        <v/>
      </c>
      <c r="R2922">
        <f>I2922*(1-Q2922)</f>
        <v/>
      </c>
      <c r="S2922">
        <f>R2922/R2921-1</f>
        <v/>
      </c>
      <c r="T2922">
        <f>MAX(T2921,R2922)</f>
        <v/>
      </c>
      <c r="U2922">
        <f>R2922/T2922-1</f>
        <v/>
      </c>
      <c r="V2922" t="n">
        <v>6.90910612788685</v>
      </c>
      <c r="W2922" s="5">
        <f>R2922-V2922</f>
        <v/>
      </c>
    </row>
    <row r="2923">
      <c r="A2923" s="3" t="n">
        <v>42741</v>
      </c>
      <c r="B2923">
        <f>Prices!B2923</f>
        <v/>
      </c>
      <c r="C2923">
        <f>Prices!C2923</f>
        <v/>
      </c>
      <c r="D2923">
        <f>Prices!D2923</f>
        <v/>
      </c>
      <c r="E2923">
        <f>Prices!E2923</f>
        <v/>
      </c>
      <c r="F2923">
        <f>Prices!F2923</f>
        <v/>
      </c>
      <c r="G2923">
        <f>IF(AND(2921&gt;=16,TEXT(A2923,"yyyy-mm")&lt;&gt;TEXT(A2924,"yyyy-mm")),1,0)</f>
        <v/>
      </c>
      <c r="H2923">
        <f>IF(OR(H2922=1,G2923=1),1,0)</f>
        <v/>
      </c>
      <c r="I2923">
        <f>IF(H2922=0,1,SUMPRODUCT(J2922:N2922,B2923:F2923)+O2922*(1+0.00023125256064071564))</f>
        <v/>
      </c>
      <c r="J2923">
        <f>IF(G2923=1,0.2*R2923/B2923,J2922)</f>
        <v/>
      </c>
      <c r="K2923">
        <f>IF(G2923=1,0.2*R2923/C2923,K2922)</f>
        <v/>
      </c>
      <c r="L2923">
        <f>IF(G2923=1,0.2*R2923/D2923,L2922)</f>
        <v/>
      </c>
      <c r="M2923">
        <f>IF(G2923=1,0.2*R2923/E2923,M2922)</f>
        <v/>
      </c>
      <c r="N2923">
        <f>IF(G2923=1,0.2*R2923/F2923,N2922)</f>
        <v/>
      </c>
      <c r="O2923">
        <f>IF(G2923=1,R2923*(1-1.0),IF(H2922=0,1,O2922*(1+0.00023125256064071564)))</f>
        <v/>
      </c>
      <c r="P2923">
        <f>IF(G2923=1,IF(H2922=0,1,ABS(0.2-J2922*B2923/I2923)+ABS(0.2-K2922*C2923/I2923)+ABS(0.2-L2922*D2923/I2923)+ABS(0.2-M2922*E2923/I2923)+ABS(0.2-N2922*F2923/I2923)),0)</f>
        <v/>
      </c>
      <c r="Q2923">
        <f>P2923*0.0015</f>
        <v/>
      </c>
      <c r="R2923">
        <f>I2923*(1-Q2923)</f>
        <v/>
      </c>
      <c r="S2923">
        <f>R2923/R2922-1</f>
        <v/>
      </c>
      <c r="T2923">
        <f>MAX(T2922,R2923)</f>
        <v/>
      </c>
      <c r="U2923">
        <f>R2923/T2923-1</f>
        <v/>
      </c>
      <c r="V2923" t="n">
        <v>6.887598705366612</v>
      </c>
      <c r="W2923" s="5">
        <f>R2923-V2923</f>
        <v/>
      </c>
    </row>
    <row r="2924">
      <c r="A2924" s="3" t="n">
        <v>42744</v>
      </c>
      <c r="B2924">
        <f>Prices!B2924</f>
        <v/>
      </c>
      <c r="C2924">
        <f>Prices!C2924</f>
        <v/>
      </c>
      <c r="D2924">
        <f>Prices!D2924</f>
        <v/>
      </c>
      <c r="E2924">
        <f>Prices!E2924</f>
        <v/>
      </c>
      <c r="F2924">
        <f>Prices!F2924</f>
        <v/>
      </c>
      <c r="G2924">
        <f>IF(AND(2922&gt;=16,TEXT(A2924,"yyyy-mm")&lt;&gt;TEXT(A2925,"yyyy-mm")),1,0)</f>
        <v/>
      </c>
      <c r="H2924">
        <f>IF(OR(H2923=1,G2924=1),1,0)</f>
        <v/>
      </c>
      <c r="I2924">
        <f>IF(H2923=0,1,SUMPRODUCT(J2923:N2923,B2924:F2924)+O2923*(1+0.00023125256064071564))</f>
        <v/>
      </c>
      <c r="J2924">
        <f>IF(G2924=1,0.2*R2924/B2924,J2923)</f>
        <v/>
      </c>
      <c r="K2924">
        <f>IF(G2924=1,0.2*R2924/C2924,K2923)</f>
        <v/>
      </c>
      <c r="L2924">
        <f>IF(G2924=1,0.2*R2924/D2924,L2923)</f>
        <v/>
      </c>
      <c r="M2924">
        <f>IF(G2924=1,0.2*R2924/E2924,M2923)</f>
        <v/>
      </c>
      <c r="N2924">
        <f>IF(G2924=1,0.2*R2924/F2924,N2923)</f>
        <v/>
      </c>
      <c r="O2924">
        <f>IF(G2924=1,R2924*(1-1.0),IF(H2923=0,1,O2923*(1+0.00023125256064071564)))</f>
        <v/>
      </c>
      <c r="P2924">
        <f>IF(G2924=1,IF(H2923=0,1,ABS(0.2-J2923*B2924/I2924)+ABS(0.2-K2923*C2924/I2924)+ABS(0.2-L2923*D2924/I2924)+ABS(0.2-M2923*E2924/I2924)+ABS(0.2-N2923*F2924/I2924)),0)</f>
        <v/>
      </c>
      <c r="Q2924">
        <f>P2924*0.0015</f>
        <v/>
      </c>
      <c r="R2924">
        <f>I2924*(1-Q2924)</f>
        <v/>
      </c>
      <c r="S2924">
        <f>R2924/R2923-1</f>
        <v/>
      </c>
      <c r="T2924">
        <f>MAX(T2923,R2924)</f>
        <v/>
      </c>
      <c r="U2924">
        <f>R2924/T2924-1</f>
        <v/>
      </c>
      <c r="V2924" t="n">
        <v>6.893658747815807</v>
      </c>
      <c r="W2924" s="5">
        <f>R2924-V2924</f>
        <v/>
      </c>
    </row>
    <row r="2925">
      <c r="A2925" s="3" t="n">
        <v>42745</v>
      </c>
      <c r="B2925">
        <f>Prices!B2925</f>
        <v/>
      </c>
      <c r="C2925">
        <f>Prices!C2925</f>
        <v/>
      </c>
      <c r="D2925">
        <f>Prices!D2925</f>
        <v/>
      </c>
      <c r="E2925">
        <f>Prices!E2925</f>
        <v/>
      </c>
      <c r="F2925">
        <f>Prices!F2925</f>
        <v/>
      </c>
      <c r="G2925">
        <f>IF(AND(2923&gt;=16,TEXT(A2925,"yyyy-mm")&lt;&gt;TEXT(A2926,"yyyy-mm")),1,0)</f>
        <v/>
      </c>
      <c r="H2925">
        <f>IF(OR(H2924=1,G2925=1),1,0)</f>
        <v/>
      </c>
      <c r="I2925">
        <f>IF(H2924=0,1,SUMPRODUCT(J2924:N2924,B2925:F2925)+O2924*(1+0.00023125256064071564))</f>
        <v/>
      </c>
      <c r="J2925">
        <f>IF(G2925=1,0.2*R2925/B2925,J2924)</f>
        <v/>
      </c>
      <c r="K2925">
        <f>IF(G2925=1,0.2*R2925/C2925,K2924)</f>
        <v/>
      </c>
      <c r="L2925">
        <f>IF(G2925=1,0.2*R2925/D2925,L2924)</f>
        <v/>
      </c>
      <c r="M2925">
        <f>IF(G2925=1,0.2*R2925/E2925,M2924)</f>
        <v/>
      </c>
      <c r="N2925">
        <f>IF(G2925=1,0.2*R2925/F2925,N2924)</f>
        <v/>
      </c>
      <c r="O2925">
        <f>IF(G2925=1,R2925*(1-1.0),IF(H2924=0,1,O2924*(1+0.00023125256064071564)))</f>
        <v/>
      </c>
      <c r="P2925">
        <f>IF(G2925=1,IF(H2924=0,1,ABS(0.2-J2924*B2925/I2925)+ABS(0.2-K2924*C2925/I2925)+ABS(0.2-L2924*D2925/I2925)+ABS(0.2-M2924*E2925/I2925)+ABS(0.2-N2924*F2925/I2925)),0)</f>
        <v/>
      </c>
      <c r="Q2925">
        <f>P2925*0.0015</f>
        <v/>
      </c>
      <c r="R2925">
        <f>I2925*(1-Q2925)</f>
        <v/>
      </c>
      <c r="S2925">
        <f>R2925/R2924-1</f>
        <v/>
      </c>
      <c r="T2925">
        <f>MAX(T2924,R2925)</f>
        <v/>
      </c>
      <c r="U2925">
        <f>R2925/T2925-1</f>
        <v/>
      </c>
      <c r="V2925" t="n">
        <v>6.952465934438946</v>
      </c>
      <c r="W2925" s="5">
        <f>R2925-V2925</f>
        <v/>
      </c>
    </row>
    <row r="2926">
      <c r="A2926" s="3" t="n">
        <v>42746</v>
      </c>
      <c r="B2926">
        <f>Prices!B2926</f>
        <v/>
      </c>
      <c r="C2926">
        <f>Prices!C2926</f>
        <v/>
      </c>
      <c r="D2926">
        <f>Prices!D2926</f>
        <v/>
      </c>
      <c r="E2926">
        <f>Prices!E2926</f>
        <v/>
      </c>
      <c r="F2926">
        <f>Prices!F2926</f>
        <v/>
      </c>
      <c r="G2926">
        <f>IF(AND(2924&gt;=16,TEXT(A2926,"yyyy-mm")&lt;&gt;TEXT(A2927,"yyyy-mm")),1,0)</f>
        <v/>
      </c>
      <c r="H2926">
        <f>IF(OR(H2925=1,G2926=1),1,0)</f>
        <v/>
      </c>
      <c r="I2926">
        <f>IF(H2925=0,1,SUMPRODUCT(J2925:N2925,B2926:F2926)+O2925*(1+0.00023125256064071564))</f>
        <v/>
      </c>
      <c r="J2926">
        <f>IF(G2926=1,0.2*R2926/B2926,J2925)</f>
        <v/>
      </c>
      <c r="K2926">
        <f>IF(G2926=1,0.2*R2926/C2926,K2925)</f>
        <v/>
      </c>
      <c r="L2926">
        <f>IF(G2926=1,0.2*R2926/D2926,L2925)</f>
        <v/>
      </c>
      <c r="M2926">
        <f>IF(G2926=1,0.2*R2926/E2926,M2925)</f>
        <v/>
      </c>
      <c r="N2926">
        <f>IF(G2926=1,0.2*R2926/F2926,N2925)</f>
        <v/>
      </c>
      <c r="O2926">
        <f>IF(G2926=1,R2926*(1-1.0),IF(H2925=0,1,O2925*(1+0.00023125256064071564)))</f>
        <v/>
      </c>
      <c r="P2926">
        <f>IF(G2926=1,IF(H2925=0,1,ABS(0.2-J2925*B2926/I2926)+ABS(0.2-K2925*C2926/I2926)+ABS(0.2-L2925*D2926/I2926)+ABS(0.2-M2925*E2926/I2926)+ABS(0.2-N2925*F2926/I2926)),0)</f>
        <v/>
      </c>
      <c r="Q2926">
        <f>P2926*0.0015</f>
        <v/>
      </c>
      <c r="R2926">
        <f>I2926*(1-Q2926)</f>
        <v/>
      </c>
      <c r="S2926">
        <f>R2926/R2925-1</f>
        <v/>
      </c>
      <c r="T2926">
        <f>MAX(T2925,R2926)</f>
        <v/>
      </c>
      <c r="U2926">
        <f>R2926/T2926-1</f>
        <v/>
      </c>
      <c r="V2926" t="n">
        <v>7.062300961684516</v>
      </c>
      <c r="W2926" s="5">
        <f>R2926-V2926</f>
        <v/>
      </c>
    </row>
    <row r="2927">
      <c r="A2927" s="3" t="n">
        <v>42747</v>
      </c>
      <c r="B2927">
        <f>Prices!B2927</f>
        <v/>
      </c>
      <c r="C2927">
        <f>Prices!C2927</f>
        <v/>
      </c>
      <c r="D2927">
        <f>Prices!D2927</f>
        <v/>
      </c>
      <c r="E2927">
        <f>Prices!E2927</f>
        <v/>
      </c>
      <c r="F2927">
        <f>Prices!F2927</f>
        <v/>
      </c>
      <c r="G2927">
        <f>IF(AND(2925&gt;=16,TEXT(A2927,"yyyy-mm")&lt;&gt;TEXT(A2928,"yyyy-mm")),1,0)</f>
        <v/>
      </c>
      <c r="H2927">
        <f>IF(OR(H2926=1,G2927=1),1,0)</f>
        <v/>
      </c>
      <c r="I2927">
        <f>IF(H2926=0,1,SUMPRODUCT(J2926:N2926,B2927:F2927)+O2926*(1+0.00023125256064071564))</f>
        <v/>
      </c>
      <c r="J2927">
        <f>IF(G2927=1,0.2*R2927/B2927,J2926)</f>
        <v/>
      </c>
      <c r="K2927">
        <f>IF(G2927=1,0.2*R2927/C2927,K2926)</f>
        <v/>
      </c>
      <c r="L2927">
        <f>IF(G2927=1,0.2*R2927/D2927,L2926)</f>
        <v/>
      </c>
      <c r="M2927">
        <f>IF(G2927=1,0.2*R2927/E2927,M2926)</f>
        <v/>
      </c>
      <c r="N2927">
        <f>IF(G2927=1,0.2*R2927/F2927,N2926)</f>
        <v/>
      </c>
      <c r="O2927">
        <f>IF(G2927=1,R2927*(1-1.0),IF(H2926=0,1,O2926*(1+0.00023125256064071564)))</f>
        <v/>
      </c>
      <c r="P2927">
        <f>IF(G2927=1,IF(H2926=0,1,ABS(0.2-J2926*B2927/I2927)+ABS(0.2-K2926*C2927/I2927)+ABS(0.2-L2926*D2927/I2927)+ABS(0.2-M2926*E2927/I2927)+ABS(0.2-N2926*F2927/I2927)),0)</f>
        <v/>
      </c>
      <c r="Q2927">
        <f>P2927*0.0015</f>
        <v/>
      </c>
      <c r="R2927">
        <f>I2927*(1-Q2927)</f>
        <v/>
      </c>
      <c r="S2927">
        <f>R2927/R2926-1</f>
        <v/>
      </c>
      <c r="T2927">
        <f>MAX(T2926,R2927)</f>
        <v/>
      </c>
      <c r="U2927">
        <f>R2927/T2927-1</f>
        <v/>
      </c>
      <c r="V2927" t="n">
        <v>7.08304774329959</v>
      </c>
      <c r="W2927" s="5">
        <f>R2927-V2927</f>
        <v/>
      </c>
    </row>
    <row r="2928">
      <c r="A2928" s="3" t="n">
        <v>42748</v>
      </c>
      <c r="B2928">
        <f>Prices!B2928</f>
        <v/>
      </c>
      <c r="C2928">
        <f>Prices!C2928</f>
        <v/>
      </c>
      <c r="D2928">
        <f>Prices!D2928</f>
        <v/>
      </c>
      <c r="E2928">
        <f>Prices!E2928</f>
        <v/>
      </c>
      <c r="F2928">
        <f>Prices!F2928</f>
        <v/>
      </c>
      <c r="G2928">
        <f>IF(AND(2926&gt;=16,TEXT(A2928,"yyyy-mm")&lt;&gt;TEXT(A2929,"yyyy-mm")),1,0)</f>
        <v/>
      </c>
      <c r="H2928">
        <f>IF(OR(H2927=1,G2928=1),1,0)</f>
        <v/>
      </c>
      <c r="I2928">
        <f>IF(H2927=0,1,SUMPRODUCT(J2927:N2927,B2928:F2928)+O2927*(1+0.00023125256064071564))</f>
        <v/>
      </c>
      <c r="J2928">
        <f>IF(G2928=1,0.2*R2928/B2928,J2927)</f>
        <v/>
      </c>
      <c r="K2928">
        <f>IF(G2928=1,0.2*R2928/C2928,K2927)</f>
        <v/>
      </c>
      <c r="L2928">
        <f>IF(G2928=1,0.2*R2928/D2928,L2927)</f>
        <v/>
      </c>
      <c r="M2928">
        <f>IF(G2928=1,0.2*R2928/E2928,M2927)</f>
        <v/>
      </c>
      <c r="N2928">
        <f>IF(G2928=1,0.2*R2928/F2928,N2927)</f>
        <v/>
      </c>
      <c r="O2928">
        <f>IF(G2928=1,R2928*(1-1.0),IF(H2927=0,1,O2927*(1+0.00023125256064071564)))</f>
        <v/>
      </c>
      <c r="P2928">
        <f>IF(G2928=1,IF(H2927=0,1,ABS(0.2-J2927*B2928/I2928)+ABS(0.2-K2927*C2928/I2928)+ABS(0.2-L2927*D2928/I2928)+ABS(0.2-M2927*E2928/I2928)+ABS(0.2-N2927*F2928/I2928)),0)</f>
        <v/>
      </c>
      <c r="Q2928">
        <f>P2928*0.0015</f>
        <v/>
      </c>
      <c r="R2928">
        <f>I2928*(1-Q2928)</f>
        <v/>
      </c>
      <c r="S2928">
        <f>R2928/R2927-1</f>
        <v/>
      </c>
      <c r="T2928">
        <f>MAX(T2927,R2928)</f>
        <v/>
      </c>
      <c r="U2928">
        <f>R2928/T2928-1</f>
        <v/>
      </c>
      <c r="V2928" t="n">
        <v>7.068668505295488</v>
      </c>
      <c r="W2928" s="5">
        <f>R2928-V2928</f>
        <v/>
      </c>
    </row>
    <row r="2929">
      <c r="A2929" s="3" t="n">
        <v>42751</v>
      </c>
      <c r="B2929">
        <f>Prices!B2929</f>
        <v/>
      </c>
      <c r="C2929">
        <f>Prices!C2929</f>
        <v/>
      </c>
      <c r="D2929">
        <f>Prices!D2929</f>
        <v/>
      </c>
      <c r="E2929">
        <f>Prices!E2929</f>
        <v/>
      </c>
      <c r="F2929">
        <f>Prices!F2929</f>
        <v/>
      </c>
      <c r="G2929">
        <f>IF(AND(2927&gt;=16,TEXT(A2929,"yyyy-mm")&lt;&gt;TEXT(A2930,"yyyy-mm")),1,0)</f>
        <v/>
      </c>
      <c r="H2929">
        <f>IF(OR(H2928=1,G2929=1),1,0)</f>
        <v/>
      </c>
      <c r="I2929">
        <f>IF(H2928=0,1,SUMPRODUCT(J2928:N2928,B2929:F2929)+O2928*(1+0.00023125256064071564))</f>
        <v/>
      </c>
      <c r="J2929">
        <f>IF(G2929=1,0.2*R2929/B2929,J2928)</f>
        <v/>
      </c>
      <c r="K2929">
        <f>IF(G2929=1,0.2*R2929/C2929,K2928)</f>
        <v/>
      </c>
      <c r="L2929">
        <f>IF(G2929=1,0.2*R2929/D2929,L2928)</f>
        <v/>
      </c>
      <c r="M2929">
        <f>IF(G2929=1,0.2*R2929/E2929,M2928)</f>
        <v/>
      </c>
      <c r="N2929">
        <f>IF(G2929=1,0.2*R2929/F2929,N2928)</f>
        <v/>
      </c>
      <c r="O2929">
        <f>IF(G2929=1,R2929*(1-1.0),IF(H2928=0,1,O2928*(1+0.00023125256064071564)))</f>
        <v/>
      </c>
      <c r="P2929">
        <f>IF(G2929=1,IF(H2928=0,1,ABS(0.2-J2928*B2929/I2929)+ABS(0.2-K2928*C2929/I2929)+ABS(0.2-L2928*D2929/I2929)+ABS(0.2-M2928*E2929/I2929)+ABS(0.2-N2928*F2929/I2929)),0)</f>
        <v/>
      </c>
      <c r="Q2929">
        <f>P2929*0.0015</f>
        <v/>
      </c>
      <c r="R2929">
        <f>I2929*(1-Q2929)</f>
        <v/>
      </c>
      <c r="S2929">
        <f>R2929/R2928-1</f>
        <v/>
      </c>
      <c r="T2929">
        <f>MAX(T2928,R2929)</f>
        <v/>
      </c>
      <c r="U2929">
        <f>R2929/T2929-1</f>
        <v/>
      </c>
      <c r="V2929" t="n">
        <v>7.105994206976068</v>
      </c>
      <c r="W2929" s="5">
        <f>R2929-V2929</f>
        <v/>
      </c>
    </row>
    <row r="2930">
      <c r="A2930" s="3" t="n">
        <v>42752</v>
      </c>
      <c r="B2930">
        <f>Prices!B2930</f>
        <v/>
      </c>
      <c r="C2930">
        <f>Prices!C2930</f>
        <v/>
      </c>
      <c r="D2930">
        <f>Prices!D2930</f>
        <v/>
      </c>
      <c r="E2930">
        <f>Prices!E2930</f>
        <v/>
      </c>
      <c r="F2930">
        <f>Prices!F2930</f>
        <v/>
      </c>
      <c r="G2930">
        <f>IF(AND(2928&gt;=16,TEXT(A2930,"yyyy-mm")&lt;&gt;TEXT(A2931,"yyyy-mm")),1,0)</f>
        <v/>
      </c>
      <c r="H2930">
        <f>IF(OR(H2929=1,G2930=1),1,0)</f>
        <v/>
      </c>
      <c r="I2930">
        <f>IF(H2929=0,1,SUMPRODUCT(J2929:N2929,B2930:F2930)+O2929*(1+0.00023125256064071564))</f>
        <v/>
      </c>
      <c r="J2930">
        <f>IF(G2930=1,0.2*R2930/B2930,J2929)</f>
        <v/>
      </c>
      <c r="K2930">
        <f>IF(G2930=1,0.2*R2930/C2930,K2929)</f>
        <v/>
      </c>
      <c r="L2930">
        <f>IF(G2930=1,0.2*R2930/D2930,L2929)</f>
        <v/>
      </c>
      <c r="M2930">
        <f>IF(G2930=1,0.2*R2930/E2930,M2929)</f>
        <v/>
      </c>
      <c r="N2930">
        <f>IF(G2930=1,0.2*R2930/F2930,N2929)</f>
        <v/>
      </c>
      <c r="O2930">
        <f>IF(G2930=1,R2930*(1-1.0),IF(H2929=0,1,O2929*(1+0.00023125256064071564)))</f>
        <v/>
      </c>
      <c r="P2930">
        <f>IF(G2930=1,IF(H2929=0,1,ABS(0.2-J2929*B2930/I2930)+ABS(0.2-K2929*C2930/I2930)+ABS(0.2-L2929*D2930/I2930)+ABS(0.2-M2929*E2930/I2930)+ABS(0.2-N2929*F2930/I2930)),0)</f>
        <v/>
      </c>
      <c r="Q2930">
        <f>P2930*0.0015</f>
        <v/>
      </c>
      <c r="R2930">
        <f>I2930*(1-Q2930)</f>
        <v/>
      </c>
      <c r="S2930">
        <f>R2930/R2929-1</f>
        <v/>
      </c>
      <c r="T2930">
        <f>MAX(T2929,R2930)</f>
        <v/>
      </c>
      <c r="U2930">
        <f>R2930/T2930-1</f>
        <v/>
      </c>
      <c r="V2930" t="n">
        <v>7.105560563119844</v>
      </c>
      <c r="W2930" s="5">
        <f>R2930-V2930</f>
        <v/>
      </c>
    </row>
    <row r="2931">
      <c r="A2931" s="3" t="n">
        <v>42753</v>
      </c>
      <c r="B2931">
        <f>Prices!B2931</f>
        <v/>
      </c>
      <c r="C2931">
        <f>Prices!C2931</f>
        <v/>
      </c>
      <c r="D2931">
        <f>Prices!D2931</f>
        <v/>
      </c>
      <c r="E2931">
        <f>Prices!E2931</f>
        <v/>
      </c>
      <c r="F2931">
        <f>Prices!F2931</f>
        <v/>
      </c>
      <c r="G2931">
        <f>IF(AND(2929&gt;=16,TEXT(A2931,"yyyy-mm")&lt;&gt;TEXT(A2932,"yyyy-mm")),1,0)</f>
        <v/>
      </c>
      <c r="H2931">
        <f>IF(OR(H2930=1,G2931=1),1,0)</f>
        <v/>
      </c>
      <c r="I2931">
        <f>IF(H2930=0,1,SUMPRODUCT(J2930:N2930,B2931:F2931)+O2930*(1+0.00023125256064071564))</f>
        <v/>
      </c>
      <c r="J2931">
        <f>IF(G2931=1,0.2*R2931/B2931,J2930)</f>
        <v/>
      </c>
      <c r="K2931">
        <f>IF(G2931=1,0.2*R2931/C2931,K2930)</f>
        <v/>
      </c>
      <c r="L2931">
        <f>IF(G2931=1,0.2*R2931/D2931,L2930)</f>
        <v/>
      </c>
      <c r="M2931">
        <f>IF(G2931=1,0.2*R2931/E2931,M2930)</f>
        <v/>
      </c>
      <c r="N2931">
        <f>IF(G2931=1,0.2*R2931/F2931,N2930)</f>
        <v/>
      </c>
      <c r="O2931">
        <f>IF(G2931=1,R2931*(1-1.0),IF(H2930=0,1,O2930*(1+0.00023125256064071564)))</f>
        <v/>
      </c>
      <c r="P2931">
        <f>IF(G2931=1,IF(H2930=0,1,ABS(0.2-J2930*B2931/I2931)+ABS(0.2-K2930*C2931/I2931)+ABS(0.2-L2930*D2931/I2931)+ABS(0.2-M2930*E2931/I2931)+ABS(0.2-N2930*F2931/I2931)),0)</f>
        <v/>
      </c>
      <c r="Q2931">
        <f>P2931*0.0015</f>
        <v/>
      </c>
      <c r="R2931">
        <f>I2931*(1-Q2931)</f>
        <v/>
      </c>
      <c r="S2931">
        <f>R2931/R2930-1</f>
        <v/>
      </c>
      <c r="T2931">
        <f>MAX(T2930,R2931)</f>
        <v/>
      </c>
      <c r="U2931">
        <f>R2931/T2931-1</f>
        <v/>
      </c>
      <c r="V2931" t="n">
        <v>7.168572687111994</v>
      </c>
      <c r="W2931" s="5">
        <f>R2931-V2931</f>
        <v/>
      </c>
    </row>
    <row r="2932">
      <c r="A2932" s="3" t="n">
        <v>42754</v>
      </c>
      <c r="B2932">
        <f>Prices!B2932</f>
        <v/>
      </c>
      <c r="C2932">
        <f>Prices!C2932</f>
        <v/>
      </c>
      <c r="D2932">
        <f>Prices!D2932</f>
        <v/>
      </c>
      <c r="E2932">
        <f>Prices!E2932</f>
        <v/>
      </c>
      <c r="F2932">
        <f>Prices!F2932</f>
        <v/>
      </c>
      <c r="G2932">
        <f>IF(AND(2930&gt;=16,TEXT(A2932,"yyyy-mm")&lt;&gt;TEXT(A2933,"yyyy-mm")),1,0)</f>
        <v/>
      </c>
      <c r="H2932">
        <f>IF(OR(H2931=1,G2932=1),1,0)</f>
        <v/>
      </c>
      <c r="I2932">
        <f>IF(H2931=0,1,SUMPRODUCT(J2931:N2931,B2932:F2932)+O2931*(1+0.00023125256064071564))</f>
        <v/>
      </c>
      <c r="J2932">
        <f>IF(G2932=1,0.2*R2932/B2932,J2931)</f>
        <v/>
      </c>
      <c r="K2932">
        <f>IF(G2932=1,0.2*R2932/C2932,K2931)</f>
        <v/>
      </c>
      <c r="L2932">
        <f>IF(G2932=1,0.2*R2932/D2932,L2931)</f>
        <v/>
      </c>
      <c r="M2932">
        <f>IF(G2932=1,0.2*R2932/E2932,M2931)</f>
        <v/>
      </c>
      <c r="N2932">
        <f>IF(G2932=1,0.2*R2932/F2932,N2931)</f>
        <v/>
      </c>
      <c r="O2932">
        <f>IF(G2932=1,R2932*(1-1.0),IF(H2931=0,1,O2931*(1+0.00023125256064071564)))</f>
        <v/>
      </c>
      <c r="P2932">
        <f>IF(G2932=1,IF(H2931=0,1,ABS(0.2-J2931*B2932/I2932)+ABS(0.2-K2931*C2932/I2932)+ABS(0.2-L2931*D2932/I2932)+ABS(0.2-M2931*E2932/I2932)+ABS(0.2-N2931*F2932/I2932)),0)</f>
        <v/>
      </c>
      <c r="Q2932">
        <f>P2932*0.0015</f>
        <v/>
      </c>
      <c r="R2932">
        <f>I2932*(1-Q2932)</f>
        <v/>
      </c>
      <c r="S2932">
        <f>R2932/R2931-1</f>
        <v/>
      </c>
      <c r="T2932">
        <f>MAX(T2931,R2932)</f>
        <v/>
      </c>
      <c r="U2932">
        <f>R2932/T2932-1</f>
        <v/>
      </c>
      <c r="V2932" t="n">
        <v>7.185697173240242</v>
      </c>
      <c r="W2932" s="5">
        <f>R2932-V2932</f>
        <v/>
      </c>
    </row>
    <row r="2933">
      <c r="A2933" s="3" t="n">
        <v>42755</v>
      </c>
      <c r="B2933">
        <f>Prices!B2933</f>
        <v/>
      </c>
      <c r="C2933">
        <f>Prices!C2933</f>
        <v/>
      </c>
      <c r="D2933">
        <f>Prices!D2933</f>
        <v/>
      </c>
      <c r="E2933">
        <f>Prices!E2933</f>
        <v/>
      </c>
      <c r="F2933">
        <f>Prices!F2933</f>
        <v/>
      </c>
      <c r="G2933">
        <f>IF(AND(2931&gt;=16,TEXT(A2933,"yyyy-mm")&lt;&gt;TEXT(A2934,"yyyy-mm")),1,0)</f>
        <v/>
      </c>
      <c r="H2933">
        <f>IF(OR(H2932=1,G2933=1),1,0)</f>
        <v/>
      </c>
      <c r="I2933">
        <f>IF(H2932=0,1,SUMPRODUCT(J2932:N2932,B2933:F2933)+O2932*(1+0.00023125256064071564))</f>
        <v/>
      </c>
      <c r="J2933">
        <f>IF(G2933=1,0.2*R2933/B2933,J2932)</f>
        <v/>
      </c>
      <c r="K2933">
        <f>IF(G2933=1,0.2*R2933/C2933,K2932)</f>
        <v/>
      </c>
      <c r="L2933">
        <f>IF(G2933=1,0.2*R2933/D2933,L2932)</f>
        <v/>
      </c>
      <c r="M2933">
        <f>IF(G2933=1,0.2*R2933/E2933,M2932)</f>
        <v/>
      </c>
      <c r="N2933">
        <f>IF(G2933=1,0.2*R2933/F2933,N2932)</f>
        <v/>
      </c>
      <c r="O2933">
        <f>IF(G2933=1,R2933*(1-1.0),IF(H2932=0,1,O2932*(1+0.00023125256064071564)))</f>
        <v/>
      </c>
      <c r="P2933">
        <f>IF(G2933=1,IF(H2932=0,1,ABS(0.2-J2932*B2933/I2933)+ABS(0.2-K2932*C2933/I2933)+ABS(0.2-L2932*D2933/I2933)+ABS(0.2-M2932*E2933/I2933)+ABS(0.2-N2932*F2933/I2933)),0)</f>
        <v/>
      </c>
      <c r="Q2933">
        <f>P2933*0.0015</f>
        <v/>
      </c>
      <c r="R2933">
        <f>I2933*(1-Q2933)</f>
        <v/>
      </c>
      <c r="S2933">
        <f>R2933/R2932-1</f>
        <v/>
      </c>
      <c r="T2933">
        <f>MAX(T2932,R2933)</f>
        <v/>
      </c>
      <c r="U2933">
        <f>R2933/T2933-1</f>
        <v/>
      </c>
      <c r="V2933" t="n">
        <v>7.0802862343137</v>
      </c>
      <c r="W2933" s="5">
        <f>R2933-V2933</f>
        <v/>
      </c>
    </row>
    <row r="2934">
      <c r="A2934" s="3" t="n">
        <v>42758</v>
      </c>
      <c r="B2934">
        <f>Prices!B2934</f>
        <v/>
      </c>
      <c r="C2934">
        <f>Prices!C2934</f>
        <v/>
      </c>
      <c r="D2934">
        <f>Prices!D2934</f>
        <v/>
      </c>
      <c r="E2934">
        <f>Prices!E2934</f>
        <v/>
      </c>
      <c r="F2934">
        <f>Prices!F2934</f>
        <v/>
      </c>
      <c r="G2934">
        <f>IF(AND(2932&gt;=16,TEXT(A2934,"yyyy-mm")&lt;&gt;TEXT(A2935,"yyyy-mm")),1,0)</f>
        <v/>
      </c>
      <c r="H2934">
        <f>IF(OR(H2933=1,G2934=1),1,0)</f>
        <v/>
      </c>
      <c r="I2934">
        <f>IF(H2933=0,1,SUMPRODUCT(J2933:N2933,B2934:F2934)+O2933*(1+0.00023125256064071564))</f>
        <v/>
      </c>
      <c r="J2934">
        <f>IF(G2934=1,0.2*R2934/B2934,J2933)</f>
        <v/>
      </c>
      <c r="K2934">
        <f>IF(G2934=1,0.2*R2934/C2934,K2933)</f>
        <v/>
      </c>
      <c r="L2934">
        <f>IF(G2934=1,0.2*R2934/D2934,L2933)</f>
        <v/>
      </c>
      <c r="M2934">
        <f>IF(G2934=1,0.2*R2934/E2934,M2933)</f>
        <v/>
      </c>
      <c r="N2934">
        <f>IF(G2934=1,0.2*R2934/F2934,N2933)</f>
        <v/>
      </c>
      <c r="O2934">
        <f>IF(G2934=1,R2934*(1-1.0),IF(H2933=0,1,O2933*(1+0.00023125256064071564)))</f>
        <v/>
      </c>
      <c r="P2934">
        <f>IF(G2934=1,IF(H2933=0,1,ABS(0.2-J2933*B2934/I2934)+ABS(0.2-K2933*C2934/I2934)+ABS(0.2-L2933*D2934/I2934)+ABS(0.2-M2933*E2934/I2934)+ABS(0.2-N2933*F2934/I2934)),0)</f>
        <v/>
      </c>
      <c r="Q2934">
        <f>P2934*0.0015</f>
        <v/>
      </c>
      <c r="R2934">
        <f>I2934*(1-Q2934)</f>
        <v/>
      </c>
      <c r="S2934">
        <f>R2934/R2933-1</f>
        <v/>
      </c>
      <c r="T2934">
        <f>MAX(T2933,R2934)</f>
        <v/>
      </c>
      <c r="U2934">
        <f>R2934/T2934-1</f>
        <v/>
      </c>
      <c r="V2934" t="n">
        <v>7.149110128710162</v>
      </c>
      <c r="W2934" s="5">
        <f>R2934-V2934</f>
        <v/>
      </c>
    </row>
    <row r="2935">
      <c r="A2935" s="3" t="n">
        <v>42759</v>
      </c>
      <c r="B2935">
        <f>Prices!B2935</f>
        <v/>
      </c>
      <c r="C2935">
        <f>Prices!C2935</f>
        <v/>
      </c>
      <c r="D2935">
        <f>Prices!D2935</f>
        <v/>
      </c>
      <c r="E2935">
        <f>Prices!E2935</f>
        <v/>
      </c>
      <c r="F2935">
        <f>Prices!F2935</f>
        <v/>
      </c>
      <c r="G2935">
        <f>IF(AND(2933&gt;=16,TEXT(A2935,"yyyy-mm")&lt;&gt;TEXT(A2936,"yyyy-mm")),1,0)</f>
        <v/>
      </c>
      <c r="H2935">
        <f>IF(OR(H2934=1,G2935=1),1,0)</f>
        <v/>
      </c>
      <c r="I2935">
        <f>IF(H2934=0,1,SUMPRODUCT(J2934:N2934,B2935:F2935)+O2934*(1+0.00023125256064071564))</f>
        <v/>
      </c>
      <c r="J2935">
        <f>IF(G2935=1,0.2*R2935/B2935,J2934)</f>
        <v/>
      </c>
      <c r="K2935">
        <f>IF(G2935=1,0.2*R2935/C2935,K2934)</f>
        <v/>
      </c>
      <c r="L2935">
        <f>IF(G2935=1,0.2*R2935/D2935,L2934)</f>
        <v/>
      </c>
      <c r="M2935">
        <f>IF(G2935=1,0.2*R2935/E2935,M2934)</f>
        <v/>
      </c>
      <c r="N2935">
        <f>IF(G2935=1,0.2*R2935/F2935,N2934)</f>
        <v/>
      </c>
      <c r="O2935">
        <f>IF(G2935=1,R2935*(1-1.0),IF(H2934=0,1,O2934*(1+0.00023125256064071564)))</f>
        <v/>
      </c>
      <c r="P2935">
        <f>IF(G2935=1,IF(H2934=0,1,ABS(0.2-J2934*B2935/I2935)+ABS(0.2-K2934*C2935/I2935)+ABS(0.2-L2934*D2935/I2935)+ABS(0.2-M2934*E2935/I2935)+ABS(0.2-N2934*F2935/I2935)),0)</f>
        <v/>
      </c>
      <c r="Q2935">
        <f>P2935*0.0015</f>
        <v/>
      </c>
      <c r="R2935">
        <f>I2935*(1-Q2935)</f>
        <v/>
      </c>
      <c r="S2935">
        <f>R2935/R2934-1</f>
        <v/>
      </c>
      <c r="T2935">
        <f>MAX(T2934,R2935)</f>
        <v/>
      </c>
      <c r="U2935">
        <f>R2935/T2935-1</f>
        <v/>
      </c>
      <c r="V2935" t="n">
        <v>7.233572788448836</v>
      </c>
      <c r="W2935" s="5">
        <f>R2935-V2935</f>
        <v/>
      </c>
    </row>
    <row r="2936">
      <c r="A2936" s="3" t="n">
        <v>42760</v>
      </c>
      <c r="B2936">
        <f>Prices!B2936</f>
        <v/>
      </c>
      <c r="C2936">
        <f>Prices!C2936</f>
        <v/>
      </c>
      <c r="D2936">
        <f>Prices!D2936</f>
        <v/>
      </c>
      <c r="E2936">
        <f>Prices!E2936</f>
        <v/>
      </c>
      <c r="F2936">
        <f>Prices!F2936</f>
        <v/>
      </c>
      <c r="G2936">
        <f>IF(AND(2934&gt;=16,TEXT(A2936,"yyyy-mm")&lt;&gt;TEXT(A2937,"yyyy-mm")),1,0)</f>
        <v/>
      </c>
      <c r="H2936">
        <f>IF(OR(H2935=1,G2936=1),1,0)</f>
        <v/>
      </c>
      <c r="I2936">
        <f>IF(H2935=0,1,SUMPRODUCT(J2935:N2935,B2936:F2936)+O2935*(1+0.00023125256064071564))</f>
        <v/>
      </c>
      <c r="J2936">
        <f>IF(G2936=1,0.2*R2936/B2936,J2935)</f>
        <v/>
      </c>
      <c r="K2936">
        <f>IF(G2936=1,0.2*R2936/C2936,K2935)</f>
        <v/>
      </c>
      <c r="L2936">
        <f>IF(G2936=1,0.2*R2936/D2936,L2935)</f>
        <v/>
      </c>
      <c r="M2936">
        <f>IF(G2936=1,0.2*R2936/E2936,M2935)</f>
        <v/>
      </c>
      <c r="N2936">
        <f>IF(G2936=1,0.2*R2936/F2936,N2935)</f>
        <v/>
      </c>
      <c r="O2936">
        <f>IF(G2936=1,R2936*(1-1.0),IF(H2935=0,1,O2935*(1+0.00023125256064071564)))</f>
        <v/>
      </c>
      <c r="P2936">
        <f>IF(G2936=1,IF(H2935=0,1,ABS(0.2-J2935*B2936/I2936)+ABS(0.2-K2935*C2936/I2936)+ABS(0.2-L2935*D2936/I2936)+ABS(0.2-M2935*E2936/I2936)+ABS(0.2-N2935*F2936/I2936)),0)</f>
        <v/>
      </c>
      <c r="Q2936">
        <f>P2936*0.0015</f>
        <v/>
      </c>
      <c r="R2936">
        <f>I2936*(1-Q2936)</f>
        <v/>
      </c>
      <c r="S2936">
        <f>R2936/R2935-1</f>
        <v/>
      </c>
      <c r="T2936">
        <f>MAX(T2935,R2936)</f>
        <v/>
      </c>
      <c r="U2936">
        <f>R2936/T2936-1</f>
        <v/>
      </c>
      <c r="V2936" t="n">
        <v>7.34737488238773</v>
      </c>
      <c r="W2936" s="5">
        <f>R2936-V2936</f>
        <v/>
      </c>
    </row>
    <row r="2937">
      <c r="A2937" s="3" t="n">
        <v>42762</v>
      </c>
      <c r="B2937">
        <f>Prices!B2937</f>
        <v/>
      </c>
      <c r="C2937">
        <f>Prices!C2937</f>
        <v/>
      </c>
      <c r="D2937">
        <f>Prices!D2937</f>
        <v/>
      </c>
      <c r="E2937">
        <f>Prices!E2937</f>
        <v/>
      </c>
      <c r="F2937">
        <f>Prices!F2937</f>
        <v/>
      </c>
      <c r="G2937">
        <f>IF(AND(2935&gt;=16,TEXT(A2937,"yyyy-mm")&lt;&gt;TEXT(A2938,"yyyy-mm")),1,0)</f>
        <v/>
      </c>
      <c r="H2937">
        <f>IF(OR(H2936=1,G2937=1),1,0)</f>
        <v/>
      </c>
      <c r="I2937">
        <f>IF(H2936=0,1,SUMPRODUCT(J2936:N2936,B2937:F2937)+O2936*(1+0.00023125256064071564))</f>
        <v/>
      </c>
      <c r="J2937">
        <f>IF(G2937=1,0.2*R2937/B2937,J2936)</f>
        <v/>
      </c>
      <c r="K2937">
        <f>IF(G2937=1,0.2*R2937/C2937,K2936)</f>
        <v/>
      </c>
      <c r="L2937">
        <f>IF(G2937=1,0.2*R2937/D2937,L2936)</f>
        <v/>
      </c>
      <c r="M2937">
        <f>IF(G2937=1,0.2*R2937/E2937,M2936)</f>
        <v/>
      </c>
      <c r="N2937">
        <f>IF(G2937=1,0.2*R2937/F2937,N2936)</f>
        <v/>
      </c>
      <c r="O2937">
        <f>IF(G2937=1,R2937*(1-1.0),IF(H2936=0,1,O2936*(1+0.00023125256064071564)))</f>
        <v/>
      </c>
      <c r="P2937">
        <f>IF(G2937=1,IF(H2936=0,1,ABS(0.2-J2936*B2937/I2937)+ABS(0.2-K2936*C2937/I2937)+ABS(0.2-L2936*D2937/I2937)+ABS(0.2-M2936*E2937/I2937)+ABS(0.2-N2936*F2937/I2937)),0)</f>
        <v/>
      </c>
      <c r="Q2937">
        <f>P2937*0.0015</f>
        <v/>
      </c>
      <c r="R2937">
        <f>I2937*(1-Q2937)</f>
        <v/>
      </c>
      <c r="S2937">
        <f>R2937/R2936-1</f>
        <v/>
      </c>
      <c r="T2937">
        <f>MAX(T2936,R2937)</f>
        <v/>
      </c>
      <c r="U2937">
        <f>R2937/T2937-1</f>
        <v/>
      </c>
      <c r="V2937" t="n">
        <v>7.366983929629136</v>
      </c>
      <c r="W2937" s="5">
        <f>R2937-V2937</f>
        <v/>
      </c>
    </row>
    <row r="2938">
      <c r="A2938" s="3" t="n">
        <v>42765</v>
      </c>
      <c r="B2938">
        <f>Prices!B2938</f>
        <v/>
      </c>
      <c r="C2938">
        <f>Prices!C2938</f>
        <v/>
      </c>
      <c r="D2938">
        <f>Prices!D2938</f>
        <v/>
      </c>
      <c r="E2938">
        <f>Prices!E2938</f>
        <v/>
      </c>
      <c r="F2938">
        <f>Prices!F2938</f>
        <v/>
      </c>
      <c r="G2938">
        <f>IF(AND(2936&gt;=16,TEXT(A2938,"yyyy-mm")&lt;&gt;TEXT(A2939,"yyyy-mm")),1,0)</f>
        <v/>
      </c>
      <c r="H2938">
        <f>IF(OR(H2937=1,G2938=1),1,0)</f>
        <v/>
      </c>
      <c r="I2938">
        <f>IF(H2937=0,1,SUMPRODUCT(J2937:N2937,B2938:F2938)+O2937*(1+0.00023125256064071564))</f>
        <v/>
      </c>
      <c r="J2938">
        <f>IF(G2938=1,0.2*R2938/B2938,J2937)</f>
        <v/>
      </c>
      <c r="K2938">
        <f>IF(G2938=1,0.2*R2938/C2938,K2937)</f>
        <v/>
      </c>
      <c r="L2938">
        <f>IF(G2938=1,0.2*R2938/D2938,L2937)</f>
        <v/>
      </c>
      <c r="M2938">
        <f>IF(G2938=1,0.2*R2938/E2938,M2937)</f>
        <v/>
      </c>
      <c r="N2938">
        <f>IF(G2938=1,0.2*R2938/F2938,N2937)</f>
        <v/>
      </c>
      <c r="O2938">
        <f>IF(G2938=1,R2938*(1-1.0),IF(H2937=0,1,O2937*(1+0.00023125256064071564)))</f>
        <v/>
      </c>
      <c r="P2938">
        <f>IF(G2938=1,IF(H2937=0,1,ABS(0.2-J2937*B2938/I2938)+ABS(0.2-K2937*C2938/I2938)+ABS(0.2-L2937*D2938/I2938)+ABS(0.2-M2937*E2938/I2938)+ABS(0.2-N2937*F2938/I2938)),0)</f>
        <v/>
      </c>
      <c r="Q2938">
        <f>P2938*0.0015</f>
        <v/>
      </c>
      <c r="R2938">
        <f>I2938*(1-Q2938)</f>
        <v/>
      </c>
      <c r="S2938">
        <f>R2938/R2937-1</f>
        <v/>
      </c>
      <c r="T2938">
        <f>MAX(T2937,R2938)</f>
        <v/>
      </c>
      <c r="U2938">
        <f>R2938/T2938-1</f>
        <v/>
      </c>
      <c r="V2938" t="n">
        <v>7.363316651867672</v>
      </c>
      <c r="W2938" s="5">
        <f>R2938-V2938</f>
        <v/>
      </c>
    </row>
    <row r="2939">
      <c r="A2939" s="3" t="n">
        <v>42766</v>
      </c>
      <c r="B2939">
        <f>Prices!B2939</f>
        <v/>
      </c>
      <c r="C2939">
        <f>Prices!C2939</f>
        <v/>
      </c>
      <c r="D2939">
        <f>Prices!D2939</f>
        <v/>
      </c>
      <c r="E2939">
        <f>Prices!E2939</f>
        <v/>
      </c>
      <c r="F2939">
        <f>Prices!F2939</f>
        <v/>
      </c>
      <c r="G2939">
        <f>IF(AND(2937&gt;=16,TEXT(A2939,"yyyy-mm")&lt;&gt;TEXT(A2940,"yyyy-mm")),1,0)</f>
        <v/>
      </c>
      <c r="H2939">
        <f>IF(OR(H2938=1,G2939=1),1,0)</f>
        <v/>
      </c>
      <c r="I2939">
        <f>IF(H2938=0,1,SUMPRODUCT(J2938:N2938,B2939:F2939)+O2938*(1+0.00023125256064071564))</f>
        <v/>
      </c>
      <c r="J2939">
        <f>IF(G2939=1,0.2*R2939/B2939,J2938)</f>
        <v/>
      </c>
      <c r="K2939">
        <f>IF(G2939=1,0.2*R2939/C2939,K2938)</f>
        <v/>
      </c>
      <c r="L2939">
        <f>IF(G2939=1,0.2*R2939/D2939,L2938)</f>
        <v/>
      </c>
      <c r="M2939">
        <f>IF(G2939=1,0.2*R2939/E2939,M2938)</f>
        <v/>
      </c>
      <c r="N2939">
        <f>IF(G2939=1,0.2*R2939/F2939,N2938)</f>
        <v/>
      </c>
      <c r="O2939">
        <f>IF(G2939=1,R2939*(1-1.0),IF(H2938=0,1,O2938*(1+0.00023125256064071564)))</f>
        <v/>
      </c>
      <c r="P2939">
        <f>IF(G2939=1,IF(H2938=0,1,ABS(0.2-J2938*B2939/I2939)+ABS(0.2-K2938*C2939/I2939)+ABS(0.2-L2938*D2939/I2939)+ABS(0.2-M2938*E2939/I2939)+ABS(0.2-N2938*F2939/I2939)),0)</f>
        <v/>
      </c>
      <c r="Q2939">
        <f>P2939*0.0015</f>
        <v/>
      </c>
      <c r="R2939">
        <f>I2939*(1-Q2939)</f>
        <v/>
      </c>
      <c r="S2939">
        <f>R2939/R2938-1</f>
        <v/>
      </c>
      <c r="T2939">
        <f>MAX(T2938,R2939)</f>
        <v/>
      </c>
      <c r="U2939">
        <f>R2939/T2939-1</f>
        <v/>
      </c>
      <c r="V2939" t="n">
        <v>7.27553234437952</v>
      </c>
      <c r="W2939" s="5">
        <f>R2939-V2939</f>
        <v/>
      </c>
    </row>
    <row r="2940">
      <c r="A2940" s="3" t="n">
        <v>42767</v>
      </c>
      <c r="B2940">
        <f>Prices!B2940</f>
        <v/>
      </c>
      <c r="C2940">
        <f>Prices!C2940</f>
        <v/>
      </c>
      <c r="D2940">
        <f>Prices!D2940</f>
        <v/>
      </c>
      <c r="E2940">
        <f>Prices!E2940</f>
        <v/>
      </c>
      <c r="F2940">
        <f>Prices!F2940</f>
        <v/>
      </c>
      <c r="G2940">
        <f>IF(AND(2938&gt;=16,TEXT(A2940,"yyyy-mm")&lt;&gt;TEXT(A2941,"yyyy-mm")),1,0)</f>
        <v/>
      </c>
      <c r="H2940">
        <f>IF(OR(H2939=1,G2940=1),1,0)</f>
        <v/>
      </c>
      <c r="I2940">
        <f>IF(H2939=0,1,SUMPRODUCT(J2939:N2939,B2940:F2940)+O2939*(1+0.00023125256064071564))</f>
        <v/>
      </c>
      <c r="J2940">
        <f>IF(G2940=1,0.2*R2940/B2940,J2939)</f>
        <v/>
      </c>
      <c r="K2940">
        <f>IF(G2940=1,0.2*R2940/C2940,K2939)</f>
        <v/>
      </c>
      <c r="L2940">
        <f>IF(G2940=1,0.2*R2940/D2940,L2939)</f>
        <v/>
      </c>
      <c r="M2940">
        <f>IF(G2940=1,0.2*R2940/E2940,M2939)</f>
        <v/>
      </c>
      <c r="N2940">
        <f>IF(G2940=1,0.2*R2940/F2940,N2939)</f>
        <v/>
      </c>
      <c r="O2940">
        <f>IF(G2940=1,R2940*(1-1.0),IF(H2939=0,1,O2939*(1+0.00023125256064071564)))</f>
        <v/>
      </c>
      <c r="P2940">
        <f>IF(G2940=1,IF(H2939=0,1,ABS(0.2-J2939*B2940/I2940)+ABS(0.2-K2939*C2940/I2940)+ABS(0.2-L2939*D2940/I2940)+ABS(0.2-M2939*E2940/I2940)+ABS(0.2-N2939*F2940/I2940)),0)</f>
        <v/>
      </c>
      <c r="Q2940">
        <f>P2940*0.0015</f>
        <v/>
      </c>
      <c r="R2940">
        <f>I2940*(1-Q2940)</f>
        <v/>
      </c>
      <c r="S2940">
        <f>R2940/R2939-1</f>
        <v/>
      </c>
      <c r="T2940">
        <f>MAX(T2939,R2940)</f>
        <v/>
      </c>
      <c r="U2940">
        <f>R2940/T2940-1</f>
        <v/>
      </c>
      <c r="V2940" t="n">
        <v>7.416650305674215</v>
      </c>
      <c r="W2940" s="5">
        <f>R2940-V2940</f>
        <v/>
      </c>
    </row>
    <row r="2941">
      <c r="A2941" s="3" t="n">
        <v>42768</v>
      </c>
      <c r="B2941">
        <f>Prices!B2941</f>
        <v/>
      </c>
      <c r="C2941">
        <f>Prices!C2941</f>
        <v/>
      </c>
      <c r="D2941">
        <f>Prices!D2941</f>
        <v/>
      </c>
      <c r="E2941">
        <f>Prices!E2941</f>
        <v/>
      </c>
      <c r="F2941">
        <f>Prices!F2941</f>
        <v/>
      </c>
      <c r="G2941">
        <f>IF(AND(2939&gt;=16,TEXT(A2941,"yyyy-mm")&lt;&gt;TEXT(A2942,"yyyy-mm")),1,0)</f>
        <v/>
      </c>
      <c r="H2941">
        <f>IF(OR(H2940=1,G2941=1),1,0)</f>
        <v/>
      </c>
      <c r="I2941">
        <f>IF(H2940=0,1,SUMPRODUCT(J2940:N2940,B2941:F2941)+O2940*(1+0.00023125256064071564))</f>
        <v/>
      </c>
      <c r="J2941">
        <f>IF(G2941=1,0.2*R2941/B2941,J2940)</f>
        <v/>
      </c>
      <c r="K2941">
        <f>IF(G2941=1,0.2*R2941/C2941,K2940)</f>
        <v/>
      </c>
      <c r="L2941">
        <f>IF(G2941=1,0.2*R2941/D2941,L2940)</f>
        <v/>
      </c>
      <c r="M2941">
        <f>IF(G2941=1,0.2*R2941/E2941,M2940)</f>
        <v/>
      </c>
      <c r="N2941">
        <f>IF(G2941=1,0.2*R2941/F2941,N2940)</f>
        <v/>
      </c>
      <c r="O2941">
        <f>IF(G2941=1,R2941*(1-1.0),IF(H2940=0,1,O2940*(1+0.00023125256064071564)))</f>
        <v/>
      </c>
      <c r="P2941">
        <f>IF(G2941=1,IF(H2940=0,1,ABS(0.2-J2940*B2941/I2941)+ABS(0.2-K2940*C2941/I2941)+ABS(0.2-L2940*D2941/I2941)+ABS(0.2-M2940*E2941/I2941)+ABS(0.2-N2940*F2941/I2941)),0)</f>
        <v/>
      </c>
      <c r="Q2941">
        <f>P2941*0.0015</f>
        <v/>
      </c>
      <c r="R2941">
        <f>I2941*(1-Q2941)</f>
        <v/>
      </c>
      <c r="S2941">
        <f>R2941/R2940-1</f>
        <v/>
      </c>
      <c r="T2941">
        <f>MAX(T2940,R2941)</f>
        <v/>
      </c>
      <c r="U2941">
        <f>R2941/T2941-1</f>
        <v/>
      </c>
      <c r="V2941" t="n">
        <v>7.472635134252081</v>
      </c>
      <c r="W2941" s="5">
        <f>R2941-V2941</f>
        <v/>
      </c>
    </row>
    <row r="2942">
      <c r="A2942" s="3" t="n">
        <v>42769</v>
      </c>
      <c r="B2942">
        <f>Prices!B2942</f>
        <v/>
      </c>
      <c r="C2942">
        <f>Prices!C2942</f>
        <v/>
      </c>
      <c r="D2942">
        <f>Prices!D2942</f>
        <v/>
      </c>
      <c r="E2942">
        <f>Prices!E2942</f>
        <v/>
      </c>
      <c r="F2942">
        <f>Prices!F2942</f>
        <v/>
      </c>
      <c r="G2942">
        <f>IF(AND(2940&gt;=16,TEXT(A2942,"yyyy-mm")&lt;&gt;TEXT(A2943,"yyyy-mm")),1,0)</f>
        <v/>
      </c>
      <c r="H2942">
        <f>IF(OR(H2941=1,G2942=1),1,0)</f>
        <v/>
      </c>
      <c r="I2942">
        <f>IF(H2941=0,1,SUMPRODUCT(J2941:N2941,B2942:F2942)+O2941*(1+0.00023125256064071564))</f>
        <v/>
      </c>
      <c r="J2942">
        <f>IF(G2942=1,0.2*R2942/B2942,J2941)</f>
        <v/>
      </c>
      <c r="K2942">
        <f>IF(G2942=1,0.2*R2942/C2942,K2941)</f>
        <v/>
      </c>
      <c r="L2942">
        <f>IF(G2942=1,0.2*R2942/D2942,L2941)</f>
        <v/>
      </c>
      <c r="M2942">
        <f>IF(G2942=1,0.2*R2942/E2942,M2941)</f>
        <v/>
      </c>
      <c r="N2942">
        <f>IF(G2942=1,0.2*R2942/F2942,N2941)</f>
        <v/>
      </c>
      <c r="O2942">
        <f>IF(G2942=1,R2942*(1-1.0),IF(H2941=0,1,O2941*(1+0.00023125256064071564)))</f>
        <v/>
      </c>
      <c r="P2942">
        <f>IF(G2942=1,IF(H2941=0,1,ABS(0.2-J2941*B2942/I2942)+ABS(0.2-K2941*C2942/I2942)+ABS(0.2-L2941*D2942/I2942)+ABS(0.2-M2941*E2942/I2942)+ABS(0.2-N2941*F2942/I2942)),0)</f>
        <v/>
      </c>
      <c r="Q2942">
        <f>P2942*0.0015</f>
        <v/>
      </c>
      <c r="R2942">
        <f>I2942*(1-Q2942)</f>
        <v/>
      </c>
      <c r="S2942">
        <f>R2942/R2941-1</f>
        <v/>
      </c>
      <c r="T2942">
        <f>MAX(T2941,R2942)</f>
        <v/>
      </c>
      <c r="U2942">
        <f>R2942/T2942-1</f>
        <v/>
      </c>
      <c r="V2942" t="n">
        <v>7.505175686744384</v>
      </c>
      <c r="W2942" s="5">
        <f>R2942-V2942</f>
        <v/>
      </c>
    </row>
    <row r="2943">
      <c r="A2943" s="3" t="n">
        <v>42772</v>
      </c>
      <c r="B2943">
        <f>Prices!B2943</f>
        <v/>
      </c>
      <c r="C2943">
        <f>Prices!C2943</f>
        <v/>
      </c>
      <c r="D2943">
        <f>Prices!D2943</f>
        <v/>
      </c>
      <c r="E2943">
        <f>Prices!E2943</f>
        <v/>
      </c>
      <c r="F2943">
        <f>Prices!F2943</f>
        <v/>
      </c>
      <c r="G2943">
        <f>IF(AND(2941&gt;=16,TEXT(A2943,"yyyy-mm")&lt;&gt;TEXT(A2944,"yyyy-mm")),1,0)</f>
        <v/>
      </c>
      <c r="H2943">
        <f>IF(OR(H2942=1,G2943=1),1,0)</f>
        <v/>
      </c>
      <c r="I2943">
        <f>IF(H2942=0,1,SUMPRODUCT(J2942:N2942,B2943:F2943)+O2942*(1+0.00023125256064071564))</f>
        <v/>
      </c>
      <c r="J2943">
        <f>IF(G2943=1,0.2*R2943/B2943,J2942)</f>
        <v/>
      </c>
      <c r="K2943">
        <f>IF(G2943=1,0.2*R2943/C2943,K2942)</f>
        <v/>
      </c>
      <c r="L2943">
        <f>IF(G2943=1,0.2*R2943/D2943,L2942)</f>
        <v/>
      </c>
      <c r="M2943">
        <f>IF(G2943=1,0.2*R2943/E2943,M2942)</f>
        <v/>
      </c>
      <c r="N2943">
        <f>IF(G2943=1,0.2*R2943/F2943,N2942)</f>
        <v/>
      </c>
      <c r="O2943">
        <f>IF(G2943=1,R2943*(1-1.0),IF(H2942=0,1,O2942*(1+0.00023125256064071564)))</f>
        <v/>
      </c>
      <c r="P2943">
        <f>IF(G2943=1,IF(H2942=0,1,ABS(0.2-J2942*B2943/I2943)+ABS(0.2-K2942*C2943/I2943)+ABS(0.2-L2942*D2943/I2943)+ABS(0.2-M2942*E2943/I2943)+ABS(0.2-N2942*F2943/I2943)),0)</f>
        <v/>
      </c>
      <c r="Q2943">
        <f>P2943*0.0015</f>
        <v/>
      </c>
      <c r="R2943">
        <f>I2943*(1-Q2943)</f>
        <v/>
      </c>
      <c r="S2943">
        <f>R2943/R2942-1</f>
        <v/>
      </c>
      <c r="T2943">
        <f>MAX(T2942,R2943)</f>
        <v/>
      </c>
      <c r="U2943">
        <f>R2943/T2943-1</f>
        <v/>
      </c>
      <c r="V2943" t="n">
        <v>7.5644801030688</v>
      </c>
      <c r="W2943" s="5">
        <f>R2943-V2943</f>
        <v/>
      </c>
    </row>
    <row r="2944">
      <c r="A2944" s="3" t="n">
        <v>42773</v>
      </c>
      <c r="B2944">
        <f>Prices!B2944</f>
        <v/>
      </c>
      <c r="C2944">
        <f>Prices!C2944</f>
        <v/>
      </c>
      <c r="D2944">
        <f>Prices!D2944</f>
        <v/>
      </c>
      <c r="E2944">
        <f>Prices!E2944</f>
        <v/>
      </c>
      <c r="F2944">
        <f>Prices!F2944</f>
        <v/>
      </c>
      <c r="G2944">
        <f>IF(AND(2942&gt;=16,TEXT(A2944,"yyyy-mm")&lt;&gt;TEXT(A2945,"yyyy-mm")),1,0)</f>
        <v/>
      </c>
      <c r="H2944">
        <f>IF(OR(H2943=1,G2944=1),1,0)</f>
        <v/>
      </c>
      <c r="I2944">
        <f>IF(H2943=0,1,SUMPRODUCT(J2943:N2943,B2944:F2944)+O2943*(1+0.00023125256064071564))</f>
        <v/>
      </c>
      <c r="J2944">
        <f>IF(G2944=1,0.2*R2944/B2944,J2943)</f>
        <v/>
      </c>
      <c r="K2944">
        <f>IF(G2944=1,0.2*R2944/C2944,K2943)</f>
        <v/>
      </c>
      <c r="L2944">
        <f>IF(G2944=1,0.2*R2944/D2944,L2943)</f>
        <v/>
      </c>
      <c r="M2944">
        <f>IF(G2944=1,0.2*R2944/E2944,M2943)</f>
        <v/>
      </c>
      <c r="N2944">
        <f>IF(G2944=1,0.2*R2944/F2944,N2943)</f>
        <v/>
      </c>
      <c r="O2944">
        <f>IF(G2944=1,R2944*(1-1.0),IF(H2943=0,1,O2943*(1+0.00023125256064071564)))</f>
        <v/>
      </c>
      <c r="P2944">
        <f>IF(G2944=1,IF(H2943=0,1,ABS(0.2-J2943*B2944/I2944)+ABS(0.2-K2943*C2944/I2944)+ABS(0.2-L2943*D2944/I2944)+ABS(0.2-M2943*E2944/I2944)+ABS(0.2-N2943*F2944/I2944)),0)</f>
        <v/>
      </c>
      <c r="Q2944">
        <f>P2944*0.0015</f>
        <v/>
      </c>
      <c r="R2944">
        <f>I2944*(1-Q2944)</f>
        <v/>
      </c>
      <c r="S2944">
        <f>R2944/R2943-1</f>
        <v/>
      </c>
      <c r="T2944">
        <f>MAX(T2943,R2944)</f>
        <v/>
      </c>
      <c r="U2944">
        <f>R2944/T2944-1</f>
        <v/>
      </c>
      <c r="V2944" t="n">
        <v>7.526948821410672</v>
      </c>
      <c r="W2944" s="5">
        <f>R2944-V2944</f>
        <v/>
      </c>
    </row>
    <row r="2945">
      <c r="A2945" s="3" t="n">
        <v>42774</v>
      </c>
      <c r="B2945">
        <f>Prices!B2945</f>
        <v/>
      </c>
      <c r="C2945">
        <f>Prices!C2945</f>
        <v/>
      </c>
      <c r="D2945">
        <f>Prices!D2945</f>
        <v/>
      </c>
      <c r="E2945">
        <f>Prices!E2945</f>
        <v/>
      </c>
      <c r="F2945">
        <f>Prices!F2945</f>
        <v/>
      </c>
      <c r="G2945">
        <f>IF(AND(2943&gt;=16,TEXT(A2945,"yyyy-mm")&lt;&gt;TEXT(A2946,"yyyy-mm")),1,0)</f>
        <v/>
      </c>
      <c r="H2945">
        <f>IF(OR(H2944=1,G2945=1),1,0)</f>
        <v/>
      </c>
      <c r="I2945">
        <f>IF(H2944=0,1,SUMPRODUCT(J2944:N2944,B2945:F2945)+O2944*(1+0.00023125256064071564))</f>
        <v/>
      </c>
      <c r="J2945">
        <f>IF(G2945=1,0.2*R2945/B2945,J2944)</f>
        <v/>
      </c>
      <c r="K2945">
        <f>IF(G2945=1,0.2*R2945/C2945,K2944)</f>
        <v/>
      </c>
      <c r="L2945">
        <f>IF(G2945=1,0.2*R2945/D2945,L2944)</f>
        <v/>
      </c>
      <c r="M2945">
        <f>IF(G2945=1,0.2*R2945/E2945,M2944)</f>
        <v/>
      </c>
      <c r="N2945">
        <f>IF(G2945=1,0.2*R2945/F2945,N2944)</f>
        <v/>
      </c>
      <c r="O2945">
        <f>IF(G2945=1,R2945*(1-1.0),IF(H2944=0,1,O2944*(1+0.00023125256064071564)))</f>
        <v/>
      </c>
      <c r="P2945">
        <f>IF(G2945=1,IF(H2944=0,1,ABS(0.2-J2944*B2945/I2945)+ABS(0.2-K2944*C2945/I2945)+ABS(0.2-L2944*D2945/I2945)+ABS(0.2-M2944*E2945/I2945)+ABS(0.2-N2944*F2945/I2945)),0)</f>
        <v/>
      </c>
      <c r="Q2945">
        <f>P2945*0.0015</f>
        <v/>
      </c>
      <c r="R2945">
        <f>I2945*(1-Q2945)</f>
        <v/>
      </c>
      <c r="S2945">
        <f>R2945/R2944-1</f>
        <v/>
      </c>
      <c r="T2945">
        <f>MAX(T2944,R2945)</f>
        <v/>
      </c>
      <c r="U2945">
        <f>R2945/T2945-1</f>
        <v/>
      </c>
      <c r="V2945" t="n">
        <v>7.556480477107226</v>
      </c>
      <c r="W2945" s="5">
        <f>R2945-V2945</f>
        <v/>
      </c>
    </row>
    <row r="2946">
      <c r="A2946" s="3" t="n">
        <v>42775</v>
      </c>
      <c r="B2946">
        <f>Prices!B2946</f>
        <v/>
      </c>
      <c r="C2946">
        <f>Prices!C2946</f>
        <v/>
      </c>
      <c r="D2946">
        <f>Prices!D2946</f>
        <v/>
      </c>
      <c r="E2946">
        <f>Prices!E2946</f>
        <v/>
      </c>
      <c r="F2946">
        <f>Prices!F2946</f>
        <v/>
      </c>
      <c r="G2946">
        <f>IF(AND(2944&gt;=16,TEXT(A2946,"yyyy-mm")&lt;&gt;TEXT(A2947,"yyyy-mm")),1,0)</f>
        <v/>
      </c>
      <c r="H2946">
        <f>IF(OR(H2945=1,G2946=1),1,0)</f>
        <v/>
      </c>
      <c r="I2946">
        <f>IF(H2945=0,1,SUMPRODUCT(J2945:N2945,B2946:F2946)+O2945*(1+0.00023125256064071564))</f>
        <v/>
      </c>
      <c r="J2946">
        <f>IF(G2946=1,0.2*R2946/B2946,J2945)</f>
        <v/>
      </c>
      <c r="K2946">
        <f>IF(G2946=1,0.2*R2946/C2946,K2945)</f>
        <v/>
      </c>
      <c r="L2946">
        <f>IF(G2946=1,0.2*R2946/D2946,L2945)</f>
        <v/>
      </c>
      <c r="M2946">
        <f>IF(G2946=1,0.2*R2946/E2946,M2945)</f>
        <v/>
      </c>
      <c r="N2946">
        <f>IF(G2946=1,0.2*R2946/F2946,N2945)</f>
        <v/>
      </c>
      <c r="O2946">
        <f>IF(G2946=1,R2946*(1-1.0),IF(H2945=0,1,O2945*(1+0.00023125256064071564)))</f>
        <v/>
      </c>
      <c r="P2946">
        <f>IF(G2946=1,IF(H2945=0,1,ABS(0.2-J2945*B2946/I2946)+ABS(0.2-K2945*C2946/I2946)+ABS(0.2-L2945*D2946/I2946)+ABS(0.2-M2945*E2946/I2946)+ABS(0.2-N2945*F2946/I2946)),0)</f>
        <v/>
      </c>
      <c r="Q2946">
        <f>P2946*0.0015</f>
        <v/>
      </c>
      <c r="R2946">
        <f>I2946*(1-Q2946)</f>
        <v/>
      </c>
      <c r="S2946">
        <f>R2946/R2945-1</f>
        <v/>
      </c>
      <c r="T2946">
        <f>MAX(T2945,R2946)</f>
        <v/>
      </c>
      <c r="U2946">
        <f>R2946/T2946-1</f>
        <v/>
      </c>
      <c r="V2946" t="n">
        <v>7.566834760992874</v>
      </c>
      <c r="W2946" s="5">
        <f>R2946-V2946</f>
        <v/>
      </c>
    </row>
    <row r="2947">
      <c r="A2947" s="3" t="n">
        <v>42776</v>
      </c>
      <c r="B2947">
        <f>Prices!B2947</f>
        <v/>
      </c>
      <c r="C2947">
        <f>Prices!C2947</f>
        <v/>
      </c>
      <c r="D2947">
        <f>Prices!D2947</f>
        <v/>
      </c>
      <c r="E2947">
        <f>Prices!E2947</f>
        <v/>
      </c>
      <c r="F2947">
        <f>Prices!F2947</f>
        <v/>
      </c>
      <c r="G2947">
        <f>IF(AND(2945&gt;=16,TEXT(A2947,"yyyy-mm")&lt;&gt;TEXT(A2948,"yyyy-mm")),1,0)</f>
        <v/>
      </c>
      <c r="H2947">
        <f>IF(OR(H2946=1,G2947=1),1,0)</f>
        <v/>
      </c>
      <c r="I2947">
        <f>IF(H2946=0,1,SUMPRODUCT(J2946:N2946,B2947:F2947)+O2946*(1+0.00023125256064071564))</f>
        <v/>
      </c>
      <c r="J2947">
        <f>IF(G2947=1,0.2*R2947/B2947,J2946)</f>
        <v/>
      </c>
      <c r="K2947">
        <f>IF(G2947=1,0.2*R2947/C2947,K2946)</f>
        <v/>
      </c>
      <c r="L2947">
        <f>IF(G2947=1,0.2*R2947/D2947,L2946)</f>
        <v/>
      </c>
      <c r="M2947">
        <f>IF(G2947=1,0.2*R2947/E2947,M2946)</f>
        <v/>
      </c>
      <c r="N2947">
        <f>IF(G2947=1,0.2*R2947/F2947,N2946)</f>
        <v/>
      </c>
      <c r="O2947">
        <f>IF(G2947=1,R2947*(1-1.0),IF(H2946=0,1,O2946*(1+0.00023125256064071564)))</f>
        <v/>
      </c>
      <c r="P2947">
        <f>IF(G2947=1,IF(H2946=0,1,ABS(0.2-J2946*B2947/I2947)+ABS(0.2-K2946*C2947/I2947)+ABS(0.2-L2946*D2947/I2947)+ABS(0.2-M2946*E2947/I2947)+ABS(0.2-N2946*F2947/I2947)),0)</f>
        <v/>
      </c>
      <c r="Q2947">
        <f>P2947*0.0015</f>
        <v/>
      </c>
      <c r="R2947">
        <f>I2947*(1-Q2947)</f>
        <v/>
      </c>
      <c r="S2947">
        <f>R2947/R2946-1</f>
        <v/>
      </c>
      <c r="T2947">
        <f>MAX(T2946,R2947)</f>
        <v/>
      </c>
      <c r="U2947">
        <f>R2947/T2947-1</f>
        <v/>
      </c>
      <c r="V2947" t="n">
        <v>7.571782535849906</v>
      </c>
      <c r="W2947" s="5">
        <f>R2947-V2947</f>
        <v/>
      </c>
    </row>
    <row r="2948">
      <c r="A2948" s="3" t="n">
        <v>42779</v>
      </c>
      <c r="B2948">
        <f>Prices!B2948</f>
        <v/>
      </c>
      <c r="C2948">
        <f>Prices!C2948</f>
        <v/>
      </c>
      <c r="D2948">
        <f>Prices!D2948</f>
        <v/>
      </c>
      <c r="E2948">
        <f>Prices!E2948</f>
        <v/>
      </c>
      <c r="F2948">
        <f>Prices!F2948</f>
        <v/>
      </c>
      <c r="G2948">
        <f>IF(AND(2946&gt;=16,TEXT(A2948,"yyyy-mm")&lt;&gt;TEXT(A2949,"yyyy-mm")),1,0)</f>
        <v/>
      </c>
      <c r="H2948">
        <f>IF(OR(H2947=1,G2948=1),1,0)</f>
        <v/>
      </c>
      <c r="I2948">
        <f>IF(H2947=0,1,SUMPRODUCT(J2947:N2947,B2948:F2948)+O2947*(1+0.00023125256064071564))</f>
        <v/>
      </c>
      <c r="J2948">
        <f>IF(G2948=1,0.2*R2948/B2948,J2947)</f>
        <v/>
      </c>
      <c r="K2948">
        <f>IF(G2948=1,0.2*R2948/C2948,K2947)</f>
        <v/>
      </c>
      <c r="L2948">
        <f>IF(G2948=1,0.2*R2948/D2948,L2947)</f>
        <v/>
      </c>
      <c r="M2948">
        <f>IF(G2948=1,0.2*R2948/E2948,M2947)</f>
        <v/>
      </c>
      <c r="N2948">
        <f>IF(G2948=1,0.2*R2948/F2948,N2947)</f>
        <v/>
      </c>
      <c r="O2948">
        <f>IF(G2948=1,R2948*(1-1.0),IF(H2947=0,1,O2947*(1+0.00023125256064071564)))</f>
        <v/>
      </c>
      <c r="P2948">
        <f>IF(G2948=1,IF(H2947=0,1,ABS(0.2-J2947*B2948/I2948)+ABS(0.2-K2947*C2948/I2948)+ABS(0.2-L2947*D2948/I2948)+ABS(0.2-M2947*E2948/I2948)+ABS(0.2-N2947*F2948/I2948)),0)</f>
        <v/>
      </c>
      <c r="Q2948">
        <f>P2948*0.0015</f>
        <v/>
      </c>
      <c r="R2948">
        <f>I2948*(1-Q2948)</f>
        <v/>
      </c>
      <c r="S2948">
        <f>R2948/R2947-1</f>
        <v/>
      </c>
      <c r="T2948">
        <f>MAX(T2947,R2948)</f>
        <v/>
      </c>
      <c r="U2948">
        <f>R2948/T2948-1</f>
        <v/>
      </c>
      <c r="V2948" t="n">
        <v>7.557674228718005</v>
      </c>
      <c r="W2948" s="5">
        <f>R2948-V2948</f>
        <v/>
      </c>
    </row>
    <row r="2949">
      <c r="A2949" s="3" t="n">
        <v>42780</v>
      </c>
      <c r="B2949">
        <f>Prices!B2949</f>
        <v/>
      </c>
      <c r="C2949">
        <f>Prices!C2949</f>
        <v/>
      </c>
      <c r="D2949">
        <f>Prices!D2949</f>
        <v/>
      </c>
      <c r="E2949">
        <f>Prices!E2949</f>
        <v/>
      </c>
      <c r="F2949">
        <f>Prices!F2949</f>
        <v/>
      </c>
      <c r="G2949">
        <f>IF(AND(2947&gt;=16,TEXT(A2949,"yyyy-mm")&lt;&gt;TEXT(A2950,"yyyy-mm")),1,0)</f>
        <v/>
      </c>
      <c r="H2949">
        <f>IF(OR(H2948=1,G2949=1),1,0)</f>
        <v/>
      </c>
      <c r="I2949">
        <f>IF(H2948=0,1,SUMPRODUCT(J2948:N2948,B2949:F2949)+O2948*(1+0.00023125256064071564))</f>
        <v/>
      </c>
      <c r="J2949">
        <f>IF(G2949=1,0.2*R2949/B2949,J2948)</f>
        <v/>
      </c>
      <c r="K2949">
        <f>IF(G2949=1,0.2*R2949/C2949,K2948)</f>
        <v/>
      </c>
      <c r="L2949">
        <f>IF(G2949=1,0.2*R2949/D2949,L2948)</f>
        <v/>
      </c>
      <c r="M2949">
        <f>IF(G2949=1,0.2*R2949/E2949,M2948)</f>
        <v/>
      </c>
      <c r="N2949">
        <f>IF(G2949=1,0.2*R2949/F2949,N2948)</f>
        <v/>
      </c>
      <c r="O2949">
        <f>IF(G2949=1,R2949*(1-1.0),IF(H2948=0,1,O2948*(1+0.00023125256064071564)))</f>
        <v/>
      </c>
      <c r="P2949">
        <f>IF(G2949=1,IF(H2948=0,1,ABS(0.2-J2948*B2949/I2949)+ABS(0.2-K2948*C2949/I2949)+ABS(0.2-L2948*D2949/I2949)+ABS(0.2-M2948*E2949/I2949)+ABS(0.2-N2948*F2949/I2949)),0)</f>
        <v/>
      </c>
      <c r="Q2949">
        <f>P2949*0.0015</f>
        <v/>
      </c>
      <c r="R2949">
        <f>I2949*(1-Q2949)</f>
        <v/>
      </c>
      <c r="S2949">
        <f>R2949/R2948-1</f>
        <v/>
      </c>
      <c r="T2949">
        <f>MAX(T2948,R2949)</f>
        <v/>
      </c>
      <c r="U2949">
        <f>R2949/T2949-1</f>
        <v/>
      </c>
      <c r="V2949" t="n">
        <v>7.514627959443181</v>
      </c>
      <c r="W2949" s="5">
        <f>R2949-V2949</f>
        <v/>
      </c>
    </row>
    <row r="2950">
      <c r="A2950" s="3" t="n">
        <v>42781</v>
      </c>
      <c r="B2950">
        <f>Prices!B2950</f>
        <v/>
      </c>
      <c r="C2950">
        <f>Prices!C2950</f>
        <v/>
      </c>
      <c r="D2950">
        <f>Prices!D2950</f>
        <v/>
      </c>
      <c r="E2950">
        <f>Prices!E2950</f>
        <v/>
      </c>
      <c r="F2950">
        <f>Prices!F2950</f>
        <v/>
      </c>
      <c r="G2950">
        <f>IF(AND(2948&gt;=16,TEXT(A2950,"yyyy-mm")&lt;&gt;TEXT(A2951,"yyyy-mm")),1,0)</f>
        <v/>
      </c>
      <c r="H2950">
        <f>IF(OR(H2949=1,G2950=1),1,0)</f>
        <v/>
      </c>
      <c r="I2950">
        <f>IF(H2949=0,1,SUMPRODUCT(J2949:N2949,B2950:F2950)+O2949*(1+0.00023125256064071564))</f>
        <v/>
      </c>
      <c r="J2950">
        <f>IF(G2950=1,0.2*R2950/B2950,J2949)</f>
        <v/>
      </c>
      <c r="K2950">
        <f>IF(G2950=1,0.2*R2950/C2950,K2949)</f>
        <v/>
      </c>
      <c r="L2950">
        <f>IF(G2950=1,0.2*R2950/D2950,L2949)</f>
        <v/>
      </c>
      <c r="M2950">
        <f>IF(G2950=1,0.2*R2950/E2950,M2949)</f>
        <v/>
      </c>
      <c r="N2950">
        <f>IF(G2950=1,0.2*R2950/F2950,N2949)</f>
        <v/>
      </c>
      <c r="O2950">
        <f>IF(G2950=1,R2950*(1-1.0),IF(H2949=0,1,O2949*(1+0.00023125256064071564)))</f>
        <v/>
      </c>
      <c r="P2950">
        <f>IF(G2950=1,IF(H2949=0,1,ABS(0.2-J2949*B2950/I2950)+ABS(0.2-K2949*C2950/I2950)+ABS(0.2-L2949*D2950/I2950)+ABS(0.2-M2949*E2950/I2950)+ABS(0.2-N2949*F2950/I2950)),0)</f>
        <v/>
      </c>
      <c r="Q2950">
        <f>P2950*0.0015</f>
        <v/>
      </c>
      <c r="R2950">
        <f>I2950*(1-Q2950)</f>
        <v/>
      </c>
      <c r="S2950">
        <f>R2950/R2949-1</f>
        <v/>
      </c>
      <c r="T2950">
        <f>MAX(T2949,R2950)</f>
        <v/>
      </c>
      <c r="U2950">
        <f>R2950/T2950-1</f>
        <v/>
      </c>
      <c r="V2950" t="n">
        <v>7.428320282908944</v>
      </c>
      <c r="W2950" s="5">
        <f>R2950-V2950</f>
        <v/>
      </c>
    </row>
    <row r="2951">
      <c r="A2951" s="3" t="n">
        <v>42782</v>
      </c>
      <c r="B2951">
        <f>Prices!B2951</f>
        <v/>
      </c>
      <c r="C2951">
        <f>Prices!C2951</f>
        <v/>
      </c>
      <c r="D2951">
        <f>Prices!D2951</f>
        <v/>
      </c>
      <c r="E2951">
        <f>Prices!E2951</f>
        <v/>
      </c>
      <c r="F2951">
        <f>Prices!F2951</f>
        <v/>
      </c>
      <c r="G2951">
        <f>IF(AND(2949&gt;=16,TEXT(A2951,"yyyy-mm")&lt;&gt;TEXT(A2952,"yyyy-mm")),1,0)</f>
        <v/>
      </c>
      <c r="H2951">
        <f>IF(OR(H2950=1,G2951=1),1,0)</f>
        <v/>
      </c>
      <c r="I2951">
        <f>IF(H2950=0,1,SUMPRODUCT(J2950:N2950,B2951:F2951)+O2950*(1+0.00023125256064071564))</f>
        <v/>
      </c>
      <c r="J2951">
        <f>IF(G2951=1,0.2*R2951/B2951,J2950)</f>
        <v/>
      </c>
      <c r="K2951">
        <f>IF(G2951=1,0.2*R2951/C2951,K2950)</f>
        <v/>
      </c>
      <c r="L2951">
        <f>IF(G2951=1,0.2*R2951/D2951,L2950)</f>
        <v/>
      </c>
      <c r="M2951">
        <f>IF(G2951=1,0.2*R2951/E2951,M2950)</f>
        <v/>
      </c>
      <c r="N2951">
        <f>IF(G2951=1,0.2*R2951/F2951,N2950)</f>
        <v/>
      </c>
      <c r="O2951">
        <f>IF(G2951=1,R2951*(1-1.0),IF(H2950=0,1,O2950*(1+0.00023125256064071564)))</f>
        <v/>
      </c>
      <c r="P2951">
        <f>IF(G2951=1,IF(H2950=0,1,ABS(0.2-J2950*B2951/I2951)+ABS(0.2-K2950*C2951/I2951)+ABS(0.2-L2950*D2951/I2951)+ABS(0.2-M2950*E2951/I2951)+ABS(0.2-N2950*F2951/I2951)),0)</f>
        <v/>
      </c>
      <c r="Q2951">
        <f>P2951*0.0015</f>
        <v/>
      </c>
      <c r="R2951">
        <f>I2951*(1-Q2951)</f>
        <v/>
      </c>
      <c r="S2951">
        <f>R2951/R2950-1</f>
        <v/>
      </c>
      <c r="T2951">
        <f>MAX(T2950,R2951)</f>
        <v/>
      </c>
      <c r="U2951">
        <f>R2951/T2951-1</f>
        <v/>
      </c>
      <c r="V2951" t="n">
        <v>7.538365984266624</v>
      </c>
      <c r="W2951" s="5">
        <f>R2951-V2951</f>
        <v/>
      </c>
    </row>
    <row r="2952">
      <c r="A2952" s="3" t="n">
        <v>42783</v>
      </c>
      <c r="B2952">
        <f>Prices!B2952</f>
        <v/>
      </c>
      <c r="C2952">
        <f>Prices!C2952</f>
        <v/>
      </c>
      <c r="D2952">
        <f>Prices!D2952</f>
        <v/>
      </c>
      <c r="E2952">
        <f>Prices!E2952</f>
        <v/>
      </c>
      <c r="F2952">
        <f>Prices!F2952</f>
        <v/>
      </c>
      <c r="G2952">
        <f>IF(AND(2950&gt;=16,TEXT(A2952,"yyyy-mm")&lt;&gt;TEXT(A2953,"yyyy-mm")),1,0)</f>
        <v/>
      </c>
      <c r="H2952">
        <f>IF(OR(H2951=1,G2952=1),1,0)</f>
        <v/>
      </c>
      <c r="I2952">
        <f>IF(H2951=0,1,SUMPRODUCT(J2951:N2951,B2952:F2952)+O2951*(1+0.00023125256064071564))</f>
        <v/>
      </c>
      <c r="J2952">
        <f>IF(G2952=1,0.2*R2952/B2952,J2951)</f>
        <v/>
      </c>
      <c r="K2952">
        <f>IF(G2952=1,0.2*R2952/C2952,K2951)</f>
        <v/>
      </c>
      <c r="L2952">
        <f>IF(G2952=1,0.2*R2952/D2952,L2951)</f>
        <v/>
      </c>
      <c r="M2952">
        <f>IF(G2952=1,0.2*R2952/E2952,M2951)</f>
        <v/>
      </c>
      <c r="N2952">
        <f>IF(G2952=1,0.2*R2952/F2952,N2951)</f>
        <v/>
      </c>
      <c r="O2952">
        <f>IF(G2952=1,R2952*(1-1.0),IF(H2951=0,1,O2951*(1+0.00023125256064071564)))</f>
        <v/>
      </c>
      <c r="P2952">
        <f>IF(G2952=1,IF(H2951=0,1,ABS(0.2-J2951*B2952/I2952)+ABS(0.2-K2951*C2952/I2952)+ABS(0.2-L2951*D2952/I2952)+ABS(0.2-M2951*E2952/I2952)+ABS(0.2-N2951*F2952/I2952)),0)</f>
        <v/>
      </c>
      <c r="Q2952">
        <f>P2952*0.0015</f>
        <v/>
      </c>
      <c r="R2952">
        <f>I2952*(1-Q2952)</f>
        <v/>
      </c>
      <c r="S2952">
        <f>R2952/R2951-1</f>
        <v/>
      </c>
      <c r="T2952">
        <f>MAX(T2951,R2952)</f>
        <v/>
      </c>
      <c r="U2952">
        <f>R2952/T2952-1</f>
        <v/>
      </c>
      <c r="V2952" t="n">
        <v>7.565778459174176</v>
      </c>
      <c r="W2952" s="5">
        <f>R2952-V2952</f>
        <v/>
      </c>
    </row>
    <row r="2953">
      <c r="A2953" s="3" t="n">
        <v>42786</v>
      </c>
      <c r="B2953">
        <f>Prices!B2953</f>
        <v/>
      </c>
      <c r="C2953">
        <f>Prices!C2953</f>
        <v/>
      </c>
      <c r="D2953">
        <f>Prices!D2953</f>
        <v/>
      </c>
      <c r="E2953">
        <f>Prices!E2953</f>
        <v/>
      </c>
      <c r="F2953">
        <f>Prices!F2953</f>
        <v/>
      </c>
      <c r="G2953">
        <f>IF(AND(2951&gt;=16,TEXT(A2953,"yyyy-mm")&lt;&gt;TEXT(A2954,"yyyy-mm")),1,0)</f>
        <v/>
      </c>
      <c r="H2953">
        <f>IF(OR(H2952=1,G2953=1),1,0)</f>
        <v/>
      </c>
      <c r="I2953">
        <f>IF(H2952=0,1,SUMPRODUCT(J2952:N2952,B2953:F2953)+O2952*(1+0.00023125256064071564))</f>
        <v/>
      </c>
      <c r="J2953">
        <f>IF(G2953=1,0.2*R2953/B2953,J2952)</f>
        <v/>
      </c>
      <c r="K2953">
        <f>IF(G2953=1,0.2*R2953/C2953,K2952)</f>
        <v/>
      </c>
      <c r="L2953">
        <f>IF(G2953=1,0.2*R2953/D2953,L2952)</f>
        <v/>
      </c>
      <c r="M2953">
        <f>IF(G2953=1,0.2*R2953/E2953,M2952)</f>
        <v/>
      </c>
      <c r="N2953">
        <f>IF(G2953=1,0.2*R2953/F2953,N2952)</f>
        <v/>
      </c>
      <c r="O2953">
        <f>IF(G2953=1,R2953*(1-1.0),IF(H2952=0,1,O2952*(1+0.00023125256064071564)))</f>
        <v/>
      </c>
      <c r="P2953">
        <f>IF(G2953=1,IF(H2952=0,1,ABS(0.2-J2952*B2953/I2953)+ABS(0.2-K2952*C2953/I2953)+ABS(0.2-L2952*D2953/I2953)+ABS(0.2-M2952*E2953/I2953)+ABS(0.2-N2952*F2953/I2953)),0)</f>
        <v/>
      </c>
      <c r="Q2953">
        <f>P2953*0.0015</f>
        <v/>
      </c>
      <c r="R2953">
        <f>I2953*(1-Q2953)</f>
        <v/>
      </c>
      <c r="S2953">
        <f>R2953/R2952-1</f>
        <v/>
      </c>
      <c r="T2953">
        <f>MAX(T2952,R2953)</f>
        <v/>
      </c>
      <c r="U2953">
        <f>R2953/T2953-1</f>
        <v/>
      </c>
      <c r="V2953" t="n">
        <v>7.627908794394893</v>
      </c>
      <c r="W2953" s="5">
        <f>R2953-V2953</f>
        <v/>
      </c>
    </row>
    <row r="2954">
      <c r="A2954" s="3" t="n">
        <v>42787</v>
      </c>
      <c r="B2954">
        <f>Prices!B2954</f>
        <v/>
      </c>
      <c r="C2954">
        <f>Prices!C2954</f>
        <v/>
      </c>
      <c r="D2954">
        <f>Prices!D2954</f>
        <v/>
      </c>
      <c r="E2954">
        <f>Prices!E2954</f>
        <v/>
      </c>
      <c r="F2954">
        <f>Prices!F2954</f>
        <v/>
      </c>
      <c r="G2954">
        <f>IF(AND(2952&gt;=16,TEXT(A2954,"yyyy-mm")&lt;&gt;TEXT(A2955,"yyyy-mm")),1,0)</f>
        <v/>
      </c>
      <c r="H2954">
        <f>IF(OR(H2953=1,G2954=1),1,0)</f>
        <v/>
      </c>
      <c r="I2954">
        <f>IF(H2953=0,1,SUMPRODUCT(J2953:N2953,B2954:F2954)+O2953*(1+0.00023125256064071564))</f>
        <v/>
      </c>
      <c r="J2954">
        <f>IF(G2954=1,0.2*R2954/B2954,J2953)</f>
        <v/>
      </c>
      <c r="K2954">
        <f>IF(G2954=1,0.2*R2954/C2954,K2953)</f>
        <v/>
      </c>
      <c r="L2954">
        <f>IF(G2954=1,0.2*R2954/D2954,L2953)</f>
        <v/>
      </c>
      <c r="M2954">
        <f>IF(G2954=1,0.2*R2954/E2954,M2953)</f>
        <v/>
      </c>
      <c r="N2954">
        <f>IF(G2954=1,0.2*R2954/F2954,N2953)</f>
        <v/>
      </c>
      <c r="O2954">
        <f>IF(G2954=1,R2954*(1-1.0),IF(H2953=0,1,O2953*(1+0.00023125256064071564)))</f>
        <v/>
      </c>
      <c r="P2954">
        <f>IF(G2954=1,IF(H2953=0,1,ABS(0.2-J2953*B2954/I2954)+ABS(0.2-K2953*C2954/I2954)+ABS(0.2-L2953*D2954/I2954)+ABS(0.2-M2953*E2954/I2954)+ABS(0.2-N2953*F2954/I2954)),0)</f>
        <v/>
      </c>
      <c r="Q2954">
        <f>P2954*0.0015</f>
        <v/>
      </c>
      <c r="R2954">
        <f>I2954*(1-Q2954)</f>
        <v/>
      </c>
      <c r="S2954">
        <f>R2954/R2953-1</f>
        <v/>
      </c>
      <c r="T2954">
        <f>MAX(T2953,R2954)</f>
        <v/>
      </c>
      <c r="U2954">
        <f>R2954/T2954-1</f>
        <v/>
      </c>
      <c r="V2954" t="n">
        <v>7.6645579551215</v>
      </c>
      <c r="W2954" s="5">
        <f>R2954-V2954</f>
        <v/>
      </c>
    </row>
    <row r="2955">
      <c r="A2955" s="3" t="n">
        <v>42788</v>
      </c>
      <c r="B2955">
        <f>Prices!B2955</f>
        <v/>
      </c>
      <c r="C2955">
        <f>Prices!C2955</f>
        <v/>
      </c>
      <c r="D2955">
        <f>Prices!D2955</f>
        <v/>
      </c>
      <c r="E2955">
        <f>Prices!E2955</f>
        <v/>
      </c>
      <c r="F2955">
        <f>Prices!F2955</f>
        <v/>
      </c>
      <c r="G2955">
        <f>IF(AND(2953&gt;=16,TEXT(A2955,"yyyy-mm")&lt;&gt;TEXT(A2956,"yyyy-mm")),1,0)</f>
        <v/>
      </c>
      <c r="H2955">
        <f>IF(OR(H2954=1,G2955=1),1,0)</f>
        <v/>
      </c>
      <c r="I2955">
        <f>IF(H2954=0,1,SUMPRODUCT(J2954:N2954,B2955:F2955)+O2954*(1+0.00023125256064071564))</f>
        <v/>
      </c>
      <c r="J2955">
        <f>IF(G2955=1,0.2*R2955/B2955,J2954)</f>
        <v/>
      </c>
      <c r="K2955">
        <f>IF(G2955=1,0.2*R2955/C2955,K2954)</f>
        <v/>
      </c>
      <c r="L2955">
        <f>IF(G2955=1,0.2*R2955/D2955,L2954)</f>
        <v/>
      </c>
      <c r="M2955">
        <f>IF(G2955=1,0.2*R2955/E2955,M2954)</f>
        <v/>
      </c>
      <c r="N2955">
        <f>IF(G2955=1,0.2*R2955/F2955,N2954)</f>
        <v/>
      </c>
      <c r="O2955">
        <f>IF(G2955=1,R2955*(1-1.0),IF(H2954=0,1,O2954*(1+0.00023125256064071564)))</f>
        <v/>
      </c>
      <c r="P2955">
        <f>IF(G2955=1,IF(H2954=0,1,ABS(0.2-J2954*B2955/I2955)+ABS(0.2-K2954*C2955/I2955)+ABS(0.2-L2954*D2955/I2955)+ABS(0.2-M2954*E2955/I2955)+ABS(0.2-N2954*F2955/I2955)),0)</f>
        <v/>
      </c>
      <c r="Q2955">
        <f>P2955*0.0015</f>
        <v/>
      </c>
      <c r="R2955">
        <f>I2955*(1-Q2955)</f>
        <v/>
      </c>
      <c r="S2955">
        <f>R2955/R2954-1</f>
        <v/>
      </c>
      <c r="T2955">
        <f>MAX(T2954,R2955)</f>
        <v/>
      </c>
      <c r="U2955">
        <f>R2955/T2955-1</f>
        <v/>
      </c>
      <c r="V2955" t="n">
        <v>7.634185875043086</v>
      </c>
      <c r="W2955" s="5">
        <f>R2955-V2955</f>
        <v/>
      </c>
    </row>
    <row r="2956">
      <c r="A2956" s="3" t="n">
        <v>42789</v>
      </c>
      <c r="B2956">
        <f>Prices!B2956</f>
        <v/>
      </c>
      <c r="C2956">
        <f>Prices!C2956</f>
        <v/>
      </c>
      <c r="D2956">
        <f>Prices!D2956</f>
        <v/>
      </c>
      <c r="E2956">
        <f>Prices!E2956</f>
        <v/>
      </c>
      <c r="F2956">
        <f>Prices!F2956</f>
        <v/>
      </c>
      <c r="G2956">
        <f>IF(AND(2954&gt;=16,TEXT(A2956,"yyyy-mm")&lt;&gt;TEXT(A2957,"yyyy-mm")),1,0)</f>
        <v/>
      </c>
      <c r="H2956">
        <f>IF(OR(H2955=1,G2956=1),1,0)</f>
        <v/>
      </c>
      <c r="I2956">
        <f>IF(H2955=0,1,SUMPRODUCT(J2955:N2955,B2956:F2956)+O2955*(1+0.00023125256064071564))</f>
        <v/>
      </c>
      <c r="J2956">
        <f>IF(G2956=1,0.2*R2956/B2956,J2955)</f>
        <v/>
      </c>
      <c r="K2956">
        <f>IF(G2956=1,0.2*R2956/C2956,K2955)</f>
        <v/>
      </c>
      <c r="L2956">
        <f>IF(G2956=1,0.2*R2956/D2956,L2955)</f>
        <v/>
      </c>
      <c r="M2956">
        <f>IF(G2956=1,0.2*R2956/E2956,M2955)</f>
        <v/>
      </c>
      <c r="N2956">
        <f>IF(G2956=1,0.2*R2956/F2956,N2955)</f>
        <v/>
      </c>
      <c r="O2956">
        <f>IF(G2956=1,R2956*(1-1.0),IF(H2955=0,1,O2955*(1+0.00023125256064071564)))</f>
        <v/>
      </c>
      <c r="P2956">
        <f>IF(G2956=1,IF(H2955=0,1,ABS(0.2-J2955*B2956/I2956)+ABS(0.2-K2955*C2956/I2956)+ABS(0.2-L2955*D2956/I2956)+ABS(0.2-M2955*E2956/I2956)+ABS(0.2-N2955*F2956/I2956)),0)</f>
        <v/>
      </c>
      <c r="Q2956">
        <f>P2956*0.0015</f>
        <v/>
      </c>
      <c r="R2956">
        <f>I2956*(1-Q2956)</f>
        <v/>
      </c>
      <c r="S2956">
        <f>R2956/R2955-1</f>
        <v/>
      </c>
      <c r="T2956">
        <f>MAX(T2955,R2956)</f>
        <v/>
      </c>
      <c r="U2956">
        <f>R2956/T2956-1</f>
        <v/>
      </c>
      <c r="V2956" t="n">
        <v>7.65213777736123</v>
      </c>
      <c r="W2956" s="5">
        <f>R2956-V2956</f>
        <v/>
      </c>
    </row>
    <row r="2957">
      <c r="A2957" s="3" t="n">
        <v>42793</v>
      </c>
      <c r="B2957">
        <f>Prices!B2957</f>
        <v/>
      </c>
      <c r="C2957">
        <f>Prices!C2957</f>
        <v/>
      </c>
      <c r="D2957">
        <f>Prices!D2957</f>
        <v/>
      </c>
      <c r="E2957">
        <f>Prices!E2957</f>
        <v/>
      </c>
      <c r="F2957">
        <f>Prices!F2957</f>
        <v/>
      </c>
      <c r="G2957">
        <f>IF(AND(2955&gt;=16,TEXT(A2957,"yyyy-mm")&lt;&gt;TEXT(A2958,"yyyy-mm")),1,0)</f>
        <v/>
      </c>
      <c r="H2957">
        <f>IF(OR(H2956=1,G2957=1),1,0)</f>
        <v/>
      </c>
      <c r="I2957">
        <f>IF(H2956=0,1,SUMPRODUCT(J2956:N2956,B2957:F2957)+O2956*(1+0.00023125256064071564))</f>
        <v/>
      </c>
      <c r="J2957">
        <f>IF(G2957=1,0.2*R2957/B2957,J2956)</f>
        <v/>
      </c>
      <c r="K2957">
        <f>IF(G2957=1,0.2*R2957/C2957,K2956)</f>
        <v/>
      </c>
      <c r="L2957">
        <f>IF(G2957=1,0.2*R2957/D2957,L2956)</f>
        <v/>
      </c>
      <c r="M2957">
        <f>IF(G2957=1,0.2*R2957/E2957,M2956)</f>
        <v/>
      </c>
      <c r="N2957">
        <f>IF(G2957=1,0.2*R2957/F2957,N2956)</f>
        <v/>
      </c>
      <c r="O2957">
        <f>IF(G2957=1,R2957*(1-1.0),IF(H2956=0,1,O2956*(1+0.00023125256064071564)))</f>
        <v/>
      </c>
      <c r="P2957">
        <f>IF(G2957=1,IF(H2956=0,1,ABS(0.2-J2956*B2957/I2957)+ABS(0.2-K2956*C2957/I2957)+ABS(0.2-L2956*D2957/I2957)+ABS(0.2-M2956*E2957/I2957)+ABS(0.2-N2956*F2957/I2957)),0)</f>
        <v/>
      </c>
      <c r="Q2957">
        <f>P2957*0.0015</f>
        <v/>
      </c>
      <c r="R2957">
        <f>I2957*(1-Q2957)</f>
        <v/>
      </c>
      <c r="S2957">
        <f>R2957/R2956-1</f>
        <v/>
      </c>
      <c r="T2957">
        <f>MAX(T2956,R2957)</f>
        <v/>
      </c>
      <c r="U2957">
        <f>R2957/T2957-1</f>
        <v/>
      </c>
      <c r="V2957" t="n">
        <v>7.645782244034251</v>
      </c>
      <c r="W2957" s="5">
        <f>R2957-V2957</f>
        <v/>
      </c>
    </row>
    <row r="2958">
      <c r="A2958" s="3" t="n">
        <v>42794</v>
      </c>
      <c r="B2958">
        <f>Prices!B2958</f>
        <v/>
      </c>
      <c r="C2958">
        <f>Prices!C2958</f>
        <v/>
      </c>
      <c r="D2958">
        <f>Prices!D2958</f>
        <v/>
      </c>
      <c r="E2958">
        <f>Prices!E2958</f>
        <v/>
      </c>
      <c r="F2958">
        <f>Prices!F2958</f>
        <v/>
      </c>
      <c r="G2958">
        <f>IF(AND(2956&gt;=16,TEXT(A2958,"yyyy-mm")&lt;&gt;TEXT(A2959,"yyyy-mm")),1,0)</f>
        <v/>
      </c>
      <c r="H2958">
        <f>IF(OR(H2957=1,G2958=1),1,0)</f>
        <v/>
      </c>
      <c r="I2958">
        <f>IF(H2957=0,1,SUMPRODUCT(J2957:N2957,B2958:F2958)+O2957*(1+0.00023125256064071564))</f>
        <v/>
      </c>
      <c r="J2958">
        <f>IF(G2958=1,0.2*R2958/B2958,J2957)</f>
        <v/>
      </c>
      <c r="K2958">
        <f>IF(G2958=1,0.2*R2958/C2958,K2957)</f>
        <v/>
      </c>
      <c r="L2958">
        <f>IF(G2958=1,0.2*R2958/D2958,L2957)</f>
        <v/>
      </c>
      <c r="M2958">
        <f>IF(G2958=1,0.2*R2958/E2958,M2957)</f>
        <v/>
      </c>
      <c r="N2958">
        <f>IF(G2958=1,0.2*R2958/F2958,N2957)</f>
        <v/>
      </c>
      <c r="O2958">
        <f>IF(G2958=1,R2958*(1-1.0),IF(H2957=0,1,O2957*(1+0.00023125256064071564)))</f>
        <v/>
      </c>
      <c r="P2958">
        <f>IF(G2958=1,IF(H2957=0,1,ABS(0.2-J2957*B2958/I2958)+ABS(0.2-K2957*C2958/I2958)+ABS(0.2-L2957*D2958/I2958)+ABS(0.2-M2957*E2958/I2958)+ABS(0.2-N2957*F2958/I2958)),0)</f>
        <v/>
      </c>
      <c r="Q2958">
        <f>P2958*0.0015</f>
        <v/>
      </c>
      <c r="R2958">
        <f>I2958*(1-Q2958)</f>
        <v/>
      </c>
      <c r="S2958">
        <f>R2958/R2957-1</f>
        <v/>
      </c>
      <c r="T2958">
        <f>MAX(T2957,R2958)</f>
        <v/>
      </c>
      <c r="U2958">
        <f>R2958/T2958-1</f>
        <v/>
      </c>
      <c r="V2958" t="n">
        <v>7.664038288963842</v>
      </c>
      <c r="W2958" s="5">
        <f>R2958-V2958</f>
        <v/>
      </c>
    </row>
    <row r="2959">
      <c r="A2959" s="3" t="n">
        <v>42795</v>
      </c>
      <c r="B2959">
        <f>Prices!B2959</f>
        <v/>
      </c>
      <c r="C2959">
        <f>Prices!C2959</f>
        <v/>
      </c>
      <c r="D2959">
        <f>Prices!D2959</f>
        <v/>
      </c>
      <c r="E2959">
        <f>Prices!E2959</f>
        <v/>
      </c>
      <c r="F2959">
        <f>Prices!F2959</f>
        <v/>
      </c>
      <c r="G2959">
        <f>IF(AND(2957&gt;=16,TEXT(A2959,"yyyy-mm")&lt;&gt;TEXT(A2960,"yyyy-mm")),1,0)</f>
        <v/>
      </c>
      <c r="H2959">
        <f>IF(OR(H2958=1,G2959=1),1,0)</f>
        <v/>
      </c>
      <c r="I2959">
        <f>IF(H2958=0,1,SUMPRODUCT(J2958:N2958,B2959:F2959)+O2958*(1+0.00023125256064071564))</f>
        <v/>
      </c>
      <c r="J2959">
        <f>IF(G2959=1,0.2*R2959/B2959,J2958)</f>
        <v/>
      </c>
      <c r="K2959">
        <f>IF(G2959=1,0.2*R2959/C2959,K2958)</f>
        <v/>
      </c>
      <c r="L2959">
        <f>IF(G2959=1,0.2*R2959/D2959,L2958)</f>
        <v/>
      </c>
      <c r="M2959">
        <f>IF(G2959=1,0.2*R2959/E2959,M2958)</f>
        <v/>
      </c>
      <c r="N2959">
        <f>IF(G2959=1,0.2*R2959/F2959,N2958)</f>
        <v/>
      </c>
      <c r="O2959">
        <f>IF(G2959=1,R2959*(1-1.0),IF(H2958=0,1,O2958*(1+0.00023125256064071564)))</f>
        <v/>
      </c>
      <c r="P2959">
        <f>IF(G2959=1,IF(H2958=0,1,ABS(0.2-J2958*B2959/I2959)+ABS(0.2-K2958*C2959/I2959)+ABS(0.2-L2958*D2959/I2959)+ABS(0.2-M2958*E2959/I2959)+ABS(0.2-N2958*F2959/I2959)),0)</f>
        <v/>
      </c>
      <c r="Q2959">
        <f>P2959*0.0015</f>
        <v/>
      </c>
      <c r="R2959">
        <f>I2959*(1-Q2959)</f>
        <v/>
      </c>
      <c r="S2959">
        <f>R2959/R2958-1</f>
        <v/>
      </c>
      <c r="T2959">
        <f>MAX(T2958,R2959)</f>
        <v/>
      </c>
      <c r="U2959">
        <f>R2959/T2959-1</f>
        <v/>
      </c>
      <c r="V2959" t="n">
        <v>7.698850597220925</v>
      </c>
      <c r="W2959" s="5">
        <f>R2959-V2959</f>
        <v/>
      </c>
    </row>
    <row r="2960">
      <c r="A2960" s="3" t="n">
        <v>42796</v>
      </c>
      <c r="B2960">
        <f>Prices!B2960</f>
        <v/>
      </c>
      <c r="C2960">
        <f>Prices!C2960</f>
        <v/>
      </c>
      <c r="D2960">
        <f>Prices!D2960</f>
        <v/>
      </c>
      <c r="E2960">
        <f>Prices!E2960</f>
        <v/>
      </c>
      <c r="F2960">
        <f>Prices!F2960</f>
        <v/>
      </c>
      <c r="G2960">
        <f>IF(AND(2958&gt;=16,TEXT(A2960,"yyyy-mm")&lt;&gt;TEXT(A2961,"yyyy-mm")),1,0)</f>
        <v/>
      </c>
      <c r="H2960">
        <f>IF(OR(H2959=1,G2960=1),1,0)</f>
        <v/>
      </c>
      <c r="I2960">
        <f>IF(H2959=0,1,SUMPRODUCT(J2959:N2959,B2960:F2960)+O2959*(1+0.00023125256064071564))</f>
        <v/>
      </c>
      <c r="J2960">
        <f>IF(G2960=1,0.2*R2960/B2960,J2959)</f>
        <v/>
      </c>
      <c r="K2960">
        <f>IF(G2960=1,0.2*R2960/C2960,K2959)</f>
        <v/>
      </c>
      <c r="L2960">
        <f>IF(G2960=1,0.2*R2960/D2960,L2959)</f>
        <v/>
      </c>
      <c r="M2960">
        <f>IF(G2960=1,0.2*R2960/E2960,M2959)</f>
        <v/>
      </c>
      <c r="N2960">
        <f>IF(G2960=1,0.2*R2960/F2960,N2959)</f>
        <v/>
      </c>
      <c r="O2960">
        <f>IF(G2960=1,R2960*(1-1.0),IF(H2959=0,1,O2959*(1+0.00023125256064071564)))</f>
        <v/>
      </c>
      <c r="P2960">
        <f>IF(G2960=1,IF(H2959=0,1,ABS(0.2-J2959*B2960/I2960)+ABS(0.2-K2959*C2960/I2960)+ABS(0.2-L2959*D2960/I2960)+ABS(0.2-M2959*E2960/I2960)+ABS(0.2-N2959*F2960/I2960)),0)</f>
        <v/>
      </c>
      <c r="Q2960">
        <f>P2960*0.0015</f>
        <v/>
      </c>
      <c r="R2960">
        <f>I2960*(1-Q2960)</f>
        <v/>
      </c>
      <c r="S2960">
        <f>R2960/R2959-1</f>
        <v/>
      </c>
      <c r="T2960">
        <f>MAX(T2959,R2960)</f>
        <v/>
      </c>
      <c r="U2960">
        <f>R2960/T2960-1</f>
        <v/>
      </c>
      <c r="V2960" t="n">
        <v>7.627653793255818</v>
      </c>
      <c r="W2960" s="5">
        <f>R2960-V2960</f>
        <v/>
      </c>
    </row>
    <row r="2961">
      <c r="A2961" s="3" t="n">
        <v>42797</v>
      </c>
      <c r="B2961">
        <f>Prices!B2961</f>
        <v/>
      </c>
      <c r="C2961">
        <f>Prices!C2961</f>
        <v/>
      </c>
      <c r="D2961">
        <f>Prices!D2961</f>
        <v/>
      </c>
      <c r="E2961">
        <f>Prices!E2961</f>
        <v/>
      </c>
      <c r="F2961">
        <f>Prices!F2961</f>
        <v/>
      </c>
      <c r="G2961">
        <f>IF(AND(2959&gt;=16,TEXT(A2961,"yyyy-mm")&lt;&gt;TEXT(A2962,"yyyy-mm")),1,0)</f>
        <v/>
      </c>
      <c r="H2961">
        <f>IF(OR(H2960=1,G2961=1),1,0)</f>
        <v/>
      </c>
      <c r="I2961">
        <f>IF(H2960=0,1,SUMPRODUCT(J2960:N2960,B2961:F2961)+O2960*(1+0.00023125256064071564))</f>
        <v/>
      </c>
      <c r="J2961">
        <f>IF(G2961=1,0.2*R2961/B2961,J2960)</f>
        <v/>
      </c>
      <c r="K2961">
        <f>IF(G2961=1,0.2*R2961/C2961,K2960)</f>
        <v/>
      </c>
      <c r="L2961">
        <f>IF(G2961=1,0.2*R2961/D2961,L2960)</f>
        <v/>
      </c>
      <c r="M2961">
        <f>IF(G2961=1,0.2*R2961/E2961,M2960)</f>
        <v/>
      </c>
      <c r="N2961">
        <f>IF(G2961=1,0.2*R2961/F2961,N2960)</f>
        <v/>
      </c>
      <c r="O2961">
        <f>IF(G2961=1,R2961*(1-1.0),IF(H2960=0,1,O2960*(1+0.00023125256064071564)))</f>
        <v/>
      </c>
      <c r="P2961">
        <f>IF(G2961=1,IF(H2960=0,1,ABS(0.2-J2960*B2961/I2961)+ABS(0.2-K2960*C2961/I2961)+ABS(0.2-L2960*D2961/I2961)+ABS(0.2-M2960*E2961/I2961)+ABS(0.2-N2960*F2961/I2961)),0)</f>
        <v/>
      </c>
      <c r="Q2961">
        <f>P2961*0.0015</f>
        <v/>
      </c>
      <c r="R2961">
        <f>I2961*(1-Q2961)</f>
        <v/>
      </c>
      <c r="S2961">
        <f>R2961/R2960-1</f>
        <v/>
      </c>
      <c r="T2961">
        <f>MAX(T2960,R2961)</f>
        <v/>
      </c>
      <c r="U2961">
        <f>R2961/T2961-1</f>
        <v/>
      </c>
      <c r="V2961" t="n">
        <v>7.664321339604212</v>
      </c>
      <c r="W2961" s="5">
        <f>R2961-V2961</f>
        <v/>
      </c>
    </row>
    <row r="2962">
      <c r="A2962" s="3" t="n">
        <v>42800</v>
      </c>
      <c r="B2962">
        <f>Prices!B2962</f>
        <v/>
      </c>
      <c r="C2962">
        <f>Prices!C2962</f>
        <v/>
      </c>
      <c r="D2962">
        <f>Prices!D2962</f>
        <v/>
      </c>
      <c r="E2962">
        <f>Prices!E2962</f>
        <v/>
      </c>
      <c r="F2962">
        <f>Prices!F2962</f>
        <v/>
      </c>
      <c r="G2962">
        <f>IF(AND(2960&gt;=16,TEXT(A2962,"yyyy-mm")&lt;&gt;TEXT(A2963,"yyyy-mm")),1,0)</f>
        <v/>
      </c>
      <c r="H2962">
        <f>IF(OR(H2961=1,G2962=1),1,0)</f>
        <v/>
      </c>
      <c r="I2962">
        <f>IF(H2961=0,1,SUMPRODUCT(J2961:N2961,B2962:F2962)+O2961*(1+0.00023125256064071564))</f>
        <v/>
      </c>
      <c r="J2962">
        <f>IF(G2962=1,0.2*R2962/B2962,J2961)</f>
        <v/>
      </c>
      <c r="K2962">
        <f>IF(G2962=1,0.2*R2962/C2962,K2961)</f>
        <v/>
      </c>
      <c r="L2962">
        <f>IF(G2962=1,0.2*R2962/D2962,L2961)</f>
        <v/>
      </c>
      <c r="M2962">
        <f>IF(G2962=1,0.2*R2962/E2962,M2961)</f>
        <v/>
      </c>
      <c r="N2962">
        <f>IF(G2962=1,0.2*R2962/F2962,N2961)</f>
        <v/>
      </c>
      <c r="O2962">
        <f>IF(G2962=1,R2962*(1-1.0),IF(H2961=0,1,O2961*(1+0.00023125256064071564)))</f>
        <v/>
      </c>
      <c r="P2962">
        <f>IF(G2962=1,IF(H2961=0,1,ABS(0.2-J2961*B2962/I2962)+ABS(0.2-K2961*C2962/I2962)+ABS(0.2-L2961*D2962/I2962)+ABS(0.2-M2961*E2962/I2962)+ABS(0.2-N2961*F2962/I2962)),0)</f>
        <v/>
      </c>
      <c r="Q2962">
        <f>P2962*0.0015</f>
        <v/>
      </c>
      <c r="R2962">
        <f>I2962*(1-Q2962)</f>
        <v/>
      </c>
      <c r="S2962">
        <f>R2962/R2961-1</f>
        <v/>
      </c>
      <c r="T2962">
        <f>MAX(T2961,R2962)</f>
        <v/>
      </c>
      <c r="U2962">
        <f>R2962/T2962-1</f>
        <v/>
      </c>
      <c r="V2962" t="n">
        <v>7.698117962718318</v>
      </c>
      <c r="W2962" s="5">
        <f>R2962-V2962</f>
        <v/>
      </c>
    </row>
    <row r="2963">
      <c r="A2963" s="3" t="n">
        <v>42801</v>
      </c>
      <c r="B2963">
        <f>Prices!B2963</f>
        <v/>
      </c>
      <c r="C2963">
        <f>Prices!C2963</f>
        <v/>
      </c>
      <c r="D2963">
        <f>Prices!D2963</f>
        <v/>
      </c>
      <c r="E2963">
        <f>Prices!E2963</f>
        <v/>
      </c>
      <c r="F2963">
        <f>Prices!F2963</f>
        <v/>
      </c>
      <c r="G2963">
        <f>IF(AND(2961&gt;=16,TEXT(A2963,"yyyy-mm")&lt;&gt;TEXT(A2964,"yyyy-mm")),1,0)</f>
        <v/>
      </c>
      <c r="H2963">
        <f>IF(OR(H2962=1,G2963=1),1,0)</f>
        <v/>
      </c>
      <c r="I2963">
        <f>IF(H2962=0,1,SUMPRODUCT(J2962:N2962,B2963:F2963)+O2962*(1+0.00023125256064071564))</f>
        <v/>
      </c>
      <c r="J2963">
        <f>IF(G2963=1,0.2*R2963/B2963,J2962)</f>
        <v/>
      </c>
      <c r="K2963">
        <f>IF(G2963=1,0.2*R2963/C2963,K2962)</f>
        <v/>
      </c>
      <c r="L2963">
        <f>IF(G2963=1,0.2*R2963/D2963,L2962)</f>
        <v/>
      </c>
      <c r="M2963">
        <f>IF(G2963=1,0.2*R2963/E2963,M2962)</f>
        <v/>
      </c>
      <c r="N2963">
        <f>IF(G2963=1,0.2*R2963/F2963,N2962)</f>
        <v/>
      </c>
      <c r="O2963">
        <f>IF(G2963=1,R2963*(1-1.0),IF(H2962=0,1,O2962*(1+0.00023125256064071564)))</f>
        <v/>
      </c>
      <c r="P2963">
        <f>IF(G2963=1,IF(H2962=0,1,ABS(0.2-J2962*B2963/I2963)+ABS(0.2-K2962*C2963/I2963)+ABS(0.2-L2962*D2963/I2963)+ABS(0.2-M2962*E2963/I2963)+ABS(0.2-N2962*F2963/I2963)),0)</f>
        <v/>
      </c>
      <c r="Q2963">
        <f>P2963*0.0015</f>
        <v/>
      </c>
      <c r="R2963">
        <f>I2963*(1-Q2963)</f>
        <v/>
      </c>
      <c r="S2963">
        <f>R2963/R2962-1</f>
        <v/>
      </c>
      <c r="T2963">
        <f>MAX(T2962,R2963)</f>
        <v/>
      </c>
      <c r="U2963">
        <f>R2963/T2963-1</f>
        <v/>
      </c>
      <c r="V2963" t="n">
        <v>7.678874153508222</v>
      </c>
      <c r="W2963" s="5">
        <f>R2963-V2963</f>
        <v/>
      </c>
    </row>
    <row r="2964">
      <c r="A2964" s="3" t="n">
        <v>42802</v>
      </c>
      <c r="B2964">
        <f>Prices!B2964</f>
        <v/>
      </c>
      <c r="C2964">
        <f>Prices!C2964</f>
        <v/>
      </c>
      <c r="D2964">
        <f>Prices!D2964</f>
        <v/>
      </c>
      <c r="E2964">
        <f>Prices!E2964</f>
        <v/>
      </c>
      <c r="F2964">
        <f>Prices!F2964</f>
        <v/>
      </c>
      <c r="G2964">
        <f>IF(AND(2962&gt;=16,TEXT(A2964,"yyyy-mm")&lt;&gt;TEXT(A2965,"yyyy-mm")),1,0)</f>
        <v/>
      </c>
      <c r="H2964">
        <f>IF(OR(H2963=1,G2964=1),1,0)</f>
        <v/>
      </c>
      <c r="I2964">
        <f>IF(H2963=0,1,SUMPRODUCT(J2963:N2963,B2964:F2964)+O2963*(1+0.00023125256064071564))</f>
        <v/>
      </c>
      <c r="J2964">
        <f>IF(G2964=1,0.2*R2964/B2964,J2963)</f>
        <v/>
      </c>
      <c r="K2964">
        <f>IF(G2964=1,0.2*R2964/C2964,K2963)</f>
        <v/>
      </c>
      <c r="L2964">
        <f>IF(G2964=1,0.2*R2964/D2964,L2963)</f>
        <v/>
      </c>
      <c r="M2964">
        <f>IF(G2964=1,0.2*R2964/E2964,M2963)</f>
        <v/>
      </c>
      <c r="N2964">
        <f>IF(G2964=1,0.2*R2964/F2964,N2963)</f>
        <v/>
      </c>
      <c r="O2964">
        <f>IF(G2964=1,R2964*(1-1.0),IF(H2963=0,1,O2963*(1+0.00023125256064071564)))</f>
        <v/>
      </c>
      <c r="P2964">
        <f>IF(G2964=1,IF(H2963=0,1,ABS(0.2-J2963*B2964/I2964)+ABS(0.2-K2963*C2964/I2964)+ABS(0.2-L2963*D2964/I2964)+ABS(0.2-M2963*E2964/I2964)+ABS(0.2-N2963*F2964/I2964)),0)</f>
        <v/>
      </c>
      <c r="Q2964">
        <f>P2964*0.0015</f>
        <v/>
      </c>
      <c r="R2964">
        <f>I2964*(1-Q2964)</f>
        <v/>
      </c>
      <c r="S2964">
        <f>R2964/R2963-1</f>
        <v/>
      </c>
      <c r="T2964">
        <f>MAX(T2963,R2964)</f>
        <v/>
      </c>
      <c r="U2964">
        <f>R2964/T2964-1</f>
        <v/>
      </c>
      <c r="V2964" t="n">
        <v>7.638842101569359</v>
      </c>
      <c r="W2964" s="5">
        <f>R2964-V2964</f>
        <v/>
      </c>
    </row>
    <row r="2965">
      <c r="A2965" s="3" t="n">
        <v>42803</v>
      </c>
      <c r="B2965">
        <f>Prices!B2965</f>
        <v/>
      </c>
      <c r="C2965">
        <f>Prices!C2965</f>
        <v/>
      </c>
      <c r="D2965">
        <f>Prices!D2965</f>
        <v/>
      </c>
      <c r="E2965">
        <f>Prices!E2965</f>
        <v/>
      </c>
      <c r="F2965">
        <f>Prices!F2965</f>
        <v/>
      </c>
      <c r="G2965">
        <f>IF(AND(2963&gt;=16,TEXT(A2965,"yyyy-mm")&lt;&gt;TEXT(A2966,"yyyy-mm")),1,0)</f>
        <v/>
      </c>
      <c r="H2965">
        <f>IF(OR(H2964=1,G2965=1),1,0)</f>
        <v/>
      </c>
      <c r="I2965">
        <f>IF(H2964=0,1,SUMPRODUCT(J2964:N2964,B2965:F2965)+O2964*(1+0.00023125256064071564))</f>
        <v/>
      </c>
      <c r="J2965">
        <f>IF(G2965=1,0.2*R2965/B2965,J2964)</f>
        <v/>
      </c>
      <c r="K2965">
        <f>IF(G2965=1,0.2*R2965/C2965,K2964)</f>
        <v/>
      </c>
      <c r="L2965">
        <f>IF(G2965=1,0.2*R2965/D2965,L2964)</f>
        <v/>
      </c>
      <c r="M2965">
        <f>IF(G2965=1,0.2*R2965/E2965,M2964)</f>
        <v/>
      </c>
      <c r="N2965">
        <f>IF(G2965=1,0.2*R2965/F2965,N2964)</f>
        <v/>
      </c>
      <c r="O2965">
        <f>IF(G2965=1,R2965*(1-1.0),IF(H2964=0,1,O2964*(1+0.00023125256064071564)))</f>
        <v/>
      </c>
      <c r="P2965">
        <f>IF(G2965=1,IF(H2964=0,1,ABS(0.2-J2964*B2965/I2965)+ABS(0.2-K2964*C2965/I2965)+ABS(0.2-L2964*D2965/I2965)+ABS(0.2-M2964*E2965/I2965)+ABS(0.2-N2964*F2965/I2965)),0)</f>
        <v/>
      </c>
      <c r="Q2965">
        <f>P2965*0.0015</f>
        <v/>
      </c>
      <c r="R2965">
        <f>I2965*(1-Q2965)</f>
        <v/>
      </c>
      <c r="S2965">
        <f>R2965/R2964-1</f>
        <v/>
      </c>
      <c r="T2965">
        <f>MAX(T2964,R2965)</f>
        <v/>
      </c>
      <c r="U2965">
        <f>R2965/T2965-1</f>
        <v/>
      </c>
      <c r="V2965" t="n">
        <v>7.629207812570721</v>
      </c>
      <c r="W2965" s="5">
        <f>R2965-V2965</f>
        <v/>
      </c>
    </row>
    <row r="2966">
      <c r="A2966" s="3" t="n">
        <v>42804</v>
      </c>
      <c r="B2966">
        <f>Prices!B2966</f>
        <v/>
      </c>
      <c r="C2966">
        <f>Prices!C2966</f>
        <v/>
      </c>
      <c r="D2966">
        <f>Prices!D2966</f>
        <v/>
      </c>
      <c r="E2966">
        <f>Prices!E2966</f>
        <v/>
      </c>
      <c r="F2966">
        <f>Prices!F2966</f>
        <v/>
      </c>
      <c r="G2966">
        <f>IF(AND(2964&gt;=16,TEXT(A2966,"yyyy-mm")&lt;&gt;TEXT(A2967,"yyyy-mm")),1,0)</f>
        <v/>
      </c>
      <c r="H2966">
        <f>IF(OR(H2965=1,G2966=1),1,0)</f>
        <v/>
      </c>
      <c r="I2966">
        <f>IF(H2965=0,1,SUMPRODUCT(J2965:N2965,B2966:F2966)+O2965*(1+0.00023125256064071564))</f>
        <v/>
      </c>
      <c r="J2966">
        <f>IF(G2966=1,0.2*R2966/B2966,J2965)</f>
        <v/>
      </c>
      <c r="K2966">
        <f>IF(G2966=1,0.2*R2966/C2966,K2965)</f>
        <v/>
      </c>
      <c r="L2966">
        <f>IF(G2966=1,0.2*R2966/D2966,L2965)</f>
        <v/>
      </c>
      <c r="M2966">
        <f>IF(G2966=1,0.2*R2966/E2966,M2965)</f>
        <v/>
      </c>
      <c r="N2966">
        <f>IF(G2966=1,0.2*R2966/F2966,N2965)</f>
        <v/>
      </c>
      <c r="O2966">
        <f>IF(G2966=1,R2966*(1-1.0),IF(H2965=0,1,O2965*(1+0.00023125256064071564)))</f>
        <v/>
      </c>
      <c r="P2966">
        <f>IF(G2966=1,IF(H2965=0,1,ABS(0.2-J2965*B2966/I2966)+ABS(0.2-K2965*C2966/I2966)+ABS(0.2-L2965*D2966/I2966)+ABS(0.2-M2965*E2966/I2966)+ABS(0.2-N2965*F2966/I2966)),0)</f>
        <v/>
      </c>
      <c r="Q2966">
        <f>P2966*0.0015</f>
        <v/>
      </c>
      <c r="R2966">
        <f>I2966*(1-Q2966)</f>
        <v/>
      </c>
      <c r="S2966">
        <f>R2966/R2965-1</f>
        <v/>
      </c>
      <c r="T2966">
        <f>MAX(T2965,R2966)</f>
        <v/>
      </c>
      <c r="U2966">
        <f>R2966/T2966-1</f>
        <v/>
      </c>
      <c r="V2966" t="n">
        <v>7.614407347225119</v>
      </c>
      <c r="W2966" s="5">
        <f>R2966-V2966</f>
        <v/>
      </c>
    </row>
    <row r="2967">
      <c r="A2967" s="3" t="n">
        <v>42808</v>
      </c>
      <c r="B2967">
        <f>Prices!B2967</f>
        <v/>
      </c>
      <c r="C2967">
        <f>Prices!C2967</f>
        <v/>
      </c>
      <c r="D2967">
        <f>Prices!D2967</f>
        <v/>
      </c>
      <c r="E2967">
        <f>Prices!E2967</f>
        <v/>
      </c>
      <c r="F2967">
        <f>Prices!F2967</f>
        <v/>
      </c>
      <c r="G2967">
        <f>IF(AND(2965&gt;=16,TEXT(A2967,"yyyy-mm")&lt;&gt;TEXT(A2968,"yyyy-mm")),1,0)</f>
        <v/>
      </c>
      <c r="H2967">
        <f>IF(OR(H2966=1,G2967=1),1,0)</f>
        <v/>
      </c>
      <c r="I2967">
        <f>IF(H2966=0,1,SUMPRODUCT(J2966:N2966,B2967:F2967)+O2966*(1+0.00023125256064071564))</f>
        <v/>
      </c>
      <c r="J2967">
        <f>IF(G2967=1,0.2*R2967/B2967,J2966)</f>
        <v/>
      </c>
      <c r="K2967">
        <f>IF(G2967=1,0.2*R2967/C2967,K2966)</f>
        <v/>
      </c>
      <c r="L2967">
        <f>IF(G2967=1,0.2*R2967/D2967,L2966)</f>
        <v/>
      </c>
      <c r="M2967">
        <f>IF(G2967=1,0.2*R2967/E2967,M2966)</f>
        <v/>
      </c>
      <c r="N2967">
        <f>IF(G2967=1,0.2*R2967/F2967,N2966)</f>
        <v/>
      </c>
      <c r="O2967">
        <f>IF(G2967=1,R2967*(1-1.0),IF(H2966=0,1,O2966*(1+0.00023125256064071564)))</f>
        <v/>
      </c>
      <c r="P2967">
        <f>IF(G2967=1,IF(H2966=0,1,ABS(0.2-J2966*B2967/I2967)+ABS(0.2-K2966*C2967/I2967)+ABS(0.2-L2966*D2967/I2967)+ABS(0.2-M2966*E2967/I2967)+ABS(0.2-N2966*F2967/I2967)),0)</f>
        <v/>
      </c>
      <c r="Q2967">
        <f>P2967*0.0015</f>
        <v/>
      </c>
      <c r="R2967">
        <f>I2967*(1-Q2967)</f>
        <v/>
      </c>
      <c r="S2967">
        <f>R2967/R2966-1</f>
        <v/>
      </c>
      <c r="T2967">
        <f>MAX(T2966,R2967)</f>
        <v/>
      </c>
      <c r="U2967">
        <f>R2967/T2967-1</f>
        <v/>
      </c>
      <c r="V2967" t="n">
        <v>7.73664450340741</v>
      </c>
      <c r="W2967" s="5">
        <f>R2967-V2967</f>
        <v/>
      </c>
    </row>
    <row r="2968">
      <c r="A2968" s="3" t="n">
        <v>42809</v>
      </c>
      <c r="B2968">
        <f>Prices!B2968</f>
        <v/>
      </c>
      <c r="C2968">
        <f>Prices!C2968</f>
        <v/>
      </c>
      <c r="D2968">
        <f>Prices!D2968</f>
        <v/>
      </c>
      <c r="E2968">
        <f>Prices!E2968</f>
        <v/>
      </c>
      <c r="F2968">
        <f>Prices!F2968</f>
        <v/>
      </c>
      <c r="G2968">
        <f>IF(AND(2966&gt;=16,TEXT(A2968,"yyyy-mm")&lt;&gt;TEXT(A2969,"yyyy-mm")),1,0)</f>
        <v/>
      </c>
      <c r="H2968">
        <f>IF(OR(H2967=1,G2968=1),1,0)</f>
        <v/>
      </c>
      <c r="I2968">
        <f>IF(H2967=0,1,SUMPRODUCT(J2967:N2967,B2968:F2968)+O2967*(1+0.00023125256064071564))</f>
        <v/>
      </c>
      <c r="J2968">
        <f>IF(G2968=1,0.2*R2968/B2968,J2967)</f>
        <v/>
      </c>
      <c r="K2968">
        <f>IF(G2968=1,0.2*R2968/C2968,K2967)</f>
        <v/>
      </c>
      <c r="L2968">
        <f>IF(G2968=1,0.2*R2968/D2968,L2967)</f>
        <v/>
      </c>
      <c r="M2968">
        <f>IF(G2968=1,0.2*R2968/E2968,M2967)</f>
        <v/>
      </c>
      <c r="N2968">
        <f>IF(G2968=1,0.2*R2968/F2968,N2967)</f>
        <v/>
      </c>
      <c r="O2968">
        <f>IF(G2968=1,R2968*(1-1.0),IF(H2967=0,1,O2967*(1+0.00023125256064071564)))</f>
        <v/>
      </c>
      <c r="P2968">
        <f>IF(G2968=1,IF(H2967=0,1,ABS(0.2-J2967*B2968/I2968)+ABS(0.2-K2967*C2968/I2968)+ABS(0.2-L2967*D2968/I2968)+ABS(0.2-M2967*E2968/I2968)+ABS(0.2-N2967*F2968/I2968)),0)</f>
        <v/>
      </c>
      <c r="Q2968">
        <f>P2968*0.0015</f>
        <v/>
      </c>
      <c r="R2968">
        <f>I2968*(1-Q2968)</f>
        <v/>
      </c>
      <c r="S2968">
        <f>R2968/R2967-1</f>
        <v/>
      </c>
      <c r="T2968">
        <f>MAX(T2967,R2968)</f>
        <v/>
      </c>
      <c r="U2968">
        <f>R2968/T2968-1</f>
        <v/>
      </c>
      <c r="V2968" t="n">
        <v>7.75647818249539</v>
      </c>
      <c r="W2968" s="5">
        <f>R2968-V2968</f>
        <v/>
      </c>
    </row>
    <row r="2969">
      <c r="A2969" s="3" t="n">
        <v>42810</v>
      </c>
      <c r="B2969">
        <f>Prices!B2969</f>
        <v/>
      </c>
      <c r="C2969">
        <f>Prices!C2969</f>
        <v/>
      </c>
      <c r="D2969">
        <f>Prices!D2969</f>
        <v/>
      </c>
      <c r="E2969">
        <f>Prices!E2969</f>
        <v/>
      </c>
      <c r="F2969">
        <f>Prices!F2969</f>
        <v/>
      </c>
      <c r="G2969">
        <f>IF(AND(2967&gt;=16,TEXT(A2969,"yyyy-mm")&lt;&gt;TEXT(A2970,"yyyy-mm")),1,0)</f>
        <v/>
      </c>
      <c r="H2969">
        <f>IF(OR(H2968=1,G2969=1),1,0)</f>
        <v/>
      </c>
      <c r="I2969">
        <f>IF(H2968=0,1,SUMPRODUCT(J2968:N2968,B2969:F2969)+O2968*(1+0.00023125256064071564))</f>
        <v/>
      </c>
      <c r="J2969">
        <f>IF(G2969=1,0.2*R2969/B2969,J2968)</f>
        <v/>
      </c>
      <c r="K2969">
        <f>IF(G2969=1,0.2*R2969/C2969,K2968)</f>
        <v/>
      </c>
      <c r="L2969">
        <f>IF(G2969=1,0.2*R2969/D2969,L2968)</f>
        <v/>
      </c>
      <c r="M2969">
        <f>IF(G2969=1,0.2*R2969/E2969,M2968)</f>
        <v/>
      </c>
      <c r="N2969">
        <f>IF(G2969=1,0.2*R2969/F2969,N2968)</f>
        <v/>
      </c>
      <c r="O2969">
        <f>IF(G2969=1,R2969*(1-1.0),IF(H2968=0,1,O2968*(1+0.00023125256064071564)))</f>
        <v/>
      </c>
      <c r="P2969">
        <f>IF(G2969=1,IF(H2968=0,1,ABS(0.2-J2968*B2969/I2969)+ABS(0.2-K2968*C2969/I2969)+ABS(0.2-L2968*D2969/I2969)+ABS(0.2-M2968*E2969/I2969)+ABS(0.2-N2968*F2969/I2969)),0)</f>
        <v/>
      </c>
      <c r="Q2969">
        <f>P2969*0.0015</f>
        <v/>
      </c>
      <c r="R2969">
        <f>I2969*(1-Q2969)</f>
        <v/>
      </c>
      <c r="S2969">
        <f>R2969/R2968-1</f>
        <v/>
      </c>
      <c r="T2969">
        <f>MAX(T2968,R2969)</f>
        <v/>
      </c>
      <c r="U2969">
        <f>R2969/T2969-1</f>
        <v/>
      </c>
      <c r="V2969" t="n">
        <v>7.854733510467358</v>
      </c>
      <c r="W2969" s="5">
        <f>R2969-V2969</f>
        <v/>
      </c>
    </row>
    <row r="2970">
      <c r="A2970" s="3" t="n">
        <v>42811</v>
      </c>
      <c r="B2970">
        <f>Prices!B2970</f>
        <v/>
      </c>
      <c r="C2970">
        <f>Prices!C2970</f>
        <v/>
      </c>
      <c r="D2970">
        <f>Prices!D2970</f>
        <v/>
      </c>
      <c r="E2970">
        <f>Prices!E2970</f>
        <v/>
      </c>
      <c r="F2970">
        <f>Prices!F2970</f>
        <v/>
      </c>
      <c r="G2970">
        <f>IF(AND(2968&gt;=16,TEXT(A2970,"yyyy-mm")&lt;&gt;TEXT(A2971,"yyyy-mm")),1,0)</f>
        <v/>
      </c>
      <c r="H2970">
        <f>IF(OR(H2969=1,G2970=1),1,0)</f>
        <v/>
      </c>
      <c r="I2970">
        <f>IF(H2969=0,1,SUMPRODUCT(J2969:N2969,B2970:F2970)+O2969*(1+0.00023125256064071564))</f>
        <v/>
      </c>
      <c r="J2970">
        <f>IF(G2970=1,0.2*R2970/B2970,J2969)</f>
        <v/>
      </c>
      <c r="K2970">
        <f>IF(G2970=1,0.2*R2970/C2970,K2969)</f>
        <v/>
      </c>
      <c r="L2970">
        <f>IF(G2970=1,0.2*R2970/D2970,L2969)</f>
        <v/>
      </c>
      <c r="M2970">
        <f>IF(G2970=1,0.2*R2970/E2970,M2969)</f>
        <v/>
      </c>
      <c r="N2970">
        <f>IF(G2970=1,0.2*R2970/F2970,N2969)</f>
        <v/>
      </c>
      <c r="O2970">
        <f>IF(G2970=1,R2970*(1-1.0),IF(H2969=0,1,O2969*(1+0.00023125256064071564)))</f>
        <v/>
      </c>
      <c r="P2970">
        <f>IF(G2970=1,IF(H2969=0,1,ABS(0.2-J2969*B2970/I2970)+ABS(0.2-K2969*C2970/I2970)+ABS(0.2-L2969*D2970/I2970)+ABS(0.2-M2969*E2970/I2970)+ABS(0.2-N2969*F2970/I2970)),0)</f>
        <v/>
      </c>
      <c r="Q2970">
        <f>P2970*0.0015</f>
        <v/>
      </c>
      <c r="R2970">
        <f>I2970*(1-Q2970)</f>
        <v/>
      </c>
      <c r="S2970">
        <f>R2970/R2969-1</f>
        <v/>
      </c>
      <c r="T2970">
        <f>MAX(T2969,R2970)</f>
        <v/>
      </c>
      <c r="U2970">
        <f>R2970/T2970-1</f>
        <v/>
      </c>
      <c r="V2970" t="n">
        <v>7.848919778095444</v>
      </c>
      <c r="W2970" s="5">
        <f>R2970-V2970</f>
        <v/>
      </c>
    </row>
    <row r="2971">
      <c r="A2971" s="3" t="n">
        <v>42814</v>
      </c>
      <c r="B2971">
        <f>Prices!B2971</f>
        <v/>
      </c>
      <c r="C2971">
        <f>Prices!C2971</f>
        <v/>
      </c>
      <c r="D2971">
        <f>Prices!D2971</f>
        <v/>
      </c>
      <c r="E2971">
        <f>Prices!E2971</f>
        <v/>
      </c>
      <c r="F2971">
        <f>Prices!F2971</f>
        <v/>
      </c>
      <c r="G2971">
        <f>IF(AND(2969&gt;=16,TEXT(A2971,"yyyy-mm")&lt;&gt;TEXT(A2972,"yyyy-mm")),1,0)</f>
        <v/>
      </c>
      <c r="H2971">
        <f>IF(OR(H2970=1,G2971=1),1,0)</f>
        <v/>
      </c>
      <c r="I2971">
        <f>IF(H2970=0,1,SUMPRODUCT(J2970:N2970,B2971:F2971)+O2970*(1+0.00023125256064071564))</f>
        <v/>
      </c>
      <c r="J2971">
        <f>IF(G2971=1,0.2*R2971/B2971,J2970)</f>
        <v/>
      </c>
      <c r="K2971">
        <f>IF(G2971=1,0.2*R2971/C2971,K2970)</f>
        <v/>
      </c>
      <c r="L2971">
        <f>IF(G2971=1,0.2*R2971/D2971,L2970)</f>
        <v/>
      </c>
      <c r="M2971">
        <f>IF(G2971=1,0.2*R2971/E2971,M2970)</f>
        <v/>
      </c>
      <c r="N2971">
        <f>IF(G2971=1,0.2*R2971/F2971,N2970)</f>
        <v/>
      </c>
      <c r="O2971">
        <f>IF(G2971=1,R2971*(1-1.0),IF(H2970=0,1,O2970*(1+0.00023125256064071564)))</f>
        <v/>
      </c>
      <c r="P2971">
        <f>IF(G2971=1,IF(H2970=0,1,ABS(0.2-J2970*B2971/I2971)+ABS(0.2-K2970*C2971/I2971)+ABS(0.2-L2970*D2971/I2971)+ABS(0.2-M2970*E2971/I2971)+ABS(0.2-N2970*F2971/I2971)),0)</f>
        <v/>
      </c>
      <c r="Q2971">
        <f>P2971*0.0015</f>
        <v/>
      </c>
      <c r="R2971">
        <f>I2971*(1-Q2971)</f>
        <v/>
      </c>
      <c r="S2971">
        <f>R2971/R2970-1</f>
        <v/>
      </c>
      <c r="T2971">
        <f>MAX(T2970,R2971)</f>
        <v/>
      </c>
      <c r="U2971">
        <f>R2971/T2971-1</f>
        <v/>
      </c>
      <c r="V2971" t="n">
        <v>7.847931043704851</v>
      </c>
      <c r="W2971" s="5">
        <f>R2971-V2971</f>
        <v/>
      </c>
    </row>
    <row r="2972">
      <c r="A2972" s="3" t="n">
        <v>42815</v>
      </c>
      <c r="B2972">
        <f>Prices!B2972</f>
        <v/>
      </c>
      <c r="C2972">
        <f>Prices!C2972</f>
        <v/>
      </c>
      <c r="D2972">
        <f>Prices!D2972</f>
        <v/>
      </c>
      <c r="E2972">
        <f>Prices!E2972</f>
        <v/>
      </c>
      <c r="F2972">
        <f>Prices!F2972</f>
        <v/>
      </c>
      <c r="G2972">
        <f>IF(AND(2970&gt;=16,TEXT(A2972,"yyyy-mm")&lt;&gt;TEXT(A2973,"yyyy-mm")),1,0)</f>
        <v/>
      </c>
      <c r="H2972">
        <f>IF(OR(H2971=1,G2972=1),1,0)</f>
        <v/>
      </c>
      <c r="I2972">
        <f>IF(H2971=0,1,SUMPRODUCT(J2971:N2971,B2972:F2972)+O2971*(1+0.00023125256064071564))</f>
        <v/>
      </c>
      <c r="J2972">
        <f>IF(G2972=1,0.2*R2972/B2972,J2971)</f>
        <v/>
      </c>
      <c r="K2972">
        <f>IF(G2972=1,0.2*R2972/C2972,K2971)</f>
        <v/>
      </c>
      <c r="L2972">
        <f>IF(G2972=1,0.2*R2972/D2972,L2971)</f>
        <v/>
      </c>
      <c r="M2972">
        <f>IF(G2972=1,0.2*R2972/E2972,M2971)</f>
        <v/>
      </c>
      <c r="N2972">
        <f>IF(G2972=1,0.2*R2972/F2972,N2971)</f>
        <v/>
      </c>
      <c r="O2972">
        <f>IF(G2972=1,R2972*(1-1.0),IF(H2971=0,1,O2971*(1+0.00023125256064071564)))</f>
        <v/>
      </c>
      <c r="P2972">
        <f>IF(G2972=1,IF(H2971=0,1,ABS(0.2-J2971*B2972/I2972)+ABS(0.2-K2971*C2972/I2972)+ABS(0.2-L2971*D2972/I2972)+ABS(0.2-M2971*E2972/I2972)+ABS(0.2-N2971*F2972/I2972)),0)</f>
        <v/>
      </c>
      <c r="Q2972">
        <f>P2972*0.0015</f>
        <v/>
      </c>
      <c r="R2972">
        <f>I2972*(1-Q2972)</f>
        <v/>
      </c>
      <c r="S2972">
        <f>R2972/R2971-1</f>
        <v/>
      </c>
      <c r="T2972">
        <f>MAX(T2971,R2972)</f>
        <v/>
      </c>
      <c r="U2972">
        <f>R2972/T2972-1</f>
        <v/>
      </c>
      <c r="V2972" t="n">
        <v>7.836153115618136</v>
      </c>
      <c r="W2972" s="5">
        <f>R2972-V2972</f>
        <v/>
      </c>
    </row>
    <row r="2973">
      <c r="A2973" s="3" t="n">
        <v>42816</v>
      </c>
      <c r="B2973">
        <f>Prices!B2973</f>
        <v/>
      </c>
      <c r="C2973">
        <f>Prices!C2973</f>
        <v/>
      </c>
      <c r="D2973">
        <f>Prices!D2973</f>
        <v/>
      </c>
      <c r="E2973">
        <f>Prices!E2973</f>
        <v/>
      </c>
      <c r="F2973">
        <f>Prices!F2973</f>
        <v/>
      </c>
      <c r="G2973">
        <f>IF(AND(2971&gt;=16,TEXT(A2973,"yyyy-mm")&lt;&gt;TEXT(A2974,"yyyy-mm")),1,0)</f>
        <v/>
      </c>
      <c r="H2973">
        <f>IF(OR(H2972=1,G2973=1),1,0)</f>
        <v/>
      </c>
      <c r="I2973">
        <f>IF(H2972=0,1,SUMPRODUCT(J2972:N2972,B2973:F2973)+O2972*(1+0.00023125256064071564))</f>
        <v/>
      </c>
      <c r="J2973">
        <f>IF(G2973=1,0.2*R2973/B2973,J2972)</f>
        <v/>
      </c>
      <c r="K2973">
        <f>IF(G2973=1,0.2*R2973/C2973,K2972)</f>
        <v/>
      </c>
      <c r="L2973">
        <f>IF(G2973=1,0.2*R2973/D2973,L2972)</f>
        <v/>
      </c>
      <c r="M2973">
        <f>IF(G2973=1,0.2*R2973/E2973,M2972)</f>
        <v/>
      </c>
      <c r="N2973">
        <f>IF(G2973=1,0.2*R2973/F2973,N2972)</f>
        <v/>
      </c>
      <c r="O2973">
        <f>IF(G2973=1,R2973*(1-1.0),IF(H2972=0,1,O2972*(1+0.00023125256064071564)))</f>
        <v/>
      </c>
      <c r="P2973">
        <f>IF(G2973=1,IF(H2972=0,1,ABS(0.2-J2972*B2973/I2973)+ABS(0.2-K2972*C2973/I2973)+ABS(0.2-L2972*D2973/I2973)+ABS(0.2-M2972*E2973/I2973)+ABS(0.2-N2972*F2973/I2973)),0)</f>
        <v/>
      </c>
      <c r="Q2973">
        <f>P2973*0.0015</f>
        <v/>
      </c>
      <c r="R2973">
        <f>I2973*(1-Q2973)</f>
        <v/>
      </c>
      <c r="S2973">
        <f>R2973/R2972-1</f>
        <v/>
      </c>
      <c r="T2973">
        <f>MAX(T2972,R2973)</f>
        <v/>
      </c>
      <c r="U2973">
        <f>R2973/T2973-1</f>
        <v/>
      </c>
      <c r="V2973" t="n">
        <v>7.762959254969009</v>
      </c>
      <c r="W2973" s="5">
        <f>R2973-V2973</f>
        <v/>
      </c>
    </row>
    <row r="2974">
      <c r="A2974" s="3" t="n">
        <v>42817</v>
      </c>
      <c r="B2974">
        <f>Prices!B2974</f>
        <v/>
      </c>
      <c r="C2974">
        <f>Prices!C2974</f>
        <v/>
      </c>
      <c r="D2974">
        <f>Prices!D2974</f>
        <v/>
      </c>
      <c r="E2974">
        <f>Prices!E2974</f>
        <v/>
      </c>
      <c r="F2974">
        <f>Prices!F2974</f>
        <v/>
      </c>
      <c r="G2974">
        <f>IF(AND(2972&gt;=16,TEXT(A2974,"yyyy-mm")&lt;&gt;TEXT(A2975,"yyyy-mm")),1,0)</f>
        <v/>
      </c>
      <c r="H2974">
        <f>IF(OR(H2973=1,G2974=1),1,0)</f>
        <v/>
      </c>
      <c r="I2974">
        <f>IF(H2973=0,1,SUMPRODUCT(J2973:N2973,B2974:F2974)+O2973*(1+0.00023125256064071564))</f>
        <v/>
      </c>
      <c r="J2974">
        <f>IF(G2974=1,0.2*R2974/B2974,J2973)</f>
        <v/>
      </c>
      <c r="K2974">
        <f>IF(G2974=1,0.2*R2974/C2974,K2973)</f>
        <v/>
      </c>
      <c r="L2974">
        <f>IF(G2974=1,0.2*R2974/D2974,L2973)</f>
        <v/>
      </c>
      <c r="M2974">
        <f>IF(G2974=1,0.2*R2974/E2974,M2973)</f>
        <v/>
      </c>
      <c r="N2974">
        <f>IF(G2974=1,0.2*R2974/F2974,N2973)</f>
        <v/>
      </c>
      <c r="O2974">
        <f>IF(G2974=1,R2974*(1-1.0),IF(H2973=0,1,O2973*(1+0.00023125256064071564)))</f>
        <v/>
      </c>
      <c r="P2974">
        <f>IF(G2974=1,IF(H2973=0,1,ABS(0.2-J2973*B2974/I2974)+ABS(0.2-K2973*C2974/I2974)+ABS(0.2-L2973*D2974/I2974)+ABS(0.2-M2973*E2974/I2974)+ABS(0.2-N2973*F2974/I2974)),0)</f>
        <v/>
      </c>
      <c r="Q2974">
        <f>P2974*0.0015</f>
        <v/>
      </c>
      <c r="R2974">
        <f>I2974*(1-Q2974)</f>
        <v/>
      </c>
      <c r="S2974">
        <f>R2974/R2973-1</f>
        <v/>
      </c>
      <c r="T2974">
        <f>MAX(T2973,R2974)</f>
        <v/>
      </c>
      <c r="U2974">
        <f>R2974/T2974-1</f>
        <v/>
      </c>
      <c r="V2974" t="n">
        <v>7.835536002012723</v>
      </c>
      <c r="W2974" s="5">
        <f>R2974-V2974</f>
        <v/>
      </c>
    </row>
    <row r="2975">
      <c r="A2975" s="3" t="n">
        <v>42818</v>
      </c>
      <c r="B2975">
        <f>Prices!B2975</f>
        <v/>
      </c>
      <c r="C2975">
        <f>Prices!C2975</f>
        <v/>
      </c>
      <c r="D2975">
        <f>Prices!D2975</f>
        <v/>
      </c>
      <c r="E2975">
        <f>Prices!E2975</f>
        <v/>
      </c>
      <c r="F2975">
        <f>Prices!F2975</f>
        <v/>
      </c>
      <c r="G2975">
        <f>IF(AND(2973&gt;=16,TEXT(A2975,"yyyy-mm")&lt;&gt;TEXT(A2976,"yyyy-mm")),1,0)</f>
        <v/>
      </c>
      <c r="H2975">
        <f>IF(OR(H2974=1,G2975=1),1,0)</f>
        <v/>
      </c>
      <c r="I2975">
        <f>IF(H2974=0,1,SUMPRODUCT(J2974:N2974,B2975:F2975)+O2974*(1+0.00023125256064071564))</f>
        <v/>
      </c>
      <c r="J2975">
        <f>IF(G2975=1,0.2*R2975/B2975,J2974)</f>
        <v/>
      </c>
      <c r="K2975">
        <f>IF(G2975=1,0.2*R2975/C2975,K2974)</f>
        <v/>
      </c>
      <c r="L2975">
        <f>IF(G2975=1,0.2*R2975/D2975,L2974)</f>
        <v/>
      </c>
      <c r="M2975">
        <f>IF(G2975=1,0.2*R2975/E2975,M2974)</f>
        <v/>
      </c>
      <c r="N2975">
        <f>IF(G2975=1,0.2*R2975/F2975,N2974)</f>
        <v/>
      </c>
      <c r="O2975">
        <f>IF(G2975=1,R2975*(1-1.0),IF(H2974=0,1,O2974*(1+0.00023125256064071564)))</f>
        <v/>
      </c>
      <c r="P2975">
        <f>IF(G2975=1,IF(H2974=0,1,ABS(0.2-J2974*B2975/I2975)+ABS(0.2-K2974*C2975/I2975)+ABS(0.2-L2974*D2975/I2975)+ABS(0.2-M2974*E2975/I2975)+ABS(0.2-N2974*F2975/I2975)),0)</f>
        <v/>
      </c>
      <c r="Q2975">
        <f>P2975*0.0015</f>
        <v/>
      </c>
      <c r="R2975">
        <f>I2975*(1-Q2975)</f>
        <v/>
      </c>
      <c r="S2975">
        <f>R2975/R2974-1</f>
        <v/>
      </c>
      <c r="T2975">
        <f>MAX(T2974,R2975)</f>
        <v/>
      </c>
      <c r="U2975">
        <f>R2975/T2975-1</f>
        <v/>
      </c>
      <c r="V2975" t="n">
        <v>7.852847599975929</v>
      </c>
      <c r="W2975" s="5">
        <f>R2975-V2975</f>
        <v/>
      </c>
    </row>
    <row r="2976">
      <c r="A2976" s="3" t="n">
        <v>42821</v>
      </c>
      <c r="B2976">
        <f>Prices!B2976</f>
        <v/>
      </c>
      <c r="C2976">
        <f>Prices!C2976</f>
        <v/>
      </c>
      <c r="D2976">
        <f>Prices!D2976</f>
        <v/>
      </c>
      <c r="E2976">
        <f>Prices!E2976</f>
        <v/>
      </c>
      <c r="F2976">
        <f>Prices!F2976</f>
        <v/>
      </c>
      <c r="G2976">
        <f>IF(AND(2974&gt;=16,TEXT(A2976,"yyyy-mm")&lt;&gt;TEXT(A2977,"yyyy-mm")),1,0)</f>
        <v/>
      </c>
      <c r="H2976">
        <f>IF(OR(H2975=1,G2976=1),1,0)</f>
        <v/>
      </c>
      <c r="I2976">
        <f>IF(H2975=0,1,SUMPRODUCT(J2975:N2975,B2976:F2976)+O2975*(1+0.00023125256064071564))</f>
        <v/>
      </c>
      <c r="J2976">
        <f>IF(G2976=1,0.2*R2976/B2976,J2975)</f>
        <v/>
      </c>
      <c r="K2976">
        <f>IF(G2976=1,0.2*R2976/C2976,K2975)</f>
        <v/>
      </c>
      <c r="L2976">
        <f>IF(G2976=1,0.2*R2976/D2976,L2975)</f>
        <v/>
      </c>
      <c r="M2976">
        <f>IF(G2976=1,0.2*R2976/E2976,M2975)</f>
        <v/>
      </c>
      <c r="N2976">
        <f>IF(G2976=1,0.2*R2976/F2976,N2975)</f>
        <v/>
      </c>
      <c r="O2976">
        <f>IF(G2976=1,R2976*(1-1.0),IF(H2975=0,1,O2975*(1+0.00023125256064071564)))</f>
        <v/>
      </c>
      <c r="P2976">
        <f>IF(G2976=1,IF(H2975=0,1,ABS(0.2-J2975*B2976/I2976)+ABS(0.2-K2975*C2976/I2976)+ABS(0.2-L2975*D2976/I2976)+ABS(0.2-M2975*E2976/I2976)+ABS(0.2-N2975*F2976/I2976)),0)</f>
        <v/>
      </c>
      <c r="Q2976">
        <f>P2976*0.0015</f>
        <v/>
      </c>
      <c r="R2976">
        <f>I2976*(1-Q2976)</f>
        <v/>
      </c>
      <c r="S2976">
        <f>R2976/R2975-1</f>
        <v/>
      </c>
      <c r="T2976">
        <f>MAX(T2975,R2976)</f>
        <v/>
      </c>
      <c r="U2976">
        <f>R2976/T2976-1</f>
        <v/>
      </c>
      <c r="V2976" t="n">
        <v>7.814893261423833</v>
      </c>
      <c r="W2976" s="5">
        <f>R2976-V2976</f>
        <v/>
      </c>
    </row>
    <row r="2977">
      <c r="A2977" s="3" t="n">
        <v>42822</v>
      </c>
      <c r="B2977">
        <f>Prices!B2977</f>
        <v/>
      </c>
      <c r="C2977">
        <f>Prices!C2977</f>
        <v/>
      </c>
      <c r="D2977">
        <f>Prices!D2977</f>
        <v/>
      </c>
      <c r="E2977">
        <f>Prices!E2977</f>
        <v/>
      </c>
      <c r="F2977">
        <f>Prices!F2977</f>
        <v/>
      </c>
      <c r="G2977">
        <f>IF(AND(2975&gt;=16,TEXT(A2977,"yyyy-mm")&lt;&gt;TEXT(A2978,"yyyy-mm")),1,0)</f>
        <v/>
      </c>
      <c r="H2977">
        <f>IF(OR(H2976=1,G2977=1),1,0)</f>
        <v/>
      </c>
      <c r="I2977">
        <f>IF(H2976=0,1,SUMPRODUCT(J2976:N2976,B2977:F2977)+O2976*(1+0.00023125256064071564))</f>
        <v/>
      </c>
      <c r="J2977">
        <f>IF(G2977=1,0.2*R2977/B2977,J2976)</f>
        <v/>
      </c>
      <c r="K2977">
        <f>IF(G2977=1,0.2*R2977/C2977,K2976)</f>
        <v/>
      </c>
      <c r="L2977">
        <f>IF(G2977=1,0.2*R2977/D2977,L2976)</f>
        <v/>
      </c>
      <c r="M2977">
        <f>IF(G2977=1,0.2*R2977/E2977,M2976)</f>
        <v/>
      </c>
      <c r="N2977">
        <f>IF(G2977=1,0.2*R2977/F2977,N2976)</f>
        <v/>
      </c>
      <c r="O2977">
        <f>IF(G2977=1,R2977*(1-1.0),IF(H2976=0,1,O2976*(1+0.00023125256064071564)))</f>
        <v/>
      </c>
      <c r="P2977">
        <f>IF(G2977=1,IF(H2976=0,1,ABS(0.2-J2976*B2977/I2977)+ABS(0.2-K2976*C2977/I2977)+ABS(0.2-L2976*D2977/I2977)+ABS(0.2-M2976*E2977/I2977)+ABS(0.2-N2976*F2977/I2977)),0)</f>
        <v/>
      </c>
      <c r="Q2977">
        <f>P2977*0.0015</f>
        <v/>
      </c>
      <c r="R2977">
        <f>I2977*(1-Q2977)</f>
        <v/>
      </c>
      <c r="S2977">
        <f>R2977/R2976-1</f>
        <v/>
      </c>
      <c r="T2977">
        <f>MAX(T2976,R2977)</f>
        <v/>
      </c>
      <c r="U2977">
        <f>R2977/T2977-1</f>
        <v/>
      </c>
      <c r="V2977" t="n">
        <v>7.862020964540713</v>
      </c>
      <c r="W2977" s="5">
        <f>R2977-V2977</f>
        <v/>
      </c>
    </row>
    <row r="2978">
      <c r="A2978" s="3" t="n">
        <v>42823</v>
      </c>
      <c r="B2978">
        <f>Prices!B2978</f>
        <v/>
      </c>
      <c r="C2978">
        <f>Prices!C2978</f>
        <v/>
      </c>
      <c r="D2978">
        <f>Prices!D2978</f>
        <v/>
      </c>
      <c r="E2978">
        <f>Prices!E2978</f>
        <v/>
      </c>
      <c r="F2978">
        <f>Prices!F2978</f>
        <v/>
      </c>
      <c r="G2978">
        <f>IF(AND(2976&gt;=16,TEXT(A2978,"yyyy-mm")&lt;&gt;TEXT(A2979,"yyyy-mm")),1,0)</f>
        <v/>
      </c>
      <c r="H2978">
        <f>IF(OR(H2977=1,G2978=1),1,0)</f>
        <v/>
      </c>
      <c r="I2978">
        <f>IF(H2977=0,1,SUMPRODUCT(J2977:N2977,B2978:F2978)+O2977*(1+0.00023125256064071564))</f>
        <v/>
      </c>
      <c r="J2978">
        <f>IF(G2978=1,0.2*R2978/B2978,J2977)</f>
        <v/>
      </c>
      <c r="K2978">
        <f>IF(G2978=1,0.2*R2978/C2978,K2977)</f>
        <v/>
      </c>
      <c r="L2978">
        <f>IF(G2978=1,0.2*R2978/D2978,L2977)</f>
        <v/>
      </c>
      <c r="M2978">
        <f>IF(G2978=1,0.2*R2978/E2978,M2977)</f>
        <v/>
      </c>
      <c r="N2978">
        <f>IF(G2978=1,0.2*R2978/F2978,N2977)</f>
        <v/>
      </c>
      <c r="O2978">
        <f>IF(G2978=1,R2978*(1-1.0),IF(H2977=0,1,O2977*(1+0.00023125256064071564)))</f>
        <v/>
      </c>
      <c r="P2978">
        <f>IF(G2978=1,IF(H2977=0,1,ABS(0.2-J2977*B2978/I2978)+ABS(0.2-K2977*C2978/I2978)+ABS(0.2-L2977*D2978/I2978)+ABS(0.2-M2977*E2978/I2978)+ABS(0.2-N2977*F2978/I2978)),0)</f>
        <v/>
      </c>
      <c r="Q2978">
        <f>P2978*0.0015</f>
        <v/>
      </c>
      <c r="R2978">
        <f>I2978*(1-Q2978)</f>
        <v/>
      </c>
      <c r="S2978">
        <f>R2978/R2977-1</f>
        <v/>
      </c>
      <c r="T2978">
        <f>MAX(T2977,R2978)</f>
        <v/>
      </c>
      <c r="U2978">
        <f>R2978/T2978-1</f>
        <v/>
      </c>
      <c r="V2978" t="n">
        <v>7.889511104138062</v>
      </c>
      <c r="W2978" s="5">
        <f>R2978-V2978</f>
        <v/>
      </c>
    </row>
    <row r="2979">
      <c r="A2979" s="3" t="n">
        <v>42824</v>
      </c>
      <c r="B2979">
        <f>Prices!B2979</f>
        <v/>
      </c>
      <c r="C2979">
        <f>Prices!C2979</f>
        <v/>
      </c>
      <c r="D2979">
        <f>Prices!D2979</f>
        <v/>
      </c>
      <c r="E2979">
        <f>Prices!E2979</f>
        <v/>
      </c>
      <c r="F2979">
        <f>Prices!F2979</f>
        <v/>
      </c>
      <c r="G2979">
        <f>IF(AND(2977&gt;=16,TEXT(A2979,"yyyy-mm")&lt;&gt;TEXT(A2980,"yyyy-mm")),1,0)</f>
        <v/>
      </c>
      <c r="H2979">
        <f>IF(OR(H2978=1,G2979=1),1,0)</f>
        <v/>
      </c>
      <c r="I2979">
        <f>IF(H2978=0,1,SUMPRODUCT(J2978:N2978,B2979:F2979)+O2978*(1+0.00023125256064071564))</f>
        <v/>
      </c>
      <c r="J2979">
        <f>IF(G2979=1,0.2*R2979/B2979,J2978)</f>
        <v/>
      </c>
      <c r="K2979">
        <f>IF(G2979=1,0.2*R2979/C2979,K2978)</f>
        <v/>
      </c>
      <c r="L2979">
        <f>IF(G2979=1,0.2*R2979/D2979,L2978)</f>
        <v/>
      </c>
      <c r="M2979">
        <f>IF(G2979=1,0.2*R2979/E2979,M2978)</f>
        <v/>
      </c>
      <c r="N2979">
        <f>IF(G2979=1,0.2*R2979/F2979,N2978)</f>
        <v/>
      </c>
      <c r="O2979">
        <f>IF(G2979=1,R2979*(1-1.0),IF(H2978=0,1,O2978*(1+0.00023125256064071564)))</f>
        <v/>
      </c>
      <c r="P2979">
        <f>IF(G2979=1,IF(H2978=0,1,ABS(0.2-J2978*B2979/I2979)+ABS(0.2-K2978*C2979/I2979)+ABS(0.2-L2978*D2979/I2979)+ABS(0.2-M2978*E2979/I2979)+ABS(0.2-N2978*F2979/I2979)),0)</f>
        <v/>
      </c>
      <c r="Q2979">
        <f>P2979*0.0015</f>
        <v/>
      </c>
      <c r="R2979">
        <f>I2979*(1-Q2979)</f>
        <v/>
      </c>
      <c r="S2979">
        <f>R2979/R2978-1</f>
        <v/>
      </c>
      <c r="T2979">
        <f>MAX(T2978,R2979)</f>
        <v/>
      </c>
      <c r="U2979">
        <f>R2979/T2979-1</f>
        <v/>
      </c>
      <c r="V2979" t="n">
        <v>7.912371563295113</v>
      </c>
      <c r="W2979" s="5">
        <f>R2979-V2979</f>
        <v/>
      </c>
    </row>
    <row r="2980">
      <c r="A2980" s="3" t="n">
        <v>42825</v>
      </c>
      <c r="B2980">
        <f>Prices!B2980</f>
        <v/>
      </c>
      <c r="C2980">
        <f>Prices!C2980</f>
        <v/>
      </c>
      <c r="D2980">
        <f>Prices!D2980</f>
        <v/>
      </c>
      <c r="E2980">
        <f>Prices!E2980</f>
        <v/>
      </c>
      <c r="F2980">
        <f>Prices!F2980</f>
        <v/>
      </c>
      <c r="G2980">
        <f>IF(AND(2978&gt;=16,TEXT(A2980,"yyyy-mm")&lt;&gt;TEXT(A2981,"yyyy-mm")),1,0)</f>
        <v/>
      </c>
      <c r="H2980">
        <f>IF(OR(H2979=1,G2980=1),1,0)</f>
        <v/>
      </c>
      <c r="I2980">
        <f>IF(H2979=0,1,SUMPRODUCT(J2979:N2979,B2980:F2980)+O2979*(1+0.00023125256064071564))</f>
        <v/>
      </c>
      <c r="J2980">
        <f>IF(G2980=1,0.2*R2980/B2980,J2979)</f>
        <v/>
      </c>
      <c r="K2980">
        <f>IF(G2980=1,0.2*R2980/C2980,K2979)</f>
        <v/>
      </c>
      <c r="L2980">
        <f>IF(G2980=1,0.2*R2980/D2980,L2979)</f>
        <v/>
      </c>
      <c r="M2980">
        <f>IF(G2980=1,0.2*R2980/E2980,M2979)</f>
        <v/>
      </c>
      <c r="N2980">
        <f>IF(G2980=1,0.2*R2980/F2980,N2979)</f>
        <v/>
      </c>
      <c r="O2980">
        <f>IF(G2980=1,R2980*(1-1.0),IF(H2979=0,1,O2979*(1+0.00023125256064071564)))</f>
        <v/>
      </c>
      <c r="P2980">
        <f>IF(G2980=1,IF(H2979=0,1,ABS(0.2-J2979*B2980/I2980)+ABS(0.2-K2979*C2980/I2980)+ABS(0.2-L2979*D2980/I2980)+ABS(0.2-M2979*E2980/I2980)+ABS(0.2-N2979*F2980/I2980)),0)</f>
        <v/>
      </c>
      <c r="Q2980">
        <f>P2980*0.0015</f>
        <v/>
      </c>
      <c r="R2980">
        <f>I2980*(1-Q2980)</f>
        <v/>
      </c>
      <c r="S2980">
        <f>R2980/R2979-1</f>
        <v/>
      </c>
      <c r="T2980">
        <f>MAX(T2979,R2980)</f>
        <v/>
      </c>
      <c r="U2980">
        <f>R2980/T2980-1</f>
        <v/>
      </c>
      <c r="V2980" t="n">
        <v>7.971168846219475</v>
      </c>
      <c r="W2980" s="5">
        <f>R2980-V2980</f>
        <v/>
      </c>
    </row>
    <row r="2981">
      <c r="A2981" s="3" t="n">
        <v>42828</v>
      </c>
      <c r="B2981">
        <f>Prices!B2981</f>
        <v/>
      </c>
      <c r="C2981">
        <f>Prices!C2981</f>
        <v/>
      </c>
      <c r="D2981">
        <f>Prices!D2981</f>
        <v/>
      </c>
      <c r="E2981">
        <f>Prices!E2981</f>
        <v/>
      </c>
      <c r="F2981">
        <f>Prices!F2981</f>
        <v/>
      </c>
      <c r="G2981">
        <f>IF(AND(2979&gt;=16,TEXT(A2981,"yyyy-mm")&lt;&gt;TEXT(A2982,"yyyy-mm")),1,0)</f>
        <v/>
      </c>
      <c r="H2981">
        <f>IF(OR(H2980=1,G2981=1),1,0)</f>
        <v/>
      </c>
      <c r="I2981">
        <f>IF(H2980=0,1,SUMPRODUCT(J2980:N2980,B2981:F2981)+O2980*(1+0.00023125256064071564))</f>
        <v/>
      </c>
      <c r="J2981">
        <f>IF(G2981=1,0.2*R2981/B2981,J2980)</f>
        <v/>
      </c>
      <c r="K2981">
        <f>IF(G2981=1,0.2*R2981/C2981,K2980)</f>
        <v/>
      </c>
      <c r="L2981">
        <f>IF(G2981=1,0.2*R2981/D2981,L2980)</f>
        <v/>
      </c>
      <c r="M2981">
        <f>IF(G2981=1,0.2*R2981/E2981,M2980)</f>
        <v/>
      </c>
      <c r="N2981">
        <f>IF(G2981=1,0.2*R2981/F2981,N2980)</f>
        <v/>
      </c>
      <c r="O2981">
        <f>IF(G2981=1,R2981*(1-1.0),IF(H2980=0,1,O2980*(1+0.00023125256064071564)))</f>
        <v/>
      </c>
      <c r="P2981">
        <f>IF(G2981=1,IF(H2980=0,1,ABS(0.2-J2980*B2981/I2981)+ABS(0.2-K2980*C2981/I2981)+ABS(0.2-L2980*D2981/I2981)+ABS(0.2-M2980*E2981/I2981)+ABS(0.2-N2980*F2981/I2981)),0)</f>
        <v/>
      </c>
      <c r="Q2981">
        <f>P2981*0.0015</f>
        <v/>
      </c>
      <c r="R2981">
        <f>I2981*(1-Q2981)</f>
        <v/>
      </c>
      <c r="S2981">
        <f>R2981/R2980-1</f>
        <v/>
      </c>
      <c r="T2981">
        <f>MAX(T2980,R2981)</f>
        <v/>
      </c>
      <c r="U2981">
        <f>R2981/T2981-1</f>
        <v/>
      </c>
      <c r="V2981" t="n">
        <v>7.998712634572215</v>
      </c>
      <c r="W2981" s="5">
        <f>R2981-V2981</f>
        <v/>
      </c>
    </row>
    <row r="2982">
      <c r="A2982" s="3" t="n">
        <v>42830</v>
      </c>
      <c r="B2982">
        <f>Prices!B2982</f>
        <v/>
      </c>
      <c r="C2982">
        <f>Prices!C2982</f>
        <v/>
      </c>
      <c r="D2982">
        <f>Prices!D2982</f>
        <v/>
      </c>
      <c r="E2982">
        <f>Prices!E2982</f>
        <v/>
      </c>
      <c r="F2982">
        <f>Prices!F2982</f>
        <v/>
      </c>
      <c r="G2982">
        <f>IF(AND(2980&gt;=16,TEXT(A2982,"yyyy-mm")&lt;&gt;TEXT(A2983,"yyyy-mm")),1,0)</f>
        <v/>
      </c>
      <c r="H2982">
        <f>IF(OR(H2981=1,G2982=1),1,0)</f>
        <v/>
      </c>
      <c r="I2982">
        <f>IF(H2981=0,1,SUMPRODUCT(J2981:N2981,B2982:F2982)+O2981*(1+0.00023125256064071564))</f>
        <v/>
      </c>
      <c r="J2982">
        <f>IF(G2982=1,0.2*R2982/B2982,J2981)</f>
        <v/>
      </c>
      <c r="K2982">
        <f>IF(G2982=1,0.2*R2982/C2982,K2981)</f>
        <v/>
      </c>
      <c r="L2982">
        <f>IF(G2982=1,0.2*R2982/D2982,L2981)</f>
        <v/>
      </c>
      <c r="M2982">
        <f>IF(G2982=1,0.2*R2982/E2982,M2981)</f>
        <v/>
      </c>
      <c r="N2982">
        <f>IF(G2982=1,0.2*R2982/F2982,N2981)</f>
        <v/>
      </c>
      <c r="O2982">
        <f>IF(G2982=1,R2982*(1-1.0),IF(H2981=0,1,O2981*(1+0.00023125256064071564)))</f>
        <v/>
      </c>
      <c r="P2982">
        <f>IF(G2982=1,IF(H2981=0,1,ABS(0.2-J2981*B2982/I2982)+ABS(0.2-K2981*C2982/I2982)+ABS(0.2-L2981*D2982/I2982)+ABS(0.2-M2981*E2982/I2982)+ABS(0.2-N2981*F2982/I2982)),0)</f>
        <v/>
      </c>
      <c r="Q2982">
        <f>P2982*0.0015</f>
        <v/>
      </c>
      <c r="R2982">
        <f>I2982*(1-Q2982)</f>
        <v/>
      </c>
      <c r="S2982">
        <f>R2982/R2981-1</f>
        <v/>
      </c>
      <c r="T2982">
        <f>MAX(T2981,R2982)</f>
        <v/>
      </c>
      <c r="U2982">
        <f>R2982/T2982-1</f>
        <v/>
      </c>
      <c r="V2982" t="n">
        <v>8.043309959917538</v>
      </c>
      <c r="W2982" s="5">
        <f>R2982-V2982</f>
        <v/>
      </c>
    </row>
    <row r="2983">
      <c r="A2983" s="3" t="n">
        <v>42831</v>
      </c>
      <c r="B2983">
        <f>Prices!B2983</f>
        <v/>
      </c>
      <c r="C2983">
        <f>Prices!C2983</f>
        <v/>
      </c>
      <c r="D2983">
        <f>Prices!D2983</f>
        <v/>
      </c>
      <c r="E2983">
        <f>Prices!E2983</f>
        <v/>
      </c>
      <c r="F2983">
        <f>Prices!F2983</f>
        <v/>
      </c>
      <c r="G2983">
        <f>IF(AND(2981&gt;=16,TEXT(A2983,"yyyy-mm")&lt;&gt;TEXT(A2984,"yyyy-mm")),1,0)</f>
        <v/>
      </c>
      <c r="H2983">
        <f>IF(OR(H2982=1,G2983=1),1,0)</f>
        <v/>
      </c>
      <c r="I2983">
        <f>IF(H2982=0,1,SUMPRODUCT(J2982:N2982,B2983:F2983)+O2982*(1+0.00023125256064071564))</f>
        <v/>
      </c>
      <c r="J2983">
        <f>IF(G2983=1,0.2*R2983/B2983,J2982)</f>
        <v/>
      </c>
      <c r="K2983">
        <f>IF(G2983=1,0.2*R2983/C2983,K2982)</f>
        <v/>
      </c>
      <c r="L2983">
        <f>IF(G2983=1,0.2*R2983/D2983,L2982)</f>
        <v/>
      </c>
      <c r="M2983">
        <f>IF(G2983=1,0.2*R2983/E2983,M2982)</f>
        <v/>
      </c>
      <c r="N2983">
        <f>IF(G2983=1,0.2*R2983/F2983,N2982)</f>
        <v/>
      </c>
      <c r="O2983">
        <f>IF(G2983=1,R2983*(1-1.0),IF(H2982=0,1,O2982*(1+0.00023125256064071564)))</f>
        <v/>
      </c>
      <c r="P2983">
        <f>IF(G2983=1,IF(H2982=0,1,ABS(0.2-J2982*B2983/I2983)+ABS(0.2-K2982*C2983/I2983)+ABS(0.2-L2982*D2983/I2983)+ABS(0.2-M2982*E2983/I2983)+ABS(0.2-N2982*F2983/I2983)),0)</f>
        <v/>
      </c>
      <c r="Q2983">
        <f>P2983*0.0015</f>
        <v/>
      </c>
      <c r="R2983">
        <f>I2983*(1-Q2983)</f>
        <v/>
      </c>
      <c r="S2983">
        <f>R2983/R2982-1</f>
        <v/>
      </c>
      <c r="T2983">
        <f>MAX(T2982,R2983)</f>
        <v/>
      </c>
      <c r="U2983">
        <f>R2983/T2983-1</f>
        <v/>
      </c>
      <c r="V2983" t="n">
        <v>8.031969048919674</v>
      </c>
      <c r="W2983" s="5">
        <f>R2983-V2983</f>
        <v/>
      </c>
    </row>
    <row r="2984">
      <c r="A2984" s="3" t="n">
        <v>42832</v>
      </c>
      <c r="B2984">
        <f>Prices!B2984</f>
        <v/>
      </c>
      <c r="C2984">
        <f>Prices!C2984</f>
        <v/>
      </c>
      <c r="D2984">
        <f>Prices!D2984</f>
        <v/>
      </c>
      <c r="E2984">
        <f>Prices!E2984</f>
        <v/>
      </c>
      <c r="F2984">
        <f>Prices!F2984</f>
        <v/>
      </c>
      <c r="G2984">
        <f>IF(AND(2982&gt;=16,TEXT(A2984,"yyyy-mm")&lt;&gt;TEXT(A2985,"yyyy-mm")),1,0)</f>
        <v/>
      </c>
      <c r="H2984">
        <f>IF(OR(H2983=1,G2984=1),1,0)</f>
        <v/>
      </c>
      <c r="I2984">
        <f>IF(H2983=0,1,SUMPRODUCT(J2983:N2983,B2984:F2984)+O2983*(1+0.00023125256064071564))</f>
        <v/>
      </c>
      <c r="J2984">
        <f>IF(G2984=1,0.2*R2984/B2984,J2983)</f>
        <v/>
      </c>
      <c r="K2984">
        <f>IF(G2984=1,0.2*R2984/C2984,K2983)</f>
        <v/>
      </c>
      <c r="L2984">
        <f>IF(G2984=1,0.2*R2984/D2984,L2983)</f>
        <v/>
      </c>
      <c r="M2984">
        <f>IF(G2984=1,0.2*R2984/E2984,M2983)</f>
        <v/>
      </c>
      <c r="N2984">
        <f>IF(G2984=1,0.2*R2984/F2984,N2983)</f>
        <v/>
      </c>
      <c r="O2984">
        <f>IF(G2984=1,R2984*(1-1.0),IF(H2983=0,1,O2983*(1+0.00023125256064071564)))</f>
        <v/>
      </c>
      <c r="P2984">
        <f>IF(G2984=1,IF(H2983=0,1,ABS(0.2-J2983*B2984/I2984)+ABS(0.2-K2983*C2984/I2984)+ABS(0.2-L2983*D2984/I2984)+ABS(0.2-M2983*E2984/I2984)+ABS(0.2-N2983*F2984/I2984)),0)</f>
        <v/>
      </c>
      <c r="Q2984">
        <f>P2984*0.0015</f>
        <v/>
      </c>
      <c r="R2984">
        <f>I2984*(1-Q2984)</f>
        <v/>
      </c>
      <c r="S2984">
        <f>R2984/R2983-1</f>
        <v/>
      </c>
      <c r="T2984">
        <f>MAX(T2983,R2984)</f>
        <v/>
      </c>
      <c r="U2984">
        <f>R2984/T2984-1</f>
        <v/>
      </c>
      <c r="V2984" t="n">
        <v>8.008874590310279</v>
      </c>
      <c r="W2984" s="5">
        <f>R2984-V2984</f>
        <v/>
      </c>
    </row>
    <row r="2985">
      <c r="A2985" s="3" t="n">
        <v>42835</v>
      </c>
      <c r="B2985">
        <f>Prices!B2985</f>
        <v/>
      </c>
      <c r="C2985">
        <f>Prices!C2985</f>
        <v/>
      </c>
      <c r="D2985">
        <f>Prices!D2985</f>
        <v/>
      </c>
      <c r="E2985">
        <f>Prices!E2985</f>
        <v/>
      </c>
      <c r="F2985">
        <f>Prices!F2985</f>
        <v/>
      </c>
      <c r="G2985">
        <f>IF(AND(2983&gt;=16,TEXT(A2985,"yyyy-mm")&lt;&gt;TEXT(A2986,"yyyy-mm")),1,0)</f>
        <v/>
      </c>
      <c r="H2985">
        <f>IF(OR(H2984=1,G2985=1),1,0)</f>
        <v/>
      </c>
      <c r="I2985">
        <f>IF(H2984=0,1,SUMPRODUCT(J2984:N2984,B2985:F2985)+O2984*(1+0.00023125256064071564))</f>
        <v/>
      </c>
      <c r="J2985">
        <f>IF(G2985=1,0.2*R2985/B2985,J2984)</f>
        <v/>
      </c>
      <c r="K2985">
        <f>IF(G2985=1,0.2*R2985/C2985,K2984)</f>
        <v/>
      </c>
      <c r="L2985">
        <f>IF(G2985=1,0.2*R2985/D2985,L2984)</f>
        <v/>
      </c>
      <c r="M2985">
        <f>IF(G2985=1,0.2*R2985/E2985,M2984)</f>
        <v/>
      </c>
      <c r="N2985">
        <f>IF(G2985=1,0.2*R2985/F2985,N2984)</f>
        <v/>
      </c>
      <c r="O2985">
        <f>IF(G2985=1,R2985*(1-1.0),IF(H2984=0,1,O2984*(1+0.00023125256064071564)))</f>
        <v/>
      </c>
      <c r="P2985">
        <f>IF(G2985=1,IF(H2984=0,1,ABS(0.2-J2984*B2985/I2985)+ABS(0.2-K2984*C2985/I2985)+ABS(0.2-L2984*D2985/I2985)+ABS(0.2-M2984*E2985/I2985)+ABS(0.2-N2984*F2985/I2985)),0)</f>
        <v/>
      </c>
      <c r="Q2985">
        <f>P2985*0.0015</f>
        <v/>
      </c>
      <c r="R2985">
        <f>I2985*(1-Q2985)</f>
        <v/>
      </c>
      <c r="S2985">
        <f>R2985/R2984-1</f>
        <v/>
      </c>
      <c r="T2985">
        <f>MAX(T2984,R2985)</f>
        <v/>
      </c>
      <c r="U2985">
        <f>R2985/T2985-1</f>
        <v/>
      </c>
      <c r="V2985" t="n">
        <v>8.039836341427304</v>
      </c>
      <c r="W2985" s="5">
        <f>R2985-V2985</f>
        <v/>
      </c>
    </row>
    <row r="2986">
      <c r="A2986" s="3" t="n">
        <v>42836</v>
      </c>
      <c r="B2986">
        <f>Prices!B2986</f>
        <v/>
      </c>
      <c r="C2986">
        <f>Prices!C2986</f>
        <v/>
      </c>
      <c r="D2986">
        <f>Prices!D2986</f>
        <v/>
      </c>
      <c r="E2986">
        <f>Prices!E2986</f>
        <v/>
      </c>
      <c r="F2986">
        <f>Prices!F2986</f>
        <v/>
      </c>
      <c r="G2986">
        <f>IF(AND(2984&gt;=16,TEXT(A2986,"yyyy-mm")&lt;&gt;TEXT(A2987,"yyyy-mm")),1,0)</f>
        <v/>
      </c>
      <c r="H2986">
        <f>IF(OR(H2985=1,G2986=1),1,0)</f>
        <v/>
      </c>
      <c r="I2986">
        <f>IF(H2985=0,1,SUMPRODUCT(J2985:N2985,B2986:F2986)+O2985*(1+0.00023125256064071564))</f>
        <v/>
      </c>
      <c r="J2986">
        <f>IF(G2986=1,0.2*R2986/B2986,J2985)</f>
        <v/>
      </c>
      <c r="K2986">
        <f>IF(G2986=1,0.2*R2986/C2986,K2985)</f>
        <v/>
      </c>
      <c r="L2986">
        <f>IF(G2986=1,0.2*R2986/D2986,L2985)</f>
        <v/>
      </c>
      <c r="M2986">
        <f>IF(G2986=1,0.2*R2986/E2986,M2985)</f>
        <v/>
      </c>
      <c r="N2986">
        <f>IF(G2986=1,0.2*R2986/F2986,N2985)</f>
        <v/>
      </c>
      <c r="O2986">
        <f>IF(G2986=1,R2986*(1-1.0),IF(H2985=0,1,O2985*(1+0.00023125256064071564)))</f>
        <v/>
      </c>
      <c r="P2986">
        <f>IF(G2986=1,IF(H2985=0,1,ABS(0.2-J2985*B2986/I2986)+ABS(0.2-K2985*C2986/I2986)+ABS(0.2-L2985*D2986/I2986)+ABS(0.2-M2985*E2986/I2986)+ABS(0.2-N2985*F2986/I2986)),0)</f>
        <v/>
      </c>
      <c r="Q2986">
        <f>P2986*0.0015</f>
        <v/>
      </c>
      <c r="R2986">
        <f>I2986*(1-Q2986)</f>
        <v/>
      </c>
      <c r="S2986">
        <f>R2986/R2985-1</f>
        <v/>
      </c>
      <c r="T2986">
        <f>MAX(T2985,R2986)</f>
        <v/>
      </c>
      <c r="U2986">
        <f>R2986/T2986-1</f>
        <v/>
      </c>
      <c r="V2986" t="n">
        <v>8.093793434977906</v>
      </c>
      <c r="W2986" s="5">
        <f>R2986-V2986</f>
        <v/>
      </c>
    </row>
    <row r="2987">
      <c r="A2987" s="3" t="n">
        <v>42837</v>
      </c>
      <c r="B2987">
        <f>Prices!B2987</f>
        <v/>
      </c>
      <c r="C2987">
        <f>Prices!C2987</f>
        <v/>
      </c>
      <c r="D2987">
        <f>Prices!D2987</f>
        <v/>
      </c>
      <c r="E2987">
        <f>Prices!E2987</f>
        <v/>
      </c>
      <c r="F2987">
        <f>Prices!F2987</f>
        <v/>
      </c>
      <c r="G2987">
        <f>IF(AND(2985&gt;=16,TEXT(A2987,"yyyy-mm")&lt;&gt;TEXT(A2988,"yyyy-mm")),1,0)</f>
        <v/>
      </c>
      <c r="H2987">
        <f>IF(OR(H2986=1,G2987=1),1,0)</f>
        <v/>
      </c>
      <c r="I2987">
        <f>IF(H2986=0,1,SUMPRODUCT(J2986:N2986,B2987:F2987)+O2986*(1+0.00023125256064071564))</f>
        <v/>
      </c>
      <c r="J2987">
        <f>IF(G2987=1,0.2*R2987/B2987,J2986)</f>
        <v/>
      </c>
      <c r="K2987">
        <f>IF(G2987=1,0.2*R2987/C2987,K2986)</f>
        <v/>
      </c>
      <c r="L2987">
        <f>IF(G2987=1,0.2*R2987/D2987,L2986)</f>
        <v/>
      </c>
      <c r="M2987">
        <f>IF(G2987=1,0.2*R2987/E2987,M2986)</f>
        <v/>
      </c>
      <c r="N2987">
        <f>IF(G2987=1,0.2*R2987/F2987,N2986)</f>
        <v/>
      </c>
      <c r="O2987">
        <f>IF(G2987=1,R2987*(1-1.0),IF(H2986=0,1,O2986*(1+0.00023125256064071564)))</f>
        <v/>
      </c>
      <c r="P2987">
        <f>IF(G2987=1,IF(H2986=0,1,ABS(0.2-J2986*B2987/I2987)+ABS(0.2-K2986*C2987/I2987)+ABS(0.2-L2986*D2987/I2987)+ABS(0.2-M2986*E2987/I2987)+ABS(0.2-N2986*F2987/I2987)),0)</f>
        <v/>
      </c>
      <c r="Q2987">
        <f>P2987*0.0015</f>
        <v/>
      </c>
      <c r="R2987">
        <f>I2987*(1-Q2987)</f>
        <v/>
      </c>
      <c r="S2987">
        <f>R2987/R2986-1</f>
        <v/>
      </c>
      <c r="T2987">
        <f>MAX(T2986,R2987)</f>
        <v/>
      </c>
      <c r="U2987">
        <f>R2987/T2987-1</f>
        <v/>
      </c>
      <c r="V2987" t="n">
        <v>8.079721201197444</v>
      </c>
      <c r="W2987" s="5">
        <f>R2987-V2987</f>
        <v/>
      </c>
    </row>
    <row r="2988">
      <c r="A2988" s="3" t="n">
        <v>42838</v>
      </c>
      <c r="B2988">
        <f>Prices!B2988</f>
        <v/>
      </c>
      <c r="C2988">
        <f>Prices!C2988</f>
        <v/>
      </c>
      <c r="D2988">
        <f>Prices!D2988</f>
        <v/>
      </c>
      <c r="E2988">
        <f>Prices!E2988</f>
        <v/>
      </c>
      <c r="F2988">
        <f>Prices!F2988</f>
        <v/>
      </c>
      <c r="G2988">
        <f>IF(AND(2986&gt;=16,TEXT(A2988,"yyyy-mm")&lt;&gt;TEXT(A2989,"yyyy-mm")),1,0)</f>
        <v/>
      </c>
      <c r="H2988">
        <f>IF(OR(H2987=1,G2988=1),1,0)</f>
        <v/>
      </c>
      <c r="I2988">
        <f>IF(H2987=0,1,SUMPRODUCT(J2987:N2987,B2988:F2988)+O2987*(1+0.00023125256064071564))</f>
        <v/>
      </c>
      <c r="J2988">
        <f>IF(G2988=1,0.2*R2988/B2988,J2987)</f>
        <v/>
      </c>
      <c r="K2988">
        <f>IF(G2988=1,0.2*R2988/C2988,K2987)</f>
        <v/>
      </c>
      <c r="L2988">
        <f>IF(G2988=1,0.2*R2988/D2988,L2987)</f>
        <v/>
      </c>
      <c r="M2988">
        <f>IF(G2988=1,0.2*R2988/E2988,M2987)</f>
        <v/>
      </c>
      <c r="N2988">
        <f>IF(G2988=1,0.2*R2988/F2988,N2987)</f>
        <v/>
      </c>
      <c r="O2988">
        <f>IF(G2988=1,R2988*(1-1.0),IF(H2987=0,1,O2987*(1+0.00023125256064071564)))</f>
        <v/>
      </c>
      <c r="P2988">
        <f>IF(G2988=1,IF(H2987=0,1,ABS(0.2-J2987*B2988/I2988)+ABS(0.2-K2987*C2988/I2988)+ABS(0.2-L2987*D2988/I2988)+ABS(0.2-M2987*E2988/I2988)+ABS(0.2-N2987*F2988/I2988)),0)</f>
        <v/>
      </c>
      <c r="Q2988">
        <f>P2988*0.0015</f>
        <v/>
      </c>
      <c r="R2988">
        <f>I2988*(1-Q2988)</f>
        <v/>
      </c>
      <c r="S2988">
        <f>R2988/R2987-1</f>
        <v/>
      </c>
      <c r="T2988">
        <f>MAX(T2987,R2988)</f>
        <v/>
      </c>
      <c r="U2988">
        <f>R2988/T2988-1</f>
        <v/>
      </c>
      <c r="V2988" t="n">
        <v>8.049058071694208</v>
      </c>
      <c r="W2988" s="5">
        <f>R2988-V2988</f>
        <v/>
      </c>
    </row>
    <row r="2989">
      <c r="A2989" s="3" t="n">
        <v>42842</v>
      </c>
      <c r="B2989">
        <f>Prices!B2989</f>
        <v/>
      </c>
      <c r="C2989">
        <f>Prices!C2989</f>
        <v/>
      </c>
      <c r="D2989">
        <f>Prices!D2989</f>
        <v/>
      </c>
      <c r="E2989">
        <f>Prices!E2989</f>
        <v/>
      </c>
      <c r="F2989">
        <f>Prices!F2989</f>
        <v/>
      </c>
      <c r="G2989">
        <f>IF(AND(2987&gt;=16,TEXT(A2989,"yyyy-mm")&lt;&gt;TEXT(A2990,"yyyy-mm")),1,0)</f>
        <v/>
      </c>
      <c r="H2989">
        <f>IF(OR(H2988=1,G2989=1),1,0)</f>
        <v/>
      </c>
      <c r="I2989">
        <f>IF(H2988=0,1,SUMPRODUCT(J2988:N2988,B2989:F2989)+O2988*(1+0.00023125256064071564))</f>
        <v/>
      </c>
      <c r="J2989">
        <f>IF(G2989=1,0.2*R2989/B2989,J2988)</f>
        <v/>
      </c>
      <c r="K2989">
        <f>IF(G2989=1,0.2*R2989/C2989,K2988)</f>
        <v/>
      </c>
      <c r="L2989">
        <f>IF(G2989=1,0.2*R2989/D2989,L2988)</f>
        <v/>
      </c>
      <c r="M2989">
        <f>IF(G2989=1,0.2*R2989/E2989,M2988)</f>
        <v/>
      </c>
      <c r="N2989">
        <f>IF(G2989=1,0.2*R2989/F2989,N2988)</f>
        <v/>
      </c>
      <c r="O2989">
        <f>IF(G2989=1,R2989*(1-1.0),IF(H2988=0,1,O2988*(1+0.00023125256064071564)))</f>
        <v/>
      </c>
      <c r="P2989">
        <f>IF(G2989=1,IF(H2988=0,1,ABS(0.2-J2988*B2989/I2989)+ABS(0.2-K2988*C2989/I2989)+ABS(0.2-L2988*D2989/I2989)+ABS(0.2-M2988*E2989/I2989)+ABS(0.2-N2988*F2989/I2989)),0)</f>
        <v/>
      </c>
      <c r="Q2989">
        <f>P2989*0.0015</f>
        <v/>
      </c>
      <c r="R2989">
        <f>I2989*(1-Q2989)</f>
        <v/>
      </c>
      <c r="S2989">
        <f>R2989/R2988-1</f>
        <v/>
      </c>
      <c r="T2989">
        <f>MAX(T2988,R2989)</f>
        <v/>
      </c>
      <c r="U2989">
        <f>R2989/T2989-1</f>
        <v/>
      </c>
      <c r="V2989" t="n">
        <v>8.038479841140743</v>
      </c>
      <c r="W2989" s="5">
        <f>R2989-V2989</f>
        <v/>
      </c>
    </row>
    <row r="2990">
      <c r="A2990" s="3" t="n">
        <v>42843</v>
      </c>
      <c r="B2990">
        <f>Prices!B2990</f>
        <v/>
      </c>
      <c r="C2990">
        <f>Prices!C2990</f>
        <v/>
      </c>
      <c r="D2990">
        <f>Prices!D2990</f>
        <v/>
      </c>
      <c r="E2990">
        <f>Prices!E2990</f>
        <v/>
      </c>
      <c r="F2990">
        <f>Prices!F2990</f>
        <v/>
      </c>
      <c r="G2990">
        <f>IF(AND(2988&gt;=16,TEXT(A2990,"yyyy-mm")&lt;&gt;TEXT(A2991,"yyyy-mm")),1,0)</f>
        <v/>
      </c>
      <c r="H2990">
        <f>IF(OR(H2989=1,G2990=1),1,0)</f>
        <v/>
      </c>
      <c r="I2990">
        <f>IF(H2989=0,1,SUMPRODUCT(J2989:N2989,B2990:F2990)+O2989*(1+0.00023125256064071564))</f>
        <v/>
      </c>
      <c r="J2990">
        <f>IF(G2990=1,0.2*R2990/B2990,J2989)</f>
        <v/>
      </c>
      <c r="K2990">
        <f>IF(G2990=1,0.2*R2990/C2990,K2989)</f>
        <v/>
      </c>
      <c r="L2990">
        <f>IF(G2990=1,0.2*R2990/D2990,L2989)</f>
        <v/>
      </c>
      <c r="M2990">
        <f>IF(G2990=1,0.2*R2990/E2990,M2989)</f>
        <v/>
      </c>
      <c r="N2990">
        <f>IF(G2990=1,0.2*R2990/F2990,N2989)</f>
        <v/>
      </c>
      <c r="O2990">
        <f>IF(G2990=1,R2990*(1-1.0),IF(H2989=0,1,O2989*(1+0.00023125256064071564)))</f>
        <v/>
      </c>
      <c r="P2990">
        <f>IF(G2990=1,IF(H2989=0,1,ABS(0.2-J2989*B2990/I2990)+ABS(0.2-K2989*C2990/I2990)+ABS(0.2-L2989*D2990/I2990)+ABS(0.2-M2989*E2990/I2990)+ABS(0.2-N2989*F2990/I2990)),0)</f>
        <v/>
      </c>
      <c r="Q2990">
        <f>P2990*0.0015</f>
        <v/>
      </c>
      <c r="R2990">
        <f>I2990*(1-Q2990)</f>
        <v/>
      </c>
      <c r="S2990">
        <f>R2990/R2989-1</f>
        <v/>
      </c>
      <c r="T2990">
        <f>MAX(T2989,R2990)</f>
        <v/>
      </c>
      <c r="U2990">
        <f>R2990/T2990-1</f>
        <v/>
      </c>
      <c r="V2990" t="n">
        <v>7.994938223224257</v>
      </c>
      <c r="W2990" s="5">
        <f>R2990-V2990</f>
        <v/>
      </c>
    </row>
    <row r="2991">
      <c r="A2991" s="3" t="n">
        <v>42844</v>
      </c>
      <c r="B2991">
        <f>Prices!B2991</f>
        <v/>
      </c>
      <c r="C2991">
        <f>Prices!C2991</f>
        <v/>
      </c>
      <c r="D2991">
        <f>Prices!D2991</f>
        <v/>
      </c>
      <c r="E2991">
        <f>Prices!E2991</f>
        <v/>
      </c>
      <c r="F2991">
        <f>Prices!F2991</f>
        <v/>
      </c>
      <c r="G2991">
        <f>IF(AND(2989&gt;=16,TEXT(A2991,"yyyy-mm")&lt;&gt;TEXT(A2992,"yyyy-mm")),1,0)</f>
        <v/>
      </c>
      <c r="H2991">
        <f>IF(OR(H2990=1,G2991=1),1,0)</f>
        <v/>
      </c>
      <c r="I2991">
        <f>IF(H2990=0,1,SUMPRODUCT(J2990:N2990,B2991:F2991)+O2990*(1+0.00023125256064071564))</f>
        <v/>
      </c>
      <c r="J2991">
        <f>IF(G2991=1,0.2*R2991/B2991,J2990)</f>
        <v/>
      </c>
      <c r="K2991">
        <f>IF(G2991=1,0.2*R2991/C2991,K2990)</f>
        <v/>
      </c>
      <c r="L2991">
        <f>IF(G2991=1,0.2*R2991/D2991,L2990)</f>
        <v/>
      </c>
      <c r="M2991">
        <f>IF(G2991=1,0.2*R2991/E2991,M2990)</f>
        <v/>
      </c>
      <c r="N2991">
        <f>IF(G2991=1,0.2*R2991/F2991,N2990)</f>
        <v/>
      </c>
      <c r="O2991">
        <f>IF(G2991=1,R2991*(1-1.0),IF(H2990=0,1,O2990*(1+0.00023125256064071564)))</f>
        <v/>
      </c>
      <c r="P2991">
        <f>IF(G2991=1,IF(H2990=0,1,ABS(0.2-J2990*B2991/I2991)+ABS(0.2-K2990*C2991/I2991)+ABS(0.2-L2990*D2991/I2991)+ABS(0.2-M2990*E2991/I2991)+ABS(0.2-N2990*F2991/I2991)),0)</f>
        <v/>
      </c>
      <c r="Q2991">
        <f>P2991*0.0015</f>
        <v/>
      </c>
      <c r="R2991">
        <f>I2991*(1-Q2991)</f>
        <v/>
      </c>
      <c r="S2991">
        <f>R2991/R2990-1</f>
        <v/>
      </c>
      <c r="T2991">
        <f>MAX(T2990,R2991)</f>
        <v/>
      </c>
      <c r="U2991">
        <f>R2991/T2991-1</f>
        <v/>
      </c>
      <c r="V2991" t="n">
        <v>8.019093659478143</v>
      </c>
      <c r="W2991" s="5">
        <f>R2991-V2991</f>
        <v/>
      </c>
    </row>
    <row r="2992">
      <c r="A2992" s="3" t="n">
        <v>42845</v>
      </c>
      <c r="B2992">
        <f>Prices!B2992</f>
        <v/>
      </c>
      <c r="C2992">
        <f>Prices!C2992</f>
        <v/>
      </c>
      <c r="D2992">
        <f>Prices!D2992</f>
        <v/>
      </c>
      <c r="E2992">
        <f>Prices!E2992</f>
        <v/>
      </c>
      <c r="F2992">
        <f>Prices!F2992</f>
        <v/>
      </c>
      <c r="G2992">
        <f>IF(AND(2990&gt;=16,TEXT(A2992,"yyyy-mm")&lt;&gt;TEXT(A2993,"yyyy-mm")),1,0)</f>
        <v/>
      </c>
      <c r="H2992">
        <f>IF(OR(H2991=1,G2992=1),1,0)</f>
        <v/>
      </c>
      <c r="I2992">
        <f>IF(H2991=0,1,SUMPRODUCT(J2991:N2991,B2992:F2992)+O2991*(1+0.00023125256064071564))</f>
        <v/>
      </c>
      <c r="J2992">
        <f>IF(G2992=1,0.2*R2992/B2992,J2991)</f>
        <v/>
      </c>
      <c r="K2992">
        <f>IF(G2992=1,0.2*R2992/C2992,K2991)</f>
        <v/>
      </c>
      <c r="L2992">
        <f>IF(G2992=1,0.2*R2992/D2992,L2991)</f>
        <v/>
      </c>
      <c r="M2992">
        <f>IF(G2992=1,0.2*R2992/E2992,M2991)</f>
        <v/>
      </c>
      <c r="N2992">
        <f>IF(G2992=1,0.2*R2992/F2992,N2991)</f>
        <v/>
      </c>
      <c r="O2992">
        <f>IF(G2992=1,R2992*(1-1.0),IF(H2991=0,1,O2991*(1+0.00023125256064071564)))</f>
        <v/>
      </c>
      <c r="P2992">
        <f>IF(G2992=1,IF(H2991=0,1,ABS(0.2-J2991*B2992/I2992)+ABS(0.2-K2991*C2992/I2992)+ABS(0.2-L2991*D2992/I2992)+ABS(0.2-M2991*E2992/I2992)+ABS(0.2-N2991*F2992/I2992)),0)</f>
        <v/>
      </c>
      <c r="Q2992">
        <f>P2992*0.0015</f>
        <v/>
      </c>
      <c r="R2992">
        <f>I2992*(1-Q2992)</f>
        <v/>
      </c>
      <c r="S2992">
        <f>R2992/R2991-1</f>
        <v/>
      </c>
      <c r="T2992">
        <f>MAX(T2991,R2992)</f>
        <v/>
      </c>
      <c r="U2992">
        <f>R2992/T2992-1</f>
        <v/>
      </c>
      <c r="V2992" t="n">
        <v>8.092386169834541</v>
      </c>
      <c r="W2992" s="5">
        <f>R2992-V2992</f>
        <v/>
      </c>
    </row>
    <row r="2993">
      <c r="A2993" s="3" t="n">
        <v>42846</v>
      </c>
      <c r="B2993">
        <f>Prices!B2993</f>
        <v/>
      </c>
      <c r="C2993">
        <f>Prices!C2993</f>
        <v/>
      </c>
      <c r="D2993">
        <f>Prices!D2993</f>
        <v/>
      </c>
      <c r="E2993">
        <f>Prices!E2993</f>
        <v/>
      </c>
      <c r="F2993">
        <f>Prices!F2993</f>
        <v/>
      </c>
      <c r="G2993">
        <f>IF(AND(2991&gt;=16,TEXT(A2993,"yyyy-mm")&lt;&gt;TEXT(A2994,"yyyy-mm")),1,0)</f>
        <v/>
      </c>
      <c r="H2993">
        <f>IF(OR(H2992=1,G2993=1),1,0)</f>
        <v/>
      </c>
      <c r="I2993">
        <f>IF(H2992=0,1,SUMPRODUCT(J2992:N2992,B2993:F2993)+O2992*(1+0.00023125256064071564))</f>
        <v/>
      </c>
      <c r="J2993">
        <f>IF(G2993=1,0.2*R2993/B2993,J2992)</f>
        <v/>
      </c>
      <c r="K2993">
        <f>IF(G2993=1,0.2*R2993/C2993,K2992)</f>
        <v/>
      </c>
      <c r="L2993">
        <f>IF(G2993=1,0.2*R2993/D2993,L2992)</f>
        <v/>
      </c>
      <c r="M2993">
        <f>IF(G2993=1,0.2*R2993/E2993,M2992)</f>
        <v/>
      </c>
      <c r="N2993">
        <f>IF(G2993=1,0.2*R2993/F2993,N2992)</f>
        <v/>
      </c>
      <c r="O2993">
        <f>IF(G2993=1,R2993*(1-1.0),IF(H2992=0,1,O2992*(1+0.00023125256064071564)))</f>
        <v/>
      </c>
      <c r="P2993">
        <f>IF(G2993=1,IF(H2992=0,1,ABS(0.2-J2992*B2993/I2993)+ABS(0.2-K2992*C2993/I2993)+ABS(0.2-L2992*D2993/I2993)+ABS(0.2-M2992*E2993/I2993)+ABS(0.2-N2992*F2993/I2993)),0)</f>
        <v/>
      </c>
      <c r="Q2993">
        <f>P2993*0.0015</f>
        <v/>
      </c>
      <c r="R2993">
        <f>I2993*(1-Q2993)</f>
        <v/>
      </c>
      <c r="S2993">
        <f>R2993/R2992-1</f>
        <v/>
      </c>
      <c r="T2993">
        <f>MAX(T2992,R2993)</f>
        <v/>
      </c>
      <c r="U2993">
        <f>R2993/T2993-1</f>
        <v/>
      </c>
      <c r="V2993" t="n">
        <v>8.083529430300322</v>
      </c>
      <c r="W2993" s="5">
        <f>R2993-V2993</f>
        <v/>
      </c>
    </row>
    <row r="2994">
      <c r="A2994" s="3" t="n">
        <v>42849</v>
      </c>
      <c r="B2994">
        <f>Prices!B2994</f>
        <v/>
      </c>
      <c r="C2994">
        <f>Prices!C2994</f>
        <v/>
      </c>
      <c r="D2994">
        <f>Prices!D2994</f>
        <v/>
      </c>
      <c r="E2994">
        <f>Prices!E2994</f>
        <v/>
      </c>
      <c r="F2994">
        <f>Prices!F2994</f>
        <v/>
      </c>
      <c r="G2994">
        <f>IF(AND(2992&gt;=16,TEXT(A2994,"yyyy-mm")&lt;&gt;TEXT(A2995,"yyyy-mm")),1,0)</f>
        <v/>
      </c>
      <c r="H2994">
        <f>IF(OR(H2993=1,G2994=1),1,0)</f>
        <v/>
      </c>
      <c r="I2994">
        <f>IF(H2993=0,1,SUMPRODUCT(J2993:N2993,B2994:F2994)+O2993*(1+0.00023125256064071564))</f>
        <v/>
      </c>
      <c r="J2994">
        <f>IF(G2994=1,0.2*R2994/B2994,J2993)</f>
        <v/>
      </c>
      <c r="K2994">
        <f>IF(G2994=1,0.2*R2994/C2994,K2993)</f>
        <v/>
      </c>
      <c r="L2994">
        <f>IF(G2994=1,0.2*R2994/D2994,L2993)</f>
        <v/>
      </c>
      <c r="M2994">
        <f>IF(G2994=1,0.2*R2994/E2994,M2993)</f>
        <v/>
      </c>
      <c r="N2994">
        <f>IF(G2994=1,0.2*R2994/F2994,N2993)</f>
        <v/>
      </c>
      <c r="O2994">
        <f>IF(G2994=1,R2994*(1-1.0),IF(H2993=0,1,O2993*(1+0.00023125256064071564)))</f>
        <v/>
      </c>
      <c r="P2994">
        <f>IF(G2994=1,IF(H2993=0,1,ABS(0.2-J2993*B2994/I2994)+ABS(0.2-K2993*C2994/I2994)+ABS(0.2-L2993*D2994/I2994)+ABS(0.2-M2993*E2994/I2994)+ABS(0.2-N2993*F2994/I2994)),0)</f>
        <v/>
      </c>
      <c r="Q2994">
        <f>P2994*0.0015</f>
        <v/>
      </c>
      <c r="R2994">
        <f>I2994*(1-Q2994)</f>
        <v/>
      </c>
      <c r="S2994">
        <f>R2994/R2993-1</f>
        <v/>
      </c>
      <c r="T2994">
        <f>MAX(T2993,R2994)</f>
        <v/>
      </c>
      <c r="U2994">
        <f>R2994/T2994-1</f>
        <v/>
      </c>
      <c r="V2994" t="n">
        <v>8.143013296025673</v>
      </c>
      <c r="W2994" s="5">
        <f>R2994-V2994</f>
        <v/>
      </c>
    </row>
    <row r="2995">
      <c r="A2995" s="3" t="n">
        <v>42850</v>
      </c>
      <c r="B2995">
        <f>Prices!B2995</f>
        <v/>
      </c>
      <c r="C2995">
        <f>Prices!C2995</f>
        <v/>
      </c>
      <c r="D2995">
        <f>Prices!D2995</f>
        <v/>
      </c>
      <c r="E2995">
        <f>Prices!E2995</f>
        <v/>
      </c>
      <c r="F2995">
        <f>Prices!F2995</f>
        <v/>
      </c>
      <c r="G2995">
        <f>IF(AND(2993&gt;=16,TEXT(A2995,"yyyy-mm")&lt;&gt;TEXT(A2996,"yyyy-mm")),1,0)</f>
        <v/>
      </c>
      <c r="H2995">
        <f>IF(OR(H2994=1,G2995=1),1,0)</f>
        <v/>
      </c>
      <c r="I2995">
        <f>IF(H2994=0,1,SUMPRODUCT(J2994:N2994,B2995:F2995)+O2994*(1+0.00023125256064071564))</f>
        <v/>
      </c>
      <c r="J2995">
        <f>IF(G2995=1,0.2*R2995/B2995,J2994)</f>
        <v/>
      </c>
      <c r="K2995">
        <f>IF(G2995=1,0.2*R2995/C2995,K2994)</f>
        <v/>
      </c>
      <c r="L2995">
        <f>IF(G2995=1,0.2*R2995/D2995,L2994)</f>
        <v/>
      </c>
      <c r="M2995">
        <f>IF(G2995=1,0.2*R2995/E2995,M2994)</f>
        <v/>
      </c>
      <c r="N2995">
        <f>IF(G2995=1,0.2*R2995/F2995,N2994)</f>
        <v/>
      </c>
      <c r="O2995">
        <f>IF(G2995=1,R2995*(1-1.0),IF(H2994=0,1,O2994*(1+0.00023125256064071564)))</f>
        <v/>
      </c>
      <c r="P2995">
        <f>IF(G2995=1,IF(H2994=0,1,ABS(0.2-J2994*B2995/I2995)+ABS(0.2-K2994*C2995/I2995)+ABS(0.2-L2994*D2995/I2995)+ABS(0.2-M2994*E2995/I2995)+ABS(0.2-N2994*F2995/I2995)),0)</f>
        <v/>
      </c>
      <c r="Q2995">
        <f>P2995*0.0015</f>
        <v/>
      </c>
      <c r="R2995">
        <f>I2995*(1-Q2995)</f>
        <v/>
      </c>
      <c r="S2995">
        <f>R2995/R2994-1</f>
        <v/>
      </c>
      <c r="T2995">
        <f>MAX(T2994,R2995)</f>
        <v/>
      </c>
      <c r="U2995">
        <f>R2995/T2995-1</f>
        <v/>
      </c>
      <c r="V2995" t="n">
        <v>8.232538413292916</v>
      </c>
      <c r="W2995" s="5">
        <f>R2995-V2995</f>
        <v/>
      </c>
    </row>
    <row r="2996">
      <c r="A2996" s="3" t="n">
        <v>42851</v>
      </c>
      <c r="B2996">
        <f>Prices!B2996</f>
        <v/>
      </c>
      <c r="C2996">
        <f>Prices!C2996</f>
        <v/>
      </c>
      <c r="D2996">
        <f>Prices!D2996</f>
        <v/>
      </c>
      <c r="E2996">
        <f>Prices!E2996</f>
        <v/>
      </c>
      <c r="F2996">
        <f>Prices!F2996</f>
        <v/>
      </c>
      <c r="G2996">
        <f>IF(AND(2994&gt;=16,TEXT(A2996,"yyyy-mm")&lt;&gt;TEXT(A2997,"yyyy-mm")),1,0)</f>
        <v/>
      </c>
      <c r="H2996">
        <f>IF(OR(H2995=1,G2996=1),1,0)</f>
        <v/>
      </c>
      <c r="I2996">
        <f>IF(H2995=0,1,SUMPRODUCT(J2995:N2995,B2996:F2996)+O2995*(1+0.00023125256064071564))</f>
        <v/>
      </c>
      <c r="J2996">
        <f>IF(G2996=1,0.2*R2996/B2996,J2995)</f>
        <v/>
      </c>
      <c r="K2996">
        <f>IF(G2996=1,0.2*R2996/C2996,K2995)</f>
        <v/>
      </c>
      <c r="L2996">
        <f>IF(G2996=1,0.2*R2996/D2996,L2995)</f>
        <v/>
      </c>
      <c r="M2996">
        <f>IF(G2996=1,0.2*R2996/E2996,M2995)</f>
        <v/>
      </c>
      <c r="N2996">
        <f>IF(G2996=1,0.2*R2996/F2996,N2995)</f>
        <v/>
      </c>
      <c r="O2996">
        <f>IF(G2996=1,R2996*(1-1.0),IF(H2995=0,1,O2995*(1+0.00023125256064071564)))</f>
        <v/>
      </c>
      <c r="P2996">
        <f>IF(G2996=1,IF(H2995=0,1,ABS(0.2-J2995*B2996/I2996)+ABS(0.2-K2995*C2996/I2996)+ABS(0.2-L2995*D2996/I2996)+ABS(0.2-M2995*E2996/I2996)+ABS(0.2-N2995*F2996/I2996)),0)</f>
        <v/>
      </c>
      <c r="Q2996">
        <f>P2996*0.0015</f>
        <v/>
      </c>
      <c r="R2996">
        <f>I2996*(1-Q2996)</f>
        <v/>
      </c>
      <c r="S2996">
        <f>R2996/R2995-1</f>
        <v/>
      </c>
      <c r="T2996">
        <f>MAX(T2995,R2996)</f>
        <v/>
      </c>
      <c r="U2996">
        <f>R2996/T2996-1</f>
        <v/>
      </c>
      <c r="V2996" t="n">
        <v>8.195930207798648</v>
      </c>
      <c r="W2996" s="5">
        <f>R2996-V2996</f>
        <v/>
      </c>
    </row>
    <row r="2997">
      <c r="A2997" s="3" t="n">
        <v>42852</v>
      </c>
      <c r="B2997">
        <f>Prices!B2997</f>
        <v/>
      </c>
      <c r="C2997">
        <f>Prices!C2997</f>
        <v/>
      </c>
      <c r="D2997">
        <f>Prices!D2997</f>
        <v/>
      </c>
      <c r="E2997">
        <f>Prices!E2997</f>
        <v/>
      </c>
      <c r="F2997">
        <f>Prices!F2997</f>
        <v/>
      </c>
      <c r="G2997">
        <f>IF(AND(2995&gt;=16,TEXT(A2997,"yyyy-mm")&lt;&gt;TEXT(A2998,"yyyy-mm")),1,0)</f>
        <v/>
      </c>
      <c r="H2997">
        <f>IF(OR(H2996=1,G2997=1),1,0)</f>
        <v/>
      </c>
      <c r="I2997">
        <f>IF(H2996=0,1,SUMPRODUCT(J2996:N2996,B2997:F2997)+O2996*(1+0.00023125256064071564))</f>
        <v/>
      </c>
      <c r="J2997">
        <f>IF(G2997=1,0.2*R2997/B2997,J2996)</f>
        <v/>
      </c>
      <c r="K2997">
        <f>IF(G2997=1,0.2*R2997/C2997,K2996)</f>
        <v/>
      </c>
      <c r="L2997">
        <f>IF(G2997=1,0.2*R2997/D2997,L2996)</f>
        <v/>
      </c>
      <c r="M2997">
        <f>IF(G2997=1,0.2*R2997/E2997,M2996)</f>
        <v/>
      </c>
      <c r="N2997">
        <f>IF(G2997=1,0.2*R2997/F2997,N2996)</f>
        <v/>
      </c>
      <c r="O2997">
        <f>IF(G2997=1,R2997*(1-1.0),IF(H2996=0,1,O2996*(1+0.00023125256064071564)))</f>
        <v/>
      </c>
      <c r="P2997">
        <f>IF(G2997=1,IF(H2996=0,1,ABS(0.2-J2996*B2997/I2997)+ABS(0.2-K2996*C2997/I2997)+ABS(0.2-L2996*D2997/I2997)+ABS(0.2-M2996*E2997/I2997)+ABS(0.2-N2996*F2997/I2997)),0)</f>
        <v/>
      </c>
      <c r="Q2997">
        <f>P2997*0.0015</f>
        <v/>
      </c>
      <c r="R2997">
        <f>I2997*(1-Q2997)</f>
        <v/>
      </c>
      <c r="S2997">
        <f>R2997/R2996-1</f>
        <v/>
      </c>
      <c r="T2997">
        <f>MAX(T2996,R2997)</f>
        <v/>
      </c>
      <c r="U2997">
        <f>R2997/T2997-1</f>
        <v/>
      </c>
      <c r="V2997" t="n">
        <v>8.18971921154346</v>
      </c>
      <c r="W2997" s="5">
        <f>R2997-V2997</f>
        <v/>
      </c>
    </row>
    <row r="2998">
      <c r="A2998" s="3" t="n">
        <v>42853</v>
      </c>
      <c r="B2998">
        <f>Prices!B2998</f>
        <v/>
      </c>
      <c r="C2998">
        <f>Prices!C2998</f>
        <v/>
      </c>
      <c r="D2998">
        <f>Prices!D2998</f>
        <v/>
      </c>
      <c r="E2998">
        <f>Prices!E2998</f>
        <v/>
      </c>
      <c r="F2998">
        <f>Prices!F2998</f>
        <v/>
      </c>
      <c r="G2998">
        <f>IF(AND(2996&gt;=16,TEXT(A2998,"yyyy-mm")&lt;&gt;TEXT(A2999,"yyyy-mm")),1,0)</f>
        <v/>
      </c>
      <c r="H2998">
        <f>IF(OR(H2997=1,G2998=1),1,0)</f>
        <v/>
      </c>
      <c r="I2998">
        <f>IF(H2997=0,1,SUMPRODUCT(J2997:N2997,B2998:F2998)+O2997*(1+0.00023125256064071564))</f>
        <v/>
      </c>
      <c r="J2998">
        <f>IF(G2998=1,0.2*R2998/B2998,J2997)</f>
        <v/>
      </c>
      <c r="K2998">
        <f>IF(G2998=1,0.2*R2998/C2998,K2997)</f>
        <v/>
      </c>
      <c r="L2998">
        <f>IF(G2998=1,0.2*R2998/D2998,L2997)</f>
        <v/>
      </c>
      <c r="M2998">
        <f>IF(G2998=1,0.2*R2998/E2998,M2997)</f>
        <v/>
      </c>
      <c r="N2998">
        <f>IF(G2998=1,0.2*R2998/F2998,N2997)</f>
        <v/>
      </c>
      <c r="O2998">
        <f>IF(G2998=1,R2998*(1-1.0),IF(H2997=0,1,O2997*(1+0.00023125256064071564)))</f>
        <v/>
      </c>
      <c r="P2998">
        <f>IF(G2998=1,IF(H2997=0,1,ABS(0.2-J2997*B2998/I2998)+ABS(0.2-K2997*C2998/I2998)+ABS(0.2-L2997*D2998/I2998)+ABS(0.2-M2997*E2998/I2998)+ABS(0.2-N2997*F2998/I2998)),0)</f>
        <v/>
      </c>
      <c r="Q2998">
        <f>P2998*0.0015</f>
        <v/>
      </c>
      <c r="R2998">
        <f>I2998*(1-Q2998)</f>
        <v/>
      </c>
      <c r="S2998">
        <f>R2998/R2997-1</f>
        <v/>
      </c>
      <c r="T2998">
        <f>MAX(T2997,R2998)</f>
        <v/>
      </c>
      <c r="U2998">
        <f>R2998/T2998-1</f>
        <v/>
      </c>
      <c r="V2998" t="n">
        <v>8.214164067991137</v>
      </c>
      <c r="W2998" s="5">
        <f>R2998-V2998</f>
        <v/>
      </c>
    </row>
    <row r="2999">
      <c r="A2999" s="3" t="n">
        <v>42857</v>
      </c>
      <c r="B2999">
        <f>Prices!B2999</f>
        <v/>
      </c>
      <c r="C2999">
        <f>Prices!C2999</f>
        <v/>
      </c>
      <c r="D2999">
        <f>Prices!D2999</f>
        <v/>
      </c>
      <c r="E2999">
        <f>Prices!E2999</f>
        <v/>
      </c>
      <c r="F2999">
        <f>Prices!F2999</f>
        <v/>
      </c>
      <c r="G2999">
        <f>IF(AND(2997&gt;=16,TEXT(A2999,"yyyy-mm")&lt;&gt;TEXT(A3000,"yyyy-mm")),1,0)</f>
        <v/>
      </c>
      <c r="H2999">
        <f>IF(OR(H2998=1,G2999=1),1,0)</f>
        <v/>
      </c>
      <c r="I2999">
        <f>IF(H2998=0,1,SUMPRODUCT(J2998:N2998,B2999:F2999)+O2998*(1+0.00023125256064071564))</f>
        <v/>
      </c>
      <c r="J2999">
        <f>IF(G2999=1,0.2*R2999/B2999,J2998)</f>
        <v/>
      </c>
      <c r="K2999">
        <f>IF(G2999=1,0.2*R2999/C2999,K2998)</f>
        <v/>
      </c>
      <c r="L2999">
        <f>IF(G2999=1,0.2*R2999/D2999,L2998)</f>
        <v/>
      </c>
      <c r="M2999">
        <f>IF(G2999=1,0.2*R2999/E2999,M2998)</f>
        <v/>
      </c>
      <c r="N2999">
        <f>IF(G2999=1,0.2*R2999/F2999,N2998)</f>
        <v/>
      </c>
      <c r="O2999">
        <f>IF(G2999=1,R2999*(1-1.0),IF(H2998=0,1,O2998*(1+0.00023125256064071564)))</f>
        <v/>
      </c>
      <c r="P2999">
        <f>IF(G2999=1,IF(H2998=0,1,ABS(0.2-J2998*B2999/I2999)+ABS(0.2-K2998*C2999/I2999)+ABS(0.2-L2998*D2999/I2999)+ABS(0.2-M2998*E2999/I2999)+ABS(0.2-N2998*F2999/I2999)),0)</f>
        <v/>
      </c>
      <c r="Q2999">
        <f>P2999*0.0015</f>
        <v/>
      </c>
      <c r="R2999">
        <f>I2999*(1-Q2999)</f>
        <v/>
      </c>
      <c r="S2999">
        <f>R2999/R2998-1</f>
        <v/>
      </c>
      <c r="T2999">
        <f>MAX(T2998,R2999)</f>
        <v/>
      </c>
      <c r="U2999">
        <f>R2999/T2999-1</f>
        <v/>
      </c>
      <c r="V2999" t="n">
        <v>8.264633022636721</v>
      </c>
      <c r="W2999" s="5">
        <f>R2999-V2999</f>
        <v/>
      </c>
    </row>
    <row r="3000">
      <c r="A3000" s="3" t="n">
        <v>42858</v>
      </c>
      <c r="B3000">
        <f>Prices!B3000</f>
        <v/>
      </c>
      <c r="C3000">
        <f>Prices!C3000</f>
        <v/>
      </c>
      <c r="D3000">
        <f>Prices!D3000</f>
        <v/>
      </c>
      <c r="E3000">
        <f>Prices!E3000</f>
        <v/>
      </c>
      <c r="F3000">
        <f>Prices!F3000</f>
        <v/>
      </c>
      <c r="G3000">
        <f>IF(AND(2998&gt;=16,TEXT(A3000,"yyyy-mm")&lt;&gt;TEXT(A3001,"yyyy-mm")),1,0)</f>
        <v/>
      </c>
      <c r="H3000">
        <f>IF(OR(H2999=1,G3000=1),1,0)</f>
        <v/>
      </c>
      <c r="I3000">
        <f>IF(H2999=0,1,SUMPRODUCT(J2999:N2999,B3000:F3000)+O2999*(1+0.00023125256064071564))</f>
        <v/>
      </c>
      <c r="J3000">
        <f>IF(G3000=1,0.2*R3000/B3000,J2999)</f>
        <v/>
      </c>
      <c r="K3000">
        <f>IF(G3000=1,0.2*R3000/C3000,K2999)</f>
        <v/>
      </c>
      <c r="L3000">
        <f>IF(G3000=1,0.2*R3000/D3000,L2999)</f>
        <v/>
      </c>
      <c r="M3000">
        <f>IF(G3000=1,0.2*R3000/E3000,M2999)</f>
        <v/>
      </c>
      <c r="N3000">
        <f>IF(G3000=1,0.2*R3000/F3000,N2999)</f>
        <v/>
      </c>
      <c r="O3000">
        <f>IF(G3000=1,R3000*(1-1.0),IF(H2999=0,1,O2999*(1+0.00023125256064071564)))</f>
        <v/>
      </c>
      <c r="P3000">
        <f>IF(G3000=1,IF(H2999=0,1,ABS(0.2-J2999*B3000/I3000)+ABS(0.2-K2999*C3000/I3000)+ABS(0.2-L2999*D3000/I3000)+ABS(0.2-M2999*E3000/I3000)+ABS(0.2-N2999*F3000/I3000)),0)</f>
        <v/>
      </c>
      <c r="Q3000">
        <f>P3000*0.0015</f>
        <v/>
      </c>
      <c r="R3000">
        <f>I3000*(1-Q3000)</f>
        <v/>
      </c>
      <c r="S3000">
        <f>R3000/R2999-1</f>
        <v/>
      </c>
      <c r="T3000">
        <f>MAX(T2999,R3000)</f>
        <v/>
      </c>
      <c r="U3000">
        <f>R3000/T3000-1</f>
        <v/>
      </c>
      <c r="V3000" t="n">
        <v>8.259827719005965</v>
      </c>
      <c r="W3000" s="5">
        <f>R3000-V3000</f>
        <v/>
      </c>
    </row>
    <row r="3001">
      <c r="A3001" s="3" t="n">
        <v>42859</v>
      </c>
      <c r="B3001">
        <f>Prices!B3001</f>
        <v/>
      </c>
      <c r="C3001">
        <f>Prices!C3001</f>
        <v/>
      </c>
      <c r="D3001">
        <f>Prices!D3001</f>
        <v/>
      </c>
      <c r="E3001">
        <f>Prices!E3001</f>
        <v/>
      </c>
      <c r="F3001">
        <f>Prices!F3001</f>
        <v/>
      </c>
      <c r="G3001">
        <f>IF(AND(2999&gt;=16,TEXT(A3001,"yyyy-mm")&lt;&gt;TEXT(A3002,"yyyy-mm")),1,0)</f>
        <v/>
      </c>
      <c r="H3001">
        <f>IF(OR(H3000=1,G3001=1),1,0)</f>
        <v/>
      </c>
      <c r="I3001">
        <f>IF(H3000=0,1,SUMPRODUCT(J3000:N3000,B3001:F3001)+O3000*(1+0.00023125256064071564))</f>
        <v/>
      </c>
      <c r="J3001">
        <f>IF(G3001=1,0.2*R3001/B3001,J3000)</f>
        <v/>
      </c>
      <c r="K3001">
        <f>IF(G3001=1,0.2*R3001/C3001,K3000)</f>
        <v/>
      </c>
      <c r="L3001">
        <f>IF(G3001=1,0.2*R3001/D3001,L3000)</f>
        <v/>
      </c>
      <c r="M3001">
        <f>IF(G3001=1,0.2*R3001/E3001,M3000)</f>
        <v/>
      </c>
      <c r="N3001">
        <f>IF(G3001=1,0.2*R3001/F3001,N3000)</f>
        <v/>
      </c>
      <c r="O3001">
        <f>IF(G3001=1,R3001*(1-1.0),IF(H3000=0,1,O3000*(1+0.00023125256064071564)))</f>
        <v/>
      </c>
      <c r="P3001">
        <f>IF(G3001=1,IF(H3000=0,1,ABS(0.2-J3000*B3001/I3001)+ABS(0.2-K3000*C3001/I3001)+ABS(0.2-L3000*D3001/I3001)+ABS(0.2-M3000*E3001/I3001)+ABS(0.2-N3000*F3001/I3001)),0)</f>
        <v/>
      </c>
      <c r="Q3001">
        <f>P3001*0.0015</f>
        <v/>
      </c>
      <c r="R3001">
        <f>I3001*(1-Q3001)</f>
        <v/>
      </c>
      <c r="S3001">
        <f>R3001/R3000-1</f>
        <v/>
      </c>
      <c r="T3001">
        <f>MAX(T3000,R3001)</f>
        <v/>
      </c>
      <c r="U3001">
        <f>R3001/T3001-1</f>
        <v/>
      </c>
      <c r="V3001" t="n">
        <v>8.28265832782014</v>
      </c>
      <c r="W3001" s="5">
        <f>R3001-V3001</f>
        <v/>
      </c>
    </row>
    <row r="3002">
      <c r="A3002" s="3" t="n">
        <v>42860</v>
      </c>
      <c r="B3002">
        <f>Prices!B3002</f>
        <v/>
      </c>
      <c r="C3002">
        <f>Prices!C3002</f>
        <v/>
      </c>
      <c r="D3002">
        <f>Prices!D3002</f>
        <v/>
      </c>
      <c r="E3002">
        <f>Prices!E3002</f>
        <v/>
      </c>
      <c r="F3002">
        <f>Prices!F3002</f>
        <v/>
      </c>
      <c r="G3002">
        <f>IF(AND(3000&gt;=16,TEXT(A3002,"yyyy-mm")&lt;&gt;TEXT(A3003,"yyyy-mm")),1,0)</f>
        <v/>
      </c>
      <c r="H3002">
        <f>IF(OR(H3001=1,G3002=1),1,0)</f>
        <v/>
      </c>
      <c r="I3002">
        <f>IF(H3001=0,1,SUMPRODUCT(J3001:N3001,B3002:F3002)+O3001*(1+0.00023125256064071564))</f>
        <v/>
      </c>
      <c r="J3002">
        <f>IF(G3002=1,0.2*R3002/B3002,J3001)</f>
        <v/>
      </c>
      <c r="K3002">
        <f>IF(G3002=1,0.2*R3002/C3002,K3001)</f>
        <v/>
      </c>
      <c r="L3002">
        <f>IF(G3002=1,0.2*R3002/D3002,L3001)</f>
        <v/>
      </c>
      <c r="M3002">
        <f>IF(G3002=1,0.2*R3002/E3002,M3001)</f>
        <v/>
      </c>
      <c r="N3002">
        <f>IF(G3002=1,0.2*R3002/F3002,N3001)</f>
        <v/>
      </c>
      <c r="O3002">
        <f>IF(G3002=1,R3002*(1-1.0),IF(H3001=0,1,O3001*(1+0.00023125256064071564)))</f>
        <v/>
      </c>
      <c r="P3002">
        <f>IF(G3002=1,IF(H3001=0,1,ABS(0.2-J3001*B3002/I3002)+ABS(0.2-K3001*C3002/I3002)+ABS(0.2-L3001*D3002/I3002)+ABS(0.2-M3001*E3002/I3002)+ABS(0.2-N3001*F3002/I3002)),0)</f>
        <v/>
      </c>
      <c r="Q3002">
        <f>P3002*0.0015</f>
        <v/>
      </c>
      <c r="R3002">
        <f>I3002*(1-Q3002)</f>
        <v/>
      </c>
      <c r="S3002">
        <f>R3002/R3001-1</f>
        <v/>
      </c>
      <c r="T3002">
        <f>MAX(T3001,R3002)</f>
        <v/>
      </c>
      <c r="U3002">
        <f>R3002/T3002-1</f>
        <v/>
      </c>
      <c r="V3002" t="n">
        <v>8.196065059127511</v>
      </c>
      <c r="W3002" s="5">
        <f>R3002-V3002</f>
        <v/>
      </c>
    </row>
    <row r="3003">
      <c r="A3003" s="3" t="n">
        <v>42863</v>
      </c>
      <c r="B3003">
        <f>Prices!B3003</f>
        <v/>
      </c>
      <c r="C3003">
        <f>Prices!C3003</f>
        <v/>
      </c>
      <c r="D3003">
        <f>Prices!D3003</f>
        <v/>
      </c>
      <c r="E3003">
        <f>Prices!E3003</f>
        <v/>
      </c>
      <c r="F3003">
        <f>Prices!F3003</f>
        <v/>
      </c>
      <c r="G3003">
        <f>IF(AND(3001&gt;=16,TEXT(A3003,"yyyy-mm")&lt;&gt;TEXT(A3004,"yyyy-mm")),1,0)</f>
        <v/>
      </c>
      <c r="H3003">
        <f>IF(OR(H3002=1,G3003=1),1,0)</f>
        <v/>
      </c>
      <c r="I3003">
        <f>IF(H3002=0,1,SUMPRODUCT(J3002:N3002,B3003:F3003)+O3002*(1+0.00023125256064071564))</f>
        <v/>
      </c>
      <c r="J3003">
        <f>IF(G3003=1,0.2*R3003/B3003,J3002)</f>
        <v/>
      </c>
      <c r="K3003">
        <f>IF(G3003=1,0.2*R3003/C3003,K3002)</f>
        <v/>
      </c>
      <c r="L3003">
        <f>IF(G3003=1,0.2*R3003/D3003,L3002)</f>
        <v/>
      </c>
      <c r="M3003">
        <f>IF(G3003=1,0.2*R3003/E3003,M3002)</f>
        <v/>
      </c>
      <c r="N3003">
        <f>IF(G3003=1,0.2*R3003/F3003,N3002)</f>
        <v/>
      </c>
      <c r="O3003">
        <f>IF(G3003=1,R3003*(1-1.0),IF(H3002=0,1,O3002*(1+0.00023125256064071564)))</f>
        <v/>
      </c>
      <c r="P3003">
        <f>IF(G3003=1,IF(H3002=0,1,ABS(0.2-J3002*B3003/I3003)+ABS(0.2-K3002*C3003/I3003)+ABS(0.2-L3002*D3003/I3003)+ABS(0.2-M3002*E3003/I3003)+ABS(0.2-N3002*F3003/I3003)),0)</f>
        <v/>
      </c>
      <c r="Q3003">
        <f>P3003*0.0015</f>
        <v/>
      </c>
      <c r="R3003">
        <f>I3003*(1-Q3003)</f>
        <v/>
      </c>
      <c r="S3003">
        <f>R3003/R3002-1</f>
        <v/>
      </c>
      <c r="T3003">
        <f>MAX(T3002,R3003)</f>
        <v/>
      </c>
      <c r="U3003">
        <f>R3003/T3003-1</f>
        <v/>
      </c>
      <c r="V3003" t="n">
        <v>8.248841769829969</v>
      </c>
      <c r="W3003" s="5">
        <f>R3003-V3003</f>
        <v/>
      </c>
    </row>
    <row r="3004">
      <c r="A3004" s="3" t="n">
        <v>42864</v>
      </c>
      <c r="B3004">
        <f>Prices!B3004</f>
        <v/>
      </c>
      <c r="C3004">
        <f>Prices!C3004</f>
        <v/>
      </c>
      <c r="D3004">
        <f>Prices!D3004</f>
        <v/>
      </c>
      <c r="E3004">
        <f>Prices!E3004</f>
        <v/>
      </c>
      <c r="F3004">
        <f>Prices!F3004</f>
        <v/>
      </c>
      <c r="G3004">
        <f>IF(AND(3002&gt;=16,TEXT(A3004,"yyyy-mm")&lt;&gt;TEXT(A3005,"yyyy-mm")),1,0)</f>
        <v/>
      </c>
      <c r="H3004">
        <f>IF(OR(H3003=1,G3004=1),1,0)</f>
        <v/>
      </c>
      <c r="I3004">
        <f>IF(H3003=0,1,SUMPRODUCT(J3003:N3003,B3004:F3004)+O3003*(1+0.00023125256064071564))</f>
        <v/>
      </c>
      <c r="J3004">
        <f>IF(G3004=1,0.2*R3004/B3004,J3003)</f>
        <v/>
      </c>
      <c r="K3004">
        <f>IF(G3004=1,0.2*R3004/C3004,K3003)</f>
        <v/>
      </c>
      <c r="L3004">
        <f>IF(G3004=1,0.2*R3004/D3004,L3003)</f>
        <v/>
      </c>
      <c r="M3004">
        <f>IF(G3004=1,0.2*R3004/E3004,M3003)</f>
        <v/>
      </c>
      <c r="N3004">
        <f>IF(G3004=1,0.2*R3004/F3004,N3003)</f>
        <v/>
      </c>
      <c r="O3004">
        <f>IF(G3004=1,R3004*(1-1.0),IF(H3003=0,1,O3003*(1+0.00023125256064071564)))</f>
        <v/>
      </c>
      <c r="P3004">
        <f>IF(G3004=1,IF(H3003=0,1,ABS(0.2-J3003*B3004/I3004)+ABS(0.2-K3003*C3004/I3004)+ABS(0.2-L3003*D3004/I3004)+ABS(0.2-M3003*E3004/I3004)+ABS(0.2-N3003*F3004/I3004)),0)</f>
        <v/>
      </c>
      <c r="Q3004">
        <f>P3004*0.0015</f>
        <v/>
      </c>
      <c r="R3004">
        <f>I3004*(1-Q3004)</f>
        <v/>
      </c>
      <c r="S3004">
        <f>R3004/R3003-1</f>
        <v/>
      </c>
      <c r="T3004">
        <f>MAX(T3003,R3004)</f>
        <v/>
      </c>
      <c r="U3004">
        <f>R3004/T3004-1</f>
        <v/>
      </c>
      <c r="V3004" t="n">
        <v>8.285366133169406</v>
      </c>
      <c r="W3004" s="5">
        <f>R3004-V3004</f>
        <v/>
      </c>
    </row>
    <row r="3005">
      <c r="A3005" s="3" t="n">
        <v>42865</v>
      </c>
      <c r="B3005">
        <f>Prices!B3005</f>
        <v/>
      </c>
      <c r="C3005">
        <f>Prices!C3005</f>
        <v/>
      </c>
      <c r="D3005">
        <f>Prices!D3005</f>
        <v/>
      </c>
      <c r="E3005">
        <f>Prices!E3005</f>
        <v/>
      </c>
      <c r="F3005">
        <f>Prices!F3005</f>
        <v/>
      </c>
      <c r="G3005">
        <f>IF(AND(3003&gt;=16,TEXT(A3005,"yyyy-mm")&lt;&gt;TEXT(A3006,"yyyy-mm")),1,0)</f>
        <v/>
      </c>
      <c r="H3005">
        <f>IF(OR(H3004=1,G3005=1),1,0)</f>
        <v/>
      </c>
      <c r="I3005">
        <f>IF(H3004=0,1,SUMPRODUCT(J3004:N3004,B3005:F3005)+O3004*(1+0.00023125256064071564))</f>
        <v/>
      </c>
      <c r="J3005">
        <f>IF(G3005=1,0.2*R3005/B3005,J3004)</f>
        <v/>
      </c>
      <c r="K3005">
        <f>IF(G3005=1,0.2*R3005/C3005,K3004)</f>
        <v/>
      </c>
      <c r="L3005">
        <f>IF(G3005=1,0.2*R3005/D3005,L3004)</f>
        <v/>
      </c>
      <c r="M3005">
        <f>IF(G3005=1,0.2*R3005/E3005,M3004)</f>
        <v/>
      </c>
      <c r="N3005">
        <f>IF(G3005=1,0.2*R3005/F3005,N3004)</f>
        <v/>
      </c>
      <c r="O3005">
        <f>IF(G3005=1,R3005*(1-1.0),IF(H3004=0,1,O3004*(1+0.00023125256064071564)))</f>
        <v/>
      </c>
      <c r="P3005">
        <f>IF(G3005=1,IF(H3004=0,1,ABS(0.2-J3004*B3005/I3005)+ABS(0.2-K3004*C3005/I3005)+ABS(0.2-L3004*D3005/I3005)+ABS(0.2-M3004*E3005/I3005)+ABS(0.2-N3004*F3005/I3005)),0)</f>
        <v/>
      </c>
      <c r="Q3005">
        <f>P3005*0.0015</f>
        <v/>
      </c>
      <c r="R3005">
        <f>I3005*(1-Q3005)</f>
        <v/>
      </c>
      <c r="S3005">
        <f>R3005/R3004-1</f>
        <v/>
      </c>
      <c r="T3005">
        <f>MAX(T3004,R3005)</f>
        <v/>
      </c>
      <c r="U3005">
        <f>R3005/T3005-1</f>
        <v/>
      </c>
      <c r="V3005" t="n">
        <v>8.354553667472345</v>
      </c>
      <c r="W3005" s="5">
        <f>R3005-V3005</f>
        <v/>
      </c>
    </row>
    <row r="3006">
      <c r="A3006" s="3" t="n">
        <v>42866</v>
      </c>
      <c r="B3006">
        <f>Prices!B3006</f>
        <v/>
      </c>
      <c r="C3006">
        <f>Prices!C3006</f>
        <v/>
      </c>
      <c r="D3006">
        <f>Prices!D3006</f>
        <v/>
      </c>
      <c r="E3006">
        <f>Prices!E3006</f>
        <v/>
      </c>
      <c r="F3006">
        <f>Prices!F3006</f>
        <v/>
      </c>
      <c r="G3006">
        <f>IF(AND(3004&gt;=16,TEXT(A3006,"yyyy-mm")&lt;&gt;TEXT(A3007,"yyyy-mm")),1,0)</f>
        <v/>
      </c>
      <c r="H3006">
        <f>IF(OR(H3005=1,G3006=1),1,0)</f>
        <v/>
      </c>
      <c r="I3006">
        <f>IF(H3005=0,1,SUMPRODUCT(J3005:N3005,B3006:F3006)+O3005*(1+0.00023125256064071564))</f>
        <v/>
      </c>
      <c r="J3006">
        <f>IF(G3006=1,0.2*R3006/B3006,J3005)</f>
        <v/>
      </c>
      <c r="K3006">
        <f>IF(G3006=1,0.2*R3006/C3006,K3005)</f>
        <v/>
      </c>
      <c r="L3006">
        <f>IF(G3006=1,0.2*R3006/D3006,L3005)</f>
        <v/>
      </c>
      <c r="M3006">
        <f>IF(G3006=1,0.2*R3006/E3006,M3005)</f>
        <v/>
      </c>
      <c r="N3006">
        <f>IF(G3006=1,0.2*R3006/F3006,N3005)</f>
        <v/>
      </c>
      <c r="O3006">
        <f>IF(G3006=1,R3006*(1-1.0),IF(H3005=0,1,O3005*(1+0.00023125256064071564)))</f>
        <v/>
      </c>
      <c r="P3006">
        <f>IF(G3006=1,IF(H3005=0,1,ABS(0.2-J3005*B3006/I3006)+ABS(0.2-K3005*C3006/I3006)+ABS(0.2-L3005*D3006/I3006)+ABS(0.2-M3005*E3006/I3006)+ABS(0.2-N3005*F3006/I3006)),0)</f>
        <v/>
      </c>
      <c r="Q3006">
        <f>P3006*0.0015</f>
        <v/>
      </c>
      <c r="R3006">
        <f>I3006*(1-Q3006)</f>
        <v/>
      </c>
      <c r="S3006">
        <f>R3006/R3005-1</f>
        <v/>
      </c>
      <c r="T3006">
        <f>MAX(T3005,R3006)</f>
        <v/>
      </c>
      <c r="U3006">
        <f>R3006/T3006-1</f>
        <v/>
      </c>
      <c r="V3006" t="n">
        <v>8.358777039203531</v>
      </c>
      <c r="W3006" s="5">
        <f>R3006-V3006</f>
        <v/>
      </c>
    </row>
    <row r="3007">
      <c r="A3007" s="3" t="n">
        <v>42867</v>
      </c>
      <c r="B3007">
        <f>Prices!B3007</f>
        <v/>
      </c>
      <c r="C3007">
        <f>Prices!C3007</f>
        <v/>
      </c>
      <c r="D3007">
        <f>Prices!D3007</f>
        <v/>
      </c>
      <c r="E3007">
        <f>Prices!E3007</f>
        <v/>
      </c>
      <c r="F3007">
        <f>Prices!F3007</f>
        <v/>
      </c>
      <c r="G3007">
        <f>IF(AND(3005&gt;=16,TEXT(A3007,"yyyy-mm")&lt;&gt;TEXT(A3008,"yyyy-mm")),1,0)</f>
        <v/>
      </c>
      <c r="H3007">
        <f>IF(OR(H3006=1,G3007=1),1,0)</f>
        <v/>
      </c>
      <c r="I3007">
        <f>IF(H3006=0,1,SUMPRODUCT(J3006:N3006,B3007:F3007)+O3006*(1+0.00023125256064071564))</f>
        <v/>
      </c>
      <c r="J3007">
        <f>IF(G3007=1,0.2*R3007/B3007,J3006)</f>
        <v/>
      </c>
      <c r="K3007">
        <f>IF(G3007=1,0.2*R3007/C3007,K3006)</f>
        <v/>
      </c>
      <c r="L3007">
        <f>IF(G3007=1,0.2*R3007/D3007,L3006)</f>
        <v/>
      </c>
      <c r="M3007">
        <f>IF(G3007=1,0.2*R3007/E3007,M3006)</f>
        <v/>
      </c>
      <c r="N3007">
        <f>IF(G3007=1,0.2*R3007/F3007,N3006)</f>
        <v/>
      </c>
      <c r="O3007">
        <f>IF(G3007=1,R3007*(1-1.0),IF(H3006=0,1,O3006*(1+0.00023125256064071564)))</f>
        <v/>
      </c>
      <c r="P3007">
        <f>IF(G3007=1,IF(H3006=0,1,ABS(0.2-J3006*B3007/I3007)+ABS(0.2-K3006*C3007/I3007)+ABS(0.2-L3006*D3007/I3007)+ABS(0.2-M3006*E3007/I3007)+ABS(0.2-N3006*F3007/I3007)),0)</f>
        <v/>
      </c>
      <c r="Q3007">
        <f>P3007*0.0015</f>
        <v/>
      </c>
      <c r="R3007">
        <f>I3007*(1-Q3007)</f>
        <v/>
      </c>
      <c r="S3007">
        <f>R3007/R3006-1</f>
        <v/>
      </c>
      <c r="T3007">
        <f>MAX(T3006,R3007)</f>
        <v/>
      </c>
      <c r="U3007">
        <f>R3007/T3007-1</f>
        <v/>
      </c>
      <c r="V3007" t="n">
        <v>8.32300883012587</v>
      </c>
      <c r="W3007" s="5">
        <f>R3007-V3007</f>
        <v/>
      </c>
    </row>
    <row r="3008">
      <c r="A3008" s="3" t="n">
        <v>42870</v>
      </c>
      <c r="B3008">
        <f>Prices!B3008</f>
        <v/>
      </c>
      <c r="C3008">
        <f>Prices!C3008</f>
        <v/>
      </c>
      <c r="D3008">
        <f>Prices!D3008</f>
        <v/>
      </c>
      <c r="E3008">
        <f>Prices!E3008</f>
        <v/>
      </c>
      <c r="F3008">
        <f>Prices!F3008</f>
        <v/>
      </c>
      <c r="G3008">
        <f>IF(AND(3006&gt;=16,TEXT(A3008,"yyyy-mm")&lt;&gt;TEXT(A3009,"yyyy-mm")),1,0)</f>
        <v/>
      </c>
      <c r="H3008">
        <f>IF(OR(H3007=1,G3008=1),1,0)</f>
        <v/>
      </c>
      <c r="I3008">
        <f>IF(H3007=0,1,SUMPRODUCT(J3007:N3007,B3008:F3008)+O3007*(1+0.00023125256064071564))</f>
        <v/>
      </c>
      <c r="J3008">
        <f>IF(G3008=1,0.2*R3008/B3008,J3007)</f>
        <v/>
      </c>
      <c r="K3008">
        <f>IF(G3008=1,0.2*R3008/C3008,K3007)</f>
        <v/>
      </c>
      <c r="L3008">
        <f>IF(G3008=1,0.2*R3008/D3008,L3007)</f>
        <v/>
      </c>
      <c r="M3008">
        <f>IF(G3008=1,0.2*R3008/E3008,M3007)</f>
        <v/>
      </c>
      <c r="N3008">
        <f>IF(G3008=1,0.2*R3008/F3008,N3007)</f>
        <v/>
      </c>
      <c r="O3008">
        <f>IF(G3008=1,R3008*(1-1.0),IF(H3007=0,1,O3007*(1+0.00023125256064071564)))</f>
        <v/>
      </c>
      <c r="P3008">
        <f>IF(G3008=1,IF(H3007=0,1,ABS(0.2-J3007*B3008/I3008)+ABS(0.2-K3007*C3008/I3008)+ABS(0.2-L3007*D3008/I3008)+ABS(0.2-M3007*E3008/I3008)+ABS(0.2-N3007*F3008/I3008)),0)</f>
        <v/>
      </c>
      <c r="Q3008">
        <f>P3008*0.0015</f>
        <v/>
      </c>
      <c r="R3008">
        <f>I3008*(1-Q3008)</f>
        <v/>
      </c>
      <c r="S3008">
        <f>R3008/R3007-1</f>
        <v/>
      </c>
      <c r="T3008">
        <f>MAX(T3007,R3008)</f>
        <v/>
      </c>
      <c r="U3008">
        <f>R3008/T3008-1</f>
        <v/>
      </c>
      <c r="V3008" t="n">
        <v>8.40015612607068</v>
      </c>
      <c r="W3008" s="5">
        <f>R3008-V3008</f>
        <v/>
      </c>
    </row>
    <row r="3009">
      <c r="A3009" s="3" t="n">
        <v>42871</v>
      </c>
      <c r="B3009">
        <f>Prices!B3009</f>
        <v/>
      </c>
      <c r="C3009">
        <f>Prices!C3009</f>
        <v/>
      </c>
      <c r="D3009">
        <f>Prices!D3009</f>
        <v/>
      </c>
      <c r="E3009">
        <f>Prices!E3009</f>
        <v/>
      </c>
      <c r="F3009">
        <f>Prices!F3009</f>
        <v/>
      </c>
      <c r="G3009">
        <f>IF(AND(3007&gt;=16,TEXT(A3009,"yyyy-mm")&lt;&gt;TEXT(A3010,"yyyy-mm")),1,0)</f>
        <v/>
      </c>
      <c r="H3009">
        <f>IF(OR(H3008=1,G3009=1),1,0)</f>
        <v/>
      </c>
      <c r="I3009">
        <f>IF(H3008=0,1,SUMPRODUCT(J3008:N3008,B3009:F3009)+O3008*(1+0.00023125256064071564))</f>
        <v/>
      </c>
      <c r="J3009">
        <f>IF(G3009=1,0.2*R3009/B3009,J3008)</f>
        <v/>
      </c>
      <c r="K3009">
        <f>IF(G3009=1,0.2*R3009/C3009,K3008)</f>
        <v/>
      </c>
      <c r="L3009">
        <f>IF(G3009=1,0.2*R3009/D3009,L3008)</f>
        <v/>
      </c>
      <c r="M3009">
        <f>IF(G3009=1,0.2*R3009/E3009,M3008)</f>
        <v/>
      </c>
      <c r="N3009">
        <f>IF(G3009=1,0.2*R3009/F3009,N3008)</f>
        <v/>
      </c>
      <c r="O3009">
        <f>IF(G3009=1,R3009*(1-1.0),IF(H3008=0,1,O3008*(1+0.00023125256064071564)))</f>
        <v/>
      </c>
      <c r="P3009">
        <f>IF(G3009=1,IF(H3008=0,1,ABS(0.2-J3008*B3009/I3009)+ABS(0.2-K3008*C3009/I3009)+ABS(0.2-L3008*D3009/I3009)+ABS(0.2-M3008*E3009/I3009)+ABS(0.2-N3008*F3009/I3009)),0)</f>
        <v/>
      </c>
      <c r="Q3009">
        <f>P3009*0.0015</f>
        <v/>
      </c>
      <c r="R3009">
        <f>I3009*(1-Q3009)</f>
        <v/>
      </c>
      <c r="S3009">
        <f>R3009/R3008-1</f>
        <v/>
      </c>
      <c r="T3009">
        <f>MAX(T3008,R3009)</f>
        <v/>
      </c>
      <c r="U3009">
        <f>R3009/T3009-1</f>
        <v/>
      </c>
      <c r="V3009" t="n">
        <v>8.432786628035291</v>
      </c>
      <c r="W3009" s="5">
        <f>R3009-V3009</f>
        <v/>
      </c>
    </row>
    <row r="3010">
      <c r="A3010" s="3" t="n">
        <v>42872</v>
      </c>
      <c r="B3010">
        <f>Prices!B3010</f>
        <v/>
      </c>
      <c r="C3010">
        <f>Prices!C3010</f>
        <v/>
      </c>
      <c r="D3010">
        <f>Prices!D3010</f>
        <v/>
      </c>
      <c r="E3010">
        <f>Prices!E3010</f>
        <v/>
      </c>
      <c r="F3010">
        <f>Prices!F3010</f>
        <v/>
      </c>
      <c r="G3010">
        <f>IF(AND(3008&gt;=16,TEXT(A3010,"yyyy-mm")&lt;&gt;TEXT(A3011,"yyyy-mm")),1,0)</f>
        <v/>
      </c>
      <c r="H3010">
        <f>IF(OR(H3009=1,G3010=1),1,0)</f>
        <v/>
      </c>
      <c r="I3010">
        <f>IF(H3009=0,1,SUMPRODUCT(J3009:N3009,B3010:F3010)+O3009*(1+0.00023125256064071564))</f>
        <v/>
      </c>
      <c r="J3010">
        <f>IF(G3010=1,0.2*R3010/B3010,J3009)</f>
        <v/>
      </c>
      <c r="K3010">
        <f>IF(G3010=1,0.2*R3010/C3010,K3009)</f>
        <v/>
      </c>
      <c r="L3010">
        <f>IF(G3010=1,0.2*R3010/D3010,L3009)</f>
        <v/>
      </c>
      <c r="M3010">
        <f>IF(G3010=1,0.2*R3010/E3010,M3009)</f>
        <v/>
      </c>
      <c r="N3010">
        <f>IF(G3010=1,0.2*R3010/F3010,N3009)</f>
        <v/>
      </c>
      <c r="O3010">
        <f>IF(G3010=1,R3010*(1-1.0),IF(H3009=0,1,O3009*(1+0.00023125256064071564)))</f>
        <v/>
      </c>
      <c r="P3010">
        <f>IF(G3010=1,IF(H3009=0,1,ABS(0.2-J3009*B3010/I3010)+ABS(0.2-K3009*C3010/I3010)+ABS(0.2-L3009*D3010/I3010)+ABS(0.2-M3009*E3010/I3010)+ABS(0.2-N3009*F3010/I3010)),0)</f>
        <v/>
      </c>
      <c r="Q3010">
        <f>P3010*0.0015</f>
        <v/>
      </c>
      <c r="R3010">
        <f>I3010*(1-Q3010)</f>
        <v/>
      </c>
      <c r="S3010">
        <f>R3010/R3009-1</f>
        <v/>
      </c>
      <c r="T3010">
        <f>MAX(T3009,R3010)</f>
        <v/>
      </c>
      <c r="U3010">
        <f>R3010/T3010-1</f>
        <v/>
      </c>
      <c r="V3010" t="n">
        <v>8.419946344622367</v>
      </c>
      <c r="W3010" s="5">
        <f>R3010-V3010</f>
        <v/>
      </c>
    </row>
    <row r="3011">
      <c r="A3011" s="3" t="n">
        <v>42873</v>
      </c>
      <c r="B3011">
        <f>Prices!B3011</f>
        <v/>
      </c>
      <c r="C3011">
        <f>Prices!C3011</f>
        <v/>
      </c>
      <c r="D3011">
        <f>Prices!D3011</f>
        <v/>
      </c>
      <c r="E3011">
        <f>Prices!E3011</f>
        <v/>
      </c>
      <c r="F3011">
        <f>Prices!F3011</f>
        <v/>
      </c>
      <c r="G3011">
        <f>IF(AND(3009&gt;=16,TEXT(A3011,"yyyy-mm")&lt;&gt;TEXT(A3012,"yyyy-mm")),1,0)</f>
        <v/>
      </c>
      <c r="H3011">
        <f>IF(OR(H3010=1,G3011=1),1,0)</f>
        <v/>
      </c>
      <c r="I3011">
        <f>IF(H3010=0,1,SUMPRODUCT(J3010:N3010,B3011:F3011)+O3010*(1+0.00023125256064071564))</f>
        <v/>
      </c>
      <c r="J3011">
        <f>IF(G3011=1,0.2*R3011/B3011,J3010)</f>
        <v/>
      </c>
      <c r="K3011">
        <f>IF(G3011=1,0.2*R3011/C3011,K3010)</f>
        <v/>
      </c>
      <c r="L3011">
        <f>IF(G3011=1,0.2*R3011/D3011,L3010)</f>
        <v/>
      </c>
      <c r="M3011">
        <f>IF(G3011=1,0.2*R3011/E3011,M3010)</f>
        <v/>
      </c>
      <c r="N3011">
        <f>IF(G3011=1,0.2*R3011/F3011,N3010)</f>
        <v/>
      </c>
      <c r="O3011">
        <f>IF(G3011=1,R3011*(1-1.0),IF(H3010=0,1,O3010*(1+0.00023125256064071564)))</f>
        <v/>
      </c>
      <c r="P3011">
        <f>IF(G3011=1,IF(H3010=0,1,ABS(0.2-J3010*B3011/I3011)+ABS(0.2-K3010*C3011/I3011)+ABS(0.2-L3010*D3011/I3011)+ABS(0.2-M3010*E3011/I3011)+ABS(0.2-N3010*F3011/I3011)),0)</f>
        <v/>
      </c>
      <c r="Q3011">
        <f>P3011*0.0015</f>
        <v/>
      </c>
      <c r="R3011">
        <f>I3011*(1-Q3011)</f>
        <v/>
      </c>
      <c r="S3011">
        <f>R3011/R3010-1</f>
        <v/>
      </c>
      <c r="T3011">
        <f>MAX(T3010,R3011)</f>
        <v/>
      </c>
      <c r="U3011">
        <f>R3011/T3011-1</f>
        <v/>
      </c>
      <c r="V3011" t="n">
        <v>8.287549189138366</v>
      </c>
      <c r="W3011" s="5">
        <f>R3011-V3011</f>
        <v/>
      </c>
    </row>
    <row r="3012">
      <c r="A3012" s="3" t="n">
        <v>42874</v>
      </c>
      <c r="B3012">
        <f>Prices!B3012</f>
        <v/>
      </c>
      <c r="C3012">
        <f>Prices!C3012</f>
        <v/>
      </c>
      <c r="D3012">
        <f>Prices!D3012</f>
        <v/>
      </c>
      <c r="E3012">
        <f>Prices!E3012</f>
        <v/>
      </c>
      <c r="F3012">
        <f>Prices!F3012</f>
        <v/>
      </c>
      <c r="G3012">
        <f>IF(AND(3010&gt;=16,TEXT(A3012,"yyyy-mm")&lt;&gt;TEXT(A3013,"yyyy-mm")),1,0)</f>
        <v/>
      </c>
      <c r="H3012">
        <f>IF(OR(H3011=1,G3012=1),1,0)</f>
        <v/>
      </c>
      <c r="I3012">
        <f>IF(H3011=0,1,SUMPRODUCT(J3011:N3011,B3012:F3012)+O3011*(1+0.00023125256064071564))</f>
        <v/>
      </c>
      <c r="J3012">
        <f>IF(G3012=1,0.2*R3012/B3012,J3011)</f>
        <v/>
      </c>
      <c r="K3012">
        <f>IF(G3012=1,0.2*R3012/C3012,K3011)</f>
        <v/>
      </c>
      <c r="L3012">
        <f>IF(G3012=1,0.2*R3012/D3012,L3011)</f>
        <v/>
      </c>
      <c r="M3012">
        <f>IF(G3012=1,0.2*R3012/E3012,M3011)</f>
        <v/>
      </c>
      <c r="N3012">
        <f>IF(G3012=1,0.2*R3012/F3012,N3011)</f>
        <v/>
      </c>
      <c r="O3012">
        <f>IF(G3012=1,R3012*(1-1.0),IF(H3011=0,1,O3011*(1+0.00023125256064071564)))</f>
        <v/>
      </c>
      <c r="P3012">
        <f>IF(G3012=1,IF(H3011=0,1,ABS(0.2-J3011*B3012/I3012)+ABS(0.2-K3011*C3012/I3012)+ABS(0.2-L3011*D3012/I3012)+ABS(0.2-M3011*E3012/I3012)+ABS(0.2-N3011*F3012/I3012)),0)</f>
        <v/>
      </c>
      <c r="Q3012">
        <f>P3012*0.0015</f>
        <v/>
      </c>
      <c r="R3012">
        <f>I3012*(1-Q3012)</f>
        <v/>
      </c>
      <c r="S3012">
        <f>R3012/R3011-1</f>
        <v/>
      </c>
      <c r="T3012">
        <f>MAX(T3011,R3012)</f>
        <v/>
      </c>
      <c r="U3012">
        <f>R3012/T3012-1</f>
        <v/>
      </c>
      <c r="V3012" t="n">
        <v>8.21907651313586</v>
      </c>
      <c r="W3012" s="5">
        <f>R3012-V3012</f>
        <v/>
      </c>
    </row>
    <row r="3013">
      <c r="A3013" s="3" t="n">
        <v>42877</v>
      </c>
      <c r="B3013">
        <f>Prices!B3013</f>
        <v/>
      </c>
      <c r="C3013">
        <f>Prices!C3013</f>
        <v/>
      </c>
      <c r="D3013">
        <f>Prices!D3013</f>
        <v/>
      </c>
      <c r="E3013">
        <f>Prices!E3013</f>
        <v/>
      </c>
      <c r="F3013">
        <f>Prices!F3013</f>
        <v/>
      </c>
      <c r="G3013">
        <f>IF(AND(3011&gt;=16,TEXT(A3013,"yyyy-mm")&lt;&gt;TEXT(A3014,"yyyy-mm")),1,0)</f>
        <v/>
      </c>
      <c r="H3013">
        <f>IF(OR(H3012=1,G3013=1),1,0)</f>
        <v/>
      </c>
      <c r="I3013">
        <f>IF(H3012=0,1,SUMPRODUCT(J3012:N3012,B3013:F3013)+O3012*(1+0.00023125256064071564))</f>
        <v/>
      </c>
      <c r="J3013">
        <f>IF(G3013=1,0.2*R3013/B3013,J3012)</f>
        <v/>
      </c>
      <c r="K3013">
        <f>IF(G3013=1,0.2*R3013/C3013,K3012)</f>
        <v/>
      </c>
      <c r="L3013">
        <f>IF(G3013=1,0.2*R3013/D3013,L3012)</f>
        <v/>
      </c>
      <c r="M3013">
        <f>IF(G3013=1,0.2*R3013/E3013,M3012)</f>
        <v/>
      </c>
      <c r="N3013">
        <f>IF(G3013=1,0.2*R3013/F3013,N3012)</f>
        <v/>
      </c>
      <c r="O3013">
        <f>IF(G3013=1,R3013*(1-1.0),IF(H3012=0,1,O3012*(1+0.00023125256064071564)))</f>
        <v/>
      </c>
      <c r="P3013">
        <f>IF(G3013=1,IF(H3012=0,1,ABS(0.2-J3012*B3013/I3013)+ABS(0.2-K3012*C3013/I3013)+ABS(0.2-L3012*D3013/I3013)+ABS(0.2-M3012*E3013/I3013)+ABS(0.2-N3012*F3013/I3013)),0)</f>
        <v/>
      </c>
      <c r="Q3013">
        <f>P3013*0.0015</f>
        <v/>
      </c>
      <c r="R3013">
        <f>I3013*(1-Q3013)</f>
        <v/>
      </c>
      <c r="S3013">
        <f>R3013/R3012-1</f>
        <v/>
      </c>
      <c r="T3013">
        <f>MAX(T3012,R3013)</f>
        <v/>
      </c>
      <c r="U3013">
        <f>R3013/T3013-1</f>
        <v/>
      </c>
      <c r="V3013" t="n">
        <v>8.117656586142054</v>
      </c>
      <c r="W3013" s="5">
        <f>R3013-V3013</f>
        <v/>
      </c>
    </row>
    <row r="3014">
      <c r="A3014" s="3" t="n">
        <v>42878</v>
      </c>
      <c r="B3014">
        <f>Prices!B3014</f>
        <v/>
      </c>
      <c r="C3014">
        <f>Prices!C3014</f>
        <v/>
      </c>
      <c r="D3014">
        <f>Prices!D3014</f>
        <v/>
      </c>
      <c r="E3014">
        <f>Prices!E3014</f>
        <v/>
      </c>
      <c r="F3014">
        <f>Prices!F3014</f>
        <v/>
      </c>
      <c r="G3014">
        <f>IF(AND(3012&gt;=16,TEXT(A3014,"yyyy-mm")&lt;&gt;TEXT(A3015,"yyyy-mm")),1,0)</f>
        <v/>
      </c>
      <c r="H3014">
        <f>IF(OR(H3013=1,G3014=1),1,0)</f>
        <v/>
      </c>
      <c r="I3014">
        <f>IF(H3013=0,1,SUMPRODUCT(J3013:N3013,B3014:F3014)+O3013*(1+0.00023125256064071564))</f>
        <v/>
      </c>
      <c r="J3014">
        <f>IF(G3014=1,0.2*R3014/B3014,J3013)</f>
        <v/>
      </c>
      <c r="K3014">
        <f>IF(G3014=1,0.2*R3014/C3014,K3013)</f>
        <v/>
      </c>
      <c r="L3014">
        <f>IF(G3014=1,0.2*R3014/D3014,L3013)</f>
        <v/>
      </c>
      <c r="M3014">
        <f>IF(G3014=1,0.2*R3014/E3014,M3013)</f>
        <v/>
      </c>
      <c r="N3014">
        <f>IF(G3014=1,0.2*R3014/F3014,N3013)</f>
        <v/>
      </c>
      <c r="O3014">
        <f>IF(G3014=1,R3014*(1-1.0),IF(H3013=0,1,O3013*(1+0.00023125256064071564)))</f>
        <v/>
      </c>
      <c r="P3014">
        <f>IF(G3014=1,IF(H3013=0,1,ABS(0.2-J3013*B3014/I3014)+ABS(0.2-K3013*C3014/I3014)+ABS(0.2-L3013*D3014/I3014)+ABS(0.2-M3013*E3014/I3014)+ABS(0.2-N3013*F3014/I3014)),0)</f>
        <v/>
      </c>
      <c r="Q3014">
        <f>P3014*0.0015</f>
        <v/>
      </c>
      <c r="R3014">
        <f>I3014*(1-Q3014)</f>
        <v/>
      </c>
      <c r="S3014">
        <f>R3014/R3013-1</f>
        <v/>
      </c>
      <c r="T3014">
        <f>MAX(T3013,R3014)</f>
        <v/>
      </c>
      <c r="U3014">
        <f>R3014/T3014-1</f>
        <v/>
      </c>
      <c r="V3014" t="n">
        <v>8.028930157211239</v>
      </c>
      <c r="W3014" s="5">
        <f>R3014-V3014</f>
        <v/>
      </c>
    </row>
    <row r="3015">
      <c r="A3015" s="3" t="n">
        <v>42879</v>
      </c>
      <c r="B3015">
        <f>Prices!B3015</f>
        <v/>
      </c>
      <c r="C3015">
        <f>Prices!C3015</f>
        <v/>
      </c>
      <c r="D3015">
        <f>Prices!D3015</f>
        <v/>
      </c>
      <c r="E3015">
        <f>Prices!E3015</f>
        <v/>
      </c>
      <c r="F3015">
        <f>Prices!F3015</f>
        <v/>
      </c>
      <c r="G3015">
        <f>IF(AND(3013&gt;=16,TEXT(A3015,"yyyy-mm")&lt;&gt;TEXT(A3016,"yyyy-mm")),1,0)</f>
        <v/>
      </c>
      <c r="H3015">
        <f>IF(OR(H3014=1,G3015=1),1,0)</f>
        <v/>
      </c>
      <c r="I3015">
        <f>IF(H3014=0,1,SUMPRODUCT(J3014:N3014,B3015:F3015)+O3014*(1+0.00023125256064071564))</f>
        <v/>
      </c>
      <c r="J3015">
        <f>IF(G3015=1,0.2*R3015/B3015,J3014)</f>
        <v/>
      </c>
      <c r="K3015">
        <f>IF(G3015=1,0.2*R3015/C3015,K3014)</f>
        <v/>
      </c>
      <c r="L3015">
        <f>IF(G3015=1,0.2*R3015/D3015,L3014)</f>
        <v/>
      </c>
      <c r="M3015">
        <f>IF(G3015=1,0.2*R3015/E3015,M3014)</f>
        <v/>
      </c>
      <c r="N3015">
        <f>IF(G3015=1,0.2*R3015/F3015,N3014)</f>
        <v/>
      </c>
      <c r="O3015">
        <f>IF(G3015=1,R3015*(1-1.0),IF(H3014=0,1,O3014*(1+0.00023125256064071564)))</f>
        <v/>
      </c>
      <c r="P3015">
        <f>IF(G3015=1,IF(H3014=0,1,ABS(0.2-J3014*B3015/I3015)+ABS(0.2-K3014*C3015/I3015)+ABS(0.2-L3014*D3015/I3015)+ABS(0.2-M3014*E3015/I3015)+ABS(0.2-N3014*F3015/I3015)),0)</f>
        <v/>
      </c>
      <c r="Q3015">
        <f>P3015*0.0015</f>
        <v/>
      </c>
      <c r="R3015">
        <f>I3015*(1-Q3015)</f>
        <v/>
      </c>
      <c r="S3015">
        <f>R3015/R3014-1</f>
        <v/>
      </c>
      <c r="T3015">
        <f>MAX(T3014,R3015)</f>
        <v/>
      </c>
      <c r="U3015">
        <f>R3015/T3015-1</f>
        <v/>
      </c>
      <c r="V3015" t="n">
        <v>7.939285479719635</v>
      </c>
      <c r="W3015" s="5">
        <f>R3015-V3015</f>
        <v/>
      </c>
    </row>
    <row r="3016">
      <c r="A3016" s="3" t="n">
        <v>42880</v>
      </c>
      <c r="B3016">
        <f>Prices!B3016</f>
        <v/>
      </c>
      <c r="C3016">
        <f>Prices!C3016</f>
        <v/>
      </c>
      <c r="D3016">
        <f>Prices!D3016</f>
        <v/>
      </c>
      <c r="E3016">
        <f>Prices!E3016</f>
        <v/>
      </c>
      <c r="F3016">
        <f>Prices!F3016</f>
        <v/>
      </c>
      <c r="G3016">
        <f>IF(AND(3014&gt;=16,TEXT(A3016,"yyyy-mm")&lt;&gt;TEXT(A3017,"yyyy-mm")),1,0)</f>
        <v/>
      </c>
      <c r="H3016">
        <f>IF(OR(H3015=1,G3016=1),1,0)</f>
        <v/>
      </c>
      <c r="I3016">
        <f>IF(H3015=0,1,SUMPRODUCT(J3015:N3015,B3016:F3016)+O3015*(1+0.00023125256064071564))</f>
        <v/>
      </c>
      <c r="J3016">
        <f>IF(G3016=1,0.2*R3016/B3016,J3015)</f>
        <v/>
      </c>
      <c r="K3016">
        <f>IF(G3016=1,0.2*R3016/C3016,K3015)</f>
        <v/>
      </c>
      <c r="L3016">
        <f>IF(G3016=1,0.2*R3016/D3016,L3015)</f>
        <v/>
      </c>
      <c r="M3016">
        <f>IF(G3016=1,0.2*R3016/E3016,M3015)</f>
        <v/>
      </c>
      <c r="N3016">
        <f>IF(G3016=1,0.2*R3016/F3016,N3015)</f>
        <v/>
      </c>
      <c r="O3016">
        <f>IF(G3016=1,R3016*(1-1.0),IF(H3015=0,1,O3015*(1+0.00023125256064071564)))</f>
        <v/>
      </c>
      <c r="P3016">
        <f>IF(G3016=1,IF(H3015=0,1,ABS(0.2-J3015*B3016/I3016)+ABS(0.2-K3015*C3016/I3016)+ABS(0.2-L3015*D3016/I3016)+ABS(0.2-M3015*E3016/I3016)+ABS(0.2-N3015*F3016/I3016)),0)</f>
        <v/>
      </c>
      <c r="Q3016">
        <f>P3016*0.0015</f>
        <v/>
      </c>
      <c r="R3016">
        <f>I3016*(1-Q3016)</f>
        <v/>
      </c>
      <c r="S3016">
        <f>R3016/R3015-1</f>
        <v/>
      </c>
      <c r="T3016">
        <f>MAX(T3015,R3016)</f>
        <v/>
      </c>
      <c r="U3016">
        <f>R3016/T3016-1</f>
        <v/>
      </c>
      <c r="V3016" t="n">
        <v>8.055160467184225</v>
      </c>
      <c r="W3016" s="5">
        <f>R3016-V3016</f>
        <v/>
      </c>
    </row>
    <row r="3017">
      <c r="A3017" s="3" t="n">
        <v>42881</v>
      </c>
      <c r="B3017">
        <f>Prices!B3017</f>
        <v/>
      </c>
      <c r="C3017">
        <f>Prices!C3017</f>
        <v/>
      </c>
      <c r="D3017">
        <f>Prices!D3017</f>
        <v/>
      </c>
      <c r="E3017">
        <f>Prices!E3017</f>
        <v/>
      </c>
      <c r="F3017">
        <f>Prices!F3017</f>
        <v/>
      </c>
      <c r="G3017">
        <f>IF(AND(3015&gt;=16,TEXT(A3017,"yyyy-mm")&lt;&gt;TEXT(A3018,"yyyy-mm")),1,0)</f>
        <v/>
      </c>
      <c r="H3017">
        <f>IF(OR(H3016=1,G3017=1),1,0)</f>
        <v/>
      </c>
      <c r="I3017">
        <f>IF(H3016=0,1,SUMPRODUCT(J3016:N3016,B3017:F3017)+O3016*(1+0.00023125256064071564))</f>
        <v/>
      </c>
      <c r="J3017">
        <f>IF(G3017=1,0.2*R3017/B3017,J3016)</f>
        <v/>
      </c>
      <c r="K3017">
        <f>IF(G3017=1,0.2*R3017/C3017,K3016)</f>
        <v/>
      </c>
      <c r="L3017">
        <f>IF(G3017=1,0.2*R3017/D3017,L3016)</f>
        <v/>
      </c>
      <c r="M3017">
        <f>IF(G3017=1,0.2*R3017/E3017,M3016)</f>
        <v/>
      </c>
      <c r="N3017">
        <f>IF(G3017=1,0.2*R3017/F3017,N3016)</f>
        <v/>
      </c>
      <c r="O3017">
        <f>IF(G3017=1,R3017*(1-1.0),IF(H3016=0,1,O3016*(1+0.00023125256064071564)))</f>
        <v/>
      </c>
      <c r="P3017">
        <f>IF(G3017=1,IF(H3016=0,1,ABS(0.2-J3016*B3017/I3017)+ABS(0.2-K3016*C3017/I3017)+ABS(0.2-L3016*D3017/I3017)+ABS(0.2-M3016*E3017/I3017)+ABS(0.2-N3016*F3017/I3017)),0)</f>
        <v/>
      </c>
      <c r="Q3017">
        <f>P3017*0.0015</f>
        <v/>
      </c>
      <c r="R3017">
        <f>I3017*(1-Q3017)</f>
        <v/>
      </c>
      <c r="S3017">
        <f>R3017/R3016-1</f>
        <v/>
      </c>
      <c r="T3017">
        <f>MAX(T3016,R3017)</f>
        <v/>
      </c>
      <c r="U3017">
        <f>R3017/T3017-1</f>
        <v/>
      </c>
      <c r="V3017" t="n">
        <v>8.172951056548243</v>
      </c>
      <c r="W3017" s="5">
        <f>R3017-V3017</f>
        <v/>
      </c>
    </row>
    <row r="3018">
      <c r="A3018" s="3" t="n">
        <v>42884</v>
      </c>
      <c r="B3018">
        <f>Prices!B3018</f>
        <v/>
      </c>
      <c r="C3018">
        <f>Prices!C3018</f>
        <v/>
      </c>
      <c r="D3018">
        <f>Prices!D3018</f>
        <v/>
      </c>
      <c r="E3018">
        <f>Prices!E3018</f>
        <v/>
      </c>
      <c r="F3018">
        <f>Prices!F3018</f>
        <v/>
      </c>
      <c r="G3018">
        <f>IF(AND(3016&gt;=16,TEXT(A3018,"yyyy-mm")&lt;&gt;TEXT(A3019,"yyyy-mm")),1,0)</f>
        <v/>
      </c>
      <c r="H3018">
        <f>IF(OR(H3017=1,G3018=1),1,0)</f>
        <v/>
      </c>
      <c r="I3018">
        <f>IF(H3017=0,1,SUMPRODUCT(J3017:N3017,B3018:F3018)+O3017*(1+0.00023125256064071564))</f>
        <v/>
      </c>
      <c r="J3018">
        <f>IF(G3018=1,0.2*R3018/B3018,J3017)</f>
        <v/>
      </c>
      <c r="K3018">
        <f>IF(G3018=1,0.2*R3018/C3018,K3017)</f>
        <v/>
      </c>
      <c r="L3018">
        <f>IF(G3018=1,0.2*R3018/D3018,L3017)</f>
        <v/>
      </c>
      <c r="M3018">
        <f>IF(G3018=1,0.2*R3018/E3018,M3017)</f>
        <v/>
      </c>
      <c r="N3018">
        <f>IF(G3018=1,0.2*R3018/F3018,N3017)</f>
        <v/>
      </c>
      <c r="O3018">
        <f>IF(G3018=1,R3018*(1-1.0),IF(H3017=0,1,O3017*(1+0.00023125256064071564)))</f>
        <v/>
      </c>
      <c r="P3018">
        <f>IF(G3018=1,IF(H3017=0,1,ABS(0.2-J3017*B3018/I3018)+ABS(0.2-K3017*C3018/I3018)+ABS(0.2-L3017*D3018/I3018)+ABS(0.2-M3017*E3018/I3018)+ABS(0.2-N3017*F3018/I3018)),0)</f>
        <v/>
      </c>
      <c r="Q3018">
        <f>P3018*0.0015</f>
        <v/>
      </c>
      <c r="R3018">
        <f>I3018*(1-Q3018)</f>
        <v/>
      </c>
      <c r="S3018">
        <f>R3018/R3017-1</f>
        <v/>
      </c>
      <c r="T3018">
        <f>MAX(T3017,R3018)</f>
        <v/>
      </c>
      <c r="U3018">
        <f>R3018/T3018-1</f>
        <v/>
      </c>
      <c r="V3018" t="n">
        <v>8.096680013813319</v>
      </c>
      <c r="W3018" s="5">
        <f>R3018-V3018</f>
        <v/>
      </c>
    </row>
    <row r="3019">
      <c r="A3019" s="3" t="n">
        <v>42885</v>
      </c>
      <c r="B3019">
        <f>Prices!B3019</f>
        <v/>
      </c>
      <c r="C3019">
        <f>Prices!C3019</f>
        <v/>
      </c>
      <c r="D3019">
        <f>Prices!D3019</f>
        <v/>
      </c>
      <c r="E3019">
        <f>Prices!E3019</f>
        <v/>
      </c>
      <c r="F3019">
        <f>Prices!F3019</f>
        <v/>
      </c>
      <c r="G3019">
        <f>IF(AND(3017&gt;=16,TEXT(A3019,"yyyy-mm")&lt;&gt;TEXT(A3020,"yyyy-mm")),1,0)</f>
        <v/>
      </c>
      <c r="H3019">
        <f>IF(OR(H3018=1,G3019=1),1,0)</f>
        <v/>
      </c>
      <c r="I3019">
        <f>IF(H3018=0,1,SUMPRODUCT(J3018:N3018,B3019:F3019)+O3018*(1+0.00023125256064071564))</f>
        <v/>
      </c>
      <c r="J3019">
        <f>IF(G3019=1,0.2*R3019/B3019,J3018)</f>
        <v/>
      </c>
      <c r="K3019">
        <f>IF(G3019=1,0.2*R3019/C3019,K3018)</f>
        <v/>
      </c>
      <c r="L3019">
        <f>IF(G3019=1,0.2*R3019/D3019,L3018)</f>
        <v/>
      </c>
      <c r="M3019">
        <f>IF(G3019=1,0.2*R3019/E3019,M3018)</f>
        <v/>
      </c>
      <c r="N3019">
        <f>IF(G3019=1,0.2*R3019/F3019,N3018)</f>
        <v/>
      </c>
      <c r="O3019">
        <f>IF(G3019=1,R3019*(1-1.0),IF(H3018=0,1,O3018*(1+0.00023125256064071564)))</f>
        <v/>
      </c>
      <c r="P3019">
        <f>IF(G3019=1,IF(H3018=0,1,ABS(0.2-J3018*B3019/I3019)+ABS(0.2-K3018*C3019/I3019)+ABS(0.2-L3018*D3019/I3019)+ABS(0.2-M3018*E3019/I3019)+ABS(0.2-N3018*F3019/I3019)),0)</f>
        <v/>
      </c>
      <c r="Q3019">
        <f>P3019*0.0015</f>
        <v/>
      </c>
      <c r="R3019">
        <f>I3019*(1-Q3019)</f>
        <v/>
      </c>
      <c r="S3019">
        <f>R3019/R3018-1</f>
        <v/>
      </c>
      <c r="T3019">
        <f>MAX(T3018,R3019)</f>
        <v/>
      </c>
      <c r="U3019">
        <f>R3019/T3019-1</f>
        <v/>
      </c>
      <c r="V3019" t="n">
        <v>8.162122916707023</v>
      </c>
      <c r="W3019" s="5">
        <f>R3019-V3019</f>
        <v/>
      </c>
    </row>
    <row r="3020">
      <c r="A3020" s="3" t="n">
        <v>42886</v>
      </c>
      <c r="B3020">
        <f>Prices!B3020</f>
        <v/>
      </c>
      <c r="C3020">
        <f>Prices!C3020</f>
        <v/>
      </c>
      <c r="D3020">
        <f>Prices!D3020</f>
        <v/>
      </c>
      <c r="E3020">
        <f>Prices!E3020</f>
        <v/>
      </c>
      <c r="F3020">
        <f>Prices!F3020</f>
        <v/>
      </c>
      <c r="G3020">
        <f>IF(AND(3018&gt;=16,TEXT(A3020,"yyyy-mm")&lt;&gt;TEXT(A3021,"yyyy-mm")),1,0)</f>
        <v/>
      </c>
      <c r="H3020">
        <f>IF(OR(H3019=1,G3020=1),1,0)</f>
        <v/>
      </c>
      <c r="I3020">
        <f>IF(H3019=0,1,SUMPRODUCT(J3019:N3019,B3020:F3020)+O3019*(1+0.00023125256064071564))</f>
        <v/>
      </c>
      <c r="J3020">
        <f>IF(G3020=1,0.2*R3020/B3020,J3019)</f>
        <v/>
      </c>
      <c r="K3020">
        <f>IF(G3020=1,0.2*R3020/C3020,K3019)</f>
        <v/>
      </c>
      <c r="L3020">
        <f>IF(G3020=1,0.2*R3020/D3020,L3019)</f>
        <v/>
      </c>
      <c r="M3020">
        <f>IF(G3020=1,0.2*R3020/E3020,M3019)</f>
        <v/>
      </c>
      <c r="N3020">
        <f>IF(G3020=1,0.2*R3020/F3020,N3019)</f>
        <v/>
      </c>
      <c r="O3020">
        <f>IF(G3020=1,R3020*(1-1.0),IF(H3019=0,1,O3019*(1+0.00023125256064071564)))</f>
        <v/>
      </c>
      <c r="P3020">
        <f>IF(G3020=1,IF(H3019=0,1,ABS(0.2-J3019*B3020/I3020)+ABS(0.2-K3019*C3020/I3020)+ABS(0.2-L3019*D3020/I3020)+ABS(0.2-M3019*E3020/I3020)+ABS(0.2-N3019*F3020/I3020)),0)</f>
        <v/>
      </c>
      <c r="Q3020">
        <f>P3020*0.0015</f>
        <v/>
      </c>
      <c r="R3020">
        <f>I3020*(1-Q3020)</f>
        <v/>
      </c>
      <c r="S3020">
        <f>R3020/R3019-1</f>
        <v/>
      </c>
      <c r="T3020">
        <f>MAX(T3019,R3020)</f>
        <v/>
      </c>
      <c r="U3020">
        <f>R3020/T3020-1</f>
        <v/>
      </c>
      <c r="V3020" t="n">
        <v>8.197289158245187</v>
      </c>
      <c r="W3020" s="5">
        <f>R3020-V3020</f>
        <v/>
      </c>
    </row>
    <row r="3021">
      <c r="A3021" s="3" t="n">
        <v>42887</v>
      </c>
      <c r="B3021">
        <f>Prices!B3021</f>
        <v/>
      </c>
      <c r="C3021">
        <f>Prices!C3021</f>
        <v/>
      </c>
      <c r="D3021">
        <f>Prices!D3021</f>
        <v/>
      </c>
      <c r="E3021">
        <f>Prices!E3021</f>
        <v/>
      </c>
      <c r="F3021">
        <f>Prices!F3021</f>
        <v/>
      </c>
      <c r="G3021">
        <f>IF(AND(3019&gt;=16,TEXT(A3021,"yyyy-mm")&lt;&gt;TEXT(A3022,"yyyy-mm")),1,0)</f>
        <v/>
      </c>
      <c r="H3021">
        <f>IF(OR(H3020=1,G3021=1),1,0)</f>
        <v/>
      </c>
      <c r="I3021">
        <f>IF(H3020=0,1,SUMPRODUCT(J3020:N3020,B3021:F3021)+O3020*(1+0.00023125256064071564))</f>
        <v/>
      </c>
      <c r="J3021">
        <f>IF(G3021=1,0.2*R3021/B3021,J3020)</f>
        <v/>
      </c>
      <c r="K3021">
        <f>IF(G3021=1,0.2*R3021/C3021,K3020)</f>
        <v/>
      </c>
      <c r="L3021">
        <f>IF(G3021=1,0.2*R3021/D3021,L3020)</f>
        <v/>
      </c>
      <c r="M3021">
        <f>IF(G3021=1,0.2*R3021/E3021,M3020)</f>
        <v/>
      </c>
      <c r="N3021">
        <f>IF(G3021=1,0.2*R3021/F3021,N3020)</f>
        <v/>
      </c>
      <c r="O3021">
        <f>IF(G3021=1,R3021*(1-1.0),IF(H3020=0,1,O3020*(1+0.00023125256064071564)))</f>
        <v/>
      </c>
      <c r="P3021">
        <f>IF(G3021=1,IF(H3020=0,1,ABS(0.2-J3020*B3021/I3021)+ABS(0.2-K3020*C3021/I3021)+ABS(0.2-L3020*D3021/I3021)+ABS(0.2-M3020*E3021/I3021)+ABS(0.2-N3020*F3021/I3021)),0)</f>
        <v/>
      </c>
      <c r="Q3021">
        <f>P3021*0.0015</f>
        <v/>
      </c>
      <c r="R3021">
        <f>I3021*(1-Q3021)</f>
        <v/>
      </c>
      <c r="S3021">
        <f>R3021/R3020-1</f>
        <v/>
      </c>
      <c r="T3021">
        <f>MAX(T3020,R3021)</f>
        <v/>
      </c>
      <c r="U3021">
        <f>R3021/T3021-1</f>
        <v/>
      </c>
      <c r="V3021" t="n">
        <v>8.226227603636627</v>
      </c>
      <c r="W3021" s="5">
        <f>R3021-V3021</f>
        <v/>
      </c>
    </row>
    <row r="3022">
      <c r="A3022" s="3" t="n">
        <v>42888</v>
      </c>
      <c r="B3022">
        <f>Prices!B3022</f>
        <v/>
      </c>
      <c r="C3022">
        <f>Prices!C3022</f>
        <v/>
      </c>
      <c r="D3022">
        <f>Prices!D3022</f>
        <v/>
      </c>
      <c r="E3022">
        <f>Prices!E3022</f>
        <v/>
      </c>
      <c r="F3022">
        <f>Prices!F3022</f>
        <v/>
      </c>
      <c r="G3022">
        <f>IF(AND(3020&gt;=16,TEXT(A3022,"yyyy-mm")&lt;&gt;TEXT(A3023,"yyyy-mm")),1,0)</f>
        <v/>
      </c>
      <c r="H3022">
        <f>IF(OR(H3021=1,G3022=1),1,0)</f>
        <v/>
      </c>
      <c r="I3022">
        <f>IF(H3021=0,1,SUMPRODUCT(J3021:N3021,B3022:F3022)+O3021*(1+0.00023125256064071564))</f>
        <v/>
      </c>
      <c r="J3022">
        <f>IF(G3022=1,0.2*R3022/B3022,J3021)</f>
        <v/>
      </c>
      <c r="K3022">
        <f>IF(G3022=1,0.2*R3022/C3022,K3021)</f>
        <v/>
      </c>
      <c r="L3022">
        <f>IF(G3022=1,0.2*R3022/D3022,L3021)</f>
        <v/>
      </c>
      <c r="M3022">
        <f>IF(G3022=1,0.2*R3022/E3022,M3021)</f>
        <v/>
      </c>
      <c r="N3022">
        <f>IF(G3022=1,0.2*R3022/F3022,N3021)</f>
        <v/>
      </c>
      <c r="O3022">
        <f>IF(G3022=1,R3022*(1-1.0),IF(H3021=0,1,O3021*(1+0.00023125256064071564)))</f>
        <v/>
      </c>
      <c r="P3022">
        <f>IF(G3022=1,IF(H3021=0,1,ABS(0.2-J3021*B3022/I3022)+ABS(0.2-K3021*C3022/I3022)+ABS(0.2-L3021*D3022/I3022)+ABS(0.2-M3021*E3022/I3022)+ABS(0.2-N3021*F3022/I3022)),0)</f>
        <v/>
      </c>
      <c r="Q3022">
        <f>P3022*0.0015</f>
        <v/>
      </c>
      <c r="R3022">
        <f>I3022*(1-Q3022)</f>
        <v/>
      </c>
      <c r="S3022">
        <f>R3022/R3021-1</f>
        <v/>
      </c>
      <c r="T3022">
        <f>MAX(T3021,R3022)</f>
        <v/>
      </c>
      <c r="U3022">
        <f>R3022/T3022-1</f>
        <v/>
      </c>
      <c r="V3022" t="n">
        <v>8.26602924462356</v>
      </c>
      <c r="W3022" s="5">
        <f>R3022-V3022</f>
        <v/>
      </c>
    </row>
    <row r="3023">
      <c r="A3023" s="3" t="n">
        <v>42891</v>
      </c>
      <c r="B3023">
        <f>Prices!B3023</f>
        <v/>
      </c>
      <c r="C3023">
        <f>Prices!C3023</f>
        <v/>
      </c>
      <c r="D3023">
        <f>Prices!D3023</f>
        <v/>
      </c>
      <c r="E3023">
        <f>Prices!E3023</f>
        <v/>
      </c>
      <c r="F3023">
        <f>Prices!F3023</f>
        <v/>
      </c>
      <c r="G3023">
        <f>IF(AND(3021&gt;=16,TEXT(A3023,"yyyy-mm")&lt;&gt;TEXT(A3024,"yyyy-mm")),1,0)</f>
        <v/>
      </c>
      <c r="H3023">
        <f>IF(OR(H3022=1,G3023=1),1,0)</f>
        <v/>
      </c>
      <c r="I3023">
        <f>IF(H3022=0,1,SUMPRODUCT(J3022:N3022,B3023:F3023)+O3022*(1+0.00023125256064071564))</f>
        <v/>
      </c>
      <c r="J3023">
        <f>IF(G3023=1,0.2*R3023/B3023,J3022)</f>
        <v/>
      </c>
      <c r="K3023">
        <f>IF(G3023=1,0.2*R3023/C3023,K3022)</f>
        <v/>
      </c>
      <c r="L3023">
        <f>IF(G3023=1,0.2*R3023/D3023,L3022)</f>
        <v/>
      </c>
      <c r="M3023">
        <f>IF(G3023=1,0.2*R3023/E3023,M3022)</f>
        <v/>
      </c>
      <c r="N3023">
        <f>IF(G3023=1,0.2*R3023/F3023,N3022)</f>
        <v/>
      </c>
      <c r="O3023">
        <f>IF(G3023=1,R3023*(1-1.0),IF(H3022=0,1,O3022*(1+0.00023125256064071564)))</f>
        <v/>
      </c>
      <c r="P3023">
        <f>IF(G3023=1,IF(H3022=0,1,ABS(0.2-J3022*B3023/I3023)+ABS(0.2-K3022*C3023/I3023)+ABS(0.2-L3022*D3023/I3023)+ABS(0.2-M3022*E3023/I3023)+ABS(0.2-N3022*F3023/I3023)),0)</f>
        <v/>
      </c>
      <c r="Q3023">
        <f>P3023*0.0015</f>
        <v/>
      </c>
      <c r="R3023">
        <f>I3023*(1-Q3023)</f>
        <v/>
      </c>
      <c r="S3023">
        <f>R3023/R3022-1</f>
        <v/>
      </c>
      <c r="T3023">
        <f>MAX(T3022,R3023)</f>
        <v/>
      </c>
      <c r="U3023">
        <f>R3023/T3023-1</f>
        <v/>
      </c>
      <c r="V3023" t="n">
        <v>8.315689899731062</v>
      </c>
      <c r="W3023" s="5">
        <f>R3023-V3023</f>
        <v/>
      </c>
    </row>
    <row r="3024">
      <c r="A3024" s="3" t="n">
        <v>42892</v>
      </c>
      <c r="B3024">
        <f>Prices!B3024</f>
        <v/>
      </c>
      <c r="C3024">
        <f>Prices!C3024</f>
        <v/>
      </c>
      <c r="D3024">
        <f>Prices!D3024</f>
        <v/>
      </c>
      <c r="E3024">
        <f>Prices!E3024</f>
        <v/>
      </c>
      <c r="F3024">
        <f>Prices!F3024</f>
        <v/>
      </c>
      <c r="G3024">
        <f>IF(AND(3022&gt;=16,TEXT(A3024,"yyyy-mm")&lt;&gt;TEXT(A3025,"yyyy-mm")),1,0)</f>
        <v/>
      </c>
      <c r="H3024">
        <f>IF(OR(H3023=1,G3024=1),1,0)</f>
        <v/>
      </c>
      <c r="I3024">
        <f>IF(H3023=0,1,SUMPRODUCT(J3023:N3023,B3024:F3024)+O3023*(1+0.00023125256064071564))</f>
        <v/>
      </c>
      <c r="J3024">
        <f>IF(G3024=1,0.2*R3024/B3024,J3023)</f>
        <v/>
      </c>
      <c r="K3024">
        <f>IF(G3024=1,0.2*R3024/C3024,K3023)</f>
        <v/>
      </c>
      <c r="L3024">
        <f>IF(G3024=1,0.2*R3024/D3024,L3023)</f>
        <v/>
      </c>
      <c r="M3024">
        <f>IF(G3024=1,0.2*R3024/E3024,M3023)</f>
        <v/>
      </c>
      <c r="N3024">
        <f>IF(G3024=1,0.2*R3024/F3024,N3023)</f>
        <v/>
      </c>
      <c r="O3024">
        <f>IF(G3024=1,R3024*(1-1.0),IF(H3023=0,1,O3023*(1+0.00023125256064071564)))</f>
        <v/>
      </c>
      <c r="P3024">
        <f>IF(G3024=1,IF(H3023=0,1,ABS(0.2-J3023*B3024/I3024)+ABS(0.2-K3023*C3024/I3024)+ABS(0.2-L3023*D3024/I3024)+ABS(0.2-M3023*E3024/I3024)+ABS(0.2-N3023*F3024/I3024)),0)</f>
        <v/>
      </c>
      <c r="Q3024">
        <f>P3024*0.0015</f>
        <v/>
      </c>
      <c r="R3024">
        <f>I3024*(1-Q3024)</f>
        <v/>
      </c>
      <c r="S3024">
        <f>R3024/R3023-1</f>
        <v/>
      </c>
      <c r="T3024">
        <f>MAX(T3023,R3024)</f>
        <v/>
      </c>
      <c r="U3024">
        <f>R3024/T3024-1</f>
        <v/>
      </c>
      <c r="V3024" t="n">
        <v>8.285794089412793</v>
      </c>
      <c r="W3024" s="5">
        <f>R3024-V3024</f>
        <v/>
      </c>
    </row>
    <row r="3025">
      <c r="A3025" s="3" t="n">
        <v>42893</v>
      </c>
      <c r="B3025">
        <f>Prices!B3025</f>
        <v/>
      </c>
      <c r="C3025">
        <f>Prices!C3025</f>
        <v/>
      </c>
      <c r="D3025">
        <f>Prices!D3025</f>
        <v/>
      </c>
      <c r="E3025">
        <f>Prices!E3025</f>
        <v/>
      </c>
      <c r="F3025">
        <f>Prices!F3025</f>
        <v/>
      </c>
      <c r="G3025">
        <f>IF(AND(3023&gt;=16,TEXT(A3025,"yyyy-mm")&lt;&gt;TEXT(A3026,"yyyy-mm")),1,0)</f>
        <v/>
      </c>
      <c r="H3025">
        <f>IF(OR(H3024=1,G3025=1),1,0)</f>
        <v/>
      </c>
      <c r="I3025">
        <f>IF(H3024=0,1,SUMPRODUCT(J3024:N3024,B3025:F3025)+O3024*(1+0.00023125256064071564))</f>
        <v/>
      </c>
      <c r="J3025">
        <f>IF(G3025=1,0.2*R3025/B3025,J3024)</f>
        <v/>
      </c>
      <c r="K3025">
        <f>IF(G3025=1,0.2*R3025/C3025,K3024)</f>
        <v/>
      </c>
      <c r="L3025">
        <f>IF(G3025=1,0.2*R3025/D3025,L3024)</f>
        <v/>
      </c>
      <c r="M3025">
        <f>IF(G3025=1,0.2*R3025/E3025,M3024)</f>
        <v/>
      </c>
      <c r="N3025">
        <f>IF(G3025=1,0.2*R3025/F3025,N3024)</f>
        <v/>
      </c>
      <c r="O3025">
        <f>IF(G3025=1,R3025*(1-1.0),IF(H3024=0,1,O3024*(1+0.00023125256064071564)))</f>
        <v/>
      </c>
      <c r="P3025">
        <f>IF(G3025=1,IF(H3024=0,1,ABS(0.2-J3024*B3025/I3025)+ABS(0.2-K3024*C3025/I3025)+ABS(0.2-L3024*D3025/I3025)+ABS(0.2-M3024*E3025/I3025)+ABS(0.2-N3024*F3025/I3025)),0)</f>
        <v/>
      </c>
      <c r="Q3025">
        <f>P3025*0.0015</f>
        <v/>
      </c>
      <c r="R3025">
        <f>I3025*(1-Q3025)</f>
        <v/>
      </c>
      <c r="S3025">
        <f>R3025/R3024-1</f>
        <v/>
      </c>
      <c r="T3025">
        <f>MAX(T3024,R3025)</f>
        <v/>
      </c>
      <c r="U3025">
        <f>R3025/T3025-1</f>
        <v/>
      </c>
      <c r="V3025" t="n">
        <v>8.330931814133358</v>
      </c>
      <c r="W3025" s="5">
        <f>R3025-V3025</f>
        <v/>
      </c>
    </row>
    <row r="3026">
      <c r="A3026" s="3" t="n">
        <v>42894</v>
      </c>
      <c r="B3026">
        <f>Prices!B3026</f>
        <v/>
      </c>
      <c r="C3026">
        <f>Prices!C3026</f>
        <v/>
      </c>
      <c r="D3026">
        <f>Prices!D3026</f>
        <v/>
      </c>
      <c r="E3026">
        <f>Prices!E3026</f>
        <v/>
      </c>
      <c r="F3026">
        <f>Prices!F3026</f>
        <v/>
      </c>
      <c r="G3026">
        <f>IF(AND(3024&gt;=16,TEXT(A3026,"yyyy-mm")&lt;&gt;TEXT(A3027,"yyyy-mm")),1,0)</f>
        <v/>
      </c>
      <c r="H3026">
        <f>IF(OR(H3025=1,G3026=1),1,0)</f>
        <v/>
      </c>
      <c r="I3026">
        <f>IF(H3025=0,1,SUMPRODUCT(J3025:N3025,B3026:F3026)+O3025*(1+0.00023125256064071564))</f>
        <v/>
      </c>
      <c r="J3026">
        <f>IF(G3026=1,0.2*R3026/B3026,J3025)</f>
        <v/>
      </c>
      <c r="K3026">
        <f>IF(G3026=1,0.2*R3026/C3026,K3025)</f>
        <v/>
      </c>
      <c r="L3026">
        <f>IF(G3026=1,0.2*R3026/D3026,L3025)</f>
        <v/>
      </c>
      <c r="M3026">
        <f>IF(G3026=1,0.2*R3026/E3026,M3025)</f>
        <v/>
      </c>
      <c r="N3026">
        <f>IF(G3026=1,0.2*R3026/F3026,N3025)</f>
        <v/>
      </c>
      <c r="O3026">
        <f>IF(G3026=1,R3026*(1-1.0),IF(H3025=0,1,O3025*(1+0.00023125256064071564)))</f>
        <v/>
      </c>
      <c r="P3026">
        <f>IF(G3026=1,IF(H3025=0,1,ABS(0.2-J3025*B3026/I3026)+ABS(0.2-K3025*C3026/I3026)+ABS(0.2-L3025*D3026/I3026)+ABS(0.2-M3025*E3026/I3026)+ABS(0.2-N3025*F3026/I3026)),0)</f>
        <v/>
      </c>
      <c r="Q3026">
        <f>P3026*0.0015</f>
        <v/>
      </c>
      <c r="R3026">
        <f>I3026*(1-Q3026)</f>
        <v/>
      </c>
      <c r="S3026">
        <f>R3026/R3025-1</f>
        <v/>
      </c>
      <c r="T3026">
        <f>MAX(T3025,R3026)</f>
        <v/>
      </c>
      <c r="U3026">
        <f>R3026/T3026-1</f>
        <v/>
      </c>
      <c r="V3026" t="n">
        <v>8.3342476643898</v>
      </c>
      <c r="W3026" s="5">
        <f>R3026-V3026</f>
        <v/>
      </c>
    </row>
    <row r="3027">
      <c r="A3027" s="3" t="n">
        <v>42895</v>
      </c>
      <c r="B3027">
        <f>Prices!B3027</f>
        <v/>
      </c>
      <c r="C3027">
        <f>Prices!C3027</f>
        <v/>
      </c>
      <c r="D3027">
        <f>Prices!D3027</f>
        <v/>
      </c>
      <c r="E3027">
        <f>Prices!E3027</f>
        <v/>
      </c>
      <c r="F3027">
        <f>Prices!F3027</f>
        <v/>
      </c>
      <c r="G3027">
        <f>IF(AND(3025&gt;=16,TEXT(A3027,"yyyy-mm")&lt;&gt;TEXT(A3028,"yyyy-mm")),1,0)</f>
        <v/>
      </c>
      <c r="H3027">
        <f>IF(OR(H3026=1,G3027=1),1,0)</f>
        <v/>
      </c>
      <c r="I3027">
        <f>IF(H3026=0,1,SUMPRODUCT(J3026:N3026,B3027:F3027)+O3026*(1+0.00023125256064071564))</f>
        <v/>
      </c>
      <c r="J3027">
        <f>IF(G3027=1,0.2*R3027/B3027,J3026)</f>
        <v/>
      </c>
      <c r="K3027">
        <f>IF(G3027=1,0.2*R3027/C3027,K3026)</f>
        <v/>
      </c>
      <c r="L3027">
        <f>IF(G3027=1,0.2*R3027/D3027,L3026)</f>
        <v/>
      </c>
      <c r="M3027">
        <f>IF(G3027=1,0.2*R3027/E3027,M3026)</f>
        <v/>
      </c>
      <c r="N3027">
        <f>IF(G3027=1,0.2*R3027/F3027,N3026)</f>
        <v/>
      </c>
      <c r="O3027">
        <f>IF(G3027=1,R3027*(1-1.0),IF(H3026=0,1,O3026*(1+0.00023125256064071564)))</f>
        <v/>
      </c>
      <c r="P3027">
        <f>IF(G3027=1,IF(H3026=0,1,ABS(0.2-J3026*B3027/I3027)+ABS(0.2-K3026*C3027/I3027)+ABS(0.2-L3026*D3027/I3027)+ABS(0.2-M3026*E3027/I3027)+ABS(0.2-N3026*F3027/I3027)),0)</f>
        <v/>
      </c>
      <c r="Q3027">
        <f>P3027*0.0015</f>
        <v/>
      </c>
      <c r="R3027">
        <f>I3027*(1-Q3027)</f>
        <v/>
      </c>
      <c r="S3027">
        <f>R3027/R3026-1</f>
        <v/>
      </c>
      <c r="T3027">
        <f>MAX(T3026,R3027)</f>
        <v/>
      </c>
      <c r="U3027">
        <f>R3027/T3027-1</f>
        <v/>
      </c>
      <c r="V3027" t="n">
        <v>8.36706798211037</v>
      </c>
      <c r="W3027" s="5">
        <f>R3027-V3027</f>
        <v/>
      </c>
    </row>
    <row r="3028">
      <c r="A3028" s="3" t="n">
        <v>42898</v>
      </c>
      <c r="B3028">
        <f>Prices!B3028</f>
        <v/>
      </c>
      <c r="C3028">
        <f>Prices!C3028</f>
        <v/>
      </c>
      <c r="D3028">
        <f>Prices!D3028</f>
        <v/>
      </c>
      <c r="E3028">
        <f>Prices!E3028</f>
        <v/>
      </c>
      <c r="F3028">
        <f>Prices!F3028</f>
        <v/>
      </c>
      <c r="G3028">
        <f>IF(AND(3026&gt;=16,TEXT(A3028,"yyyy-mm")&lt;&gt;TEXT(A3029,"yyyy-mm")),1,0)</f>
        <v/>
      </c>
      <c r="H3028">
        <f>IF(OR(H3027=1,G3028=1),1,0)</f>
        <v/>
      </c>
      <c r="I3028">
        <f>IF(H3027=0,1,SUMPRODUCT(J3027:N3027,B3028:F3028)+O3027*(1+0.00023125256064071564))</f>
        <v/>
      </c>
      <c r="J3028">
        <f>IF(G3028=1,0.2*R3028/B3028,J3027)</f>
        <v/>
      </c>
      <c r="K3028">
        <f>IF(G3028=1,0.2*R3028/C3028,K3027)</f>
        <v/>
      </c>
      <c r="L3028">
        <f>IF(G3028=1,0.2*R3028/D3028,L3027)</f>
        <v/>
      </c>
      <c r="M3028">
        <f>IF(G3028=1,0.2*R3028/E3028,M3027)</f>
        <v/>
      </c>
      <c r="N3028">
        <f>IF(G3028=1,0.2*R3028/F3028,N3027)</f>
        <v/>
      </c>
      <c r="O3028">
        <f>IF(G3028=1,R3028*(1-1.0),IF(H3027=0,1,O3027*(1+0.00023125256064071564)))</f>
        <v/>
      </c>
      <c r="P3028">
        <f>IF(G3028=1,IF(H3027=0,1,ABS(0.2-J3027*B3028/I3028)+ABS(0.2-K3027*C3028/I3028)+ABS(0.2-L3027*D3028/I3028)+ABS(0.2-M3027*E3028/I3028)+ABS(0.2-N3027*F3028/I3028)),0)</f>
        <v/>
      </c>
      <c r="Q3028">
        <f>P3028*0.0015</f>
        <v/>
      </c>
      <c r="R3028">
        <f>I3028*(1-Q3028)</f>
        <v/>
      </c>
      <c r="S3028">
        <f>R3028/R3027-1</f>
        <v/>
      </c>
      <c r="T3028">
        <f>MAX(T3027,R3028)</f>
        <v/>
      </c>
      <c r="U3028">
        <f>R3028/T3028-1</f>
        <v/>
      </c>
      <c r="V3028" t="n">
        <v>8.331991689642471</v>
      </c>
      <c r="W3028" s="5">
        <f>R3028-V3028</f>
        <v/>
      </c>
    </row>
    <row r="3029">
      <c r="A3029" s="3" t="n">
        <v>42899</v>
      </c>
      <c r="B3029">
        <f>Prices!B3029</f>
        <v/>
      </c>
      <c r="C3029">
        <f>Prices!C3029</f>
        <v/>
      </c>
      <c r="D3029">
        <f>Prices!D3029</f>
        <v/>
      </c>
      <c r="E3029">
        <f>Prices!E3029</f>
        <v/>
      </c>
      <c r="F3029">
        <f>Prices!F3029</f>
        <v/>
      </c>
      <c r="G3029">
        <f>IF(AND(3027&gt;=16,TEXT(A3029,"yyyy-mm")&lt;&gt;TEXT(A3030,"yyyy-mm")),1,0)</f>
        <v/>
      </c>
      <c r="H3029">
        <f>IF(OR(H3028=1,G3029=1),1,0)</f>
        <v/>
      </c>
      <c r="I3029">
        <f>IF(H3028=0,1,SUMPRODUCT(J3028:N3028,B3029:F3029)+O3028*(1+0.00023125256064071564))</f>
        <v/>
      </c>
      <c r="J3029">
        <f>IF(G3029=1,0.2*R3029/B3029,J3028)</f>
        <v/>
      </c>
      <c r="K3029">
        <f>IF(G3029=1,0.2*R3029/C3029,K3028)</f>
        <v/>
      </c>
      <c r="L3029">
        <f>IF(G3029=1,0.2*R3029/D3029,L3028)</f>
        <v/>
      </c>
      <c r="M3029">
        <f>IF(G3029=1,0.2*R3029/E3029,M3028)</f>
        <v/>
      </c>
      <c r="N3029">
        <f>IF(G3029=1,0.2*R3029/F3029,N3028)</f>
        <v/>
      </c>
      <c r="O3029">
        <f>IF(G3029=1,R3029*(1-1.0),IF(H3028=0,1,O3028*(1+0.00023125256064071564)))</f>
        <v/>
      </c>
      <c r="P3029">
        <f>IF(G3029=1,IF(H3028=0,1,ABS(0.2-J3028*B3029/I3029)+ABS(0.2-K3028*C3029/I3029)+ABS(0.2-L3028*D3029/I3029)+ABS(0.2-M3028*E3029/I3029)+ABS(0.2-N3028*F3029/I3029)),0)</f>
        <v/>
      </c>
      <c r="Q3029">
        <f>P3029*0.0015</f>
        <v/>
      </c>
      <c r="R3029">
        <f>I3029*(1-Q3029)</f>
        <v/>
      </c>
      <c r="S3029">
        <f>R3029/R3028-1</f>
        <v/>
      </c>
      <c r="T3029">
        <f>MAX(T3028,R3029)</f>
        <v/>
      </c>
      <c r="U3029">
        <f>R3029/T3029-1</f>
        <v/>
      </c>
      <c r="V3029" t="n">
        <v>8.3273343948273</v>
      </c>
      <c r="W3029" s="5">
        <f>R3029-V3029</f>
        <v/>
      </c>
    </row>
    <row r="3030">
      <c r="A3030" s="3" t="n">
        <v>42900</v>
      </c>
      <c r="B3030">
        <f>Prices!B3030</f>
        <v/>
      </c>
      <c r="C3030">
        <f>Prices!C3030</f>
        <v/>
      </c>
      <c r="D3030">
        <f>Prices!D3030</f>
        <v/>
      </c>
      <c r="E3030">
        <f>Prices!E3030</f>
        <v/>
      </c>
      <c r="F3030">
        <f>Prices!F3030</f>
        <v/>
      </c>
      <c r="G3030">
        <f>IF(AND(3028&gt;=16,TEXT(A3030,"yyyy-mm")&lt;&gt;TEXT(A3031,"yyyy-mm")),1,0)</f>
        <v/>
      </c>
      <c r="H3030">
        <f>IF(OR(H3029=1,G3030=1),1,0)</f>
        <v/>
      </c>
      <c r="I3030">
        <f>IF(H3029=0,1,SUMPRODUCT(J3029:N3029,B3030:F3030)+O3029*(1+0.00023125256064071564))</f>
        <v/>
      </c>
      <c r="J3030">
        <f>IF(G3030=1,0.2*R3030/B3030,J3029)</f>
        <v/>
      </c>
      <c r="K3030">
        <f>IF(G3030=1,0.2*R3030/C3030,K3029)</f>
        <v/>
      </c>
      <c r="L3030">
        <f>IF(G3030=1,0.2*R3030/D3030,L3029)</f>
        <v/>
      </c>
      <c r="M3030">
        <f>IF(G3030=1,0.2*R3030/E3030,M3029)</f>
        <v/>
      </c>
      <c r="N3030">
        <f>IF(G3030=1,0.2*R3030/F3030,N3029)</f>
        <v/>
      </c>
      <c r="O3030">
        <f>IF(G3030=1,R3030*(1-1.0),IF(H3029=0,1,O3029*(1+0.00023125256064071564)))</f>
        <v/>
      </c>
      <c r="P3030">
        <f>IF(G3030=1,IF(H3029=0,1,ABS(0.2-J3029*B3030/I3030)+ABS(0.2-K3029*C3030/I3030)+ABS(0.2-L3029*D3030/I3030)+ABS(0.2-M3029*E3030/I3030)+ABS(0.2-N3029*F3030/I3030)),0)</f>
        <v/>
      </c>
      <c r="Q3030">
        <f>P3030*0.0015</f>
        <v/>
      </c>
      <c r="R3030">
        <f>I3030*(1-Q3030)</f>
        <v/>
      </c>
      <c r="S3030">
        <f>R3030/R3029-1</f>
        <v/>
      </c>
      <c r="T3030">
        <f>MAX(T3029,R3030)</f>
        <v/>
      </c>
      <c r="U3030">
        <f>R3030/T3030-1</f>
        <v/>
      </c>
      <c r="V3030" t="n">
        <v>8.337820552762935</v>
      </c>
      <c r="W3030" s="5">
        <f>R3030-V3030</f>
        <v/>
      </c>
    </row>
    <row r="3031">
      <c r="A3031" s="3" t="n">
        <v>42901</v>
      </c>
      <c r="B3031">
        <f>Prices!B3031</f>
        <v/>
      </c>
      <c r="C3031">
        <f>Prices!C3031</f>
        <v/>
      </c>
      <c r="D3031">
        <f>Prices!D3031</f>
        <v/>
      </c>
      <c r="E3031">
        <f>Prices!E3031</f>
        <v/>
      </c>
      <c r="F3031">
        <f>Prices!F3031</f>
        <v/>
      </c>
      <c r="G3031">
        <f>IF(AND(3029&gt;=16,TEXT(A3031,"yyyy-mm")&lt;&gt;TEXT(A3032,"yyyy-mm")),1,0)</f>
        <v/>
      </c>
      <c r="H3031">
        <f>IF(OR(H3030=1,G3031=1),1,0)</f>
        <v/>
      </c>
      <c r="I3031">
        <f>IF(H3030=0,1,SUMPRODUCT(J3030:N3030,B3031:F3031)+O3030*(1+0.00023125256064071564))</f>
        <v/>
      </c>
      <c r="J3031">
        <f>IF(G3031=1,0.2*R3031/B3031,J3030)</f>
        <v/>
      </c>
      <c r="K3031">
        <f>IF(G3031=1,0.2*R3031/C3031,K3030)</f>
        <v/>
      </c>
      <c r="L3031">
        <f>IF(G3031=1,0.2*R3031/D3031,L3030)</f>
        <v/>
      </c>
      <c r="M3031">
        <f>IF(G3031=1,0.2*R3031/E3031,M3030)</f>
        <v/>
      </c>
      <c r="N3031">
        <f>IF(G3031=1,0.2*R3031/F3031,N3030)</f>
        <v/>
      </c>
      <c r="O3031">
        <f>IF(G3031=1,R3031*(1-1.0),IF(H3030=0,1,O3030*(1+0.00023125256064071564)))</f>
        <v/>
      </c>
      <c r="P3031">
        <f>IF(G3031=1,IF(H3030=0,1,ABS(0.2-J3030*B3031/I3031)+ABS(0.2-K3030*C3031/I3031)+ABS(0.2-L3030*D3031/I3031)+ABS(0.2-M3030*E3031/I3031)+ABS(0.2-N3030*F3031/I3031)),0)</f>
        <v/>
      </c>
      <c r="Q3031">
        <f>P3031*0.0015</f>
        <v/>
      </c>
      <c r="R3031">
        <f>I3031*(1-Q3031)</f>
        <v/>
      </c>
      <c r="S3031">
        <f>R3031/R3030-1</f>
        <v/>
      </c>
      <c r="T3031">
        <f>MAX(T3030,R3031)</f>
        <v/>
      </c>
      <c r="U3031">
        <f>R3031/T3031-1</f>
        <v/>
      </c>
      <c r="V3031" t="n">
        <v>8.323113012430905</v>
      </c>
      <c r="W3031" s="5">
        <f>R3031-V3031</f>
        <v/>
      </c>
    </row>
    <row r="3032">
      <c r="A3032" s="3" t="n">
        <v>42902</v>
      </c>
      <c r="B3032">
        <f>Prices!B3032</f>
        <v/>
      </c>
      <c r="C3032">
        <f>Prices!C3032</f>
        <v/>
      </c>
      <c r="D3032">
        <f>Prices!D3032</f>
        <v/>
      </c>
      <c r="E3032">
        <f>Prices!E3032</f>
        <v/>
      </c>
      <c r="F3032">
        <f>Prices!F3032</f>
        <v/>
      </c>
      <c r="G3032">
        <f>IF(AND(3030&gt;=16,TEXT(A3032,"yyyy-mm")&lt;&gt;TEXT(A3033,"yyyy-mm")),1,0)</f>
        <v/>
      </c>
      <c r="H3032">
        <f>IF(OR(H3031=1,G3032=1),1,0)</f>
        <v/>
      </c>
      <c r="I3032">
        <f>IF(H3031=0,1,SUMPRODUCT(J3031:N3031,B3032:F3032)+O3031*(1+0.00023125256064071564))</f>
        <v/>
      </c>
      <c r="J3032">
        <f>IF(G3032=1,0.2*R3032/B3032,J3031)</f>
        <v/>
      </c>
      <c r="K3032">
        <f>IF(G3032=1,0.2*R3032/C3032,K3031)</f>
        <v/>
      </c>
      <c r="L3032">
        <f>IF(G3032=1,0.2*R3032/D3032,L3031)</f>
        <v/>
      </c>
      <c r="M3032">
        <f>IF(G3032=1,0.2*R3032/E3032,M3031)</f>
        <v/>
      </c>
      <c r="N3032">
        <f>IF(G3032=1,0.2*R3032/F3032,N3031)</f>
        <v/>
      </c>
      <c r="O3032">
        <f>IF(G3032=1,R3032*(1-1.0),IF(H3031=0,1,O3031*(1+0.00023125256064071564)))</f>
        <v/>
      </c>
      <c r="P3032">
        <f>IF(G3032=1,IF(H3031=0,1,ABS(0.2-J3031*B3032/I3032)+ABS(0.2-K3031*C3032/I3032)+ABS(0.2-L3031*D3032/I3032)+ABS(0.2-M3031*E3032/I3032)+ABS(0.2-N3031*F3032/I3032)),0)</f>
        <v/>
      </c>
      <c r="Q3032">
        <f>P3032*0.0015</f>
        <v/>
      </c>
      <c r="R3032">
        <f>I3032*(1-Q3032)</f>
        <v/>
      </c>
      <c r="S3032">
        <f>R3032/R3031-1</f>
        <v/>
      </c>
      <c r="T3032">
        <f>MAX(T3031,R3032)</f>
        <v/>
      </c>
      <c r="U3032">
        <f>R3032/T3032-1</f>
        <v/>
      </c>
      <c r="V3032" t="n">
        <v>8.328538449727205</v>
      </c>
      <c r="W3032" s="5">
        <f>R3032-V3032</f>
        <v/>
      </c>
    </row>
    <row r="3033">
      <c r="A3033" s="3" t="n">
        <v>42905</v>
      </c>
      <c r="B3033">
        <f>Prices!B3033</f>
        <v/>
      </c>
      <c r="C3033">
        <f>Prices!C3033</f>
        <v/>
      </c>
      <c r="D3033">
        <f>Prices!D3033</f>
        <v/>
      </c>
      <c r="E3033">
        <f>Prices!E3033</f>
        <v/>
      </c>
      <c r="F3033">
        <f>Prices!F3033</f>
        <v/>
      </c>
      <c r="G3033">
        <f>IF(AND(3031&gt;=16,TEXT(A3033,"yyyy-mm")&lt;&gt;TEXT(A3034,"yyyy-mm")),1,0)</f>
        <v/>
      </c>
      <c r="H3033">
        <f>IF(OR(H3032=1,G3033=1),1,0)</f>
        <v/>
      </c>
      <c r="I3033">
        <f>IF(H3032=0,1,SUMPRODUCT(J3032:N3032,B3033:F3033)+O3032*(1+0.00023125256064071564))</f>
        <v/>
      </c>
      <c r="J3033">
        <f>IF(G3033=1,0.2*R3033/B3033,J3032)</f>
        <v/>
      </c>
      <c r="K3033">
        <f>IF(G3033=1,0.2*R3033/C3033,K3032)</f>
        <v/>
      </c>
      <c r="L3033">
        <f>IF(G3033=1,0.2*R3033/D3033,L3032)</f>
        <v/>
      </c>
      <c r="M3033">
        <f>IF(G3033=1,0.2*R3033/E3033,M3032)</f>
        <v/>
      </c>
      <c r="N3033">
        <f>IF(G3033=1,0.2*R3033/F3033,N3032)</f>
        <v/>
      </c>
      <c r="O3033">
        <f>IF(G3033=1,R3033*(1-1.0),IF(H3032=0,1,O3032*(1+0.00023125256064071564)))</f>
        <v/>
      </c>
      <c r="P3033">
        <f>IF(G3033=1,IF(H3032=0,1,ABS(0.2-J3032*B3033/I3033)+ABS(0.2-K3032*C3033/I3033)+ABS(0.2-L3032*D3033/I3033)+ABS(0.2-M3032*E3033/I3033)+ABS(0.2-N3032*F3033/I3033)),0)</f>
        <v/>
      </c>
      <c r="Q3033">
        <f>P3033*0.0015</f>
        <v/>
      </c>
      <c r="R3033">
        <f>I3033*(1-Q3033)</f>
        <v/>
      </c>
      <c r="S3033">
        <f>R3033/R3032-1</f>
        <v/>
      </c>
      <c r="T3033">
        <f>MAX(T3032,R3033)</f>
        <v/>
      </c>
      <c r="U3033">
        <f>R3033/T3033-1</f>
        <v/>
      </c>
      <c r="V3033" t="n">
        <v>8.350189697814299</v>
      </c>
      <c r="W3033" s="5">
        <f>R3033-V3033</f>
        <v/>
      </c>
    </row>
    <row r="3034">
      <c r="A3034" s="3" t="n">
        <v>42906</v>
      </c>
      <c r="B3034">
        <f>Prices!B3034</f>
        <v/>
      </c>
      <c r="C3034">
        <f>Prices!C3034</f>
        <v/>
      </c>
      <c r="D3034">
        <f>Prices!D3034</f>
        <v/>
      </c>
      <c r="E3034">
        <f>Prices!E3034</f>
        <v/>
      </c>
      <c r="F3034">
        <f>Prices!F3034</f>
        <v/>
      </c>
      <c r="G3034">
        <f>IF(AND(3032&gt;=16,TEXT(A3034,"yyyy-mm")&lt;&gt;TEXT(A3035,"yyyy-mm")),1,0)</f>
        <v/>
      </c>
      <c r="H3034">
        <f>IF(OR(H3033=1,G3034=1),1,0)</f>
        <v/>
      </c>
      <c r="I3034">
        <f>IF(H3033=0,1,SUMPRODUCT(J3033:N3033,B3034:F3034)+O3033*(1+0.00023125256064071564))</f>
        <v/>
      </c>
      <c r="J3034">
        <f>IF(G3034=1,0.2*R3034/B3034,J3033)</f>
        <v/>
      </c>
      <c r="K3034">
        <f>IF(G3034=1,0.2*R3034/C3034,K3033)</f>
        <v/>
      </c>
      <c r="L3034">
        <f>IF(G3034=1,0.2*R3034/D3034,L3033)</f>
        <v/>
      </c>
      <c r="M3034">
        <f>IF(G3034=1,0.2*R3034/E3034,M3033)</f>
        <v/>
      </c>
      <c r="N3034">
        <f>IF(G3034=1,0.2*R3034/F3034,N3033)</f>
        <v/>
      </c>
      <c r="O3034">
        <f>IF(G3034=1,R3034*(1-1.0),IF(H3033=0,1,O3033*(1+0.00023125256064071564)))</f>
        <v/>
      </c>
      <c r="P3034">
        <f>IF(G3034=1,IF(H3033=0,1,ABS(0.2-J3033*B3034/I3034)+ABS(0.2-K3033*C3034/I3034)+ABS(0.2-L3033*D3034/I3034)+ABS(0.2-M3033*E3034/I3034)+ABS(0.2-N3033*F3034/I3034)),0)</f>
        <v/>
      </c>
      <c r="Q3034">
        <f>P3034*0.0015</f>
        <v/>
      </c>
      <c r="R3034">
        <f>I3034*(1-Q3034)</f>
        <v/>
      </c>
      <c r="S3034">
        <f>R3034/R3033-1</f>
        <v/>
      </c>
      <c r="T3034">
        <f>MAX(T3033,R3034)</f>
        <v/>
      </c>
      <c r="U3034">
        <f>R3034/T3034-1</f>
        <v/>
      </c>
      <c r="V3034" t="n">
        <v>8.357486217666761</v>
      </c>
      <c r="W3034" s="5">
        <f>R3034-V3034</f>
        <v/>
      </c>
    </row>
    <row r="3035">
      <c r="A3035" s="3" t="n">
        <v>42907</v>
      </c>
      <c r="B3035">
        <f>Prices!B3035</f>
        <v/>
      </c>
      <c r="C3035">
        <f>Prices!C3035</f>
        <v/>
      </c>
      <c r="D3035">
        <f>Prices!D3035</f>
        <v/>
      </c>
      <c r="E3035">
        <f>Prices!E3035</f>
        <v/>
      </c>
      <c r="F3035">
        <f>Prices!F3035</f>
        <v/>
      </c>
      <c r="G3035">
        <f>IF(AND(3033&gt;=16,TEXT(A3035,"yyyy-mm")&lt;&gt;TEXT(A3036,"yyyy-mm")),1,0)</f>
        <v/>
      </c>
      <c r="H3035">
        <f>IF(OR(H3034=1,G3035=1),1,0)</f>
        <v/>
      </c>
      <c r="I3035">
        <f>IF(H3034=0,1,SUMPRODUCT(J3034:N3034,B3035:F3035)+O3034*(1+0.00023125256064071564))</f>
        <v/>
      </c>
      <c r="J3035">
        <f>IF(G3035=1,0.2*R3035/B3035,J3034)</f>
        <v/>
      </c>
      <c r="K3035">
        <f>IF(G3035=1,0.2*R3035/C3035,K3034)</f>
        <v/>
      </c>
      <c r="L3035">
        <f>IF(G3035=1,0.2*R3035/D3035,L3034)</f>
        <v/>
      </c>
      <c r="M3035">
        <f>IF(G3035=1,0.2*R3035/E3035,M3034)</f>
        <v/>
      </c>
      <c r="N3035">
        <f>IF(G3035=1,0.2*R3035/F3035,N3034)</f>
        <v/>
      </c>
      <c r="O3035">
        <f>IF(G3035=1,R3035*(1-1.0),IF(H3034=0,1,O3034*(1+0.00023125256064071564)))</f>
        <v/>
      </c>
      <c r="P3035">
        <f>IF(G3035=1,IF(H3034=0,1,ABS(0.2-J3034*B3035/I3035)+ABS(0.2-K3034*C3035/I3035)+ABS(0.2-L3034*D3035/I3035)+ABS(0.2-M3034*E3035/I3035)+ABS(0.2-N3034*F3035/I3035)),0)</f>
        <v/>
      </c>
      <c r="Q3035">
        <f>P3035*0.0015</f>
        <v/>
      </c>
      <c r="R3035">
        <f>I3035*(1-Q3035)</f>
        <v/>
      </c>
      <c r="S3035">
        <f>R3035/R3034-1</f>
        <v/>
      </c>
      <c r="T3035">
        <f>MAX(T3034,R3035)</f>
        <v/>
      </c>
      <c r="U3035">
        <f>R3035/T3035-1</f>
        <v/>
      </c>
      <c r="V3035" t="n">
        <v>8.344754039273433</v>
      </c>
      <c r="W3035" s="5">
        <f>R3035-V3035</f>
        <v/>
      </c>
    </row>
    <row r="3036">
      <c r="A3036" s="3" t="n">
        <v>42908</v>
      </c>
      <c r="B3036">
        <f>Prices!B3036</f>
        <v/>
      </c>
      <c r="C3036">
        <f>Prices!C3036</f>
        <v/>
      </c>
      <c r="D3036">
        <f>Prices!D3036</f>
        <v/>
      </c>
      <c r="E3036">
        <f>Prices!E3036</f>
        <v/>
      </c>
      <c r="F3036">
        <f>Prices!F3036</f>
        <v/>
      </c>
      <c r="G3036">
        <f>IF(AND(3034&gt;=16,TEXT(A3036,"yyyy-mm")&lt;&gt;TEXT(A3037,"yyyy-mm")),1,0)</f>
        <v/>
      </c>
      <c r="H3036">
        <f>IF(OR(H3035=1,G3036=1),1,0)</f>
        <v/>
      </c>
      <c r="I3036">
        <f>IF(H3035=0,1,SUMPRODUCT(J3035:N3035,B3036:F3036)+O3035*(1+0.00023125256064071564))</f>
        <v/>
      </c>
      <c r="J3036">
        <f>IF(G3036=1,0.2*R3036/B3036,J3035)</f>
        <v/>
      </c>
      <c r="K3036">
        <f>IF(G3036=1,0.2*R3036/C3036,K3035)</f>
        <v/>
      </c>
      <c r="L3036">
        <f>IF(G3036=1,0.2*R3036/D3036,L3035)</f>
        <v/>
      </c>
      <c r="M3036">
        <f>IF(G3036=1,0.2*R3036/E3036,M3035)</f>
        <v/>
      </c>
      <c r="N3036">
        <f>IF(G3036=1,0.2*R3036/F3036,N3035)</f>
        <v/>
      </c>
      <c r="O3036">
        <f>IF(G3036=1,R3036*(1-1.0),IF(H3035=0,1,O3035*(1+0.00023125256064071564)))</f>
        <v/>
      </c>
      <c r="P3036">
        <f>IF(G3036=1,IF(H3035=0,1,ABS(0.2-J3035*B3036/I3036)+ABS(0.2-K3035*C3036/I3036)+ABS(0.2-L3035*D3036/I3036)+ABS(0.2-M3035*E3036/I3036)+ABS(0.2-N3035*F3036/I3036)),0)</f>
        <v/>
      </c>
      <c r="Q3036">
        <f>P3036*0.0015</f>
        <v/>
      </c>
      <c r="R3036">
        <f>I3036*(1-Q3036)</f>
        <v/>
      </c>
      <c r="S3036">
        <f>R3036/R3035-1</f>
        <v/>
      </c>
      <c r="T3036">
        <f>MAX(T3035,R3036)</f>
        <v/>
      </c>
      <c r="U3036">
        <f>R3036/T3036-1</f>
        <v/>
      </c>
      <c r="V3036" t="n">
        <v>8.27034404723182</v>
      </c>
      <c r="W3036" s="5">
        <f>R3036-V3036</f>
        <v/>
      </c>
    </row>
    <row r="3037">
      <c r="A3037" s="3" t="n">
        <v>42909</v>
      </c>
      <c r="B3037">
        <f>Prices!B3037</f>
        <v/>
      </c>
      <c r="C3037">
        <f>Prices!C3037</f>
        <v/>
      </c>
      <c r="D3037">
        <f>Prices!D3037</f>
        <v/>
      </c>
      <c r="E3037">
        <f>Prices!E3037</f>
        <v/>
      </c>
      <c r="F3037">
        <f>Prices!F3037</f>
        <v/>
      </c>
      <c r="G3037">
        <f>IF(AND(3035&gt;=16,TEXT(A3037,"yyyy-mm")&lt;&gt;TEXT(A3038,"yyyy-mm")),1,0)</f>
        <v/>
      </c>
      <c r="H3037">
        <f>IF(OR(H3036=1,G3037=1),1,0)</f>
        <v/>
      </c>
      <c r="I3037">
        <f>IF(H3036=0,1,SUMPRODUCT(J3036:N3036,B3037:F3037)+O3036*(1+0.00023125256064071564))</f>
        <v/>
      </c>
      <c r="J3037">
        <f>IF(G3037=1,0.2*R3037/B3037,J3036)</f>
        <v/>
      </c>
      <c r="K3037">
        <f>IF(G3037=1,0.2*R3037/C3037,K3036)</f>
        <v/>
      </c>
      <c r="L3037">
        <f>IF(G3037=1,0.2*R3037/D3037,L3036)</f>
        <v/>
      </c>
      <c r="M3037">
        <f>IF(G3037=1,0.2*R3037/E3037,M3036)</f>
        <v/>
      </c>
      <c r="N3037">
        <f>IF(G3037=1,0.2*R3037/F3037,N3036)</f>
        <v/>
      </c>
      <c r="O3037">
        <f>IF(G3037=1,R3037*(1-1.0),IF(H3036=0,1,O3036*(1+0.00023125256064071564)))</f>
        <v/>
      </c>
      <c r="P3037">
        <f>IF(G3037=1,IF(H3036=0,1,ABS(0.2-J3036*B3037/I3037)+ABS(0.2-K3036*C3037/I3037)+ABS(0.2-L3036*D3037/I3037)+ABS(0.2-M3036*E3037/I3037)+ABS(0.2-N3036*F3037/I3037)),0)</f>
        <v/>
      </c>
      <c r="Q3037">
        <f>P3037*0.0015</f>
        <v/>
      </c>
      <c r="R3037">
        <f>I3037*(1-Q3037)</f>
        <v/>
      </c>
      <c r="S3037">
        <f>R3037/R3036-1</f>
        <v/>
      </c>
      <c r="T3037">
        <f>MAX(T3036,R3037)</f>
        <v/>
      </c>
      <c r="U3037">
        <f>R3037/T3037-1</f>
        <v/>
      </c>
      <c r="V3037" t="n">
        <v>8.171733902561796</v>
      </c>
      <c r="W3037" s="5">
        <f>R3037-V3037</f>
        <v/>
      </c>
    </row>
    <row r="3038">
      <c r="A3038" s="3" t="n">
        <v>42913</v>
      </c>
      <c r="B3038">
        <f>Prices!B3038</f>
        <v/>
      </c>
      <c r="C3038">
        <f>Prices!C3038</f>
        <v/>
      </c>
      <c r="D3038">
        <f>Prices!D3038</f>
        <v/>
      </c>
      <c r="E3038">
        <f>Prices!E3038</f>
        <v/>
      </c>
      <c r="F3038">
        <f>Prices!F3038</f>
        <v/>
      </c>
      <c r="G3038">
        <f>IF(AND(3036&gt;=16,TEXT(A3038,"yyyy-mm")&lt;&gt;TEXT(A3039,"yyyy-mm")),1,0)</f>
        <v/>
      </c>
      <c r="H3038">
        <f>IF(OR(H3037=1,G3038=1),1,0)</f>
        <v/>
      </c>
      <c r="I3038">
        <f>IF(H3037=0,1,SUMPRODUCT(J3037:N3037,B3038:F3038)+O3037*(1+0.00023125256064071564))</f>
        <v/>
      </c>
      <c r="J3038">
        <f>IF(G3038=1,0.2*R3038/B3038,J3037)</f>
        <v/>
      </c>
      <c r="K3038">
        <f>IF(G3038=1,0.2*R3038/C3038,K3037)</f>
        <v/>
      </c>
      <c r="L3038">
        <f>IF(G3038=1,0.2*R3038/D3038,L3037)</f>
        <v/>
      </c>
      <c r="M3038">
        <f>IF(G3038=1,0.2*R3038/E3038,M3037)</f>
        <v/>
      </c>
      <c r="N3038">
        <f>IF(G3038=1,0.2*R3038/F3038,N3037)</f>
        <v/>
      </c>
      <c r="O3038">
        <f>IF(G3038=1,R3038*(1-1.0),IF(H3037=0,1,O3037*(1+0.00023125256064071564)))</f>
        <v/>
      </c>
      <c r="P3038">
        <f>IF(G3038=1,IF(H3037=0,1,ABS(0.2-J3037*B3038/I3038)+ABS(0.2-K3037*C3038/I3038)+ABS(0.2-L3037*D3038/I3038)+ABS(0.2-M3037*E3038/I3038)+ABS(0.2-N3037*F3038/I3038)),0)</f>
        <v/>
      </c>
      <c r="Q3038">
        <f>P3038*0.0015</f>
        <v/>
      </c>
      <c r="R3038">
        <f>I3038*(1-Q3038)</f>
        <v/>
      </c>
      <c r="S3038">
        <f>R3038/R3037-1</f>
        <v/>
      </c>
      <c r="T3038">
        <f>MAX(T3037,R3038)</f>
        <v/>
      </c>
      <c r="U3038">
        <f>R3038/T3038-1</f>
        <v/>
      </c>
      <c r="V3038" t="n">
        <v>8.074928382883495</v>
      </c>
      <c r="W3038" s="5">
        <f>R3038-V3038</f>
        <v/>
      </c>
    </row>
    <row r="3039">
      <c r="A3039" s="3" t="n">
        <v>42914</v>
      </c>
      <c r="B3039">
        <f>Prices!B3039</f>
        <v/>
      </c>
      <c r="C3039">
        <f>Prices!C3039</f>
        <v/>
      </c>
      <c r="D3039">
        <f>Prices!D3039</f>
        <v/>
      </c>
      <c r="E3039">
        <f>Prices!E3039</f>
        <v/>
      </c>
      <c r="F3039">
        <f>Prices!F3039</f>
        <v/>
      </c>
      <c r="G3039">
        <f>IF(AND(3037&gt;=16,TEXT(A3039,"yyyy-mm")&lt;&gt;TEXT(A3040,"yyyy-mm")),1,0)</f>
        <v/>
      </c>
      <c r="H3039">
        <f>IF(OR(H3038=1,G3039=1),1,0)</f>
        <v/>
      </c>
      <c r="I3039">
        <f>IF(H3038=0,1,SUMPRODUCT(J3038:N3038,B3039:F3039)+O3038*(1+0.00023125256064071564))</f>
        <v/>
      </c>
      <c r="J3039">
        <f>IF(G3039=1,0.2*R3039/B3039,J3038)</f>
        <v/>
      </c>
      <c r="K3039">
        <f>IF(G3039=1,0.2*R3039/C3039,K3038)</f>
        <v/>
      </c>
      <c r="L3039">
        <f>IF(G3039=1,0.2*R3039/D3039,L3038)</f>
        <v/>
      </c>
      <c r="M3039">
        <f>IF(G3039=1,0.2*R3039/E3039,M3038)</f>
        <v/>
      </c>
      <c r="N3039">
        <f>IF(G3039=1,0.2*R3039/F3039,N3038)</f>
        <v/>
      </c>
      <c r="O3039">
        <f>IF(G3039=1,R3039*(1-1.0),IF(H3038=0,1,O3038*(1+0.00023125256064071564)))</f>
        <v/>
      </c>
      <c r="P3039">
        <f>IF(G3039=1,IF(H3038=0,1,ABS(0.2-J3038*B3039/I3039)+ABS(0.2-K3038*C3039/I3039)+ABS(0.2-L3038*D3039/I3039)+ABS(0.2-M3038*E3039/I3039)+ABS(0.2-N3038*F3039/I3039)),0)</f>
        <v/>
      </c>
      <c r="Q3039">
        <f>P3039*0.0015</f>
        <v/>
      </c>
      <c r="R3039">
        <f>I3039*(1-Q3039)</f>
        <v/>
      </c>
      <c r="S3039">
        <f>R3039/R3038-1</f>
        <v/>
      </c>
      <c r="T3039">
        <f>MAX(T3038,R3039)</f>
        <v/>
      </c>
      <c r="U3039">
        <f>R3039/T3039-1</f>
        <v/>
      </c>
      <c r="V3039" t="n">
        <v>8.113702973200139</v>
      </c>
      <c r="W3039" s="5">
        <f>R3039-V3039</f>
        <v/>
      </c>
    </row>
    <row r="3040">
      <c r="A3040" s="3" t="n">
        <v>42915</v>
      </c>
      <c r="B3040">
        <f>Prices!B3040</f>
        <v/>
      </c>
      <c r="C3040">
        <f>Prices!C3040</f>
        <v/>
      </c>
      <c r="D3040">
        <f>Prices!D3040</f>
        <v/>
      </c>
      <c r="E3040">
        <f>Prices!E3040</f>
        <v/>
      </c>
      <c r="F3040">
        <f>Prices!F3040</f>
        <v/>
      </c>
      <c r="G3040">
        <f>IF(AND(3038&gt;=16,TEXT(A3040,"yyyy-mm")&lt;&gt;TEXT(A3041,"yyyy-mm")),1,0)</f>
        <v/>
      </c>
      <c r="H3040">
        <f>IF(OR(H3039=1,G3040=1),1,0)</f>
        <v/>
      </c>
      <c r="I3040">
        <f>IF(H3039=0,1,SUMPRODUCT(J3039:N3039,B3040:F3040)+O3039*(1+0.00023125256064071564))</f>
        <v/>
      </c>
      <c r="J3040">
        <f>IF(G3040=1,0.2*R3040/B3040,J3039)</f>
        <v/>
      </c>
      <c r="K3040">
        <f>IF(G3040=1,0.2*R3040/C3040,K3039)</f>
        <v/>
      </c>
      <c r="L3040">
        <f>IF(G3040=1,0.2*R3040/D3040,L3039)</f>
        <v/>
      </c>
      <c r="M3040">
        <f>IF(G3040=1,0.2*R3040/E3040,M3039)</f>
        <v/>
      </c>
      <c r="N3040">
        <f>IF(G3040=1,0.2*R3040/F3040,N3039)</f>
        <v/>
      </c>
      <c r="O3040">
        <f>IF(G3040=1,R3040*(1-1.0),IF(H3039=0,1,O3039*(1+0.00023125256064071564)))</f>
        <v/>
      </c>
      <c r="P3040">
        <f>IF(G3040=1,IF(H3039=0,1,ABS(0.2-J3039*B3040/I3040)+ABS(0.2-K3039*C3040/I3040)+ABS(0.2-L3039*D3040/I3040)+ABS(0.2-M3039*E3040/I3040)+ABS(0.2-N3039*F3040/I3040)),0)</f>
        <v/>
      </c>
      <c r="Q3040">
        <f>P3040*0.0015</f>
        <v/>
      </c>
      <c r="R3040">
        <f>I3040*(1-Q3040)</f>
        <v/>
      </c>
      <c r="S3040">
        <f>R3040/R3039-1</f>
        <v/>
      </c>
      <c r="T3040">
        <f>MAX(T3039,R3040)</f>
        <v/>
      </c>
      <c r="U3040">
        <f>R3040/T3040-1</f>
        <v/>
      </c>
      <c r="V3040" t="n">
        <v>8.148473203736918</v>
      </c>
      <c r="W3040" s="5">
        <f>R3040-V3040</f>
        <v/>
      </c>
    </row>
    <row r="3041">
      <c r="A3041" s="3" t="n">
        <v>42916</v>
      </c>
      <c r="B3041">
        <f>Prices!B3041</f>
        <v/>
      </c>
      <c r="C3041">
        <f>Prices!C3041</f>
        <v/>
      </c>
      <c r="D3041">
        <f>Prices!D3041</f>
        <v/>
      </c>
      <c r="E3041">
        <f>Prices!E3041</f>
        <v/>
      </c>
      <c r="F3041">
        <f>Prices!F3041</f>
        <v/>
      </c>
      <c r="G3041">
        <f>IF(AND(3039&gt;=16,TEXT(A3041,"yyyy-mm")&lt;&gt;TEXT(A3042,"yyyy-mm")),1,0)</f>
        <v/>
      </c>
      <c r="H3041">
        <f>IF(OR(H3040=1,G3041=1),1,0)</f>
        <v/>
      </c>
      <c r="I3041">
        <f>IF(H3040=0,1,SUMPRODUCT(J3040:N3040,B3041:F3041)+O3040*(1+0.00023125256064071564))</f>
        <v/>
      </c>
      <c r="J3041">
        <f>IF(G3041=1,0.2*R3041/B3041,J3040)</f>
        <v/>
      </c>
      <c r="K3041">
        <f>IF(G3041=1,0.2*R3041/C3041,K3040)</f>
        <v/>
      </c>
      <c r="L3041">
        <f>IF(G3041=1,0.2*R3041/D3041,L3040)</f>
        <v/>
      </c>
      <c r="M3041">
        <f>IF(G3041=1,0.2*R3041/E3041,M3040)</f>
        <v/>
      </c>
      <c r="N3041">
        <f>IF(G3041=1,0.2*R3041/F3041,N3040)</f>
        <v/>
      </c>
      <c r="O3041">
        <f>IF(G3041=1,R3041*(1-1.0),IF(H3040=0,1,O3040*(1+0.00023125256064071564)))</f>
        <v/>
      </c>
      <c r="P3041">
        <f>IF(G3041=1,IF(H3040=0,1,ABS(0.2-J3040*B3041/I3041)+ABS(0.2-K3040*C3041/I3041)+ABS(0.2-L3040*D3041/I3041)+ABS(0.2-M3040*E3041/I3041)+ABS(0.2-N3040*F3041/I3041)),0)</f>
        <v/>
      </c>
      <c r="Q3041">
        <f>P3041*0.0015</f>
        <v/>
      </c>
      <c r="R3041">
        <f>I3041*(1-Q3041)</f>
        <v/>
      </c>
      <c r="S3041">
        <f>R3041/R3040-1</f>
        <v/>
      </c>
      <c r="T3041">
        <f>MAX(T3040,R3041)</f>
        <v/>
      </c>
      <c r="U3041">
        <f>R3041/T3041-1</f>
        <v/>
      </c>
      <c r="V3041" t="n">
        <v>8.168500913695757</v>
      </c>
      <c r="W3041" s="5">
        <f>R3041-V3041</f>
        <v/>
      </c>
    </row>
    <row r="3042">
      <c r="A3042" s="3" t="n">
        <v>42919</v>
      </c>
      <c r="B3042">
        <f>Prices!B3042</f>
        <v/>
      </c>
      <c r="C3042">
        <f>Prices!C3042</f>
        <v/>
      </c>
      <c r="D3042">
        <f>Prices!D3042</f>
        <v/>
      </c>
      <c r="E3042">
        <f>Prices!E3042</f>
        <v/>
      </c>
      <c r="F3042">
        <f>Prices!F3042</f>
        <v/>
      </c>
      <c r="G3042">
        <f>IF(AND(3040&gt;=16,TEXT(A3042,"yyyy-mm")&lt;&gt;TEXT(A3043,"yyyy-mm")),1,0)</f>
        <v/>
      </c>
      <c r="H3042">
        <f>IF(OR(H3041=1,G3042=1),1,0)</f>
        <v/>
      </c>
      <c r="I3042">
        <f>IF(H3041=0,1,SUMPRODUCT(J3041:N3041,B3042:F3042)+O3041*(1+0.00023125256064071564))</f>
        <v/>
      </c>
      <c r="J3042">
        <f>IF(G3042=1,0.2*R3042/B3042,J3041)</f>
        <v/>
      </c>
      <c r="K3042">
        <f>IF(G3042=1,0.2*R3042/C3042,K3041)</f>
        <v/>
      </c>
      <c r="L3042">
        <f>IF(G3042=1,0.2*R3042/D3042,L3041)</f>
        <v/>
      </c>
      <c r="M3042">
        <f>IF(G3042=1,0.2*R3042/E3042,M3041)</f>
        <v/>
      </c>
      <c r="N3042">
        <f>IF(G3042=1,0.2*R3042/F3042,N3041)</f>
        <v/>
      </c>
      <c r="O3042">
        <f>IF(G3042=1,R3042*(1-1.0),IF(H3041=0,1,O3041*(1+0.00023125256064071564)))</f>
        <v/>
      </c>
      <c r="P3042">
        <f>IF(G3042=1,IF(H3041=0,1,ABS(0.2-J3041*B3042/I3042)+ABS(0.2-K3041*C3042/I3042)+ABS(0.2-L3041*D3042/I3042)+ABS(0.2-M3041*E3042/I3042)+ABS(0.2-N3041*F3042/I3042)),0)</f>
        <v/>
      </c>
      <c r="Q3042">
        <f>P3042*0.0015</f>
        <v/>
      </c>
      <c r="R3042">
        <f>I3042*(1-Q3042)</f>
        <v/>
      </c>
      <c r="S3042">
        <f>R3042/R3041-1</f>
        <v/>
      </c>
      <c r="T3042">
        <f>MAX(T3041,R3042)</f>
        <v/>
      </c>
      <c r="U3042">
        <f>R3042/T3042-1</f>
        <v/>
      </c>
      <c r="V3042" t="n">
        <v>8.263105020786925</v>
      </c>
      <c r="W3042" s="5">
        <f>R3042-V3042</f>
        <v/>
      </c>
    </row>
    <row r="3043">
      <c r="A3043" s="3" t="n">
        <v>42920</v>
      </c>
      <c r="B3043">
        <f>Prices!B3043</f>
        <v/>
      </c>
      <c r="C3043">
        <f>Prices!C3043</f>
        <v/>
      </c>
      <c r="D3043">
        <f>Prices!D3043</f>
        <v/>
      </c>
      <c r="E3043">
        <f>Prices!E3043</f>
        <v/>
      </c>
      <c r="F3043">
        <f>Prices!F3043</f>
        <v/>
      </c>
      <c r="G3043">
        <f>IF(AND(3041&gt;=16,TEXT(A3043,"yyyy-mm")&lt;&gt;TEXT(A3044,"yyyy-mm")),1,0)</f>
        <v/>
      </c>
      <c r="H3043">
        <f>IF(OR(H3042=1,G3043=1),1,0)</f>
        <v/>
      </c>
      <c r="I3043">
        <f>IF(H3042=0,1,SUMPRODUCT(J3042:N3042,B3043:F3043)+O3042*(1+0.00023125256064071564))</f>
        <v/>
      </c>
      <c r="J3043">
        <f>IF(G3043=1,0.2*R3043/B3043,J3042)</f>
        <v/>
      </c>
      <c r="K3043">
        <f>IF(G3043=1,0.2*R3043/C3043,K3042)</f>
        <v/>
      </c>
      <c r="L3043">
        <f>IF(G3043=1,0.2*R3043/D3043,L3042)</f>
        <v/>
      </c>
      <c r="M3043">
        <f>IF(G3043=1,0.2*R3043/E3043,M3042)</f>
        <v/>
      </c>
      <c r="N3043">
        <f>IF(G3043=1,0.2*R3043/F3043,N3042)</f>
        <v/>
      </c>
      <c r="O3043">
        <f>IF(G3043=1,R3043*(1-1.0),IF(H3042=0,1,O3042*(1+0.00023125256064071564)))</f>
        <v/>
      </c>
      <c r="P3043">
        <f>IF(G3043=1,IF(H3042=0,1,ABS(0.2-J3042*B3043/I3043)+ABS(0.2-K3042*C3043/I3043)+ABS(0.2-L3042*D3043/I3043)+ABS(0.2-M3042*E3043/I3043)+ABS(0.2-N3042*F3043/I3043)),0)</f>
        <v/>
      </c>
      <c r="Q3043">
        <f>P3043*0.0015</f>
        <v/>
      </c>
      <c r="R3043">
        <f>I3043*(1-Q3043)</f>
        <v/>
      </c>
      <c r="S3043">
        <f>R3043/R3042-1</f>
        <v/>
      </c>
      <c r="T3043">
        <f>MAX(T3042,R3043)</f>
        <v/>
      </c>
      <c r="U3043">
        <f>R3043/T3043-1</f>
        <v/>
      </c>
      <c r="V3043" t="n">
        <v>8.245059317414142</v>
      </c>
      <c r="W3043" s="5">
        <f>R3043-V3043</f>
        <v/>
      </c>
    </row>
    <row r="3044">
      <c r="A3044" s="3" t="n">
        <v>42921</v>
      </c>
      <c r="B3044">
        <f>Prices!B3044</f>
        <v/>
      </c>
      <c r="C3044">
        <f>Prices!C3044</f>
        <v/>
      </c>
      <c r="D3044">
        <f>Prices!D3044</f>
        <v/>
      </c>
      <c r="E3044">
        <f>Prices!E3044</f>
        <v/>
      </c>
      <c r="F3044">
        <f>Prices!F3044</f>
        <v/>
      </c>
      <c r="G3044">
        <f>IF(AND(3042&gt;=16,TEXT(A3044,"yyyy-mm")&lt;&gt;TEXT(A3045,"yyyy-mm")),1,0)</f>
        <v/>
      </c>
      <c r="H3044">
        <f>IF(OR(H3043=1,G3044=1),1,0)</f>
        <v/>
      </c>
      <c r="I3044">
        <f>IF(H3043=0,1,SUMPRODUCT(J3043:N3043,B3044:F3044)+O3043*(1+0.00023125256064071564))</f>
        <v/>
      </c>
      <c r="J3044">
        <f>IF(G3044=1,0.2*R3044/B3044,J3043)</f>
        <v/>
      </c>
      <c r="K3044">
        <f>IF(G3044=1,0.2*R3044/C3044,K3043)</f>
        <v/>
      </c>
      <c r="L3044">
        <f>IF(G3044=1,0.2*R3044/D3044,L3043)</f>
        <v/>
      </c>
      <c r="M3044">
        <f>IF(G3044=1,0.2*R3044/E3044,M3043)</f>
        <v/>
      </c>
      <c r="N3044">
        <f>IF(G3044=1,0.2*R3044/F3044,N3043)</f>
        <v/>
      </c>
      <c r="O3044">
        <f>IF(G3044=1,R3044*(1-1.0),IF(H3043=0,1,O3043*(1+0.00023125256064071564)))</f>
        <v/>
      </c>
      <c r="P3044">
        <f>IF(G3044=1,IF(H3043=0,1,ABS(0.2-J3043*B3044/I3044)+ABS(0.2-K3043*C3044/I3044)+ABS(0.2-L3043*D3044/I3044)+ABS(0.2-M3043*E3044/I3044)+ABS(0.2-N3043*F3044/I3044)),0)</f>
        <v/>
      </c>
      <c r="Q3044">
        <f>P3044*0.0015</f>
        <v/>
      </c>
      <c r="R3044">
        <f>I3044*(1-Q3044)</f>
        <v/>
      </c>
      <c r="S3044">
        <f>R3044/R3043-1</f>
        <v/>
      </c>
      <c r="T3044">
        <f>MAX(T3043,R3044)</f>
        <v/>
      </c>
      <c r="U3044">
        <f>R3044/T3044-1</f>
        <v/>
      </c>
      <c r="V3044" t="n">
        <v>8.304154072647414</v>
      </c>
      <c r="W3044" s="5">
        <f>R3044-V3044</f>
        <v/>
      </c>
    </row>
    <row r="3045">
      <c r="A3045" s="3" t="n">
        <v>42922</v>
      </c>
      <c r="B3045">
        <f>Prices!B3045</f>
        <v/>
      </c>
      <c r="C3045">
        <f>Prices!C3045</f>
        <v/>
      </c>
      <c r="D3045">
        <f>Prices!D3045</f>
        <v/>
      </c>
      <c r="E3045">
        <f>Prices!E3045</f>
        <v/>
      </c>
      <c r="F3045">
        <f>Prices!F3045</f>
        <v/>
      </c>
      <c r="G3045">
        <f>IF(AND(3043&gt;=16,TEXT(A3045,"yyyy-mm")&lt;&gt;TEXT(A3046,"yyyy-mm")),1,0)</f>
        <v/>
      </c>
      <c r="H3045">
        <f>IF(OR(H3044=1,G3045=1),1,0)</f>
        <v/>
      </c>
      <c r="I3045">
        <f>IF(H3044=0,1,SUMPRODUCT(J3044:N3044,B3045:F3045)+O3044*(1+0.00023125256064071564))</f>
        <v/>
      </c>
      <c r="J3045">
        <f>IF(G3045=1,0.2*R3045/B3045,J3044)</f>
        <v/>
      </c>
      <c r="K3045">
        <f>IF(G3045=1,0.2*R3045/C3045,K3044)</f>
        <v/>
      </c>
      <c r="L3045">
        <f>IF(G3045=1,0.2*R3045/D3045,L3044)</f>
        <v/>
      </c>
      <c r="M3045">
        <f>IF(G3045=1,0.2*R3045/E3045,M3044)</f>
        <v/>
      </c>
      <c r="N3045">
        <f>IF(G3045=1,0.2*R3045/F3045,N3044)</f>
        <v/>
      </c>
      <c r="O3045">
        <f>IF(G3045=1,R3045*(1-1.0),IF(H3044=0,1,O3044*(1+0.00023125256064071564)))</f>
        <v/>
      </c>
      <c r="P3045">
        <f>IF(G3045=1,IF(H3044=0,1,ABS(0.2-J3044*B3045/I3045)+ABS(0.2-K3044*C3045/I3045)+ABS(0.2-L3044*D3045/I3045)+ABS(0.2-M3044*E3045/I3045)+ABS(0.2-N3044*F3045/I3045)),0)</f>
        <v/>
      </c>
      <c r="Q3045">
        <f>P3045*0.0015</f>
        <v/>
      </c>
      <c r="R3045">
        <f>I3045*(1-Q3045)</f>
        <v/>
      </c>
      <c r="S3045">
        <f>R3045/R3044-1</f>
        <v/>
      </c>
      <c r="T3045">
        <f>MAX(T3044,R3045)</f>
        <v/>
      </c>
      <c r="U3045">
        <f>R3045/T3045-1</f>
        <v/>
      </c>
      <c r="V3045" t="n">
        <v>8.325520662503735</v>
      </c>
      <c r="W3045" s="5">
        <f>R3045-V3045</f>
        <v/>
      </c>
    </row>
    <row r="3046">
      <c r="A3046" s="3" t="n">
        <v>42923</v>
      </c>
      <c r="B3046">
        <f>Prices!B3046</f>
        <v/>
      </c>
      <c r="C3046">
        <f>Prices!C3046</f>
        <v/>
      </c>
      <c r="D3046">
        <f>Prices!D3046</f>
        <v/>
      </c>
      <c r="E3046">
        <f>Prices!E3046</f>
        <v/>
      </c>
      <c r="F3046">
        <f>Prices!F3046</f>
        <v/>
      </c>
      <c r="G3046">
        <f>IF(AND(3044&gt;=16,TEXT(A3046,"yyyy-mm")&lt;&gt;TEXT(A3047,"yyyy-mm")),1,0)</f>
        <v/>
      </c>
      <c r="H3046">
        <f>IF(OR(H3045=1,G3046=1),1,0)</f>
        <v/>
      </c>
      <c r="I3046">
        <f>IF(H3045=0,1,SUMPRODUCT(J3045:N3045,B3046:F3046)+O3045*(1+0.00023125256064071564))</f>
        <v/>
      </c>
      <c r="J3046">
        <f>IF(G3046=1,0.2*R3046/B3046,J3045)</f>
        <v/>
      </c>
      <c r="K3046">
        <f>IF(G3046=1,0.2*R3046/C3046,K3045)</f>
        <v/>
      </c>
      <c r="L3046">
        <f>IF(G3046=1,0.2*R3046/D3046,L3045)</f>
        <v/>
      </c>
      <c r="M3046">
        <f>IF(G3046=1,0.2*R3046/E3046,M3045)</f>
        <v/>
      </c>
      <c r="N3046">
        <f>IF(G3046=1,0.2*R3046/F3046,N3045)</f>
        <v/>
      </c>
      <c r="O3046">
        <f>IF(G3046=1,R3046*(1-1.0),IF(H3045=0,1,O3045*(1+0.00023125256064071564)))</f>
        <v/>
      </c>
      <c r="P3046">
        <f>IF(G3046=1,IF(H3045=0,1,ABS(0.2-J3045*B3046/I3046)+ABS(0.2-K3045*C3046/I3046)+ABS(0.2-L3045*D3046/I3046)+ABS(0.2-M3045*E3046/I3046)+ABS(0.2-N3045*F3046/I3046)),0)</f>
        <v/>
      </c>
      <c r="Q3046">
        <f>P3046*0.0015</f>
        <v/>
      </c>
      <c r="R3046">
        <f>I3046*(1-Q3046)</f>
        <v/>
      </c>
      <c r="S3046">
        <f>R3046/R3045-1</f>
        <v/>
      </c>
      <c r="T3046">
        <f>MAX(T3045,R3046)</f>
        <v/>
      </c>
      <c r="U3046">
        <f>R3046/T3046-1</f>
        <v/>
      </c>
      <c r="V3046" t="n">
        <v>8.313677406911818</v>
      </c>
      <c r="W3046" s="5">
        <f>R3046-V3046</f>
        <v/>
      </c>
    </row>
    <row r="3047">
      <c r="A3047" s="3" t="n">
        <v>42926</v>
      </c>
      <c r="B3047">
        <f>Prices!B3047</f>
        <v/>
      </c>
      <c r="C3047">
        <f>Prices!C3047</f>
        <v/>
      </c>
      <c r="D3047">
        <f>Prices!D3047</f>
        <v/>
      </c>
      <c r="E3047">
        <f>Prices!E3047</f>
        <v/>
      </c>
      <c r="F3047">
        <f>Prices!F3047</f>
        <v/>
      </c>
      <c r="G3047">
        <f>IF(AND(3045&gt;=16,TEXT(A3047,"yyyy-mm")&lt;&gt;TEXT(A3048,"yyyy-mm")),1,0)</f>
        <v/>
      </c>
      <c r="H3047">
        <f>IF(OR(H3046=1,G3047=1),1,0)</f>
        <v/>
      </c>
      <c r="I3047">
        <f>IF(H3046=0,1,SUMPRODUCT(J3046:N3046,B3047:F3047)+O3046*(1+0.00023125256064071564))</f>
        <v/>
      </c>
      <c r="J3047">
        <f>IF(G3047=1,0.2*R3047/B3047,J3046)</f>
        <v/>
      </c>
      <c r="K3047">
        <f>IF(G3047=1,0.2*R3047/C3047,K3046)</f>
        <v/>
      </c>
      <c r="L3047">
        <f>IF(G3047=1,0.2*R3047/D3047,L3046)</f>
        <v/>
      </c>
      <c r="M3047">
        <f>IF(G3047=1,0.2*R3047/E3047,M3046)</f>
        <v/>
      </c>
      <c r="N3047">
        <f>IF(G3047=1,0.2*R3047/F3047,N3046)</f>
        <v/>
      </c>
      <c r="O3047">
        <f>IF(G3047=1,R3047*(1-1.0),IF(H3046=0,1,O3046*(1+0.00023125256064071564)))</f>
        <v/>
      </c>
      <c r="P3047">
        <f>IF(G3047=1,IF(H3046=0,1,ABS(0.2-J3046*B3047/I3047)+ABS(0.2-K3046*C3047/I3047)+ABS(0.2-L3046*D3047/I3047)+ABS(0.2-M3046*E3047/I3047)+ABS(0.2-N3046*F3047/I3047)),0)</f>
        <v/>
      </c>
      <c r="Q3047">
        <f>P3047*0.0015</f>
        <v/>
      </c>
      <c r="R3047">
        <f>I3047*(1-Q3047)</f>
        <v/>
      </c>
      <c r="S3047">
        <f>R3047/R3046-1</f>
        <v/>
      </c>
      <c r="T3047">
        <f>MAX(T3046,R3047)</f>
        <v/>
      </c>
      <c r="U3047">
        <f>R3047/T3047-1</f>
        <v/>
      </c>
      <c r="V3047" t="n">
        <v>8.391779699909298</v>
      </c>
      <c r="W3047" s="5">
        <f>R3047-V3047</f>
        <v/>
      </c>
    </row>
    <row r="3048">
      <c r="A3048" s="3" t="n">
        <v>42927</v>
      </c>
      <c r="B3048">
        <f>Prices!B3048</f>
        <v/>
      </c>
      <c r="C3048">
        <f>Prices!C3048</f>
        <v/>
      </c>
      <c r="D3048">
        <f>Prices!D3048</f>
        <v/>
      </c>
      <c r="E3048">
        <f>Prices!E3048</f>
        <v/>
      </c>
      <c r="F3048">
        <f>Prices!F3048</f>
        <v/>
      </c>
      <c r="G3048">
        <f>IF(AND(3046&gt;=16,TEXT(A3048,"yyyy-mm")&lt;&gt;TEXT(A3049,"yyyy-mm")),1,0)</f>
        <v/>
      </c>
      <c r="H3048">
        <f>IF(OR(H3047=1,G3048=1),1,0)</f>
        <v/>
      </c>
      <c r="I3048">
        <f>IF(H3047=0,1,SUMPRODUCT(J3047:N3047,B3048:F3048)+O3047*(1+0.00023125256064071564))</f>
        <v/>
      </c>
      <c r="J3048">
        <f>IF(G3048=1,0.2*R3048/B3048,J3047)</f>
        <v/>
      </c>
      <c r="K3048">
        <f>IF(G3048=1,0.2*R3048/C3048,K3047)</f>
        <v/>
      </c>
      <c r="L3048">
        <f>IF(G3048=1,0.2*R3048/D3048,L3047)</f>
        <v/>
      </c>
      <c r="M3048">
        <f>IF(G3048=1,0.2*R3048/E3048,M3047)</f>
        <v/>
      </c>
      <c r="N3048">
        <f>IF(G3048=1,0.2*R3048/F3048,N3047)</f>
        <v/>
      </c>
      <c r="O3048">
        <f>IF(G3048=1,R3048*(1-1.0),IF(H3047=0,1,O3047*(1+0.00023125256064071564)))</f>
        <v/>
      </c>
      <c r="P3048">
        <f>IF(G3048=1,IF(H3047=0,1,ABS(0.2-J3047*B3048/I3048)+ABS(0.2-K3047*C3048/I3048)+ABS(0.2-L3047*D3048/I3048)+ABS(0.2-M3047*E3048/I3048)+ABS(0.2-N3047*F3048/I3048)),0)</f>
        <v/>
      </c>
      <c r="Q3048">
        <f>P3048*0.0015</f>
        <v/>
      </c>
      <c r="R3048">
        <f>I3048*(1-Q3048)</f>
        <v/>
      </c>
      <c r="S3048">
        <f>R3048/R3047-1</f>
        <v/>
      </c>
      <c r="T3048">
        <f>MAX(T3047,R3048)</f>
        <v/>
      </c>
      <c r="U3048">
        <f>R3048/T3048-1</f>
        <v/>
      </c>
      <c r="V3048" t="n">
        <v>8.367577013040869</v>
      </c>
      <c r="W3048" s="5">
        <f>R3048-V3048</f>
        <v/>
      </c>
    </row>
    <row r="3049">
      <c r="A3049" s="3" t="n">
        <v>42928</v>
      </c>
      <c r="B3049">
        <f>Prices!B3049</f>
        <v/>
      </c>
      <c r="C3049">
        <f>Prices!C3049</f>
        <v/>
      </c>
      <c r="D3049">
        <f>Prices!D3049</f>
        <v/>
      </c>
      <c r="E3049">
        <f>Prices!E3049</f>
        <v/>
      </c>
      <c r="F3049">
        <f>Prices!F3049</f>
        <v/>
      </c>
      <c r="G3049">
        <f>IF(AND(3047&gt;=16,TEXT(A3049,"yyyy-mm")&lt;&gt;TEXT(A3050,"yyyy-mm")),1,0)</f>
        <v/>
      </c>
      <c r="H3049">
        <f>IF(OR(H3048=1,G3049=1),1,0)</f>
        <v/>
      </c>
      <c r="I3049">
        <f>IF(H3048=0,1,SUMPRODUCT(J3048:N3048,B3049:F3049)+O3048*(1+0.00023125256064071564))</f>
        <v/>
      </c>
      <c r="J3049">
        <f>IF(G3049=1,0.2*R3049/B3049,J3048)</f>
        <v/>
      </c>
      <c r="K3049">
        <f>IF(G3049=1,0.2*R3049/C3049,K3048)</f>
        <v/>
      </c>
      <c r="L3049">
        <f>IF(G3049=1,0.2*R3049/D3049,L3048)</f>
        <v/>
      </c>
      <c r="M3049">
        <f>IF(G3049=1,0.2*R3049/E3049,M3048)</f>
        <v/>
      </c>
      <c r="N3049">
        <f>IF(G3049=1,0.2*R3049/F3049,N3048)</f>
        <v/>
      </c>
      <c r="O3049">
        <f>IF(G3049=1,R3049*(1-1.0),IF(H3048=0,1,O3048*(1+0.00023125256064071564)))</f>
        <v/>
      </c>
      <c r="P3049">
        <f>IF(G3049=1,IF(H3048=0,1,ABS(0.2-J3048*B3049/I3049)+ABS(0.2-K3048*C3049/I3049)+ABS(0.2-L3048*D3049/I3049)+ABS(0.2-M3048*E3049/I3049)+ABS(0.2-N3048*F3049/I3049)),0)</f>
        <v/>
      </c>
      <c r="Q3049">
        <f>P3049*0.0015</f>
        <v/>
      </c>
      <c r="R3049">
        <f>I3049*(1-Q3049)</f>
        <v/>
      </c>
      <c r="S3049">
        <f>R3049/R3048-1</f>
        <v/>
      </c>
      <c r="T3049">
        <f>MAX(T3048,R3049)</f>
        <v/>
      </c>
      <c r="U3049">
        <f>R3049/T3049-1</f>
        <v/>
      </c>
      <c r="V3049" t="n">
        <v>8.443695606739078</v>
      </c>
      <c r="W3049" s="5">
        <f>R3049-V3049</f>
        <v/>
      </c>
    </row>
    <row r="3050">
      <c r="A3050" s="3" t="n">
        <v>42929</v>
      </c>
      <c r="B3050">
        <f>Prices!B3050</f>
        <v/>
      </c>
      <c r="C3050">
        <f>Prices!C3050</f>
        <v/>
      </c>
      <c r="D3050">
        <f>Prices!D3050</f>
        <v/>
      </c>
      <c r="E3050">
        <f>Prices!E3050</f>
        <v/>
      </c>
      <c r="F3050">
        <f>Prices!F3050</f>
        <v/>
      </c>
      <c r="G3050">
        <f>IF(AND(3048&gt;=16,TEXT(A3050,"yyyy-mm")&lt;&gt;TEXT(A3051,"yyyy-mm")),1,0)</f>
        <v/>
      </c>
      <c r="H3050">
        <f>IF(OR(H3049=1,G3050=1),1,0)</f>
        <v/>
      </c>
      <c r="I3050">
        <f>IF(H3049=0,1,SUMPRODUCT(J3049:N3049,B3050:F3050)+O3049*(1+0.00023125256064071564))</f>
        <v/>
      </c>
      <c r="J3050">
        <f>IF(G3050=1,0.2*R3050/B3050,J3049)</f>
        <v/>
      </c>
      <c r="K3050">
        <f>IF(G3050=1,0.2*R3050/C3050,K3049)</f>
        <v/>
      </c>
      <c r="L3050">
        <f>IF(G3050=1,0.2*R3050/D3050,L3049)</f>
        <v/>
      </c>
      <c r="M3050">
        <f>IF(G3050=1,0.2*R3050/E3050,M3049)</f>
        <v/>
      </c>
      <c r="N3050">
        <f>IF(G3050=1,0.2*R3050/F3050,N3049)</f>
        <v/>
      </c>
      <c r="O3050">
        <f>IF(G3050=1,R3050*(1-1.0),IF(H3049=0,1,O3049*(1+0.00023125256064071564)))</f>
        <v/>
      </c>
      <c r="P3050">
        <f>IF(G3050=1,IF(H3049=0,1,ABS(0.2-J3049*B3050/I3050)+ABS(0.2-K3049*C3050/I3050)+ABS(0.2-L3049*D3050/I3050)+ABS(0.2-M3049*E3050/I3050)+ABS(0.2-N3049*F3050/I3050)),0)</f>
        <v/>
      </c>
      <c r="Q3050">
        <f>P3050*0.0015</f>
        <v/>
      </c>
      <c r="R3050">
        <f>I3050*(1-Q3050)</f>
        <v/>
      </c>
      <c r="S3050">
        <f>R3050/R3049-1</f>
        <v/>
      </c>
      <c r="T3050">
        <f>MAX(T3049,R3050)</f>
        <v/>
      </c>
      <c r="U3050">
        <f>R3050/T3050-1</f>
        <v/>
      </c>
      <c r="V3050" t="n">
        <v>8.480908601649263</v>
      </c>
      <c r="W3050" s="5">
        <f>R3050-V3050</f>
        <v/>
      </c>
    </row>
    <row r="3051">
      <c r="A3051" s="3" t="n">
        <v>42930</v>
      </c>
      <c r="B3051">
        <f>Prices!B3051</f>
        <v/>
      </c>
      <c r="C3051">
        <f>Prices!C3051</f>
        <v/>
      </c>
      <c r="D3051">
        <f>Prices!D3051</f>
        <v/>
      </c>
      <c r="E3051">
        <f>Prices!E3051</f>
        <v/>
      </c>
      <c r="F3051">
        <f>Prices!F3051</f>
        <v/>
      </c>
      <c r="G3051">
        <f>IF(AND(3049&gt;=16,TEXT(A3051,"yyyy-mm")&lt;&gt;TEXT(A3052,"yyyy-mm")),1,0)</f>
        <v/>
      </c>
      <c r="H3051">
        <f>IF(OR(H3050=1,G3051=1),1,0)</f>
        <v/>
      </c>
      <c r="I3051">
        <f>IF(H3050=0,1,SUMPRODUCT(J3050:N3050,B3051:F3051)+O3050*(1+0.00023125256064071564))</f>
        <v/>
      </c>
      <c r="J3051">
        <f>IF(G3051=1,0.2*R3051/B3051,J3050)</f>
        <v/>
      </c>
      <c r="K3051">
        <f>IF(G3051=1,0.2*R3051/C3051,K3050)</f>
        <v/>
      </c>
      <c r="L3051">
        <f>IF(G3051=1,0.2*R3051/D3051,L3050)</f>
        <v/>
      </c>
      <c r="M3051">
        <f>IF(G3051=1,0.2*R3051/E3051,M3050)</f>
        <v/>
      </c>
      <c r="N3051">
        <f>IF(G3051=1,0.2*R3051/F3051,N3050)</f>
        <v/>
      </c>
      <c r="O3051">
        <f>IF(G3051=1,R3051*(1-1.0),IF(H3050=0,1,O3050*(1+0.00023125256064071564)))</f>
        <v/>
      </c>
      <c r="P3051">
        <f>IF(G3051=1,IF(H3050=0,1,ABS(0.2-J3050*B3051/I3051)+ABS(0.2-K3050*C3051/I3051)+ABS(0.2-L3050*D3051/I3051)+ABS(0.2-M3050*E3051/I3051)+ABS(0.2-N3050*F3051/I3051)),0)</f>
        <v/>
      </c>
      <c r="Q3051">
        <f>P3051*0.0015</f>
        <v/>
      </c>
      <c r="R3051">
        <f>I3051*(1-Q3051)</f>
        <v/>
      </c>
      <c r="S3051">
        <f>R3051/R3050-1</f>
        <v/>
      </c>
      <c r="T3051">
        <f>MAX(T3050,R3051)</f>
        <v/>
      </c>
      <c r="U3051">
        <f>R3051/T3051-1</f>
        <v/>
      </c>
      <c r="V3051" t="n">
        <v>8.488539957724919</v>
      </c>
      <c r="W3051" s="5">
        <f>R3051-V3051</f>
        <v/>
      </c>
    </row>
    <row r="3052">
      <c r="A3052" s="3" t="n">
        <v>42933</v>
      </c>
      <c r="B3052">
        <f>Prices!B3052</f>
        <v/>
      </c>
      <c r="C3052">
        <f>Prices!C3052</f>
        <v/>
      </c>
      <c r="D3052">
        <f>Prices!D3052</f>
        <v/>
      </c>
      <c r="E3052">
        <f>Prices!E3052</f>
        <v/>
      </c>
      <c r="F3052">
        <f>Prices!F3052</f>
        <v/>
      </c>
      <c r="G3052">
        <f>IF(AND(3050&gt;=16,TEXT(A3052,"yyyy-mm")&lt;&gt;TEXT(A3053,"yyyy-mm")),1,0)</f>
        <v/>
      </c>
      <c r="H3052">
        <f>IF(OR(H3051=1,G3052=1),1,0)</f>
        <v/>
      </c>
      <c r="I3052">
        <f>IF(H3051=0,1,SUMPRODUCT(J3051:N3051,B3052:F3052)+O3051*(1+0.00023125256064071564))</f>
        <v/>
      </c>
      <c r="J3052">
        <f>IF(G3052=1,0.2*R3052/B3052,J3051)</f>
        <v/>
      </c>
      <c r="K3052">
        <f>IF(G3052=1,0.2*R3052/C3052,K3051)</f>
        <v/>
      </c>
      <c r="L3052">
        <f>IF(G3052=1,0.2*R3052/D3052,L3051)</f>
        <v/>
      </c>
      <c r="M3052">
        <f>IF(G3052=1,0.2*R3052/E3052,M3051)</f>
        <v/>
      </c>
      <c r="N3052">
        <f>IF(G3052=1,0.2*R3052/F3052,N3051)</f>
        <v/>
      </c>
      <c r="O3052">
        <f>IF(G3052=1,R3052*(1-1.0),IF(H3051=0,1,O3051*(1+0.00023125256064071564)))</f>
        <v/>
      </c>
      <c r="P3052">
        <f>IF(G3052=1,IF(H3051=0,1,ABS(0.2-J3051*B3052/I3052)+ABS(0.2-K3051*C3052/I3052)+ABS(0.2-L3051*D3052/I3052)+ABS(0.2-M3051*E3052/I3052)+ABS(0.2-N3051*F3052/I3052)),0)</f>
        <v/>
      </c>
      <c r="Q3052">
        <f>P3052*0.0015</f>
        <v/>
      </c>
      <c r="R3052">
        <f>I3052*(1-Q3052)</f>
        <v/>
      </c>
      <c r="S3052">
        <f>R3052/R3051-1</f>
        <v/>
      </c>
      <c r="T3052">
        <f>MAX(T3051,R3052)</f>
        <v/>
      </c>
      <c r="U3052">
        <f>R3052/T3052-1</f>
        <v/>
      </c>
      <c r="V3052" t="n">
        <v>8.526335297637939</v>
      </c>
      <c r="W3052" s="5">
        <f>R3052-V3052</f>
        <v/>
      </c>
    </row>
    <row r="3053">
      <c r="A3053" s="3" t="n">
        <v>42934</v>
      </c>
      <c r="B3053">
        <f>Prices!B3053</f>
        <v/>
      </c>
      <c r="C3053">
        <f>Prices!C3053</f>
        <v/>
      </c>
      <c r="D3053">
        <f>Prices!D3053</f>
        <v/>
      </c>
      <c r="E3053">
        <f>Prices!E3053</f>
        <v/>
      </c>
      <c r="F3053">
        <f>Prices!F3053</f>
        <v/>
      </c>
      <c r="G3053">
        <f>IF(AND(3051&gt;=16,TEXT(A3053,"yyyy-mm")&lt;&gt;TEXT(A3054,"yyyy-mm")),1,0)</f>
        <v/>
      </c>
      <c r="H3053">
        <f>IF(OR(H3052=1,G3053=1),1,0)</f>
        <v/>
      </c>
      <c r="I3053">
        <f>IF(H3052=0,1,SUMPRODUCT(J3052:N3052,B3053:F3053)+O3052*(1+0.00023125256064071564))</f>
        <v/>
      </c>
      <c r="J3053">
        <f>IF(G3053=1,0.2*R3053/B3053,J3052)</f>
        <v/>
      </c>
      <c r="K3053">
        <f>IF(G3053=1,0.2*R3053/C3053,K3052)</f>
        <v/>
      </c>
      <c r="L3053">
        <f>IF(G3053=1,0.2*R3053/D3053,L3052)</f>
        <v/>
      </c>
      <c r="M3053">
        <f>IF(G3053=1,0.2*R3053/E3053,M3052)</f>
        <v/>
      </c>
      <c r="N3053">
        <f>IF(G3053=1,0.2*R3053/F3053,N3052)</f>
        <v/>
      </c>
      <c r="O3053">
        <f>IF(G3053=1,R3053*(1-1.0),IF(H3052=0,1,O3052*(1+0.00023125256064071564)))</f>
        <v/>
      </c>
      <c r="P3053">
        <f>IF(G3053=1,IF(H3052=0,1,ABS(0.2-J3052*B3053/I3053)+ABS(0.2-K3052*C3053/I3053)+ABS(0.2-L3052*D3053/I3053)+ABS(0.2-M3052*E3053/I3053)+ABS(0.2-N3052*F3053/I3053)),0)</f>
        <v/>
      </c>
      <c r="Q3053">
        <f>P3053*0.0015</f>
        <v/>
      </c>
      <c r="R3053">
        <f>I3053*(1-Q3053)</f>
        <v/>
      </c>
      <c r="S3053">
        <f>R3053/R3052-1</f>
        <v/>
      </c>
      <c r="T3053">
        <f>MAX(T3052,R3053)</f>
        <v/>
      </c>
      <c r="U3053">
        <f>R3053/T3053-1</f>
        <v/>
      </c>
      <c r="V3053" t="n">
        <v>8.493295862271754</v>
      </c>
      <c r="W3053" s="5">
        <f>R3053-V3053</f>
        <v/>
      </c>
    </row>
    <row r="3054">
      <c r="A3054" s="3" t="n">
        <v>42935</v>
      </c>
      <c r="B3054">
        <f>Prices!B3054</f>
        <v/>
      </c>
      <c r="C3054">
        <f>Prices!C3054</f>
        <v/>
      </c>
      <c r="D3054">
        <f>Prices!D3054</f>
        <v/>
      </c>
      <c r="E3054">
        <f>Prices!E3054</f>
        <v/>
      </c>
      <c r="F3054">
        <f>Prices!F3054</f>
        <v/>
      </c>
      <c r="G3054">
        <f>IF(AND(3052&gt;=16,TEXT(A3054,"yyyy-mm")&lt;&gt;TEXT(A3055,"yyyy-mm")),1,0)</f>
        <v/>
      </c>
      <c r="H3054">
        <f>IF(OR(H3053=1,G3054=1),1,0)</f>
        <v/>
      </c>
      <c r="I3054">
        <f>IF(H3053=0,1,SUMPRODUCT(J3053:N3053,B3054:F3054)+O3053*(1+0.00023125256064071564))</f>
        <v/>
      </c>
      <c r="J3054">
        <f>IF(G3054=1,0.2*R3054/B3054,J3053)</f>
        <v/>
      </c>
      <c r="K3054">
        <f>IF(G3054=1,0.2*R3054/C3054,K3053)</f>
        <v/>
      </c>
      <c r="L3054">
        <f>IF(G3054=1,0.2*R3054/D3054,L3053)</f>
        <v/>
      </c>
      <c r="M3054">
        <f>IF(G3054=1,0.2*R3054/E3054,M3053)</f>
        <v/>
      </c>
      <c r="N3054">
        <f>IF(G3054=1,0.2*R3054/F3054,N3053)</f>
        <v/>
      </c>
      <c r="O3054">
        <f>IF(G3054=1,R3054*(1-1.0),IF(H3053=0,1,O3053*(1+0.00023125256064071564)))</f>
        <v/>
      </c>
      <c r="P3054">
        <f>IF(G3054=1,IF(H3053=0,1,ABS(0.2-J3053*B3054/I3054)+ABS(0.2-K3053*C3054/I3054)+ABS(0.2-L3053*D3054/I3054)+ABS(0.2-M3053*E3054/I3054)+ABS(0.2-N3053*F3054/I3054)),0)</f>
        <v/>
      </c>
      <c r="Q3054">
        <f>P3054*0.0015</f>
        <v/>
      </c>
      <c r="R3054">
        <f>I3054*(1-Q3054)</f>
        <v/>
      </c>
      <c r="S3054">
        <f>R3054/R3053-1</f>
        <v/>
      </c>
      <c r="T3054">
        <f>MAX(T3053,R3054)</f>
        <v/>
      </c>
      <c r="U3054">
        <f>R3054/T3054-1</f>
        <v/>
      </c>
      <c r="V3054" t="n">
        <v>8.583228046265639</v>
      </c>
      <c r="W3054" s="5">
        <f>R3054-V3054</f>
        <v/>
      </c>
    </row>
    <row r="3055">
      <c r="A3055" s="3" t="n">
        <v>42936</v>
      </c>
      <c r="B3055">
        <f>Prices!B3055</f>
        <v/>
      </c>
      <c r="C3055">
        <f>Prices!C3055</f>
        <v/>
      </c>
      <c r="D3055">
        <f>Prices!D3055</f>
        <v/>
      </c>
      <c r="E3055">
        <f>Prices!E3055</f>
        <v/>
      </c>
      <c r="F3055">
        <f>Prices!F3055</f>
        <v/>
      </c>
      <c r="G3055">
        <f>IF(AND(3053&gt;=16,TEXT(A3055,"yyyy-mm")&lt;&gt;TEXT(A3056,"yyyy-mm")),1,0)</f>
        <v/>
      </c>
      <c r="H3055">
        <f>IF(OR(H3054=1,G3055=1),1,0)</f>
        <v/>
      </c>
      <c r="I3055">
        <f>IF(H3054=0,1,SUMPRODUCT(J3054:N3054,B3055:F3055)+O3054*(1+0.00023125256064071564))</f>
        <v/>
      </c>
      <c r="J3055">
        <f>IF(G3055=1,0.2*R3055/B3055,J3054)</f>
        <v/>
      </c>
      <c r="K3055">
        <f>IF(G3055=1,0.2*R3055/C3055,K3054)</f>
        <v/>
      </c>
      <c r="L3055">
        <f>IF(G3055=1,0.2*R3055/D3055,L3054)</f>
        <v/>
      </c>
      <c r="M3055">
        <f>IF(G3055=1,0.2*R3055/E3055,M3054)</f>
        <v/>
      </c>
      <c r="N3055">
        <f>IF(G3055=1,0.2*R3055/F3055,N3054)</f>
        <v/>
      </c>
      <c r="O3055">
        <f>IF(G3055=1,R3055*(1-1.0),IF(H3054=0,1,O3054*(1+0.00023125256064071564)))</f>
        <v/>
      </c>
      <c r="P3055">
        <f>IF(G3055=1,IF(H3054=0,1,ABS(0.2-J3054*B3055/I3055)+ABS(0.2-K3054*C3055/I3055)+ABS(0.2-L3054*D3055/I3055)+ABS(0.2-M3054*E3055/I3055)+ABS(0.2-N3054*F3055/I3055)),0)</f>
        <v/>
      </c>
      <c r="Q3055">
        <f>P3055*0.0015</f>
        <v/>
      </c>
      <c r="R3055">
        <f>I3055*(1-Q3055)</f>
        <v/>
      </c>
      <c r="S3055">
        <f>R3055/R3054-1</f>
        <v/>
      </c>
      <c r="T3055">
        <f>MAX(T3054,R3055)</f>
        <v/>
      </c>
      <c r="U3055">
        <f>R3055/T3055-1</f>
        <v/>
      </c>
      <c r="V3055" t="n">
        <v>8.560964622615984</v>
      </c>
      <c r="W3055" s="5">
        <f>R3055-V3055</f>
        <v/>
      </c>
    </row>
    <row r="3056">
      <c r="A3056" s="3" t="n">
        <v>42937</v>
      </c>
      <c r="B3056">
        <f>Prices!B3056</f>
        <v/>
      </c>
      <c r="C3056">
        <f>Prices!C3056</f>
        <v/>
      </c>
      <c r="D3056">
        <f>Prices!D3056</f>
        <v/>
      </c>
      <c r="E3056">
        <f>Prices!E3056</f>
        <v/>
      </c>
      <c r="F3056">
        <f>Prices!F3056</f>
        <v/>
      </c>
      <c r="G3056">
        <f>IF(AND(3054&gt;=16,TEXT(A3056,"yyyy-mm")&lt;&gt;TEXT(A3057,"yyyy-mm")),1,0)</f>
        <v/>
      </c>
      <c r="H3056">
        <f>IF(OR(H3055=1,G3056=1),1,0)</f>
        <v/>
      </c>
      <c r="I3056">
        <f>IF(H3055=0,1,SUMPRODUCT(J3055:N3055,B3056:F3056)+O3055*(1+0.00023125256064071564))</f>
        <v/>
      </c>
      <c r="J3056">
        <f>IF(G3056=1,0.2*R3056/B3056,J3055)</f>
        <v/>
      </c>
      <c r="K3056">
        <f>IF(G3056=1,0.2*R3056/C3056,K3055)</f>
        <v/>
      </c>
      <c r="L3056">
        <f>IF(G3056=1,0.2*R3056/D3056,L3055)</f>
        <v/>
      </c>
      <c r="M3056">
        <f>IF(G3056=1,0.2*R3056/E3056,M3055)</f>
        <v/>
      </c>
      <c r="N3056">
        <f>IF(G3056=1,0.2*R3056/F3056,N3055)</f>
        <v/>
      </c>
      <c r="O3056">
        <f>IF(G3056=1,R3056*(1-1.0),IF(H3055=0,1,O3055*(1+0.00023125256064071564)))</f>
        <v/>
      </c>
      <c r="P3056">
        <f>IF(G3056=1,IF(H3055=0,1,ABS(0.2-J3055*B3056/I3056)+ABS(0.2-K3055*C3056/I3056)+ABS(0.2-L3055*D3056/I3056)+ABS(0.2-M3055*E3056/I3056)+ABS(0.2-N3055*F3056/I3056)),0)</f>
        <v/>
      </c>
      <c r="Q3056">
        <f>P3056*0.0015</f>
        <v/>
      </c>
      <c r="R3056">
        <f>I3056*(1-Q3056)</f>
        <v/>
      </c>
      <c r="S3056">
        <f>R3056/R3055-1</f>
        <v/>
      </c>
      <c r="T3056">
        <f>MAX(T3055,R3056)</f>
        <v/>
      </c>
      <c r="U3056">
        <f>R3056/T3056-1</f>
        <v/>
      </c>
      <c r="V3056" t="n">
        <v>8.58373997467034</v>
      </c>
      <c r="W3056" s="5">
        <f>R3056-V3056</f>
        <v/>
      </c>
    </row>
    <row r="3057">
      <c r="A3057" s="3" t="n">
        <v>42940</v>
      </c>
      <c r="B3057">
        <f>Prices!B3057</f>
        <v/>
      </c>
      <c r="C3057">
        <f>Prices!C3057</f>
        <v/>
      </c>
      <c r="D3057">
        <f>Prices!D3057</f>
        <v/>
      </c>
      <c r="E3057">
        <f>Prices!E3057</f>
        <v/>
      </c>
      <c r="F3057">
        <f>Prices!F3057</f>
        <v/>
      </c>
      <c r="G3057">
        <f>IF(AND(3055&gt;=16,TEXT(A3057,"yyyy-mm")&lt;&gt;TEXT(A3058,"yyyy-mm")),1,0)</f>
        <v/>
      </c>
      <c r="H3057">
        <f>IF(OR(H3056=1,G3057=1),1,0)</f>
        <v/>
      </c>
      <c r="I3057">
        <f>IF(H3056=0,1,SUMPRODUCT(J3056:N3056,B3057:F3057)+O3056*(1+0.00023125256064071564))</f>
        <v/>
      </c>
      <c r="J3057">
        <f>IF(G3057=1,0.2*R3057/B3057,J3056)</f>
        <v/>
      </c>
      <c r="K3057">
        <f>IF(G3057=1,0.2*R3057/C3057,K3056)</f>
        <v/>
      </c>
      <c r="L3057">
        <f>IF(G3057=1,0.2*R3057/D3057,L3056)</f>
        <v/>
      </c>
      <c r="M3057">
        <f>IF(G3057=1,0.2*R3057/E3057,M3056)</f>
        <v/>
      </c>
      <c r="N3057">
        <f>IF(G3057=1,0.2*R3057/F3057,N3056)</f>
        <v/>
      </c>
      <c r="O3057">
        <f>IF(G3057=1,R3057*(1-1.0),IF(H3056=0,1,O3056*(1+0.00023125256064071564)))</f>
        <v/>
      </c>
      <c r="P3057">
        <f>IF(G3057=1,IF(H3056=0,1,ABS(0.2-J3056*B3057/I3057)+ABS(0.2-K3056*C3057/I3057)+ABS(0.2-L3056*D3057/I3057)+ABS(0.2-M3056*E3057/I3057)+ABS(0.2-N3056*F3057/I3057)),0)</f>
        <v/>
      </c>
      <c r="Q3057">
        <f>P3057*0.0015</f>
        <v/>
      </c>
      <c r="R3057">
        <f>I3057*(1-Q3057)</f>
        <v/>
      </c>
      <c r="S3057">
        <f>R3057/R3056-1</f>
        <v/>
      </c>
      <c r="T3057">
        <f>MAX(T3056,R3057)</f>
        <v/>
      </c>
      <c r="U3057">
        <f>R3057/T3057-1</f>
        <v/>
      </c>
      <c r="V3057" t="n">
        <v>8.593581613538181</v>
      </c>
      <c r="W3057" s="5">
        <f>R3057-V3057</f>
        <v/>
      </c>
    </row>
    <row r="3058">
      <c r="A3058" s="3" t="n">
        <v>42941</v>
      </c>
      <c r="B3058">
        <f>Prices!B3058</f>
        <v/>
      </c>
      <c r="C3058">
        <f>Prices!C3058</f>
        <v/>
      </c>
      <c r="D3058">
        <f>Prices!D3058</f>
        <v/>
      </c>
      <c r="E3058">
        <f>Prices!E3058</f>
        <v/>
      </c>
      <c r="F3058">
        <f>Prices!F3058</f>
        <v/>
      </c>
      <c r="G3058">
        <f>IF(AND(3056&gt;=16,TEXT(A3058,"yyyy-mm")&lt;&gt;TEXT(A3059,"yyyy-mm")),1,0)</f>
        <v/>
      </c>
      <c r="H3058">
        <f>IF(OR(H3057=1,G3058=1),1,0)</f>
        <v/>
      </c>
      <c r="I3058">
        <f>IF(H3057=0,1,SUMPRODUCT(J3057:N3057,B3058:F3058)+O3057*(1+0.00023125256064071564))</f>
        <v/>
      </c>
      <c r="J3058">
        <f>IF(G3058=1,0.2*R3058/B3058,J3057)</f>
        <v/>
      </c>
      <c r="K3058">
        <f>IF(G3058=1,0.2*R3058/C3058,K3057)</f>
        <v/>
      </c>
      <c r="L3058">
        <f>IF(G3058=1,0.2*R3058/D3058,L3057)</f>
        <v/>
      </c>
      <c r="M3058">
        <f>IF(G3058=1,0.2*R3058/E3058,M3057)</f>
        <v/>
      </c>
      <c r="N3058">
        <f>IF(G3058=1,0.2*R3058/F3058,N3057)</f>
        <v/>
      </c>
      <c r="O3058">
        <f>IF(G3058=1,R3058*(1-1.0),IF(H3057=0,1,O3057*(1+0.00023125256064071564)))</f>
        <v/>
      </c>
      <c r="P3058">
        <f>IF(G3058=1,IF(H3057=0,1,ABS(0.2-J3057*B3058/I3058)+ABS(0.2-K3057*C3058/I3058)+ABS(0.2-L3057*D3058/I3058)+ABS(0.2-M3057*E3058/I3058)+ABS(0.2-N3057*F3058/I3058)),0)</f>
        <v/>
      </c>
      <c r="Q3058">
        <f>P3058*0.0015</f>
        <v/>
      </c>
      <c r="R3058">
        <f>I3058*(1-Q3058)</f>
        <v/>
      </c>
      <c r="S3058">
        <f>R3058/R3057-1</f>
        <v/>
      </c>
      <c r="T3058">
        <f>MAX(T3057,R3058)</f>
        <v/>
      </c>
      <c r="U3058">
        <f>R3058/T3058-1</f>
        <v/>
      </c>
      <c r="V3058" t="n">
        <v>8.616183416106916</v>
      </c>
      <c r="W3058" s="5">
        <f>R3058-V3058</f>
        <v/>
      </c>
    </row>
    <row r="3059">
      <c r="A3059" s="3" t="n">
        <v>42942</v>
      </c>
      <c r="B3059">
        <f>Prices!B3059</f>
        <v/>
      </c>
      <c r="C3059">
        <f>Prices!C3059</f>
        <v/>
      </c>
      <c r="D3059">
        <f>Prices!D3059</f>
        <v/>
      </c>
      <c r="E3059">
        <f>Prices!E3059</f>
        <v/>
      </c>
      <c r="F3059">
        <f>Prices!F3059</f>
        <v/>
      </c>
      <c r="G3059">
        <f>IF(AND(3057&gt;=16,TEXT(A3059,"yyyy-mm")&lt;&gt;TEXT(A3060,"yyyy-mm")),1,0)</f>
        <v/>
      </c>
      <c r="H3059">
        <f>IF(OR(H3058=1,G3059=1),1,0)</f>
        <v/>
      </c>
      <c r="I3059">
        <f>IF(H3058=0,1,SUMPRODUCT(J3058:N3058,B3059:F3059)+O3058*(1+0.00023125256064071564))</f>
        <v/>
      </c>
      <c r="J3059">
        <f>IF(G3059=1,0.2*R3059/B3059,J3058)</f>
        <v/>
      </c>
      <c r="K3059">
        <f>IF(G3059=1,0.2*R3059/C3059,K3058)</f>
        <v/>
      </c>
      <c r="L3059">
        <f>IF(G3059=1,0.2*R3059/D3059,L3058)</f>
        <v/>
      </c>
      <c r="M3059">
        <f>IF(G3059=1,0.2*R3059/E3059,M3058)</f>
        <v/>
      </c>
      <c r="N3059">
        <f>IF(G3059=1,0.2*R3059/F3059,N3058)</f>
        <v/>
      </c>
      <c r="O3059">
        <f>IF(G3059=1,R3059*(1-1.0),IF(H3058=0,1,O3058*(1+0.00023125256064071564)))</f>
        <v/>
      </c>
      <c r="P3059">
        <f>IF(G3059=1,IF(H3058=0,1,ABS(0.2-J3058*B3059/I3059)+ABS(0.2-K3058*C3059/I3059)+ABS(0.2-L3058*D3059/I3059)+ABS(0.2-M3058*E3059/I3059)+ABS(0.2-N3058*F3059/I3059)),0)</f>
        <v/>
      </c>
      <c r="Q3059">
        <f>P3059*0.0015</f>
        <v/>
      </c>
      <c r="R3059">
        <f>I3059*(1-Q3059)</f>
        <v/>
      </c>
      <c r="S3059">
        <f>R3059/R3058-1</f>
        <v/>
      </c>
      <c r="T3059">
        <f>MAX(T3058,R3059)</f>
        <v/>
      </c>
      <c r="U3059">
        <f>R3059/T3059-1</f>
        <v/>
      </c>
      <c r="V3059" t="n">
        <v>8.642491741266275</v>
      </c>
      <c r="W3059" s="5">
        <f>R3059-V3059</f>
        <v/>
      </c>
    </row>
    <row r="3060">
      <c r="A3060" s="3" t="n">
        <v>42943</v>
      </c>
      <c r="B3060">
        <f>Prices!B3060</f>
        <v/>
      </c>
      <c r="C3060">
        <f>Prices!C3060</f>
        <v/>
      </c>
      <c r="D3060">
        <f>Prices!D3060</f>
        <v/>
      </c>
      <c r="E3060">
        <f>Prices!E3060</f>
        <v/>
      </c>
      <c r="F3060">
        <f>Prices!F3060</f>
        <v/>
      </c>
      <c r="G3060">
        <f>IF(AND(3058&gt;=16,TEXT(A3060,"yyyy-mm")&lt;&gt;TEXT(A3061,"yyyy-mm")),1,0)</f>
        <v/>
      </c>
      <c r="H3060">
        <f>IF(OR(H3059=1,G3060=1),1,0)</f>
        <v/>
      </c>
      <c r="I3060">
        <f>IF(H3059=0,1,SUMPRODUCT(J3059:N3059,B3060:F3060)+O3059*(1+0.00023125256064071564))</f>
        <v/>
      </c>
      <c r="J3060">
        <f>IF(G3060=1,0.2*R3060/B3060,J3059)</f>
        <v/>
      </c>
      <c r="K3060">
        <f>IF(G3060=1,0.2*R3060/C3060,K3059)</f>
        <v/>
      </c>
      <c r="L3060">
        <f>IF(G3060=1,0.2*R3060/D3060,L3059)</f>
        <v/>
      </c>
      <c r="M3060">
        <f>IF(G3060=1,0.2*R3060/E3060,M3059)</f>
        <v/>
      </c>
      <c r="N3060">
        <f>IF(G3060=1,0.2*R3060/F3060,N3059)</f>
        <v/>
      </c>
      <c r="O3060">
        <f>IF(G3060=1,R3060*(1-1.0),IF(H3059=0,1,O3059*(1+0.00023125256064071564)))</f>
        <v/>
      </c>
      <c r="P3060">
        <f>IF(G3060=1,IF(H3059=0,1,ABS(0.2-J3059*B3060/I3060)+ABS(0.2-K3059*C3060/I3060)+ABS(0.2-L3059*D3060/I3060)+ABS(0.2-M3059*E3060/I3060)+ABS(0.2-N3059*F3060/I3060)),0)</f>
        <v/>
      </c>
      <c r="Q3060">
        <f>P3060*0.0015</f>
        <v/>
      </c>
      <c r="R3060">
        <f>I3060*(1-Q3060)</f>
        <v/>
      </c>
      <c r="S3060">
        <f>R3060/R3059-1</f>
        <v/>
      </c>
      <c r="T3060">
        <f>MAX(T3059,R3060)</f>
        <v/>
      </c>
      <c r="U3060">
        <f>R3060/T3060-1</f>
        <v/>
      </c>
      <c r="V3060" t="n">
        <v>8.597085761807433</v>
      </c>
      <c r="W3060" s="5">
        <f>R3060-V3060</f>
        <v/>
      </c>
    </row>
    <row r="3061">
      <c r="A3061" s="3" t="n">
        <v>42944</v>
      </c>
      <c r="B3061">
        <f>Prices!B3061</f>
        <v/>
      </c>
      <c r="C3061">
        <f>Prices!C3061</f>
        <v/>
      </c>
      <c r="D3061">
        <f>Prices!D3061</f>
        <v/>
      </c>
      <c r="E3061">
        <f>Prices!E3061</f>
        <v/>
      </c>
      <c r="F3061">
        <f>Prices!F3061</f>
        <v/>
      </c>
      <c r="G3061">
        <f>IF(AND(3059&gt;=16,TEXT(A3061,"yyyy-mm")&lt;&gt;TEXT(A3062,"yyyy-mm")),1,0)</f>
        <v/>
      </c>
      <c r="H3061">
        <f>IF(OR(H3060=1,G3061=1),1,0)</f>
        <v/>
      </c>
      <c r="I3061">
        <f>IF(H3060=0,1,SUMPRODUCT(J3060:N3060,B3061:F3061)+O3060*(1+0.00023125256064071564))</f>
        <v/>
      </c>
      <c r="J3061">
        <f>IF(G3061=1,0.2*R3061/B3061,J3060)</f>
        <v/>
      </c>
      <c r="K3061">
        <f>IF(G3061=1,0.2*R3061/C3061,K3060)</f>
        <v/>
      </c>
      <c r="L3061">
        <f>IF(G3061=1,0.2*R3061/D3061,L3060)</f>
        <v/>
      </c>
      <c r="M3061">
        <f>IF(G3061=1,0.2*R3061/E3061,M3060)</f>
        <v/>
      </c>
      <c r="N3061">
        <f>IF(G3061=1,0.2*R3061/F3061,N3060)</f>
        <v/>
      </c>
      <c r="O3061">
        <f>IF(G3061=1,R3061*(1-1.0),IF(H3060=0,1,O3060*(1+0.00023125256064071564)))</f>
        <v/>
      </c>
      <c r="P3061">
        <f>IF(G3061=1,IF(H3060=0,1,ABS(0.2-J3060*B3061/I3061)+ABS(0.2-K3060*C3061/I3061)+ABS(0.2-L3060*D3061/I3061)+ABS(0.2-M3060*E3061/I3061)+ABS(0.2-N3060*F3061/I3061)),0)</f>
        <v/>
      </c>
      <c r="Q3061">
        <f>P3061*0.0015</f>
        <v/>
      </c>
      <c r="R3061">
        <f>I3061*(1-Q3061)</f>
        <v/>
      </c>
      <c r="S3061">
        <f>R3061/R3060-1</f>
        <v/>
      </c>
      <c r="T3061">
        <f>MAX(T3060,R3061)</f>
        <v/>
      </c>
      <c r="U3061">
        <f>R3061/T3061-1</f>
        <v/>
      </c>
      <c r="V3061" t="n">
        <v>8.613704915087256</v>
      </c>
      <c r="W3061" s="5">
        <f>R3061-V3061</f>
        <v/>
      </c>
    </row>
    <row r="3062">
      <c r="A3062" s="3" t="n">
        <v>42947</v>
      </c>
      <c r="B3062">
        <f>Prices!B3062</f>
        <v/>
      </c>
      <c r="C3062">
        <f>Prices!C3062</f>
        <v/>
      </c>
      <c r="D3062">
        <f>Prices!D3062</f>
        <v/>
      </c>
      <c r="E3062">
        <f>Prices!E3062</f>
        <v/>
      </c>
      <c r="F3062">
        <f>Prices!F3062</f>
        <v/>
      </c>
      <c r="G3062">
        <f>IF(AND(3060&gt;=16,TEXT(A3062,"yyyy-mm")&lt;&gt;TEXT(A3063,"yyyy-mm")),1,0)</f>
        <v/>
      </c>
      <c r="H3062">
        <f>IF(OR(H3061=1,G3062=1),1,0)</f>
        <v/>
      </c>
      <c r="I3062">
        <f>IF(H3061=0,1,SUMPRODUCT(J3061:N3061,B3062:F3062)+O3061*(1+0.00023125256064071564))</f>
        <v/>
      </c>
      <c r="J3062">
        <f>IF(G3062=1,0.2*R3062/B3062,J3061)</f>
        <v/>
      </c>
      <c r="K3062">
        <f>IF(G3062=1,0.2*R3062/C3062,K3061)</f>
        <v/>
      </c>
      <c r="L3062">
        <f>IF(G3062=1,0.2*R3062/D3062,L3061)</f>
        <v/>
      </c>
      <c r="M3062">
        <f>IF(G3062=1,0.2*R3062/E3062,M3061)</f>
        <v/>
      </c>
      <c r="N3062">
        <f>IF(G3062=1,0.2*R3062/F3062,N3061)</f>
        <v/>
      </c>
      <c r="O3062">
        <f>IF(G3062=1,R3062*(1-1.0),IF(H3061=0,1,O3061*(1+0.00023125256064071564)))</f>
        <v/>
      </c>
      <c r="P3062">
        <f>IF(G3062=1,IF(H3061=0,1,ABS(0.2-J3061*B3062/I3062)+ABS(0.2-K3061*C3062/I3062)+ABS(0.2-L3061*D3062/I3062)+ABS(0.2-M3061*E3062/I3062)+ABS(0.2-N3061*F3062/I3062)),0)</f>
        <v/>
      </c>
      <c r="Q3062">
        <f>P3062*0.0015</f>
        <v/>
      </c>
      <c r="R3062">
        <f>I3062*(1-Q3062)</f>
        <v/>
      </c>
      <c r="S3062">
        <f>R3062/R3061-1</f>
        <v/>
      </c>
      <c r="T3062">
        <f>MAX(T3061,R3062)</f>
        <v/>
      </c>
      <c r="U3062">
        <f>R3062/T3062-1</f>
        <v/>
      </c>
      <c r="V3062" t="n">
        <v>8.649681534309472</v>
      </c>
      <c r="W3062" s="5">
        <f>R3062-V3062</f>
        <v/>
      </c>
    </row>
    <row r="3063">
      <c r="A3063" s="3" t="n">
        <v>42948</v>
      </c>
      <c r="B3063">
        <f>Prices!B3063</f>
        <v/>
      </c>
      <c r="C3063">
        <f>Prices!C3063</f>
        <v/>
      </c>
      <c r="D3063">
        <f>Prices!D3063</f>
        <v/>
      </c>
      <c r="E3063">
        <f>Prices!E3063</f>
        <v/>
      </c>
      <c r="F3063">
        <f>Prices!F3063</f>
        <v/>
      </c>
      <c r="G3063">
        <f>IF(AND(3061&gt;=16,TEXT(A3063,"yyyy-mm")&lt;&gt;TEXT(A3064,"yyyy-mm")),1,0)</f>
        <v/>
      </c>
      <c r="H3063">
        <f>IF(OR(H3062=1,G3063=1),1,0)</f>
        <v/>
      </c>
      <c r="I3063">
        <f>IF(H3062=0,1,SUMPRODUCT(J3062:N3062,B3063:F3063)+O3062*(1+0.00023125256064071564))</f>
        <v/>
      </c>
      <c r="J3063">
        <f>IF(G3063=1,0.2*R3063/B3063,J3062)</f>
        <v/>
      </c>
      <c r="K3063">
        <f>IF(G3063=1,0.2*R3063/C3063,K3062)</f>
        <v/>
      </c>
      <c r="L3063">
        <f>IF(G3063=1,0.2*R3063/D3063,L3062)</f>
        <v/>
      </c>
      <c r="M3063">
        <f>IF(G3063=1,0.2*R3063/E3063,M3062)</f>
        <v/>
      </c>
      <c r="N3063">
        <f>IF(G3063=1,0.2*R3063/F3063,N3062)</f>
        <v/>
      </c>
      <c r="O3063">
        <f>IF(G3063=1,R3063*(1-1.0),IF(H3062=0,1,O3062*(1+0.00023125256064071564)))</f>
        <v/>
      </c>
      <c r="P3063">
        <f>IF(G3063=1,IF(H3062=0,1,ABS(0.2-J3062*B3063/I3063)+ABS(0.2-K3062*C3063/I3063)+ABS(0.2-L3062*D3063/I3063)+ABS(0.2-M3062*E3063/I3063)+ABS(0.2-N3062*F3063/I3063)),0)</f>
        <v/>
      </c>
      <c r="Q3063">
        <f>P3063*0.0015</f>
        <v/>
      </c>
      <c r="R3063">
        <f>I3063*(1-Q3063)</f>
        <v/>
      </c>
      <c r="S3063">
        <f>R3063/R3062-1</f>
        <v/>
      </c>
      <c r="T3063">
        <f>MAX(T3062,R3063)</f>
        <v/>
      </c>
      <c r="U3063">
        <f>R3063/T3063-1</f>
        <v/>
      </c>
      <c r="V3063" t="n">
        <v>8.672253126920163</v>
      </c>
      <c r="W3063" s="5">
        <f>R3063-V3063</f>
        <v/>
      </c>
    </row>
    <row r="3064">
      <c r="A3064" s="3" t="n">
        <v>42949</v>
      </c>
      <c r="B3064">
        <f>Prices!B3064</f>
        <v/>
      </c>
      <c r="C3064">
        <f>Prices!C3064</f>
        <v/>
      </c>
      <c r="D3064">
        <f>Prices!D3064</f>
        <v/>
      </c>
      <c r="E3064">
        <f>Prices!E3064</f>
        <v/>
      </c>
      <c r="F3064">
        <f>Prices!F3064</f>
        <v/>
      </c>
      <c r="G3064">
        <f>IF(AND(3062&gt;=16,TEXT(A3064,"yyyy-mm")&lt;&gt;TEXT(A3065,"yyyy-mm")),1,0)</f>
        <v/>
      </c>
      <c r="H3064">
        <f>IF(OR(H3063=1,G3064=1),1,0)</f>
        <v/>
      </c>
      <c r="I3064">
        <f>IF(H3063=0,1,SUMPRODUCT(J3063:N3063,B3064:F3064)+O3063*(1+0.00023125256064071564))</f>
        <v/>
      </c>
      <c r="J3064">
        <f>IF(G3064=1,0.2*R3064/B3064,J3063)</f>
        <v/>
      </c>
      <c r="K3064">
        <f>IF(G3064=1,0.2*R3064/C3064,K3063)</f>
        <v/>
      </c>
      <c r="L3064">
        <f>IF(G3064=1,0.2*R3064/D3064,L3063)</f>
        <v/>
      </c>
      <c r="M3064">
        <f>IF(G3064=1,0.2*R3064/E3064,M3063)</f>
        <v/>
      </c>
      <c r="N3064">
        <f>IF(G3064=1,0.2*R3064/F3064,N3063)</f>
        <v/>
      </c>
      <c r="O3064">
        <f>IF(G3064=1,R3064*(1-1.0),IF(H3063=0,1,O3063*(1+0.00023125256064071564)))</f>
        <v/>
      </c>
      <c r="P3064">
        <f>IF(G3064=1,IF(H3063=0,1,ABS(0.2-J3063*B3064/I3064)+ABS(0.2-K3063*C3064/I3064)+ABS(0.2-L3063*D3064/I3064)+ABS(0.2-M3063*E3064/I3064)+ABS(0.2-N3063*F3064/I3064)),0)</f>
        <v/>
      </c>
      <c r="Q3064">
        <f>P3064*0.0015</f>
        <v/>
      </c>
      <c r="R3064">
        <f>I3064*(1-Q3064)</f>
        <v/>
      </c>
      <c r="S3064">
        <f>R3064/R3063-1</f>
        <v/>
      </c>
      <c r="T3064">
        <f>MAX(T3063,R3064)</f>
        <v/>
      </c>
      <c r="U3064">
        <f>R3064/T3064-1</f>
        <v/>
      </c>
      <c r="V3064" t="n">
        <v>8.668502149105246</v>
      </c>
      <c r="W3064" s="5">
        <f>R3064-V3064</f>
        <v/>
      </c>
    </row>
    <row r="3065">
      <c r="A3065" s="3" t="n">
        <v>42950</v>
      </c>
      <c r="B3065">
        <f>Prices!B3065</f>
        <v/>
      </c>
      <c r="C3065">
        <f>Prices!C3065</f>
        <v/>
      </c>
      <c r="D3065">
        <f>Prices!D3065</f>
        <v/>
      </c>
      <c r="E3065">
        <f>Prices!E3065</f>
        <v/>
      </c>
      <c r="F3065">
        <f>Prices!F3065</f>
        <v/>
      </c>
      <c r="G3065">
        <f>IF(AND(3063&gt;=16,TEXT(A3065,"yyyy-mm")&lt;&gt;TEXT(A3066,"yyyy-mm")),1,0)</f>
        <v/>
      </c>
      <c r="H3065">
        <f>IF(OR(H3064=1,G3065=1),1,0)</f>
        <v/>
      </c>
      <c r="I3065">
        <f>IF(H3064=0,1,SUMPRODUCT(J3064:N3064,B3065:F3065)+O3064*(1+0.00023125256064071564))</f>
        <v/>
      </c>
      <c r="J3065">
        <f>IF(G3065=1,0.2*R3065/B3065,J3064)</f>
        <v/>
      </c>
      <c r="K3065">
        <f>IF(G3065=1,0.2*R3065/C3065,K3064)</f>
        <v/>
      </c>
      <c r="L3065">
        <f>IF(G3065=1,0.2*R3065/D3065,L3064)</f>
        <v/>
      </c>
      <c r="M3065">
        <f>IF(G3065=1,0.2*R3065/E3065,M3064)</f>
        <v/>
      </c>
      <c r="N3065">
        <f>IF(G3065=1,0.2*R3065/F3065,N3064)</f>
        <v/>
      </c>
      <c r="O3065">
        <f>IF(G3065=1,R3065*(1-1.0),IF(H3064=0,1,O3064*(1+0.00023125256064071564)))</f>
        <v/>
      </c>
      <c r="P3065">
        <f>IF(G3065=1,IF(H3064=0,1,ABS(0.2-J3064*B3065/I3065)+ABS(0.2-K3064*C3065/I3065)+ABS(0.2-L3064*D3065/I3065)+ABS(0.2-M3064*E3065/I3065)+ABS(0.2-N3064*F3065/I3065)),0)</f>
        <v/>
      </c>
      <c r="Q3065">
        <f>P3065*0.0015</f>
        <v/>
      </c>
      <c r="R3065">
        <f>I3065*(1-Q3065)</f>
        <v/>
      </c>
      <c r="S3065">
        <f>R3065/R3064-1</f>
        <v/>
      </c>
      <c r="T3065">
        <f>MAX(T3064,R3065)</f>
        <v/>
      </c>
      <c r="U3065">
        <f>R3065/T3065-1</f>
        <v/>
      </c>
      <c r="V3065" t="n">
        <v>8.632428196724044</v>
      </c>
      <c r="W3065" s="5">
        <f>R3065-V3065</f>
        <v/>
      </c>
    </row>
    <row r="3066">
      <c r="A3066" s="3" t="n">
        <v>42951</v>
      </c>
      <c r="B3066">
        <f>Prices!B3066</f>
        <v/>
      </c>
      <c r="C3066">
        <f>Prices!C3066</f>
        <v/>
      </c>
      <c r="D3066">
        <f>Prices!D3066</f>
        <v/>
      </c>
      <c r="E3066">
        <f>Prices!E3066</f>
        <v/>
      </c>
      <c r="F3066">
        <f>Prices!F3066</f>
        <v/>
      </c>
      <c r="G3066">
        <f>IF(AND(3064&gt;=16,TEXT(A3066,"yyyy-mm")&lt;&gt;TEXT(A3067,"yyyy-mm")),1,0)</f>
        <v/>
      </c>
      <c r="H3066">
        <f>IF(OR(H3065=1,G3066=1),1,0)</f>
        <v/>
      </c>
      <c r="I3066">
        <f>IF(H3065=0,1,SUMPRODUCT(J3065:N3065,B3066:F3066)+O3065*(1+0.00023125256064071564))</f>
        <v/>
      </c>
      <c r="J3066">
        <f>IF(G3066=1,0.2*R3066/B3066,J3065)</f>
        <v/>
      </c>
      <c r="K3066">
        <f>IF(G3066=1,0.2*R3066/C3066,K3065)</f>
        <v/>
      </c>
      <c r="L3066">
        <f>IF(G3066=1,0.2*R3066/D3066,L3065)</f>
        <v/>
      </c>
      <c r="M3066">
        <f>IF(G3066=1,0.2*R3066/E3066,M3065)</f>
        <v/>
      </c>
      <c r="N3066">
        <f>IF(G3066=1,0.2*R3066/F3066,N3065)</f>
        <v/>
      </c>
      <c r="O3066">
        <f>IF(G3066=1,R3066*(1-1.0),IF(H3065=0,1,O3065*(1+0.00023125256064071564)))</f>
        <v/>
      </c>
      <c r="P3066">
        <f>IF(G3066=1,IF(H3065=0,1,ABS(0.2-J3065*B3066/I3066)+ABS(0.2-K3065*C3066/I3066)+ABS(0.2-L3065*D3066/I3066)+ABS(0.2-M3065*E3066/I3066)+ABS(0.2-N3065*F3066/I3066)),0)</f>
        <v/>
      </c>
      <c r="Q3066">
        <f>P3066*0.0015</f>
        <v/>
      </c>
      <c r="R3066">
        <f>I3066*(1-Q3066)</f>
        <v/>
      </c>
      <c r="S3066">
        <f>R3066/R3065-1</f>
        <v/>
      </c>
      <c r="T3066">
        <f>MAX(T3065,R3066)</f>
        <v/>
      </c>
      <c r="U3066">
        <f>R3066/T3066-1</f>
        <v/>
      </c>
      <c r="V3066" t="n">
        <v>8.720284267203484</v>
      </c>
      <c r="W3066" s="5">
        <f>R3066-V3066</f>
        <v/>
      </c>
    </row>
    <row r="3067">
      <c r="A3067" s="3" t="n">
        <v>42954</v>
      </c>
      <c r="B3067">
        <f>Prices!B3067</f>
        <v/>
      </c>
      <c r="C3067">
        <f>Prices!C3067</f>
        <v/>
      </c>
      <c r="D3067">
        <f>Prices!D3067</f>
        <v/>
      </c>
      <c r="E3067">
        <f>Prices!E3067</f>
        <v/>
      </c>
      <c r="F3067">
        <f>Prices!F3067</f>
        <v/>
      </c>
      <c r="G3067">
        <f>IF(AND(3065&gt;=16,TEXT(A3067,"yyyy-mm")&lt;&gt;TEXT(A3068,"yyyy-mm")),1,0)</f>
        <v/>
      </c>
      <c r="H3067">
        <f>IF(OR(H3066=1,G3067=1),1,0)</f>
        <v/>
      </c>
      <c r="I3067">
        <f>IF(H3066=0,1,SUMPRODUCT(J3066:N3066,B3067:F3067)+O3066*(1+0.00023125256064071564))</f>
        <v/>
      </c>
      <c r="J3067">
        <f>IF(G3067=1,0.2*R3067/B3067,J3066)</f>
        <v/>
      </c>
      <c r="K3067">
        <f>IF(G3067=1,0.2*R3067/C3067,K3066)</f>
        <v/>
      </c>
      <c r="L3067">
        <f>IF(G3067=1,0.2*R3067/D3067,L3066)</f>
        <v/>
      </c>
      <c r="M3067">
        <f>IF(G3067=1,0.2*R3067/E3067,M3066)</f>
        <v/>
      </c>
      <c r="N3067">
        <f>IF(G3067=1,0.2*R3067/F3067,N3066)</f>
        <v/>
      </c>
      <c r="O3067">
        <f>IF(G3067=1,R3067*(1-1.0),IF(H3066=0,1,O3066*(1+0.00023125256064071564)))</f>
        <v/>
      </c>
      <c r="P3067">
        <f>IF(G3067=1,IF(H3066=0,1,ABS(0.2-J3066*B3067/I3067)+ABS(0.2-K3066*C3067/I3067)+ABS(0.2-L3066*D3067/I3067)+ABS(0.2-M3066*E3067/I3067)+ABS(0.2-N3066*F3067/I3067)),0)</f>
        <v/>
      </c>
      <c r="Q3067">
        <f>P3067*0.0015</f>
        <v/>
      </c>
      <c r="R3067">
        <f>I3067*(1-Q3067)</f>
        <v/>
      </c>
      <c r="S3067">
        <f>R3067/R3066-1</f>
        <v/>
      </c>
      <c r="T3067">
        <f>MAX(T3066,R3067)</f>
        <v/>
      </c>
      <c r="U3067">
        <f>R3067/T3067-1</f>
        <v/>
      </c>
      <c r="V3067" t="n">
        <v>8.796800907115777</v>
      </c>
      <c r="W3067" s="5">
        <f>R3067-V3067</f>
        <v/>
      </c>
    </row>
    <row r="3068">
      <c r="A3068" s="3" t="n">
        <v>42955</v>
      </c>
      <c r="B3068">
        <f>Prices!B3068</f>
        <v/>
      </c>
      <c r="C3068">
        <f>Prices!C3068</f>
        <v/>
      </c>
      <c r="D3068">
        <f>Prices!D3068</f>
        <v/>
      </c>
      <c r="E3068">
        <f>Prices!E3068</f>
        <v/>
      </c>
      <c r="F3068">
        <f>Prices!F3068</f>
        <v/>
      </c>
      <c r="G3068">
        <f>IF(AND(3066&gt;=16,TEXT(A3068,"yyyy-mm")&lt;&gt;TEXT(A3069,"yyyy-mm")),1,0)</f>
        <v/>
      </c>
      <c r="H3068">
        <f>IF(OR(H3067=1,G3068=1),1,0)</f>
        <v/>
      </c>
      <c r="I3068">
        <f>IF(H3067=0,1,SUMPRODUCT(J3067:N3067,B3068:F3068)+O3067*(1+0.00023125256064071564))</f>
        <v/>
      </c>
      <c r="J3068">
        <f>IF(G3068=1,0.2*R3068/B3068,J3067)</f>
        <v/>
      </c>
      <c r="K3068">
        <f>IF(G3068=1,0.2*R3068/C3068,K3067)</f>
        <v/>
      </c>
      <c r="L3068">
        <f>IF(G3068=1,0.2*R3068/D3068,L3067)</f>
        <v/>
      </c>
      <c r="M3068">
        <f>IF(G3068=1,0.2*R3068/E3068,M3067)</f>
        <v/>
      </c>
      <c r="N3068">
        <f>IF(G3068=1,0.2*R3068/F3068,N3067)</f>
        <v/>
      </c>
      <c r="O3068">
        <f>IF(G3068=1,R3068*(1-1.0),IF(H3067=0,1,O3067*(1+0.00023125256064071564)))</f>
        <v/>
      </c>
      <c r="P3068">
        <f>IF(G3068=1,IF(H3067=0,1,ABS(0.2-J3067*B3068/I3068)+ABS(0.2-K3067*C3068/I3068)+ABS(0.2-L3067*D3068/I3068)+ABS(0.2-M3067*E3068/I3068)+ABS(0.2-N3067*F3068/I3068)),0)</f>
        <v/>
      </c>
      <c r="Q3068">
        <f>P3068*0.0015</f>
        <v/>
      </c>
      <c r="R3068">
        <f>I3068*(1-Q3068)</f>
        <v/>
      </c>
      <c r="S3068">
        <f>R3068/R3067-1</f>
        <v/>
      </c>
      <c r="T3068">
        <f>MAX(T3067,R3068)</f>
        <v/>
      </c>
      <c r="U3068">
        <f>R3068/T3068-1</f>
        <v/>
      </c>
      <c r="V3068" t="n">
        <v>8.711949605403818</v>
      </c>
      <c r="W3068" s="5">
        <f>R3068-V3068</f>
        <v/>
      </c>
    </row>
    <row r="3069">
      <c r="A3069" s="3" t="n">
        <v>42956</v>
      </c>
      <c r="B3069">
        <f>Prices!B3069</f>
        <v/>
      </c>
      <c r="C3069">
        <f>Prices!C3069</f>
        <v/>
      </c>
      <c r="D3069">
        <f>Prices!D3069</f>
        <v/>
      </c>
      <c r="E3069">
        <f>Prices!E3069</f>
        <v/>
      </c>
      <c r="F3069">
        <f>Prices!F3069</f>
        <v/>
      </c>
      <c r="G3069">
        <f>IF(AND(3067&gt;=16,TEXT(A3069,"yyyy-mm")&lt;&gt;TEXT(A3070,"yyyy-mm")),1,0)</f>
        <v/>
      </c>
      <c r="H3069">
        <f>IF(OR(H3068=1,G3069=1),1,0)</f>
        <v/>
      </c>
      <c r="I3069">
        <f>IF(H3068=0,1,SUMPRODUCT(J3068:N3068,B3069:F3069)+O3068*(1+0.00023125256064071564))</f>
        <v/>
      </c>
      <c r="J3069">
        <f>IF(G3069=1,0.2*R3069/B3069,J3068)</f>
        <v/>
      </c>
      <c r="K3069">
        <f>IF(G3069=1,0.2*R3069/C3069,K3068)</f>
        <v/>
      </c>
      <c r="L3069">
        <f>IF(G3069=1,0.2*R3069/D3069,L3068)</f>
        <v/>
      </c>
      <c r="M3069">
        <f>IF(G3069=1,0.2*R3069/E3069,M3068)</f>
        <v/>
      </c>
      <c r="N3069">
        <f>IF(G3069=1,0.2*R3069/F3069,N3068)</f>
        <v/>
      </c>
      <c r="O3069">
        <f>IF(G3069=1,R3069*(1-1.0),IF(H3068=0,1,O3068*(1+0.00023125256064071564)))</f>
        <v/>
      </c>
      <c r="P3069">
        <f>IF(G3069=1,IF(H3068=0,1,ABS(0.2-J3068*B3069/I3069)+ABS(0.2-K3068*C3069/I3069)+ABS(0.2-L3068*D3069/I3069)+ABS(0.2-M3068*E3069/I3069)+ABS(0.2-N3068*F3069/I3069)),0)</f>
        <v/>
      </c>
      <c r="Q3069">
        <f>P3069*0.0015</f>
        <v/>
      </c>
      <c r="R3069">
        <f>I3069*(1-Q3069)</f>
        <v/>
      </c>
      <c r="S3069">
        <f>R3069/R3068-1</f>
        <v/>
      </c>
      <c r="T3069">
        <f>MAX(T3068,R3069)</f>
        <v/>
      </c>
      <c r="U3069">
        <f>R3069/T3069-1</f>
        <v/>
      </c>
      <c r="V3069" t="n">
        <v>8.603813644342674</v>
      </c>
      <c r="W3069" s="5">
        <f>R3069-V3069</f>
        <v/>
      </c>
    </row>
    <row r="3070">
      <c r="A3070" s="3" t="n">
        <v>42957</v>
      </c>
      <c r="B3070">
        <f>Prices!B3070</f>
        <v/>
      </c>
      <c r="C3070">
        <f>Prices!C3070</f>
        <v/>
      </c>
      <c r="D3070">
        <f>Prices!D3070</f>
        <v/>
      </c>
      <c r="E3070">
        <f>Prices!E3070</f>
        <v/>
      </c>
      <c r="F3070">
        <f>Prices!F3070</f>
        <v/>
      </c>
      <c r="G3070">
        <f>IF(AND(3068&gt;=16,TEXT(A3070,"yyyy-mm")&lt;&gt;TEXT(A3071,"yyyy-mm")),1,0)</f>
        <v/>
      </c>
      <c r="H3070">
        <f>IF(OR(H3069=1,G3070=1),1,0)</f>
        <v/>
      </c>
      <c r="I3070">
        <f>IF(H3069=0,1,SUMPRODUCT(J3069:N3069,B3070:F3070)+O3069*(1+0.00023125256064071564))</f>
        <v/>
      </c>
      <c r="J3070">
        <f>IF(G3070=1,0.2*R3070/B3070,J3069)</f>
        <v/>
      </c>
      <c r="K3070">
        <f>IF(G3070=1,0.2*R3070/C3070,K3069)</f>
        <v/>
      </c>
      <c r="L3070">
        <f>IF(G3070=1,0.2*R3070/D3070,L3069)</f>
        <v/>
      </c>
      <c r="M3070">
        <f>IF(G3070=1,0.2*R3070/E3070,M3069)</f>
        <v/>
      </c>
      <c r="N3070">
        <f>IF(G3070=1,0.2*R3070/F3070,N3069)</f>
        <v/>
      </c>
      <c r="O3070">
        <f>IF(G3070=1,R3070*(1-1.0),IF(H3069=0,1,O3069*(1+0.00023125256064071564)))</f>
        <v/>
      </c>
      <c r="P3070">
        <f>IF(G3070=1,IF(H3069=0,1,ABS(0.2-J3069*B3070/I3070)+ABS(0.2-K3069*C3070/I3070)+ABS(0.2-L3069*D3070/I3070)+ABS(0.2-M3069*E3070/I3070)+ABS(0.2-N3069*F3070/I3070)),0)</f>
        <v/>
      </c>
      <c r="Q3070">
        <f>P3070*0.0015</f>
        <v/>
      </c>
      <c r="R3070">
        <f>I3070*(1-Q3070)</f>
        <v/>
      </c>
      <c r="S3070">
        <f>R3070/R3069-1</f>
        <v/>
      </c>
      <c r="T3070">
        <f>MAX(T3069,R3070)</f>
        <v/>
      </c>
      <c r="U3070">
        <f>R3070/T3070-1</f>
        <v/>
      </c>
      <c r="V3070" t="n">
        <v>8.371885819095439</v>
      </c>
      <c r="W3070" s="5">
        <f>R3070-V3070</f>
        <v/>
      </c>
    </row>
    <row r="3071">
      <c r="A3071" s="3" t="n">
        <v>42958</v>
      </c>
      <c r="B3071">
        <f>Prices!B3071</f>
        <v/>
      </c>
      <c r="C3071">
        <f>Prices!C3071</f>
        <v/>
      </c>
      <c r="D3071">
        <f>Prices!D3071</f>
        <v/>
      </c>
      <c r="E3071">
        <f>Prices!E3071</f>
        <v/>
      </c>
      <c r="F3071">
        <f>Prices!F3071</f>
        <v/>
      </c>
      <c r="G3071">
        <f>IF(AND(3069&gt;=16,TEXT(A3071,"yyyy-mm")&lt;&gt;TEXT(A3072,"yyyy-mm")),1,0)</f>
        <v/>
      </c>
      <c r="H3071">
        <f>IF(OR(H3070=1,G3071=1),1,0)</f>
        <v/>
      </c>
      <c r="I3071">
        <f>IF(H3070=0,1,SUMPRODUCT(J3070:N3070,B3071:F3071)+O3070*(1+0.00023125256064071564))</f>
        <v/>
      </c>
      <c r="J3071">
        <f>IF(G3071=1,0.2*R3071/B3071,J3070)</f>
        <v/>
      </c>
      <c r="K3071">
        <f>IF(G3071=1,0.2*R3071/C3071,K3070)</f>
        <v/>
      </c>
      <c r="L3071">
        <f>IF(G3071=1,0.2*R3071/D3071,L3070)</f>
        <v/>
      </c>
      <c r="M3071">
        <f>IF(G3071=1,0.2*R3071/E3071,M3070)</f>
        <v/>
      </c>
      <c r="N3071">
        <f>IF(G3071=1,0.2*R3071/F3071,N3070)</f>
        <v/>
      </c>
      <c r="O3071">
        <f>IF(G3071=1,R3071*(1-1.0),IF(H3070=0,1,O3070*(1+0.00023125256064071564)))</f>
        <v/>
      </c>
      <c r="P3071">
        <f>IF(G3071=1,IF(H3070=0,1,ABS(0.2-J3070*B3071/I3071)+ABS(0.2-K3070*C3071/I3071)+ABS(0.2-L3070*D3071/I3071)+ABS(0.2-M3070*E3071/I3071)+ABS(0.2-N3070*F3071/I3071)),0)</f>
        <v/>
      </c>
      <c r="Q3071">
        <f>P3071*0.0015</f>
        <v/>
      </c>
      <c r="R3071">
        <f>I3071*(1-Q3071)</f>
        <v/>
      </c>
      <c r="S3071">
        <f>R3071/R3070-1</f>
        <v/>
      </c>
      <c r="T3071">
        <f>MAX(T3070,R3071)</f>
        <v/>
      </c>
      <c r="U3071">
        <f>R3071/T3071-1</f>
        <v/>
      </c>
      <c r="V3071" t="n">
        <v>8.321834968046984</v>
      </c>
      <c r="W3071" s="5">
        <f>R3071-V3071</f>
        <v/>
      </c>
    </row>
    <row r="3072">
      <c r="A3072" s="3" t="n">
        <v>42961</v>
      </c>
      <c r="B3072">
        <f>Prices!B3072</f>
        <v/>
      </c>
      <c r="C3072">
        <f>Prices!C3072</f>
        <v/>
      </c>
      <c r="D3072">
        <f>Prices!D3072</f>
        <v/>
      </c>
      <c r="E3072">
        <f>Prices!E3072</f>
        <v/>
      </c>
      <c r="F3072">
        <f>Prices!F3072</f>
        <v/>
      </c>
      <c r="G3072">
        <f>IF(AND(3070&gt;=16,TEXT(A3072,"yyyy-mm")&lt;&gt;TEXT(A3073,"yyyy-mm")),1,0)</f>
        <v/>
      </c>
      <c r="H3072">
        <f>IF(OR(H3071=1,G3072=1),1,0)</f>
        <v/>
      </c>
      <c r="I3072">
        <f>IF(H3071=0,1,SUMPRODUCT(J3071:N3071,B3072:F3072)+O3071*(1+0.00023125256064071564))</f>
        <v/>
      </c>
      <c r="J3072">
        <f>IF(G3072=1,0.2*R3072/B3072,J3071)</f>
        <v/>
      </c>
      <c r="K3072">
        <f>IF(G3072=1,0.2*R3072/C3072,K3071)</f>
        <v/>
      </c>
      <c r="L3072">
        <f>IF(G3072=1,0.2*R3072/D3072,L3071)</f>
        <v/>
      </c>
      <c r="M3072">
        <f>IF(G3072=1,0.2*R3072/E3072,M3071)</f>
        <v/>
      </c>
      <c r="N3072">
        <f>IF(G3072=1,0.2*R3072/F3072,N3071)</f>
        <v/>
      </c>
      <c r="O3072">
        <f>IF(G3072=1,R3072*(1-1.0),IF(H3071=0,1,O3071*(1+0.00023125256064071564)))</f>
        <v/>
      </c>
      <c r="P3072">
        <f>IF(G3072=1,IF(H3071=0,1,ABS(0.2-J3071*B3072/I3072)+ABS(0.2-K3071*C3072/I3072)+ABS(0.2-L3071*D3072/I3072)+ABS(0.2-M3071*E3072/I3072)+ABS(0.2-N3071*F3072/I3072)),0)</f>
        <v/>
      </c>
      <c r="Q3072">
        <f>P3072*0.0015</f>
        <v/>
      </c>
      <c r="R3072">
        <f>I3072*(1-Q3072)</f>
        <v/>
      </c>
      <c r="S3072">
        <f>R3072/R3071-1</f>
        <v/>
      </c>
      <c r="T3072">
        <f>MAX(T3071,R3072)</f>
        <v/>
      </c>
      <c r="U3072">
        <f>R3072/T3072-1</f>
        <v/>
      </c>
      <c r="V3072" t="n">
        <v>8.494285103773178</v>
      </c>
      <c r="W3072" s="5">
        <f>R3072-V3072</f>
        <v/>
      </c>
    </row>
    <row r="3073">
      <c r="A3073" s="3" t="n">
        <v>42963</v>
      </c>
      <c r="B3073">
        <f>Prices!B3073</f>
        <v/>
      </c>
      <c r="C3073">
        <f>Prices!C3073</f>
        <v/>
      </c>
      <c r="D3073">
        <f>Prices!D3073</f>
        <v/>
      </c>
      <c r="E3073">
        <f>Prices!E3073</f>
        <v/>
      </c>
      <c r="F3073">
        <f>Prices!F3073</f>
        <v/>
      </c>
      <c r="G3073">
        <f>IF(AND(3071&gt;=16,TEXT(A3073,"yyyy-mm")&lt;&gt;TEXT(A3074,"yyyy-mm")),1,0)</f>
        <v/>
      </c>
      <c r="H3073">
        <f>IF(OR(H3072=1,G3073=1),1,0)</f>
        <v/>
      </c>
      <c r="I3073">
        <f>IF(H3072=0,1,SUMPRODUCT(J3072:N3072,B3073:F3073)+O3072*(1+0.00023125256064071564))</f>
        <v/>
      </c>
      <c r="J3073">
        <f>IF(G3073=1,0.2*R3073/B3073,J3072)</f>
        <v/>
      </c>
      <c r="K3073">
        <f>IF(G3073=1,0.2*R3073/C3073,K3072)</f>
        <v/>
      </c>
      <c r="L3073">
        <f>IF(G3073=1,0.2*R3073/D3073,L3072)</f>
        <v/>
      </c>
      <c r="M3073">
        <f>IF(G3073=1,0.2*R3073/E3073,M3072)</f>
        <v/>
      </c>
      <c r="N3073">
        <f>IF(G3073=1,0.2*R3073/F3073,N3072)</f>
        <v/>
      </c>
      <c r="O3073">
        <f>IF(G3073=1,R3073*(1-1.0),IF(H3072=0,1,O3072*(1+0.00023125256064071564)))</f>
        <v/>
      </c>
      <c r="P3073">
        <f>IF(G3073=1,IF(H3072=0,1,ABS(0.2-J3072*B3073/I3073)+ABS(0.2-K3072*C3073/I3073)+ABS(0.2-L3072*D3073/I3073)+ABS(0.2-M3072*E3073/I3073)+ABS(0.2-N3072*F3073/I3073)),0)</f>
        <v/>
      </c>
      <c r="Q3073">
        <f>P3073*0.0015</f>
        <v/>
      </c>
      <c r="R3073">
        <f>I3073*(1-Q3073)</f>
        <v/>
      </c>
      <c r="S3073">
        <f>R3073/R3072-1</f>
        <v/>
      </c>
      <c r="T3073">
        <f>MAX(T3072,R3073)</f>
        <v/>
      </c>
      <c r="U3073">
        <f>R3073/T3073-1</f>
        <v/>
      </c>
      <c r="V3073" t="n">
        <v>8.590247290088787</v>
      </c>
      <c r="W3073" s="5">
        <f>R3073-V3073</f>
        <v/>
      </c>
    </row>
    <row r="3074">
      <c r="A3074" s="3" t="n">
        <v>42964</v>
      </c>
      <c r="B3074">
        <f>Prices!B3074</f>
        <v/>
      </c>
      <c r="C3074">
        <f>Prices!C3074</f>
        <v/>
      </c>
      <c r="D3074">
        <f>Prices!D3074</f>
        <v/>
      </c>
      <c r="E3074">
        <f>Prices!E3074</f>
        <v/>
      </c>
      <c r="F3074">
        <f>Prices!F3074</f>
        <v/>
      </c>
      <c r="G3074">
        <f>IF(AND(3072&gt;=16,TEXT(A3074,"yyyy-mm")&lt;&gt;TEXT(A3075,"yyyy-mm")),1,0)</f>
        <v/>
      </c>
      <c r="H3074">
        <f>IF(OR(H3073=1,G3074=1),1,0)</f>
        <v/>
      </c>
      <c r="I3074">
        <f>IF(H3073=0,1,SUMPRODUCT(J3073:N3073,B3074:F3074)+O3073*(1+0.00023125256064071564))</f>
        <v/>
      </c>
      <c r="J3074">
        <f>IF(G3074=1,0.2*R3074/B3074,J3073)</f>
        <v/>
      </c>
      <c r="K3074">
        <f>IF(G3074=1,0.2*R3074/C3074,K3073)</f>
        <v/>
      </c>
      <c r="L3074">
        <f>IF(G3074=1,0.2*R3074/D3074,L3073)</f>
        <v/>
      </c>
      <c r="M3074">
        <f>IF(G3074=1,0.2*R3074/E3074,M3073)</f>
        <v/>
      </c>
      <c r="N3074">
        <f>IF(G3074=1,0.2*R3074/F3074,N3073)</f>
        <v/>
      </c>
      <c r="O3074">
        <f>IF(G3074=1,R3074*(1-1.0),IF(H3073=0,1,O3073*(1+0.00023125256064071564)))</f>
        <v/>
      </c>
      <c r="P3074">
        <f>IF(G3074=1,IF(H3073=0,1,ABS(0.2-J3073*B3074/I3074)+ABS(0.2-K3073*C3074/I3074)+ABS(0.2-L3073*D3074/I3074)+ABS(0.2-M3073*E3074/I3074)+ABS(0.2-N3073*F3074/I3074)),0)</f>
        <v/>
      </c>
      <c r="Q3074">
        <f>P3074*0.0015</f>
        <v/>
      </c>
      <c r="R3074">
        <f>I3074*(1-Q3074)</f>
        <v/>
      </c>
      <c r="S3074">
        <f>R3074/R3073-1</f>
        <v/>
      </c>
      <c r="T3074">
        <f>MAX(T3073,R3074)</f>
        <v/>
      </c>
      <c r="U3074">
        <f>R3074/T3074-1</f>
        <v/>
      </c>
      <c r="V3074" t="n">
        <v>8.622339099778426</v>
      </c>
      <c r="W3074" s="5">
        <f>R3074-V3074</f>
        <v/>
      </c>
    </row>
    <row r="3075">
      <c r="A3075" s="3" t="n">
        <v>42965</v>
      </c>
      <c r="B3075">
        <f>Prices!B3075</f>
        <v/>
      </c>
      <c r="C3075">
        <f>Prices!C3075</f>
        <v/>
      </c>
      <c r="D3075">
        <f>Prices!D3075</f>
        <v/>
      </c>
      <c r="E3075">
        <f>Prices!E3075</f>
        <v/>
      </c>
      <c r="F3075">
        <f>Prices!F3075</f>
        <v/>
      </c>
      <c r="G3075">
        <f>IF(AND(3073&gt;=16,TEXT(A3075,"yyyy-mm")&lt;&gt;TEXT(A3076,"yyyy-mm")),1,0)</f>
        <v/>
      </c>
      <c r="H3075">
        <f>IF(OR(H3074=1,G3075=1),1,0)</f>
        <v/>
      </c>
      <c r="I3075">
        <f>IF(H3074=0,1,SUMPRODUCT(J3074:N3074,B3075:F3075)+O3074*(1+0.00023125256064071564))</f>
        <v/>
      </c>
      <c r="J3075">
        <f>IF(G3075=1,0.2*R3075/B3075,J3074)</f>
        <v/>
      </c>
      <c r="K3075">
        <f>IF(G3075=1,0.2*R3075/C3075,K3074)</f>
        <v/>
      </c>
      <c r="L3075">
        <f>IF(G3075=1,0.2*R3075/D3075,L3074)</f>
        <v/>
      </c>
      <c r="M3075">
        <f>IF(G3075=1,0.2*R3075/E3075,M3074)</f>
        <v/>
      </c>
      <c r="N3075">
        <f>IF(G3075=1,0.2*R3075/F3075,N3074)</f>
        <v/>
      </c>
      <c r="O3075">
        <f>IF(G3075=1,R3075*(1-1.0),IF(H3074=0,1,O3074*(1+0.00023125256064071564)))</f>
        <v/>
      </c>
      <c r="P3075">
        <f>IF(G3075=1,IF(H3074=0,1,ABS(0.2-J3074*B3075/I3075)+ABS(0.2-K3074*C3075/I3075)+ABS(0.2-L3074*D3075/I3075)+ABS(0.2-M3074*E3075/I3075)+ABS(0.2-N3074*F3075/I3075)),0)</f>
        <v/>
      </c>
      <c r="Q3075">
        <f>P3075*0.0015</f>
        <v/>
      </c>
      <c r="R3075">
        <f>I3075*(1-Q3075)</f>
        <v/>
      </c>
      <c r="S3075">
        <f>R3075/R3074-1</f>
        <v/>
      </c>
      <c r="T3075">
        <f>MAX(T3074,R3075)</f>
        <v/>
      </c>
      <c r="U3075">
        <f>R3075/T3075-1</f>
        <v/>
      </c>
      <c r="V3075" t="n">
        <v>8.582402021649136</v>
      </c>
      <c r="W3075" s="5">
        <f>R3075-V3075</f>
        <v/>
      </c>
    </row>
    <row r="3076">
      <c r="A3076" s="3" t="n">
        <v>42968</v>
      </c>
      <c r="B3076">
        <f>Prices!B3076</f>
        <v/>
      </c>
      <c r="C3076">
        <f>Prices!C3076</f>
        <v/>
      </c>
      <c r="D3076">
        <f>Prices!D3076</f>
        <v/>
      </c>
      <c r="E3076">
        <f>Prices!E3076</f>
        <v/>
      </c>
      <c r="F3076">
        <f>Prices!F3076</f>
        <v/>
      </c>
      <c r="G3076">
        <f>IF(AND(3074&gt;=16,TEXT(A3076,"yyyy-mm")&lt;&gt;TEXT(A3077,"yyyy-mm")),1,0)</f>
        <v/>
      </c>
      <c r="H3076">
        <f>IF(OR(H3075=1,G3076=1),1,0)</f>
        <v/>
      </c>
      <c r="I3076">
        <f>IF(H3075=0,1,SUMPRODUCT(J3075:N3075,B3076:F3076)+O3075*(1+0.00023125256064071564))</f>
        <v/>
      </c>
      <c r="J3076">
        <f>IF(G3076=1,0.2*R3076/B3076,J3075)</f>
        <v/>
      </c>
      <c r="K3076">
        <f>IF(G3076=1,0.2*R3076/C3076,K3075)</f>
        <v/>
      </c>
      <c r="L3076">
        <f>IF(G3076=1,0.2*R3076/D3076,L3075)</f>
        <v/>
      </c>
      <c r="M3076">
        <f>IF(G3076=1,0.2*R3076/E3076,M3075)</f>
        <v/>
      </c>
      <c r="N3076">
        <f>IF(G3076=1,0.2*R3076/F3076,N3075)</f>
        <v/>
      </c>
      <c r="O3076">
        <f>IF(G3076=1,R3076*(1-1.0),IF(H3075=0,1,O3075*(1+0.00023125256064071564)))</f>
        <v/>
      </c>
      <c r="P3076">
        <f>IF(G3076=1,IF(H3075=0,1,ABS(0.2-J3075*B3076/I3076)+ABS(0.2-K3075*C3076/I3076)+ABS(0.2-L3075*D3076/I3076)+ABS(0.2-M3075*E3076/I3076)+ABS(0.2-N3075*F3076/I3076)),0)</f>
        <v/>
      </c>
      <c r="Q3076">
        <f>P3076*0.0015</f>
        <v/>
      </c>
      <c r="R3076">
        <f>I3076*(1-Q3076)</f>
        <v/>
      </c>
      <c r="S3076">
        <f>R3076/R3075-1</f>
        <v/>
      </c>
      <c r="T3076">
        <f>MAX(T3075,R3076)</f>
        <v/>
      </c>
      <c r="U3076">
        <f>R3076/T3076-1</f>
        <v/>
      </c>
      <c r="V3076" t="n">
        <v>8.466171062631515</v>
      </c>
      <c r="W3076" s="5">
        <f>R3076-V3076</f>
        <v/>
      </c>
    </row>
    <row r="3077">
      <c r="A3077" s="3" t="n">
        <v>42969</v>
      </c>
      <c r="B3077">
        <f>Prices!B3077</f>
        <v/>
      </c>
      <c r="C3077">
        <f>Prices!C3077</f>
        <v/>
      </c>
      <c r="D3077">
        <f>Prices!D3077</f>
        <v/>
      </c>
      <c r="E3077">
        <f>Prices!E3077</f>
        <v/>
      </c>
      <c r="F3077">
        <f>Prices!F3077</f>
        <v/>
      </c>
      <c r="G3077">
        <f>IF(AND(3075&gt;=16,TEXT(A3077,"yyyy-mm")&lt;&gt;TEXT(A3078,"yyyy-mm")),1,0)</f>
        <v/>
      </c>
      <c r="H3077">
        <f>IF(OR(H3076=1,G3077=1),1,0)</f>
        <v/>
      </c>
      <c r="I3077">
        <f>IF(H3076=0,1,SUMPRODUCT(J3076:N3076,B3077:F3077)+O3076*(1+0.00023125256064071564))</f>
        <v/>
      </c>
      <c r="J3077">
        <f>IF(G3077=1,0.2*R3077/B3077,J3076)</f>
        <v/>
      </c>
      <c r="K3077">
        <f>IF(G3077=1,0.2*R3077/C3077,K3076)</f>
        <v/>
      </c>
      <c r="L3077">
        <f>IF(G3077=1,0.2*R3077/D3077,L3076)</f>
        <v/>
      </c>
      <c r="M3077">
        <f>IF(G3077=1,0.2*R3077/E3077,M3076)</f>
        <v/>
      </c>
      <c r="N3077">
        <f>IF(G3077=1,0.2*R3077/F3077,N3076)</f>
        <v/>
      </c>
      <c r="O3077">
        <f>IF(G3077=1,R3077*(1-1.0),IF(H3076=0,1,O3076*(1+0.00023125256064071564)))</f>
        <v/>
      </c>
      <c r="P3077">
        <f>IF(G3077=1,IF(H3076=0,1,ABS(0.2-J3076*B3077/I3077)+ABS(0.2-K3076*C3077/I3077)+ABS(0.2-L3076*D3077/I3077)+ABS(0.2-M3076*E3077/I3077)+ABS(0.2-N3076*F3077/I3077)),0)</f>
        <v/>
      </c>
      <c r="Q3077">
        <f>P3077*0.0015</f>
        <v/>
      </c>
      <c r="R3077">
        <f>I3077*(1-Q3077)</f>
        <v/>
      </c>
      <c r="S3077">
        <f>R3077/R3076-1</f>
        <v/>
      </c>
      <c r="T3077">
        <f>MAX(T3076,R3077)</f>
        <v/>
      </c>
      <c r="U3077">
        <f>R3077/T3077-1</f>
        <v/>
      </c>
      <c r="V3077" t="n">
        <v>8.446147976545456</v>
      </c>
      <c r="W3077" s="5">
        <f>R3077-V3077</f>
        <v/>
      </c>
    </row>
    <row r="3078">
      <c r="A3078" s="3" t="n">
        <v>42970</v>
      </c>
      <c r="B3078">
        <f>Prices!B3078</f>
        <v/>
      </c>
      <c r="C3078">
        <f>Prices!C3078</f>
        <v/>
      </c>
      <c r="D3078">
        <f>Prices!D3078</f>
        <v/>
      </c>
      <c r="E3078">
        <f>Prices!E3078</f>
        <v/>
      </c>
      <c r="F3078">
        <f>Prices!F3078</f>
        <v/>
      </c>
      <c r="G3078">
        <f>IF(AND(3076&gt;=16,TEXT(A3078,"yyyy-mm")&lt;&gt;TEXT(A3079,"yyyy-mm")),1,0)</f>
        <v/>
      </c>
      <c r="H3078">
        <f>IF(OR(H3077=1,G3078=1),1,0)</f>
        <v/>
      </c>
      <c r="I3078">
        <f>IF(H3077=0,1,SUMPRODUCT(J3077:N3077,B3078:F3078)+O3077*(1+0.00023125256064071564))</f>
        <v/>
      </c>
      <c r="J3078">
        <f>IF(G3078=1,0.2*R3078/B3078,J3077)</f>
        <v/>
      </c>
      <c r="K3078">
        <f>IF(G3078=1,0.2*R3078/C3078,K3077)</f>
        <v/>
      </c>
      <c r="L3078">
        <f>IF(G3078=1,0.2*R3078/D3078,L3077)</f>
        <v/>
      </c>
      <c r="M3078">
        <f>IF(G3078=1,0.2*R3078/E3078,M3077)</f>
        <v/>
      </c>
      <c r="N3078">
        <f>IF(G3078=1,0.2*R3078/F3078,N3077)</f>
        <v/>
      </c>
      <c r="O3078">
        <f>IF(G3078=1,R3078*(1-1.0),IF(H3077=0,1,O3077*(1+0.00023125256064071564)))</f>
        <v/>
      </c>
      <c r="P3078">
        <f>IF(G3078=1,IF(H3077=0,1,ABS(0.2-J3077*B3078/I3078)+ABS(0.2-K3077*C3078/I3078)+ABS(0.2-L3077*D3078/I3078)+ABS(0.2-M3077*E3078/I3078)+ABS(0.2-N3077*F3078/I3078)),0)</f>
        <v/>
      </c>
      <c r="Q3078">
        <f>P3078*0.0015</f>
        <v/>
      </c>
      <c r="R3078">
        <f>I3078*(1-Q3078)</f>
        <v/>
      </c>
      <c r="S3078">
        <f>R3078/R3077-1</f>
        <v/>
      </c>
      <c r="T3078">
        <f>MAX(T3077,R3078)</f>
        <v/>
      </c>
      <c r="U3078">
        <f>R3078/T3078-1</f>
        <v/>
      </c>
      <c r="V3078" t="n">
        <v>8.543111982681559</v>
      </c>
      <c r="W3078" s="5">
        <f>R3078-V3078</f>
        <v/>
      </c>
    </row>
    <row r="3079">
      <c r="A3079" s="3" t="n">
        <v>42971</v>
      </c>
      <c r="B3079">
        <f>Prices!B3079</f>
        <v/>
      </c>
      <c r="C3079">
        <f>Prices!C3079</f>
        <v/>
      </c>
      <c r="D3079">
        <f>Prices!D3079</f>
        <v/>
      </c>
      <c r="E3079">
        <f>Prices!E3079</f>
        <v/>
      </c>
      <c r="F3079">
        <f>Prices!F3079</f>
        <v/>
      </c>
      <c r="G3079">
        <f>IF(AND(3077&gt;=16,TEXT(A3079,"yyyy-mm")&lt;&gt;TEXT(A3080,"yyyy-mm")),1,0)</f>
        <v/>
      </c>
      <c r="H3079">
        <f>IF(OR(H3078=1,G3079=1),1,0)</f>
        <v/>
      </c>
      <c r="I3079">
        <f>IF(H3078=0,1,SUMPRODUCT(J3078:N3078,B3079:F3079)+O3078*(1+0.00023125256064071564))</f>
        <v/>
      </c>
      <c r="J3079">
        <f>IF(G3079=1,0.2*R3079/B3079,J3078)</f>
        <v/>
      </c>
      <c r="K3079">
        <f>IF(G3079=1,0.2*R3079/C3079,K3078)</f>
        <v/>
      </c>
      <c r="L3079">
        <f>IF(G3079=1,0.2*R3079/D3079,L3078)</f>
        <v/>
      </c>
      <c r="M3079">
        <f>IF(G3079=1,0.2*R3079/E3079,M3078)</f>
        <v/>
      </c>
      <c r="N3079">
        <f>IF(G3079=1,0.2*R3079/F3079,N3078)</f>
        <v/>
      </c>
      <c r="O3079">
        <f>IF(G3079=1,R3079*(1-1.0),IF(H3078=0,1,O3078*(1+0.00023125256064071564)))</f>
        <v/>
      </c>
      <c r="P3079">
        <f>IF(G3079=1,IF(H3078=0,1,ABS(0.2-J3078*B3079/I3079)+ABS(0.2-K3078*C3079/I3079)+ABS(0.2-L3078*D3079/I3079)+ABS(0.2-M3078*E3079/I3079)+ABS(0.2-N3078*F3079/I3079)),0)</f>
        <v/>
      </c>
      <c r="Q3079">
        <f>P3079*0.0015</f>
        <v/>
      </c>
      <c r="R3079">
        <f>I3079*(1-Q3079)</f>
        <v/>
      </c>
      <c r="S3079">
        <f>R3079/R3078-1</f>
        <v/>
      </c>
      <c r="T3079">
        <f>MAX(T3078,R3079)</f>
        <v/>
      </c>
      <c r="U3079">
        <f>R3079/T3079-1</f>
        <v/>
      </c>
      <c r="V3079" t="n">
        <v>8.575075715970653</v>
      </c>
      <c r="W3079" s="5">
        <f>R3079-V3079</f>
        <v/>
      </c>
    </row>
    <row r="3080">
      <c r="A3080" s="3" t="n">
        <v>42975</v>
      </c>
      <c r="B3080">
        <f>Prices!B3080</f>
        <v/>
      </c>
      <c r="C3080">
        <f>Prices!C3080</f>
        <v/>
      </c>
      <c r="D3080">
        <f>Prices!D3080</f>
        <v/>
      </c>
      <c r="E3080">
        <f>Prices!E3080</f>
        <v/>
      </c>
      <c r="F3080">
        <f>Prices!F3080</f>
        <v/>
      </c>
      <c r="G3080">
        <f>IF(AND(3078&gt;=16,TEXT(A3080,"yyyy-mm")&lt;&gt;TEXT(A3081,"yyyy-mm")),1,0)</f>
        <v/>
      </c>
      <c r="H3080">
        <f>IF(OR(H3079=1,G3080=1),1,0)</f>
        <v/>
      </c>
      <c r="I3080">
        <f>IF(H3079=0,1,SUMPRODUCT(J3079:N3079,B3080:F3080)+O3079*(1+0.00023125256064071564))</f>
        <v/>
      </c>
      <c r="J3080">
        <f>IF(G3080=1,0.2*R3080/B3080,J3079)</f>
        <v/>
      </c>
      <c r="K3080">
        <f>IF(G3080=1,0.2*R3080/C3080,K3079)</f>
        <v/>
      </c>
      <c r="L3080">
        <f>IF(G3080=1,0.2*R3080/D3080,L3079)</f>
        <v/>
      </c>
      <c r="M3080">
        <f>IF(G3080=1,0.2*R3080/E3080,M3079)</f>
        <v/>
      </c>
      <c r="N3080">
        <f>IF(G3080=1,0.2*R3080/F3080,N3079)</f>
        <v/>
      </c>
      <c r="O3080">
        <f>IF(G3080=1,R3080*(1-1.0),IF(H3079=0,1,O3079*(1+0.00023125256064071564)))</f>
        <v/>
      </c>
      <c r="P3080">
        <f>IF(G3080=1,IF(H3079=0,1,ABS(0.2-J3079*B3080/I3080)+ABS(0.2-K3079*C3080/I3080)+ABS(0.2-L3079*D3080/I3080)+ABS(0.2-M3079*E3080/I3080)+ABS(0.2-N3079*F3080/I3080)),0)</f>
        <v/>
      </c>
      <c r="Q3080">
        <f>P3080*0.0015</f>
        <v/>
      </c>
      <c r="R3080">
        <f>I3080*(1-Q3080)</f>
        <v/>
      </c>
      <c r="S3080">
        <f>R3080/R3079-1</f>
        <v/>
      </c>
      <c r="T3080">
        <f>MAX(T3079,R3080)</f>
        <v/>
      </c>
      <c r="U3080">
        <f>R3080/T3080-1</f>
        <v/>
      </c>
      <c r="V3080" t="n">
        <v>8.656911123999471</v>
      </c>
      <c r="W3080" s="5">
        <f>R3080-V3080</f>
        <v/>
      </c>
    </row>
    <row r="3081">
      <c r="A3081" s="3" t="n">
        <v>42976</v>
      </c>
      <c r="B3081">
        <f>Prices!B3081</f>
        <v/>
      </c>
      <c r="C3081">
        <f>Prices!C3081</f>
        <v/>
      </c>
      <c r="D3081">
        <f>Prices!D3081</f>
        <v/>
      </c>
      <c r="E3081">
        <f>Prices!E3081</f>
        <v/>
      </c>
      <c r="F3081">
        <f>Prices!F3081</f>
        <v/>
      </c>
      <c r="G3081">
        <f>IF(AND(3079&gt;=16,TEXT(A3081,"yyyy-mm")&lt;&gt;TEXT(A3082,"yyyy-mm")),1,0)</f>
        <v/>
      </c>
      <c r="H3081">
        <f>IF(OR(H3080=1,G3081=1),1,0)</f>
        <v/>
      </c>
      <c r="I3081">
        <f>IF(H3080=0,1,SUMPRODUCT(J3080:N3080,B3081:F3081)+O3080*(1+0.00023125256064071564))</f>
        <v/>
      </c>
      <c r="J3081">
        <f>IF(G3081=1,0.2*R3081/B3081,J3080)</f>
        <v/>
      </c>
      <c r="K3081">
        <f>IF(G3081=1,0.2*R3081/C3081,K3080)</f>
        <v/>
      </c>
      <c r="L3081">
        <f>IF(G3081=1,0.2*R3081/D3081,L3080)</f>
        <v/>
      </c>
      <c r="M3081">
        <f>IF(G3081=1,0.2*R3081/E3081,M3080)</f>
        <v/>
      </c>
      <c r="N3081">
        <f>IF(G3081=1,0.2*R3081/F3081,N3080)</f>
        <v/>
      </c>
      <c r="O3081">
        <f>IF(G3081=1,R3081*(1-1.0),IF(H3080=0,1,O3080*(1+0.00023125256064071564)))</f>
        <v/>
      </c>
      <c r="P3081">
        <f>IF(G3081=1,IF(H3080=0,1,ABS(0.2-J3080*B3081/I3081)+ABS(0.2-K3080*C3081/I3081)+ABS(0.2-L3080*D3081/I3081)+ABS(0.2-M3080*E3081/I3081)+ABS(0.2-N3080*F3081/I3081)),0)</f>
        <v/>
      </c>
      <c r="Q3081">
        <f>P3081*0.0015</f>
        <v/>
      </c>
      <c r="R3081">
        <f>I3081*(1-Q3081)</f>
        <v/>
      </c>
      <c r="S3081">
        <f>R3081/R3080-1</f>
        <v/>
      </c>
      <c r="T3081">
        <f>MAX(T3080,R3081)</f>
        <v/>
      </c>
      <c r="U3081">
        <f>R3081/T3081-1</f>
        <v/>
      </c>
      <c r="V3081" t="n">
        <v>8.564193378145719</v>
      </c>
      <c r="W3081" s="5">
        <f>R3081-V3081</f>
        <v/>
      </c>
    </row>
    <row r="3082">
      <c r="A3082" s="3" t="n">
        <v>42977</v>
      </c>
      <c r="B3082">
        <f>Prices!B3082</f>
        <v/>
      </c>
      <c r="C3082">
        <f>Prices!C3082</f>
        <v/>
      </c>
      <c r="D3082">
        <f>Prices!D3082</f>
        <v/>
      </c>
      <c r="E3082">
        <f>Prices!E3082</f>
        <v/>
      </c>
      <c r="F3082">
        <f>Prices!F3082</f>
        <v/>
      </c>
      <c r="G3082">
        <f>IF(AND(3080&gt;=16,TEXT(A3082,"yyyy-mm")&lt;&gt;TEXT(A3083,"yyyy-mm")),1,0)</f>
        <v/>
      </c>
      <c r="H3082">
        <f>IF(OR(H3081=1,G3082=1),1,0)</f>
        <v/>
      </c>
      <c r="I3082">
        <f>IF(H3081=0,1,SUMPRODUCT(J3081:N3081,B3082:F3082)+O3081*(1+0.00023125256064071564))</f>
        <v/>
      </c>
      <c r="J3082">
        <f>IF(G3082=1,0.2*R3082/B3082,J3081)</f>
        <v/>
      </c>
      <c r="K3082">
        <f>IF(G3082=1,0.2*R3082/C3082,K3081)</f>
        <v/>
      </c>
      <c r="L3082">
        <f>IF(G3082=1,0.2*R3082/D3082,L3081)</f>
        <v/>
      </c>
      <c r="M3082">
        <f>IF(G3082=1,0.2*R3082/E3082,M3081)</f>
        <v/>
      </c>
      <c r="N3082">
        <f>IF(G3082=1,0.2*R3082/F3082,N3081)</f>
        <v/>
      </c>
      <c r="O3082">
        <f>IF(G3082=1,R3082*(1-1.0),IF(H3081=0,1,O3081*(1+0.00023125256064071564)))</f>
        <v/>
      </c>
      <c r="P3082">
        <f>IF(G3082=1,IF(H3081=0,1,ABS(0.2-J3081*B3082/I3082)+ABS(0.2-K3081*C3082/I3082)+ABS(0.2-L3081*D3082/I3082)+ABS(0.2-M3081*E3082/I3082)+ABS(0.2-N3081*F3082/I3082)),0)</f>
        <v/>
      </c>
      <c r="Q3082">
        <f>P3082*0.0015</f>
        <v/>
      </c>
      <c r="R3082">
        <f>I3082*(1-Q3082)</f>
        <v/>
      </c>
      <c r="S3082">
        <f>R3082/R3081-1</f>
        <v/>
      </c>
      <c r="T3082">
        <f>MAX(T3081,R3082)</f>
        <v/>
      </c>
      <c r="U3082">
        <f>R3082/T3082-1</f>
        <v/>
      </c>
      <c r="V3082" t="n">
        <v>8.690119912515188</v>
      </c>
      <c r="W3082" s="5">
        <f>R3082-V3082</f>
        <v/>
      </c>
    </row>
    <row r="3083">
      <c r="A3083" s="3" t="n">
        <v>42978</v>
      </c>
      <c r="B3083">
        <f>Prices!B3083</f>
        <v/>
      </c>
      <c r="C3083">
        <f>Prices!C3083</f>
        <v/>
      </c>
      <c r="D3083">
        <f>Prices!D3083</f>
        <v/>
      </c>
      <c r="E3083">
        <f>Prices!E3083</f>
        <v/>
      </c>
      <c r="F3083">
        <f>Prices!F3083</f>
        <v/>
      </c>
      <c r="G3083">
        <f>IF(AND(3081&gt;=16,TEXT(A3083,"yyyy-mm")&lt;&gt;TEXT(A3084,"yyyy-mm")),1,0)</f>
        <v/>
      </c>
      <c r="H3083">
        <f>IF(OR(H3082=1,G3083=1),1,0)</f>
        <v/>
      </c>
      <c r="I3083">
        <f>IF(H3082=0,1,SUMPRODUCT(J3082:N3082,B3083:F3083)+O3082*(1+0.00023125256064071564))</f>
        <v/>
      </c>
      <c r="J3083">
        <f>IF(G3083=1,0.2*R3083/B3083,J3082)</f>
        <v/>
      </c>
      <c r="K3083">
        <f>IF(G3083=1,0.2*R3083/C3083,K3082)</f>
        <v/>
      </c>
      <c r="L3083">
        <f>IF(G3083=1,0.2*R3083/D3083,L3082)</f>
        <v/>
      </c>
      <c r="M3083">
        <f>IF(G3083=1,0.2*R3083/E3083,M3082)</f>
        <v/>
      </c>
      <c r="N3083">
        <f>IF(G3083=1,0.2*R3083/F3083,N3082)</f>
        <v/>
      </c>
      <c r="O3083">
        <f>IF(G3083=1,R3083*(1-1.0),IF(H3082=0,1,O3082*(1+0.00023125256064071564)))</f>
        <v/>
      </c>
      <c r="P3083">
        <f>IF(G3083=1,IF(H3082=0,1,ABS(0.2-J3082*B3083/I3083)+ABS(0.2-K3082*C3083/I3083)+ABS(0.2-L3082*D3083/I3083)+ABS(0.2-M3082*E3083/I3083)+ABS(0.2-N3082*F3083/I3083)),0)</f>
        <v/>
      </c>
      <c r="Q3083">
        <f>P3083*0.0015</f>
        <v/>
      </c>
      <c r="R3083">
        <f>I3083*(1-Q3083)</f>
        <v/>
      </c>
      <c r="S3083">
        <f>R3083/R3082-1</f>
        <v/>
      </c>
      <c r="T3083">
        <f>MAX(T3082,R3083)</f>
        <v/>
      </c>
      <c r="U3083">
        <f>R3083/T3083-1</f>
        <v/>
      </c>
      <c r="V3083" t="n">
        <v>8.753718212801743</v>
      </c>
      <c r="W3083" s="5">
        <f>R3083-V3083</f>
        <v/>
      </c>
    </row>
    <row r="3084">
      <c r="A3084" s="3" t="n">
        <v>42979</v>
      </c>
      <c r="B3084">
        <f>Prices!B3084</f>
        <v/>
      </c>
      <c r="C3084">
        <f>Prices!C3084</f>
        <v/>
      </c>
      <c r="D3084">
        <f>Prices!D3084</f>
        <v/>
      </c>
      <c r="E3084">
        <f>Prices!E3084</f>
        <v/>
      </c>
      <c r="F3084">
        <f>Prices!F3084</f>
        <v/>
      </c>
      <c r="G3084">
        <f>IF(AND(3082&gt;=16,TEXT(A3084,"yyyy-mm")&lt;&gt;TEXT(A3085,"yyyy-mm")),1,0)</f>
        <v/>
      </c>
      <c r="H3084">
        <f>IF(OR(H3083=1,G3084=1),1,0)</f>
        <v/>
      </c>
      <c r="I3084">
        <f>IF(H3083=0,1,SUMPRODUCT(J3083:N3083,B3084:F3084)+O3083*(1+0.00023125256064071564))</f>
        <v/>
      </c>
      <c r="J3084">
        <f>IF(G3084=1,0.2*R3084/B3084,J3083)</f>
        <v/>
      </c>
      <c r="K3084">
        <f>IF(G3084=1,0.2*R3084/C3084,K3083)</f>
        <v/>
      </c>
      <c r="L3084">
        <f>IF(G3084=1,0.2*R3084/D3084,L3083)</f>
        <v/>
      </c>
      <c r="M3084">
        <f>IF(G3084=1,0.2*R3084/E3084,M3083)</f>
        <v/>
      </c>
      <c r="N3084">
        <f>IF(G3084=1,0.2*R3084/F3084,N3083)</f>
        <v/>
      </c>
      <c r="O3084">
        <f>IF(G3084=1,R3084*(1-1.0),IF(H3083=0,1,O3083*(1+0.00023125256064071564)))</f>
        <v/>
      </c>
      <c r="P3084">
        <f>IF(G3084=1,IF(H3083=0,1,ABS(0.2-J3083*B3084/I3084)+ABS(0.2-K3083*C3084/I3084)+ABS(0.2-L3083*D3084/I3084)+ABS(0.2-M3083*E3084/I3084)+ABS(0.2-N3083*F3084/I3084)),0)</f>
        <v/>
      </c>
      <c r="Q3084">
        <f>P3084*0.0015</f>
        <v/>
      </c>
      <c r="R3084">
        <f>I3084*(1-Q3084)</f>
        <v/>
      </c>
      <c r="S3084">
        <f>R3084/R3083-1</f>
        <v/>
      </c>
      <c r="T3084">
        <f>MAX(T3083,R3084)</f>
        <v/>
      </c>
      <c r="U3084">
        <f>R3084/T3084-1</f>
        <v/>
      </c>
      <c r="V3084" t="n">
        <v>8.841248289263699</v>
      </c>
      <c r="W3084" s="5">
        <f>R3084-V3084</f>
        <v/>
      </c>
    </row>
    <row r="3085">
      <c r="A3085" s="3" t="n">
        <v>42982</v>
      </c>
      <c r="B3085">
        <f>Prices!B3085</f>
        <v/>
      </c>
      <c r="C3085">
        <f>Prices!C3085</f>
        <v/>
      </c>
      <c r="D3085">
        <f>Prices!D3085</f>
        <v/>
      </c>
      <c r="E3085">
        <f>Prices!E3085</f>
        <v/>
      </c>
      <c r="F3085">
        <f>Prices!F3085</f>
        <v/>
      </c>
      <c r="G3085">
        <f>IF(AND(3083&gt;=16,TEXT(A3085,"yyyy-mm")&lt;&gt;TEXT(A3086,"yyyy-mm")),1,0)</f>
        <v/>
      </c>
      <c r="H3085">
        <f>IF(OR(H3084=1,G3085=1),1,0)</f>
        <v/>
      </c>
      <c r="I3085">
        <f>IF(H3084=0,1,SUMPRODUCT(J3084:N3084,B3085:F3085)+O3084*(1+0.00023125256064071564))</f>
        <v/>
      </c>
      <c r="J3085">
        <f>IF(G3085=1,0.2*R3085/B3085,J3084)</f>
        <v/>
      </c>
      <c r="K3085">
        <f>IF(G3085=1,0.2*R3085/C3085,K3084)</f>
        <v/>
      </c>
      <c r="L3085">
        <f>IF(G3085=1,0.2*R3085/D3085,L3084)</f>
        <v/>
      </c>
      <c r="M3085">
        <f>IF(G3085=1,0.2*R3085/E3085,M3084)</f>
        <v/>
      </c>
      <c r="N3085">
        <f>IF(G3085=1,0.2*R3085/F3085,N3084)</f>
        <v/>
      </c>
      <c r="O3085">
        <f>IF(G3085=1,R3085*(1-1.0),IF(H3084=0,1,O3084*(1+0.00023125256064071564)))</f>
        <v/>
      </c>
      <c r="P3085">
        <f>IF(G3085=1,IF(H3084=0,1,ABS(0.2-J3084*B3085/I3085)+ABS(0.2-K3084*C3085/I3085)+ABS(0.2-L3084*D3085/I3085)+ABS(0.2-M3084*E3085/I3085)+ABS(0.2-N3084*F3085/I3085)),0)</f>
        <v/>
      </c>
      <c r="Q3085">
        <f>P3085*0.0015</f>
        <v/>
      </c>
      <c r="R3085">
        <f>I3085*(1-Q3085)</f>
        <v/>
      </c>
      <c r="S3085">
        <f>R3085/R3084-1</f>
        <v/>
      </c>
      <c r="T3085">
        <f>MAX(T3084,R3085)</f>
        <v/>
      </c>
      <c r="U3085">
        <f>R3085/T3085-1</f>
        <v/>
      </c>
      <c r="V3085" t="n">
        <v>8.777275899343534</v>
      </c>
      <c r="W3085" s="5">
        <f>R3085-V3085</f>
        <v/>
      </c>
    </row>
    <row r="3086">
      <c r="A3086" s="3" t="n">
        <v>42983</v>
      </c>
      <c r="B3086">
        <f>Prices!B3086</f>
        <v/>
      </c>
      <c r="C3086">
        <f>Prices!C3086</f>
        <v/>
      </c>
      <c r="D3086">
        <f>Prices!D3086</f>
        <v/>
      </c>
      <c r="E3086">
        <f>Prices!E3086</f>
        <v/>
      </c>
      <c r="F3086">
        <f>Prices!F3086</f>
        <v/>
      </c>
      <c r="G3086">
        <f>IF(AND(3084&gt;=16,TEXT(A3086,"yyyy-mm")&lt;&gt;TEXT(A3087,"yyyy-mm")),1,0)</f>
        <v/>
      </c>
      <c r="H3086">
        <f>IF(OR(H3085=1,G3086=1),1,0)</f>
        <v/>
      </c>
      <c r="I3086">
        <f>IF(H3085=0,1,SUMPRODUCT(J3085:N3085,B3086:F3086)+O3085*(1+0.00023125256064071564))</f>
        <v/>
      </c>
      <c r="J3086">
        <f>IF(G3086=1,0.2*R3086/B3086,J3085)</f>
        <v/>
      </c>
      <c r="K3086">
        <f>IF(G3086=1,0.2*R3086/C3086,K3085)</f>
        <v/>
      </c>
      <c r="L3086">
        <f>IF(G3086=1,0.2*R3086/D3086,L3085)</f>
        <v/>
      </c>
      <c r="M3086">
        <f>IF(G3086=1,0.2*R3086/E3086,M3085)</f>
        <v/>
      </c>
      <c r="N3086">
        <f>IF(G3086=1,0.2*R3086/F3086,N3085)</f>
        <v/>
      </c>
      <c r="O3086">
        <f>IF(G3086=1,R3086*(1-1.0),IF(H3085=0,1,O3085*(1+0.00023125256064071564)))</f>
        <v/>
      </c>
      <c r="P3086">
        <f>IF(G3086=1,IF(H3085=0,1,ABS(0.2-J3085*B3086/I3086)+ABS(0.2-K3085*C3086/I3086)+ABS(0.2-L3085*D3086/I3086)+ABS(0.2-M3085*E3086/I3086)+ABS(0.2-N3085*F3086/I3086)),0)</f>
        <v/>
      </c>
      <c r="Q3086">
        <f>P3086*0.0015</f>
        <v/>
      </c>
      <c r="R3086">
        <f>I3086*(1-Q3086)</f>
        <v/>
      </c>
      <c r="S3086">
        <f>R3086/R3085-1</f>
        <v/>
      </c>
      <c r="T3086">
        <f>MAX(T3085,R3086)</f>
        <v/>
      </c>
      <c r="U3086">
        <f>R3086/T3086-1</f>
        <v/>
      </c>
      <c r="V3086" t="n">
        <v>8.861021954380114</v>
      </c>
      <c r="W3086" s="5">
        <f>R3086-V3086</f>
        <v/>
      </c>
    </row>
    <row r="3087">
      <c r="A3087" s="3" t="n">
        <v>42984</v>
      </c>
      <c r="B3087">
        <f>Prices!B3087</f>
        <v/>
      </c>
      <c r="C3087">
        <f>Prices!C3087</f>
        <v/>
      </c>
      <c r="D3087">
        <f>Prices!D3087</f>
        <v/>
      </c>
      <c r="E3087">
        <f>Prices!E3087</f>
        <v/>
      </c>
      <c r="F3087">
        <f>Prices!F3087</f>
        <v/>
      </c>
      <c r="G3087">
        <f>IF(AND(3085&gt;=16,TEXT(A3087,"yyyy-mm")&lt;&gt;TEXT(A3088,"yyyy-mm")),1,0)</f>
        <v/>
      </c>
      <c r="H3087">
        <f>IF(OR(H3086=1,G3087=1),1,0)</f>
        <v/>
      </c>
      <c r="I3087">
        <f>IF(H3086=0,1,SUMPRODUCT(J3086:N3086,B3087:F3087)+O3086*(1+0.00023125256064071564))</f>
        <v/>
      </c>
      <c r="J3087">
        <f>IF(G3087=1,0.2*R3087/B3087,J3086)</f>
        <v/>
      </c>
      <c r="K3087">
        <f>IF(G3087=1,0.2*R3087/C3087,K3086)</f>
        <v/>
      </c>
      <c r="L3087">
        <f>IF(G3087=1,0.2*R3087/D3087,L3086)</f>
        <v/>
      </c>
      <c r="M3087">
        <f>IF(G3087=1,0.2*R3087/E3087,M3086)</f>
        <v/>
      </c>
      <c r="N3087">
        <f>IF(G3087=1,0.2*R3087/F3087,N3086)</f>
        <v/>
      </c>
      <c r="O3087">
        <f>IF(G3087=1,R3087*(1-1.0),IF(H3086=0,1,O3086*(1+0.00023125256064071564)))</f>
        <v/>
      </c>
      <c r="P3087">
        <f>IF(G3087=1,IF(H3086=0,1,ABS(0.2-J3086*B3087/I3087)+ABS(0.2-K3086*C3087/I3087)+ABS(0.2-L3086*D3087/I3087)+ABS(0.2-M3086*E3087/I3087)+ABS(0.2-N3086*F3087/I3087)),0)</f>
        <v/>
      </c>
      <c r="Q3087">
        <f>P3087*0.0015</f>
        <v/>
      </c>
      <c r="R3087">
        <f>I3087*(1-Q3087)</f>
        <v/>
      </c>
      <c r="S3087">
        <f>R3087/R3086-1</f>
        <v/>
      </c>
      <c r="T3087">
        <f>MAX(T3086,R3087)</f>
        <v/>
      </c>
      <c r="U3087">
        <f>R3087/T3087-1</f>
        <v/>
      </c>
      <c r="V3087" t="n">
        <v>8.867737587356897</v>
      </c>
      <c r="W3087" s="5">
        <f>R3087-V3087</f>
        <v/>
      </c>
    </row>
    <row r="3088">
      <c r="A3088" s="3" t="n">
        <v>42985</v>
      </c>
      <c r="B3088">
        <f>Prices!B3088</f>
        <v/>
      </c>
      <c r="C3088">
        <f>Prices!C3088</f>
        <v/>
      </c>
      <c r="D3088">
        <f>Prices!D3088</f>
        <v/>
      </c>
      <c r="E3088">
        <f>Prices!E3088</f>
        <v/>
      </c>
      <c r="F3088">
        <f>Prices!F3088</f>
        <v/>
      </c>
      <c r="G3088">
        <f>IF(AND(3086&gt;=16,TEXT(A3088,"yyyy-mm")&lt;&gt;TEXT(A3089,"yyyy-mm")),1,0)</f>
        <v/>
      </c>
      <c r="H3088">
        <f>IF(OR(H3087=1,G3088=1),1,0)</f>
        <v/>
      </c>
      <c r="I3088">
        <f>IF(H3087=0,1,SUMPRODUCT(J3087:N3087,B3088:F3088)+O3087*(1+0.00023125256064071564))</f>
        <v/>
      </c>
      <c r="J3088">
        <f>IF(G3088=1,0.2*R3088/B3088,J3087)</f>
        <v/>
      </c>
      <c r="K3088">
        <f>IF(G3088=1,0.2*R3088/C3088,K3087)</f>
        <v/>
      </c>
      <c r="L3088">
        <f>IF(G3088=1,0.2*R3088/D3088,L3087)</f>
        <v/>
      </c>
      <c r="M3088">
        <f>IF(G3088=1,0.2*R3088/E3088,M3087)</f>
        <v/>
      </c>
      <c r="N3088">
        <f>IF(G3088=1,0.2*R3088/F3088,N3087)</f>
        <v/>
      </c>
      <c r="O3088">
        <f>IF(G3088=1,R3088*(1-1.0),IF(H3087=0,1,O3087*(1+0.00023125256064071564)))</f>
        <v/>
      </c>
      <c r="P3088">
        <f>IF(G3088=1,IF(H3087=0,1,ABS(0.2-J3087*B3088/I3088)+ABS(0.2-K3087*C3088/I3088)+ABS(0.2-L3087*D3088/I3088)+ABS(0.2-M3087*E3088/I3088)+ABS(0.2-N3087*F3088/I3088)),0)</f>
        <v/>
      </c>
      <c r="Q3088">
        <f>P3088*0.0015</f>
        <v/>
      </c>
      <c r="R3088">
        <f>I3088*(1-Q3088)</f>
        <v/>
      </c>
      <c r="S3088">
        <f>R3088/R3087-1</f>
        <v/>
      </c>
      <c r="T3088">
        <f>MAX(T3087,R3088)</f>
        <v/>
      </c>
      <c r="U3088">
        <f>R3088/T3088-1</f>
        <v/>
      </c>
      <c r="V3088" t="n">
        <v>8.917764516910525</v>
      </c>
      <c r="W3088" s="5">
        <f>R3088-V3088</f>
        <v/>
      </c>
    </row>
    <row r="3089">
      <c r="A3089" s="3" t="n">
        <v>42986</v>
      </c>
      <c r="B3089">
        <f>Prices!B3089</f>
        <v/>
      </c>
      <c r="C3089">
        <f>Prices!C3089</f>
        <v/>
      </c>
      <c r="D3089">
        <f>Prices!D3089</f>
        <v/>
      </c>
      <c r="E3089">
        <f>Prices!E3089</f>
        <v/>
      </c>
      <c r="F3089">
        <f>Prices!F3089</f>
        <v/>
      </c>
      <c r="G3089">
        <f>IF(AND(3087&gt;=16,TEXT(A3089,"yyyy-mm")&lt;&gt;TEXT(A3090,"yyyy-mm")),1,0)</f>
        <v/>
      </c>
      <c r="H3089">
        <f>IF(OR(H3088=1,G3089=1),1,0)</f>
        <v/>
      </c>
      <c r="I3089">
        <f>IF(H3088=0,1,SUMPRODUCT(J3088:N3088,B3089:F3089)+O3088*(1+0.00023125256064071564))</f>
        <v/>
      </c>
      <c r="J3089">
        <f>IF(G3089=1,0.2*R3089/B3089,J3088)</f>
        <v/>
      </c>
      <c r="K3089">
        <f>IF(G3089=1,0.2*R3089/C3089,K3088)</f>
        <v/>
      </c>
      <c r="L3089">
        <f>IF(G3089=1,0.2*R3089/D3089,L3088)</f>
        <v/>
      </c>
      <c r="M3089">
        <f>IF(G3089=1,0.2*R3089/E3089,M3088)</f>
        <v/>
      </c>
      <c r="N3089">
        <f>IF(G3089=1,0.2*R3089/F3089,N3088)</f>
        <v/>
      </c>
      <c r="O3089">
        <f>IF(G3089=1,R3089*(1-1.0),IF(H3088=0,1,O3088*(1+0.00023125256064071564)))</f>
        <v/>
      </c>
      <c r="P3089">
        <f>IF(G3089=1,IF(H3088=0,1,ABS(0.2-J3088*B3089/I3089)+ABS(0.2-K3088*C3089/I3089)+ABS(0.2-L3088*D3089/I3089)+ABS(0.2-M3088*E3089/I3089)+ABS(0.2-N3088*F3089/I3089)),0)</f>
        <v/>
      </c>
      <c r="Q3089">
        <f>P3089*0.0015</f>
        <v/>
      </c>
      <c r="R3089">
        <f>I3089*(1-Q3089)</f>
        <v/>
      </c>
      <c r="S3089">
        <f>R3089/R3088-1</f>
        <v/>
      </c>
      <c r="T3089">
        <f>MAX(T3088,R3089)</f>
        <v/>
      </c>
      <c r="U3089">
        <f>R3089/T3089-1</f>
        <v/>
      </c>
      <c r="V3089" t="n">
        <v>8.886287329424094</v>
      </c>
      <c r="W3089" s="5">
        <f>R3089-V3089</f>
        <v/>
      </c>
    </row>
    <row r="3090">
      <c r="A3090" s="3" t="n">
        <v>42989</v>
      </c>
      <c r="B3090">
        <f>Prices!B3090</f>
        <v/>
      </c>
      <c r="C3090">
        <f>Prices!C3090</f>
        <v/>
      </c>
      <c r="D3090">
        <f>Prices!D3090</f>
        <v/>
      </c>
      <c r="E3090">
        <f>Prices!E3090</f>
        <v/>
      </c>
      <c r="F3090">
        <f>Prices!F3090</f>
        <v/>
      </c>
      <c r="G3090">
        <f>IF(AND(3088&gt;=16,TEXT(A3090,"yyyy-mm")&lt;&gt;TEXT(A3091,"yyyy-mm")),1,0)</f>
        <v/>
      </c>
      <c r="H3090">
        <f>IF(OR(H3089=1,G3090=1),1,0)</f>
        <v/>
      </c>
      <c r="I3090">
        <f>IF(H3089=0,1,SUMPRODUCT(J3089:N3089,B3090:F3090)+O3089*(1+0.00023125256064071564))</f>
        <v/>
      </c>
      <c r="J3090">
        <f>IF(G3090=1,0.2*R3090/B3090,J3089)</f>
        <v/>
      </c>
      <c r="K3090">
        <f>IF(G3090=1,0.2*R3090/C3090,K3089)</f>
        <v/>
      </c>
      <c r="L3090">
        <f>IF(G3090=1,0.2*R3090/D3090,L3089)</f>
        <v/>
      </c>
      <c r="M3090">
        <f>IF(G3090=1,0.2*R3090/E3090,M3089)</f>
        <v/>
      </c>
      <c r="N3090">
        <f>IF(G3090=1,0.2*R3090/F3090,N3089)</f>
        <v/>
      </c>
      <c r="O3090">
        <f>IF(G3090=1,R3090*(1-1.0),IF(H3089=0,1,O3089*(1+0.00023125256064071564)))</f>
        <v/>
      </c>
      <c r="P3090">
        <f>IF(G3090=1,IF(H3089=0,1,ABS(0.2-J3089*B3090/I3090)+ABS(0.2-K3089*C3090/I3090)+ABS(0.2-L3089*D3090/I3090)+ABS(0.2-M3089*E3090/I3090)+ABS(0.2-N3089*F3090/I3090)),0)</f>
        <v/>
      </c>
      <c r="Q3090">
        <f>P3090*0.0015</f>
        <v/>
      </c>
      <c r="R3090">
        <f>I3090*(1-Q3090)</f>
        <v/>
      </c>
      <c r="S3090">
        <f>R3090/R3089-1</f>
        <v/>
      </c>
      <c r="T3090">
        <f>MAX(T3089,R3090)</f>
        <v/>
      </c>
      <c r="U3090">
        <f>R3090/T3090-1</f>
        <v/>
      </c>
      <c r="V3090" t="n">
        <v>8.939264544884084</v>
      </c>
      <c r="W3090" s="5">
        <f>R3090-V3090</f>
        <v/>
      </c>
    </row>
    <row r="3091">
      <c r="A3091" s="3" t="n">
        <v>42990</v>
      </c>
      <c r="B3091">
        <f>Prices!B3091</f>
        <v/>
      </c>
      <c r="C3091">
        <f>Prices!C3091</f>
        <v/>
      </c>
      <c r="D3091">
        <f>Prices!D3091</f>
        <v/>
      </c>
      <c r="E3091">
        <f>Prices!E3091</f>
        <v/>
      </c>
      <c r="F3091">
        <f>Prices!F3091</f>
        <v/>
      </c>
      <c r="G3091">
        <f>IF(AND(3089&gt;=16,TEXT(A3091,"yyyy-mm")&lt;&gt;TEXT(A3092,"yyyy-mm")),1,0)</f>
        <v/>
      </c>
      <c r="H3091">
        <f>IF(OR(H3090=1,G3091=1),1,0)</f>
        <v/>
      </c>
      <c r="I3091">
        <f>IF(H3090=0,1,SUMPRODUCT(J3090:N3090,B3091:F3091)+O3090*(1+0.00023125256064071564))</f>
        <v/>
      </c>
      <c r="J3091">
        <f>IF(G3091=1,0.2*R3091/B3091,J3090)</f>
        <v/>
      </c>
      <c r="K3091">
        <f>IF(G3091=1,0.2*R3091/C3091,K3090)</f>
        <v/>
      </c>
      <c r="L3091">
        <f>IF(G3091=1,0.2*R3091/D3091,L3090)</f>
        <v/>
      </c>
      <c r="M3091">
        <f>IF(G3091=1,0.2*R3091/E3091,M3090)</f>
        <v/>
      </c>
      <c r="N3091">
        <f>IF(G3091=1,0.2*R3091/F3091,N3090)</f>
        <v/>
      </c>
      <c r="O3091">
        <f>IF(G3091=1,R3091*(1-1.0),IF(H3090=0,1,O3090*(1+0.00023125256064071564)))</f>
        <v/>
      </c>
      <c r="P3091">
        <f>IF(G3091=1,IF(H3090=0,1,ABS(0.2-J3090*B3091/I3091)+ABS(0.2-K3090*C3091/I3091)+ABS(0.2-L3090*D3091/I3091)+ABS(0.2-M3090*E3091/I3091)+ABS(0.2-N3090*F3091/I3091)),0)</f>
        <v/>
      </c>
      <c r="Q3091">
        <f>P3091*0.0015</f>
        <v/>
      </c>
      <c r="R3091">
        <f>I3091*(1-Q3091)</f>
        <v/>
      </c>
      <c r="S3091">
        <f>R3091/R3090-1</f>
        <v/>
      </c>
      <c r="T3091">
        <f>MAX(T3090,R3091)</f>
        <v/>
      </c>
      <c r="U3091">
        <f>R3091/T3091-1</f>
        <v/>
      </c>
      <c r="V3091" t="n">
        <v>9.020866169294177</v>
      </c>
      <c r="W3091" s="5">
        <f>R3091-V3091</f>
        <v/>
      </c>
    </row>
    <row r="3092">
      <c r="A3092" s="3" t="n">
        <v>42991</v>
      </c>
      <c r="B3092">
        <f>Prices!B3092</f>
        <v/>
      </c>
      <c r="C3092">
        <f>Prices!C3092</f>
        <v/>
      </c>
      <c r="D3092">
        <f>Prices!D3092</f>
        <v/>
      </c>
      <c r="E3092">
        <f>Prices!E3092</f>
        <v/>
      </c>
      <c r="F3092">
        <f>Prices!F3092</f>
        <v/>
      </c>
      <c r="G3092">
        <f>IF(AND(3090&gt;=16,TEXT(A3092,"yyyy-mm")&lt;&gt;TEXT(A3093,"yyyy-mm")),1,0)</f>
        <v/>
      </c>
      <c r="H3092">
        <f>IF(OR(H3091=1,G3092=1),1,0)</f>
        <v/>
      </c>
      <c r="I3092">
        <f>IF(H3091=0,1,SUMPRODUCT(J3091:N3091,B3092:F3092)+O3091*(1+0.00023125256064071564))</f>
        <v/>
      </c>
      <c r="J3092">
        <f>IF(G3092=1,0.2*R3092/B3092,J3091)</f>
        <v/>
      </c>
      <c r="K3092">
        <f>IF(G3092=1,0.2*R3092/C3092,K3091)</f>
        <v/>
      </c>
      <c r="L3092">
        <f>IF(G3092=1,0.2*R3092/D3092,L3091)</f>
        <v/>
      </c>
      <c r="M3092">
        <f>IF(G3092=1,0.2*R3092/E3092,M3091)</f>
        <v/>
      </c>
      <c r="N3092">
        <f>IF(G3092=1,0.2*R3092/F3092,N3091)</f>
        <v/>
      </c>
      <c r="O3092">
        <f>IF(G3092=1,R3092*(1-1.0),IF(H3091=0,1,O3091*(1+0.00023125256064071564)))</f>
        <v/>
      </c>
      <c r="P3092">
        <f>IF(G3092=1,IF(H3091=0,1,ABS(0.2-J3091*B3092/I3092)+ABS(0.2-K3091*C3092/I3092)+ABS(0.2-L3091*D3092/I3092)+ABS(0.2-M3091*E3092/I3092)+ABS(0.2-N3091*F3092/I3092)),0)</f>
        <v/>
      </c>
      <c r="Q3092">
        <f>P3092*0.0015</f>
        <v/>
      </c>
      <c r="R3092">
        <f>I3092*(1-Q3092)</f>
        <v/>
      </c>
      <c r="S3092">
        <f>R3092/R3091-1</f>
        <v/>
      </c>
      <c r="T3092">
        <f>MAX(T3091,R3092)</f>
        <v/>
      </c>
      <c r="U3092">
        <f>R3092/T3092-1</f>
        <v/>
      </c>
      <c r="V3092" t="n">
        <v>8.956928346770509</v>
      </c>
      <c r="W3092" s="5">
        <f>R3092-V3092</f>
        <v/>
      </c>
    </row>
    <row r="3093">
      <c r="A3093" s="3" t="n">
        <v>42992</v>
      </c>
      <c r="B3093">
        <f>Prices!B3093</f>
        <v/>
      </c>
      <c r="C3093">
        <f>Prices!C3093</f>
        <v/>
      </c>
      <c r="D3093">
        <f>Prices!D3093</f>
        <v/>
      </c>
      <c r="E3093">
        <f>Prices!E3093</f>
        <v/>
      </c>
      <c r="F3093">
        <f>Prices!F3093</f>
        <v/>
      </c>
      <c r="G3093">
        <f>IF(AND(3091&gt;=16,TEXT(A3093,"yyyy-mm")&lt;&gt;TEXT(A3094,"yyyy-mm")),1,0)</f>
        <v/>
      </c>
      <c r="H3093">
        <f>IF(OR(H3092=1,G3093=1),1,0)</f>
        <v/>
      </c>
      <c r="I3093">
        <f>IF(H3092=0,1,SUMPRODUCT(J3092:N3092,B3093:F3093)+O3092*(1+0.00023125256064071564))</f>
        <v/>
      </c>
      <c r="J3093">
        <f>IF(G3093=1,0.2*R3093/B3093,J3092)</f>
        <v/>
      </c>
      <c r="K3093">
        <f>IF(G3093=1,0.2*R3093/C3093,K3092)</f>
        <v/>
      </c>
      <c r="L3093">
        <f>IF(G3093=1,0.2*R3093/D3093,L3092)</f>
        <v/>
      </c>
      <c r="M3093">
        <f>IF(G3093=1,0.2*R3093/E3093,M3092)</f>
        <v/>
      </c>
      <c r="N3093">
        <f>IF(G3093=1,0.2*R3093/F3093,N3092)</f>
        <v/>
      </c>
      <c r="O3093">
        <f>IF(G3093=1,R3093*(1-1.0),IF(H3092=0,1,O3092*(1+0.00023125256064071564)))</f>
        <v/>
      </c>
      <c r="P3093">
        <f>IF(G3093=1,IF(H3092=0,1,ABS(0.2-J3092*B3093/I3093)+ABS(0.2-K3092*C3093/I3093)+ABS(0.2-L3092*D3093/I3093)+ABS(0.2-M3092*E3093/I3093)+ABS(0.2-N3092*F3093/I3093)),0)</f>
        <v/>
      </c>
      <c r="Q3093">
        <f>P3093*0.0015</f>
        <v/>
      </c>
      <c r="R3093">
        <f>I3093*(1-Q3093)</f>
        <v/>
      </c>
      <c r="S3093">
        <f>R3093/R3092-1</f>
        <v/>
      </c>
      <c r="T3093">
        <f>MAX(T3092,R3093)</f>
        <v/>
      </c>
      <c r="U3093">
        <f>R3093/T3093-1</f>
        <v/>
      </c>
      <c r="V3093" t="n">
        <v>8.974773677992081</v>
      </c>
      <c r="W3093" s="5">
        <f>R3093-V3093</f>
        <v/>
      </c>
    </row>
    <row r="3094">
      <c r="A3094" s="3" t="n">
        <v>42993</v>
      </c>
      <c r="B3094">
        <f>Prices!B3094</f>
        <v/>
      </c>
      <c r="C3094">
        <f>Prices!C3094</f>
        <v/>
      </c>
      <c r="D3094">
        <f>Prices!D3094</f>
        <v/>
      </c>
      <c r="E3094">
        <f>Prices!E3094</f>
        <v/>
      </c>
      <c r="F3094">
        <f>Prices!F3094</f>
        <v/>
      </c>
      <c r="G3094">
        <f>IF(AND(3092&gt;=16,TEXT(A3094,"yyyy-mm")&lt;&gt;TEXT(A3095,"yyyy-mm")),1,0)</f>
        <v/>
      </c>
      <c r="H3094">
        <f>IF(OR(H3093=1,G3094=1),1,0)</f>
        <v/>
      </c>
      <c r="I3094">
        <f>IF(H3093=0,1,SUMPRODUCT(J3093:N3093,B3094:F3094)+O3093*(1+0.00023125256064071564))</f>
        <v/>
      </c>
      <c r="J3094">
        <f>IF(G3094=1,0.2*R3094/B3094,J3093)</f>
        <v/>
      </c>
      <c r="K3094">
        <f>IF(G3094=1,0.2*R3094/C3094,K3093)</f>
        <v/>
      </c>
      <c r="L3094">
        <f>IF(G3094=1,0.2*R3094/D3094,L3093)</f>
        <v/>
      </c>
      <c r="M3094">
        <f>IF(G3094=1,0.2*R3094/E3094,M3093)</f>
        <v/>
      </c>
      <c r="N3094">
        <f>IF(G3094=1,0.2*R3094/F3094,N3093)</f>
        <v/>
      </c>
      <c r="O3094">
        <f>IF(G3094=1,R3094*(1-1.0),IF(H3093=0,1,O3093*(1+0.00023125256064071564)))</f>
        <v/>
      </c>
      <c r="P3094">
        <f>IF(G3094=1,IF(H3093=0,1,ABS(0.2-J3093*B3094/I3094)+ABS(0.2-K3093*C3094/I3094)+ABS(0.2-L3093*D3094/I3094)+ABS(0.2-M3093*E3094/I3094)+ABS(0.2-N3093*F3094/I3094)),0)</f>
        <v/>
      </c>
      <c r="Q3094">
        <f>P3094*0.0015</f>
        <v/>
      </c>
      <c r="R3094">
        <f>I3094*(1-Q3094)</f>
        <v/>
      </c>
      <c r="S3094">
        <f>R3094/R3093-1</f>
        <v/>
      </c>
      <c r="T3094">
        <f>MAX(T3093,R3094)</f>
        <v/>
      </c>
      <c r="U3094">
        <f>R3094/T3094-1</f>
        <v/>
      </c>
      <c r="V3094" t="n">
        <v>8.997621502078733</v>
      </c>
      <c r="W3094" s="5">
        <f>R3094-V3094</f>
        <v/>
      </c>
    </row>
    <row r="3095">
      <c r="A3095" s="3" t="n">
        <v>42996</v>
      </c>
      <c r="B3095">
        <f>Prices!B3095</f>
        <v/>
      </c>
      <c r="C3095">
        <f>Prices!C3095</f>
        <v/>
      </c>
      <c r="D3095">
        <f>Prices!D3095</f>
        <v/>
      </c>
      <c r="E3095">
        <f>Prices!E3095</f>
        <v/>
      </c>
      <c r="F3095">
        <f>Prices!F3095</f>
        <v/>
      </c>
      <c r="G3095">
        <f>IF(AND(3093&gt;=16,TEXT(A3095,"yyyy-mm")&lt;&gt;TEXT(A3096,"yyyy-mm")),1,0)</f>
        <v/>
      </c>
      <c r="H3095">
        <f>IF(OR(H3094=1,G3095=1),1,0)</f>
        <v/>
      </c>
      <c r="I3095">
        <f>IF(H3094=0,1,SUMPRODUCT(J3094:N3094,B3095:F3095)+O3094*(1+0.00023125256064071564))</f>
        <v/>
      </c>
      <c r="J3095">
        <f>IF(G3095=1,0.2*R3095/B3095,J3094)</f>
        <v/>
      </c>
      <c r="K3095">
        <f>IF(G3095=1,0.2*R3095/C3095,K3094)</f>
        <v/>
      </c>
      <c r="L3095">
        <f>IF(G3095=1,0.2*R3095/D3095,L3094)</f>
        <v/>
      </c>
      <c r="M3095">
        <f>IF(G3095=1,0.2*R3095/E3095,M3094)</f>
        <v/>
      </c>
      <c r="N3095">
        <f>IF(G3095=1,0.2*R3095/F3095,N3094)</f>
        <v/>
      </c>
      <c r="O3095">
        <f>IF(G3095=1,R3095*(1-1.0),IF(H3094=0,1,O3094*(1+0.00023125256064071564)))</f>
        <v/>
      </c>
      <c r="P3095">
        <f>IF(G3095=1,IF(H3094=0,1,ABS(0.2-J3094*B3095/I3095)+ABS(0.2-K3094*C3095/I3095)+ABS(0.2-L3094*D3095/I3095)+ABS(0.2-M3094*E3095/I3095)+ABS(0.2-N3094*F3095/I3095)),0)</f>
        <v/>
      </c>
      <c r="Q3095">
        <f>P3095*0.0015</f>
        <v/>
      </c>
      <c r="R3095">
        <f>I3095*(1-Q3095)</f>
        <v/>
      </c>
      <c r="S3095">
        <f>R3095/R3094-1</f>
        <v/>
      </c>
      <c r="T3095">
        <f>MAX(T3094,R3095)</f>
        <v/>
      </c>
      <c r="U3095">
        <f>R3095/T3095-1</f>
        <v/>
      </c>
      <c r="V3095" t="n">
        <v>9.065425437368036</v>
      </c>
      <c r="W3095" s="5">
        <f>R3095-V3095</f>
        <v/>
      </c>
    </row>
    <row r="3096">
      <c r="A3096" s="3" t="n">
        <v>42997</v>
      </c>
      <c r="B3096">
        <f>Prices!B3096</f>
        <v/>
      </c>
      <c r="C3096">
        <f>Prices!C3096</f>
        <v/>
      </c>
      <c r="D3096">
        <f>Prices!D3096</f>
        <v/>
      </c>
      <c r="E3096">
        <f>Prices!E3096</f>
        <v/>
      </c>
      <c r="F3096">
        <f>Prices!F3096</f>
        <v/>
      </c>
      <c r="G3096">
        <f>IF(AND(3094&gt;=16,TEXT(A3096,"yyyy-mm")&lt;&gt;TEXT(A3097,"yyyy-mm")),1,0)</f>
        <v/>
      </c>
      <c r="H3096">
        <f>IF(OR(H3095=1,G3096=1),1,0)</f>
        <v/>
      </c>
      <c r="I3096">
        <f>IF(H3095=0,1,SUMPRODUCT(J3095:N3095,B3096:F3096)+O3095*(1+0.00023125256064071564))</f>
        <v/>
      </c>
      <c r="J3096">
        <f>IF(G3096=1,0.2*R3096/B3096,J3095)</f>
        <v/>
      </c>
      <c r="K3096">
        <f>IF(G3096=1,0.2*R3096/C3096,K3095)</f>
        <v/>
      </c>
      <c r="L3096">
        <f>IF(G3096=1,0.2*R3096/D3096,L3095)</f>
        <v/>
      </c>
      <c r="M3096">
        <f>IF(G3096=1,0.2*R3096/E3096,M3095)</f>
        <v/>
      </c>
      <c r="N3096">
        <f>IF(G3096=1,0.2*R3096/F3096,N3095)</f>
        <v/>
      </c>
      <c r="O3096">
        <f>IF(G3096=1,R3096*(1-1.0),IF(H3095=0,1,O3095*(1+0.00023125256064071564)))</f>
        <v/>
      </c>
      <c r="P3096">
        <f>IF(G3096=1,IF(H3095=0,1,ABS(0.2-J3095*B3096/I3096)+ABS(0.2-K3095*C3096/I3096)+ABS(0.2-L3095*D3096/I3096)+ABS(0.2-M3095*E3096/I3096)+ABS(0.2-N3095*F3096/I3096)),0)</f>
        <v/>
      </c>
      <c r="Q3096">
        <f>P3096*0.0015</f>
        <v/>
      </c>
      <c r="R3096">
        <f>I3096*(1-Q3096)</f>
        <v/>
      </c>
      <c r="S3096">
        <f>R3096/R3095-1</f>
        <v/>
      </c>
      <c r="T3096">
        <f>MAX(T3095,R3096)</f>
        <v/>
      </c>
      <c r="U3096">
        <f>R3096/T3096-1</f>
        <v/>
      </c>
      <c r="V3096" t="n">
        <v>9.088048703675472</v>
      </c>
      <c r="W3096" s="5">
        <f>R3096-V3096</f>
        <v/>
      </c>
    </row>
    <row r="3097">
      <c r="A3097" s="3" t="n">
        <v>42998</v>
      </c>
      <c r="B3097">
        <f>Prices!B3097</f>
        <v/>
      </c>
      <c r="C3097">
        <f>Prices!C3097</f>
        <v/>
      </c>
      <c r="D3097">
        <f>Prices!D3097</f>
        <v/>
      </c>
      <c r="E3097">
        <f>Prices!E3097</f>
        <v/>
      </c>
      <c r="F3097">
        <f>Prices!F3097</f>
        <v/>
      </c>
      <c r="G3097">
        <f>IF(AND(3095&gt;=16,TEXT(A3097,"yyyy-mm")&lt;&gt;TEXT(A3098,"yyyy-mm")),1,0)</f>
        <v/>
      </c>
      <c r="H3097">
        <f>IF(OR(H3096=1,G3097=1),1,0)</f>
        <v/>
      </c>
      <c r="I3097">
        <f>IF(H3096=0,1,SUMPRODUCT(J3096:N3096,B3097:F3097)+O3096*(1+0.00023125256064071564))</f>
        <v/>
      </c>
      <c r="J3097">
        <f>IF(G3097=1,0.2*R3097/B3097,J3096)</f>
        <v/>
      </c>
      <c r="K3097">
        <f>IF(G3097=1,0.2*R3097/C3097,K3096)</f>
        <v/>
      </c>
      <c r="L3097">
        <f>IF(G3097=1,0.2*R3097/D3097,L3096)</f>
        <v/>
      </c>
      <c r="M3097">
        <f>IF(G3097=1,0.2*R3097/E3097,M3096)</f>
        <v/>
      </c>
      <c r="N3097">
        <f>IF(G3097=1,0.2*R3097/F3097,N3096)</f>
        <v/>
      </c>
      <c r="O3097">
        <f>IF(G3097=1,R3097*(1-1.0),IF(H3096=0,1,O3096*(1+0.00023125256064071564)))</f>
        <v/>
      </c>
      <c r="P3097">
        <f>IF(G3097=1,IF(H3096=0,1,ABS(0.2-J3096*B3097/I3097)+ABS(0.2-K3096*C3097/I3097)+ABS(0.2-L3096*D3097/I3097)+ABS(0.2-M3096*E3097/I3097)+ABS(0.2-N3096*F3097/I3097)),0)</f>
        <v/>
      </c>
      <c r="Q3097">
        <f>P3097*0.0015</f>
        <v/>
      </c>
      <c r="R3097">
        <f>I3097*(1-Q3097)</f>
        <v/>
      </c>
      <c r="S3097">
        <f>R3097/R3096-1</f>
        <v/>
      </c>
      <c r="T3097">
        <f>MAX(T3096,R3097)</f>
        <v/>
      </c>
      <c r="U3097">
        <f>R3097/T3097-1</f>
        <v/>
      </c>
      <c r="V3097" t="n">
        <v>9.040177392444278</v>
      </c>
      <c r="W3097" s="5">
        <f>R3097-V3097</f>
        <v/>
      </c>
    </row>
    <row r="3098">
      <c r="A3098" s="3" t="n">
        <v>42999</v>
      </c>
      <c r="B3098">
        <f>Prices!B3098</f>
        <v/>
      </c>
      <c r="C3098">
        <f>Prices!C3098</f>
        <v/>
      </c>
      <c r="D3098">
        <f>Prices!D3098</f>
        <v/>
      </c>
      <c r="E3098">
        <f>Prices!E3098</f>
        <v/>
      </c>
      <c r="F3098">
        <f>Prices!F3098</f>
        <v/>
      </c>
      <c r="G3098">
        <f>IF(AND(3096&gt;=16,TEXT(A3098,"yyyy-mm")&lt;&gt;TEXT(A3099,"yyyy-mm")),1,0)</f>
        <v/>
      </c>
      <c r="H3098">
        <f>IF(OR(H3097=1,G3098=1),1,0)</f>
        <v/>
      </c>
      <c r="I3098">
        <f>IF(H3097=0,1,SUMPRODUCT(J3097:N3097,B3098:F3098)+O3097*(1+0.00023125256064071564))</f>
        <v/>
      </c>
      <c r="J3098">
        <f>IF(G3098=1,0.2*R3098/B3098,J3097)</f>
        <v/>
      </c>
      <c r="K3098">
        <f>IF(G3098=1,0.2*R3098/C3098,K3097)</f>
        <v/>
      </c>
      <c r="L3098">
        <f>IF(G3098=1,0.2*R3098/D3098,L3097)</f>
        <v/>
      </c>
      <c r="M3098">
        <f>IF(G3098=1,0.2*R3098/E3098,M3097)</f>
        <v/>
      </c>
      <c r="N3098">
        <f>IF(G3098=1,0.2*R3098/F3098,N3097)</f>
        <v/>
      </c>
      <c r="O3098">
        <f>IF(G3098=1,R3098*(1-1.0),IF(H3097=0,1,O3097*(1+0.00023125256064071564)))</f>
        <v/>
      </c>
      <c r="P3098">
        <f>IF(G3098=1,IF(H3097=0,1,ABS(0.2-J3097*B3098/I3098)+ABS(0.2-K3097*C3098/I3098)+ABS(0.2-L3097*D3098/I3098)+ABS(0.2-M3097*E3098/I3098)+ABS(0.2-N3097*F3098/I3098)),0)</f>
        <v/>
      </c>
      <c r="Q3098">
        <f>P3098*0.0015</f>
        <v/>
      </c>
      <c r="R3098">
        <f>I3098*(1-Q3098)</f>
        <v/>
      </c>
      <c r="S3098">
        <f>R3098/R3097-1</f>
        <v/>
      </c>
      <c r="T3098">
        <f>MAX(T3097,R3098)</f>
        <v/>
      </c>
      <c r="U3098">
        <f>R3098/T3098-1</f>
        <v/>
      </c>
      <c r="V3098" t="n">
        <v>9.008833264414081</v>
      </c>
      <c r="W3098" s="5">
        <f>R3098-V3098</f>
        <v/>
      </c>
    </row>
    <row r="3099">
      <c r="A3099" s="3" t="n">
        <v>43000</v>
      </c>
      <c r="B3099">
        <f>Prices!B3099</f>
        <v/>
      </c>
      <c r="C3099">
        <f>Prices!C3099</f>
        <v/>
      </c>
      <c r="D3099">
        <f>Prices!D3099</f>
        <v/>
      </c>
      <c r="E3099">
        <f>Prices!E3099</f>
        <v/>
      </c>
      <c r="F3099">
        <f>Prices!F3099</f>
        <v/>
      </c>
      <c r="G3099">
        <f>IF(AND(3097&gt;=16,TEXT(A3099,"yyyy-mm")&lt;&gt;TEXT(A3100,"yyyy-mm")),1,0)</f>
        <v/>
      </c>
      <c r="H3099">
        <f>IF(OR(H3098=1,G3099=1),1,0)</f>
        <v/>
      </c>
      <c r="I3099">
        <f>IF(H3098=0,1,SUMPRODUCT(J3098:N3098,B3099:F3099)+O3098*(1+0.00023125256064071564))</f>
        <v/>
      </c>
      <c r="J3099">
        <f>IF(G3099=1,0.2*R3099/B3099,J3098)</f>
        <v/>
      </c>
      <c r="K3099">
        <f>IF(G3099=1,0.2*R3099/C3099,K3098)</f>
        <v/>
      </c>
      <c r="L3099">
        <f>IF(G3099=1,0.2*R3099/D3099,L3098)</f>
        <v/>
      </c>
      <c r="M3099">
        <f>IF(G3099=1,0.2*R3099/E3099,M3098)</f>
        <v/>
      </c>
      <c r="N3099">
        <f>IF(G3099=1,0.2*R3099/F3099,N3098)</f>
        <v/>
      </c>
      <c r="O3099">
        <f>IF(G3099=1,R3099*(1-1.0),IF(H3098=0,1,O3098*(1+0.00023125256064071564)))</f>
        <v/>
      </c>
      <c r="P3099">
        <f>IF(G3099=1,IF(H3098=0,1,ABS(0.2-J3098*B3099/I3099)+ABS(0.2-K3098*C3099/I3099)+ABS(0.2-L3098*D3099/I3099)+ABS(0.2-M3098*E3099/I3099)+ABS(0.2-N3098*F3099/I3099)),0)</f>
        <v/>
      </c>
      <c r="Q3099">
        <f>P3099*0.0015</f>
        <v/>
      </c>
      <c r="R3099">
        <f>I3099*(1-Q3099)</f>
        <v/>
      </c>
      <c r="S3099">
        <f>R3099/R3098-1</f>
        <v/>
      </c>
      <c r="T3099">
        <f>MAX(T3098,R3099)</f>
        <v/>
      </c>
      <c r="U3099">
        <f>R3099/T3099-1</f>
        <v/>
      </c>
      <c r="V3099" t="n">
        <v>8.767809728463071</v>
      </c>
      <c r="W3099" s="5">
        <f>R3099-V3099</f>
        <v/>
      </c>
    </row>
    <row r="3100">
      <c r="A3100" s="3" t="n">
        <v>43003</v>
      </c>
      <c r="B3100">
        <f>Prices!B3100</f>
        <v/>
      </c>
      <c r="C3100">
        <f>Prices!C3100</f>
        <v/>
      </c>
      <c r="D3100">
        <f>Prices!D3100</f>
        <v/>
      </c>
      <c r="E3100">
        <f>Prices!E3100</f>
        <v/>
      </c>
      <c r="F3100">
        <f>Prices!F3100</f>
        <v/>
      </c>
      <c r="G3100">
        <f>IF(AND(3098&gt;=16,TEXT(A3100,"yyyy-mm")&lt;&gt;TEXT(A3101,"yyyy-mm")),1,0)</f>
        <v/>
      </c>
      <c r="H3100">
        <f>IF(OR(H3099=1,G3100=1),1,0)</f>
        <v/>
      </c>
      <c r="I3100">
        <f>IF(H3099=0,1,SUMPRODUCT(J3099:N3099,B3100:F3100)+O3099*(1+0.00023125256064071564))</f>
        <v/>
      </c>
      <c r="J3100">
        <f>IF(G3100=1,0.2*R3100/B3100,J3099)</f>
        <v/>
      </c>
      <c r="K3100">
        <f>IF(G3100=1,0.2*R3100/C3100,K3099)</f>
        <v/>
      </c>
      <c r="L3100">
        <f>IF(G3100=1,0.2*R3100/D3100,L3099)</f>
        <v/>
      </c>
      <c r="M3100">
        <f>IF(G3100=1,0.2*R3100/E3100,M3099)</f>
        <v/>
      </c>
      <c r="N3100">
        <f>IF(G3100=1,0.2*R3100/F3100,N3099)</f>
        <v/>
      </c>
      <c r="O3100">
        <f>IF(G3100=1,R3100*(1-1.0),IF(H3099=0,1,O3099*(1+0.00023125256064071564)))</f>
        <v/>
      </c>
      <c r="P3100">
        <f>IF(G3100=1,IF(H3099=0,1,ABS(0.2-J3099*B3100/I3100)+ABS(0.2-K3099*C3100/I3100)+ABS(0.2-L3099*D3100/I3100)+ABS(0.2-M3099*E3100/I3100)+ABS(0.2-N3099*F3100/I3100)),0)</f>
        <v/>
      </c>
      <c r="Q3100">
        <f>P3100*0.0015</f>
        <v/>
      </c>
      <c r="R3100">
        <f>I3100*(1-Q3100)</f>
        <v/>
      </c>
      <c r="S3100">
        <f>R3100/R3099-1</f>
        <v/>
      </c>
      <c r="T3100">
        <f>MAX(T3099,R3100)</f>
        <v/>
      </c>
      <c r="U3100">
        <f>R3100/T3100-1</f>
        <v/>
      </c>
      <c r="V3100" t="n">
        <v>8.63215782982542</v>
      </c>
      <c r="W3100" s="5">
        <f>R3100-V3100</f>
        <v/>
      </c>
    </row>
    <row r="3101">
      <c r="A3101" s="3" t="n">
        <v>43004</v>
      </c>
      <c r="B3101">
        <f>Prices!B3101</f>
        <v/>
      </c>
      <c r="C3101">
        <f>Prices!C3101</f>
        <v/>
      </c>
      <c r="D3101">
        <f>Prices!D3101</f>
        <v/>
      </c>
      <c r="E3101">
        <f>Prices!E3101</f>
        <v/>
      </c>
      <c r="F3101">
        <f>Prices!F3101</f>
        <v/>
      </c>
      <c r="G3101">
        <f>IF(AND(3099&gt;=16,TEXT(A3101,"yyyy-mm")&lt;&gt;TEXT(A3102,"yyyy-mm")),1,0)</f>
        <v/>
      </c>
      <c r="H3101">
        <f>IF(OR(H3100=1,G3101=1),1,0)</f>
        <v/>
      </c>
      <c r="I3101">
        <f>IF(H3100=0,1,SUMPRODUCT(J3100:N3100,B3101:F3101)+O3100*(1+0.00023125256064071564))</f>
        <v/>
      </c>
      <c r="J3101">
        <f>IF(G3101=1,0.2*R3101/B3101,J3100)</f>
        <v/>
      </c>
      <c r="K3101">
        <f>IF(G3101=1,0.2*R3101/C3101,K3100)</f>
        <v/>
      </c>
      <c r="L3101">
        <f>IF(G3101=1,0.2*R3101/D3101,L3100)</f>
        <v/>
      </c>
      <c r="M3101">
        <f>IF(G3101=1,0.2*R3101/E3101,M3100)</f>
        <v/>
      </c>
      <c r="N3101">
        <f>IF(G3101=1,0.2*R3101/F3101,N3100)</f>
        <v/>
      </c>
      <c r="O3101">
        <f>IF(G3101=1,R3101*(1-1.0),IF(H3100=0,1,O3100*(1+0.00023125256064071564)))</f>
        <v/>
      </c>
      <c r="P3101">
        <f>IF(G3101=1,IF(H3100=0,1,ABS(0.2-J3100*B3101/I3101)+ABS(0.2-K3100*C3101/I3101)+ABS(0.2-L3100*D3101/I3101)+ABS(0.2-M3100*E3101/I3101)+ABS(0.2-N3100*F3101/I3101)),0)</f>
        <v/>
      </c>
      <c r="Q3101">
        <f>P3101*0.0015</f>
        <v/>
      </c>
      <c r="R3101">
        <f>I3101*(1-Q3101)</f>
        <v/>
      </c>
      <c r="S3101">
        <f>R3101/R3100-1</f>
        <v/>
      </c>
      <c r="T3101">
        <f>MAX(T3100,R3101)</f>
        <v/>
      </c>
      <c r="U3101">
        <f>R3101/T3101-1</f>
        <v/>
      </c>
      <c r="V3101" t="n">
        <v>8.677204743327115</v>
      </c>
      <c r="W3101" s="5">
        <f>R3101-V3101</f>
        <v/>
      </c>
    </row>
    <row r="3102">
      <c r="A3102" s="3" t="n">
        <v>43005</v>
      </c>
      <c r="B3102">
        <f>Prices!B3102</f>
        <v/>
      </c>
      <c r="C3102">
        <f>Prices!C3102</f>
        <v/>
      </c>
      <c r="D3102">
        <f>Prices!D3102</f>
        <v/>
      </c>
      <c r="E3102">
        <f>Prices!E3102</f>
        <v/>
      </c>
      <c r="F3102">
        <f>Prices!F3102</f>
        <v/>
      </c>
      <c r="G3102">
        <f>IF(AND(3100&gt;=16,TEXT(A3102,"yyyy-mm")&lt;&gt;TEXT(A3103,"yyyy-mm")),1,0)</f>
        <v/>
      </c>
      <c r="H3102">
        <f>IF(OR(H3101=1,G3102=1),1,0)</f>
        <v/>
      </c>
      <c r="I3102">
        <f>IF(H3101=0,1,SUMPRODUCT(J3101:N3101,B3102:F3102)+O3101*(1+0.00023125256064071564))</f>
        <v/>
      </c>
      <c r="J3102">
        <f>IF(G3102=1,0.2*R3102/B3102,J3101)</f>
        <v/>
      </c>
      <c r="K3102">
        <f>IF(G3102=1,0.2*R3102/C3102,K3101)</f>
        <v/>
      </c>
      <c r="L3102">
        <f>IF(G3102=1,0.2*R3102/D3102,L3101)</f>
        <v/>
      </c>
      <c r="M3102">
        <f>IF(G3102=1,0.2*R3102/E3102,M3101)</f>
        <v/>
      </c>
      <c r="N3102">
        <f>IF(G3102=1,0.2*R3102/F3102,N3101)</f>
        <v/>
      </c>
      <c r="O3102">
        <f>IF(G3102=1,R3102*(1-1.0),IF(H3101=0,1,O3101*(1+0.00023125256064071564)))</f>
        <v/>
      </c>
      <c r="P3102">
        <f>IF(G3102=1,IF(H3101=0,1,ABS(0.2-J3101*B3102/I3102)+ABS(0.2-K3101*C3102/I3102)+ABS(0.2-L3101*D3102/I3102)+ABS(0.2-M3101*E3102/I3102)+ABS(0.2-N3101*F3102/I3102)),0)</f>
        <v/>
      </c>
      <c r="Q3102">
        <f>P3102*0.0015</f>
        <v/>
      </c>
      <c r="R3102">
        <f>I3102*(1-Q3102)</f>
        <v/>
      </c>
      <c r="S3102">
        <f>R3102/R3101-1</f>
        <v/>
      </c>
      <c r="T3102">
        <f>MAX(T3101,R3102)</f>
        <v/>
      </c>
      <c r="U3102">
        <f>R3102/T3102-1</f>
        <v/>
      </c>
      <c r="V3102" t="n">
        <v>8.525304074011954</v>
      </c>
      <c r="W3102" s="5">
        <f>R3102-V3102</f>
        <v/>
      </c>
    </row>
    <row r="3103">
      <c r="A3103" s="3" t="n">
        <v>43006</v>
      </c>
      <c r="B3103">
        <f>Prices!B3103</f>
        <v/>
      </c>
      <c r="C3103">
        <f>Prices!C3103</f>
        <v/>
      </c>
      <c r="D3103">
        <f>Prices!D3103</f>
        <v/>
      </c>
      <c r="E3103">
        <f>Prices!E3103</f>
        <v/>
      </c>
      <c r="F3103">
        <f>Prices!F3103</f>
        <v/>
      </c>
      <c r="G3103">
        <f>IF(AND(3101&gt;=16,TEXT(A3103,"yyyy-mm")&lt;&gt;TEXT(A3104,"yyyy-mm")),1,0)</f>
        <v/>
      </c>
      <c r="H3103">
        <f>IF(OR(H3102=1,G3103=1),1,0)</f>
        <v/>
      </c>
      <c r="I3103">
        <f>IF(H3102=0,1,SUMPRODUCT(J3102:N3102,B3103:F3103)+O3102*(1+0.00023125256064071564))</f>
        <v/>
      </c>
      <c r="J3103">
        <f>IF(G3103=1,0.2*R3103/B3103,J3102)</f>
        <v/>
      </c>
      <c r="K3103">
        <f>IF(G3103=1,0.2*R3103/C3103,K3102)</f>
        <v/>
      </c>
      <c r="L3103">
        <f>IF(G3103=1,0.2*R3103/D3103,L3102)</f>
        <v/>
      </c>
      <c r="M3103">
        <f>IF(G3103=1,0.2*R3103/E3103,M3102)</f>
        <v/>
      </c>
      <c r="N3103">
        <f>IF(G3103=1,0.2*R3103/F3103,N3102)</f>
        <v/>
      </c>
      <c r="O3103">
        <f>IF(G3103=1,R3103*(1-1.0),IF(H3102=0,1,O3102*(1+0.00023125256064071564)))</f>
        <v/>
      </c>
      <c r="P3103">
        <f>IF(G3103=1,IF(H3102=0,1,ABS(0.2-J3102*B3103/I3103)+ABS(0.2-K3102*C3103/I3103)+ABS(0.2-L3102*D3103/I3103)+ABS(0.2-M3102*E3103/I3103)+ABS(0.2-N3102*F3103/I3103)),0)</f>
        <v/>
      </c>
      <c r="Q3103">
        <f>P3103*0.0015</f>
        <v/>
      </c>
      <c r="R3103">
        <f>I3103*(1-Q3103)</f>
        <v/>
      </c>
      <c r="S3103">
        <f>R3103/R3102-1</f>
        <v/>
      </c>
      <c r="T3103">
        <f>MAX(T3102,R3103)</f>
        <v/>
      </c>
      <c r="U3103">
        <f>R3103/T3103-1</f>
        <v/>
      </c>
      <c r="V3103" t="n">
        <v>8.560628757172331</v>
      </c>
      <c r="W3103" s="5">
        <f>R3103-V3103</f>
        <v/>
      </c>
    </row>
    <row r="3104">
      <c r="A3104" s="3" t="n">
        <v>43007</v>
      </c>
      <c r="B3104">
        <f>Prices!B3104</f>
        <v/>
      </c>
      <c r="C3104">
        <f>Prices!C3104</f>
        <v/>
      </c>
      <c r="D3104">
        <f>Prices!D3104</f>
        <v/>
      </c>
      <c r="E3104">
        <f>Prices!E3104</f>
        <v/>
      </c>
      <c r="F3104">
        <f>Prices!F3104</f>
        <v/>
      </c>
      <c r="G3104">
        <f>IF(AND(3102&gt;=16,TEXT(A3104,"yyyy-mm")&lt;&gt;TEXT(A3105,"yyyy-mm")),1,0)</f>
        <v/>
      </c>
      <c r="H3104">
        <f>IF(OR(H3103=1,G3104=1),1,0)</f>
        <v/>
      </c>
      <c r="I3104">
        <f>IF(H3103=0,1,SUMPRODUCT(J3103:N3103,B3104:F3104)+O3103*(1+0.00023125256064071564))</f>
        <v/>
      </c>
      <c r="J3104">
        <f>IF(G3104=1,0.2*R3104/B3104,J3103)</f>
        <v/>
      </c>
      <c r="K3104">
        <f>IF(G3104=1,0.2*R3104/C3104,K3103)</f>
        <v/>
      </c>
      <c r="L3104">
        <f>IF(G3104=1,0.2*R3104/D3104,L3103)</f>
        <v/>
      </c>
      <c r="M3104">
        <f>IF(G3104=1,0.2*R3104/E3104,M3103)</f>
        <v/>
      </c>
      <c r="N3104">
        <f>IF(G3104=1,0.2*R3104/F3104,N3103)</f>
        <v/>
      </c>
      <c r="O3104">
        <f>IF(G3104=1,R3104*(1-1.0),IF(H3103=0,1,O3103*(1+0.00023125256064071564)))</f>
        <v/>
      </c>
      <c r="P3104">
        <f>IF(G3104=1,IF(H3103=0,1,ABS(0.2-J3103*B3104/I3104)+ABS(0.2-K3103*C3104/I3104)+ABS(0.2-L3103*D3104/I3104)+ABS(0.2-M3103*E3104/I3104)+ABS(0.2-N3103*F3104/I3104)),0)</f>
        <v/>
      </c>
      <c r="Q3104">
        <f>P3104*0.0015</f>
        <v/>
      </c>
      <c r="R3104">
        <f>I3104*(1-Q3104)</f>
        <v/>
      </c>
      <c r="S3104">
        <f>R3104/R3103-1</f>
        <v/>
      </c>
      <c r="T3104">
        <f>MAX(T3103,R3104)</f>
        <v/>
      </c>
      <c r="U3104">
        <f>R3104/T3104-1</f>
        <v/>
      </c>
      <c r="V3104" t="n">
        <v>8.653545327883513</v>
      </c>
      <c r="W3104" s="5">
        <f>R3104-V3104</f>
        <v/>
      </c>
    </row>
    <row r="3105">
      <c r="A3105" s="3" t="n">
        <v>43011</v>
      </c>
      <c r="B3105">
        <f>Prices!B3105</f>
        <v/>
      </c>
      <c r="C3105">
        <f>Prices!C3105</f>
        <v/>
      </c>
      <c r="D3105">
        <f>Prices!D3105</f>
        <v/>
      </c>
      <c r="E3105">
        <f>Prices!E3105</f>
        <v/>
      </c>
      <c r="F3105">
        <f>Prices!F3105</f>
        <v/>
      </c>
      <c r="G3105">
        <f>IF(AND(3103&gt;=16,TEXT(A3105,"yyyy-mm")&lt;&gt;TEXT(A3106,"yyyy-mm")),1,0)</f>
        <v/>
      </c>
      <c r="H3105">
        <f>IF(OR(H3104=1,G3105=1),1,0)</f>
        <v/>
      </c>
      <c r="I3105">
        <f>IF(H3104=0,1,SUMPRODUCT(J3104:N3104,B3105:F3105)+O3104*(1+0.00023125256064071564))</f>
        <v/>
      </c>
      <c r="J3105">
        <f>IF(G3105=1,0.2*R3105/B3105,J3104)</f>
        <v/>
      </c>
      <c r="K3105">
        <f>IF(G3105=1,0.2*R3105/C3105,K3104)</f>
        <v/>
      </c>
      <c r="L3105">
        <f>IF(G3105=1,0.2*R3105/D3105,L3104)</f>
        <v/>
      </c>
      <c r="M3105">
        <f>IF(G3105=1,0.2*R3105/E3105,M3104)</f>
        <v/>
      </c>
      <c r="N3105">
        <f>IF(G3105=1,0.2*R3105/F3105,N3104)</f>
        <v/>
      </c>
      <c r="O3105">
        <f>IF(G3105=1,R3105*(1-1.0),IF(H3104=0,1,O3104*(1+0.00023125256064071564)))</f>
        <v/>
      </c>
      <c r="P3105">
        <f>IF(G3105=1,IF(H3104=0,1,ABS(0.2-J3104*B3105/I3105)+ABS(0.2-K3104*C3105/I3105)+ABS(0.2-L3104*D3105/I3105)+ABS(0.2-M3104*E3105/I3105)+ABS(0.2-N3104*F3105/I3105)),0)</f>
        <v/>
      </c>
      <c r="Q3105">
        <f>P3105*0.0015</f>
        <v/>
      </c>
      <c r="R3105">
        <f>I3105*(1-Q3105)</f>
        <v/>
      </c>
      <c r="S3105">
        <f>R3105/R3104-1</f>
        <v/>
      </c>
      <c r="T3105">
        <f>MAX(T3104,R3105)</f>
        <v/>
      </c>
      <c r="U3105">
        <f>R3105/T3105-1</f>
        <v/>
      </c>
      <c r="V3105" t="n">
        <v>8.726214826447125</v>
      </c>
      <c r="W3105" s="5">
        <f>R3105-V3105</f>
        <v/>
      </c>
    </row>
    <row r="3106">
      <c r="A3106" s="3" t="n">
        <v>43012</v>
      </c>
      <c r="B3106">
        <f>Prices!B3106</f>
        <v/>
      </c>
      <c r="C3106">
        <f>Prices!C3106</f>
        <v/>
      </c>
      <c r="D3106">
        <f>Prices!D3106</f>
        <v/>
      </c>
      <c r="E3106">
        <f>Prices!E3106</f>
        <v/>
      </c>
      <c r="F3106">
        <f>Prices!F3106</f>
        <v/>
      </c>
      <c r="G3106">
        <f>IF(AND(3104&gt;=16,TEXT(A3106,"yyyy-mm")&lt;&gt;TEXT(A3107,"yyyy-mm")),1,0)</f>
        <v/>
      </c>
      <c r="H3106">
        <f>IF(OR(H3105=1,G3106=1),1,0)</f>
        <v/>
      </c>
      <c r="I3106">
        <f>IF(H3105=0,1,SUMPRODUCT(J3105:N3105,B3106:F3106)+O3105*(1+0.00023125256064071564))</f>
        <v/>
      </c>
      <c r="J3106">
        <f>IF(G3106=1,0.2*R3106/B3106,J3105)</f>
        <v/>
      </c>
      <c r="K3106">
        <f>IF(G3106=1,0.2*R3106/C3106,K3105)</f>
        <v/>
      </c>
      <c r="L3106">
        <f>IF(G3106=1,0.2*R3106/D3106,L3105)</f>
        <v/>
      </c>
      <c r="M3106">
        <f>IF(G3106=1,0.2*R3106/E3106,M3105)</f>
        <v/>
      </c>
      <c r="N3106">
        <f>IF(G3106=1,0.2*R3106/F3106,N3105)</f>
        <v/>
      </c>
      <c r="O3106">
        <f>IF(G3106=1,R3106*(1-1.0),IF(H3105=0,1,O3105*(1+0.00023125256064071564)))</f>
        <v/>
      </c>
      <c r="P3106">
        <f>IF(G3106=1,IF(H3105=0,1,ABS(0.2-J3105*B3106/I3106)+ABS(0.2-K3105*C3106/I3106)+ABS(0.2-L3105*D3106/I3106)+ABS(0.2-M3105*E3106/I3106)+ABS(0.2-N3105*F3106/I3106)),0)</f>
        <v/>
      </c>
      <c r="Q3106">
        <f>P3106*0.0015</f>
        <v/>
      </c>
      <c r="R3106">
        <f>I3106*(1-Q3106)</f>
        <v/>
      </c>
      <c r="S3106">
        <f>R3106/R3105-1</f>
        <v/>
      </c>
      <c r="T3106">
        <f>MAX(T3105,R3106)</f>
        <v/>
      </c>
      <c r="U3106">
        <f>R3106/T3106-1</f>
        <v/>
      </c>
      <c r="V3106" t="n">
        <v>8.781597323078127</v>
      </c>
      <c r="W3106" s="5">
        <f>R3106-V3106</f>
        <v/>
      </c>
    </row>
    <row r="3107">
      <c r="A3107" s="3" t="n">
        <v>43013</v>
      </c>
      <c r="B3107">
        <f>Prices!B3107</f>
        <v/>
      </c>
      <c r="C3107">
        <f>Prices!C3107</f>
        <v/>
      </c>
      <c r="D3107">
        <f>Prices!D3107</f>
        <v/>
      </c>
      <c r="E3107">
        <f>Prices!E3107</f>
        <v/>
      </c>
      <c r="F3107">
        <f>Prices!F3107</f>
        <v/>
      </c>
      <c r="G3107">
        <f>IF(AND(3105&gt;=16,TEXT(A3107,"yyyy-mm")&lt;&gt;TEXT(A3108,"yyyy-mm")),1,0)</f>
        <v/>
      </c>
      <c r="H3107">
        <f>IF(OR(H3106=1,G3107=1),1,0)</f>
        <v/>
      </c>
      <c r="I3107">
        <f>IF(H3106=0,1,SUMPRODUCT(J3106:N3106,B3107:F3107)+O3106*(1+0.00023125256064071564))</f>
        <v/>
      </c>
      <c r="J3107">
        <f>IF(G3107=1,0.2*R3107/B3107,J3106)</f>
        <v/>
      </c>
      <c r="K3107">
        <f>IF(G3107=1,0.2*R3107/C3107,K3106)</f>
        <v/>
      </c>
      <c r="L3107">
        <f>IF(G3107=1,0.2*R3107/D3107,L3106)</f>
        <v/>
      </c>
      <c r="M3107">
        <f>IF(G3107=1,0.2*R3107/E3107,M3106)</f>
        <v/>
      </c>
      <c r="N3107">
        <f>IF(G3107=1,0.2*R3107/F3107,N3106)</f>
        <v/>
      </c>
      <c r="O3107">
        <f>IF(G3107=1,R3107*(1-1.0),IF(H3106=0,1,O3106*(1+0.00023125256064071564)))</f>
        <v/>
      </c>
      <c r="P3107">
        <f>IF(G3107=1,IF(H3106=0,1,ABS(0.2-J3106*B3107/I3107)+ABS(0.2-K3106*C3107/I3107)+ABS(0.2-L3106*D3107/I3107)+ABS(0.2-M3106*E3107/I3107)+ABS(0.2-N3106*F3107/I3107)),0)</f>
        <v/>
      </c>
      <c r="Q3107">
        <f>P3107*0.0015</f>
        <v/>
      </c>
      <c r="R3107">
        <f>I3107*(1-Q3107)</f>
        <v/>
      </c>
      <c r="S3107">
        <f>R3107/R3106-1</f>
        <v/>
      </c>
      <c r="T3107">
        <f>MAX(T3106,R3107)</f>
        <v/>
      </c>
      <c r="U3107">
        <f>R3107/T3107-1</f>
        <v/>
      </c>
      <c r="V3107" t="n">
        <v>8.800851116502706</v>
      </c>
      <c r="W3107" s="5">
        <f>R3107-V3107</f>
        <v/>
      </c>
    </row>
    <row r="3108">
      <c r="A3108" s="3" t="n">
        <v>43014</v>
      </c>
      <c r="B3108">
        <f>Prices!B3108</f>
        <v/>
      </c>
      <c r="C3108">
        <f>Prices!C3108</f>
        <v/>
      </c>
      <c r="D3108">
        <f>Prices!D3108</f>
        <v/>
      </c>
      <c r="E3108">
        <f>Prices!E3108</f>
        <v/>
      </c>
      <c r="F3108">
        <f>Prices!F3108</f>
        <v/>
      </c>
      <c r="G3108">
        <f>IF(AND(3106&gt;=16,TEXT(A3108,"yyyy-mm")&lt;&gt;TEXT(A3109,"yyyy-mm")),1,0)</f>
        <v/>
      </c>
      <c r="H3108">
        <f>IF(OR(H3107=1,G3108=1),1,0)</f>
        <v/>
      </c>
      <c r="I3108">
        <f>IF(H3107=0,1,SUMPRODUCT(J3107:N3107,B3108:F3108)+O3107*(1+0.00023125256064071564))</f>
        <v/>
      </c>
      <c r="J3108">
        <f>IF(G3108=1,0.2*R3108/B3108,J3107)</f>
        <v/>
      </c>
      <c r="K3108">
        <f>IF(G3108=1,0.2*R3108/C3108,K3107)</f>
        <v/>
      </c>
      <c r="L3108">
        <f>IF(G3108=1,0.2*R3108/D3108,L3107)</f>
        <v/>
      </c>
      <c r="M3108">
        <f>IF(G3108=1,0.2*R3108/E3108,M3107)</f>
        <v/>
      </c>
      <c r="N3108">
        <f>IF(G3108=1,0.2*R3108/F3108,N3107)</f>
        <v/>
      </c>
      <c r="O3108">
        <f>IF(G3108=1,R3108*(1-1.0),IF(H3107=0,1,O3107*(1+0.00023125256064071564)))</f>
        <v/>
      </c>
      <c r="P3108">
        <f>IF(G3108=1,IF(H3107=0,1,ABS(0.2-J3107*B3108/I3108)+ABS(0.2-K3107*C3108/I3108)+ABS(0.2-L3107*D3108/I3108)+ABS(0.2-M3107*E3108/I3108)+ABS(0.2-N3107*F3108/I3108)),0)</f>
        <v/>
      </c>
      <c r="Q3108">
        <f>P3108*0.0015</f>
        <v/>
      </c>
      <c r="R3108">
        <f>I3108*(1-Q3108)</f>
        <v/>
      </c>
      <c r="S3108">
        <f>R3108/R3107-1</f>
        <v/>
      </c>
      <c r="T3108">
        <f>MAX(T3107,R3108)</f>
        <v/>
      </c>
      <c r="U3108">
        <f>R3108/T3108-1</f>
        <v/>
      </c>
      <c r="V3108" t="n">
        <v>8.905897619892409</v>
      </c>
      <c r="W3108" s="5">
        <f>R3108-V3108</f>
        <v/>
      </c>
    </row>
    <row r="3109">
      <c r="A3109" s="3" t="n">
        <v>43017</v>
      </c>
      <c r="B3109">
        <f>Prices!B3109</f>
        <v/>
      </c>
      <c r="C3109">
        <f>Prices!C3109</f>
        <v/>
      </c>
      <c r="D3109">
        <f>Prices!D3109</f>
        <v/>
      </c>
      <c r="E3109">
        <f>Prices!E3109</f>
        <v/>
      </c>
      <c r="F3109">
        <f>Prices!F3109</f>
        <v/>
      </c>
      <c r="G3109">
        <f>IF(AND(3107&gt;=16,TEXT(A3109,"yyyy-mm")&lt;&gt;TEXT(A3110,"yyyy-mm")),1,0)</f>
        <v/>
      </c>
      <c r="H3109">
        <f>IF(OR(H3108=1,G3109=1),1,0)</f>
        <v/>
      </c>
      <c r="I3109">
        <f>IF(H3108=0,1,SUMPRODUCT(J3108:N3108,B3109:F3109)+O3108*(1+0.00023125256064071564))</f>
        <v/>
      </c>
      <c r="J3109">
        <f>IF(G3109=1,0.2*R3109/B3109,J3108)</f>
        <v/>
      </c>
      <c r="K3109">
        <f>IF(G3109=1,0.2*R3109/C3109,K3108)</f>
        <v/>
      </c>
      <c r="L3109">
        <f>IF(G3109=1,0.2*R3109/D3109,L3108)</f>
        <v/>
      </c>
      <c r="M3109">
        <f>IF(G3109=1,0.2*R3109/E3109,M3108)</f>
        <v/>
      </c>
      <c r="N3109">
        <f>IF(G3109=1,0.2*R3109/F3109,N3108)</f>
        <v/>
      </c>
      <c r="O3109">
        <f>IF(G3109=1,R3109*(1-1.0),IF(H3108=0,1,O3108*(1+0.00023125256064071564)))</f>
        <v/>
      </c>
      <c r="P3109">
        <f>IF(G3109=1,IF(H3108=0,1,ABS(0.2-J3108*B3109/I3109)+ABS(0.2-K3108*C3109/I3109)+ABS(0.2-L3108*D3109/I3109)+ABS(0.2-M3108*E3109/I3109)+ABS(0.2-N3108*F3109/I3109)),0)</f>
        <v/>
      </c>
      <c r="Q3109">
        <f>P3109*0.0015</f>
        <v/>
      </c>
      <c r="R3109">
        <f>I3109*(1-Q3109)</f>
        <v/>
      </c>
      <c r="S3109">
        <f>R3109/R3108-1</f>
        <v/>
      </c>
      <c r="T3109">
        <f>MAX(T3108,R3109)</f>
        <v/>
      </c>
      <c r="U3109">
        <f>R3109/T3109-1</f>
        <v/>
      </c>
      <c r="V3109" t="n">
        <v>8.92277295587539</v>
      </c>
      <c r="W3109" s="5">
        <f>R3109-V3109</f>
        <v/>
      </c>
    </row>
    <row r="3110">
      <c r="A3110" s="3" t="n">
        <v>43018</v>
      </c>
      <c r="B3110">
        <f>Prices!B3110</f>
        <v/>
      </c>
      <c r="C3110">
        <f>Prices!C3110</f>
        <v/>
      </c>
      <c r="D3110">
        <f>Prices!D3110</f>
        <v/>
      </c>
      <c r="E3110">
        <f>Prices!E3110</f>
        <v/>
      </c>
      <c r="F3110">
        <f>Prices!F3110</f>
        <v/>
      </c>
      <c r="G3110">
        <f>IF(AND(3108&gt;=16,TEXT(A3110,"yyyy-mm")&lt;&gt;TEXT(A3111,"yyyy-mm")),1,0)</f>
        <v/>
      </c>
      <c r="H3110">
        <f>IF(OR(H3109=1,G3110=1),1,0)</f>
        <v/>
      </c>
      <c r="I3110">
        <f>IF(H3109=0,1,SUMPRODUCT(J3109:N3109,B3110:F3110)+O3109*(1+0.00023125256064071564))</f>
        <v/>
      </c>
      <c r="J3110">
        <f>IF(G3110=1,0.2*R3110/B3110,J3109)</f>
        <v/>
      </c>
      <c r="K3110">
        <f>IF(G3110=1,0.2*R3110/C3110,K3109)</f>
        <v/>
      </c>
      <c r="L3110">
        <f>IF(G3110=1,0.2*R3110/D3110,L3109)</f>
        <v/>
      </c>
      <c r="M3110">
        <f>IF(G3110=1,0.2*R3110/E3110,M3109)</f>
        <v/>
      </c>
      <c r="N3110">
        <f>IF(G3110=1,0.2*R3110/F3110,N3109)</f>
        <v/>
      </c>
      <c r="O3110">
        <f>IF(G3110=1,R3110*(1-1.0),IF(H3109=0,1,O3109*(1+0.00023125256064071564)))</f>
        <v/>
      </c>
      <c r="P3110">
        <f>IF(G3110=1,IF(H3109=0,1,ABS(0.2-J3109*B3110/I3110)+ABS(0.2-K3109*C3110/I3110)+ABS(0.2-L3109*D3110/I3110)+ABS(0.2-M3109*E3110/I3110)+ABS(0.2-N3109*F3110/I3110)),0)</f>
        <v/>
      </c>
      <c r="Q3110">
        <f>P3110*0.0015</f>
        <v/>
      </c>
      <c r="R3110">
        <f>I3110*(1-Q3110)</f>
        <v/>
      </c>
      <c r="S3110">
        <f>R3110/R3109-1</f>
        <v/>
      </c>
      <c r="T3110">
        <f>MAX(T3109,R3110)</f>
        <v/>
      </c>
      <c r="U3110">
        <f>R3110/T3110-1</f>
        <v/>
      </c>
      <c r="V3110" t="n">
        <v>9.00082063835967</v>
      </c>
      <c r="W3110" s="5">
        <f>R3110-V3110</f>
        <v/>
      </c>
    </row>
    <row r="3111">
      <c r="A3111" s="3" t="n">
        <v>43019</v>
      </c>
      <c r="B3111">
        <f>Prices!B3111</f>
        <v/>
      </c>
      <c r="C3111">
        <f>Prices!C3111</f>
        <v/>
      </c>
      <c r="D3111">
        <f>Prices!D3111</f>
        <v/>
      </c>
      <c r="E3111">
        <f>Prices!E3111</f>
        <v/>
      </c>
      <c r="F3111">
        <f>Prices!F3111</f>
        <v/>
      </c>
      <c r="G3111">
        <f>IF(AND(3109&gt;=16,TEXT(A3111,"yyyy-mm")&lt;&gt;TEXT(A3112,"yyyy-mm")),1,0)</f>
        <v/>
      </c>
      <c r="H3111">
        <f>IF(OR(H3110=1,G3111=1),1,0)</f>
        <v/>
      </c>
      <c r="I3111">
        <f>IF(H3110=0,1,SUMPRODUCT(J3110:N3110,B3111:F3111)+O3110*(1+0.00023125256064071564))</f>
        <v/>
      </c>
      <c r="J3111">
        <f>IF(G3111=1,0.2*R3111/B3111,J3110)</f>
        <v/>
      </c>
      <c r="K3111">
        <f>IF(G3111=1,0.2*R3111/C3111,K3110)</f>
        <v/>
      </c>
      <c r="L3111">
        <f>IF(G3111=1,0.2*R3111/D3111,L3110)</f>
        <v/>
      </c>
      <c r="M3111">
        <f>IF(G3111=1,0.2*R3111/E3111,M3110)</f>
        <v/>
      </c>
      <c r="N3111">
        <f>IF(G3111=1,0.2*R3111/F3111,N3110)</f>
        <v/>
      </c>
      <c r="O3111">
        <f>IF(G3111=1,R3111*(1-1.0),IF(H3110=0,1,O3110*(1+0.00023125256064071564)))</f>
        <v/>
      </c>
      <c r="P3111">
        <f>IF(G3111=1,IF(H3110=0,1,ABS(0.2-J3110*B3111/I3111)+ABS(0.2-K3110*C3111/I3111)+ABS(0.2-L3110*D3111/I3111)+ABS(0.2-M3110*E3111/I3111)+ABS(0.2-N3110*F3111/I3111)),0)</f>
        <v/>
      </c>
      <c r="Q3111">
        <f>P3111*0.0015</f>
        <v/>
      </c>
      <c r="R3111">
        <f>I3111*(1-Q3111)</f>
        <v/>
      </c>
      <c r="S3111">
        <f>R3111/R3110-1</f>
        <v/>
      </c>
      <c r="T3111">
        <f>MAX(T3110,R3111)</f>
        <v/>
      </c>
      <c r="U3111">
        <f>R3111/T3111-1</f>
        <v/>
      </c>
      <c r="V3111" t="n">
        <v>8.959322922663585</v>
      </c>
      <c r="W3111" s="5">
        <f>R3111-V3111</f>
        <v/>
      </c>
    </row>
    <row r="3112">
      <c r="A3112" s="3" t="n">
        <v>43020</v>
      </c>
      <c r="B3112">
        <f>Prices!B3112</f>
        <v/>
      </c>
      <c r="C3112">
        <f>Prices!C3112</f>
        <v/>
      </c>
      <c r="D3112">
        <f>Prices!D3112</f>
        <v/>
      </c>
      <c r="E3112">
        <f>Prices!E3112</f>
        <v/>
      </c>
      <c r="F3112">
        <f>Prices!F3112</f>
        <v/>
      </c>
      <c r="G3112">
        <f>IF(AND(3110&gt;=16,TEXT(A3112,"yyyy-mm")&lt;&gt;TEXT(A3113,"yyyy-mm")),1,0)</f>
        <v/>
      </c>
      <c r="H3112">
        <f>IF(OR(H3111=1,G3112=1),1,0)</f>
        <v/>
      </c>
      <c r="I3112">
        <f>IF(H3111=0,1,SUMPRODUCT(J3111:N3111,B3112:F3112)+O3111*(1+0.00023125256064071564))</f>
        <v/>
      </c>
      <c r="J3112">
        <f>IF(G3112=1,0.2*R3112/B3112,J3111)</f>
        <v/>
      </c>
      <c r="K3112">
        <f>IF(G3112=1,0.2*R3112/C3112,K3111)</f>
        <v/>
      </c>
      <c r="L3112">
        <f>IF(G3112=1,0.2*R3112/D3112,L3111)</f>
        <v/>
      </c>
      <c r="M3112">
        <f>IF(G3112=1,0.2*R3112/E3112,M3111)</f>
        <v/>
      </c>
      <c r="N3112">
        <f>IF(G3112=1,0.2*R3112/F3112,N3111)</f>
        <v/>
      </c>
      <c r="O3112">
        <f>IF(G3112=1,R3112*(1-1.0),IF(H3111=0,1,O3111*(1+0.00023125256064071564)))</f>
        <v/>
      </c>
      <c r="P3112">
        <f>IF(G3112=1,IF(H3111=0,1,ABS(0.2-J3111*B3112/I3112)+ABS(0.2-K3111*C3112/I3112)+ABS(0.2-L3111*D3112/I3112)+ABS(0.2-M3111*E3112/I3112)+ABS(0.2-N3111*F3112/I3112)),0)</f>
        <v/>
      </c>
      <c r="Q3112">
        <f>P3112*0.0015</f>
        <v/>
      </c>
      <c r="R3112">
        <f>I3112*(1-Q3112)</f>
        <v/>
      </c>
      <c r="S3112">
        <f>R3112/R3111-1</f>
        <v/>
      </c>
      <c r="T3112">
        <f>MAX(T3111,R3112)</f>
        <v/>
      </c>
      <c r="U3112">
        <f>R3112/T3112-1</f>
        <v/>
      </c>
      <c r="V3112" t="n">
        <v>9.074128592085946</v>
      </c>
      <c r="W3112" s="5">
        <f>R3112-V3112</f>
        <v/>
      </c>
    </row>
    <row r="3113">
      <c r="A3113" s="3" t="n">
        <v>43021</v>
      </c>
      <c r="B3113">
        <f>Prices!B3113</f>
        <v/>
      </c>
      <c r="C3113">
        <f>Prices!C3113</f>
        <v/>
      </c>
      <c r="D3113">
        <f>Prices!D3113</f>
        <v/>
      </c>
      <c r="E3113">
        <f>Prices!E3113</f>
        <v/>
      </c>
      <c r="F3113">
        <f>Prices!F3113</f>
        <v/>
      </c>
      <c r="G3113">
        <f>IF(AND(3111&gt;=16,TEXT(A3113,"yyyy-mm")&lt;&gt;TEXT(A3114,"yyyy-mm")),1,0)</f>
        <v/>
      </c>
      <c r="H3113">
        <f>IF(OR(H3112=1,G3113=1),1,0)</f>
        <v/>
      </c>
      <c r="I3113">
        <f>IF(H3112=0,1,SUMPRODUCT(J3112:N3112,B3113:F3113)+O3112*(1+0.00023125256064071564))</f>
        <v/>
      </c>
      <c r="J3113">
        <f>IF(G3113=1,0.2*R3113/B3113,J3112)</f>
        <v/>
      </c>
      <c r="K3113">
        <f>IF(G3113=1,0.2*R3113/C3113,K3112)</f>
        <v/>
      </c>
      <c r="L3113">
        <f>IF(G3113=1,0.2*R3113/D3113,L3112)</f>
        <v/>
      </c>
      <c r="M3113">
        <f>IF(G3113=1,0.2*R3113/E3113,M3112)</f>
        <v/>
      </c>
      <c r="N3113">
        <f>IF(G3113=1,0.2*R3113/F3113,N3112)</f>
        <v/>
      </c>
      <c r="O3113">
        <f>IF(G3113=1,R3113*(1-1.0),IF(H3112=0,1,O3112*(1+0.00023125256064071564)))</f>
        <v/>
      </c>
      <c r="P3113">
        <f>IF(G3113=1,IF(H3112=0,1,ABS(0.2-J3112*B3113/I3113)+ABS(0.2-K3112*C3113/I3113)+ABS(0.2-L3112*D3113/I3113)+ABS(0.2-M3112*E3113/I3113)+ABS(0.2-N3112*F3113/I3113)),0)</f>
        <v/>
      </c>
      <c r="Q3113">
        <f>P3113*0.0015</f>
        <v/>
      </c>
      <c r="R3113">
        <f>I3113*(1-Q3113)</f>
        <v/>
      </c>
      <c r="S3113">
        <f>R3113/R3112-1</f>
        <v/>
      </c>
      <c r="T3113">
        <f>MAX(T3112,R3113)</f>
        <v/>
      </c>
      <c r="U3113">
        <f>R3113/T3113-1</f>
        <v/>
      </c>
      <c r="V3113" t="n">
        <v>9.103269094752317</v>
      </c>
      <c r="W3113" s="5">
        <f>R3113-V3113</f>
        <v/>
      </c>
    </row>
    <row r="3114">
      <c r="A3114" s="3" t="n">
        <v>43024</v>
      </c>
      <c r="B3114">
        <f>Prices!B3114</f>
        <v/>
      </c>
      <c r="C3114">
        <f>Prices!C3114</f>
        <v/>
      </c>
      <c r="D3114">
        <f>Prices!D3114</f>
        <v/>
      </c>
      <c r="E3114">
        <f>Prices!E3114</f>
        <v/>
      </c>
      <c r="F3114">
        <f>Prices!F3114</f>
        <v/>
      </c>
      <c r="G3114">
        <f>IF(AND(3112&gt;=16,TEXT(A3114,"yyyy-mm")&lt;&gt;TEXT(A3115,"yyyy-mm")),1,0)</f>
        <v/>
      </c>
      <c r="H3114">
        <f>IF(OR(H3113=1,G3114=1),1,0)</f>
        <v/>
      </c>
      <c r="I3114">
        <f>IF(H3113=0,1,SUMPRODUCT(J3113:N3113,B3114:F3114)+O3113*(1+0.00023125256064071564))</f>
        <v/>
      </c>
      <c r="J3114">
        <f>IF(G3114=1,0.2*R3114/B3114,J3113)</f>
        <v/>
      </c>
      <c r="K3114">
        <f>IF(G3114=1,0.2*R3114/C3114,K3113)</f>
        <v/>
      </c>
      <c r="L3114">
        <f>IF(G3114=1,0.2*R3114/D3114,L3113)</f>
        <v/>
      </c>
      <c r="M3114">
        <f>IF(G3114=1,0.2*R3114/E3114,M3113)</f>
        <v/>
      </c>
      <c r="N3114">
        <f>IF(G3114=1,0.2*R3114/F3114,N3113)</f>
        <v/>
      </c>
      <c r="O3114">
        <f>IF(G3114=1,R3114*(1-1.0),IF(H3113=0,1,O3113*(1+0.00023125256064071564)))</f>
        <v/>
      </c>
      <c r="P3114">
        <f>IF(G3114=1,IF(H3113=0,1,ABS(0.2-J3113*B3114/I3114)+ABS(0.2-K3113*C3114/I3114)+ABS(0.2-L3113*D3114/I3114)+ABS(0.2-M3113*E3114/I3114)+ABS(0.2-N3113*F3114/I3114)),0)</f>
        <v/>
      </c>
      <c r="Q3114">
        <f>P3114*0.0015</f>
        <v/>
      </c>
      <c r="R3114">
        <f>I3114*(1-Q3114)</f>
        <v/>
      </c>
      <c r="S3114">
        <f>R3114/R3113-1</f>
        <v/>
      </c>
      <c r="T3114">
        <f>MAX(T3113,R3114)</f>
        <v/>
      </c>
      <c r="U3114">
        <f>R3114/T3114-1</f>
        <v/>
      </c>
      <c r="V3114" t="n">
        <v>9.143011195232219</v>
      </c>
      <c r="W3114" s="5">
        <f>R3114-V3114</f>
        <v/>
      </c>
    </row>
    <row r="3115">
      <c r="A3115" s="3" t="n">
        <v>43025</v>
      </c>
      <c r="B3115">
        <f>Prices!B3115</f>
        <v/>
      </c>
      <c r="C3115">
        <f>Prices!C3115</f>
        <v/>
      </c>
      <c r="D3115">
        <f>Prices!D3115</f>
        <v/>
      </c>
      <c r="E3115">
        <f>Prices!E3115</f>
        <v/>
      </c>
      <c r="F3115">
        <f>Prices!F3115</f>
        <v/>
      </c>
      <c r="G3115">
        <f>IF(AND(3113&gt;=16,TEXT(A3115,"yyyy-mm")&lt;&gt;TEXT(A3116,"yyyy-mm")),1,0)</f>
        <v/>
      </c>
      <c r="H3115">
        <f>IF(OR(H3114=1,G3115=1),1,0)</f>
        <v/>
      </c>
      <c r="I3115">
        <f>IF(H3114=0,1,SUMPRODUCT(J3114:N3114,B3115:F3115)+O3114*(1+0.00023125256064071564))</f>
        <v/>
      </c>
      <c r="J3115">
        <f>IF(G3115=1,0.2*R3115/B3115,J3114)</f>
        <v/>
      </c>
      <c r="K3115">
        <f>IF(G3115=1,0.2*R3115/C3115,K3114)</f>
        <v/>
      </c>
      <c r="L3115">
        <f>IF(G3115=1,0.2*R3115/D3115,L3114)</f>
        <v/>
      </c>
      <c r="M3115">
        <f>IF(G3115=1,0.2*R3115/E3115,M3114)</f>
        <v/>
      </c>
      <c r="N3115">
        <f>IF(G3115=1,0.2*R3115/F3115,N3114)</f>
        <v/>
      </c>
      <c r="O3115">
        <f>IF(G3115=1,R3115*(1-1.0),IF(H3114=0,1,O3114*(1+0.00023125256064071564)))</f>
        <v/>
      </c>
      <c r="P3115">
        <f>IF(G3115=1,IF(H3114=0,1,ABS(0.2-J3114*B3115/I3115)+ABS(0.2-K3114*C3115/I3115)+ABS(0.2-L3114*D3115/I3115)+ABS(0.2-M3114*E3115/I3115)+ABS(0.2-N3114*F3115/I3115)),0)</f>
        <v/>
      </c>
      <c r="Q3115">
        <f>P3115*0.0015</f>
        <v/>
      </c>
      <c r="R3115">
        <f>I3115*(1-Q3115)</f>
        <v/>
      </c>
      <c r="S3115">
        <f>R3115/R3114-1</f>
        <v/>
      </c>
      <c r="T3115">
        <f>MAX(T3114,R3115)</f>
        <v/>
      </c>
      <c r="U3115">
        <f>R3115/T3115-1</f>
        <v/>
      </c>
      <c r="V3115" t="n">
        <v>9.204378608260066</v>
      </c>
      <c r="W3115" s="5">
        <f>R3115-V3115</f>
        <v/>
      </c>
    </row>
    <row r="3116">
      <c r="A3116" s="3" t="n">
        <v>43026</v>
      </c>
      <c r="B3116">
        <f>Prices!B3116</f>
        <v/>
      </c>
      <c r="C3116">
        <f>Prices!C3116</f>
        <v/>
      </c>
      <c r="D3116">
        <f>Prices!D3116</f>
        <v/>
      </c>
      <c r="E3116">
        <f>Prices!E3116</f>
        <v/>
      </c>
      <c r="F3116">
        <f>Prices!F3116</f>
        <v/>
      </c>
      <c r="G3116">
        <f>IF(AND(3114&gt;=16,TEXT(A3116,"yyyy-mm")&lt;&gt;TEXT(A3117,"yyyy-mm")),1,0)</f>
        <v/>
      </c>
      <c r="H3116">
        <f>IF(OR(H3115=1,G3116=1),1,0)</f>
        <v/>
      </c>
      <c r="I3116">
        <f>IF(H3115=0,1,SUMPRODUCT(J3115:N3115,B3116:F3116)+O3115*(1+0.00023125256064071564))</f>
        <v/>
      </c>
      <c r="J3116">
        <f>IF(G3116=1,0.2*R3116/B3116,J3115)</f>
        <v/>
      </c>
      <c r="K3116">
        <f>IF(G3116=1,0.2*R3116/C3116,K3115)</f>
        <v/>
      </c>
      <c r="L3116">
        <f>IF(G3116=1,0.2*R3116/D3116,L3115)</f>
        <v/>
      </c>
      <c r="M3116">
        <f>IF(G3116=1,0.2*R3116/E3116,M3115)</f>
        <v/>
      </c>
      <c r="N3116">
        <f>IF(G3116=1,0.2*R3116/F3116,N3115)</f>
        <v/>
      </c>
      <c r="O3116">
        <f>IF(G3116=1,R3116*(1-1.0),IF(H3115=0,1,O3115*(1+0.00023125256064071564)))</f>
        <v/>
      </c>
      <c r="P3116">
        <f>IF(G3116=1,IF(H3115=0,1,ABS(0.2-J3115*B3116/I3116)+ABS(0.2-K3115*C3116/I3116)+ABS(0.2-L3115*D3116/I3116)+ABS(0.2-M3115*E3116/I3116)+ABS(0.2-N3115*F3116/I3116)),0)</f>
        <v/>
      </c>
      <c r="Q3116">
        <f>P3116*0.0015</f>
        <v/>
      </c>
      <c r="R3116">
        <f>I3116*(1-Q3116)</f>
        <v/>
      </c>
      <c r="S3116">
        <f>R3116/R3115-1</f>
        <v/>
      </c>
      <c r="T3116">
        <f>MAX(T3115,R3116)</f>
        <v/>
      </c>
      <c r="U3116">
        <f>R3116/T3116-1</f>
        <v/>
      </c>
      <c r="V3116" t="n">
        <v>9.206973240875032</v>
      </c>
      <c r="W3116" s="5">
        <f>R3116-V3116</f>
        <v/>
      </c>
    </row>
    <row r="3117">
      <c r="A3117" s="3" t="n">
        <v>43027</v>
      </c>
      <c r="B3117">
        <f>Prices!B3117</f>
        <v/>
      </c>
      <c r="C3117">
        <f>Prices!C3117</f>
        <v/>
      </c>
      <c r="D3117">
        <f>Prices!D3117</f>
        <v/>
      </c>
      <c r="E3117">
        <f>Prices!E3117</f>
        <v/>
      </c>
      <c r="F3117">
        <f>Prices!F3117</f>
        <v/>
      </c>
      <c r="G3117">
        <f>IF(AND(3115&gt;=16,TEXT(A3117,"yyyy-mm")&lt;&gt;TEXT(A3118,"yyyy-mm")),1,0)</f>
        <v/>
      </c>
      <c r="H3117">
        <f>IF(OR(H3116=1,G3117=1),1,0)</f>
        <v/>
      </c>
      <c r="I3117">
        <f>IF(H3116=0,1,SUMPRODUCT(J3116:N3116,B3117:F3117)+O3116*(1+0.00023125256064071564))</f>
        <v/>
      </c>
      <c r="J3117">
        <f>IF(G3117=1,0.2*R3117/B3117,J3116)</f>
        <v/>
      </c>
      <c r="K3117">
        <f>IF(G3117=1,0.2*R3117/C3117,K3116)</f>
        <v/>
      </c>
      <c r="L3117">
        <f>IF(G3117=1,0.2*R3117/D3117,L3116)</f>
        <v/>
      </c>
      <c r="M3117">
        <f>IF(G3117=1,0.2*R3117/E3117,M3116)</f>
        <v/>
      </c>
      <c r="N3117">
        <f>IF(G3117=1,0.2*R3117/F3117,N3116)</f>
        <v/>
      </c>
      <c r="O3117">
        <f>IF(G3117=1,R3117*(1-1.0),IF(H3116=0,1,O3116*(1+0.00023125256064071564)))</f>
        <v/>
      </c>
      <c r="P3117">
        <f>IF(G3117=1,IF(H3116=0,1,ABS(0.2-J3116*B3117/I3117)+ABS(0.2-K3116*C3117/I3117)+ABS(0.2-L3116*D3117/I3117)+ABS(0.2-M3116*E3117/I3117)+ABS(0.2-N3116*F3117/I3117)),0)</f>
        <v/>
      </c>
      <c r="Q3117">
        <f>P3117*0.0015</f>
        <v/>
      </c>
      <c r="R3117">
        <f>I3117*(1-Q3117)</f>
        <v/>
      </c>
      <c r="S3117">
        <f>R3117/R3116-1</f>
        <v/>
      </c>
      <c r="T3117">
        <f>MAX(T3116,R3117)</f>
        <v/>
      </c>
      <c r="U3117">
        <f>R3117/T3117-1</f>
        <v/>
      </c>
      <c r="V3117" t="n">
        <v>9.164516023319219</v>
      </c>
      <c r="W3117" s="5">
        <f>R3117-V3117</f>
        <v/>
      </c>
    </row>
    <row r="3118">
      <c r="A3118" s="3" t="n">
        <v>43031</v>
      </c>
      <c r="B3118">
        <f>Prices!B3118</f>
        <v/>
      </c>
      <c r="C3118">
        <f>Prices!C3118</f>
        <v/>
      </c>
      <c r="D3118">
        <f>Prices!D3118</f>
        <v/>
      </c>
      <c r="E3118">
        <f>Prices!E3118</f>
        <v/>
      </c>
      <c r="F3118">
        <f>Prices!F3118</f>
        <v/>
      </c>
      <c r="G3118">
        <f>IF(AND(3116&gt;=16,TEXT(A3118,"yyyy-mm")&lt;&gt;TEXT(A3119,"yyyy-mm")),1,0)</f>
        <v/>
      </c>
      <c r="H3118">
        <f>IF(OR(H3117=1,G3118=1),1,0)</f>
        <v/>
      </c>
      <c r="I3118">
        <f>IF(H3117=0,1,SUMPRODUCT(J3117:N3117,B3118:F3118)+O3117*(1+0.00023125256064071564))</f>
        <v/>
      </c>
      <c r="J3118">
        <f>IF(G3118=1,0.2*R3118/B3118,J3117)</f>
        <v/>
      </c>
      <c r="K3118">
        <f>IF(G3118=1,0.2*R3118/C3118,K3117)</f>
        <v/>
      </c>
      <c r="L3118">
        <f>IF(G3118=1,0.2*R3118/D3118,L3117)</f>
        <v/>
      </c>
      <c r="M3118">
        <f>IF(G3118=1,0.2*R3118/E3118,M3117)</f>
        <v/>
      </c>
      <c r="N3118">
        <f>IF(G3118=1,0.2*R3118/F3118,N3117)</f>
        <v/>
      </c>
      <c r="O3118">
        <f>IF(G3118=1,R3118*(1-1.0),IF(H3117=0,1,O3117*(1+0.00023125256064071564)))</f>
        <v/>
      </c>
      <c r="P3118">
        <f>IF(G3118=1,IF(H3117=0,1,ABS(0.2-J3117*B3118/I3118)+ABS(0.2-K3117*C3118/I3118)+ABS(0.2-L3117*D3118/I3118)+ABS(0.2-M3117*E3118/I3118)+ABS(0.2-N3117*F3118/I3118)),0)</f>
        <v/>
      </c>
      <c r="Q3118">
        <f>P3118*0.0015</f>
        <v/>
      </c>
      <c r="R3118">
        <f>I3118*(1-Q3118)</f>
        <v/>
      </c>
      <c r="S3118">
        <f>R3118/R3117-1</f>
        <v/>
      </c>
      <c r="T3118">
        <f>MAX(T3117,R3118)</f>
        <v/>
      </c>
      <c r="U3118">
        <f>R3118/T3118-1</f>
        <v/>
      </c>
      <c r="V3118" t="n">
        <v>9.201010998759017</v>
      </c>
      <c r="W3118" s="5">
        <f>R3118-V3118</f>
        <v/>
      </c>
    </row>
    <row r="3119">
      <c r="A3119" s="3" t="n">
        <v>43032</v>
      </c>
      <c r="B3119">
        <f>Prices!B3119</f>
        <v/>
      </c>
      <c r="C3119">
        <f>Prices!C3119</f>
        <v/>
      </c>
      <c r="D3119">
        <f>Prices!D3119</f>
        <v/>
      </c>
      <c r="E3119">
        <f>Prices!E3119</f>
        <v/>
      </c>
      <c r="F3119">
        <f>Prices!F3119</f>
        <v/>
      </c>
      <c r="G3119">
        <f>IF(AND(3117&gt;=16,TEXT(A3119,"yyyy-mm")&lt;&gt;TEXT(A3120,"yyyy-mm")),1,0)</f>
        <v/>
      </c>
      <c r="H3119">
        <f>IF(OR(H3118=1,G3119=1),1,0)</f>
        <v/>
      </c>
      <c r="I3119">
        <f>IF(H3118=0,1,SUMPRODUCT(J3118:N3118,B3119:F3119)+O3118*(1+0.00023125256064071564))</f>
        <v/>
      </c>
      <c r="J3119">
        <f>IF(G3119=1,0.2*R3119/B3119,J3118)</f>
        <v/>
      </c>
      <c r="K3119">
        <f>IF(G3119=1,0.2*R3119/C3119,K3118)</f>
        <v/>
      </c>
      <c r="L3119">
        <f>IF(G3119=1,0.2*R3119/D3119,L3118)</f>
        <v/>
      </c>
      <c r="M3119">
        <f>IF(G3119=1,0.2*R3119/E3119,M3118)</f>
        <v/>
      </c>
      <c r="N3119">
        <f>IF(G3119=1,0.2*R3119/F3119,N3118)</f>
        <v/>
      </c>
      <c r="O3119">
        <f>IF(G3119=1,R3119*(1-1.0),IF(H3118=0,1,O3118*(1+0.00023125256064071564)))</f>
        <v/>
      </c>
      <c r="P3119">
        <f>IF(G3119=1,IF(H3118=0,1,ABS(0.2-J3118*B3119/I3119)+ABS(0.2-K3118*C3119/I3119)+ABS(0.2-L3118*D3119/I3119)+ABS(0.2-M3118*E3119/I3119)+ABS(0.2-N3118*F3119/I3119)),0)</f>
        <v/>
      </c>
      <c r="Q3119">
        <f>P3119*0.0015</f>
        <v/>
      </c>
      <c r="R3119">
        <f>I3119*(1-Q3119)</f>
        <v/>
      </c>
      <c r="S3119">
        <f>R3119/R3118-1</f>
        <v/>
      </c>
      <c r="T3119">
        <f>MAX(T3118,R3119)</f>
        <v/>
      </c>
      <c r="U3119">
        <f>R3119/T3119-1</f>
        <v/>
      </c>
      <c r="V3119" t="n">
        <v>9.224893058322541</v>
      </c>
      <c r="W3119" s="5">
        <f>R3119-V3119</f>
        <v/>
      </c>
    </row>
    <row r="3120">
      <c r="A3120" s="3" t="n">
        <v>43033</v>
      </c>
      <c r="B3120">
        <f>Prices!B3120</f>
        <v/>
      </c>
      <c r="C3120">
        <f>Prices!C3120</f>
        <v/>
      </c>
      <c r="D3120">
        <f>Prices!D3120</f>
        <v/>
      </c>
      <c r="E3120">
        <f>Prices!E3120</f>
        <v/>
      </c>
      <c r="F3120">
        <f>Prices!F3120</f>
        <v/>
      </c>
      <c r="G3120">
        <f>IF(AND(3118&gt;=16,TEXT(A3120,"yyyy-mm")&lt;&gt;TEXT(A3121,"yyyy-mm")),1,0)</f>
        <v/>
      </c>
      <c r="H3120">
        <f>IF(OR(H3119=1,G3120=1),1,0)</f>
        <v/>
      </c>
      <c r="I3120">
        <f>IF(H3119=0,1,SUMPRODUCT(J3119:N3119,B3120:F3120)+O3119*(1+0.00023125256064071564))</f>
        <v/>
      </c>
      <c r="J3120">
        <f>IF(G3120=1,0.2*R3120/B3120,J3119)</f>
        <v/>
      </c>
      <c r="K3120">
        <f>IF(G3120=1,0.2*R3120/C3120,K3119)</f>
        <v/>
      </c>
      <c r="L3120">
        <f>IF(G3120=1,0.2*R3120/D3120,L3119)</f>
        <v/>
      </c>
      <c r="M3120">
        <f>IF(G3120=1,0.2*R3120/E3120,M3119)</f>
        <v/>
      </c>
      <c r="N3120">
        <f>IF(G3120=1,0.2*R3120/F3120,N3119)</f>
        <v/>
      </c>
      <c r="O3120">
        <f>IF(G3120=1,R3120*(1-1.0),IF(H3119=0,1,O3119*(1+0.00023125256064071564)))</f>
        <v/>
      </c>
      <c r="P3120">
        <f>IF(G3120=1,IF(H3119=0,1,ABS(0.2-J3119*B3120/I3120)+ABS(0.2-K3119*C3120/I3120)+ABS(0.2-L3119*D3120/I3120)+ABS(0.2-M3119*E3120/I3120)+ABS(0.2-N3119*F3120/I3120)),0)</f>
        <v/>
      </c>
      <c r="Q3120">
        <f>P3120*0.0015</f>
        <v/>
      </c>
      <c r="R3120">
        <f>I3120*(1-Q3120)</f>
        <v/>
      </c>
      <c r="S3120">
        <f>R3120/R3119-1</f>
        <v/>
      </c>
      <c r="T3120">
        <f>MAX(T3119,R3120)</f>
        <v/>
      </c>
      <c r="U3120">
        <f>R3120/T3120-1</f>
        <v/>
      </c>
      <c r="V3120" t="n">
        <v>9.207718007071954</v>
      </c>
      <c r="W3120" s="5">
        <f>R3120-V3120</f>
        <v/>
      </c>
    </row>
    <row r="3121">
      <c r="A3121" s="3" t="n">
        <v>43034</v>
      </c>
      <c r="B3121">
        <f>Prices!B3121</f>
        <v/>
      </c>
      <c r="C3121">
        <f>Prices!C3121</f>
        <v/>
      </c>
      <c r="D3121">
        <f>Prices!D3121</f>
        <v/>
      </c>
      <c r="E3121">
        <f>Prices!E3121</f>
        <v/>
      </c>
      <c r="F3121">
        <f>Prices!F3121</f>
        <v/>
      </c>
      <c r="G3121">
        <f>IF(AND(3119&gt;=16,TEXT(A3121,"yyyy-mm")&lt;&gt;TEXT(A3122,"yyyy-mm")),1,0)</f>
        <v/>
      </c>
      <c r="H3121">
        <f>IF(OR(H3120=1,G3121=1),1,0)</f>
        <v/>
      </c>
      <c r="I3121">
        <f>IF(H3120=0,1,SUMPRODUCT(J3120:N3120,B3121:F3121)+O3120*(1+0.00023125256064071564))</f>
        <v/>
      </c>
      <c r="J3121">
        <f>IF(G3121=1,0.2*R3121/B3121,J3120)</f>
        <v/>
      </c>
      <c r="K3121">
        <f>IF(G3121=1,0.2*R3121/C3121,K3120)</f>
        <v/>
      </c>
      <c r="L3121">
        <f>IF(G3121=1,0.2*R3121/D3121,L3120)</f>
        <v/>
      </c>
      <c r="M3121">
        <f>IF(G3121=1,0.2*R3121/E3121,M3120)</f>
        <v/>
      </c>
      <c r="N3121">
        <f>IF(G3121=1,0.2*R3121/F3121,N3120)</f>
        <v/>
      </c>
      <c r="O3121">
        <f>IF(G3121=1,R3121*(1-1.0),IF(H3120=0,1,O3120*(1+0.00023125256064071564)))</f>
        <v/>
      </c>
      <c r="P3121">
        <f>IF(G3121=1,IF(H3120=0,1,ABS(0.2-J3120*B3121/I3121)+ABS(0.2-K3120*C3121/I3121)+ABS(0.2-L3120*D3121/I3121)+ABS(0.2-M3120*E3121/I3121)+ABS(0.2-N3120*F3121/I3121)),0)</f>
        <v/>
      </c>
      <c r="Q3121">
        <f>P3121*0.0015</f>
        <v/>
      </c>
      <c r="R3121">
        <f>I3121*(1-Q3121)</f>
        <v/>
      </c>
      <c r="S3121">
        <f>R3121/R3120-1</f>
        <v/>
      </c>
      <c r="T3121">
        <f>MAX(T3120,R3121)</f>
        <v/>
      </c>
      <c r="U3121">
        <f>R3121/T3121-1</f>
        <v/>
      </c>
      <c r="V3121" t="n">
        <v>9.27294489175328</v>
      </c>
      <c r="W3121" s="5">
        <f>R3121-V3121</f>
        <v/>
      </c>
    </row>
    <row r="3122">
      <c r="A3122" s="3" t="n">
        <v>43035</v>
      </c>
      <c r="B3122">
        <f>Prices!B3122</f>
        <v/>
      </c>
      <c r="C3122">
        <f>Prices!C3122</f>
        <v/>
      </c>
      <c r="D3122">
        <f>Prices!D3122</f>
        <v/>
      </c>
      <c r="E3122">
        <f>Prices!E3122</f>
        <v/>
      </c>
      <c r="F3122">
        <f>Prices!F3122</f>
        <v/>
      </c>
      <c r="G3122">
        <f>IF(AND(3120&gt;=16,TEXT(A3122,"yyyy-mm")&lt;&gt;TEXT(A3123,"yyyy-mm")),1,0)</f>
        <v/>
      </c>
      <c r="H3122">
        <f>IF(OR(H3121=1,G3122=1),1,0)</f>
        <v/>
      </c>
      <c r="I3122">
        <f>IF(H3121=0,1,SUMPRODUCT(J3121:N3121,B3122:F3122)+O3121*(1+0.00023125256064071564))</f>
        <v/>
      </c>
      <c r="J3122">
        <f>IF(G3122=1,0.2*R3122/B3122,J3121)</f>
        <v/>
      </c>
      <c r="K3122">
        <f>IF(G3122=1,0.2*R3122/C3122,K3121)</f>
        <v/>
      </c>
      <c r="L3122">
        <f>IF(G3122=1,0.2*R3122/D3122,L3121)</f>
        <v/>
      </c>
      <c r="M3122">
        <f>IF(G3122=1,0.2*R3122/E3122,M3121)</f>
        <v/>
      </c>
      <c r="N3122">
        <f>IF(G3122=1,0.2*R3122/F3122,N3121)</f>
        <v/>
      </c>
      <c r="O3122">
        <f>IF(G3122=1,R3122*(1-1.0),IF(H3121=0,1,O3121*(1+0.00023125256064071564)))</f>
        <v/>
      </c>
      <c r="P3122">
        <f>IF(G3122=1,IF(H3121=0,1,ABS(0.2-J3121*B3122/I3122)+ABS(0.2-K3121*C3122/I3122)+ABS(0.2-L3121*D3122/I3122)+ABS(0.2-M3121*E3122/I3122)+ABS(0.2-N3121*F3122/I3122)),0)</f>
        <v/>
      </c>
      <c r="Q3122">
        <f>P3122*0.0015</f>
        <v/>
      </c>
      <c r="R3122">
        <f>I3122*(1-Q3122)</f>
        <v/>
      </c>
      <c r="S3122">
        <f>R3122/R3121-1</f>
        <v/>
      </c>
      <c r="T3122">
        <f>MAX(T3121,R3122)</f>
        <v/>
      </c>
      <c r="U3122">
        <f>R3122/T3122-1</f>
        <v/>
      </c>
      <c r="V3122" t="n">
        <v>9.274941808399033</v>
      </c>
      <c r="W3122" s="5">
        <f>R3122-V3122</f>
        <v/>
      </c>
    </row>
    <row r="3123">
      <c r="A3123" s="3" t="n">
        <v>43038</v>
      </c>
      <c r="B3123">
        <f>Prices!B3123</f>
        <v/>
      </c>
      <c r="C3123">
        <f>Prices!C3123</f>
        <v/>
      </c>
      <c r="D3123">
        <f>Prices!D3123</f>
        <v/>
      </c>
      <c r="E3123">
        <f>Prices!E3123</f>
        <v/>
      </c>
      <c r="F3123">
        <f>Prices!F3123</f>
        <v/>
      </c>
      <c r="G3123">
        <f>IF(AND(3121&gt;=16,TEXT(A3123,"yyyy-mm")&lt;&gt;TEXT(A3124,"yyyy-mm")),1,0)</f>
        <v/>
      </c>
      <c r="H3123">
        <f>IF(OR(H3122=1,G3123=1),1,0)</f>
        <v/>
      </c>
      <c r="I3123">
        <f>IF(H3122=0,1,SUMPRODUCT(J3122:N3122,B3123:F3123)+O3122*(1+0.00023125256064071564))</f>
        <v/>
      </c>
      <c r="J3123">
        <f>IF(G3123=1,0.2*R3123/B3123,J3122)</f>
        <v/>
      </c>
      <c r="K3123">
        <f>IF(G3123=1,0.2*R3123/C3123,K3122)</f>
        <v/>
      </c>
      <c r="L3123">
        <f>IF(G3123=1,0.2*R3123/D3123,L3122)</f>
        <v/>
      </c>
      <c r="M3123">
        <f>IF(G3123=1,0.2*R3123/E3123,M3122)</f>
        <v/>
      </c>
      <c r="N3123">
        <f>IF(G3123=1,0.2*R3123/F3123,N3122)</f>
        <v/>
      </c>
      <c r="O3123">
        <f>IF(G3123=1,R3123*(1-1.0),IF(H3122=0,1,O3122*(1+0.00023125256064071564)))</f>
        <v/>
      </c>
      <c r="P3123">
        <f>IF(G3123=1,IF(H3122=0,1,ABS(0.2-J3122*B3123/I3123)+ABS(0.2-K3122*C3123/I3123)+ABS(0.2-L3122*D3123/I3123)+ABS(0.2-M3122*E3123/I3123)+ABS(0.2-N3122*F3123/I3123)),0)</f>
        <v/>
      </c>
      <c r="Q3123">
        <f>P3123*0.0015</f>
        <v/>
      </c>
      <c r="R3123">
        <f>I3123*(1-Q3123)</f>
        <v/>
      </c>
      <c r="S3123">
        <f>R3123/R3122-1</f>
        <v/>
      </c>
      <c r="T3123">
        <f>MAX(T3122,R3123)</f>
        <v/>
      </c>
      <c r="U3123">
        <f>R3123/T3123-1</f>
        <v/>
      </c>
      <c r="V3123" t="n">
        <v>9.34396019763391</v>
      </c>
      <c r="W3123" s="5">
        <f>R3123-V3123</f>
        <v/>
      </c>
    </row>
    <row r="3124">
      <c r="A3124" s="3" t="n">
        <v>43039</v>
      </c>
      <c r="B3124">
        <f>Prices!B3124</f>
        <v/>
      </c>
      <c r="C3124">
        <f>Prices!C3124</f>
        <v/>
      </c>
      <c r="D3124">
        <f>Prices!D3124</f>
        <v/>
      </c>
      <c r="E3124">
        <f>Prices!E3124</f>
        <v/>
      </c>
      <c r="F3124">
        <f>Prices!F3124</f>
        <v/>
      </c>
      <c r="G3124">
        <f>IF(AND(3122&gt;=16,TEXT(A3124,"yyyy-mm")&lt;&gt;TEXT(A3125,"yyyy-mm")),1,0)</f>
        <v/>
      </c>
      <c r="H3124">
        <f>IF(OR(H3123=1,G3124=1),1,0)</f>
        <v/>
      </c>
      <c r="I3124">
        <f>IF(H3123=0,1,SUMPRODUCT(J3123:N3123,B3124:F3124)+O3123*(1+0.00023125256064071564))</f>
        <v/>
      </c>
      <c r="J3124">
        <f>IF(G3124=1,0.2*R3124/B3124,J3123)</f>
        <v/>
      </c>
      <c r="K3124">
        <f>IF(G3124=1,0.2*R3124/C3124,K3123)</f>
        <v/>
      </c>
      <c r="L3124">
        <f>IF(G3124=1,0.2*R3124/D3124,L3123)</f>
        <v/>
      </c>
      <c r="M3124">
        <f>IF(G3124=1,0.2*R3124/E3124,M3123)</f>
        <v/>
      </c>
      <c r="N3124">
        <f>IF(G3124=1,0.2*R3124/F3124,N3123)</f>
        <v/>
      </c>
      <c r="O3124">
        <f>IF(G3124=1,R3124*(1-1.0),IF(H3123=0,1,O3123*(1+0.00023125256064071564)))</f>
        <v/>
      </c>
      <c r="P3124">
        <f>IF(G3124=1,IF(H3123=0,1,ABS(0.2-J3123*B3124/I3124)+ABS(0.2-K3123*C3124/I3124)+ABS(0.2-L3123*D3124/I3124)+ABS(0.2-M3123*E3124/I3124)+ABS(0.2-N3123*F3124/I3124)),0)</f>
        <v/>
      </c>
      <c r="Q3124">
        <f>P3124*0.0015</f>
        <v/>
      </c>
      <c r="R3124">
        <f>I3124*(1-Q3124)</f>
        <v/>
      </c>
      <c r="S3124">
        <f>R3124/R3123-1</f>
        <v/>
      </c>
      <c r="T3124">
        <f>MAX(T3123,R3124)</f>
        <v/>
      </c>
      <c r="U3124">
        <f>R3124/T3124-1</f>
        <v/>
      </c>
      <c r="V3124" t="n">
        <v>9.344335855781727</v>
      </c>
      <c r="W3124" s="5">
        <f>R3124-V3124</f>
        <v/>
      </c>
    </row>
    <row r="3125">
      <c r="A3125" s="3" t="n">
        <v>43040</v>
      </c>
      <c r="B3125">
        <f>Prices!B3125</f>
        <v/>
      </c>
      <c r="C3125">
        <f>Prices!C3125</f>
        <v/>
      </c>
      <c r="D3125">
        <f>Prices!D3125</f>
        <v/>
      </c>
      <c r="E3125">
        <f>Prices!E3125</f>
        <v/>
      </c>
      <c r="F3125">
        <f>Prices!F3125</f>
        <v/>
      </c>
      <c r="G3125">
        <f>IF(AND(3123&gt;=16,TEXT(A3125,"yyyy-mm")&lt;&gt;TEXT(A3126,"yyyy-mm")),1,0)</f>
        <v/>
      </c>
      <c r="H3125">
        <f>IF(OR(H3124=1,G3125=1),1,0)</f>
        <v/>
      </c>
      <c r="I3125">
        <f>IF(H3124=0,1,SUMPRODUCT(J3124:N3124,B3125:F3125)+O3124*(1+0.00023125256064071564))</f>
        <v/>
      </c>
      <c r="J3125">
        <f>IF(G3125=1,0.2*R3125/B3125,J3124)</f>
        <v/>
      </c>
      <c r="K3125">
        <f>IF(G3125=1,0.2*R3125/C3125,K3124)</f>
        <v/>
      </c>
      <c r="L3125">
        <f>IF(G3125=1,0.2*R3125/D3125,L3124)</f>
        <v/>
      </c>
      <c r="M3125">
        <f>IF(G3125=1,0.2*R3125/E3125,M3124)</f>
        <v/>
      </c>
      <c r="N3125">
        <f>IF(G3125=1,0.2*R3125/F3125,N3124)</f>
        <v/>
      </c>
      <c r="O3125">
        <f>IF(G3125=1,R3125*(1-1.0),IF(H3124=0,1,O3124*(1+0.00023125256064071564)))</f>
        <v/>
      </c>
      <c r="P3125">
        <f>IF(G3125=1,IF(H3124=0,1,ABS(0.2-J3124*B3125/I3125)+ABS(0.2-K3124*C3125/I3125)+ABS(0.2-L3124*D3125/I3125)+ABS(0.2-M3124*E3125/I3125)+ABS(0.2-N3124*F3125/I3125)),0)</f>
        <v/>
      </c>
      <c r="Q3125">
        <f>P3125*0.0015</f>
        <v/>
      </c>
      <c r="R3125">
        <f>I3125*(1-Q3125)</f>
        <v/>
      </c>
      <c r="S3125">
        <f>R3125/R3124-1</f>
        <v/>
      </c>
      <c r="T3125">
        <f>MAX(T3124,R3125)</f>
        <v/>
      </c>
      <c r="U3125">
        <f>R3125/T3125-1</f>
        <v/>
      </c>
      <c r="V3125" t="n">
        <v>9.394443367487668</v>
      </c>
      <c r="W3125" s="5">
        <f>R3125-V3125</f>
        <v/>
      </c>
    </row>
    <row r="3126">
      <c r="A3126" s="3" t="n">
        <v>43041</v>
      </c>
      <c r="B3126">
        <f>Prices!B3126</f>
        <v/>
      </c>
      <c r="C3126">
        <f>Prices!C3126</f>
        <v/>
      </c>
      <c r="D3126">
        <f>Prices!D3126</f>
        <v/>
      </c>
      <c r="E3126">
        <f>Prices!E3126</f>
        <v/>
      </c>
      <c r="F3126">
        <f>Prices!F3126</f>
        <v/>
      </c>
      <c r="G3126">
        <f>IF(AND(3124&gt;=16,TEXT(A3126,"yyyy-mm")&lt;&gt;TEXT(A3127,"yyyy-mm")),1,0)</f>
        <v/>
      </c>
      <c r="H3126">
        <f>IF(OR(H3125=1,G3126=1),1,0)</f>
        <v/>
      </c>
      <c r="I3126">
        <f>IF(H3125=0,1,SUMPRODUCT(J3125:N3125,B3126:F3126)+O3125*(1+0.00023125256064071564))</f>
        <v/>
      </c>
      <c r="J3126">
        <f>IF(G3126=1,0.2*R3126/B3126,J3125)</f>
        <v/>
      </c>
      <c r="K3126">
        <f>IF(G3126=1,0.2*R3126/C3126,K3125)</f>
        <v/>
      </c>
      <c r="L3126">
        <f>IF(G3126=1,0.2*R3126/D3126,L3125)</f>
        <v/>
      </c>
      <c r="M3126">
        <f>IF(G3126=1,0.2*R3126/E3126,M3125)</f>
        <v/>
      </c>
      <c r="N3126">
        <f>IF(G3126=1,0.2*R3126/F3126,N3125)</f>
        <v/>
      </c>
      <c r="O3126">
        <f>IF(G3126=1,R3126*(1-1.0),IF(H3125=0,1,O3125*(1+0.00023125256064071564)))</f>
        <v/>
      </c>
      <c r="P3126">
        <f>IF(G3126=1,IF(H3125=0,1,ABS(0.2-J3125*B3126/I3126)+ABS(0.2-K3125*C3126/I3126)+ABS(0.2-L3125*D3126/I3126)+ABS(0.2-M3125*E3126/I3126)+ABS(0.2-N3125*F3126/I3126)),0)</f>
        <v/>
      </c>
      <c r="Q3126">
        <f>P3126*0.0015</f>
        <v/>
      </c>
      <c r="R3126">
        <f>I3126*(1-Q3126)</f>
        <v/>
      </c>
      <c r="S3126">
        <f>R3126/R3125-1</f>
        <v/>
      </c>
      <c r="T3126">
        <f>MAX(T3125,R3126)</f>
        <v/>
      </c>
      <c r="U3126">
        <f>R3126/T3126-1</f>
        <v/>
      </c>
      <c r="V3126" t="n">
        <v>9.418379507737088</v>
      </c>
      <c r="W3126" s="5">
        <f>R3126-V3126</f>
        <v/>
      </c>
    </row>
    <row r="3127">
      <c r="A3127" s="3" t="n">
        <v>43042</v>
      </c>
      <c r="B3127">
        <f>Prices!B3127</f>
        <v/>
      </c>
      <c r="C3127">
        <f>Prices!C3127</f>
        <v/>
      </c>
      <c r="D3127">
        <f>Prices!D3127</f>
        <v/>
      </c>
      <c r="E3127">
        <f>Prices!E3127</f>
        <v/>
      </c>
      <c r="F3127">
        <f>Prices!F3127</f>
        <v/>
      </c>
      <c r="G3127">
        <f>IF(AND(3125&gt;=16,TEXT(A3127,"yyyy-mm")&lt;&gt;TEXT(A3128,"yyyy-mm")),1,0)</f>
        <v/>
      </c>
      <c r="H3127">
        <f>IF(OR(H3126=1,G3127=1),1,0)</f>
        <v/>
      </c>
      <c r="I3127">
        <f>IF(H3126=0,1,SUMPRODUCT(J3126:N3126,B3127:F3127)+O3126*(1+0.00023125256064071564))</f>
        <v/>
      </c>
      <c r="J3127">
        <f>IF(G3127=1,0.2*R3127/B3127,J3126)</f>
        <v/>
      </c>
      <c r="K3127">
        <f>IF(G3127=1,0.2*R3127/C3127,K3126)</f>
        <v/>
      </c>
      <c r="L3127">
        <f>IF(G3127=1,0.2*R3127/D3127,L3126)</f>
        <v/>
      </c>
      <c r="M3127">
        <f>IF(G3127=1,0.2*R3127/E3127,M3126)</f>
        <v/>
      </c>
      <c r="N3127">
        <f>IF(G3127=1,0.2*R3127/F3127,N3126)</f>
        <v/>
      </c>
      <c r="O3127">
        <f>IF(G3127=1,R3127*(1-1.0),IF(H3126=0,1,O3126*(1+0.00023125256064071564)))</f>
        <v/>
      </c>
      <c r="P3127">
        <f>IF(G3127=1,IF(H3126=0,1,ABS(0.2-J3126*B3127/I3127)+ABS(0.2-K3126*C3127/I3127)+ABS(0.2-L3126*D3127/I3127)+ABS(0.2-M3126*E3127/I3127)+ABS(0.2-N3126*F3127/I3127)),0)</f>
        <v/>
      </c>
      <c r="Q3127">
        <f>P3127*0.0015</f>
        <v/>
      </c>
      <c r="R3127">
        <f>I3127*(1-Q3127)</f>
        <v/>
      </c>
      <c r="S3127">
        <f>R3127/R3126-1</f>
        <v/>
      </c>
      <c r="T3127">
        <f>MAX(T3126,R3127)</f>
        <v/>
      </c>
      <c r="U3127">
        <f>R3127/T3127-1</f>
        <v/>
      </c>
      <c r="V3127" t="n">
        <v>9.4254981284768</v>
      </c>
      <c r="W3127" s="5">
        <f>R3127-V3127</f>
        <v/>
      </c>
    </row>
    <row r="3128">
      <c r="A3128" s="3" t="n">
        <v>43045</v>
      </c>
      <c r="B3128">
        <f>Prices!B3128</f>
        <v/>
      </c>
      <c r="C3128">
        <f>Prices!C3128</f>
        <v/>
      </c>
      <c r="D3128">
        <f>Prices!D3128</f>
        <v/>
      </c>
      <c r="E3128">
        <f>Prices!E3128</f>
        <v/>
      </c>
      <c r="F3128">
        <f>Prices!F3128</f>
        <v/>
      </c>
      <c r="G3128">
        <f>IF(AND(3126&gt;=16,TEXT(A3128,"yyyy-mm")&lt;&gt;TEXT(A3129,"yyyy-mm")),1,0)</f>
        <v/>
      </c>
      <c r="H3128">
        <f>IF(OR(H3127=1,G3128=1),1,0)</f>
        <v/>
      </c>
      <c r="I3128">
        <f>IF(H3127=0,1,SUMPRODUCT(J3127:N3127,B3128:F3128)+O3127*(1+0.00023125256064071564))</f>
        <v/>
      </c>
      <c r="J3128">
        <f>IF(G3128=1,0.2*R3128/B3128,J3127)</f>
        <v/>
      </c>
      <c r="K3128">
        <f>IF(G3128=1,0.2*R3128/C3128,K3127)</f>
        <v/>
      </c>
      <c r="L3128">
        <f>IF(G3128=1,0.2*R3128/D3128,L3127)</f>
        <v/>
      </c>
      <c r="M3128">
        <f>IF(G3128=1,0.2*R3128/E3128,M3127)</f>
        <v/>
      </c>
      <c r="N3128">
        <f>IF(G3128=1,0.2*R3128/F3128,N3127)</f>
        <v/>
      </c>
      <c r="O3128">
        <f>IF(G3128=1,R3128*(1-1.0),IF(H3127=0,1,O3127*(1+0.00023125256064071564)))</f>
        <v/>
      </c>
      <c r="P3128">
        <f>IF(G3128=1,IF(H3127=0,1,ABS(0.2-J3127*B3128/I3128)+ABS(0.2-K3127*C3128/I3128)+ABS(0.2-L3127*D3128/I3128)+ABS(0.2-M3127*E3128/I3128)+ABS(0.2-N3127*F3128/I3128)),0)</f>
        <v/>
      </c>
      <c r="Q3128">
        <f>P3128*0.0015</f>
        <v/>
      </c>
      <c r="R3128">
        <f>I3128*(1-Q3128)</f>
        <v/>
      </c>
      <c r="S3128">
        <f>R3128/R3127-1</f>
        <v/>
      </c>
      <c r="T3128">
        <f>MAX(T3127,R3128)</f>
        <v/>
      </c>
      <c r="U3128">
        <f>R3128/T3128-1</f>
        <v/>
      </c>
      <c r="V3128" t="n">
        <v>9.442094883635498</v>
      </c>
      <c r="W3128" s="5">
        <f>R3128-V3128</f>
        <v/>
      </c>
    </row>
    <row r="3129">
      <c r="A3129" s="3" t="n">
        <v>43046</v>
      </c>
      <c r="B3129">
        <f>Prices!B3129</f>
        <v/>
      </c>
      <c r="C3129">
        <f>Prices!C3129</f>
        <v/>
      </c>
      <c r="D3129">
        <f>Prices!D3129</f>
        <v/>
      </c>
      <c r="E3129">
        <f>Prices!E3129</f>
        <v/>
      </c>
      <c r="F3129">
        <f>Prices!F3129</f>
        <v/>
      </c>
      <c r="G3129">
        <f>IF(AND(3127&gt;=16,TEXT(A3129,"yyyy-mm")&lt;&gt;TEXT(A3130,"yyyy-mm")),1,0)</f>
        <v/>
      </c>
      <c r="H3129">
        <f>IF(OR(H3128=1,G3129=1),1,0)</f>
        <v/>
      </c>
      <c r="I3129">
        <f>IF(H3128=0,1,SUMPRODUCT(J3128:N3128,B3129:F3129)+O3128*(1+0.00023125256064071564))</f>
        <v/>
      </c>
      <c r="J3129">
        <f>IF(G3129=1,0.2*R3129/B3129,J3128)</f>
        <v/>
      </c>
      <c r="K3129">
        <f>IF(G3129=1,0.2*R3129/C3129,K3128)</f>
        <v/>
      </c>
      <c r="L3129">
        <f>IF(G3129=1,0.2*R3129/D3129,L3128)</f>
        <v/>
      </c>
      <c r="M3129">
        <f>IF(G3129=1,0.2*R3129/E3129,M3128)</f>
        <v/>
      </c>
      <c r="N3129">
        <f>IF(G3129=1,0.2*R3129/F3129,N3128)</f>
        <v/>
      </c>
      <c r="O3129">
        <f>IF(G3129=1,R3129*(1-1.0),IF(H3128=0,1,O3128*(1+0.00023125256064071564)))</f>
        <v/>
      </c>
      <c r="P3129">
        <f>IF(G3129=1,IF(H3128=0,1,ABS(0.2-J3128*B3129/I3129)+ABS(0.2-K3128*C3129/I3129)+ABS(0.2-L3128*D3129/I3129)+ABS(0.2-M3128*E3129/I3129)+ABS(0.2-N3128*F3129/I3129)),0)</f>
        <v/>
      </c>
      <c r="Q3129">
        <f>P3129*0.0015</f>
        <v/>
      </c>
      <c r="R3129">
        <f>I3129*(1-Q3129)</f>
        <v/>
      </c>
      <c r="S3129">
        <f>R3129/R3128-1</f>
        <v/>
      </c>
      <c r="T3129">
        <f>MAX(T3128,R3129)</f>
        <v/>
      </c>
      <c r="U3129">
        <f>R3129/T3129-1</f>
        <v/>
      </c>
      <c r="V3129" t="n">
        <v>9.344436784099196</v>
      </c>
      <c r="W3129" s="5">
        <f>R3129-V3129</f>
        <v/>
      </c>
    </row>
    <row r="3130">
      <c r="A3130" s="3" t="n">
        <v>43047</v>
      </c>
      <c r="B3130">
        <f>Prices!B3130</f>
        <v/>
      </c>
      <c r="C3130">
        <f>Prices!C3130</f>
        <v/>
      </c>
      <c r="D3130">
        <f>Prices!D3130</f>
        <v/>
      </c>
      <c r="E3130">
        <f>Prices!E3130</f>
        <v/>
      </c>
      <c r="F3130">
        <f>Prices!F3130</f>
        <v/>
      </c>
      <c r="G3130">
        <f>IF(AND(3128&gt;=16,TEXT(A3130,"yyyy-mm")&lt;&gt;TEXT(A3131,"yyyy-mm")),1,0)</f>
        <v/>
      </c>
      <c r="H3130">
        <f>IF(OR(H3129=1,G3130=1),1,0)</f>
        <v/>
      </c>
      <c r="I3130">
        <f>IF(H3129=0,1,SUMPRODUCT(J3129:N3129,B3130:F3130)+O3129*(1+0.00023125256064071564))</f>
        <v/>
      </c>
      <c r="J3130">
        <f>IF(G3130=1,0.2*R3130/B3130,J3129)</f>
        <v/>
      </c>
      <c r="K3130">
        <f>IF(G3130=1,0.2*R3130/C3130,K3129)</f>
        <v/>
      </c>
      <c r="L3130">
        <f>IF(G3130=1,0.2*R3130/D3130,L3129)</f>
        <v/>
      </c>
      <c r="M3130">
        <f>IF(G3130=1,0.2*R3130/E3130,M3129)</f>
        <v/>
      </c>
      <c r="N3130">
        <f>IF(G3130=1,0.2*R3130/F3130,N3129)</f>
        <v/>
      </c>
      <c r="O3130">
        <f>IF(G3130=1,R3130*(1-1.0),IF(H3129=0,1,O3129*(1+0.00023125256064071564)))</f>
        <v/>
      </c>
      <c r="P3130">
        <f>IF(G3130=1,IF(H3129=0,1,ABS(0.2-J3129*B3130/I3130)+ABS(0.2-K3129*C3130/I3130)+ABS(0.2-L3129*D3130/I3130)+ABS(0.2-M3129*E3130/I3130)+ABS(0.2-N3129*F3130/I3130)),0)</f>
        <v/>
      </c>
      <c r="Q3130">
        <f>P3130*0.0015</f>
        <v/>
      </c>
      <c r="R3130">
        <f>I3130*(1-Q3130)</f>
        <v/>
      </c>
      <c r="S3130">
        <f>R3130/R3129-1</f>
        <v/>
      </c>
      <c r="T3130">
        <f>MAX(T3129,R3130)</f>
        <v/>
      </c>
      <c r="U3130">
        <f>R3130/T3130-1</f>
        <v/>
      </c>
      <c r="V3130" t="n">
        <v>9.275462794679855</v>
      </c>
      <c r="W3130" s="5">
        <f>R3130-V3130</f>
        <v/>
      </c>
    </row>
    <row r="3131">
      <c r="A3131" s="3" t="n">
        <v>43048</v>
      </c>
      <c r="B3131">
        <f>Prices!B3131</f>
        <v/>
      </c>
      <c r="C3131">
        <f>Prices!C3131</f>
        <v/>
      </c>
      <c r="D3131">
        <f>Prices!D3131</f>
        <v/>
      </c>
      <c r="E3131">
        <f>Prices!E3131</f>
        <v/>
      </c>
      <c r="F3131">
        <f>Prices!F3131</f>
        <v/>
      </c>
      <c r="G3131">
        <f>IF(AND(3129&gt;=16,TEXT(A3131,"yyyy-mm")&lt;&gt;TEXT(A3132,"yyyy-mm")),1,0)</f>
        <v/>
      </c>
      <c r="H3131">
        <f>IF(OR(H3130=1,G3131=1),1,0)</f>
        <v/>
      </c>
      <c r="I3131">
        <f>IF(H3130=0,1,SUMPRODUCT(J3130:N3130,B3131:F3131)+O3130*(1+0.00023125256064071564))</f>
        <v/>
      </c>
      <c r="J3131">
        <f>IF(G3131=1,0.2*R3131/B3131,J3130)</f>
        <v/>
      </c>
      <c r="K3131">
        <f>IF(G3131=1,0.2*R3131/C3131,K3130)</f>
        <v/>
      </c>
      <c r="L3131">
        <f>IF(G3131=1,0.2*R3131/D3131,L3130)</f>
        <v/>
      </c>
      <c r="M3131">
        <f>IF(G3131=1,0.2*R3131/E3131,M3130)</f>
        <v/>
      </c>
      <c r="N3131">
        <f>IF(G3131=1,0.2*R3131/F3131,N3130)</f>
        <v/>
      </c>
      <c r="O3131">
        <f>IF(G3131=1,R3131*(1-1.0),IF(H3130=0,1,O3130*(1+0.00023125256064071564)))</f>
        <v/>
      </c>
      <c r="P3131">
        <f>IF(G3131=1,IF(H3130=0,1,ABS(0.2-J3130*B3131/I3131)+ABS(0.2-K3130*C3131/I3131)+ABS(0.2-L3130*D3131/I3131)+ABS(0.2-M3130*E3131/I3131)+ABS(0.2-N3130*F3131/I3131)),0)</f>
        <v/>
      </c>
      <c r="Q3131">
        <f>P3131*0.0015</f>
        <v/>
      </c>
      <c r="R3131">
        <f>I3131*(1-Q3131)</f>
        <v/>
      </c>
      <c r="S3131">
        <f>R3131/R3130-1</f>
        <v/>
      </c>
      <c r="T3131">
        <f>MAX(T3130,R3131)</f>
        <v/>
      </c>
      <c r="U3131">
        <f>R3131/T3131-1</f>
        <v/>
      </c>
      <c r="V3131" t="n">
        <v>9.325059454276021</v>
      </c>
      <c r="W3131" s="5">
        <f>R3131-V3131</f>
        <v/>
      </c>
    </row>
    <row r="3132">
      <c r="A3132" s="3" t="n">
        <v>43049</v>
      </c>
      <c r="B3132">
        <f>Prices!B3132</f>
        <v/>
      </c>
      <c r="C3132">
        <f>Prices!C3132</f>
        <v/>
      </c>
      <c r="D3132">
        <f>Prices!D3132</f>
        <v/>
      </c>
      <c r="E3132">
        <f>Prices!E3132</f>
        <v/>
      </c>
      <c r="F3132">
        <f>Prices!F3132</f>
        <v/>
      </c>
      <c r="G3132">
        <f>IF(AND(3130&gt;=16,TEXT(A3132,"yyyy-mm")&lt;&gt;TEXT(A3133,"yyyy-mm")),1,0)</f>
        <v/>
      </c>
      <c r="H3132">
        <f>IF(OR(H3131=1,G3132=1),1,0)</f>
        <v/>
      </c>
      <c r="I3132">
        <f>IF(H3131=0,1,SUMPRODUCT(J3131:N3131,B3132:F3132)+O3131*(1+0.00023125256064071564))</f>
        <v/>
      </c>
      <c r="J3132">
        <f>IF(G3132=1,0.2*R3132/B3132,J3131)</f>
        <v/>
      </c>
      <c r="K3132">
        <f>IF(G3132=1,0.2*R3132/C3132,K3131)</f>
        <v/>
      </c>
      <c r="L3132">
        <f>IF(G3132=1,0.2*R3132/D3132,L3131)</f>
        <v/>
      </c>
      <c r="M3132">
        <f>IF(G3132=1,0.2*R3132/E3132,M3131)</f>
        <v/>
      </c>
      <c r="N3132">
        <f>IF(G3132=1,0.2*R3132/F3132,N3131)</f>
        <v/>
      </c>
      <c r="O3132">
        <f>IF(G3132=1,R3132*(1-1.0),IF(H3131=0,1,O3131*(1+0.00023125256064071564)))</f>
        <v/>
      </c>
      <c r="P3132">
        <f>IF(G3132=1,IF(H3131=0,1,ABS(0.2-J3131*B3132/I3132)+ABS(0.2-K3131*C3132/I3132)+ABS(0.2-L3131*D3132/I3132)+ABS(0.2-M3131*E3132/I3132)+ABS(0.2-N3131*F3132/I3132)),0)</f>
        <v/>
      </c>
      <c r="Q3132">
        <f>P3132*0.0015</f>
        <v/>
      </c>
      <c r="R3132">
        <f>I3132*(1-Q3132)</f>
        <v/>
      </c>
      <c r="S3132">
        <f>R3132/R3131-1</f>
        <v/>
      </c>
      <c r="T3132">
        <f>MAX(T3131,R3132)</f>
        <v/>
      </c>
      <c r="U3132">
        <f>R3132/T3132-1</f>
        <v/>
      </c>
      <c r="V3132" t="n">
        <v>9.320655437904007</v>
      </c>
      <c r="W3132" s="5">
        <f>R3132-V3132</f>
        <v/>
      </c>
    </row>
    <row r="3133">
      <c r="A3133" s="3" t="n">
        <v>43052</v>
      </c>
      <c r="B3133">
        <f>Prices!B3133</f>
        <v/>
      </c>
      <c r="C3133">
        <f>Prices!C3133</f>
        <v/>
      </c>
      <c r="D3133">
        <f>Prices!D3133</f>
        <v/>
      </c>
      <c r="E3133">
        <f>Prices!E3133</f>
        <v/>
      </c>
      <c r="F3133">
        <f>Prices!F3133</f>
        <v/>
      </c>
      <c r="G3133">
        <f>IF(AND(3131&gt;=16,TEXT(A3133,"yyyy-mm")&lt;&gt;TEXT(A3134,"yyyy-mm")),1,0)</f>
        <v/>
      </c>
      <c r="H3133">
        <f>IF(OR(H3132=1,G3133=1),1,0)</f>
        <v/>
      </c>
      <c r="I3133">
        <f>IF(H3132=0,1,SUMPRODUCT(J3132:N3132,B3133:F3133)+O3132*(1+0.00023125256064071564))</f>
        <v/>
      </c>
      <c r="J3133">
        <f>IF(G3133=1,0.2*R3133/B3133,J3132)</f>
        <v/>
      </c>
      <c r="K3133">
        <f>IF(G3133=1,0.2*R3133/C3133,K3132)</f>
        <v/>
      </c>
      <c r="L3133">
        <f>IF(G3133=1,0.2*R3133/D3133,L3132)</f>
        <v/>
      </c>
      <c r="M3133">
        <f>IF(G3133=1,0.2*R3133/E3133,M3132)</f>
        <v/>
      </c>
      <c r="N3133">
        <f>IF(G3133=1,0.2*R3133/F3133,N3132)</f>
        <v/>
      </c>
      <c r="O3133">
        <f>IF(G3133=1,R3133*(1-1.0),IF(H3132=0,1,O3132*(1+0.00023125256064071564)))</f>
        <v/>
      </c>
      <c r="P3133">
        <f>IF(G3133=1,IF(H3132=0,1,ABS(0.2-J3132*B3133/I3133)+ABS(0.2-K3132*C3133/I3133)+ABS(0.2-L3132*D3133/I3133)+ABS(0.2-M3132*E3133/I3133)+ABS(0.2-N3132*F3133/I3133)),0)</f>
        <v/>
      </c>
      <c r="Q3133">
        <f>P3133*0.0015</f>
        <v/>
      </c>
      <c r="R3133">
        <f>I3133*(1-Q3133)</f>
        <v/>
      </c>
      <c r="S3133">
        <f>R3133/R3132-1</f>
        <v/>
      </c>
      <c r="T3133">
        <f>MAX(T3132,R3133)</f>
        <v/>
      </c>
      <c r="U3133">
        <f>R3133/T3133-1</f>
        <v/>
      </c>
      <c r="V3133" t="n">
        <v>9.257013815892673</v>
      </c>
      <c r="W3133" s="5">
        <f>R3133-V3133</f>
        <v/>
      </c>
    </row>
    <row r="3134">
      <c r="A3134" s="3" t="n">
        <v>43053</v>
      </c>
      <c r="B3134">
        <f>Prices!B3134</f>
        <v/>
      </c>
      <c r="C3134">
        <f>Prices!C3134</f>
        <v/>
      </c>
      <c r="D3134">
        <f>Prices!D3134</f>
        <v/>
      </c>
      <c r="E3134">
        <f>Prices!E3134</f>
        <v/>
      </c>
      <c r="F3134">
        <f>Prices!F3134</f>
        <v/>
      </c>
      <c r="G3134">
        <f>IF(AND(3132&gt;=16,TEXT(A3134,"yyyy-mm")&lt;&gt;TEXT(A3135,"yyyy-mm")),1,0)</f>
        <v/>
      </c>
      <c r="H3134">
        <f>IF(OR(H3133=1,G3134=1),1,0)</f>
        <v/>
      </c>
      <c r="I3134">
        <f>IF(H3133=0,1,SUMPRODUCT(J3133:N3133,B3134:F3134)+O3133*(1+0.00023125256064071564))</f>
        <v/>
      </c>
      <c r="J3134">
        <f>IF(G3134=1,0.2*R3134/B3134,J3133)</f>
        <v/>
      </c>
      <c r="K3134">
        <f>IF(G3134=1,0.2*R3134/C3134,K3133)</f>
        <v/>
      </c>
      <c r="L3134">
        <f>IF(G3134=1,0.2*R3134/D3134,L3133)</f>
        <v/>
      </c>
      <c r="M3134">
        <f>IF(G3134=1,0.2*R3134/E3134,M3133)</f>
        <v/>
      </c>
      <c r="N3134">
        <f>IF(G3134=1,0.2*R3134/F3134,N3133)</f>
        <v/>
      </c>
      <c r="O3134">
        <f>IF(G3134=1,R3134*(1-1.0),IF(H3133=0,1,O3133*(1+0.00023125256064071564)))</f>
        <v/>
      </c>
      <c r="P3134">
        <f>IF(G3134=1,IF(H3133=0,1,ABS(0.2-J3133*B3134/I3134)+ABS(0.2-K3133*C3134/I3134)+ABS(0.2-L3133*D3134/I3134)+ABS(0.2-M3133*E3134/I3134)+ABS(0.2-N3133*F3134/I3134)),0)</f>
        <v/>
      </c>
      <c r="Q3134">
        <f>P3134*0.0015</f>
        <v/>
      </c>
      <c r="R3134">
        <f>I3134*(1-Q3134)</f>
        <v/>
      </c>
      <c r="S3134">
        <f>R3134/R3133-1</f>
        <v/>
      </c>
      <c r="T3134">
        <f>MAX(T3133,R3134)</f>
        <v/>
      </c>
      <c r="U3134">
        <f>R3134/T3134-1</f>
        <v/>
      </c>
      <c r="V3134" t="n">
        <v>9.229185672513456</v>
      </c>
      <c r="W3134" s="5">
        <f>R3134-V3134</f>
        <v/>
      </c>
    </row>
    <row r="3135">
      <c r="A3135" s="3" t="n">
        <v>43054</v>
      </c>
      <c r="B3135">
        <f>Prices!B3135</f>
        <v/>
      </c>
      <c r="C3135">
        <f>Prices!C3135</f>
        <v/>
      </c>
      <c r="D3135">
        <f>Prices!D3135</f>
        <v/>
      </c>
      <c r="E3135">
        <f>Prices!E3135</f>
        <v/>
      </c>
      <c r="F3135">
        <f>Prices!F3135</f>
        <v/>
      </c>
      <c r="G3135">
        <f>IF(AND(3133&gt;=16,TEXT(A3135,"yyyy-mm")&lt;&gt;TEXT(A3136,"yyyy-mm")),1,0)</f>
        <v/>
      </c>
      <c r="H3135">
        <f>IF(OR(H3134=1,G3135=1),1,0)</f>
        <v/>
      </c>
      <c r="I3135">
        <f>IF(H3134=0,1,SUMPRODUCT(J3134:N3134,B3135:F3135)+O3134*(1+0.00023125256064071564))</f>
        <v/>
      </c>
      <c r="J3135">
        <f>IF(G3135=1,0.2*R3135/B3135,J3134)</f>
        <v/>
      </c>
      <c r="K3135">
        <f>IF(G3135=1,0.2*R3135/C3135,K3134)</f>
        <v/>
      </c>
      <c r="L3135">
        <f>IF(G3135=1,0.2*R3135/D3135,L3134)</f>
        <v/>
      </c>
      <c r="M3135">
        <f>IF(G3135=1,0.2*R3135/E3135,M3134)</f>
        <v/>
      </c>
      <c r="N3135">
        <f>IF(G3135=1,0.2*R3135/F3135,N3134)</f>
        <v/>
      </c>
      <c r="O3135">
        <f>IF(G3135=1,R3135*(1-1.0),IF(H3134=0,1,O3134*(1+0.00023125256064071564)))</f>
        <v/>
      </c>
      <c r="P3135">
        <f>IF(G3135=1,IF(H3134=0,1,ABS(0.2-J3134*B3135/I3135)+ABS(0.2-K3134*C3135/I3135)+ABS(0.2-L3134*D3135/I3135)+ABS(0.2-M3134*E3135/I3135)+ABS(0.2-N3134*F3135/I3135)),0)</f>
        <v/>
      </c>
      <c r="Q3135">
        <f>P3135*0.0015</f>
        <v/>
      </c>
      <c r="R3135">
        <f>I3135*(1-Q3135)</f>
        <v/>
      </c>
      <c r="S3135">
        <f>R3135/R3134-1</f>
        <v/>
      </c>
      <c r="T3135">
        <f>MAX(T3134,R3135)</f>
        <v/>
      </c>
      <c r="U3135">
        <f>R3135/T3135-1</f>
        <v/>
      </c>
      <c r="V3135" t="n">
        <v>9.110663034183021</v>
      </c>
      <c r="W3135" s="5">
        <f>R3135-V3135</f>
        <v/>
      </c>
    </row>
    <row r="3136">
      <c r="A3136" s="3" t="n">
        <v>43055</v>
      </c>
      <c r="B3136">
        <f>Prices!B3136</f>
        <v/>
      </c>
      <c r="C3136">
        <f>Prices!C3136</f>
        <v/>
      </c>
      <c r="D3136">
        <f>Prices!D3136</f>
        <v/>
      </c>
      <c r="E3136">
        <f>Prices!E3136</f>
        <v/>
      </c>
      <c r="F3136">
        <f>Prices!F3136</f>
        <v/>
      </c>
      <c r="G3136">
        <f>IF(AND(3134&gt;=16,TEXT(A3136,"yyyy-mm")&lt;&gt;TEXT(A3137,"yyyy-mm")),1,0)</f>
        <v/>
      </c>
      <c r="H3136">
        <f>IF(OR(H3135=1,G3136=1),1,0)</f>
        <v/>
      </c>
      <c r="I3136">
        <f>IF(H3135=0,1,SUMPRODUCT(J3135:N3135,B3136:F3136)+O3135*(1+0.00023125256064071564))</f>
        <v/>
      </c>
      <c r="J3136">
        <f>IF(G3136=1,0.2*R3136/B3136,J3135)</f>
        <v/>
      </c>
      <c r="K3136">
        <f>IF(G3136=1,0.2*R3136/C3136,K3135)</f>
        <v/>
      </c>
      <c r="L3136">
        <f>IF(G3136=1,0.2*R3136/D3136,L3135)</f>
        <v/>
      </c>
      <c r="M3136">
        <f>IF(G3136=1,0.2*R3136/E3136,M3135)</f>
        <v/>
      </c>
      <c r="N3136">
        <f>IF(G3136=1,0.2*R3136/F3136,N3135)</f>
        <v/>
      </c>
      <c r="O3136">
        <f>IF(G3136=1,R3136*(1-1.0),IF(H3135=0,1,O3135*(1+0.00023125256064071564)))</f>
        <v/>
      </c>
      <c r="P3136">
        <f>IF(G3136=1,IF(H3135=0,1,ABS(0.2-J3135*B3136/I3136)+ABS(0.2-K3135*C3136/I3136)+ABS(0.2-L3135*D3136/I3136)+ABS(0.2-M3135*E3136/I3136)+ABS(0.2-N3135*F3136/I3136)),0)</f>
        <v/>
      </c>
      <c r="Q3136">
        <f>P3136*0.0015</f>
        <v/>
      </c>
      <c r="R3136">
        <f>I3136*(1-Q3136)</f>
        <v/>
      </c>
      <c r="S3136">
        <f>R3136/R3135-1</f>
        <v/>
      </c>
      <c r="T3136">
        <f>MAX(T3135,R3136)</f>
        <v/>
      </c>
      <c r="U3136">
        <f>R3136/T3136-1</f>
        <v/>
      </c>
      <c r="V3136" t="n">
        <v>9.195282451370419</v>
      </c>
      <c r="W3136" s="5">
        <f>R3136-V3136</f>
        <v/>
      </c>
    </row>
    <row r="3137">
      <c r="A3137" s="3" t="n">
        <v>43056</v>
      </c>
      <c r="B3137">
        <f>Prices!B3137</f>
        <v/>
      </c>
      <c r="C3137">
        <f>Prices!C3137</f>
        <v/>
      </c>
      <c r="D3137">
        <f>Prices!D3137</f>
        <v/>
      </c>
      <c r="E3137">
        <f>Prices!E3137</f>
        <v/>
      </c>
      <c r="F3137">
        <f>Prices!F3137</f>
        <v/>
      </c>
      <c r="G3137">
        <f>IF(AND(3135&gt;=16,TEXT(A3137,"yyyy-mm")&lt;&gt;TEXT(A3138,"yyyy-mm")),1,0)</f>
        <v/>
      </c>
      <c r="H3137">
        <f>IF(OR(H3136=1,G3137=1),1,0)</f>
        <v/>
      </c>
      <c r="I3137">
        <f>IF(H3136=0,1,SUMPRODUCT(J3136:N3136,B3137:F3137)+O3136*(1+0.00023125256064071564))</f>
        <v/>
      </c>
      <c r="J3137">
        <f>IF(G3137=1,0.2*R3137/B3137,J3136)</f>
        <v/>
      </c>
      <c r="K3137">
        <f>IF(G3137=1,0.2*R3137/C3137,K3136)</f>
        <v/>
      </c>
      <c r="L3137">
        <f>IF(G3137=1,0.2*R3137/D3137,L3136)</f>
        <v/>
      </c>
      <c r="M3137">
        <f>IF(G3137=1,0.2*R3137/E3137,M3136)</f>
        <v/>
      </c>
      <c r="N3137">
        <f>IF(G3137=1,0.2*R3137/F3137,N3136)</f>
        <v/>
      </c>
      <c r="O3137">
        <f>IF(G3137=1,R3137*(1-1.0),IF(H3136=0,1,O3136*(1+0.00023125256064071564)))</f>
        <v/>
      </c>
      <c r="P3137">
        <f>IF(G3137=1,IF(H3136=0,1,ABS(0.2-J3136*B3137/I3137)+ABS(0.2-K3136*C3137/I3137)+ABS(0.2-L3136*D3137/I3137)+ABS(0.2-M3136*E3137/I3137)+ABS(0.2-N3136*F3137/I3137)),0)</f>
        <v/>
      </c>
      <c r="Q3137">
        <f>P3137*0.0015</f>
        <v/>
      </c>
      <c r="R3137">
        <f>I3137*(1-Q3137)</f>
        <v/>
      </c>
      <c r="S3137">
        <f>R3137/R3136-1</f>
        <v/>
      </c>
      <c r="T3137">
        <f>MAX(T3136,R3137)</f>
        <v/>
      </c>
      <c r="U3137">
        <f>R3137/T3137-1</f>
        <v/>
      </c>
      <c r="V3137" t="n">
        <v>9.265574668107204</v>
      </c>
      <c r="W3137" s="5">
        <f>R3137-V3137</f>
        <v/>
      </c>
    </row>
    <row r="3138">
      <c r="A3138" s="3" t="n">
        <v>43059</v>
      </c>
      <c r="B3138">
        <f>Prices!B3138</f>
        <v/>
      </c>
      <c r="C3138">
        <f>Prices!C3138</f>
        <v/>
      </c>
      <c r="D3138">
        <f>Prices!D3138</f>
        <v/>
      </c>
      <c r="E3138">
        <f>Prices!E3138</f>
        <v/>
      </c>
      <c r="F3138">
        <f>Prices!F3138</f>
        <v/>
      </c>
      <c r="G3138">
        <f>IF(AND(3136&gt;=16,TEXT(A3138,"yyyy-mm")&lt;&gt;TEXT(A3139,"yyyy-mm")),1,0)</f>
        <v/>
      </c>
      <c r="H3138">
        <f>IF(OR(H3137=1,G3138=1),1,0)</f>
        <v/>
      </c>
      <c r="I3138">
        <f>IF(H3137=0,1,SUMPRODUCT(J3137:N3137,B3138:F3138)+O3137*(1+0.00023125256064071564))</f>
        <v/>
      </c>
      <c r="J3138">
        <f>IF(G3138=1,0.2*R3138/B3138,J3137)</f>
        <v/>
      </c>
      <c r="K3138">
        <f>IF(G3138=1,0.2*R3138/C3138,K3137)</f>
        <v/>
      </c>
      <c r="L3138">
        <f>IF(G3138=1,0.2*R3138/D3138,L3137)</f>
        <v/>
      </c>
      <c r="M3138">
        <f>IF(G3138=1,0.2*R3138/E3138,M3137)</f>
        <v/>
      </c>
      <c r="N3138">
        <f>IF(G3138=1,0.2*R3138/F3138,N3137)</f>
        <v/>
      </c>
      <c r="O3138">
        <f>IF(G3138=1,R3138*(1-1.0),IF(H3137=0,1,O3137*(1+0.00023125256064071564)))</f>
        <v/>
      </c>
      <c r="P3138">
        <f>IF(G3138=1,IF(H3137=0,1,ABS(0.2-J3137*B3138/I3138)+ABS(0.2-K3137*C3138/I3138)+ABS(0.2-L3137*D3138/I3138)+ABS(0.2-M3137*E3138/I3138)+ABS(0.2-N3137*F3138/I3138)),0)</f>
        <v/>
      </c>
      <c r="Q3138">
        <f>P3138*0.0015</f>
        <v/>
      </c>
      <c r="R3138">
        <f>I3138*(1-Q3138)</f>
        <v/>
      </c>
      <c r="S3138">
        <f>R3138/R3137-1</f>
        <v/>
      </c>
      <c r="T3138">
        <f>MAX(T3137,R3138)</f>
        <v/>
      </c>
      <c r="U3138">
        <f>R3138/T3138-1</f>
        <v/>
      </c>
      <c r="V3138" t="n">
        <v>9.314803682347554</v>
      </c>
      <c r="W3138" s="5">
        <f>R3138-V3138</f>
        <v/>
      </c>
    </row>
    <row r="3139">
      <c r="A3139" s="3" t="n">
        <v>43060</v>
      </c>
      <c r="B3139">
        <f>Prices!B3139</f>
        <v/>
      </c>
      <c r="C3139">
        <f>Prices!C3139</f>
        <v/>
      </c>
      <c r="D3139">
        <f>Prices!D3139</f>
        <v/>
      </c>
      <c r="E3139">
        <f>Prices!E3139</f>
        <v/>
      </c>
      <c r="F3139">
        <f>Prices!F3139</f>
        <v/>
      </c>
      <c r="G3139">
        <f>IF(AND(3137&gt;=16,TEXT(A3139,"yyyy-mm")&lt;&gt;TEXT(A3140,"yyyy-mm")),1,0)</f>
        <v/>
      </c>
      <c r="H3139">
        <f>IF(OR(H3138=1,G3139=1),1,0)</f>
        <v/>
      </c>
      <c r="I3139">
        <f>IF(H3138=0,1,SUMPRODUCT(J3138:N3138,B3139:F3139)+O3138*(1+0.00023125256064071564))</f>
        <v/>
      </c>
      <c r="J3139">
        <f>IF(G3139=1,0.2*R3139/B3139,J3138)</f>
        <v/>
      </c>
      <c r="K3139">
        <f>IF(G3139=1,0.2*R3139/C3139,K3138)</f>
        <v/>
      </c>
      <c r="L3139">
        <f>IF(G3139=1,0.2*R3139/D3139,L3138)</f>
        <v/>
      </c>
      <c r="M3139">
        <f>IF(G3139=1,0.2*R3139/E3139,M3138)</f>
        <v/>
      </c>
      <c r="N3139">
        <f>IF(G3139=1,0.2*R3139/F3139,N3138)</f>
        <v/>
      </c>
      <c r="O3139">
        <f>IF(G3139=1,R3139*(1-1.0),IF(H3138=0,1,O3138*(1+0.00023125256064071564)))</f>
        <v/>
      </c>
      <c r="P3139">
        <f>IF(G3139=1,IF(H3138=0,1,ABS(0.2-J3138*B3139/I3139)+ABS(0.2-K3138*C3139/I3139)+ABS(0.2-L3138*D3139/I3139)+ABS(0.2-M3138*E3139/I3139)+ABS(0.2-N3138*F3139/I3139)),0)</f>
        <v/>
      </c>
      <c r="Q3139">
        <f>P3139*0.0015</f>
        <v/>
      </c>
      <c r="R3139">
        <f>I3139*(1-Q3139)</f>
        <v/>
      </c>
      <c r="S3139">
        <f>R3139/R3138-1</f>
        <v/>
      </c>
      <c r="T3139">
        <f>MAX(T3138,R3139)</f>
        <v/>
      </c>
      <c r="U3139">
        <f>R3139/T3139-1</f>
        <v/>
      </c>
      <c r="V3139" t="n">
        <v>9.323138881554973</v>
      </c>
      <c r="W3139" s="5">
        <f>R3139-V3139</f>
        <v/>
      </c>
    </row>
    <row r="3140">
      <c r="A3140" s="3" t="n">
        <v>43061</v>
      </c>
      <c r="B3140">
        <f>Prices!B3140</f>
        <v/>
      </c>
      <c r="C3140">
        <f>Prices!C3140</f>
        <v/>
      </c>
      <c r="D3140">
        <f>Prices!D3140</f>
        <v/>
      </c>
      <c r="E3140">
        <f>Prices!E3140</f>
        <v/>
      </c>
      <c r="F3140">
        <f>Prices!F3140</f>
        <v/>
      </c>
      <c r="G3140">
        <f>IF(AND(3138&gt;=16,TEXT(A3140,"yyyy-mm")&lt;&gt;TEXT(A3141,"yyyy-mm")),1,0)</f>
        <v/>
      </c>
      <c r="H3140">
        <f>IF(OR(H3139=1,G3140=1),1,0)</f>
        <v/>
      </c>
      <c r="I3140">
        <f>IF(H3139=0,1,SUMPRODUCT(J3139:N3139,B3140:F3140)+O3139*(1+0.00023125256064071564))</f>
        <v/>
      </c>
      <c r="J3140">
        <f>IF(G3140=1,0.2*R3140/B3140,J3139)</f>
        <v/>
      </c>
      <c r="K3140">
        <f>IF(G3140=1,0.2*R3140/C3140,K3139)</f>
        <v/>
      </c>
      <c r="L3140">
        <f>IF(G3140=1,0.2*R3140/D3140,L3139)</f>
        <v/>
      </c>
      <c r="M3140">
        <f>IF(G3140=1,0.2*R3140/E3140,M3139)</f>
        <v/>
      </c>
      <c r="N3140">
        <f>IF(G3140=1,0.2*R3140/F3140,N3139)</f>
        <v/>
      </c>
      <c r="O3140">
        <f>IF(G3140=1,R3140*(1-1.0),IF(H3139=0,1,O3139*(1+0.00023125256064071564)))</f>
        <v/>
      </c>
      <c r="P3140">
        <f>IF(G3140=1,IF(H3139=0,1,ABS(0.2-J3139*B3140/I3140)+ABS(0.2-K3139*C3140/I3140)+ABS(0.2-L3139*D3140/I3140)+ABS(0.2-M3139*E3140/I3140)+ABS(0.2-N3139*F3140/I3140)),0)</f>
        <v/>
      </c>
      <c r="Q3140">
        <f>P3140*0.0015</f>
        <v/>
      </c>
      <c r="R3140">
        <f>I3140*(1-Q3140)</f>
        <v/>
      </c>
      <c r="S3140">
        <f>R3140/R3139-1</f>
        <v/>
      </c>
      <c r="T3140">
        <f>MAX(T3139,R3140)</f>
        <v/>
      </c>
      <c r="U3140">
        <f>R3140/T3140-1</f>
        <v/>
      </c>
      <c r="V3140" t="n">
        <v>9.307189148733622</v>
      </c>
      <c r="W3140" s="5">
        <f>R3140-V3140</f>
        <v/>
      </c>
    </row>
    <row r="3141">
      <c r="A3141" s="3" t="n">
        <v>43062</v>
      </c>
      <c r="B3141">
        <f>Prices!B3141</f>
        <v/>
      </c>
      <c r="C3141">
        <f>Prices!C3141</f>
        <v/>
      </c>
      <c r="D3141">
        <f>Prices!D3141</f>
        <v/>
      </c>
      <c r="E3141">
        <f>Prices!E3141</f>
        <v/>
      </c>
      <c r="F3141">
        <f>Prices!F3141</f>
        <v/>
      </c>
      <c r="G3141">
        <f>IF(AND(3139&gt;=16,TEXT(A3141,"yyyy-mm")&lt;&gt;TEXT(A3142,"yyyy-mm")),1,0)</f>
        <v/>
      </c>
      <c r="H3141">
        <f>IF(OR(H3140=1,G3141=1),1,0)</f>
        <v/>
      </c>
      <c r="I3141">
        <f>IF(H3140=0,1,SUMPRODUCT(J3140:N3140,B3141:F3141)+O3140*(1+0.00023125256064071564))</f>
        <v/>
      </c>
      <c r="J3141">
        <f>IF(G3141=1,0.2*R3141/B3141,J3140)</f>
        <v/>
      </c>
      <c r="K3141">
        <f>IF(G3141=1,0.2*R3141/C3141,K3140)</f>
        <v/>
      </c>
      <c r="L3141">
        <f>IF(G3141=1,0.2*R3141/D3141,L3140)</f>
        <v/>
      </c>
      <c r="M3141">
        <f>IF(G3141=1,0.2*R3141/E3141,M3140)</f>
        <v/>
      </c>
      <c r="N3141">
        <f>IF(G3141=1,0.2*R3141/F3141,N3140)</f>
        <v/>
      </c>
      <c r="O3141">
        <f>IF(G3141=1,R3141*(1-1.0),IF(H3140=0,1,O3140*(1+0.00023125256064071564)))</f>
        <v/>
      </c>
      <c r="P3141">
        <f>IF(G3141=1,IF(H3140=0,1,ABS(0.2-J3140*B3141/I3141)+ABS(0.2-K3140*C3141/I3141)+ABS(0.2-L3140*D3141/I3141)+ABS(0.2-M3140*E3141/I3141)+ABS(0.2-N3140*F3141/I3141)),0)</f>
        <v/>
      </c>
      <c r="Q3141">
        <f>P3141*0.0015</f>
        <v/>
      </c>
      <c r="R3141">
        <f>I3141*(1-Q3141)</f>
        <v/>
      </c>
      <c r="S3141">
        <f>R3141/R3140-1</f>
        <v/>
      </c>
      <c r="T3141">
        <f>MAX(T3140,R3141)</f>
        <v/>
      </c>
      <c r="U3141">
        <f>R3141/T3141-1</f>
        <v/>
      </c>
      <c r="V3141" t="n">
        <v>9.325499106023271</v>
      </c>
      <c r="W3141" s="5">
        <f>R3141-V3141</f>
        <v/>
      </c>
    </row>
    <row r="3142">
      <c r="A3142" s="3" t="n">
        <v>43063</v>
      </c>
      <c r="B3142">
        <f>Prices!B3142</f>
        <v/>
      </c>
      <c r="C3142">
        <f>Prices!C3142</f>
        <v/>
      </c>
      <c r="D3142">
        <f>Prices!D3142</f>
        <v/>
      </c>
      <c r="E3142">
        <f>Prices!E3142</f>
        <v/>
      </c>
      <c r="F3142">
        <f>Prices!F3142</f>
        <v/>
      </c>
      <c r="G3142">
        <f>IF(AND(3140&gt;=16,TEXT(A3142,"yyyy-mm")&lt;&gt;TEXT(A3143,"yyyy-mm")),1,0)</f>
        <v/>
      </c>
      <c r="H3142">
        <f>IF(OR(H3141=1,G3142=1),1,0)</f>
        <v/>
      </c>
      <c r="I3142">
        <f>IF(H3141=0,1,SUMPRODUCT(J3141:N3141,B3142:F3142)+O3141*(1+0.00023125256064071564))</f>
        <v/>
      </c>
      <c r="J3142">
        <f>IF(G3142=1,0.2*R3142/B3142,J3141)</f>
        <v/>
      </c>
      <c r="K3142">
        <f>IF(G3142=1,0.2*R3142/C3142,K3141)</f>
        <v/>
      </c>
      <c r="L3142">
        <f>IF(G3142=1,0.2*R3142/D3142,L3141)</f>
        <v/>
      </c>
      <c r="M3142">
        <f>IF(G3142=1,0.2*R3142/E3142,M3141)</f>
        <v/>
      </c>
      <c r="N3142">
        <f>IF(G3142=1,0.2*R3142/F3142,N3141)</f>
        <v/>
      </c>
      <c r="O3142">
        <f>IF(G3142=1,R3142*(1-1.0),IF(H3141=0,1,O3141*(1+0.00023125256064071564)))</f>
        <v/>
      </c>
      <c r="P3142">
        <f>IF(G3142=1,IF(H3141=0,1,ABS(0.2-J3141*B3142/I3142)+ABS(0.2-K3141*C3142/I3142)+ABS(0.2-L3141*D3142/I3142)+ABS(0.2-M3141*E3142/I3142)+ABS(0.2-N3141*F3142/I3142)),0)</f>
        <v/>
      </c>
      <c r="Q3142">
        <f>P3142*0.0015</f>
        <v/>
      </c>
      <c r="R3142">
        <f>I3142*(1-Q3142)</f>
        <v/>
      </c>
      <c r="S3142">
        <f>R3142/R3141-1</f>
        <v/>
      </c>
      <c r="T3142">
        <f>MAX(T3141,R3142)</f>
        <v/>
      </c>
      <c r="U3142">
        <f>R3142/T3142-1</f>
        <v/>
      </c>
      <c r="V3142" t="n">
        <v>9.355374888302361</v>
      </c>
      <c r="W3142" s="5">
        <f>R3142-V3142</f>
        <v/>
      </c>
    </row>
    <row r="3143">
      <c r="A3143" s="3" t="n">
        <v>43066</v>
      </c>
      <c r="B3143">
        <f>Prices!B3143</f>
        <v/>
      </c>
      <c r="C3143">
        <f>Prices!C3143</f>
        <v/>
      </c>
      <c r="D3143">
        <f>Prices!D3143</f>
        <v/>
      </c>
      <c r="E3143">
        <f>Prices!E3143</f>
        <v/>
      </c>
      <c r="F3143">
        <f>Prices!F3143</f>
        <v/>
      </c>
      <c r="G3143">
        <f>IF(AND(3141&gt;=16,TEXT(A3143,"yyyy-mm")&lt;&gt;TEXT(A3144,"yyyy-mm")),1,0)</f>
        <v/>
      </c>
      <c r="H3143">
        <f>IF(OR(H3142=1,G3143=1),1,0)</f>
        <v/>
      </c>
      <c r="I3143">
        <f>IF(H3142=0,1,SUMPRODUCT(J3142:N3142,B3143:F3143)+O3142*(1+0.00023125256064071564))</f>
        <v/>
      </c>
      <c r="J3143">
        <f>IF(G3143=1,0.2*R3143/B3143,J3142)</f>
        <v/>
      </c>
      <c r="K3143">
        <f>IF(G3143=1,0.2*R3143/C3143,K3142)</f>
        <v/>
      </c>
      <c r="L3143">
        <f>IF(G3143=1,0.2*R3143/D3143,L3142)</f>
        <v/>
      </c>
      <c r="M3143">
        <f>IF(G3143=1,0.2*R3143/E3143,M3142)</f>
        <v/>
      </c>
      <c r="N3143">
        <f>IF(G3143=1,0.2*R3143/F3143,N3142)</f>
        <v/>
      </c>
      <c r="O3143">
        <f>IF(G3143=1,R3143*(1-1.0),IF(H3142=0,1,O3142*(1+0.00023125256064071564)))</f>
        <v/>
      </c>
      <c r="P3143">
        <f>IF(G3143=1,IF(H3142=0,1,ABS(0.2-J3142*B3143/I3143)+ABS(0.2-K3142*C3143/I3143)+ABS(0.2-L3142*D3143/I3143)+ABS(0.2-M3142*E3143/I3143)+ABS(0.2-N3142*F3143/I3143)),0)</f>
        <v/>
      </c>
      <c r="Q3143">
        <f>P3143*0.0015</f>
        <v/>
      </c>
      <c r="R3143">
        <f>I3143*(1-Q3143)</f>
        <v/>
      </c>
      <c r="S3143">
        <f>R3143/R3142-1</f>
        <v/>
      </c>
      <c r="T3143">
        <f>MAX(T3142,R3143)</f>
        <v/>
      </c>
      <c r="U3143">
        <f>R3143/T3143-1</f>
        <v/>
      </c>
      <c r="V3143" t="n">
        <v>9.367064919479599</v>
      </c>
      <c r="W3143" s="5">
        <f>R3143-V3143</f>
        <v/>
      </c>
    </row>
    <row r="3144">
      <c r="A3144" s="3" t="n">
        <v>43067</v>
      </c>
      <c r="B3144">
        <f>Prices!B3144</f>
        <v/>
      </c>
      <c r="C3144">
        <f>Prices!C3144</f>
        <v/>
      </c>
      <c r="D3144">
        <f>Prices!D3144</f>
        <v/>
      </c>
      <c r="E3144">
        <f>Prices!E3144</f>
        <v/>
      </c>
      <c r="F3144">
        <f>Prices!F3144</f>
        <v/>
      </c>
      <c r="G3144">
        <f>IF(AND(3142&gt;=16,TEXT(A3144,"yyyy-mm")&lt;&gt;TEXT(A3145,"yyyy-mm")),1,0)</f>
        <v/>
      </c>
      <c r="H3144">
        <f>IF(OR(H3143=1,G3144=1),1,0)</f>
        <v/>
      </c>
      <c r="I3144">
        <f>IF(H3143=0,1,SUMPRODUCT(J3143:N3143,B3144:F3144)+O3143*(1+0.00023125256064071564))</f>
        <v/>
      </c>
      <c r="J3144">
        <f>IF(G3144=1,0.2*R3144/B3144,J3143)</f>
        <v/>
      </c>
      <c r="K3144">
        <f>IF(G3144=1,0.2*R3144/C3144,K3143)</f>
        <v/>
      </c>
      <c r="L3144">
        <f>IF(G3144=1,0.2*R3144/D3144,L3143)</f>
        <v/>
      </c>
      <c r="M3144">
        <f>IF(G3144=1,0.2*R3144/E3144,M3143)</f>
        <v/>
      </c>
      <c r="N3144">
        <f>IF(G3144=1,0.2*R3144/F3144,N3143)</f>
        <v/>
      </c>
      <c r="O3144">
        <f>IF(G3144=1,R3144*(1-1.0),IF(H3143=0,1,O3143*(1+0.00023125256064071564)))</f>
        <v/>
      </c>
      <c r="P3144">
        <f>IF(G3144=1,IF(H3143=0,1,ABS(0.2-J3143*B3144/I3144)+ABS(0.2-K3143*C3144/I3144)+ABS(0.2-L3143*D3144/I3144)+ABS(0.2-M3143*E3144/I3144)+ABS(0.2-N3143*F3144/I3144)),0)</f>
        <v/>
      </c>
      <c r="Q3144">
        <f>P3144*0.0015</f>
        <v/>
      </c>
      <c r="R3144">
        <f>I3144*(1-Q3144)</f>
        <v/>
      </c>
      <c r="S3144">
        <f>R3144/R3143-1</f>
        <v/>
      </c>
      <c r="T3144">
        <f>MAX(T3143,R3144)</f>
        <v/>
      </c>
      <c r="U3144">
        <f>R3144/T3144-1</f>
        <v/>
      </c>
      <c r="V3144" t="n">
        <v>9.363362579123995</v>
      </c>
      <c r="W3144" s="5">
        <f>R3144-V3144</f>
        <v/>
      </c>
    </row>
    <row r="3145">
      <c r="A3145" s="3" t="n">
        <v>43068</v>
      </c>
      <c r="B3145">
        <f>Prices!B3145</f>
        <v/>
      </c>
      <c r="C3145">
        <f>Prices!C3145</f>
        <v/>
      </c>
      <c r="D3145">
        <f>Prices!D3145</f>
        <v/>
      </c>
      <c r="E3145">
        <f>Prices!E3145</f>
        <v/>
      </c>
      <c r="F3145">
        <f>Prices!F3145</f>
        <v/>
      </c>
      <c r="G3145">
        <f>IF(AND(3143&gt;=16,TEXT(A3145,"yyyy-mm")&lt;&gt;TEXT(A3146,"yyyy-mm")),1,0)</f>
        <v/>
      </c>
      <c r="H3145">
        <f>IF(OR(H3144=1,G3145=1),1,0)</f>
        <v/>
      </c>
      <c r="I3145">
        <f>IF(H3144=0,1,SUMPRODUCT(J3144:N3144,B3145:F3145)+O3144*(1+0.00023125256064071564))</f>
        <v/>
      </c>
      <c r="J3145">
        <f>IF(G3145=1,0.2*R3145/B3145,J3144)</f>
        <v/>
      </c>
      <c r="K3145">
        <f>IF(G3145=1,0.2*R3145/C3145,K3144)</f>
        <v/>
      </c>
      <c r="L3145">
        <f>IF(G3145=1,0.2*R3145/D3145,L3144)</f>
        <v/>
      </c>
      <c r="M3145">
        <f>IF(G3145=1,0.2*R3145/E3145,M3144)</f>
        <v/>
      </c>
      <c r="N3145">
        <f>IF(G3145=1,0.2*R3145/F3145,N3144)</f>
        <v/>
      </c>
      <c r="O3145">
        <f>IF(G3145=1,R3145*(1-1.0),IF(H3144=0,1,O3144*(1+0.00023125256064071564)))</f>
        <v/>
      </c>
      <c r="P3145">
        <f>IF(G3145=1,IF(H3144=0,1,ABS(0.2-J3144*B3145/I3145)+ABS(0.2-K3144*C3145/I3145)+ABS(0.2-L3144*D3145/I3145)+ABS(0.2-M3144*E3145/I3145)+ABS(0.2-N3144*F3145/I3145)),0)</f>
        <v/>
      </c>
      <c r="Q3145">
        <f>P3145*0.0015</f>
        <v/>
      </c>
      <c r="R3145">
        <f>I3145*(1-Q3145)</f>
        <v/>
      </c>
      <c r="S3145">
        <f>R3145/R3144-1</f>
        <v/>
      </c>
      <c r="T3145">
        <f>MAX(T3144,R3145)</f>
        <v/>
      </c>
      <c r="U3145">
        <f>R3145/T3145-1</f>
        <v/>
      </c>
      <c r="V3145" t="n">
        <v>9.339678066668739</v>
      </c>
      <c r="W3145" s="5">
        <f>R3145-V3145</f>
        <v/>
      </c>
    </row>
    <row r="3146">
      <c r="A3146" s="3" t="n">
        <v>43069</v>
      </c>
      <c r="B3146">
        <f>Prices!B3146</f>
        <v/>
      </c>
      <c r="C3146">
        <f>Prices!C3146</f>
        <v/>
      </c>
      <c r="D3146">
        <f>Prices!D3146</f>
        <v/>
      </c>
      <c r="E3146">
        <f>Prices!E3146</f>
        <v/>
      </c>
      <c r="F3146">
        <f>Prices!F3146</f>
        <v/>
      </c>
      <c r="G3146">
        <f>IF(AND(3144&gt;=16,TEXT(A3146,"yyyy-mm")&lt;&gt;TEXT(A3147,"yyyy-mm")),1,0)</f>
        <v/>
      </c>
      <c r="H3146">
        <f>IF(OR(H3145=1,G3146=1),1,0)</f>
        <v/>
      </c>
      <c r="I3146">
        <f>IF(H3145=0,1,SUMPRODUCT(J3145:N3145,B3146:F3146)+O3145*(1+0.00023125256064071564))</f>
        <v/>
      </c>
      <c r="J3146">
        <f>IF(G3146=1,0.2*R3146/B3146,J3145)</f>
        <v/>
      </c>
      <c r="K3146">
        <f>IF(G3146=1,0.2*R3146/C3146,K3145)</f>
        <v/>
      </c>
      <c r="L3146">
        <f>IF(G3146=1,0.2*R3146/D3146,L3145)</f>
        <v/>
      </c>
      <c r="M3146">
        <f>IF(G3146=1,0.2*R3146/E3146,M3145)</f>
        <v/>
      </c>
      <c r="N3146">
        <f>IF(G3146=1,0.2*R3146/F3146,N3145)</f>
        <v/>
      </c>
      <c r="O3146">
        <f>IF(G3146=1,R3146*(1-1.0),IF(H3145=0,1,O3145*(1+0.00023125256064071564)))</f>
        <v/>
      </c>
      <c r="P3146">
        <f>IF(G3146=1,IF(H3145=0,1,ABS(0.2-J3145*B3146/I3146)+ABS(0.2-K3145*C3146/I3146)+ABS(0.2-L3145*D3146/I3146)+ABS(0.2-M3145*E3146/I3146)+ABS(0.2-N3145*F3146/I3146)),0)</f>
        <v/>
      </c>
      <c r="Q3146">
        <f>P3146*0.0015</f>
        <v/>
      </c>
      <c r="R3146">
        <f>I3146*(1-Q3146)</f>
        <v/>
      </c>
      <c r="S3146">
        <f>R3146/R3145-1</f>
        <v/>
      </c>
      <c r="T3146">
        <f>MAX(T3145,R3146)</f>
        <v/>
      </c>
      <c r="U3146">
        <f>R3146/T3146-1</f>
        <v/>
      </c>
      <c r="V3146" t="n">
        <v>9.287498669887636</v>
      </c>
      <c r="W3146" s="5">
        <f>R3146-V3146</f>
        <v/>
      </c>
    </row>
    <row r="3147">
      <c r="A3147" s="3" t="n">
        <v>43070</v>
      </c>
      <c r="B3147">
        <f>Prices!B3147</f>
        <v/>
      </c>
      <c r="C3147">
        <f>Prices!C3147</f>
        <v/>
      </c>
      <c r="D3147">
        <f>Prices!D3147</f>
        <v/>
      </c>
      <c r="E3147">
        <f>Prices!E3147</f>
        <v/>
      </c>
      <c r="F3147">
        <f>Prices!F3147</f>
        <v/>
      </c>
      <c r="G3147">
        <f>IF(AND(3145&gt;=16,TEXT(A3147,"yyyy-mm")&lt;&gt;TEXT(A3148,"yyyy-mm")),1,0)</f>
        <v/>
      </c>
      <c r="H3147">
        <f>IF(OR(H3146=1,G3147=1),1,0)</f>
        <v/>
      </c>
      <c r="I3147">
        <f>IF(H3146=0,1,SUMPRODUCT(J3146:N3146,B3147:F3147)+O3146*(1+0.00023125256064071564))</f>
        <v/>
      </c>
      <c r="J3147">
        <f>IF(G3147=1,0.2*R3147/B3147,J3146)</f>
        <v/>
      </c>
      <c r="K3147">
        <f>IF(G3147=1,0.2*R3147/C3147,K3146)</f>
        <v/>
      </c>
      <c r="L3147">
        <f>IF(G3147=1,0.2*R3147/D3147,L3146)</f>
        <v/>
      </c>
      <c r="M3147">
        <f>IF(G3147=1,0.2*R3147/E3147,M3146)</f>
        <v/>
      </c>
      <c r="N3147">
        <f>IF(G3147=1,0.2*R3147/F3147,N3146)</f>
        <v/>
      </c>
      <c r="O3147">
        <f>IF(G3147=1,R3147*(1-1.0),IF(H3146=0,1,O3146*(1+0.00023125256064071564)))</f>
        <v/>
      </c>
      <c r="P3147">
        <f>IF(G3147=1,IF(H3146=0,1,ABS(0.2-J3146*B3147/I3147)+ABS(0.2-K3146*C3147/I3147)+ABS(0.2-L3146*D3147/I3147)+ABS(0.2-M3146*E3147/I3147)+ABS(0.2-N3146*F3147/I3147)),0)</f>
        <v/>
      </c>
      <c r="Q3147">
        <f>P3147*0.0015</f>
        <v/>
      </c>
      <c r="R3147">
        <f>I3147*(1-Q3147)</f>
        <v/>
      </c>
      <c r="S3147">
        <f>R3147/R3146-1</f>
        <v/>
      </c>
      <c r="T3147">
        <f>MAX(T3146,R3147)</f>
        <v/>
      </c>
      <c r="U3147">
        <f>R3147/T3147-1</f>
        <v/>
      </c>
      <c r="V3147" t="n">
        <v>9.166321230925039</v>
      </c>
      <c r="W3147" s="5">
        <f>R3147-V3147</f>
        <v/>
      </c>
    </row>
    <row r="3148">
      <c r="A3148" s="3" t="n">
        <v>43073</v>
      </c>
      <c r="B3148">
        <f>Prices!B3148</f>
        <v/>
      </c>
      <c r="C3148">
        <f>Prices!C3148</f>
        <v/>
      </c>
      <c r="D3148">
        <f>Prices!D3148</f>
        <v/>
      </c>
      <c r="E3148">
        <f>Prices!E3148</f>
        <v/>
      </c>
      <c r="F3148">
        <f>Prices!F3148</f>
        <v/>
      </c>
      <c r="G3148">
        <f>IF(AND(3146&gt;=16,TEXT(A3148,"yyyy-mm")&lt;&gt;TEXT(A3149,"yyyy-mm")),1,0)</f>
        <v/>
      </c>
      <c r="H3148">
        <f>IF(OR(H3147=1,G3148=1),1,0)</f>
        <v/>
      </c>
      <c r="I3148">
        <f>IF(H3147=0,1,SUMPRODUCT(J3147:N3147,B3148:F3148)+O3147*(1+0.00023125256064071564))</f>
        <v/>
      </c>
      <c r="J3148">
        <f>IF(G3148=1,0.2*R3148/B3148,J3147)</f>
        <v/>
      </c>
      <c r="K3148">
        <f>IF(G3148=1,0.2*R3148/C3148,K3147)</f>
        <v/>
      </c>
      <c r="L3148">
        <f>IF(G3148=1,0.2*R3148/D3148,L3147)</f>
        <v/>
      </c>
      <c r="M3148">
        <f>IF(G3148=1,0.2*R3148/E3148,M3147)</f>
        <v/>
      </c>
      <c r="N3148">
        <f>IF(G3148=1,0.2*R3148/F3148,N3147)</f>
        <v/>
      </c>
      <c r="O3148">
        <f>IF(G3148=1,R3148*(1-1.0),IF(H3147=0,1,O3147*(1+0.00023125256064071564)))</f>
        <v/>
      </c>
      <c r="P3148">
        <f>IF(G3148=1,IF(H3147=0,1,ABS(0.2-J3147*B3148/I3148)+ABS(0.2-K3147*C3148/I3148)+ABS(0.2-L3147*D3148/I3148)+ABS(0.2-M3147*E3148/I3148)+ABS(0.2-N3147*F3148/I3148)),0)</f>
        <v/>
      </c>
      <c r="Q3148">
        <f>P3148*0.0015</f>
        <v/>
      </c>
      <c r="R3148">
        <f>I3148*(1-Q3148)</f>
        <v/>
      </c>
      <c r="S3148">
        <f>R3148/R3147-1</f>
        <v/>
      </c>
      <c r="T3148">
        <f>MAX(T3147,R3148)</f>
        <v/>
      </c>
      <c r="U3148">
        <f>R3148/T3148-1</f>
        <v/>
      </c>
      <c r="V3148" t="n">
        <v>9.180729906414067</v>
      </c>
      <c r="W3148" s="5">
        <f>R3148-V3148</f>
        <v/>
      </c>
    </row>
    <row r="3149">
      <c r="A3149" s="3" t="n">
        <v>43074</v>
      </c>
      <c r="B3149">
        <f>Prices!B3149</f>
        <v/>
      </c>
      <c r="C3149">
        <f>Prices!C3149</f>
        <v/>
      </c>
      <c r="D3149">
        <f>Prices!D3149</f>
        <v/>
      </c>
      <c r="E3149">
        <f>Prices!E3149</f>
        <v/>
      </c>
      <c r="F3149">
        <f>Prices!F3149</f>
        <v/>
      </c>
      <c r="G3149">
        <f>IF(AND(3147&gt;=16,TEXT(A3149,"yyyy-mm")&lt;&gt;TEXT(A3150,"yyyy-mm")),1,0)</f>
        <v/>
      </c>
      <c r="H3149">
        <f>IF(OR(H3148=1,G3149=1),1,0)</f>
        <v/>
      </c>
      <c r="I3149">
        <f>IF(H3148=0,1,SUMPRODUCT(J3148:N3148,B3149:F3149)+O3148*(1+0.00023125256064071564))</f>
        <v/>
      </c>
      <c r="J3149">
        <f>IF(G3149=1,0.2*R3149/B3149,J3148)</f>
        <v/>
      </c>
      <c r="K3149">
        <f>IF(G3149=1,0.2*R3149/C3149,K3148)</f>
        <v/>
      </c>
      <c r="L3149">
        <f>IF(G3149=1,0.2*R3149/D3149,L3148)</f>
        <v/>
      </c>
      <c r="M3149">
        <f>IF(G3149=1,0.2*R3149/E3149,M3148)</f>
        <v/>
      </c>
      <c r="N3149">
        <f>IF(G3149=1,0.2*R3149/F3149,N3148)</f>
        <v/>
      </c>
      <c r="O3149">
        <f>IF(G3149=1,R3149*(1-1.0),IF(H3148=0,1,O3148*(1+0.00023125256064071564)))</f>
        <v/>
      </c>
      <c r="P3149">
        <f>IF(G3149=1,IF(H3148=0,1,ABS(0.2-J3148*B3149/I3149)+ABS(0.2-K3148*C3149/I3149)+ABS(0.2-L3148*D3149/I3149)+ABS(0.2-M3148*E3149/I3149)+ABS(0.2-N3148*F3149/I3149)),0)</f>
        <v/>
      </c>
      <c r="Q3149">
        <f>P3149*0.0015</f>
        <v/>
      </c>
      <c r="R3149">
        <f>I3149*(1-Q3149)</f>
        <v/>
      </c>
      <c r="S3149">
        <f>R3149/R3148-1</f>
        <v/>
      </c>
      <c r="T3149">
        <f>MAX(T3148,R3149)</f>
        <v/>
      </c>
      <c r="U3149">
        <f>R3149/T3149-1</f>
        <v/>
      </c>
      <c r="V3149" t="n">
        <v>9.163647166658695</v>
      </c>
      <c r="W3149" s="5">
        <f>R3149-V3149</f>
        <v/>
      </c>
    </row>
    <row r="3150">
      <c r="A3150" s="3" t="n">
        <v>43075</v>
      </c>
      <c r="B3150">
        <f>Prices!B3150</f>
        <v/>
      </c>
      <c r="C3150">
        <f>Prices!C3150</f>
        <v/>
      </c>
      <c r="D3150">
        <f>Prices!D3150</f>
        <v/>
      </c>
      <c r="E3150">
        <f>Prices!E3150</f>
        <v/>
      </c>
      <c r="F3150">
        <f>Prices!F3150</f>
        <v/>
      </c>
      <c r="G3150">
        <f>IF(AND(3148&gt;=16,TEXT(A3150,"yyyy-mm")&lt;&gt;TEXT(A3151,"yyyy-mm")),1,0)</f>
        <v/>
      </c>
      <c r="H3150">
        <f>IF(OR(H3149=1,G3150=1),1,0)</f>
        <v/>
      </c>
      <c r="I3150">
        <f>IF(H3149=0,1,SUMPRODUCT(J3149:N3149,B3150:F3150)+O3149*(1+0.00023125256064071564))</f>
        <v/>
      </c>
      <c r="J3150">
        <f>IF(G3150=1,0.2*R3150/B3150,J3149)</f>
        <v/>
      </c>
      <c r="K3150">
        <f>IF(G3150=1,0.2*R3150/C3150,K3149)</f>
        <v/>
      </c>
      <c r="L3150">
        <f>IF(G3150=1,0.2*R3150/D3150,L3149)</f>
        <v/>
      </c>
      <c r="M3150">
        <f>IF(G3150=1,0.2*R3150/E3150,M3149)</f>
        <v/>
      </c>
      <c r="N3150">
        <f>IF(G3150=1,0.2*R3150/F3150,N3149)</f>
        <v/>
      </c>
      <c r="O3150">
        <f>IF(G3150=1,R3150*(1-1.0),IF(H3149=0,1,O3149*(1+0.00023125256064071564)))</f>
        <v/>
      </c>
      <c r="P3150">
        <f>IF(G3150=1,IF(H3149=0,1,ABS(0.2-J3149*B3150/I3150)+ABS(0.2-K3149*C3150/I3150)+ABS(0.2-L3149*D3150/I3150)+ABS(0.2-M3149*E3150/I3150)+ABS(0.2-N3149*F3150/I3150)),0)</f>
        <v/>
      </c>
      <c r="Q3150">
        <f>P3150*0.0015</f>
        <v/>
      </c>
      <c r="R3150">
        <f>I3150*(1-Q3150)</f>
        <v/>
      </c>
      <c r="S3150">
        <f>R3150/R3149-1</f>
        <v/>
      </c>
      <c r="T3150">
        <f>MAX(T3149,R3150)</f>
        <v/>
      </c>
      <c r="U3150">
        <f>R3150/T3150-1</f>
        <v/>
      </c>
      <c r="V3150" t="n">
        <v>9.0919163969044</v>
      </c>
      <c r="W3150" s="5">
        <f>R3150-V3150</f>
        <v/>
      </c>
    </row>
    <row r="3151">
      <c r="A3151" s="3" t="n">
        <v>43076</v>
      </c>
      <c r="B3151">
        <f>Prices!B3151</f>
        <v/>
      </c>
      <c r="C3151">
        <f>Prices!C3151</f>
        <v/>
      </c>
      <c r="D3151">
        <f>Prices!D3151</f>
        <v/>
      </c>
      <c r="E3151">
        <f>Prices!E3151</f>
        <v/>
      </c>
      <c r="F3151">
        <f>Prices!F3151</f>
        <v/>
      </c>
      <c r="G3151">
        <f>IF(AND(3149&gt;=16,TEXT(A3151,"yyyy-mm")&lt;&gt;TEXT(A3152,"yyyy-mm")),1,0)</f>
        <v/>
      </c>
      <c r="H3151">
        <f>IF(OR(H3150=1,G3151=1),1,0)</f>
        <v/>
      </c>
      <c r="I3151">
        <f>IF(H3150=0,1,SUMPRODUCT(J3150:N3150,B3151:F3151)+O3150*(1+0.00023125256064071564))</f>
        <v/>
      </c>
      <c r="J3151">
        <f>IF(G3151=1,0.2*R3151/B3151,J3150)</f>
        <v/>
      </c>
      <c r="K3151">
        <f>IF(G3151=1,0.2*R3151/C3151,K3150)</f>
        <v/>
      </c>
      <c r="L3151">
        <f>IF(G3151=1,0.2*R3151/D3151,L3150)</f>
        <v/>
      </c>
      <c r="M3151">
        <f>IF(G3151=1,0.2*R3151/E3151,M3150)</f>
        <v/>
      </c>
      <c r="N3151">
        <f>IF(G3151=1,0.2*R3151/F3151,N3150)</f>
        <v/>
      </c>
      <c r="O3151">
        <f>IF(G3151=1,R3151*(1-1.0),IF(H3150=0,1,O3150*(1+0.00023125256064071564)))</f>
        <v/>
      </c>
      <c r="P3151">
        <f>IF(G3151=1,IF(H3150=0,1,ABS(0.2-J3150*B3151/I3151)+ABS(0.2-K3150*C3151/I3151)+ABS(0.2-L3150*D3151/I3151)+ABS(0.2-M3150*E3151/I3151)+ABS(0.2-N3150*F3151/I3151)),0)</f>
        <v/>
      </c>
      <c r="Q3151">
        <f>P3151*0.0015</f>
        <v/>
      </c>
      <c r="R3151">
        <f>I3151*(1-Q3151)</f>
        <v/>
      </c>
      <c r="S3151">
        <f>R3151/R3150-1</f>
        <v/>
      </c>
      <c r="T3151">
        <f>MAX(T3150,R3151)</f>
        <v/>
      </c>
      <c r="U3151">
        <f>R3151/T3151-1</f>
        <v/>
      </c>
      <c r="V3151" t="n">
        <v>9.227473407269699</v>
      </c>
      <c r="W3151" s="5">
        <f>R3151-V3151</f>
        <v/>
      </c>
    </row>
    <row r="3152">
      <c r="A3152" s="3" t="n">
        <v>43077</v>
      </c>
      <c r="B3152">
        <f>Prices!B3152</f>
        <v/>
      </c>
      <c r="C3152">
        <f>Prices!C3152</f>
        <v/>
      </c>
      <c r="D3152">
        <f>Prices!D3152</f>
        <v/>
      </c>
      <c r="E3152">
        <f>Prices!E3152</f>
        <v/>
      </c>
      <c r="F3152">
        <f>Prices!F3152</f>
        <v/>
      </c>
      <c r="G3152">
        <f>IF(AND(3150&gt;=16,TEXT(A3152,"yyyy-mm")&lt;&gt;TEXT(A3153,"yyyy-mm")),1,0)</f>
        <v/>
      </c>
      <c r="H3152">
        <f>IF(OR(H3151=1,G3152=1),1,0)</f>
        <v/>
      </c>
      <c r="I3152">
        <f>IF(H3151=0,1,SUMPRODUCT(J3151:N3151,B3152:F3152)+O3151*(1+0.00023125256064071564))</f>
        <v/>
      </c>
      <c r="J3152">
        <f>IF(G3152=1,0.2*R3152/B3152,J3151)</f>
        <v/>
      </c>
      <c r="K3152">
        <f>IF(G3152=1,0.2*R3152/C3152,K3151)</f>
        <v/>
      </c>
      <c r="L3152">
        <f>IF(G3152=1,0.2*R3152/D3152,L3151)</f>
        <v/>
      </c>
      <c r="M3152">
        <f>IF(G3152=1,0.2*R3152/E3152,M3151)</f>
        <v/>
      </c>
      <c r="N3152">
        <f>IF(G3152=1,0.2*R3152/F3152,N3151)</f>
        <v/>
      </c>
      <c r="O3152">
        <f>IF(G3152=1,R3152*(1-1.0),IF(H3151=0,1,O3151*(1+0.00023125256064071564)))</f>
        <v/>
      </c>
      <c r="P3152">
        <f>IF(G3152=1,IF(H3151=0,1,ABS(0.2-J3151*B3152/I3152)+ABS(0.2-K3151*C3152/I3152)+ABS(0.2-L3151*D3152/I3152)+ABS(0.2-M3151*E3152/I3152)+ABS(0.2-N3151*F3152/I3152)),0)</f>
        <v/>
      </c>
      <c r="Q3152">
        <f>P3152*0.0015</f>
        <v/>
      </c>
      <c r="R3152">
        <f>I3152*(1-Q3152)</f>
        <v/>
      </c>
      <c r="S3152">
        <f>R3152/R3151-1</f>
        <v/>
      </c>
      <c r="T3152">
        <f>MAX(T3151,R3152)</f>
        <v/>
      </c>
      <c r="U3152">
        <f>R3152/T3152-1</f>
        <v/>
      </c>
      <c r="V3152" t="n">
        <v>9.342313625110128</v>
      </c>
      <c r="W3152" s="5">
        <f>R3152-V3152</f>
        <v/>
      </c>
    </row>
    <row r="3153">
      <c r="A3153" s="3" t="n">
        <v>43080</v>
      </c>
      <c r="B3153">
        <f>Prices!B3153</f>
        <v/>
      </c>
      <c r="C3153">
        <f>Prices!C3153</f>
        <v/>
      </c>
      <c r="D3153">
        <f>Prices!D3153</f>
        <v/>
      </c>
      <c r="E3153">
        <f>Prices!E3153</f>
        <v/>
      </c>
      <c r="F3153">
        <f>Prices!F3153</f>
        <v/>
      </c>
      <c r="G3153">
        <f>IF(AND(3151&gt;=16,TEXT(A3153,"yyyy-mm")&lt;&gt;TEXT(A3154,"yyyy-mm")),1,0)</f>
        <v/>
      </c>
      <c r="H3153">
        <f>IF(OR(H3152=1,G3153=1),1,0)</f>
        <v/>
      </c>
      <c r="I3153">
        <f>IF(H3152=0,1,SUMPRODUCT(J3152:N3152,B3153:F3153)+O3152*(1+0.00023125256064071564))</f>
        <v/>
      </c>
      <c r="J3153">
        <f>IF(G3153=1,0.2*R3153/B3153,J3152)</f>
        <v/>
      </c>
      <c r="K3153">
        <f>IF(G3153=1,0.2*R3153/C3153,K3152)</f>
        <v/>
      </c>
      <c r="L3153">
        <f>IF(G3153=1,0.2*R3153/D3153,L3152)</f>
        <v/>
      </c>
      <c r="M3153">
        <f>IF(G3153=1,0.2*R3153/E3153,M3152)</f>
        <v/>
      </c>
      <c r="N3153">
        <f>IF(G3153=1,0.2*R3153/F3153,N3152)</f>
        <v/>
      </c>
      <c r="O3153">
        <f>IF(G3153=1,R3153*(1-1.0),IF(H3152=0,1,O3152*(1+0.00023125256064071564)))</f>
        <v/>
      </c>
      <c r="P3153">
        <f>IF(G3153=1,IF(H3152=0,1,ABS(0.2-J3152*B3153/I3153)+ABS(0.2-K3152*C3153/I3153)+ABS(0.2-L3152*D3153/I3153)+ABS(0.2-M3152*E3153/I3153)+ABS(0.2-N3152*F3153/I3153)),0)</f>
        <v/>
      </c>
      <c r="Q3153">
        <f>P3153*0.0015</f>
        <v/>
      </c>
      <c r="R3153">
        <f>I3153*(1-Q3153)</f>
        <v/>
      </c>
      <c r="S3153">
        <f>R3153/R3152-1</f>
        <v/>
      </c>
      <c r="T3153">
        <f>MAX(T3152,R3153)</f>
        <v/>
      </c>
      <c r="U3153">
        <f>R3153/T3153-1</f>
        <v/>
      </c>
      <c r="V3153" t="n">
        <v>9.379951458242019</v>
      </c>
      <c r="W3153" s="5">
        <f>R3153-V3153</f>
        <v/>
      </c>
    </row>
    <row r="3154">
      <c r="A3154" s="3" t="n">
        <v>43081</v>
      </c>
      <c r="B3154">
        <f>Prices!B3154</f>
        <v/>
      </c>
      <c r="C3154">
        <f>Prices!C3154</f>
        <v/>
      </c>
      <c r="D3154">
        <f>Prices!D3154</f>
        <v/>
      </c>
      <c r="E3154">
        <f>Prices!E3154</f>
        <v/>
      </c>
      <c r="F3154">
        <f>Prices!F3154</f>
        <v/>
      </c>
      <c r="G3154">
        <f>IF(AND(3152&gt;=16,TEXT(A3154,"yyyy-mm")&lt;&gt;TEXT(A3155,"yyyy-mm")),1,0)</f>
        <v/>
      </c>
      <c r="H3154">
        <f>IF(OR(H3153=1,G3154=1),1,0)</f>
        <v/>
      </c>
      <c r="I3154">
        <f>IF(H3153=0,1,SUMPRODUCT(J3153:N3153,B3154:F3154)+O3153*(1+0.00023125256064071564))</f>
        <v/>
      </c>
      <c r="J3154">
        <f>IF(G3154=1,0.2*R3154/B3154,J3153)</f>
        <v/>
      </c>
      <c r="K3154">
        <f>IF(G3154=1,0.2*R3154/C3154,K3153)</f>
        <v/>
      </c>
      <c r="L3154">
        <f>IF(G3154=1,0.2*R3154/D3154,L3153)</f>
        <v/>
      </c>
      <c r="M3154">
        <f>IF(G3154=1,0.2*R3154/E3154,M3153)</f>
        <v/>
      </c>
      <c r="N3154">
        <f>IF(G3154=1,0.2*R3154/F3154,N3153)</f>
        <v/>
      </c>
      <c r="O3154">
        <f>IF(G3154=1,R3154*(1-1.0),IF(H3153=0,1,O3153*(1+0.00023125256064071564)))</f>
        <v/>
      </c>
      <c r="P3154">
        <f>IF(G3154=1,IF(H3153=0,1,ABS(0.2-J3153*B3154/I3154)+ABS(0.2-K3153*C3154/I3154)+ABS(0.2-L3153*D3154/I3154)+ABS(0.2-M3153*E3154/I3154)+ABS(0.2-N3153*F3154/I3154)),0)</f>
        <v/>
      </c>
      <c r="Q3154">
        <f>P3154*0.0015</f>
        <v/>
      </c>
      <c r="R3154">
        <f>I3154*(1-Q3154)</f>
        <v/>
      </c>
      <c r="S3154">
        <f>R3154/R3153-1</f>
        <v/>
      </c>
      <c r="T3154">
        <f>MAX(T3153,R3154)</f>
        <v/>
      </c>
      <c r="U3154">
        <f>R3154/T3154-1</f>
        <v/>
      </c>
      <c r="V3154" t="n">
        <v>9.292781993288251</v>
      </c>
      <c r="W3154" s="5">
        <f>R3154-V3154</f>
        <v/>
      </c>
    </row>
    <row r="3155">
      <c r="A3155" s="3" t="n">
        <v>43082</v>
      </c>
      <c r="B3155">
        <f>Prices!B3155</f>
        <v/>
      </c>
      <c r="C3155">
        <f>Prices!C3155</f>
        <v/>
      </c>
      <c r="D3155">
        <f>Prices!D3155</f>
        <v/>
      </c>
      <c r="E3155">
        <f>Prices!E3155</f>
        <v/>
      </c>
      <c r="F3155">
        <f>Prices!F3155</f>
        <v/>
      </c>
      <c r="G3155">
        <f>IF(AND(3153&gt;=16,TEXT(A3155,"yyyy-mm")&lt;&gt;TEXT(A3156,"yyyy-mm")),1,0)</f>
        <v/>
      </c>
      <c r="H3155">
        <f>IF(OR(H3154=1,G3155=1),1,0)</f>
        <v/>
      </c>
      <c r="I3155">
        <f>IF(H3154=0,1,SUMPRODUCT(J3154:N3154,B3155:F3155)+O3154*(1+0.00023125256064071564))</f>
        <v/>
      </c>
      <c r="J3155">
        <f>IF(G3155=1,0.2*R3155/B3155,J3154)</f>
        <v/>
      </c>
      <c r="K3155">
        <f>IF(G3155=1,0.2*R3155/C3155,K3154)</f>
        <v/>
      </c>
      <c r="L3155">
        <f>IF(G3155=1,0.2*R3155/D3155,L3154)</f>
        <v/>
      </c>
      <c r="M3155">
        <f>IF(G3155=1,0.2*R3155/E3155,M3154)</f>
        <v/>
      </c>
      <c r="N3155">
        <f>IF(G3155=1,0.2*R3155/F3155,N3154)</f>
        <v/>
      </c>
      <c r="O3155">
        <f>IF(G3155=1,R3155*(1-1.0),IF(H3154=0,1,O3154*(1+0.00023125256064071564)))</f>
        <v/>
      </c>
      <c r="P3155">
        <f>IF(G3155=1,IF(H3154=0,1,ABS(0.2-J3154*B3155/I3155)+ABS(0.2-K3154*C3155/I3155)+ABS(0.2-L3154*D3155/I3155)+ABS(0.2-M3154*E3155/I3155)+ABS(0.2-N3154*F3155/I3155)),0)</f>
        <v/>
      </c>
      <c r="Q3155">
        <f>P3155*0.0015</f>
        <v/>
      </c>
      <c r="R3155">
        <f>I3155*(1-Q3155)</f>
        <v/>
      </c>
      <c r="S3155">
        <f>R3155/R3154-1</f>
        <v/>
      </c>
      <c r="T3155">
        <f>MAX(T3154,R3155)</f>
        <v/>
      </c>
      <c r="U3155">
        <f>R3155/T3155-1</f>
        <v/>
      </c>
      <c r="V3155" t="n">
        <v>9.238354832242448</v>
      </c>
      <c r="W3155" s="5">
        <f>R3155-V3155</f>
        <v/>
      </c>
    </row>
    <row r="3156">
      <c r="A3156" s="3" t="n">
        <v>43083</v>
      </c>
      <c r="B3156">
        <f>Prices!B3156</f>
        <v/>
      </c>
      <c r="C3156">
        <f>Prices!C3156</f>
        <v/>
      </c>
      <c r="D3156">
        <f>Prices!D3156</f>
        <v/>
      </c>
      <c r="E3156">
        <f>Prices!E3156</f>
        <v/>
      </c>
      <c r="F3156">
        <f>Prices!F3156</f>
        <v/>
      </c>
      <c r="G3156">
        <f>IF(AND(3154&gt;=16,TEXT(A3156,"yyyy-mm")&lt;&gt;TEXT(A3157,"yyyy-mm")),1,0)</f>
        <v/>
      </c>
      <c r="H3156">
        <f>IF(OR(H3155=1,G3156=1),1,0)</f>
        <v/>
      </c>
      <c r="I3156">
        <f>IF(H3155=0,1,SUMPRODUCT(J3155:N3155,B3156:F3156)+O3155*(1+0.00023125256064071564))</f>
        <v/>
      </c>
      <c r="J3156">
        <f>IF(G3156=1,0.2*R3156/B3156,J3155)</f>
        <v/>
      </c>
      <c r="K3156">
        <f>IF(G3156=1,0.2*R3156/C3156,K3155)</f>
        <v/>
      </c>
      <c r="L3156">
        <f>IF(G3156=1,0.2*R3156/D3156,L3155)</f>
        <v/>
      </c>
      <c r="M3156">
        <f>IF(G3156=1,0.2*R3156/E3156,M3155)</f>
        <v/>
      </c>
      <c r="N3156">
        <f>IF(G3156=1,0.2*R3156/F3156,N3155)</f>
        <v/>
      </c>
      <c r="O3156">
        <f>IF(G3156=1,R3156*(1-1.0),IF(H3155=0,1,O3155*(1+0.00023125256064071564)))</f>
        <v/>
      </c>
      <c r="P3156">
        <f>IF(G3156=1,IF(H3155=0,1,ABS(0.2-J3155*B3156/I3156)+ABS(0.2-K3155*C3156/I3156)+ABS(0.2-L3155*D3156/I3156)+ABS(0.2-M3155*E3156/I3156)+ABS(0.2-N3155*F3156/I3156)),0)</f>
        <v/>
      </c>
      <c r="Q3156">
        <f>P3156*0.0015</f>
        <v/>
      </c>
      <c r="R3156">
        <f>I3156*(1-Q3156)</f>
        <v/>
      </c>
      <c r="S3156">
        <f>R3156/R3155-1</f>
        <v/>
      </c>
      <c r="T3156">
        <f>MAX(T3155,R3156)</f>
        <v/>
      </c>
      <c r="U3156">
        <f>R3156/T3156-1</f>
        <v/>
      </c>
      <c r="V3156" t="n">
        <v>9.255965370782063</v>
      </c>
      <c r="W3156" s="5">
        <f>R3156-V3156</f>
        <v/>
      </c>
    </row>
    <row r="3157">
      <c r="A3157" s="3" t="n">
        <v>43084</v>
      </c>
      <c r="B3157">
        <f>Prices!B3157</f>
        <v/>
      </c>
      <c r="C3157">
        <f>Prices!C3157</f>
        <v/>
      </c>
      <c r="D3157">
        <f>Prices!D3157</f>
        <v/>
      </c>
      <c r="E3157">
        <f>Prices!E3157</f>
        <v/>
      </c>
      <c r="F3157">
        <f>Prices!F3157</f>
        <v/>
      </c>
      <c r="G3157">
        <f>IF(AND(3155&gt;=16,TEXT(A3157,"yyyy-mm")&lt;&gt;TEXT(A3158,"yyyy-mm")),1,0)</f>
        <v/>
      </c>
      <c r="H3157">
        <f>IF(OR(H3156=1,G3157=1),1,0)</f>
        <v/>
      </c>
      <c r="I3157">
        <f>IF(H3156=0,1,SUMPRODUCT(J3156:N3156,B3157:F3157)+O3156*(1+0.00023125256064071564))</f>
        <v/>
      </c>
      <c r="J3157">
        <f>IF(G3157=1,0.2*R3157/B3157,J3156)</f>
        <v/>
      </c>
      <c r="K3157">
        <f>IF(G3157=1,0.2*R3157/C3157,K3156)</f>
        <v/>
      </c>
      <c r="L3157">
        <f>IF(G3157=1,0.2*R3157/D3157,L3156)</f>
        <v/>
      </c>
      <c r="M3157">
        <f>IF(G3157=1,0.2*R3157/E3157,M3156)</f>
        <v/>
      </c>
      <c r="N3157">
        <f>IF(G3157=1,0.2*R3157/F3157,N3156)</f>
        <v/>
      </c>
      <c r="O3157">
        <f>IF(G3157=1,R3157*(1-1.0),IF(H3156=0,1,O3156*(1+0.00023125256064071564)))</f>
        <v/>
      </c>
      <c r="P3157">
        <f>IF(G3157=1,IF(H3156=0,1,ABS(0.2-J3156*B3157/I3157)+ABS(0.2-K3156*C3157/I3157)+ABS(0.2-L3156*D3157/I3157)+ABS(0.2-M3156*E3157/I3157)+ABS(0.2-N3156*F3157/I3157)),0)</f>
        <v/>
      </c>
      <c r="Q3157">
        <f>P3157*0.0015</f>
        <v/>
      </c>
      <c r="R3157">
        <f>I3157*(1-Q3157)</f>
        <v/>
      </c>
      <c r="S3157">
        <f>R3157/R3156-1</f>
        <v/>
      </c>
      <c r="T3157">
        <f>MAX(T3156,R3157)</f>
        <v/>
      </c>
      <c r="U3157">
        <f>R3157/T3157-1</f>
        <v/>
      </c>
      <c r="V3157" t="n">
        <v>9.373911504394879</v>
      </c>
      <c r="W3157" s="5">
        <f>R3157-V3157</f>
        <v/>
      </c>
    </row>
    <row r="3158">
      <c r="A3158" s="3" t="n">
        <v>43087</v>
      </c>
      <c r="B3158">
        <f>Prices!B3158</f>
        <v/>
      </c>
      <c r="C3158">
        <f>Prices!C3158</f>
        <v/>
      </c>
      <c r="D3158">
        <f>Prices!D3158</f>
        <v/>
      </c>
      <c r="E3158">
        <f>Prices!E3158</f>
        <v/>
      </c>
      <c r="F3158">
        <f>Prices!F3158</f>
        <v/>
      </c>
      <c r="G3158">
        <f>IF(AND(3156&gt;=16,TEXT(A3158,"yyyy-mm")&lt;&gt;TEXT(A3159,"yyyy-mm")),1,0)</f>
        <v/>
      </c>
      <c r="H3158">
        <f>IF(OR(H3157=1,G3158=1),1,0)</f>
        <v/>
      </c>
      <c r="I3158">
        <f>IF(H3157=0,1,SUMPRODUCT(J3157:N3157,B3158:F3158)+O3157*(1+0.00023125256064071564))</f>
        <v/>
      </c>
      <c r="J3158">
        <f>IF(G3158=1,0.2*R3158/B3158,J3157)</f>
        <v/>
      </c>
      <c r="K3158">
        <f>IF(G3158=1,0.2*R3158/C3158,K3157)</f>
        <v/>
      </c>
      <c r="L3158">
        <f>IF(G3158=1,0.2*R3158/D3158,L3157)</f>
        <v/>
      </c>
      <c r="M3158">
        <f>IF(G3158=1,0.2*R3158/E3158,M3157)</f>
        <v/>
      </c>
      <c r="N3158">
        <f>IF(G3158=1,0.2*R3158/F3158,N3157)</f>
        <v/>
      </c>
      <c r="O3158">
        <f>IF(G3158=1,R3158*(1-1.0),IF(H3157=0,1,O3157*(1+0.00023125256064071564)))</f>
        <v/>
      </c>
      <c r="P3158">
        <f>IF(G3158=1,IF(H3157=0,1,ABS(0.2-J3157*B3158/I3158)+ABS(0.2-K3157*C3158/I3158)+ABS(0.2-L3157*D3158/I3158)+ABS(0.2-M3157*E3158/I3158)+ABS(0.2-N3157*F3158/I3158)),0)</f>
        <v/>
      </c>
      <c r="Q3158">
        <f>P3158*0.0015</f>
        <v/>
      </c>
      <c r="R3158">
        <f>I3158*(1-Q3158)</f>
        <v/>
      </c>
      <c r="S3158">
        <f>R3158/R3157-1</f>
        <v/>
      </c>
      <c r="T3158">
        <f>MAX(T3157,R3158)</f>
        <v/>
      </c>
      <c r="U3158">
        <f>R3158/T3158-1</f>
        <v/>
      </c>
      <c r="V3158" t="n">
        <v>9.437295669346245</v>
      </c>
      <c r="W3158" s="5">
        <f>R3158-V3158</f>
        <v/>
      </c>
    </row>
    <row r="3159">
      <c r="A3159" s="3" t="n">
        <v>43088</v>
      </c>
      <c r="B3159">
        <f>Prices!B3159</f>
        <v/>
      </c>
      <c r="C3159">
        <f>Prices!C3159</f>
        <v/>
      </c>
      <c r="D3159">
        <f>Prices!D3159</f>
        <v/>
      </c>
      <c r="E3159">
        <f>Prices!E3159</f>
        <v/>
      </c>
      <c r="F3159">
        <f>Prices!F3159</f>
        <v/>
      </c>
      <c r="G3159">
        <f>IF(AND(3157&gt;=16,TEXT(A3159,"yyyy-mm")&lt;&gt;TEXT(A3160,"yyyy-mm")),1,0)</f>
        <v/>
      </c>
      <c r="H3159">
        <f>IF(OR(H3158=1,G3159=1),1,0)</f>
        <v/>
      </c>
      <c r="I3159">
        <f>IF(H3158=0,1,SUMPRODUCT(J3158:N3158,B3159:F3159)+O3158*(1+0.00023125256064071564))</f>
        <v/>
      </c>
      <c r="J3159">
        <f>IF(G3159=1,0.2*R3159/B3159,J3158)</f>
        <v/>
      </c>
      <c r="K3159">
        <f>IF(G3159=1,0.2*R3159/C3159,K3158)</f>
        <v/>
      </c>
      <c r="L3159">
        <f>IF(G3159=1,0.2*R3159/D3159,L3158)</f>
        <v/>
      </c>
      <c r="M3159">
        <f>IF(G3159=1,0.2*R3159/E3159,M3158)</f>
        <v/>
      </c>
      <c r="N3159">
        <f>IF(G3159=1,0.2*R3159/F3159,N3158)</f>
        <v/>
      </c>
      <c r="O3159">
        <f>IF(G3159=1,R3159*(1-1.0),IF(H3158=0,1,O3158*(1+0.00023125256064071564)))</f>
        <v/>
      </c>
      <c r="P3159">
        <f>IF(G3159=1,IF(H3158=0,1,ABS(0.2-J3158*B3159/I3159)+ABS(0.2-K3158*C3159/I3159)+ABS(0.2-L3158*D3159/I3159)+ABS(0.2-M3158*E3159/I3159)+ABS(0.2-N3158*F3159/I3159)),0)</f>
        <v/>
      </c>
      <c r="Q3159">
        <f>P3159*0.0015</f>
        <v/>
      </c>
      <c r="R3159">
        <f>I3159*(1-Q3159)</f>
        <v/>
      </c>
      <c r="S3159">
        <f>R3159/R3158-1</f>
        <v/>
      </c>
      <c r="T3159">
        <f>MAX(T3158,R3159)</f>
        <v/>
      </c>
      <c r="U3159">
        <f>R3159/T3159-1</f>
        <v/>
      </c>
      <c r="V3159" t="n">
        <v>9.553610912243141</v>
      </c>
      <c r="W3159" s="5">
        <f>R3159-V3159</f>
        <v/>
      </c>
    </row>
    <row r="3160">
      <c r="A3160" s="3" t="n">
        <v>43089</v>
      </c>
      <c r="B3160">
        <f>Prices!B3160</f>
        <v/>
      </c>
      <c r="C3160">
        <f>Prices!C3160</f>
        <v/>
      </c>
      <c r="D3160">
        <f>Prices!D3160</f>
        <v/>
      </c>
      <c r="E3160">
        <f>Prices!E3160</f>
        <v/>
      </c>
      <c r="F3160">
        <f>Prices!F3160</f>
        <v/>
      </c>
      <c r="G3160">
        <f>IF(AND(3158&gt;=16,TEXT(A3160,"yyyy-mm")&lt;&gt;TEXT(A3161,"yyyy-mm")),1,0)</f>
        <v/>
      </c>
      <c r="H3160">
        <f>IF(OR(H3159=1,G3160=1),1,0)</f>
        <v/>
      </c>
      <c r="I3160">
        <f>IF(H3159=0,1,SUMPRODUCT(J3159:N3159,B3160:F3160)+O3159*(1+0.00023125256064071564))</f>
        <v/>
      </c>
      <c r="J3160">
        <f>IF(G3160=1,0.2*R3160/B3160,J3159)</f>
        <v/>
      </c>
      <c r="K3160">
        <f>IF(G3160=1,0.2*R3160/C3160,K3159)</f>
        <v/>
      </c>
      <c r="L3160">
        <f>IF(G3160=1,0.2*R3160/D3160,L3159)</f>
        <v/>
      </c>
      <c r="M3160">
        <f>IF(G3160=1,0.2*R3160/E3160,M3159)</f>
        <v/>
      </c>
      <c r="N3160">
        <f>IF(G3160=1,0.2*R3160/F3160,N3159)</f>
        <v/>
      </c>
      <c r="O3160">
        <f>IF(G3160=1,R3160*(1-1.0),IF(H3159=0,1,O3159*(1+0.00023125256064071564)))</f>
        <v/>
      </c>
      <c r="P3160">
        <f>IF(G3160=1,IF(H3159=0,1,ABS(0.2-J3159*B3160/I3160)+ABS(0.2-K3159*C3160/I3160)+ABS(0.2-L3159*D3160/I3160)+ABS(0.2-M3159*E3160/I3160)+ABS(0.2-N3159*F3160/I3160)),0)</f>
        <v/>
      </c>
      <c r="Q3160">
        <f>P3160*0.0015</f>
        <v/>
      </c>
      <c r="R3160">
        <f>I3160*(1-Q3160)</f>
        <v/>
      </c>
      <c r="S3160">
        <f>R3160/R3159-1</f>
        <v/>
      </c>
      <c r="T3160">
        <f>MAX(T3159,R3160)</f>
        <v/>
      </c>
      <c r="U3160">
        <f>R3160/T3160-1</f>
        <v/>
      </c>
      <c r="V3160" t="n">
        <v>9.595609425811237</v>
      </c>
      <c r="W3160" s="5">
        <f>R3160-V3160</f>
        <v/>
      </c>
    </row>
    <row r="3161">
      <c r="A3161" s="3" t="n">
        <v>43090</v>
      </c>
      <c r="B3161">
        <f>Prices!B3161</f>
        <v/>
      </c>
      <c r="C3161">
        <f>Prices!C3161</f>
        <v/>
      </c>
      <c r="D3161">
        <f>Prices!D3161</f>
        <v/>
      </c>
      <c r="E3161">
        <f>Prices!E3161</f>
        <v/>
      </c>
      <c r="F3161">
        <f>Prices!F3161</f>
        <v/>
      </c>
      <c r="G3161">
        <f>IF(AND(3159&gt;=16,TEXT(A3161,"yyyy-mm")&lt;&gt;TEXT(A3162,"yyyy-mm")),1,0)</f>
        <v/>
      </c>
      <c r="H3161">
        <f>IF(OR(H3160=1,G3161=1),1,0)</f>
        <v/>
      </c>
      <c r="I3161">
        <f>IF(H3160=0,1,SUMPRODUCT(J3160:N3160,B3161:F3161)+O3160*(1+0.00023125256064071564))</f>
        <v/>
      </c>
      <c r="J3161">
        <f>IF(G3161=1,0.2*R3161/B3161,J3160)</f>
        <v/>
      </c>
      <c r="K3161">
        <f>IF(G3161=1,0.2*R3161/C3161,K3160)</f>
        <v/>
      </c>
      <c r="L3161">
        <f>IF(G3161=1,0.2*R3161/D3161,L3160)</f>
        <v/>
      </c>
      <c r="M3161">
        <f>IF(G3161=1,0.2*R3161/E3161,M3160)</f>
        <v/>
      </c>
      <c r="N3161">
        <f>IF(G3161=1,0.2*R3161/F3161,N3160)</f>
        <v/>
      </c>
      <c r="O3161">
        <f>IF(G3161=1,R3161*(1-1.0),IF(H3160=0,1,O3160*(1+0.00023125256064071564)))</f>
        <v/>
      </c>
      <c r="P3161">
        <f>IF(G3161=1,IF(H3160=0,1,ABS(0.2-J3160*B3161/I3161)+ABS(0.2-K3160*C3161/I3161)+ABS(0.2-L3160*D3161/I3161)+ABS(0.2-M3160*E3161/I3161)+ABS(0.2-N3160*F3161/I3161)),0)</f>
        <v/>
      </c>
      <c r="Q3161">
        <f>P3161*0.0015</f>
        <v/>
      </c>
      <c r="R3161">
        <f>I3161*(1-Q3161)</f>
        <v/>
      </c>
      <c r="S3161">
        <f>R3161/R3160-1</f>
        <v/>
      </c>
      <c r="T3161">
        <f>MAX(T3160,R3161)</f>
        <v/>
      </c>
      <c r="U3161">
        <f>R3161/T3161-1</f>
        <v/>
      </c>
      <c r="V3161" t="n">
        <v>9.66614955606522</v>
      </c>
      <c r="W3161" s="5">
        <f>R3161-V3161</f>
        <v/>
      </c>
    </row>
    <row r="3162">
      <c r="A3162" s="3" t="n">
        <v>43091</v>
      </c>
      <c r="B3162">
        <f>Prices!B3162</f>
        <v/>
      </c>
      <c r="C3162">
        <f>Prices!C3162</f>
        <v/>
      </c>
      <c r="D3162">
        <f>Prices!D3162</f>
        <v/>
      </c>
      <c r="E3162">
        <f>Prices!E3162</f>
        <v/>
      </c>
      <c r="F3162">
        <f>Prices!F3162</f>
        <v/>
      </c>
      <c r="G3162">
        <f>IF(AND(3160&gt;=16,TEXT(A3162,"yyyy-mm")&lt;&gt;TEXT(A3163,"yyyy-mm")),1,0)</f>
        <v/>
      </c>
      <c r="H3162">
        <f>IF(OR(H3161=1,G3162=1),1,0)</f>
        <v/>
      </c>
      <c r="I3162">
        <f>IF(H3161=0,1,SUMPRODUCT(J3161:N3161,B3162:F3162)+O3161*(1+0.00023125256064071564))</f>
        <v/>
      </c>
      <c r="J3162">
        <f>IF(G3162=1,0.2*R3162/B3162,J3161)</f>
        <v/>
      </c>
      <c r="K3162">
        <f>IF(G3162=1,0.2*R3162/C3162,K3161)</f>
        <v/>
      </c>
      <c r="L3162">
        <f>IF(G3162=1,0.2*R3162/D3162,L3161)</f>
        <v/>
      </c>
      <c r="M3162">
        <f>IF(G3162=1,0.2*R3162/E3162,M3161)</f>
        <v/>
      </c>
      <c r="N3162">
        <f>IF(G3162=1,0.2*R3162/F3162,N3161)</f>
        <v/>
      </c>
      <c r="O3162">
        <f>IF(G3162=1,R3162*(1-1.0),IF(H3161=0,1,O3161*(1+0.00023125256064071564)))</f>
        <v/>
      </c>
      <c r="P3162">
        <f>IF(G3162=1,IF(H3161=0,1,ABS(0.2-J3161*B3162/I3162)+ABS(0.2-K3161*C3162/I3162)+ABS(0.2-L3161*D3162/I3162)+ABS(0.2-M3161*E3162/I3162)+ABS(0.2-N3161*F3162/I3162)),0)</f>
        <v/>
      </c>
      <c r="Q3162">
        <f>P3162*0.0015</f>
        <v/>
      </c>
      <c r="R3162">
        <f>I3162*(1-Q3162)</f>
        <v/>
      </c>
      <c r="S3162">
        <f>R3162/R3161-1</f>
        <v/>
      </c>
      <c r="T3162">
        <f>MAX(T3161,R3162)</f>
        <v/>
      </c>
      <c r="U3162">
        <f>R3162/T3162-1</f>
        <v/>
      </c>
      <c r="V3162" t="n">
        <v>9.709549734436266</v>
      </c>
      <c r="W3162" s="5">
        <f>R3162-V3162</f>
        <v/>
      </c>
    </row>
    <row r="3163">
      <c r="A3163" s="3" t="n">
        <v>43095</v>
      </c>
      <c r="B3163">
        <f>Prices!B3163</f>
        <v/>
      </c>
      <c r="C3163">
        <f>Prices!C3163</f>
        <v/>
      </c>
      <c r="D3163">
        <f>Prices!D3163</f>
        <v/>
      </c>
      <c r="E3163">
        <f>Prices!E3163</f>
        <v/>
      </c>
      <c r="F3163">
        <f>Prices!F3163</f>
        <v/>
      </c>
      <c r="G3163">
        <f>IF(AND(3161&gt;=16,TEXT(A3163,"yyyy-mm")&lt;&gt;TEXT(A3164,"yyyy-mm")),1,0)</f>
        <v/>
      </c>
      <c r="H3163">
        <f>IF(OR(H3162=1,G3163=1),1,0)</f>
        <v/>
      </c>
      <c r="I3163">
        <f>IF(H3162=0,1,SUMPRODUCT(J3162:N3162,B3163:F3163)+O3162*(1+0.00023125256064071564))</f>
        <v/>
      </c>
      <c r="J3163">
        <f>IF(G3163=1,0.2*R3163/B3163,J3162)</f>
        <v/>
      </c>
      <c r="K3163">
        <f>IF(G3163=1,0.2*R3163/C3163,K3162)</f>
        <v/>
      </c>
      <c r="L3163">
        <f>IF(G3163=1,0.2*R3163/D3163,L3162)</f>
        <v/>
      </c>
      <c r="M3163">
        <f>IF(G3163=1,0.2*R3163/E3163,M3162)</f>
        <v/>
      </c>
      <c r="N3163">
        <f>IF(G3163=1,0.2*R3163/F3163,N3162)</f>
        <v/>
      </c>
      <c r="O3163">
        <f>IF(G3163=1,R3163*(1-1.0),IF(H3162=0,1,O3162*(1+0.00023125256064071564)))</f>
        <v/>
      </c>
      <c r="P3163">
        <f>IF(G3163=1,IF(H3162=0,1,ABS(0.2-J3162*B3163/I3163)+ABS(0.2-K3162*C3163/I3163)+ABS(0.2-L3162*D3163/I3163)+ABS(0.2-M3162*E3163/I3163)+ABS(0.2-N3162*F3163/I3163)),0)</f>
        <v/>
      </c>
      <c r="Q3163">
        <f>P3163*0.0015</f>
        <v/>
      </c>
      <c r="R3163">
        <f>I3163*(1-Q3163)</f>
        <v/>
      </c>
      <c r="S3163">
        <f>R3163/R3162-1</f>
        <v/>
      </c>
      <c r="T3163">
        <f>MAX(T3162,R3163)</f>
        <v/>
      </c>
      <c r="U3163">
        <f>R3163/T3163-1</f>
        <v/>
      </c>
      <c r="V3163" t="n">
        <v>9.766704629145625</v>
      </c>
      <c r="W3163" s="5">
        <f>R3163-V3163</f>
        <v/>
      </c>
    </row>
    <row r="3164">
      <c r="A3164" s="3" t="n">
        <v>43096</v>
      </c>
      <c r="B3164">
        <f>Prices!B3164</f>
        <v/>
      </c>
      <c r="C3164">
        <f>Prices!C3164</f>
        <v/>
      </c>
      <c r="D3164">
        <f>Prices!D3164</f>
        <v/>
      </c>
      <c r="E3164">
        <f>Prices!E3164</f>
        <v/>
      </c>
      <c r="F3164">
        <f>Prices!F3164</f>
        <v/>
      </c>
      <c r="G3164">
        <f>IF(AND(3162&gt;=16,TEXT(A3164,"yyyy-mm")&lt;&gt;TEXT(A3165,"yyyy-mm")),1,0)</f>
        <v/>
      </c>
      <c r="H3164">
        <f>IF(OR(H3163=1,G3164=1),1,0)</f>
        <v/>
      </c>
      <c r="I3164">
        <f>IF(H3163=0,1,SUMPRODUCT(J3163:N3163,B3164:F3164)+O3163*(1+0.00023125256064071564))</f>
        <v/>
      </c>
      <c r="J3164">
        <f>IF(G3164=1,0.2*R3164/B3164,J3163)</f>
        <v/>
      </c>
      <c r="K3164">
        <f>IF(G3164=1,0.2*R3164/C3164,K3163)</f>
        <v/>
      </c>
      <c r="L3164">
        <f>IF(G3164=1,0.2*R3164/D3164,L3163)</f>
        <v/>
      </c>
      <c r="M3164">
        <f>IF(G3164=1,0.2*R3164/E3164,M3163)</f>
        <v/>
      </c>
      <c r="N3164">
        <f>IF(G3164=1,0.2*R3164/F3164,N3163)</f>
        <v/>
      </c>
      <c r="O3164">
        <f>IF(G3164=1,R3164*(1-1.0),IF(H3163=0,1,O3163*(1+0.00023125256064071564)))</f>
        <v/>
      </c>
      <c r="P3164">
        <f>IF(G3164=1,IF(H3163=0,1,ABS(0.2-J3163*B3164/I3164)+ABS(0.2-K3163*C3164/I3164)+ABS(0.2-L3163*D3164/I3164)+ABS(0.2-M3163*E3164/I3164)+ABS(0.2-N3163*F3164/I3164)),0)</f>
        <v/>
      </c>
      <c r="Q3164">
        <f>P3164*0.0015</f>
        <v/>
      </c>
      <c r="R3164">
        <f>I3164*(1-Q3164)</f>
        <v/>
      </c>
      <c r="S3164">
        <f>R3164/R3163-1</f>
        <v/>
      </c>
      <c r="T3164">
        <f>MAX(T3163,R3164)</f>
        <v/>
      </c>
      <c r="U3164">
        <f>R3164/T3164-1</f>
        <v/>
      </c>
      <c r="V3164" t="n">
        <v>9.732413629771857</v>
      </c>
      <c r="W3164" s="5">
        <f>R3164-V3164</f>
        <v/>
      </c>
    </row>
    <row r="3165">
      <c r="A3165" s="3" t="n">
        <v>43097</v>
      </c>
      <c r="B3165">
        <f>Prices!B3165</f>
        <v/>
      </c>
      <c r="C3165">
        <f>Prices!C3165</f>
        <v/>
      </c>
      <c r="D3165">
        <f>Prices!D3165</f>
        <v/>
      </c>
      <c r="E3165">
        <f>Prices!E3165</f>
        <v/>
      </c>
      <c r="F3165">
        <f>Prices!F3165</f>
        <v/>
      </c>
      <c r="G3165">
        <f>IF(AND(3163&gt;=16,TEXT(A3165,"yyyy-mm")&lt;&gt;TEXT(A3166,"yyyy-mm")),1,0)</f>
        <v/>
      </c>
      <c r="H3165">
        <f>IF(OR(H3164=1,G3165=1),1,0)</f>
        <v/>
      </c>
      <c r="I3165">
        <f>IF(H3164=0,1,SUMPRODUCT(J3164:N3164,B3165:F3165)+O3164*(1+0.00023125256064071564))</f>
        <v/>
      </c>
      <c r="J3165">
        <f>IF(G3165=1,0.2*R3165/B3165,J3164)</f>
        <v/>
      </c>
      <c r="K3165">
        <f>IF(G3165=1,0.2*R3165/C3165,K3164)</f>
        <v/>
      </c>
      <c r="L3165">
        <f>IF(G3165=1,0.2*R3165/D3165,L3164)</f>
        <v/>
      </c>
      <c r="M3165">
        <f>IF(G3165=1,0.2*R3165/E3165,M3164)</f>
        <v/>
      </c>
      <c r="N3165">
        <f>IF(G3165=1,0.2*R3165/F3165,N3164)</f>
        <v/>
      </c>
      <c r="O3165">
        <f>IF(G3165=1,R3165*(1-1.0),IF(H3164=0,1,O3164*(1+0.00023125256064071564)))</f>
        <v/>
      </c>
      <c r="P3165">
        <f>IF(G3165=1,IF(H3164=0,1,ABS(0.2-J3164*B3165/I3165)+ABS(0.2-K3164*C3165/I3165)+ABS(0.2-L3164*D3165/I3165)+ABS(0.2-M3164*E3165/I3165)+ABS(0.2-N3164*F3165/I3165)),0)</f>
        <v/>
      </c>
      <c r="Q3165">
        <f>P3165*0.0015</f>
        <v/>
      </c>
      <c r="R3165">
        <f>I3165*(1-Q3165)</f>
        <v/>
      </c>
      <c r="S3165">
        <f>R3165/R3164-1</f>
        <v/>
      </c>
      <c r="T3165">
        <f>MAX(T3164,R3165)</f>
        <v/>
      </c>
      <c r="U3165">
        <f>R3165/T3165-1</f>
        <v/>
      </c>
      <c r="V3165" t="n">
        <v>9.745642747544982</v>
      </c>
      <c r="W3165" s="5">
        <f>R3165-V3165</f>
        <v/>
      </c>
    </row>
    <row r="3166">
      <c r="A3166" s="3" t="n">
        <v>43098</v>
      </c>
      <c r="B3166">
        <f>Prices!B3166</f>
        <v/>
      </c>
      <c r="C3166">
        <f>Prices!C3166</f>
        <v/>
      </c>
      <c r="D3166">
        <f>Prices!D3166</f>
        <v/>
      </c>
      <c r="E3166">
        <f>Prices!E3166</f>
        <v/>
      </c>
      <c r="F3166">
        <f>Prices!F3166</f>
        <v/>
      </c>
      <c r="G3166">
        <f>IF(AND(3164&gt;=16,TEXT(A3166,"yyyy-mm")&lt;&gt;TEXT(A3167,"yyyy-mm")),1,0)</f>
        <v/>
      </c>
      <c r="H3166">
        <f>IF(OR(H3165=1,G3166=1),1,0)</f>
        <v/>
      </c>
      <c r="I3166">
        <f>IF(H3165=0,1,SUMPRODUCT(J3165:N3165,B3166:F3166)+O3165*(1+0.00023125256064071564))</f>
        <v/>
      </c>
      <c r="J3166">
        <f>IF(G3166=1,0.2*R3166/B3166,J3165)</f>
        <v/>
      </c>
      <c r="K3166">
        <f>IF(G3166=1,0.2*R3166/C3166,K3165)</f>
        <v/>
      </c>
      <c r="L3166">
        <f>IF(G3166=1,0.2*R3166/D3166,L3165)</f>
        <v/>
      </c>
      <c r="M3166">
        <f>IF(G3166=1,0.2*R3166/E3166,M3165)</f>
        <v/>
      </c>
      <c r="N3166">
        <f>IF(G3166=1,0.2*R3166/F3166,N3165)</f>
        <v/>
      </c>
      <c r="O3166">
        <f>IF(G3166=1,R3166*(1-1.0),IF(H3165=0,1,O3165*(1+0.00023125256064071564)))</f>
        <v/>
      </c>
      <c r="P3166">
        <f>IF(G3166=1,IF(H3165=0,1,ABS(0.2-J3165*B3166/I3166)+ABS(0.2-K3165*C3166/I3166)+ABS(0.2-L3165*D3166/I3166)+ABS(0.2-M3165*E3166/I3166)+ABS(0.2-N3165*F3166/I3166)),0)</f>
        <v/>
      </c>
      <c r="Q3166">
        <f>P3166*0.0015</f>
        <v/>
      </c>
      <c r="R3166">
        <f>I3166*(1-Q3166)</f>
        <v/>
      </c>
      <c r="S3166">
        <f>R3166/R3165-1</f>
        <v/>
      </c>
      <c r="T3166">
        <f>MAX(T3165,R3166)</f>
        <v/>
      </c>
      <c r="U3166">
        <f>R3166/T3166-1</f>
        <v/>
      </c>
      <c r="V3166" t="n">
        <v>9.826750341410838</v>
      </c>
      <c r="W3166" s="5">
        <f>R3166-V3166</f>
        <v/>
      </c>
    </row>
    <row r="3167">
      <c r="A3167" s="3" t="n">
        <v>43101</v>
      </c>
      <c r="B3167">
        <f>Prices!B3167</f>
        <v/>
      </c>
      <c r="C3167">
        <f>Prices!C3167</f>
        <v/>
      </c>
      <c r="D3167">
        <f>Prices!D3167</f>
        <v/>
      </c>
      <c r="E3167">
        <f>Prices!E3167</f>
        <v/>
      </c>
      <c r="F3167">
        <f>Prices!F3167</f>
        <v/>
      </c>
      <c r="G3167">
        <f>IF(AND(3165&gt;=16,TEXT(A3167,"yyyy-mm")&lt;&gt;TEXT(A3168,"yyyy-mm")),1,0)</f>
        <v/>
      </c>
      <c r="H3167">
        <f>IF(OR(H3166=1,G3167=1),1,0)</f>
        <v/>
      </c>
      <c r="I3167">
        <f>IF(H3166=0,1,SUMPRODUCT(J3166:N3166,B3167:F3167)+O3166*(1+0.00023125256064071564))</f>
        <v/>
      </c>
      <c r="J3167">
        <f>IF(G3167=1,0.2*R3167/B3167,J3166)</f>
        <v/>
      </c>
      <c r="K3167">
        <f>IF(G3167=1,0.2*R3167/C3167,K3166)</f>
        <v/>
      </c>
      <c r="L3167">
        <f>IF(G3167=1,0.2*R3167/D3167,L3166)</f>
        <v/>
      </c>
      <c r="M3167">
        <f>IF(G3167=1,0.2*R3167/E3167,M3166)</f>
        <v/>
      </c>
      <c r="N3167">
        <f>IF(G3167=1,0.2*R3167/F3167,N3166)</f>
        <v/>
      </c>
      <c r="O3167">
        <f>IF(G3167=1,R3167*(1-1.0),IF(H3166=0,1,O3166*(1+0.00023125256064071564)))</f>
        <v/>
      </c>
      <c r="P3167">
        <f>IF(G3167=1,IF(H3166=0,1,ABS(0.2-J3166*B3167/I3167)+ABS(0.2-K3166*C3167/I3167)+ABS(0.2-L3166*D3167/I3167)+ABS(0.2-M3166*E3167/I3167)+ABS(0.2-N3166*F3167/I3167)),0)</f>
        <v/>
      </c>
      <c r="Q3167">
        <f>P3167*0.0015</f>
        <v/>
      </c>
      <c r="R3167">
        <f>I3167*(1-Q3167)</f>
        <v/>
      </c>
      <c r="S3167">
        <f>R3167/R3166-1</f>
        <v/>
      </c>
      <c r="T3167">
        <f>MAX(T3166,R3167)</f>
        <v/>
      </c>
      <c r="U3167">
        <f>R3167/T3167-1</f>
        <v/>
      </c>
      <c r="V3167" t="n">
        <v>9.814602718795246</v>
      </c>
      <c r="W3167" s="5">
        <f>R3167-V3167</f>
        <v/>
      </c>
    </row>
    <row r="3168">
      <c r="A3168" s="3" t="n">
        <v>43102</v>
      </c>
      <c r="B3168">
        <f>Prices!B3168</f>
        <v/>
      </c>
      <c r="C3168">
        <f>Prices!C3168</f>
        <v/>
      </c>
      <c r="D3168">
        <f>Prices!D3168</f>
        <v/>
      </c>
      <c r="E3168">
        <f>Prices!E3168</f>
        <v/>
      </c>
      <c r="F3168">
        <f>Prices!F3168</f>
        <v/>
      </c>
      <c r="G3168">
        <f>IF(AND(3166&gt;=16,TEXT(A3168,"yyyy-mm")&lt;&gt;TEXT(A3169,"yyyy-mm")),1,0)</f>
        <v/>
      </c>
      <c r="H3168">
        <f>IF(OR(H3167=1,G3168=1),1,0)</f>
        <v/>
      </c>
      <c r="I3168">
        <f>IF(H3167=0,1,SUMPRODUCT(J3167:N3167,B3168:F3168)+O3167*(1+0.00023125256064071564))</f>
        <v/>
      </c>
      <c r="J3168">
        <f>IF(G3168=1,0.2*R3168/B3168,J3167)</f>
        <v/>
      </c>
      <c r="K3168">
        <f>IF(G3168=1,0.2*R3168/C3168,K3167)</f>
        <v/>
      </c>
      <c r="L3168">
        <f>IF(G3168=1,0.2*R3168/D3168,L3167)</f>
        <v/>
      </c>
      <c r="M3168">
        <f>IF(G3168=1,0.2*R3168/E3168,M3167)</f>
        <v/>
      </c>
      <c r="N3168">
        <f>IF(G3168=1,0.2*R3168/F3168,N3167)</f>
        <v/>
      </c>
      <c r="O3168">
        <f>IF(G3168=1,R3168*(1-1.0),IF(H3167=0,1,O3167*(1+0.00023125256064071564)))</f>
        <v/>
      </c>
      <c r="P3168">
        <f>IF(G3168=1,IF(H3167=0,1,ABS(0.2-J3167*B3168/I3168)+ABS(0.2-K3167*C3168/I3168)+ABS(0.2-L3167*D3168/I3168)+ABS(0.2-M3167*E3168/I3168)+ABS(0.2-N3167*F3168/I3168)),0)</f>
        <v/>
      </c>
      <c r="Q3168">
        <f>P3168*0.0015</f>
        <v/>
      </c>
      <c r="R3168">
        <f>I3168*(1-Q3168)</f>
        <v/>
      </c>
      <c r="S3168">
        <f>R3168/R3167-1</f>
        <v/>
      </c>
      <c r="T3168">
        <f>MAX(T3167,R3168)</f>
        <v/>
      </c>
      <c r="U3168">
        <f>R3168/T3168-1</f>
        <v/>
      </c>
      <c r="V3168" t="n">
        <v>9.761192734870159</v>
      </c>
      <c r="W3168" s="5">
        <f>R3168-V3168</f>
        <v/>
      </c>
    </row>
    <row r="3169">
      <c r="A3169" s="3" t="n">
        <v>43103</v>
      </c>
      <c r="B3169">
        <f>Prices!B3169</f>
        <v/>
      </c>
      <c r="C3169">
        <f>Prices!C3169</f>
        <v/>
      </c>
      <c r="D3169">
        <f>Prices!D3169</f>
        <v/>
      </c>
      <c r="E3169">
        <f>Prices!E3169</f>
        <v/>
      </c>
      <c r="F3169">
        <f>Prices!F3169</f>
        <v/>
      </c>
      <c r="G3169">
        <f>IF(AND(3167&gt;=16,TEXT(A3169,"yyyy-mm")&lt;&gt;TEXT(A3170,"yyyy-mm")),1,0)</f>
        <v/>
      </c>
      <c r="H3169">
        <f>IF(OR(H3168=1,G3169=1),1,0)</f>
        <v/>
      </c>
      <c r="I3169">
        <f>IF(H3168=0,1,SUMPRODUCT(J3168:N3168,B3169:F3169)+O3168*(1+0.00023125256064071564))</f>
        <v/>
      </c>
      <c r="J3169">
        <f>IF(G3169=1,0.2*R3169/B3169,J3168)</f>
        <v/>
      </c>
      <c r="K3169">
        <f>IF(G3169=1,0.2*R3169/C3169,K3168)</f>
        <v/>
      </c>
      <c r="L3169">
        <f>IF(G3169=1,0.2*R3169/D3169,L3168)</f>
        <v/>
      </c>
      <c r="M3169">
        <f>IF(G3169=1,0.2*R3169/E3169,M3168)</f>
        <v/>
      </c>
      <c r="N3169">
        <f>IF(G3169=1,0.2*R3169/F3169,N3168)</f>
        <v/>
      </c>
      <c r="O3169">
        <f>IF(G3169=1,R3169*(1-1.0),IF(H3168=0,1,O3168*(1+0.00023125256064071564)))</f>
        <v/>
      </c>
      <c r="P3169">
        <f>IF(G3169=1,IF(H3168=0,1,ABS(0.2-J3168*B3169/I3169)+ABS(0.2-K3168*C3169/I3169)+ABS(0.2-L3168*D3169/I3169)+ABS(0.2-M3168*E3169/I3169)+ABS(0.2-N3168*F3169/I3169)),0)</f>
        <v/>
      </c>
      <c r="Q3169">
        <f>P3169*0.0015</f>
        <v/>
      </c>
      <c r="R3169">
        <f>I3169*(1-Q3169)</f>
        <v/>
      </c>
      <c r="S3169">
        <f>R3169/R3168-1</f>
        <v/>
      </c>
      <c r="T3169">
        <f>MAX(T3168,R3169)</f>
        <v/>
      </c>
      <c r="U3169">
        <f>R3169/T3169-1</f>
        <v/>
      </c>
      <c r="V3169" t="n">
        <v>9.823142719786098</v>
      </c>
      <c r="W3169" s="5">
        <f>R3169-V3169</f>
        <v/>
      </c>
    </row>
    <row r="3170">
      <c r="A3170" s="3" t="n">
        <v>43104</v>
      </c>
      <c r="B3170">
        <f>Prices!B3170</f>
        <v/>
      </c>
      <c r="C3170">
        <f>Prices!C3170</f>
        <v/>
      </c>
      <c r="D3170">
        <f>Prices!D3170</f>
        <v/>
      </c>
      <c r="E3170">
        <f>Prices!E3170</f>
        <v/>
      </c>
      <c r="F3170">
        <f>Prices!F3170</f>
        <v/>
      </c>
      <c r="G3170">
        <f>IF(AND(3168&gt;=16,TEXT(A3170,"yyyy-mm")&lt;&gt;TEXT(A3171,"yyyy-mm")),1,0)</f>
        <v/>
      </c>
      <c r="H3170">
        <f>IF(OR(H3169=1,G3170=1),1,0)</f>
        <v/>
      </c>
      <c r="I3170">
        <f>IF(H3169=0,1,SUMPRODUCT(J3169:N3169,B3170:F3170)+O3169*(1+0.00023125256064071564))</f>
        <v/>
      </c>
      <c r="J3170">
        <f>IF(G3170=1,0.2*R3170/B3170,J3169)</f>
        <v/>
      </c>
      <c r="K3170">
        <f>IF(G3170=1,0.2*R3170/C3170,K3169)</f>
        <v/>
      </c>
      <c r="L3170">
        <f>IF(G3170=1,0.2*R3170/D3170,L3169)</f>
        <v/>
      </c>
      <c r="M3170">
        <f>IF(G3170=1,0.2*R3170/E3170,M3169)</f>
        <v/>
      </c>
      <c r="N3170">
        <f>IF(G3170=1,0.2*R3170/F3170,N3169)</f>
        <v/>
      </c>
      <c r="O3170">
        <f>IF(G3170=1,R3170*(1-1.0),IF(H3169=0,1,O3169*(1+0.00023125256064071564)))</f>
        <v/>
      </c>
      <c r="P3170">
        <f>IF(G3170=1,IF(H3169=0,1,ABS(0.2-J3169*B3170/I3170)+ABS(0.2-K3169*C3170/I3170)+ABS(0.2-L3169*D3170/I3170)+ABS(0.2-M3169*E3170/I3170)+ABS(0.2-N3169*F3170/I3170)),0)</f>
        <v/>
      </c>
      <c r="Q3170">
        <f>P3170*0.0015</f>
        <v/>
      </c>
      <c r="R3170">
        <f>I3170*(1-Q3170)</f>
        <v/>
      </c>
      <c r="S3170">
        <f>R3170/R3169-1</f>
        <v/>
      </c>
      <c r="T3170">
        <f>MAX(T3169,R3170)</f>
        <v/>
      </c>
      <c r="U3170">
        <f>R3170/T3170-1</f>
        <v/>
      </c>
      <c r="V3170" t="n">
        <v>9.902525082374321</v>
      </c>
      <c r="W3170" s="5">
        <f>R3170-V3170</f>
        <v/>
      </c>
    </row>
    <row r="3171">
      <c r="A3171" s="3" t="n">
        <v>43105</v>
      </c>
      <c r="B3171">
        <f>Prices!B3171</f>
        <v/>
      </c>
      <c r="C3171">
        <f>Prices!C3171</f>
        <v/>
      </c>
      <c r="D3171">
        <f>Prices!D3171</f>
        <v/>
      </c>
      <c r="E3171">
        <f>Prices!E3171</f>
        <v/>
      </c>
      <c r="F3171">
        <f>Prices!F3171</f>
        <v/>
      </c>
      <c r="G3171">
        <f>IF(AND(3169&gt;=16,TEXT(A3171,"yyyy-mm")&lt;&gt;TEXT(A3172,"yyyy-mm")),1,0)</f>
        <v/>
      </c>
      <c r="H3171">
        <f>IF(OR(H3170=1,G3171=1),1,0)</f>
        <v/>
      </c>
      <c r="I3171">
        <f>IF(H3170=0,1,SUMPRODUCT(J3170:N3170,B3171:F3171)+O3170*(1+0.00023125256064071564))</f>
        <v/>
      </c>
      <c r="J3171">
        <f>IF(G3171=1,0.2*R3171/B3171,J3170)</f>
        <v/>
      </c>
      <c r="K3171">
        <f>IF(G3171=1,0.2*R3171/C3171,K3170)</f>
        <v/>
      </c>
      <c r="L3171">
        <f>IF(G3171=1,0.2*R3171/D3171,L3170)</f>
        <v/>
      </c>
      <c r="M3171">
        <f>IF(G3171=1,0.2*R3171/E3171,M3170)</f>
        <v/>
      </c>
      <c r="N3171">
        <f>IF(G3171=1,0.2*R3171/F3171,N3170)</f>
        <v/>
      </c>
      <c r="O3171">
        <f>IF(G3171=1,R3171*(1-1.0),IF(H3170=0,1,O3170*(1+0.00023125256064071564)))</f>
        <v/>
      </c>
      <c r="P3171">
        <f>IF(G3171=1,IF(H3170=0,1,ABS(0.2-J3170*B3171/I3171)+ABS(0.2-K3170*C3171/I3171)+ABS(0.2-L3170*D3171/I3171)+ABS(0.2-M3170*E3171/I3171)+ABS(0.2-N3170*F3171/I3171)),0)</f>
        <v/>
      </c>
      <c r="Q3171">
        <f>P3171*0.0015</f>
        <v/>
      </c>
      <c r="R3171">
        <f>I3171*(1-Q3171)</f>
        <v/>
      </c>
      <c r="S3171">
        <f>R3171/R3170-1</f>
        <v/>
      </c>
      <c r="T3171">
        <f>MAX(T3170,R3171)</f>
        <v/>
      </c>
      <c r="U3171">
        <f>R3171/T3171-1</f>
        <v/>
      </c>
      <c r="V3171" t="n">
        <v>9.966567173766604</v>
      </c>
      <c r="W3171" s="5">
        <f>R3171-V3171</f>
        <v/>
      </c>
    </row>
    <row r="3172">
      <c r="A3172" s="3" t="n">
        <v>43108</v>
      </c>
      <c r="B3172">
        <f>Prices!B3172</f>
        <v/>
      </c>
      <c r="C3172">
        <f>Prices!C3172</f>
        <v/>
      </c>
      <c r="D3172">
        <f>Prices!D3172</f>
        <v/>
      </c>
      <c r="E3172">
        <f>Prices!E3172</f>
        <v/>
      </c>
      <c r="F3172">
        <f>Prices!F3172</f>
        <v/>
      </c>
      <c r="G3172">
        <f>IF(AND(3170&gt;=16,TEXT(A3172,"yyyy-mm")&lt;&gt;TEXT(A3173,"yyyy-mm")),1,0)</f>
        <v/>
      </c>
      <c r="H3172">
        <f>IF(OR(H3171=1,G3172=1),1,0)</f>
        <v/>
      </c>
      <c r="I3172">
        <f>IF(H3171=0,1,SUMPRODUCT(J3171:N3171,B3172:F3172)+O3171*(1+0.00023125256064071564))</f>
        <v/>
      </c>
      <c r="J3172">
        <f>IF(G3172=1,0.2*R3172/B3172,J3171)</f>
        <v/>
      </c>
      <c r="K3172">
        <f>IF(G3172=1,0.2*R3172/C3172,K3171)</f>
        <v/>
      </c>
      <c r="L3172">
        <f>IF(G3172=1,0.2*R3172/D3172,L3171)</f>
        <v/>
      </c>
      <c r="M3172">
        <f>IF(G3172=1,0.2*R3172/E3172,M3171)</f>
        <v/>
      </c>
      <c r="N3172">
        <f>IF(G3172=1,0.2*R3172/F3172,N3171)</f>
        <v/>
      </c>
      <c r="O3172">
        <f>IF(G3172=1,R3172*(1-1.0),IF(H3171=0,1,O3171*(1+0.00023125256064071564)))</f>
        <v/>
      </c>
      <c r="P3172">
        <f>IF(G3172=1,IF(H3171=0,1,ABS(0.2-J3171*B3172/I3172)+ABS(0.2-K3171*C3172/I3172)+ABS(0.2-L3171*D3172/I3172)+ABS(0.2-M3171*E3172/I3172)+ABS(0.2-N3171*F3172/I3172)),0)</f>
        <v/>
      </c>
      <c r="Q3172">
        <f>P3172*0.0015</f>
        <v/>
      </c>
      <c r="R3172">
        <f>I3172*(1-Q3172)</f>
        <v/>
      </c>
      <c r="S3172">
        <f>R3172/R3171-1</f>
        <v/>
      </c>
      <c r="T3172">
        <f>MAX(T3171,R3172)</f>
        <v/>
      </c>
      <c r="U3172">
        <f>R3172/T3172-1</f>
        <v/>
      </c>
      <c r="V3172" t="n">
        <v>10.07927691605327</v>
      </c>
      <c r="W3172" s="5">
        <f>R3172-V3172</f>
        <v/>
      </c>
    </row>
    <row r="3173">
      <c r="A3173" s="3" t="n">
        <v>43109</v>
      </c>
      <c r="B3173">
        <f>Prices!B3173</f>
        <v/>
      </c>
      <c r="C3173">
        <f>Prices!C3173</f>
        <v/>
      </c>
      <c r="D3173">
        <f>Prices!D3173</f>
        <v/>
      </c>
      <c r="E3173">
        <f>Prices!E3173</f>
        <v/>
      </c>
      <c r="F3173">
        <f>Prices!F3173</f>
        <v/>
      </c>
      <c r="G3173">
        <f>IF(AND(3171&gt;=16,TEXT(A3173,"yyyy-mm")&lt;&gt;TEXT(A3174,"yyyy-mm")),1,0)</f>
        <v/>
      </c>
      <c r="H3173">
        <f>IF(OR(H3172=1,G3173=1),1,0)</f>
        <v/>
      </c>
      <c r="I3173">
        <f>IF(H3172=0,1,SUMPRODUCT(J3172:N3172,B3173:F3173)+O3172*(1+0.00023125256064071564))</f>
        <v/>
      </c>
      <c r="J3173">
        <f>IF(G3173=1,0.2*R3173/B3173,J3172)</f>
        <v/>
      </c>
      <c r="K3173">
        <f>IF(G3173=1,0.2*R3173/C3173,K3172)</f>
        <v/>
      </c>
      <c r="L3173">
        <f>IF(G3173=1,0.2*R3173/D3173,L3172)</f>
        <v/>
      </c>
      <c r="M3173">
        <f>IF(G3173=1,0.2*R3173/E3173,M3172)</f>
        <v/>
      </c>
      <c r="N3173">
        <f>IF(G3173=1,0.2*R3173/F3173,N3172)</f>
        <v/>
      </c>
      <c r="O3173">
        <f>IF(G3173=1,R3173*(1-1.0),IF(H3172=0,1,O3172*(1+0.00023125256064071564)))</f>
        <v/>
      </c>
      <c r="P3173">
        <f>IF(G3173=1,IF(H3172=0,1,ABS(0.2-J3172*B3173/I3173)+ABS(0.2-K3172*C3173/I3173)+ABS(0.2-L3172*D3173/I3173)+ABS(0.2-M3172*E3173/I3173)+ABS(0.2-N3172*F3173/I3173)),0)</f>
        <v/>
      </c>
      <c r="Q3173">
        <f>P3173*0.0015</f>
        <v/>
      </c>
      <c r="R3173">
        <f>I3173*(1-Q3173)</f>
        <v/>
      </c>
      <c r="S3173">
        <f>R3173/R3172-1</f>
        <v/>
      </c>
      <c r="T3173">
        <f>MAX(T3172,R3173)</f>
        <v/>
      </c>
      <c r="U3173">
        <f>R3173/T3173-1</f>
        <v/>
      </c>
      <c r="V3173" t="n">
        <v>10.08337367057554</v>
      </c>
      <c r="W3173" s="5">
        <f>R3173-V3173</f>
        <v/>
      </c>
    </row>
    <row r="3174">
      <c r="A3174" s="3" t="n">
        <v>43110</v>
      </c>
      <c r="B3174">
        <f>Prices!B3174</f>
        <v/>
      </c>
      <c r="C3174">
        <f>Prices!C3174</f>
        <v/>
      </c>
      <c r="D3174">
        <f>Prices!D3174</f>
        <v/>
      </c>
      <c r="E3174">
        <f>Prices!E3174</f>
        <v/>
      </c>
      <c r="F3174">
        <f>Prices!F3174</f>
        <v/>
      </c>
      <c r="G3174">
        <f>IF(AND(3172&gt;=16,TEXT(A3174,"yyyy-mm")&lt;&gt;TEXT(A3175,"yyyy-mm")),1,0)</f>
        <v/>
      </c>
      <c r="H3174">
        <f>IF(OR(H3173=1,G3174=1),1,0)</f>
        <v/>
      </c>
      <c r="I3174">
        <f>IF(H3173=0,1,SUMPRODUCT(J3173:N3173,B3174:F3174)+O3173*(1+0.00023125256064071564))</f>
        <v/>
      </c>
      <c r="J3174">
        <f>IF(G3174=1,0.2*R3174/B3174,J3173)</f>
        <v/>
      </c>
      <c r="K3174">
        <f>IF(G3174=1,0.2*R3174/C3174,K3173)</f>
        <v/>
      </c>
      <c r="L3174">
        <f>IF(G3174=1,0.2*R3174/D3174,L3173)</f>
        <v/>
      </c>
      <c r="M3174">
        <f>IF(G3174=1,0.2*R3174/E3174,M3173)</f>
        <v/>
      </c>
      <c r="N3174">
        <f>IF(G3174=1,0.2*R3174/F3174,N3173)</f>
        <v/>
      </c>
      <c r="O3174">
        <f>IF(G3174=1,R3174*(1-1.0),IF(H3173=0,1,O3173*(1+0.00023125256064071564)))</f>
        <v/>
      </c>
      <c r="P3174">
        <f>IF(G3174=1,IF(H3173=0,1,ABS(0.2-J3173*B3174/I3174)+ABS(0.2-K3173*C3174/I3174)+ABS(0.2-L3173*D3174/I3174)+ABS(0.2-M3173*E3174/I3174)+ABS(0.2-N3173*F3174/I3174)),0)</f>
        <v/>
      </c>
      <c r="Q3174">
        <f>P3174*0.0015</f>
        <v/>
      </c>
      <c r="R3174">
        <f>I3174*(1-Q3174)</f>
        <v/>
      </c>
      <c r="S3174">
        <f>R3174/R3173-1</f>
        <v/>
      </c>
      <c r="T3174">
        <f>MAX(T3173,R3174)</f>
        <v/>
      </c>
      <c r="U3174">
        <f>R3174/T3174-1</f>
        <v/>
      </c>
      <c r="V3174" t="n">
        <v>10.07914995561608</v>
      </c>
      <c r="W3174" s="5">
        <f>R3174-V3174</f>
        <v/>
      </c>
    </row>
    <row r="3175">
      <c r="A3175" s="3" t="n">
        <v>43111</v>
      </c>
      <c r="B3175">
        <f>Prices!B3175</f>
        <v/>
      </c>
      <c r="C3175">
        <f>Prices!C3175</f>
        <v/>
      </c>
      <c r="D3175">
        <f>Prices!D3175</f>
        <v/>
      </c>
      <c r="E3175">
        <f>Prices!E3175</f>
        <v/>
      </c>
      <c r="F3175">
        <f>Prices!F3175</f>
        <v/>
      </c>
      <c r="G3175">
        <f>IF(AND(3173&gt;=16,TEXT(A3175,"yyyy-mm")&lt;&gt;TEXT(A3176,"yyyy-mm")),1,0)</f>
        <v/>
      </c>
      <c r="H3175">
        <f>IF(OR(H3174=1,G3175=1),1,0)</f>
        <v/>
      </c>
      <c r="I3175">
        <f>IF(H3174=0,1,SUMPRODUCT(J3174:N3174,B3175:F3175)+O3174*(1+0.00023125256064071564))</f>
        <v/>
      </c>
      <c r="J3175">
        <f>IF(G3175=1,0.2*R3175/B3175,J3174)</f>
        <v/>
      </c>
      <c r="K3175">
        <f>IF(G3175=1,0.2*R3175/C3175,K3174)</f>
        <v/>
      </c>
      <c r="L3175">
        <f>IF(G3175=1,0.2*R3175/D3175,L3174)</f>
        <v/>
      </c>
      <c r="M3175">
        <f>IF(G3175=1,0.2*R3175/E3175,M3174)</f>
        <v/>
      </c>
      <c r="N3175">
        <f>IF(G3175=1,0.2*R3175/F3175,N3174)</f>
        <v/>
      </c>
      <c r="O3175">
        <f>IF(G3175=1,R3175*(1-1.0),IF(H3174=0,1,O3174*(1+0.00023125256064071564)))</f>
        <v/>
      </c>
      <c r="P3175">
        <f>IF(G3175=1,IF(H3174=0,1,ABS(0.2-J3174*B3175/I3175)+ABS(0.2-K3174*C3175/I3175)+ABS(0.2-L3174*D3175/I3175)+ABS(0.2-M3174*E3175/I3175)+ABS(0.2-N3174*F3175/I3175)),0)</f>
        <v/>
      </c>
      <c r="Q3175">
        <f>P3175*0.0015</f>
        <v/>
      </c>
      <c r="R3175">
        <f>I3175*(1-Q3175)</f>
        <v/>
      </c>
      <c r="S3175">
        <f>R3175/R3174-1</f>
        <v/>
      </c>
      <c r="T3175">
        <f>MAX(T3174,R3175)</f>
        <v/>
      </c>
      <c r="U3175">
        <f>R3175/T3175-1</f>
        <v/>
      </c>
      <c r="V3175" t="n">
        <v>10.10978444284814</v>
      </c>
      <c r="W3175" s="5">
        <f>R3175-V3175</f>
        <v/>
      </c>
    </row>
    <row r="3176">
      <c r="A3176" s="3" t="n">
        <v>43112</v>
      </c>
      <c r="B3176">
        <f>Prices!B3176</f>
        <v/>
      </c>
      <c r="C3176">
        <f>Prices!C3176</f>
        <v/>
      </c>
      <c r="D3176">
        <f>Prices!D3176</f>
        <v/>
      </c>
      <c r="E3176">
        <f>Prices!E3176</f>
        <v/>
      </c>
      <c r="F3176">
        <f>Prices!F3176</f>
        <v/>
      </c>
      <c r="G3176">
        <f>IF(AND(3174&gt;=16,TEXT(A3176,"yyyy-mm")&lt;&gt;TEXT(A3177,"yyyy-mm")),1,0)</f>
        <v/>
      </c>
      <c r="H3176">
        <f>IF(OR(H3175=1,G3176=1),1,0)</f>
        <v/>
      </c>
      <c r="I3176">
        <f>IF(H3175=0,1,SUMPRODUCT(J3175:N3175,B3176:F3176)+O3175*(1+0.00023125256064071564))</f>
        <v/>
      </c>
      <c r="J3176">
        <f>IF(G3176=1,0.2*R3176/B3176,J3175)</f>
        <v/>
      </c>
      <c r="K3176">
        <f>IF(G3176=1,0.2*R3176/C3176,K3175)</f>
        <v/>
      </c>
      <c r="L3176">
        <f>IF(G3176=1,0.2*R3176/D3176,L3175)</f>
        <v/>
      </c>
      <c r="M3176">
        <f>IF(G3176=1,0.2*R3176/E3176,M3175)</f>
        <v/>
      </c>
      <c r="N3176">
        <f>IF(G3176=1,0.2*R3176/F3176,N3175)</f>
        <v/>
      </c>
      <c r="O3176">
        <f>IF(G3176=1,R3176*(1-1.0),IF(H3175=0,1,O3175*(1+0.00023125256064071564)))</f>
        <v/>
      </c>
      <c r="P3176">
        <f>IF(G3176=1,IF(H3175=0,1,ABS(0.2-J3175*B3176/I3176)+ABS(0.2-K3175*C3176/I3176)+ABS(0.2-L3175*D3176/I3176)+ABS(0.2-M3175*E3176/I3176)+ABS(0.2-N3175*F3176/I3176)),0)</f>
        <v/>
      </c>
      <c r="Q3176">
        <f>P3176*0.0015</f>
        <v/>
      </c>
      <c r="R3176">
        <f>I3176*(1-Q3176)</f>
        <v/>
      </c>
      <c r="S3176">
        <f>R3176/R3175-1</f>
        <v/>
      </c>
      <c r="T3176">
        <f>MAX(T3175,R3176)</f>
        <v/>
      </c>
      <c r="U3176">
        <f>R3176/T3176-1</f>
        <v/>
      </c>
      <c r="V3176" t="n">
        <v>10.11638500661253</v>
      </c>
      <c r="W3176" s="5">
        <f>R3176-V3176</f>
        <v/>
      </c>
    </row>
    <row r="3177">
      <c r="A3177" s="3" t="n">
        <v>43115</v>
      </c>
      <c r="B3177">
        <f>Prices!B3177</f>
        <v/>
      </c>
      <c r="C3177">
        <f>Prices!C3177</f>
        <v/>
      </c>
      <c r="D3177">
        <f>Prices!D3177</f>
        <v/>
      </c>
      <c r="E3177">
        <f>Prices!E3177</f>
        <v/>
      </c>
      <c r="F3177">
        <f>Prices!F3177</f>
        <v/>
      </c>
      <c r="G3177">
        <f>IF(AND(3175&gt;=16,TEXT(A3177,"yyyy-mm")&lt;&gt;TEXT(A3178,"yyyy-mm")),1,0)</f>
        <v/>
      </c>
      <c r="H3177">
        <f>IF(OR(H3176=1,G3177=1),1,0)</f>
        <v/>
      </c>
      <c r="I3177">
        <f>IF(H3176=0,1,SUMPRODUCT(J3176:N3176,B3177:F3177)+O3176*(1+0.00023125256064071564))</f>
        <v/>
      </c>
      <c r="J3177">
        <f>IF(G3177=1,0.2*R3177/B3177,J3176)</f>
        <v/>
      </c>
      <c r="K3177">
        <f>IF(G3177=1,0.2*R3177/C3177,K3176)</f>
        <v/>
      </c>
      <c r="L3177">
        <f>IF(G3177=1,0.2*R3177/D3177,L3176)</f>
        <v/>
      </c>
      <c r="M3177">
        <f>IF(G3177=1,0.2*R3177/E3177,M3176)</f>
        <v/>
      </c>
      <c r="N3177">
        <f>IF(G3177=1,0.2*R3177/F3177,N3176)</f>
        <v/>
      </c>
      <c r="O3177">
        <f>IF(G3177=1,R3177*(1-1.0),IF(H3176=0,1,O3176*(1+0.00023125256064071564)))</f>
        <v/>
      </c>
      <c r="P3177">
        <f>IF(G3177=1,IF(H3176=0,1,ABS(0.2-J3176*B3177/I3177)+ABS(0.2-K3176*C3177/I3177)+ABS(0.2-L3176*D3177/I3177)+ABS(0.2-M3176*E3177/I3177)+ABS(0.2-N3176*F3177/I3177)),0)</f>
        <v/>
      </c>
      <c r="Q3177">
        <f>P3177*0.0015</f>
        <v/>
      </c>
      <c r="R3177">
        <f>I3177*(1-Q3177)</f>
        <v/>
      </c>
      <c r="S3177">
        <f>R3177/R3176-1</f>
        <v/>
      </c>
      <c r="T3177">
        <f>MAX(T3176,R3177)</f>
        <v/>
      </c>
      <c r="U3177">
        <f>R3177/T3177-1</f>
        <v/>
      </c>
      <c r="V3177" t="n">
        <v>10.10962485261246</v>
      </c>
      <c r="W3177" s="5">
        <f>R3177-V3177</f>
        <v/>
      </c>
    </row>
    <row r="3178">
      <c r="A3178" s="3" t="n">
        <v>43116</v>
      </c>
      <c r="B3178">
        <f>Prices!B3178</f>
        <v/>
      </c>
      <c r="C3178">
        <f>Prices!C3178</f>
        <v/>
      </c>
      <c r="D3178">
        <f>Prices!D3178</f>
        <v/>
      </c>
      <c r="E3178">
        <f>Prices!E3178</f>
        <v/>
      </c>
      <c r="F3178">
        <f>Prices!F3178</f>
        <v/>
      </c>
      <c r="G3178">
        <f>IF(AND(3176&gt;=16,TEXT(A3178,"yyyy-mm")&lt;&gt;TEXT(A3179,"yyyy-mm")),1,0)</f>
        <v/>
      </c>
      <c r="H3178">
        <f>IF(OR(H3177=1,G3178=1),1,0)</f>
        <v/>
      </c>
      <c r="I3178">
        <f>IF(H3177=0,1,SUMPRODUCT(J3177:N3177,B3178:F3178)+O3177*(1+0.00023125256064071564))</f>
        <v/>
      </c>
      <c r="J3178">
        <f>IF(G3178=1,0.2*R3178/B3178,J3177)</f>
        <v/>
      </c>
      <c r="K3178">
        <f>IF(G3178=1,0.2*R3178/C3178,K3177)</f>
        <v/>
      </c>
      <c r="L3178">
        <f>IF(G3178=1,0.2*R3178/D3178,L3177)</f>
        <v/>
      </c>
      <c r="M3178">
        <f>IF(G3178=1,0.2*R3178/E3178,M3177)</f>
        <v/>
      </c>
      <c r="N3178">
        <f>IF(G3178=1,0.2*R3178/F3178,N3177)</f>
        <v/>
      </c>
      <c r="O3178">
        <f>IF(G3178=1,R3178*(1-1.0),IF(H3177=0,1,O3177*(1+0.00023125256064071564)))</f>
        <v/>
      </c>
      <c r="P3178">
        <f>IF(G3178=1,IF(H3177=0,1,ABS(0.2-J3177*B3178/I3178)+ABS(0.2-K3177*C3178/I3178)+ABS(0.2-L3177*D3178/I3178)+ABS(0.2-M3177*E3178/I3178)+ABS(0.2-N3177*F3178/I3178)),0)</f>
        <v/>
      </c>
      <c r="Q3178">
        <f>P3178*0.0015</f>
        <v/>
      </c>
      <c r="R3178">
        <f>I3178*(1-Q3178)</f>
        <v/>
      </c>
      <c r="S3178">
        <f>R3178/R3177-1</f>
        <v/>
      </c>
      <c r="T3178">
        <f>MAX(T3177,R3178)</f>
        <v/>
      </c>
      <c r="U3178">
        <f>R3178/T3178-1</f>
        <v/>
      </c>
      <c r="V3178" t="n">
        <v>9.953574865168118</v>
      </c>
      <c r="W3178" s="5">
        <f>R3178-V3178</f>
        <v/>
      </c>
    </row>
    <row r="3179">
      <c r="A3179" s="3" t="n">
        <v>43117</v>
      </c>
      <c r="B3179">
        <f>Prices!B3179</f>
        <v/>
      </c>
      <c r="C3179">
        <f>Prices!C3179</f>
        <v/>
      </c>
      <c r="D3179">
        <f>Prices!D3179</f>
        <v/>
      </c>
      <c r="E3179">
        <f>Prices!E3179</f>
        <v/>
      </c>
      <c r="F3179">
        <f>Prices!F3179</f>
        <v/>
      </c>
      <c r="G3179">
        <f>IF(AND(3177&gt;=16,TEXT(A3179,"yyyy-mm")&lt;&gt;TEXT(A3180,"yyyy-mm")),1,0)</f>
        <v/>
      </c>
      <c r="H3179">
        <f>IF(OR(H3178=1,G3179=1),1,0)</f>
        <v/>
      </c>
      <c r="I3179">
        <f>IF(H3178=0,1,SUMPRODUCT(J3178:N3178,B3179:F3179)+O3178*(1+0.00023125256064071564))</f>
        <v/>
      </c>
      <c r="J3179">
        <f>IF(G3179=1,0.2*R3179/B3179,J3178)</f>
        <v/>
      </c>
      <c r="K3179">
        <f>IF(G3179=1,0.2*R3179/C3179,K3178)</f>
        <v/>
      </c>
      <c r="L3179">
        <f>IF(G3179=1,0.2*R3179/D3179,L3178)</f>
        <v/>
      </c>
      <c r="M3179">
        <f>IF(G3179=1,0.2*R3179/E3179,M3178)</f>
        <v/>
      </c>
      <c r="N3179">
        <f>IF(G3179=1,0.2*R3179/F3179,N3178)</f>
        <v/>
      </c>
      <c r="O3179">
        <f>IF(G3179=1,R3179*(1-1.0),IF(H3178=0,1,O3178*(1+0.00023125256064071564)))</f>
        <v/>
      </c>
      <c r="P3179">
        <f>IF(G3179=1,IF(H3178=0,1,ABS(0.2-J3178*B3179/I3179)+ABS(0.2-K3178*C3179/I3179)+ABS(0.2-L3178*D3179/I3179)+ABS(0.2-M3178*E3179/I3179)+ABS(0.2-N3178*F3179/I3179)),0)</f>
        <v/>
      </c>
      <c r="Q3179">
        <f>P3179*0.0015</f>
        <v/>
      </c>
      <c r="R3179">
        <f>I3179*(1-Q3179)</f>
        <v/>
      </c>
      <c r="S3179">
        <f>R3179/R3178-1</f>
        <v/>
      </c>
      <c r="T3179">
        <f>MAX(T3178,R3179)</f>
        <v/>
      </c>
      <c r="U3179">
        <f>R3179/T3179-1</f>
        <v/>
      </c>
      <c r="V3179" t="n">
        <v>10.04595661475402</v>
      </c>
      <c r="W3179" s="5">
        <f>R3179-V3179</f>
        <v/>
      </c>
    </row>
    <row r="3180">
      <c r="A3180" s="3" t="n">
        <v>43118</v>
      </c>
      <c r="B3180">
        <f>Prices!B3180</f>
        <v/>
      </c>
      <c r="C3180">
        <f>Prices!C3180</f>
        <v/>
      </c>
      <c r="D3180">
        <f>Prices!D3180</f>
        <v/>
      </c>
      <c r="E3180">
        <f>Prices!E3180</f>
        <v/>
      </c>
      <c r="F3180">
        <f>Prices!F3180</f>
        <v/>
      </c>
      <c r="G3180">
        <f>IF(AND(3178&gt;=16,TEXT(A3180,"yyyy-mm")&lt;&gt;TEXT(A3181,"yyyy-mm")),1,0)</f>
        <v/>
      </c>
      <c r="H3180">
        <f>IF(OR(H3179=1,G3180=1),1,0)</f>
        <v/>
      </c>
      <c r="I3180">
        <f>IF(H3179=0,1,SUMPRODUCT(J3179:N3179,B3180:F3180)+O3179*(1+0.00023125256064071564))</f>
        <v/>
      </c>
      <c r="J3180">
        <f>IF(G3180=1,0.2*R3180/B3180,J3179)</f>
        <v/>
      </c>
      <c r="K3180">
        <f>IF(G3180=1,0.2*R3180/C3180,K3179)</f>
        <v/>
      </c>
      <c r="L3180">
        <f>IF(G3180=1,0.2*R3180/D3180,L3179)</f>
        <v/>
      </c>
      <c r="M3180">
        <f>IF(G3180=1,0.2*R3180/E3180,M3179)</f>
        <v/>
      </c>
      <c r="N3180">
        <f>IF(G3180=1,0.2*R3180/F3180,N3179)</f>
        <v/>
      </c>
      <c r="O3180">
        <f>IF(G3180=1,R3180*(1-1.0),IF(H3179=0,1,O3179*(1+0.00023125256064071564)))</f>
        <v/>
      </c>
      <c r="P3180">
        <f>IF(G3180=1,IF(H3179=0,1,ABS(0.2-J3179*B3180/I3180)+ABS(0.2-K3179*C3180/I3180)+ABS(0.2-L3179*D3180/I3180)+ABS(0.2-M3179*E3180/I3180)+ABS(0.2-N3179*F3180/I3180)),0)</f>
        <v/>
      </c>
      <c r="Q3180">
        <f>P3180*0.0015</f>
        <v/>
      </c>
      <c r="R3180">
        <f>I3180*(1-Q3180)</f>
        <v/>
      </c>
      <c r="S3180">
        <f>R3180/R3179-1</f>
        <v/>
      </c>
      <c r="T3180">
        <f>MAX(T3179,R3180)</f>
        <v/>
      </c>
      <c r="U3180">
        <f>R3180/T3180-1</f>
        <v/>
      </c>
      <c r="V3180" t="n">
        <v>9.907198447469959</v>
      </c>
      <c r="W3180" s="5">
        <f>R3180-V3180</f>
        <v/>
      </c>
    </row>
    <row r="3181">
      <c r="A3181" s="3" t="n">
        <v>43119</v>
      </c>
      <c r="B3181">
        <f>Prices!B3181</f>
        <v/>
      </c>
      <c r="C3181">
        <f>Prices!C3181</f>
        <v/>
      </c>
      <c r="D3181">
        <f>Prices!D3181</f>
        <v/>
      </c>
      <c r="E3181">
        <f>Prices!E3181</f>
        <v/>
      </c>
      <c r="F3181">
        <f>Prices!F3181</f>
        <v/>
      </c>
      <c r="G3181">
        <f>IF(AND(3179&gt;=16,TEXT(A3181,"yyyy-mm")&lt;&gt;TEXT(A3182,"yyyy-mm")),1,0)</f>
        <v/>
      </c>
      <c r="H3181">
        <f>IF(OR(H3180=1,G3181=1),1,0)</f>
        <v/>
      </c>
      <c r="I3181">
        <f>IF(H3180=0,1,SUMPRODUCT(J3180:N3180,B3181:F3181)+O3180*(1+0.00023125256064071564))</f>
        <v/>
      </c>
      <c r="J3181">
        <f>IF(G3181=1,0.2*R3181/B3181,J3180)</f>
        <v/>
      </c>
      <c r="K3181">
        <f>IF(G3181=1,0.2*R3181/C3181,K3180)</f>
        <v/>
      </c>
      <c r="L3181">
        <f>IF(G3181=1,0.2*R3181/D3181,L3180)</f>
        <v/>
      </c>
      <c r="M3181">
        <f>IF(G3181=1,0.2*R3181/E3181,M3180)</f>
        <v/>
      </c>
      <c r="N3181">
        <f>IF(G3181=1,0.2*R3181/F3181,N3180)</f>
        <v/>
      </c>
      <c r="O3181">
        <f>IF(G3181=1,R3181*(1-1.0),IF(H3180=0,1,O3180*(1+0.00023125256064071564)))</f>
        <v/>
      </c>
      <c r="P3181">
        <f>IF(G3181=1,IF(H3180=0,1,ABS(0.2-J3180*B3181/I3181)+ABS(0.2-K3180*C3181/I3181)+ABS(0.2-L3180*D3181/I3181)+ABS(0.2-M3180*E3181/I3181)+ABS(0.2-N3180*F3181/I3181)),0)</f>
        <v/>
      </c>
      <c r="Q3181">
        <f>P3181*0.0015</f>
        <v/>
      </c>
      <c r="R3181">
        <f>I3181*(1-Q3181)</f>
        <v/>
      </c>
      <c r="S3181">
        <f>R3181/R3180-1</f>
        <v/>
      </c>
      <c r="T3181">
        <f>MAX(T3180,R3181)</f>
        <v/>
      </c>
      <c r="U3181">
        <f>R3181/T3181-1</f>
        <v/>
      </c>
      <c r="V3181" t="n">
        <v>10.01414659625143</v>
      </c>
      <c r="W3181" s="5">
        <f>R3181-V3181</f>
        <v/>
      </c>
    </row>
    <row r="3182">
      <c r="A3182" s="3" t="n">
        <v>43122</v>
      </c>
      <c r="B3182">
        <f>Prices!B3182</f>
        <v/>
      </c>
      <c r="C3182">
        <f>Prices!C3182</f>
        <v/>
      </c>
      <c r="D3182">
        <f>Prices!D3182</f>
        <v/>
      </c>
      <c r="E3182">
        <f>Prices!E3182</f>
        <v/>
      </c>
      <c r="F3182">
        <f>Prices!F3182</f>
        <v/>
      </c>
      <c r="G3182">
        <f>IF(AND(3180&gt;=16,TEXT(A3182,"yyyy-mm")&lt;&gt;TEXT(A3183,"yyyy-mm")),1,0)</f>
        <v/>
      </c>
      <c r="H3182">
        <f>IF(OR(H3181=1,G3182=1),1,0)</f>
        <v/>
      </c>
      <c r="I3182">
        <f>IF(H3181=0,1,SUMPRODUCT(J3181:N3181,B3182:F3182)+O3181*(1+0.00023125256064071564))</f>
        <v/>
      </c>
      <c r="J3182">
        <f>IF(G3182=1,0.2*R3182/B3182,J3181)</f>
        <v/>
      </c>
      <c r="K3182">
        <f>IF(G3182=1,0.2*R3182/C3182,K3181)</f>
        <v/>
      </c>
      <c r="L3182">
        <f>IF(G3182=1,0.2*R3182/D3182,L3181)</f>
        <v/>
      </c>
      <c r="M3182">
        <f>IF(G3182=1,0.2*R3182/E3182,M3181)</f>
        <v/>
      </c>
      <c r="N3182">
        <f>IF(G3182=1,0.2*R3182/F3182,N3181)</f>
        <v/>
      </c>
      <c r="O3182">
        <f>IF(G3182=1,R3182*(1-1.0),IF(H3181=0,1,O3181*(1+0.00023125256064071564)))</f>
        <v/>
      </c>
      <c r="P3182">
        <f>IF(G3182=1,IF(H3181=0,1,ABS(0.2-J3181*B3182/I3182)+ABS(0.2-K3181*C3182/I3182)+ABS(0.2-L3181*D3182/I3182)+ABS(0.2-M3181*E3182/I3182)+ABS(0.2-N3181*F3182/I3182)),0)</f>
        <v/>
      </c>
      <c r="Q3182">
        <f>P3182*0.0015</f>
        <v/>
      </c>
      <c r="R3182">
        <f>I3182*(1-Q3182)</f>
        <v/>
      </c>
      <c r="S3182">
        <f>R3182/R3181-1</f>
        <v/>
      </c>
      <c r="T3182">
        <f>MAX(T3181,R3182)</f>
        <v/>
      </c>
      <c r="U3182">
        <f>R3182/T3182-1</f>
        <v/>
      </c>
      <c r="V3182" t="n">
        <v>10.10074948704707</v>
      </c>
      <c r="W3182" s="5">
        <f>R3182-V3182</f>
        <v/>
      </c>
    </row>
    <row r="3183">
      <c r="A3183" s="3" t="n">
        <v>43123</v>
      </c>
      <c r="B3183">
        <f>Prices!B3183</f>
        <v/>
      </c>
      <c r="C3183">
        <f>Prices!C3183</f>
        <v/>
      </c>
      <c r="D3183">
        <f>Prices!D3183</f>
        <v/>
      </c>
      <c r="E3183">
        <f>Prices!E3183</f>
        <v/>
      </c>
      <c r="F3183">
        <f>Prices!F3183</f>
        <v/>
      </c>
      <c r="G3183">
        <f>IF(AND(3181&gt;=16,TEXT(A3183,"yyyy-mm")&lt;&gt;TEXT(A3184,"yyyy-mm")),1,0)</f>
        <v/>
      </c>
      <c r="H3183">
        <f>IF(OR(H3182=1,G3183=1),1,0)</f>
        <v/>
      </c>
      <c r="I3183">
        <f>IF(H3182=0,1,SUMPRODUCT(J3182:N3182,B3183:F3183)+O3182*(1+0.00023125256064071564))</f>
        <v/>
      </c>
      <c r="J3183">
        <f>IF(G3183=1,0.2*R3183/B3183,J3182)</f>
        <v/>
      </c>
      <c r="K3183">
        <f>IF(G3183=1,0.2*R3183/C3183,K3182)</f>
        <v/>
      </c>
      <c r="L3183">
        <f>IF(G3183=1,0.2*R3183/D3183,L3182)</f>
        <v/>
      </c>
      <c r="M3183">
        <f>IF(G3183=1,0.2*R3183/E3183,M3182)</f>
        <v/>
      </c>
      <c r="N3183">
        <f>IF(G3183=1,0.2*R3183/F3183,N3182)</f>
        <v/>
      </c>
      <c r="O3183">
        <f>IF(G3183=1,R3183*(1-1.0),IF(H3182=0,1,O3182*(1+0.00023125256064071564)))</f>
        <v/>
      </c>
      <c r="P3183">
        <f>IF(G3183=1,IF(H3182=0,1,ABS(0.2-J3182*B3183/I3183)+ABS(0.2-K3182*C3183/I3183)+ABS(0.2-L3182*D3183/I3183)+ABS(0.2-M3182*E3183/I3183)+ABS(0.2-N3182*F3183/I3183)),0)</f>
        <v/>
      </c>
      <c r="Q3183">
        <f>P3183*0.0015</f>
        <v/>
      </c>
      <c r="R3183">
        <f>I3183*(1-Q3183)</f>
        <v/>
      </c>
      <c r="S3183">
        <f>R3183/R3182-1</f>
        <v/>
      </c>
      <c r="T3183">
        <f>MAX(T3182,R3183)</f>
        <v/>
      </c>
      <c r="U3183">
        <f>R3183/T3183-1</f>
        <v/>
      </c>
      <c r="V3183" t="n">
        <v>10.19918137758891</v>
      </c>
      <c r="W3183" s="5">
        <f>R3183-V3183</f>
        <v/>
      </c>
    </row>
    <row r="3184">
      <c r="A3184" s="3" t="n">
        <v>43124</v>
      </c>
      <c r="B3184">
        <f>Prices!B3184</f>
        <v/>
      </c>
      <c r="C3184">
        <f>Prices!C3184</f>
        <v/>
      </c>
      <c r="D3184">
        <f>Prices!D3184</f>
        <v/>
      </c>
      <c r="E3184">
        <f>Prices!E3184</f>
        <v/>
      </c>
      <c r="F3184">
        <f>Prices!F3184</f>
        <v/>
      </c>
      <c r="G3184">
        <f>IF(AND(3182&gt;=16,TEXT(A3184,"yyyy-mm")&lt;&gt;TEXT(A3185,"yyyy-mm")),1,0)</f>
        <v/>
      </c>
      <c r="H3184">
        <f>IF(OR(H3183=1,G3184=1),1,0)</f>
        <v/>
      </c>
      <c r="I3184">
        <f>IF(H3183=0,1,SUMPRODUCT(J3183:N3183,B3184:F3184)+O3183*(1+0.00023125256064071564))</f>
        <v/>
      </c>
      <c r="J3184">
        <f>IF(G3184=1,0.2*R3184/B3184,J3183)</f>
        <v/>
      </c>
      <c r="K3184">
        <f>IF(G3184=1,0.2*R3184/C3184,K3183)</f>
        <v/>
      </c>
      <c r="L3184">
        <f>IF(G3184=1,0.2*R3184/D3184,L3183)</f>
        <v/>
      </c>
      <c r="M3184">
        <f>IF(G3184=1,0.2*R3184/E3184,M3183)</f>
        <v/>
      </c>
      <c r="N3184">
        <f>IF(G3184=1,0.2*R3184/F3184,N3183)</f>
        <v/>
      </c>
      <c r="O3184">
        <f>IF(G3184=1,R3184*(1-1.0),IF(H3183=0,1,O3183*(1+0.00023125256064071564)))</f>
        <v/>
      </c>
      <c r="P3184">
        <f>IF(G3184=1,IF(H3183=0,1,ABS(0.2-J3183*B3184/I3184)+ABS(0.2-K3183*C3184/I3184)+ABS(0.2-L3183*D3184/I3184)+ABS(0.2-M3183*E3184/I3184)+ABS(0.2-N3183*F3184/I3184)),0)</f>
        <v/>
      </c>
      <c r="Q3184">
        <f>P3184*0.0015</f>
        <v/>
      </c>
      <c r="R3184">
        <f>I3184*(1-Q3184)</f>
        <v/>
      </c>
      <c r="S3184">
        <f>R3184/R3183-1</f>
        <v/>
      </c>
      <c r="T3184">
        <f>MAX(T3183,R3184)</f>
        <v/>
      </c>
      <c r="U3184">
        <f>R3184/T3184-1</f>
        <v/>
      </c>
      <c r="V3184" t="n">
        <v>10.12868351948891</v>
      </c>
      <c r="W3184" s="5">
        <f>R3184-V3184</f>
        <v/>
      </c>
    </row>
    <row r="3185">
      <c r="A3185" s="3" t="n">
        <v>43125</v>
      </c>
      <c r="B3185">
        <f>Prices!B3185</f>
        <v/>
      </c>
      <c r="C3185">
        <f>Prices!C3185</f>
        <v/>
      </c>
      <c r="D3185">
        <f>Prices!D3185</f>
        <v/>
      </c>
      <c r="E3185">
        <f>Prices!E3185</f>
        <v/>
      </c>
      <c r="F3185">
        <f>Prices!F3185</f>
        <v/>
      </c>
      <c r="G3185">
        <f>IF(AND(3183&gt;=16,TEXT(A3185,"yyyy-mm")&lt;&gt;TEXT(A3186,"yyyy-mm")),1,0)</f>
        <v/>
      </c>
      <c r="H3185">
        <f>IF(OR(H3184=1,G3185=1),1,0)</f>
        <v/>
      </c>
      <c r="I3185">
        <f>IF(H3184=0,1,SUMPRODUCT(J3184:N3184,B3185:F3185)+O3184*(1+0.00023125256064071564))</f>
        <v/>
      </c>
      <c r="J3185">
        <f>IF(G3185=1,0.2*R3185/B3185,J3184)</f>
        <v/>
      </c>
      <c r="K3185">
        <f>IF(G3185=1,0.2*R3185/C3185,K3184)</f>
        <v/>
      </c>
      <c r="L3185">
        <f>IF(G3185=1,0.2*R3185/D3185,L3184)</f>
        <v/>
      </c>
      <c r="M3185">
        <f>IF(G3185=1,0.2*R3185/E3185,M3184)</f>
        <v/>
      </c>
      <c r="N3185">
        <f>IF(G3185=1,0.2*R3185/F3185,N3184)</f>
        <v/>
      </c>
      <c r="O3185">
        <f>IF(G3185=1,R3185*(1-1.0),IF(H3184=0,1,O3184*(1+0.00023125256064071564)))</f>
        <v/>
      </c>
      <c r="P3185">
        <f>IF(G3185=1,IF(H3184=0,1,ABS(0.2-J3184*B3185/I3185)+ABS(0.2-K3184*C3185/I3185)+ABS(0.2-L3184*D3185/I3185)+ABS(0.2-M3184*E3185/I3185)+ABS(0.2-N3184*F3185/I3185)),0)</f>
        <v/>
      </c>
      <c r="Q3185">
        <f>P3185*0.0015</f>
        <v/>
      </c>
      <c r="R3185">
        <f>I3185*(1-Q3185)</f>
        <v/>
      </c>
      <c r="S3185">
        <f>R3185/R3184-1</f>
        <v/>
      </c>
      <c r="T3185">
        <f>MAX(T3184,R3185)</f>
        <v/>
      </c>
      <c r="U3185">
        <f>R3185/T3185-1</f>
        <v/>
      </c>
      <c r="V3185" t="n">
        <v>10.06264062793831</v>
      </c>
      <c r="W3185" s="5">
        <f>R3185-V3185</f>
        <v/>
      </c>
    </row>
    <row r="3186">
      <c r="A3186" s="3" t="n">
        <v>43129</v>
      </c>
      <c r="B3186">
        <f>Prices!B3186</f>
        <v/>
      </c>
      <c r="C3186">
        <f>Prices!C3186</f>
        <v/>
      </c>
      <c r="D3186">
        <f>Prices!D3186</f>
        <v/>
      </c>
      <c r="E3186">
        <f>Prices!E3186</f>
        <v/>
      </c>
      <c r="F3186">
        <f>Prices!F3186</f>
        <v/>
      </c>
      <c r="G3186">
        <f>IF(AND(3184&gt;=16,TEXT(A3186,"yyyy-mm")&lt;&gt;TEXT(A3187,"yyyy-mm")),1,0)</f>
        <v/>
      </c>
      <c r="H3186">
        <f>IF(OR(H3185=1,G3186=1),1,0)</f>
        <v/>
      </c>
      <c r="I3186">
        <f>IF(H3185=0,1,SUMPRODUCT(J3185:N3185,B3186:F3186)+O3185*(1+0.00023125256064071564))</f>
        <v/>
      </c>
      <c r="J3186">
        <f>IF(G3186=1,0.2*R3186/B3186,J3185)</f>
        <v/>
      </c>
      <c r="K3186">
        <f>IF(G3186=1,0.2*R3186/C3186,K3185)</f>
        <v/>
      </c>
      <c r="L3186">
        <f>IF(G3186=1,0.2*R3186/D3186,L3185)</f>
        <v/>
      </c>
      <c r="M3186">
        <f>IF(G3186=1,0.2*R3186/E3186,M3185)</f>
        <v/>
      </c>
      <c r="N3186">
        <f>IF(G3186=1,0.2*R3186/F3186,N3185)</f>
        <v/>
      </c>
      <c r="O3186">
        <f>IF(G3186=1,R3186*(1-1.0),IF(H3185=0,1,O3185*(1+0.00023125256064071564)))</f>
        <v/>
      </c>
      <c r="P3186">
        <f>IF(G3186=1,IF(H3185=0,1,ABS(0.2-J3185*B3186/I3186)+ABS(0.2-K3185*C3186/I3186)+ABS(0.2-L3185*D3186/I3186)+ABS(0.2-M3185*E3186/I3186)+ABS(0.2-N3185*F3186/I3186)),0)</f>
        <v/>
      </c>
      <c r="Q3186">
        <f>P3186*0.0015</f>
        <v/>
      </c>
      <c r="R3186">
        <f>I3186*(1-Q3186)</f>
        <v/>
      </c>
      <c r="S3186">
        <f>R3186/R3185-1</f>
        <v/>
      </c>
      <c r="T3186">
        <f>MAX(T3185,R3186)</f>
        <v/>
      </c>
      <c r="U3186">
        <f>R3186/T3186-1</f>
        <v/>
      </c>
      <c r="V3186" t="n">
        <v>10.0161920850146</v>
      </c>
      <c r="W3186" s="5">
        <f>R3186-V3186</f>
        <v/>
      </c>
    </row>
    <row r="3187">
      <c r="A3187" s="3" t="n">
        <v>43130</v>
      </c>
      <c r="B3187">
        <f>Prices!B3187</f>
        <v/>
      </c>
      <c r="C3187">
        <f>Prices!C3187</f>
        <v/>
      </c>
      <c r="D3187">
        <f>Prices!D3187</f>
        <v/>
      </c>
      <c r="E3187">
        <f>Prices!E3187</f>
        <v/>
      </c>
      <c r="F3187">
        <f>Prices!F3187</f>
        <v/>
      </c>
      <c r="G3187">
        <f>IF(AND(3185&gt;=16,TEXT(A3187,"yyyy-mm")&lt;&gt;TEXT(A3188,"yyyy-mm")),1,0)</f>
        <v/>
      </c>
      <c r="H3187">
        <f>IF(OR(H3186=1,G3187=1),1,0)</f>
        <v/>
      </c>
      <c r="I3187">
        <f>IF(H3186=0,1,SUMPRODUCT(J3186:N3186,B3187:F3187)+O3186*(1+0.00023125256064071564))</f>
        <v/>
      </c>
      <c r="J3187">
        <f>IF(G3187=1,0.2*R3187/B3187,J3186)</f>
        <v/>
      </c>
      <c r="K3187">
        <f>IF(G3187=1,0.2*R3187/C3187,K3186)</f>
        <v/>
      </c>
      <c r="L3187">
        <f>IF(G3187=1,0.2*R3187/D3187,L3186)</f>
        <v/>
      </c>
      <c r="M3187">
        <f>IF(G3187=1,0.2*R3187/E3187,M3186)</f>
        <v/>
      </c>
      <c r="N3187">
        <f>IF(G3187=1,0.2*R3187/F3187,N3186)</f>
        <v/>
      </c>
      <c r="O3187">
        <f>IF(G3187=1,R3187*(1-1.0),IF(H3186=0,1,O3186*(1+0.00023125256064071564)))</f>
        <v/>
      </c>
      <c r="P3187">
        <f>IF(G3187=1,IF(H3186=0,1,ABS(0.2-J3186*B3187/I3187)+ABS(0.2-K3186*C3187/I3187)+ABS(0.2-L3186*D3187/I3187)+ABS(0.2-M3186*E3187/I3187)+ABS(0.2-N3186*F3187/I3187)),0)</f>
        <v/>
      </c>
      <c r="Q3187">
        <f>P3187*0.0015</f>
        <v/>
      </c>
      <c r="R3187">
        <f>I3187*(1-Q3187)</f>
        <v/>
      </c>
      <c r="S3187">
        <f>R3187/R3186-1</f>
        <v/>
      </c>
      <c r="T3187">
        <f>MAX(T3186,R3187)</f>
        <v/>
      </c>
      <c r="U3187">
        <f>R3187/T3187-1</f>
        <v/>
      </c>
      <c r="V3187" t="n">
        <v>9.92081290709638</v>
      </c>
      <c r="W3187" s="5">
        <f>R3187-V3187</f>
        <v/>
      </c>
    </row>
    <row r="3188">
      <c r="A3188" s="3" t="n">
        <v>43131</v>
      </c>
      <c r="B3188">
        <f>Prices!B3188</f>
        <v/>
      </c>
      <c r="C3188">
        <f>Prices!C3188</f>
        <v/>
      </c>
      <c r="D3188">
        <f>Prices!D3188</f>
        <v/>
      </c>
      <c r="E3188">
        <f>Prices!E3188</f>
        <v/>
      </c>
      <c r="F3188">
        <f>Prices!F3188</f>
        <v/>
      </c>
      <c r="G3188">
        <f>IF(AND(3186&gt;=16,TEXT(A3188,"yyyy-mm")&lt;&gt;TEXT(A3189,"yyyy-mm")),1,0)</f>
        <v/>
      </c>
      <c r="H3188">
        <f>IF(OR(H3187=1,G3188=1),1,0)</f>
        <v/>
      </c>
      <c r="I3188">
        <f>IF(H3187=0,1,SUMPRODUCT(J3187:N3187,B3188:F3188)+O3187*(1+0.00023125256064071564))</f>
        <v/>
      </c>
      <c r="J3188">
        <f>IF(G3188=1,0.2*R3188/B3188,J3187)</f>
        <v/>
      </c>
      <c r="K3188">
        <f>IF(G3188=1,0.2*R3188/C3188,K3187)</f>
        <v/>
      </c>
      <c r="L3188">
        <f>IF(G3188=1,0.2*R3188/D3188,L3187)</f>
        <v/>
      </c>
      <c r="M3188">
        <f>IF(G3188=1,0.2*R3188/E3188,M3187)</f>
        <v/>
      </c>
      <c r="N3188">
        <f>IF(G3188=1,0.2*R3188/F3188,N3187)</f>
        <v/>
      </c>
      <c r="O3188">
        <f>IF(G3188=1,R3188*(1-1.0),IF(H3187=0,1,O3187*(1+0.00023125256064071564)))</f>
        <v/>
      </c>
      <c r="P3188">
        <f>IF(G3188=1,IF(H3187=0,1,ABS(0.2-J3187*B3188/I3188)+ABS(0.2-K3187*C3188/I3188)+ABS(0.2-L3187*D3188/I3188)+ABS(0.2-M3187*E3188/I3188)+ABS(0.2-N3187*F3188/I3188)),0)</f>
        <v/>
      </c>
      <c r="Q3188">
        <f>P3188*0.0015</f>
        <v/>
      </c>
      <c r="R3188">
        <f>I3188*(1-Q3188)</f>
        <v/>
      </c>
      <c r="S3188">
        <f>R3188/R3187-1</f>
        <v/>
      </c>
      <c r="T3188">
        <f>MAX(T3187,R3188)</f>
        <v/>
      </c>
      <c r="U3188">
        <f>R3188/T3188-1</f>
        <v/>
      </c>
      <c r="V3188" t="n">
        <v>9.775202933657518</v>
      </c>
      <c r="W3188" s="5">
        <f>R3188-V3188</f>
        <v/>
      </c>
    </row>
    <row r="3189">
      <c r="A3189" s="3" t="n">
        <v>43132</v>
      </c>
      <c r="B3189">
        <f>Prices!B3189</f>
        <v/>
      </c>
      <c r="C3189">
        <f>Prices!C3189</f>
        <v/>
      </c>
      <c r="D3189">
        <f>Prices!D3189</f>
        <v/>
      </c>
      <c r="E3189">
        <f>Prices!E3189</f>
        <v/>
      </c>
      <c r="F3189">
        <f>Prices!F3189</f>
        <v/>
      </c>
      <c r="G3189">
        <f>IF(AND(3187&gt;=16,TEXT(A3189,"yyyy-mm")&lt;&gt;TEXT(A3190,"yyyy-mm")),1,0)</f>
        <v/>
      </c>
      <c r="H3189">
        <f>IF(OR(H3188=1,G3189=1),1,0)</f>
        <v/>
      </c>
      <c r="I3189">
        <f>IF(H3188=0,1,SUMPRODUCT(J3188:N3188,B3189:F3189)+O3188*(1+0.00023125256064071564))</f>
        <v/>
      </c>
      <c r="J3189">
        <f>IF(G3189=1,0.2*R3189/B3189,J3188)</f>
        <v/>
      </c>
      <c r="K3189">
        <f>IF(G3189=1,0.2*R3189/C3189,K3188)</f>
        <v/>
      </c>
      <c r="L3189">
        <f>IF(G3189=1,0.2*R3189/D3189,L3188)</f>
        <v/>
      </c>
      <c r="M3189">
        <f>IF(G3189=1,0.2*R3189/E3189,M3188)</f>
        <v/>
      </c>
      <c r="N3189">
        <f>IF(G3189=1,0.2*R3189/F3189,N3188)</f>
        <v/>
      </c>
      <c r="O3189">
        <f>IF(G3189=1,R3189*(1-1.0),IF(H3188=0,1,O3188*(1+0.00023125256064071564)))</f>
        <v/>
      </c>
      <c r="P3189">
        <f>IF(G3189=1,IF(H3188=0,1,ABS(0.2-J3188*B3189/I3189)+ABS(0.2-K3188*C3189/I3189)+ABS(0.2-L3188*D3189/I3189)+ABS(0.2-M3188*E3189/I3189)+ABS(0.2-N3188*F3189/I3189)),0)</f>
        <v/>
      </c>
      <c r="Q3189">
        <f>P3189*0.0015</f>
        <v/>
      </c>
      <c r="R3189">
        <f>I3189*(1-Q3189)</f>
        <v/>
      </c>
      <c r="S3189">
        <f>R3189/R3188-1</f>
        <v/>
      </c>
      <c r="T3189">
        <f>MAX(T3188,R3189)</f>
        <v/>
      </c>
      <c r="U3189">
        <f>R3189/T3189-1</f>
        <v/>
      </c>
      <c r="V3189" t="n">
        <v>9.739351479721266</v>
      </c>
      <c r="W3189" s="5">
        <f>R3189-V3189</f>
        <v/>
      </c>
    </row>
    <row r="3190">
      <c r="A3190" s="3" t="n">
        <v>43133</v>
      </c>
      <c r="B3190">
        <f>Prices!B3190</f>
        <v/>
      </c>
      <c r="C3190">
        <f>Prices!C3190</f>
        <v/>
      </c>
      <c r="D3190">
        <f>Prices!D3190</f>
        <v/>
      </c>
      <c r="E3190">
        <f>Prices!E3190</f>
        <v/>
      </c>
      <c r="F3190">
        <f>Prices!F3190</f>
        <v/>
      </c>
      <c r="G3190">
        <f>IF(AND(3188&gt;=16,TEXT(A3190,"yyyy-mm")&lt;&gt;TEXT(A3191,"yyyy-mm")),1,0)</f>
        <v/>
      </c>
      <c r="H3190">
        <f>IF(OR(H3189=1,G3190=1),1,0)</f>
        <v/>
      </c>
      <c r="I3190">
        <f>IF(H3189=0,1,SUMPRODUCT(J3189:N3189,B3190:F3190)+O3189*(1+0.00023125256064071564))</f>
        <v/>
      </c>
      <c r="J3190">
        <f>IF(G3190=1,0.2*R3190/B3190,J3189)</f>
        <v/>
      </c>
      <c r="K3190">
        <f>IF(G3190=1,0.2*R3190/C3190,K3189)</f>
        <v/>
      </c>
      <c r="L3190">
        <f>IF(G3190=1,0.2*R3190/D3190,L3189)</f>
        <v/>
      </c>
      <c r="M3190">
        <f>IF(G3190=1,0.2*R3190/E3190,M3189)</f>
        <v/>
      </c>
      <c r="N3190">
        <f>IF(G3190=1,0.2*R3190/F3190,N3189)</f>
        <v/>
      </c>
      <c r="O3190">
        <f>IF(G3190=1,R3190*(1-1.0),IF(H3189=0,1,O3189*(1+0.00023125256064071564)))</f>
        <v/>
      </c>
      <c r="P3190">
        <f>IF(G3190=1,IF(H3189=0,1,ABS(0.2-J3189*B3190/I3190)+ABS(0.2-K3189*C3190/I3190)+ABS(0.2-L3189*D3190/I3190)+ABS(0.2-M3189*E3190/I3190)+ABS(0.2-N3189*F3190/I3190)),0)</f>
        <v/>
      </c>
      <c r="Q3190">
        <f>P3190*0.0015</f>
        <v/>
      </c>
      <c r="R3190">
        <f>I3190*(1-Q3190)</f>
        <v/>
      </c>
      <c r="S3190">
        <f>R3190/R3189-1</f>
        <v/>
      </c>
      <c r="T3190">
        <f>MAX(T3189,R3190)</f>
        <v/>
      </c>
      <c r="U3190">
        <f>R3190/T3190-1</f>
        <v/>
      </c>
      <c r="V3190" t="n">
        <v>9.337645729177408</v>
      </c>
      <c r="W3190" s="5">
        <f>R3190-V3190</f>
        <v/>
      </c>
    </row>
    <row r="3191">
      <c r="A3191" s="3" t="n">
        <v>43136</v>
      </c>
      <c r="B3191">
        <f>Prices!B3191</f>
        <v/>
      </c>
      <c r="C3191">
        <f>Prices!C3191</f>
        <v/>
      </c>
      <c r="D3191">
        <f>Prices!D3191</f>
        <v/>
      </c>
      <c r="E3191">
        <f>Prices!E3191</f>
        <v/>
      </c>
      <c r="F3191">
        <f>Prices!F3191</f>
        <v/>
      </c>
      <c r="G3191">
        <f>IF(AND(3189&gt;=16,TEXT(A3191,"yyyy-mm")&lt;&gt;TEXT(A3192,"yyyy-mm")),1,0)</f>
        <v/>
      </c>
      <c r="H3191">
        <f>IF(OR(H3190=1,G3191=1),1,0)</f>
        <v/>
      </c>
      <c r="I3191">
        <f>IF(H3190=0,1,SUMPRODUCT(J3190:N3190,B3191:F3191)+O3190*(1+0.00023125256064071564))</f>
        <v/>
      </c>
      <c r="J3191">
        <f>IF(G3191=1,0.2*R3191/B3191,J3190)</f>
        <v/>
      </c>
      <c r="K3191">
        <f>IF(G3191=1,0.2*R3191/C3191,K3190)</f>
        <v/>
      </c>
      <c r="L3191">
        <f>IF(G3191=1,0.2*R3191/D3191,L3190)</f>
        <v/>
      </c>
      <c r="M3191">
        <f>IF(G3191=1,0.2*R3191/E3191,M3190)</f>
        <v/>
      </c>
      <c r="N3191">
        <f>IF(G3191=1,0.2*R3191/F3191,N3190)</f>
        <v/>
      </c>
      <c r="O3191">
        <f>IF(G3191=1,R3191*(1-1.0),IF(H3190=0,1,O3190*(1+0.00023125256064071564)))</f>
        <v/>
      </c>
      <c r="P3191">
        <f>IF(G3191=1,IF(H3190=0,1,ABS(0.2-J3190*B3191/I3191)+ABS(0.2-K3190*C3191/I3191)+ABS(0.2-L3190*D3191/I3191)+ABS(0.2-M3190*E3191/I3191)+ABS(0.2-N3190*F3191/I3191)),0)</f>
        <v/>
      </c>
      <c r="Q3191">
        <f>P3191*0.0015</f>
        <v/>
      </c>
      <c r="R3191">
        <f>I3191*(1-Q3191)</f>
        <v/>
      </c>
      <c r="S3191">
        <f>R3191/R3190-1</f>
        <v/>
      </c>
      <c r="T3191">
        <f>MAX(T3190,R3191)</f>
        <v/>
      </c>
      <c r="U3191">
        <f>R3191/T3191-1</f>
        <v/>
      </c>
      <c r="V3191" t="n">
        <v>9.297149847086299</v>
      </c>
      <c r="W3191" s="5">
        <f>R3191-V3191</f>
        <v/>
      </c>
    </row>
    <row r="3192">
      <c r="A3192" s="3" t="n">
        <v>43137</v>
      </c>
      <c r="B3192">
        <f>Prices!B3192</f>
        <v/>
      </c>
      <c r="C3192">
        <f>Prices!C3192</f>
        <v/>
      </c>
      <c r="D3192">
        <f>Prices!D3192</f>
        <v/>
      </c>
      <c r="E3192">
        <f>Prices!E3192</f>
        <v/>
      </c>
      <c r="F3192">
        <f>Prices!F3192</f>
        <v/>
      </c>
      <c r="G3192">
        <f>IF(AND(3190&gt;=16,TEXT(A3192,"yyyy-mm")&lt;&gt;TEXT(A3193,"yyyy-mm")),1,0)</f>
        <v/>
      </c>
      <c r="H3192">
        <f>IF(OR(H3191=1,G3192=1),1,0)</f>
        <v/>
      </c>
      <c r="I3192">
        <f>IF(H3191=0,1,SUMPRODUCT(J3191:N3191,B3192:F3192)+O3191*(1+0.00023125256064071564))</f>
        <v/>
      </c>
      <c r="J3192">
        <f>IF(G3192=1,0.2*R3192/B3192,J3191)</f>
        <v/>
      </c>
      <c r="K3192">
        <f>IF(G3192=1,0.2*R3192/C3192,K3191)</f>
        <v/>
      </c>
      <c r="L3192">
        <f>IF(G3192=1,0.2*R3192/D3192,L3191)</f>
        <v/>
      </c>
      <c r="M3192">
        <f>IF(G3192=1,0.2*R3192/E3192,M3191)</f>
        <v/>
      </c>
      <c r="N3192">
        <f>IF(G3192=1,0.2*R3192/F3192,N3191)</f>
        <v/>
      </c>
      <c r="O3192">
        <f>IF(G3192=1,R3192*(1-1.0),IF(H3191=0,1,O3191*(1+0.00023125256064071564)))</f>
        <v/>
      </c>
      <c r="P3192">
        <f>IF(G3192=1,IF(H3191=0,1,ABS(0.2-J3191*B3192/I3192)+ABS(0.2-K3191*C3192/I3192)+ABS(0.2-L3191*D3192/I3192)+ABS(0.2-M3191*E3192/I3192)+ABS(0.2-N3191*F3192/I3192)),0)</f>
        <v/>
      </c>
      <c r="Q3192">
        <f>P3192*0.0015</f>
        <v/>
      </c>
      <c r="R3192">
        <f>I3192*(1-Q3192)</f>
        <v/>
      </c>
      <c r="S3192">
        <f>R3192/R3191-1</f>
        <v/>
      </c>
      <c r="T3192">
        <f>MAX(T3191,R3192)</f>
        <v/>
      </c>
      <c r="U3192">
        <f>R3192/T3192-1</f>
        <v/>
      </c>
      <c r="V3192" t="n">
        <v>9.104215801389508</v>
      </c>
      <c r="W3192" s="5">
        <f>R3192-V3192</f>
        <v/>
      </c>
    </row>
    <row r="3193">
      <c r="A3193" s="3" t="n">
        <v>43138</v>
      </c>
      <c r="B3193">
        <f>Prices!B3193</f>
        <v/>
      </c>
      <c r="C3193">
        <f>Prices!C3193</f>
        <v/>
      </c>
      <c r="D3193">
        <f>Prices!D3193</f>
        <v/>
      </c>
      <c r="E3193">
        <f>Prices!E3193</f>
        <v/>
      </c>
      <c r="F3193">
        <f>Prices!F3193</f>
        <v/>
      </c>
      <c r="G3193">
        <f>IF(AND(3191&gt;=16,TEXT(A3193,"yyyy-mm")&lt;&gt;TEXT(A3194,"yyyy-mm")),1,0)</f>
        <v/>
      </c>
      <c r="H3193">
        <f>IF(OR(H3192=1,G3193=1),1,0)</f>
        <v/>
      </c>
      <c r="I3193">
        <f>IF(H3192=0,1,SUMPRODUCT(J3192:N3192,B3193:F3193)+O3192*(1+0.00023125256064071564))</f>
        <v/>
      </c>
      <c r="J3193">
        <f>IF(G3193=1,0.2*R3193/B3193,J3192)</f>
        <v/>
      </c>
      <c r="K3193">
        <f>IF(G3193=1,0.2*R3193/C3193,K3192)</f>
        <v/>
      </c>
      <c r="L3193">
        <f>IF(G3193=1,0.2*R3193/D3193,L3192)</f>
        <v/>
      </c>
      <c r="M3193">
        <f>IF(G3193=1,0.2*R3193/E3193,M3192)</f>
        <v/>
      </c>
      <c r="N3193">
        <f>IF(G3193=1,0.2*R3193/F3193,N3192)</f>
        <v/>
      </c>
      <c r="O3193">
        <f>IF(G3193=1,R3193*(1-1.0),IF(H3192=0,1,O3192*(1+0.00023125256064071564)))</f>
        <v/>
      </c>
      <c r="P3193">
        <f>IF(G3193=1,IF(H3192=0,1,ABS(0.2-J3192*B3193/I3193)+ABS(0.2-K3192*C3193/I3193)+ABS(0.2-L3192*D3193/I3193)+ABS(0.2-M3192*E3193/I3193)+ABS(0.2-N3192*F3193/I3193)),0)</f>
        <v/>
      </c>
      <c r="Q3193">
        <f>P3193*0.0015</f>
        <v/>
      </c>
      <c r="R3193">
        <f>I3193*(1-Q3193)</f>
        <v/>
      </c>
      <c r="S3193">
        <f>R3193/R3192-1</f>
        <v/>
      </c>
      <c r="T3193">
        <f>MAX(T3192,R3193)</f>
        <v/>
      </c>
      <c r="U3193">
        <f>R3193/T3193-1</f>
        <v/>
      </c>
      <c r="V3193" t="n">
        <v>9.194172392827188</v>
      </c>
      <c r="W3193" s="5">
        <f>R3193-V3193</f>
        <v/>
      </c>
    </row>
    <row r="3194">
      <c r="A3194" s="3" t="n">
        <v>43139</v>
      </c>
      <c r="B3194">
        <f>Prices!B3194</f>
        <v/>
      </c>
      <c r="C3194">
        <f>Prices!C3194</f>
        <v/>
      </c>
      <c r="D3194">
        <f>Prices!D3194</f>
        <v/>
      </c>
      <c r="E3194">
        <f>Prices!E3194</f>
        <v/>
      </c>
      <c r="F3194">
        <f>Prices!F3194</f>
        <v/>
      </c>
      <c r="G3194">
        <f>IF(AND(3192&gt;=16,TEXT(A3194,"yyyy-mm")&lt;&gt;TEXT(A3195,"yyyy-mm")),1,0)</f>
        <v/>
      </c>
      <c r="H3194">
        <f>IF(OR(H3193=1,G3194=1),1,0)</f>
        <v/>
      </c>
      <c r="I3194">
        <f>IF(H3193=0,1,SUMPRODUCT(J3193:N3193,B3194:F3194)+O3193*(1+0.00023125256064071564))</f>
        <v/>
      </c>
      <c r="J3194">
        <f>IF(G3194=1,0.2*R3194/B3194,J3193)</f>
        <v/>
      </c>
      <c r="K3194">
        <f>IF(G3194=1,0.2*R3194/C3194,K3193)</f>
        <v/>
      </c>
      <c r="L3194">
        <f>IF(G3194=1,0.2*R3194/D3194,L3193)</f>
        <v/>
      </c>
      <c r="M3194">
        <f>IF(G3194=1,0.2*R3194/E3194,M3193)</f>
        <v/>
      </c>
      <c r="N3194">
        <f>IF(G3194=1,0.2*R3194/F3194,N3193)</f>
        <v/>
      </c>
      <c r="O3194">
        <f>IF(G3194=1,R3194*(1-1.0),IF(H3193=0,1,O3193*(1+0.00023125256064071564)))</f>
        <v/>
      </c>
      <c r="P3194">
        <f>IF(G3194=1,IF(H3193=0,1,ABS(0.2-J3193*B3194/I3194)+ABS(0.2-K3193*C3194/I3194)+ABS(0.2-L3193*D3194/I3194)+ABS(0.2-M3193*E3194/I3194)+ABS(0.2-N3193*F3194/I3194)),0)</f>
        <v/>
      </c>
      <c r="Q3194">
        <f>P3194*0.0015</f>
        <v/>
      </c>
      <c r="R3194">
        <f>I3194*(1-Q3194)</f>
        <v/>
      </c>
      <c r="S3194">
        <f>R3194/R3193-1</f>
        <v/>
      </c>
      <c r="T3194">
        <f>MAX(T3193,R3194)</f>
        <v/>
      </c>
      <c r="U3194">
        <f>R3194/T3194-1</f>
        <v/>
      </c>
      <c r="V3194" t="n">
        <v>9.345467736748251</v>
      </c>
      <c r="W3194" s="5">
        <f>R3194-V3194</f>
        <v/>
      </c>
    </row>
    <row r="3195">
      <c r="A3195" s="3" t="n">
        <v>43140</v>
      </c>
      <c r="B3195">
        <f>Prices!B3195</f>
        <v/>
      </c>
      <c r="C3195">
        <f>Prices!C3195</f>
        <v/>
      </c>
      <c r="D3195">
        <f>Prices!D3195</f>
        <v/>
      </c>
      <c r="E3195">
        <f>Prices!E3195</f>
        <v/>
      </c>
      <c r="F3195">
        <f>Prices!F3195</f>
        <v/>
      </c>
      <c r="G3195">
        <f>IF(AND(3193&gt;=16,TEXT(A3195,"yyyy-mm")&lt;&gt;TEXT(A3196,"yyyy-mm")),1,0)</f>
        <v/>
      </c>
      <c r="H3195">
        <f>IF(OR(H3194=1,G3195=1),1,0)</f>
        <v/>
      </c>
      <c r="I3195">
        <f>IF(H3194=0,1,SUMPRODUCT(J3194:N3194,B3195:F3195)+O3194*(1+0.00023125256064071564))</f>
        <v/>
      </c>
      <c r="J3195">
        <f>IF(G3195=1,0.2*R3195/B3195,J3194)</f>
        <v/>
      </c>
      <c r="K3195">
        <f>IF(G3195=1,0.2*R3195/C3195,K3194)</f>
        <v/>
      </c>
      <c r="L3195">
        <f>IF(G3195=1,0.2*R3195/D3195,L3194)</f>
        <v/>
      </c>
      <c r="M3195">
        <f>IF(G3195=1,0.2*R3195/E3195,M3194)</f>
        <v/>
      </c>
      <c r="N3195">
        <f>IF(G3195=1,0.2*R3195/F3195,N3194)</f>
        <v/>
      </c>
      <c r="O3195">
        <f>IF(G3195=1,R3195*(1-1.0),IF(H3194=0,1,O3194*(1+0.00023125256064071564)))</f>
        <v/>
      </c>
      <c r="P3195">
        <f>IF(G3195=1,IF(H3194=0,1,ABS(0.2-J3194*B3195/I3195)+ABS(0.2-K3194*C3195/I3195)+ABS(0.2-L3194*D3195/I3195)+ABS(0.2-M3194*E3195/I3195)+ABS(0.2-N3194*F3195/I3195)),0)</f>
        <v/>
      </c>
      <c r="Q3195">
        <f>P3195*0.0015</f>
        <v/>
      </c>
      <c r="R3195">
        <f>I3195*(1-Q3195)</f>
        <v/>
      </c>
      <c r="S3195">
        <f>R3195/R3194-1</f>
        <v/>
      </c>
      <c r="T3195">
        <f>MAX(T3194,R3195)</f>
        <v/>
      </c>
      <c r="U3195">
        <f>R3195/T3195-1</f>
        <v/>
      </c>
      <c r="V3195" t="n">
        <v>9.337939764028258</v>
      </c>
      <c r="W3195" s="5">
        <f>R3195-V3195</f>
        <v/>
      </c>
    </row>
    <row r="3196">
      <c r="A3196" s="3" t="n">
        <v>43143</v>
      </c>
      <c r="B3196">
        <f>Prices!B3196</f>
        <v/>
      </c>
      <c r="C3196">
        <f>Prices!C3196</f>
        <v/>
      </c>
      <c r="D3196">
        <f>Prices!D3196</f>
        <v/>
      </c>
      <c r="E3196">
        <f>Prices!E3196</f>
        <v/>
      </c>
      <c r="F3196">
        <f>Prices!F3196</f>
        <v/>
      </c>
      <c r="G3196">
        <f>IF(AND(3194&gt;=16,TEXT(A3196,"yyyy-mm")&lt;&gt;TEXT(A3197,"yyyy-mm")),1,0)</f>
        <v/>
      </c>
      <c r="H3196">
        <f>IF(OR(H3195=1,G3196=1),1,0)</f>
        <v/>
      </c>
      <c r="I3196">
        <f>IF(H3195=0,1,SUMPRODUCT(J3195:N3195,B3196:F3196)+O3195*(1+0.00023125256064071564))</f>
        <v/>
      </c>
      <c r="J3196">
        <f>IF(G3196=1,0.2*R3196/B3196,J3195)</f>
        <v/>
      </c>
      <c r="K3196">
        <f>IF(G3196=1,0.2*R3196/C3196,K3195)</f>
        <v/>
      </c>
      <c r="L3196">
        <f>IF(G3196=1,0.2*R3196/D3196,L3195)</f>
        <v/>
      </c>
      <c r="M3196">
        <f>IF(G3196=1,0.2*R3196/E3196,M3195)</f>
        <v/>
      </c>
      <c r="N3196">
        <f>IF(G3196=1,0.2*R3196/F3196,N3195)</f>
        <v/>
      </c>
      <c r="O3196">
        <f>IF(G3196=1,R3196*(1-1.0),IF(H3195=0,1,O3195*(1+0.00023125256064071564)))</f>
        <v/>
      </c>
      <c r="P3196">
        <f>IF(G3196=1,IF(H3195=0,1,ABS(0.2-J3195*B3196/I3196)+ABS(0.2-K3195*C3196/I3196)+ABS(0.2-L3195*D3196/I3196)+ABS(0.2-M3195*E3196/I3196)+ABS(0.2-N3195*F3196/I3196)),0)</f>
        <v/>
      </c>
      <c r="Q3196">
        <f>P3196*0.0015</f>
        <v/>
      </c>
      <c r="R3196">
        <f>I3196*(1-Q3196)</f>
        <v/>
      </c>
      <c r="S3196">
        <f>R3196/R3195-1</f>
        <v/>
      </c>
      <c r="T3196">
        <f>MAX(T3195,R3196)</f>
        <v/>
      </c>
      <c r="U3196">
        <f>R3196/T3196-1</f>
        <v/>
      </c>
      <c r="V3196" t="n">
        <v>9.491697724532958</v>
      </c>
      <c r="W3196" s="5">
        <f>R3196-V3196</f>
        <v/>
      </c>
    </row>
    <row r="3197">
      <c r="A3197" s="3" t="n">
        <v>43145</v>
      </c>
      <c r="B3197">
        <f>Prices!B3197</f>
        <v/>
      </c>
      <c r="C3197">
        <f>Prices!C3197</f>
        <v/>
      </c>
      <c r="D3197">
        <f>Prices!D3197</f>
        <v/>
      </c>
      <c r="E3197">
        <f>Prices!E3197</f>
        <v/>
      </c>
      <c r="F3197">
        <f>Prices!F3197</f>
        <v/>
      </c>
      <c r="G3197">
        <f>IF(AND(3195&gt;=16,TEXT(A3197,"yyyy-mm")&lt;&gt;TEXT(A3198,"yyyy-mm")),1,0)</f>
        <v/>
      </c>
      <c r="H3197">
        <f>IF(OR(H3196=1,G3197=1),1,0)</f>
        <v/>
      </c>
      <c r="I3197">
        <f>IF(H3196=0,1,SUMPRODUCT(J3196:N3196,B3197:F3197)+O3196*(1+0.00023125256064071564))</f>
        <v/>
      </c>
      <c r="J3197">
        <f>IF(G3197=1,0.2*R3197/B3197,J3196)</f>
        <v/>
      </c>
      <c r="K3197">
        <f>IF(G3197=1,0.2*R3197/C3197,K3196)</f>
        <v/>
      </c>
      <c r="L3197">
        <f>IF(G3197=1,0.2*R3197/D3197,L3196)</f>
        <v/>
      </c>
      <c r="M3197">
        <f>IF(G3197=1,0.2*R3197/E3197,M3196)</f>
        <v/>
      </c>
      <c r="N3197">
        <f>IF(G3197=1,0.2*R3197/F3197,N3196)</f>
        <v/>
      </c>
      <c r="O3197">
        <f>IF(G3197=1,R3197*(1-1.0),IF(H3196=0,1,O3196*(1+0.00023125256064071564)))</f>
        <v/>
      </c>
      <c r="P3197">
        <f>IF(G3197=1,IF(H3196=0,1,ABS(0.2-J3196*B3197/I3197)+ABS(0.2-K3196*C3197/I3197)+ABS(0.2-L3196*D3197/I3197)+ABS(0.2-M3196*E3197/I3197)+ABS(0.2-N3196*F3197/I3197)),0)</f>
        <v/>
      </c>
      <c r="Q3197">
        <f>P3197*0.0015</f>
        <v/>
      </c>
      <c r="R3197">
        <f>I3197*(1-Q3197)</f>
        <v/>
      </c>
      <c r="S3197">
        <f>R3197/R3196-1</f>
        <v/>
      </c>
      <c r="T3197">
        <f>MAX(T3196,R3197)</f>
        <v/>
      </c>
      <c r="U3197">
        <f>R3197/T3197-1</f>
        <v/>
      </c>
      <c r="V3197" t="n">
        <v>9.499931499568177</v>
      </c>
      <c r="W3197" s="5">
        <f>R3197-V3197</f>
        <v/>
      </c>
    </row>
    <row r="3198">
      <c r="A3198" s="3" t="n">
        <v>43146</v>
      </c>
      <c r="B3198">
        <f>Prices!B3198</f>
        <v/>
      </c>
      <c r="C3198">
        <f>Prices!C3198</f>
        <v/>
      </c>
      <c r="D3198">
        <f>Prices!D3198</f>
        <v/>
      </c>
      <c r="E3198">
        <f>Prices!E3198</f>
        <v/>
      </c>
      <c r="F3198">
        <f>Prices!F3198</f>
        <v/>
      </c>
      <c r="G3198">
        <f>IF(AND(3196&gt;=16,TEXT(A3198,"yyyy-mm")&lt;&gt;TEXT(A3199,"yyyy-mm")),1,0)</f>
        <v/>
      </c>
      <c r="H3198">
        <f>IF(OR(H3197=1,G3198=1),1,0)</f>
        <v/>
      </c>
      <c r="I3198">
        <f>IF(H3197=0,1,SUMPRODUCT(J3197:N3197,B3198:F3198)+O3197*(1+0.00023125256064071564))</f>
        <v/>
      </c>
      <c r="J3198">
        <f>IF(G3198=1,0.2*R3198/B3198,J3197)</f>
        <v/>
      </c>
      <c r="K3198">
        <f>IF(G3198=1,0.2*R3198/C3198,K3197)</f>
        <v/>
      </c>
      <c r="L3198">
        <f>IF(G3198=1,0.2*R3198/D3198,L3197)</f>
        <v/>
      </c>
      <c r="M3198">
        <f>IF(G3198=1,0.2*R3198/E3198,M3197)</f>
        <v/>
      </c>
      <c r="N3198">
        <f>IF(G3198=1,0.2*R3198/F3198,N3197)</f>
        <v/>
      </c>
      <c r="O3198">
        <f>IF(G3198=1,R3198*(1-1.0),IF(H3197=0,1,O3197*(1+0.00023125256064071564)))</f>
        <v/>
      </c>
      <c r="P3198">
        <f>IF(G3198=1,IF(H3197=0,1,ABS(0.2-J3197*B3198/I3198)+ABS(0.2-K3197*C3198/I3198)+ABS(0.2-L3197*D3198/I3198)+ABS(0.2-M3197*E3198/I3198)+ABS(0.2-N3197*F3198/I3198)),0)</f>
        <v/>
      </c>
      <c r="Q3198">
        <f>P3198*0.0015</f>
        <v/>
      </c>
      <c r="R3198">
        <f>I3198*(1-Q3198)</f>
        <v/>
      </c>
      <c r="S3198">
        <f>R3198/R3197-1</f>
        <v/>
      </c>
      <c r="T3198">
        <f>MAX(T3197,R3198)</f>
        <v/>
      </c>
      <c r="U3198">
        <f>R3198/T3198-1</f>
        <v/>
      </c>
      <c r="V3198" t="n">
        <v>9.461056620933018</v>
      </c>
      <c r="W3198" s="5">
        <f>R3198-V3198</f>
        <v/>
      </c>
    </row>
    <row r="3199">
      <c r="A3199" s="3" t="n">
        <v>43147</v>
      </c>
      <c r="B3199">
        <f>Prices!B3199</f>
        <v/>
      </c>
      <c r="C3199">
        <f>Prices!C3199</f>
        <v/>
      </c>
      <c r="D3199">
        <f>Prices!D3199</f>
        <v/>
      </c>
      <c r="E3199">
        <f>Prices!E3199</f>
        <v/>
      </c>
      <c r="F3199">
        <f>Prices!F3199</f>
        <v/>
      </c>
      <c r="G3199">
        <f>IF(AND(3197&gt;=16,TEXT(A3199,"yyyy-mm")&lt;&gt;TEXT(A3200,"yyyy-mm")),1,0)</f>
        <v/>
      </c>
      <c r="H3199">
        <f>IF(OR(H3198=1,G3199=1),1,0)</f>
        <v/>
      </c>
      <c r="I3199">
        <f>IF(H3198=0,1,SUMPRODUCT(J3198:N3198,B3199:F3199)+O3198*(1+0.00023125256064071564))</f>
        <v/>
      </c>
      <c r="J3199">
        <f>IF(G3199=1,0.2*R3199/B3199,J3198)</f>
        <v/>
      </c>
      <c r="K3199">
        <f>IF(G3199=1,0.2*R3199/C3199,K3198)</f>
        <v/>
      </c>
      <c r="L3199">
        <f>IF(G3199=1,0.2*R3199/D3199,L3198)</f>
        <v/>
      </c>
      <c r="M3199">
        <f>IF(G3199=1,0.2*R3199/E3199,M3198)</f>
        <v/>
      </c>
      <c r="N3199">
        <f>IF(G3199=1,0.2*R3199/F3199,N3198)</f>
        <v/>
      </c>
      <c r="O3199">
        <f>IF(G3199=1,R3199*(1-1.0),IF(H3198=0,1,O3198*(1+0.00023125256064071564)))</f>
        <v/>
      </c>
      <c r="P3199">
        <f>IF(G3199=1,IF(H3198=0,1,ABS(0.2-J3198*B3199/I3199)+ABS(0.2-K3198*C3199/I3199)+ABS(0.2-L3198*D3199/I3199)+ABS(0.2-M3198*E3199/I3199)+ABS(0.2-N3198*F3199/I3199)),0)</f>
        <v/>
      </c>
      <c r="Q3199">
        <f>P3199*0.0015</f>
        <v/>
      </c>
      <c r="R3199">
        <f>I3199*(1-Q3199)</f>
        <v/>
      </c>
      <c r="S3199">
        <f>R3199/R3198-1</f>
        <v/>
      </c>
      <c r="T3199">
        <f>MAX(T3198,R3199)</f>
        <v/>
      </c>
      <c r="U3199">
        <f>R3199/T3199-1</f>
        <v/>
      </c>
      <c r="V3199" t="n">
        <v>9.368437044727292</v>
      </c>
      <c r="W3199" s="5">
        <f>R3199-V3199</f>
        <v/>
      </c>
    </row>
    <row r="3200">
      <c r="A3200" s="3" t="n">
        <v>43150</v>
      </c>
      <c r="B3200">
        <f>Prices!B3200</f>
        <v/>
      </c>
      <c r="C3200">
        <f>Prices!C3200</f>
        <v/>
      </c>
      <c r="D3200">
        <f>Prices!D3200</f>
        <v/>
      </c>
      <c r="E3200">
        <f>Prices!E3200</f>
        <v/>
      </c>
      <c r="F3200">
        <f>Prices!F3200</f>
        <v/>
      </c>
      <c r="G3200">
        <f>IF(AND(3198&gt;=16,TEXT(A3200,"yyyy-mm")&lt;&gt;TEXT(A3201,"yyyy-mm")),1,0)</f>
        <v/>
      </c>
      <c r="H3200">
        <f>IF(OR(H3199=1,G3200=1),1,0)</f>
        <v/>
      </c>
      <c r="I3200">
        <f>IF(H3199=0,1,SUMPRODUCT(J3199:N3199,B3200:F3200)+O3199*(1+0.00023125256064071564))</f>
        <v/>
      </c>
      <c r="J3200">
        <f>IF(G3200=1,0.2*R3200/B3200,J3199)</f>
        <v/>
      </c>
      <c r="K3200">
        <f>IF(G3200=1,0.2*R3200/C3200,K3199)</f>
        <v/>
      </c>
      <c r="L3200">
        <f>IF(G3200=1,0.2*R3200/D3200,L3199)</f>
        <v/>
      </c>
      <c r="M3200">
        <f>IF(G3200=1,0.2*R3200/E3200,M3199)</f>
        <v/>
      </c>
      <c r="N3200">
        <f>IF(G3200=1,0.2*R3200/F3200,N3199)</f>
        <v/>
      </c>
      <c r="O3200">
        <f>IF(G3200=1,R3200*(1-1.0),IF(H3199=0,1,O3199*(1+0.00023125256064071564)))</f>
        <v/>
      </c>
      <c r="P3200">
        <f>IF(G3200=1,IF(H3199=0,1,ABS(0.2-J3199*B3200/I3200)+ABS(0.2-K3199*C3200/I3200)+ABS(0.2-L3199*D3200/I3200)+ABS(0.2-M3199*E3200/I3200)+ABS(0.2-N3199*F3200/I3200)),0)</f>
        <v/>
      </c>
      <c r="Q3200">
        <f>P3200*0.0015</f>
        <v/>
      </c>
      <c r="R3200">
        <f>I3200*(1-Q3200)</f>
        <v/>
      </c>
      <c r="S3200">
        <f>R3200/R3199-1</f>
        <v/>
      </c>
      <c r="T3200">
        <f>MAX(T3199,R3200)</f>
        <v/>
      </c>
      <c r="U3200">
        <f>R3200/T3200-1</f>
        <v/>
      </c>
      <c r="V3200" t="n">
        <v>9.266270699875424</v>
      </c>
      <c r="W3200" s="5">
        <f>R3200-V3200</f>
        <v/>
      </c>
    </row>
    <row r="3201">
      <c r="A3201" s="3" t="n">
        <v>43151</v>
      </c>
      <c r="B3201">
        <f>Prices!B3201</f>
        <v/>
      </c>
      <c r="C3201">
        <f>Prices!C3201</f>
        <v/>
      </c>
      <c r="D3201">
        <f>Prices!D3201</f>
        <v/>
      </c>
      <c r="E3201">
        <f>Prices!E3201</f>
        <v/>
      </c>
      <c r="F3201">
        <f>Prices!F3201</f>
        <v/>
      </c>
      <c r="G3201">
        <f>IF(AND(3199&gt;=16,TEXT(A3201,"yyyy-mm")&lt;&gt;TEXT(A3202,"yyyy-mm")),1,0)</f>
        <v/>
      </c>
      <c r="H3201">
        <f>IF(OR(H3200=1,G3201=1),1,0)</f>
        <v/>
      </c>
      <c r="I3201">
        <f>IF(H3200=0,1,SUMPRODUCT(J3200:N3200,B3201:F3201)+O3200*(1+0.00023125256064071564))</f>
        <v/>
      </c>
      <c r="J3201">
        <f>IF(G3201=1,0.2*R3201/B3201,J3200)</f>
        <v/>
      </c>
      <c r="K3201">
        <f>IF(G3201=1,0.2*R3201/C3201,K3200)</f>
        <v/>
      </c>
      <c r="L3201">
        <f>IF(G3201=1,0.2*R3201/D3201,L3200)</f>
        <v/>
      </c>
      <c r="M3201">
        <f>IF(G3201=1,0.2*R3201/E3201,M3200)</f>
        <v/>
      </c>
      <c r="N3201">
        <f>IF(G3201=1,0.2*R3201/F3201,N3200)</f>
        <v/>
      </c>
      <c r="O3201">
        <f>IF(G3201=1,R3201*(1-1.0),IF(H3200=0,1,O3200*(1+0.00023125256064071564)))</f>
        <v/>
      </c>
      <c r="P3201">
        <f>IF(G3201=1,IF(H3200=0,1,ABS(0.2-J3200*B3201/I3201)+ABS(0.2-K3200*C3201/I3201)+ABS(0.2-L3200*D3201/I3201)+ABS(0.2-M3200*E3201/I3201)+ABS(0.2-N3200*F3201/I3201)),0)</f>
        <v/>
      </c>
      <c r="Q3201">
        <f>P3201*0.0015</f>
        <v/>
      </c>
      <c r="R3201">
        <f>I3201*(1-Q3201)</f>
        <v/>
      </c>
      <c r="S3201">
        <f>R3201/R3200-1</f>
        <v/>
      </c>
      <c r="T3201">
        <f>MAX(T3200,R3201)</f>
        <v/>
      </c>
      <c r="U3201">
        <f>R3201/T3201-1</f>
        <v/>
      </c>
      <c r="V3201" t="n">
        <v>9.271141102901982</v>
      </c>
      <c r="W3201" s="5">
        <f>R3201-V3201</f>
        <v/>
      </c>
    </row>
    <row r="3202">
      <c r="A3202" s="3" t="n">
        <v>43152</v>
      </c>
      <c r="B3202">
        <f>Prices!B3202</f>
        <v/>
      </c>
      <c r="C3202">
        <f>Prices!C3202</f>
        <v/>
      </c>
      <c r="D3202">
        <f>Prices!D3202</f>
        <v/>
      </c>
      <c r="E3202">
        <f>Prices!E3202</f>
        <v/>
      </c>
      <c r="F3202">
        <f>Prices!F3202</f>
        <v/>
      </c>
      <c r="G3202">
        <f>IF(AND(3200&gt;=16,TEXT(A3202,"yyyy-mm")&lt;&gt;TEXT(A3203,"yyyy-mm")),1,0)</f>
        <v/>
      </c>
      <c r="H3202">
        <f>IF(OR(H3201=1,G3202=1),1,0)</f>
        <v/>
      </c>
      <c r="I3202">
        <f>IF(H3201=0,1,SUMPRODUCT(J3201:N3201,B3202:F3202)+O3201*(1+0.00023125256064071564))</f>
        <v/>
      </c>
      <c r="J3202">
        <f>IF(G3202=1,0.2*R3202/B3202,J3201)</f>
        <v/>
      </c>
      <c r="K3202">
        <f>IF(G3202=1,0.2*R3202/C3202,K3201)</f>
        <v/>
      </c>
      <c r="L3202">
        <f>IF(G3202=1,0.2*R3202/D3202,L3201)</f>
        <v/>
      </c>
      <c r="M3202">
        <f>IF(G3202=1,0.2*R3202/E3202,M3201)</f>
        <v/>
      </c>
      <c r="N3202">
        <f>IF(G3202=1,0.2*R3202/F3202,N3201)</f>
        <v/>
      </c>
      <c r="O3202">
        <f>IF(G3202=1,R3202*(1-1.0),IF(H3201=0,1,O3201*(1+0.00023125256064071564)))</f>
        <v/>
      </c>
      <c r="P3202">
        <f>IF(G3202=1,IF(H3201=0,1,ABS(0.2-J3201*B3202/I3202)+ABS(0.2-K3201*C3202/I3202)+ABS(0.2-L3201*D3202/I3202)+ABS(0.2-M3201*E3202/I3202)+ABS(0.2-N3201*F3202/I3202)),0)</f>
        <v/>
      </c>
      <c r="Q3202">
        <f>P3202*0.0015</f>
        <v/>
      </c>
      <c r="R3202">
        <f>I3202*(1-Q3202)</f>
        <v/>
      </c>
      <c r="S3202">
        <f>R3202/R3201-1</f>
        <v/>
      </c>
      <c r="T3202">
        <f>MAX(T3201,R3202)</f>
        <v/>
      </c>
      <c r="U3202">
        <f>R3202/T3202-1</f>
        <v/>
      </c>
      <c r="V3202" t="n">
        <v>9.300548399722917</v>
      </c>
      <c r="W3202" s="5">
        <f>R3202-V3202</f>
        <v/>
      </c>
    </row>
    <row r="3203">
      <c r="A3203" s="3" t="n">
        <v>43153</v>
      </c>
      <c r="B3203">
        <f>Prices!B3203</f>
        <v/>
      </c>
      <c r="C3203">
        <f>Prices!C3203</f>
        <v/>
      </c>
      <c r="D3203">
        <f>Prices!D3203</f>
        <v/>
      </c>
      <c r="E3203">
        <f>Prices!E3203</f>
        <v/>
      </c>
      <c r="F3203">
        <f>Prices!F3203</f>
        <v/>
      </c>
      <c r="G3203">
        <f>IF(AND(3201&gt;=16,TEXT(A3203,"yyyy-mm")&lt;&gt;TEXT(A3204,"yyyy-mm")),1,0)</f>
        <v/>
      </c>
      <c r="H3203">
        <f>IF(OR(H3202=1,G3203=1),1,0)</f>
        <v/>
      </c>
      <c r="I3203">
        <f>IF(H3202=0,1,SUMPRODUCT(J3202:N3202,B3203:F3203)+O3202*(1+0.00023125256064071564))</f>
        <v/>
      </c>
      <c r="J3203">
        <f>IF(G3203=1,0.2*R3203/B3203,J3202)</f>
        <v/>
      </c>
      <c r="K3203">
        <f>IF(G3203=1,0.2*R3203/C3203,K3202)</f>
        <v/>
      </c>
      <c r="L3203">
        <f>IF(G3203=1,0.2*R3203/D3203,L3202)</f>
        <v/>
      </c>
      <c r="M3203">
        <f>IF(G3203=1,0.2*R3203/E3203,M3202)</f>
        <v/>
      </c>
      <c r="N3203">
        <f>IF(G3203=1,0.2*R3203/F3203,N3202)</f>
        <v/>
      </c>
      <c r="O3203">
        <f>IF(G3203=1,R3203*(1-1.0),IF(H3202=0,1,O3202*(1+0.00023125256064071564)))</f>
        <v/>
      </c>
      <c r="P3203">
        <f>IF(G3203=1,IF(H3202=0,1,ABS(0.2-J3202*B3203/I3203)+ABS(0.2-K3202*C3203/I3203)+ABS(0.2-L3202*D3203/I3203)+ABS(0.2-M3202*E3203/I3203)+ABS(0.2-N3202*F3203/I3203)),0)</f>
        <v/>
      </c>
      <c r="Q3203">
        <f>P3203*0.0015</f>
        <v/>
      </c>
      <c r="R3203">
        <f>I3203*(1-Q3203)</f>
        <v/>
      </c>
      <c r="S3203">
        <f>R3203/R3202-1</f>
        <v/>
      </c>
      <c r="T3203">
        <f>MAX(T3202,R3203)</f>
        <v/>
      </c>
      <c r="U3203">
        <f>R3203/T3203-1</f>
        <v/>
      </c>
      <c r="V3203" t="n">
        <v>9.240750649668184</v>
      </c>
      <c r="W3203" s="5">
        <f>R3203-V3203</f>
        <v/>
      </c>
    </row>
    <row r="3204">
      <c r="A3204" s="3" t="n">
        <v>43154</v>
      </c>
      <c r="B3204">
        <f>Prices!B3204</f>
        <v/>
      </c>
      <c r="C3204">
        <f>Prices!C3204</f>
        <v/>
      </c>
      <c r="D3204">
        <f>Prices!D3204</f>
        <v/>
      </c>
      <c r="E3204">
        <f>Prices!E3204</f>
        <v/>
      </c>
      <c r="F3204">
        <f>Prices!F3204</f>
        <v/>
      </c>
      <c r="G3204">
        <f>IF(AND(3202&gt;=16,TEXT(A3204,"yyyy-mm")&lt;&gt;TEXT(A3205,"yyyy-mm")),1,0)</f>
        <v/>
      </c>
      <c r="H3204">
        <f>IF(OR(H3203=1,G3204=1),1,0)</f>
        <v/>
      </c>
      <c r="I3204">
        <f>IF(H3203=0,1,SUMPRODUCT(J3203:N3203,B3204:F3204)+O3203*(1+0.00023125256064071564))</f>
        <v/>
      </c>
      <c r="J3204">
        <f>IF(G3204=1,0.2*R3204/B3204,J3203)</f>
        <v/>
      </c>
      <c r="K3204">
        <f>IF(G3204=1,0.2*R3204/C3204,K3203)</f>
        <v/>
      </c>
      <c r="L3204">
        <f>IF(G3204=1,0.2*R3204/D3204,L3203)</f>
        <v/>
      </c>
      <c r="M3204">
        <f>IF(G3204=1,0.2*R3204/E3204,M3203)</f>
        <v/>
      </c>
      <c r="N3204">
        <f>IF(G3204=1,0.2*R3204/F3204,N3203)</f>
        <v/>
      </c>
      <c r="O3204">
        <f>IF(G3204=1,R3204*(1-1.0),IF(H3203=0,1,O3203*(1+0.00023125256064071564)))</f>
        <v/>
      </c>
      <c r="P3204">
        <f>IF(G3204=1,IF(H3203=0,1,ABS(0.2-J3203*B3204/I3204)+ABS(0.2-K3203*C3204/I3204)+ABS(0.2-L3203*D3204/I3204)+ABS(0.2-M3203*E3204/I3204)+ABS(0.2-N3203*F3204/I3204)),0)</f>
        <v/>
      </c>
      <c r="Q3204">
        <f>P3204*0.0015</f>
        <v/>
      </c>
      <c r="R3204">
        <f>I3204*(1-Q3204)</f>
        <v/>
      </c>
      <c r="S3204">
        <f>R3204/R3203-1</f>
        <v/>
      </c>
      <c r="T3204">
        <f>MAX(T3203,R3204)</f>
        <v/>
      </c>
      <c r="U3204">
        <f>R3204/T3204-1</f>
        <v/>
      </c>
      <c r="V3204" t="n">
        <v>9.377982057664795</v>
      </c>
      <c r="W3204" s="5">
        <f>R3204-V3204</f>
        <v/>
      </c>
    </row>
    <row r="3205">
      <c r="A3205" s="3" t="n">
        <v>43157</v>
      </c>
      <c r="B3205">
        <f>Prices!B3205</f>
        <v/>
      </c>
      <c r="C3205">
        <f>Prices!C3205</f>
        <v/>
      </c>
      <c r="D3205">
        <f>Prices!D3205</f>
        <v/>
      </c>
      <c r="E3205">
        <f>Prices!E3205</f>
        <v/>
      </c>
      <c r="F3205">
        <f>Prices!F3205</f>
        <v/>
      </c>
      <c r="G3205">
        <f>IF(AND(3203&gt;=16,TEXT(A3205,"yyyy-mm")&lt;&gt;TEXT(A3206,"yyyy-mm")),1,0)</f>
        <v/>
      </c>
      <c r="H3205">
        <f>IF(OR(H3204=1,G3205=1),1,0)</f>
        <v/>
      </c>
      <c r="I3205">
        <f>IF(H3204=0,1,SUMPRODUCT(J3204:N3204,B3205:F3205)+O3204*(1+0.00023125256064071564))</f>
        <v/>
      </c>
      <c r="J3205">
        <f>IF(G3205=1,0.2*R3205/B3205,J3204)</f>
        <v/>
      </c>
      <c r="K3205">
        <f>IF(G3205=1,0.2*R3205/C3205,K3204)</f>
        <v/>
      </c>
      <c r="L3205">
        <f>IF(G3205=1,0.2*R3205/D3205,L3204)</f>
        <v/>
      </c>
      <c r="M3205">
        <f>IF(G3205=1,0.2*R3205/E3205,M3204)</f>
        <v/>
      </c>
      <c r="N3205">
        <f>IF(G3205=1,0.2*R3205/F3205,N3204)</f>
        <v/>
      </c>
      <c r="O3205">
        <f>IF(G3205=1,R3205*(1-1.0),IF(H3204=0,1,O3204*(1+0.00023125256064071564)))</f>
        <v/>
      </c>
      <c r="P3205">
        <f>IF(G3205=1,IF(H3204=0,1,ABS(0.2-J3204*B3205/I3205)+ABS(0.2-K3204*C3205/I3205)+ABS(0.2-L3204*D3205/I3205)+ABS(0.2-M3204*E3205/I3205)+ABS(0.2-N3204*F3205/I3205)),0)</f>
        <v/>
      </c>
      <c r="Q3205">
        <f>P3205*0.0015</f>
        <v/>
      </c>
      <c r="R3205">
        <f>I3205*(1-Q3205)</f>
        <v/>
      </c>
      <c r="S3205">
        <f>R3205/R3204-1</f>
        <v/>
      </c>
      <c r="T3205">
        <f>MAX(T3204,R3205)</f>
        <v/>
      </c>
      <c r="U3205">
        <f>R3205/T3205-1</f>
        <v/>
      </c>
      <c r="V3205" t="n">
        <v>9.439307564388503</v>
      </c>
      <c r="W3205" s="5">
        <f>R3205-V3205</f>
        <v/>
      </c>
    </row>
    <row r="3206">
      <c r="A3206" s="3" t="n">
        <v>43158</v>
      </c>
      <c r="B3206">
        <f>Prices!B3206</f>
        <v/>
      </c>
      <c r="C3206">
        <f>Prices!C3206</f>
        <v/>
      </c>
      <c r="D3206">
        <f>Prices!D3206</f>
        <v/>
      </c>
      <c r="E3206">
        <f>Prices!E3206</f>
        <v/>
      </c>
      <c r="F3206">
        <f>Prices!F3206</f>
        <v/>
      </c>
      <c r="G3206">
        <f>IF(AND(3204&gt;=16,TEXT(A3206,"yyyy-mm")&lt;&gt;TEXT(A3207,"yyyy-mm")),1,0)</f>
        <v/>
      </c>
      <c r="H3206">
        <f>IF(OR(H3205=1,G3206=1),1,0)</f>
        <v/>
      </c>
      <c r="I3206">
        <f>IF(H3205=0,1,SUMPRODUCT(J3205:N3205,B3206:F3206)+O3205*(1+0.00023125256064071564))</f>
        <v/>
      </c>
      <c r="J3206">
        <f>IF(G3206=1,0.2*R3206/B3206,J3205)</f>
        <v/>
      </c>
      <c r="K3206">
        <f>IF(G3206=1,0.2*R3206/C3206,K3205)</f>
        <v/>
      </c>
      <c r="L3206">
        <f>IF(G3206=1,0.2*R3206/D3206,L3205)</f>
        <v/>
      </c>
      <c r="M3206">
        <f>IF(G3206=1,0.2*R3206/E3206,M3205)</f>
        <v/>
      </c>
      <c r="N3206">
        <f>IF(G3206=1,0.2*R3206/F3206,N3205)</f>
        <v/>
      </c>
      <c r="O3206">
        <f>IF(G3206=1,R3206*(1-1.0),IF(H3205=0,1,O3205*(1+0.00023125256064071564)))</f>
        <v/>
      </c>
      <c r="P3206">
        <f>IF(G3206=1,IF(H3205=0,1,ABS(0.2-J3205*B3206/I3206)+ABS(0.2-K3205*C3206/I3206)+ABS(0.2-L3205*D3206/I3206)+ABS(0.2-M3205*E3206/I3206)+ABS(0.2-N3205*F3206/I3206)),0)</f>
        <v/>
      </c>
      <c r="Q3206">
        <f>P3206*0.0015</f>
        <v/>
      </c>
      <c r="R3206">
        <f>I3206*(1-Q3206)</f>
        <v/>
      </c>
      <c r="S3206">
        <f>R3206/R3205-1</f>
        <v/>
      </c>
      <c r="T3206">
        <f>MAX(T3205,R3206)</f>
        <v/>
      </c>
      <c r="U3206">
        <f>R3206/T3206-1</f>
        <v/>
      </c>
      <c r="V3206" t="n">
        <v>9.389081730073439</v>
      </c>
      <c r="W3206" s="5">
        <f>R3206-V3206</f>
        <v/>
      </c>
    </row>
    <row r="3207">
      <c r="A3207" s="3" t="n">
        <v>43159</v>
      </c>
      <c r="B3207">
        <f>Prices!B3207</f>
        <v/>
      </c>
      <c r="C3207">
        <f>Prices!C3207</f>
        <v/>
      </c>
      <c r="D3207">
        <f>Prices!D3207</f>
        <v/>
      </c>
      <c r="E3207">
        <f>Prices!E3207</f>
        <v/>
      </c>
      <c r="F3207">
        <f>Prices!F3207</f>
        <v/>
      </c>
      <c r="G3207">
        <f>IF(AND(3205&gt;=16,TEXT(A3207,"yyyy-mm")&lt;&gt;TEXT(A3208,"yyyy-mm")),1,0)</f>
        <v/>
      </c>
      <c r="H3207">
        <f>IF(OR(H3206=1,G3207=1),1,0)</f>
        <v/>
      </c>
      <c r="I3207">
        <f>IF(H3206=0,1,SUMPRODUCT(J3206:N3206,B3207:F3207)+O3206*(1+0.00023125256064071564))</f>
        <v/>
      </c>
      <c r="J3207">
        <f>IF(G3207=1,0.2*R3207/B3207,J3206)</f>
        <v/>
      </c>
      <c r="K3207">
        <f>IF(G3207=1,0.2*R3207/C3207,K3206)</f>
        <v/>
      </c>
      <c r="L3207">
        <f>IF(G3207=1,0.2*R3207/D3207,L3206)</f>
        <v/>
      </c>
      <c r="M3207">
        <f>IF(G3207=1,0.2*R3207/E3207,M3206)</f>
        <v/>
      </c>
      <c r="N3207">
        <f>IF(G3207=1,0.2*R3207/F3207,N3206)</f>
        <v/>
      </c>
      <c r="O3207">
        <f>IF(G3207=1,R3207*(1-1.0),IF(H3206=0,1,O3206*(1+0.00023125256064071564)))</f>
        <v/>
      </c>
      <c r="P3207">
        <f>IF(G3207=1,IF(H3206=0,1,ABS(0.2-J3206*B3207/I3207)+ABS(0.2-K3206*C3207/I3207)+ABS(0.2-L3206*D3207/I3207)+ABS(0.2-M3206*E3207/I3207)+ABS(0.2-N3206*F3207/I3207)),0)</f>
        <v/>
      </c>
      <c r="Q3207">
        <f>P3207*0.0015</f>
        <v/>
      </c>
      <c r="R3207">
        <f>I3207*(1-Q3207)</f>
        <v/>
      </c>
      <c r="S3207">
        <f>R3207/R3206-1</f>
        <v/>
      </c>
      <c r="T3207">
        <f>MAX(T3206,R3207)</f>
        <v/>
      </c>
      <c r="U3207">
        <f>R3207/T3207-1</f>
        <v/>
      </c>
      <c r="V3207" t="n">
        <v>9.351174054423209</v>
      </c>
      <c r="W3207" s="5">
        <f>R3207-V3207</f>
        <v/>
      </c>
    </row>
    <row r="3208">
      <c r="A3208" s="3" t="n">
        <v>43160</v>
      </c>
      <c r="B3208">
        <f>Prices!B3208</f>
        <v/>
      </c>
      <c r="C3208">
        <f>Prices!C3208</f>
        <v/>
      </c>
      <c r="D3208">
        <f>Prices!D3208</f>
        <v/>
      </c>
      <c r="E3208">
        <f>Prices!E3208</f>
        <v/>
      </c>
      <c r="F3208">
        <f>Prices!F3208</f>
        <v/>
      </c>
      <c r="G3208">
        <f>IF(AND(3206&gt;=16,TEXT(A3208,"yyyy-mm")&lt;&gt;TEXT(A3209,"yyyy-mm")),1,0)</f>
        <v/>
      </c>
      <c r="H3208">
        <f>IF(OR(H3207=1,G3208=1),1,0)</f>
        <v/>
      </c>
      <c r="I3208">
        <f>IF(H3207=0,1,SUMPRODUCT(J3207:N3207,B3208:F3208)+O3207*(1+0.00023125256064071564))</f>
        <v/>
      </c>
      <c r="J3208">
        <f>IF(G3208=1,0.2*R3208/B3208,J3207)</f>
        <v/>
      </c>
      <c r="K3208">
        <f>IF(G3208=1,0.2*R3208/C3208,K3207)</f>
        <v/>
      </c>
      <c r="L3208">
        <f>IF(G3208=1,0.2*R3208/D3208,L3207)</f>
        <v/>
      </c>
      <c r="M3208">
        <f>IF(G3208=1,0.2*R3208/E3208,M3207)</f>
        <v/>
      </c>
      <c r="N3208">
        <f>IF(G3208=1,0.2*R3208/F3208,N3207)</f>
        <v/>
      </c>
      <c r="O3208">
        <f>IF(G3208=1,R3208*(1-1.0),IF(H3207=0,1,O3207*(1+0.00023125256064071564)))</f>
        <v/>
      </c>
      <c r="P3208">
        <f>IF(G3208=1,IF(H3207=0,1,ABS(0.2-J3207*B3208/I3208)+ABS(0.2-K3207*C3208/I3208)+ABS(0.2-L3207*D3208/I3208)+ABS(0.2-M3207*E3208/I3208)+ABS(0.2-N3207*F3208/I3208)),0)</f>
        <v/>
      </c>
      <c r="Q3208">
        <f>P3208*0.0015</f>
        <v/>
      </c>
      <c r="R3208">
        <f>I3208*(1-Q3208)</f>
        <v/>
      </c>
      <c r="S3208">
        <f>R3208/R3207-1</f>
        <v/>
      </c>
      <c r="T3208">
        <f>MAX(T3207,R3208)</f>
        <v/>
      </c>
      <c r="U3208">
        <f>R3208/T3208-1</f>
        <v/>
      </c>
      <c r="V3208" t="n">
        <v>9.312021868961542</v>
      </c>
      <c r="W3208" s="5">
        <f>R3208-V3208</f>
        <v/>
      </c>
    </row>
    <row r="3209">
      <c r="A3209" s="3" t="n">
        <v>43164</v>
      </c>
      <c r="B3209">
        <f>Prices!B3209</f>
        <v/>
      </c>
      <c r="C3209">
        <f>Prices!C3209</f>
        <v/>
      </c>
      <c r="D3209">
        <f>Prices!D3209</f>
        <v/>
      </c>
      <c r="E3209">
        <f>Prices!E3209</f>
        <v/>
      </c>
      <c r="F3209">
        <f>Prices!F3209</f>
        <v/>
      </c>
      <c r="G3209">
        <f>IF(AND(3207&gt;=16,TEXT(A3209,"yyyy-mm")&lt;&gt;TEXT(A3210,"yyyy-mm")),1,0)</f>
        <v/>
      </c>
      <c r="H3209">
        <f>IF(OR(H3208=1,G3209=1),1,0)</f>
        <v/>
      </c>
      <c r="I3209">
        <f>IF(H3208=0,1,SUMPRODUCT(J3208:N3208,B3209:F3209)+O3208*(1+0.00023125256064071564))</f>
        <v/>
      </c>
      <c r="J3209">
        <f>IF(G3209=1,0.2*R3209/B3209,J3208)</f>
        <v/>
      </c>
      <c r="K3209">
        <f>IF(G3209=1,0.2*R3209/C3209,K3208)</f>
        <v/>
      </c>
      <c r="L3209">
        <f>IF(G3209=1,0.2*R3209/D3209,L3208)</f>
        <v/>
      </c>
      <c r="M3209">
        <f>IF(G3209=1,0.2*R3209/E3209,M3208)</f>
        <v/>
      </c>
      <c r="N3209">
        <f>IF(G3209=1,0.2*R3209/F3209,N3208)</f>
        <v/>
      </c>
      <c r="O3209">
        <f>IF(G3209=1,R3209*(1-1.0),IF(H3208=0,1,O3208*(1+0.00023125256064071564)))</f>
        <v/>
      </c>
      <c r="P3209">
        <f>IF(G3209=1,IF(H3208=0,1,ABS(0.2-J3208*B3209/I3209)+ABS(0.2-K3208*C3209/I3209)+ABS(0.2-L3208*D3209/I3209)+ABS(0.2-M3208*E3209/I3209)+ABS(0.2-N3208*F3209/I3209)),0)</f>
        <v/>
      </c>
      <c r="Q3209">
        <f>P3209*0.0015</f>
        <v/>
      </c>
      <c r="R3209">
        <f>I3209*(1-Q3209)</f>
        <v/>
      </c>
      <c r="S3209">
        <f>R3209/R3208-1</f>
        <v/>
      </c>
      <c r="T3209">
        <f>MAX(T3208,R3209)</f>
        <v/>
      </c>
      <c r="U3209">
        <f>R3209/T3209-1</f>
        <v/>
      </c>
      <c r="V3209" t="n">
        <v>9.218520849931229</v>
      </c>
      <c r="W3209" s="5">
        <f>R3209-V3209</f>
        <v/>
      </c>
    </row>
    <row r="3210">
      <c r="A3210" s="3" t="n">
        <v>43165</v>
      </c>
      <c r="B3210">
        <f>Prices!B3210</f>
        <v/>
      </c>
      <c r="C3210">
        <f>Prices!C3210</f>
        <v/>
      </c>
      <c r="D3210">
        <f>Prices!D3210</f>
        <v/>
      </c>
      <c r="E3210">
        <f>Prices!E3210</f>
        <v/>
      </c>
      <c r="F3210">
        <f>Prices!F3210</f>
        <v/>
      </c>
      <c r="G3210">
        <f>IF(AND(3208&gt;=16,TEXT(A3210,"yyyy-mm")&lt;&gt;TEXT(A3211,"yyyy-mm")),1,0)</f>
        <v/>
      </c>
      <c r="H3210">
        <f>IF(OR(H3209=1,G3210=1),1,0)</f>
        <v/>
      </c>
      <c r="I3210">
        <f>IF(H3209=0,1,SUMPRODUCT(J3209:N3209,B3210:F3210)+O3209*(1+0.00023125256064071564))</f>
        <v/>
      </c>
      <c r="J3210">
        <f>IF(G3210=1,0.2*R3210/B3210,J3209)</f>
        <v/>
      </c>
      <c r="K3210">
        <f>IF(G3210=1,0.2*R3210/C3210,K3209)</f>
        <v/>
      </c>
      <c r="L3210">
        <f>IF(G3210=1,0.2*R3210/D3210,L3209)</f>
        <v/>
      </c>
      <c r="M3210">
        <f>IF(G3210=1,0.2*R3210/E3210,M3209)</f>
        <v/>
      </c>
      <c r="N3210">
        <f>IF(G3210=1,0.2*R3210/F3210,N3209)</f>
        <v/>
      </c>
      <c r="O3210">
        <f>IF(G3210=1,R3210*(1-1.0),IF(H3209=0,1,O3209*(1+0.00023125256064071564)))</f>
        <v/>
      </c>
      <c r="P3210">
        <f>IF(G3210=1,IF(H3209=0,1,ABS(0.2-J3209*B3210/I3210)+ABS(0.2-K3209*C3210/I3210)+ABS(0.2-L3209*D3210/I3210)+ABS(0.2-M3209*E3210/I3210)+ABS(0.2-N3209*F3210/I3210)),0)</f>
        <v/>
      </c>
      <c r="Q3210">
        <f>P3210*0.0015</f>
        <v/>
      </c>
      <c r="R3210">
        <f>I3210*(1-Q3210)</f>
        <v/>
      </c>
      <c r="S3210">
        <f>R3210/R3209-1</f>
        <v/>
      </c>
      <c r="T3210">
        <f>MAX(T3209,R3210)</f>
        <v/>
      </c>
      <c r="U3210">
        <f>R3210/T3210-1</f>
        <v/>
      </c>
      <c r="V3210" t="n">
        <v>9.122331762643608</v>
      </c>
      <c r="W3210" s="5">
        <f>R3210-V3210</f>
        <v/>
      </c>
    </row>
    <row r="3211">
      <c r="A3211" s="3" t="n">
        <v>43166</v>
      </c>
      <c r="B3211">
        <f>Prices!B3211</f>
        <v/>
      </c>
      <c r="C3211">
        <f>Prices!C3211</f>
        <v/>
      </c>
      <c r="D3211">
        <f>Prices!D3211</f>
        <v/>
      </c>
      <c r="E3211">
        <f>Prices!E3211</f>
        <v/>
      </c>
      <c r="F3211">
        <f>Prices!F3211</f>
        <v/>
      </c>
      <c r="G3211">
        <f>IF(AND(3209&gt;=16,TEXT(A3211,"yyyy-mm")&lt;&gt;TEXT(A3212,"yyyy-mm")),1,0)</f>
        <v/>
      </c>
      <c r="H3211">
        <f>IF(OR(H3210=1,G3211=1),1,0)</f>
        <v/>
      </c>
      <c r="I3211">
        <f>IF(H3210=0,1,SUMPRODUCT(J3210:N3210,B3211:F3211)+O3210*(1+0.00023125256064071564))</f>
        <v/>
      </c>
      <c r="J3211">
        <f>IF(G3211=1,0.2*R3211/B3211,J3210)</f>
        <v/>
      </c>
      <c r="K3211">
        <f>IF(G3211=1,0.2*R3211/C3211,K3210)</f>
        <v/>
      </c>
      <c r="L3211">
        <f>IF(G3211=1,0.2*R3211/D3211,L3210)</f>
        <v/>
      </c>
      <c r="M3211">
        <f>IF(G3211=1,0.2*R3211/E3211,M3210)</f>
        <v/>
      </c>
      <c r="N3211">
        <f>IF(G3211=1,0.2*R3211/F3211,N3210)</f>
        <v/>
      </c>
      <c r="O3211">
        <f>IF(G3211=1,R3211*(1-1.0),IF(H3210=0,1,O3210*(1+0.00023125256064071564)))</f>
        <v/>
      </c>
      <c r="P3211">
        <f>IF(G3211=1,IF(H3210=0,1,ABS(0.2-J3210*B3211/I3211)+ABS(0.2-K3210*C3211/I3211)+ABS(0.2-L3210*D3211/I3211)+ABS(0.2-M3210*E3211/I3211)+ABS(0.2-N3210*F3211/I3211)),0)</f>
        <v/>
      </c>
      <c r="Q3211">
        <f>P3211*0.0015</f>
        <v/>
      </c>
      <c r="R3211">
        <f>I3211*(1-Q3211)</f>
        <v/>
      </c>
      <c r="S3211">
        <f>R3211/R3210-1</f>
        <v/>
      </c>
      <c r="T3211">
        <f>MAX(T3210,R3211)</f>
        <v/>
      </c>
      <c r="U3211">
        <f>R3211/T3211-1</f>
        <v/>
      </c>
      <c r="V3211" t="n">
        <v>9.009866631935845</v>
      </c>
      <c r="W3211" s="5">
        <f>R3211-V3211</f>
        <v/>
      </c>
    </row>
    <row r="3212">
      <c r="A3212" s="3" t="n">
        <v>43167</v>
      </c>
      <c r="B3212">
        <f>Prices!B3212</f>
        <v/>
      </c>
      <c r="C3212">
        <f>Prices!C3212</f>
        <v/>
      </c>
      <c r="D3212">
        <f>Prices!D3212</f>
        <v/>
      </c>
      <c r="E3212">
        <f>Prices!E3212</f>
        <v/>
      </c>
      <c r="F3212">
        <f>Prices!F3212</f>
        <v/>
      </c>
      <c r="G3212">
        <f>IF(AND(3210&gt;=16,TEXT(A3212,"yyyy-mm")&lt;&gt;TEXT(A3213,"yyyy-mm")),1,0)</f>
        <v/>
      </c>
      <c r="H3212">
        <f>IF(OR(H3211=1,G3212=1),1,0)</f>
        <v/>
      </c>
      <c r="I3212">
        <f>IF(H3211=0,1,SUMPRODUCT(J3211:N3211,B3212:F3212)+O3211*(1+0.00023125256064071564))</f>
        <v/>
      </c>
      <c r="J3212">
        <f>IF(G3212=1,0.2*R3212/B3212,J3211)</f>
        <v/>
      </c>
      <c r="K3212">
        <f>IF(G3212=1,0.2*R3212/C3212,K3211)</f>
        <v/>
      </c>
      <c r="L3212">
        <f>IF(G3212=1,0.2*R3212/D3212,L3211)</f>
        <v/>
      </c>
      <c r="M3212">
        <f>IF(G3212=1,0.2*R3212/E3212,M3211)</f>
        <v/>
      </c>
      <c r="N3212">
        <f>IF(G3212=1,0.2*R3212/F3212,N3211)</f>
        <v/>
      </c>
      <c r="O3212">
        <f>IF(G3212=1,R3212*(1-1.0),IF(H3211=0,1,O3211*(1+0.00023125256064071564)))</f>
        <v/>
      </c>
      <c r="P3212">
        <f>IF(G3212=1,IF(H3211=0,1,ABS(0.2-J3211*B3212/I3212)+ABS(0.2-K3211*C3212/I3212)+ABS(0.2-L3211*D3212/I3212)+ABS(0.2-M3211*E3212/I3212)+ABS(0.2-N3211*F3212/I3212)),0)</f>
        <v/>
      </c>
      <c r="Q3212">
        <f>P3212*0.0015</f>
        <v/>
      </c>
      <c r="R3212">
        <f>I3212*(1-Q3212)</f>
        <v/>
      </c>
      <c r="S3212">
        <f>R3212/R3211-1</f>
        <v/>
      </c>
      <c r="T3212">
        <f>MAX(T3211,R3212)</f>
        <v/>
      </c>
      <c r="U3212">
        <f>R3212/T3212-1</f>
        <v/>
      </c>
      <c r="V3212" t="n">
        <v>9.050212585529309</v>
      </c>
      <c r="W3212" s="5">
        <f>R3212-V3212</f>
        <v/>
      </c>
    </row>
    <row r="3213">
      <c r="A3213" s="3" t="n">
        <v>43168</v>
      </c>
      <c r="B3213">
        <f>Prices!B3213</f>
        <v/>
      </c>
      <c r="C3213">
        <f>Prices!C3213</f>
        <v/>
      </c>
      <c r="D3213">
        <f>Prices!D3213</f>
        <v/>
      </c>
      <c r="E3213">
        <f>Prices!E3213</f>
        <v/>
      </c>
      <c r="F3213">
        <f>Prices!F3213</f>
        <v/>
      </c>
      <c r="G3213">
        <f>IF(AND(3211&gt;=16,TEXT(A3213,"yyyy-mm")&lt;&gt;TEXT(A3214,"yyyy-mm")),1,0)</f>
        <v/>
      </c>
      <c r="H3213">
        <f>IF(OR(H3212=1,G3213=1),1,0)</f>
        <v/>
      </c>
      <c r="I3213">
        <f>IF(H3212=0,1,SUMPRODUCT(J3212:N3212,B3213:F3213)+O3212*(1+0.00023125256064071564))</f>
        <v/>
      </c>
      <c r="J3213">
        <f>IF(G3213=1,0.2*R3213/B3213,J3212)</f>
        <v/>
      </c>
      <c r="K3213">
        <f>IF(G3213=1,0.2*R3213/C3213,K3212)</f>
        <v/>
      </c>
      <c r="L3213">
        <f>IF(G3213=1,0.2*R3213/D3213,L3212)</f>
        <v/>
      </c>
      <c r="M3213">
        <f>IF(G3213=1,0.2*R3213/E3213,M3212)</f>
        <v/>
      </c>
      <c r="N3213">
        <f>IF(G3213=1,0.2*R3213/F3213,N3212)</f>
        <v/>
      </c>
      <c r="O3213">
        <f>IF(G3213=1,R3213*(1-1.0),IF(H3212=0,1,O3212*(1+0.00023125256064071564)))</f>
        <v/>
      </c>
      <c r="P3213">
        <f>IF(G3213=1,IF(H3212=0,1,ABS(0.2-J3212*B3213/I3213)+ABS(0.2-K3212*C3213/I3213)+ABS(0.2-L3212*D3213/I3213)+ABS(0.2-M3212*E3213/I3213)+ABS(0.2-N3212*F3213/I3213)),0)</f>
        <v/>
      </c>
      <c r="Q3213">
        <f>P3213*0.0015</f>
        <v/>
      </c>
      <c r="R3213">
        <f>I3213*(1-Q3213)</f>
        <v/>
      </c>
      <c r="S3213">
        <f>R3213/R3212-1</f>
        <v/>
      </c>
      <c r="T3213">
        <f>MAX(T3212,R3213)</f>
        <v/>
      </c>
      <c r="U3213">
        <f>R3213/T3213-1</f>
        <v/>
      </c>
      <c r="V3213" t="n">
        <v>9.051931571509666</v>
      </c>
      <c r="W3213" s="5">
        <f>R3213-V3213</f>
        <v/>
      </c>
    </row>
    <row r="3214">
      <c r="A3214" s="3" t="n">
        <v>43171</v>
      </c>
      <c r="B3214">
        <f>Prices!B3214</f>
        <v/>
      </c>
      <c r="C3214">
        <f>Prices!C3214</f>
        <v/>
      </c>
      <c r="D3214">
        <f>Prices!D3214</f>
        <v/>
      </c>
      <c r="E3214">
        <f>Prices!E3214</f>
        <v/>
      </c>
      <c r="F3214">
        <f>Prices!F3214</f>
        <v/>
      </c>
      <c r="G3214">
        <f>IF(AND(3212&gt;=16,TEXT(A3214,"yyyy-mm")&lt;&gt;TEXT(A3215,"yyyy-mm")),1,0)</f>
        <v/>
      </c>
      <c r="H3214">
        <f>IF(OR(H3213=1,G3214=1),1,0)</f>
        <v/>
      </c>
      <c r="I3214">
        <f>IF(H3213=0,1,SUMPRODUCT(J3213:N3213,B3214:F3214)+O3213*(1+0.00023125256064071564))</f>
        <v/>
      </c>
      <c r="J3214">
        <f>IF(G3214=1,0.2*R3214/B3214,J3213)</f>
        <v/>
      </c>
      <c r="K3214">
        <f>IF(G3214=1,0.2*R3214/C3214,K3213)</f>
        <v/>
      </c>
      <c r="L3214">
        <f>IF(G3214=1,0.2*R3214/D3214,L3213)</f>
        <v/>
      </c>
      <c r="M3214">
        <f>IF(G3214=1,0.2*R3214/E3214,M3213)</f>
        <v/>
      </c>
      <c r="N3214">
        <f>IF(G3214=1,0.2*R3214/F3214,N3213)</f>
        <v/>
      </c>
      <c r="O3214">
        <f>IF(G3214=1,R3214*(1-1.0),IF(H3213=0,1,O3213*(1+0.00023125256064071564)))</f>
        <v/>
      </c>
      <c r="P3214">
        <f>IF(G3214=1,IF(H3213=0,1,ABS(0.2-J3213*B3214/I3214)+ABS(0.2-K3213*C3214/I3214)+ABS(0.2-L3213*D3214/I3214)+ABS(0.2-M3213*E3214/I3214)+ABS(0.2-N3213*F3214/I3214)),0)</f>
        <v/>
      </c>
      <c r="Q3214">
        <f>P3214*0.0015</f>
        <v/>
      </c>
      <c r="R3214">
        <f>I3214*(1-Q3214)</f>
        <v/>
      </c>
      <c r="S3214">
        <f>R3214/R3213-1</f>
        <v/>
      </c>
      <c r="T3214">
        <f>MAX(T3213,R3214)</f>
        <v/>
      </c>
      <c r="U3214">
        <f>R3214/T3214-1</f>
        <v/>
      </c>
      <c r="V3214" t="n">
        <v>9.160830224510917</v>
      </c>
      <c r="W3214" s="5">
        <f>R3214-V3214</f>
        <v/>
      </c>
    </row>
    <row r="3215">
      <c r="A3215" s="3" t="n">
        <v>43172</v>
      </c>
      <c r="B3215">
        <f>Prices!B3215</f>
        <v/>
      </c>
      <c r="C3215">
        <f>Prices!C3215</f>
        <v/>
      </c>
      <c r="D3215">
        <f>Prices!D3215</f>
        <v/>
      </c>
      <c r="E3215">
        <f>Prices!E3215</f>
        <v/>
      </c>
      <c r="F3215">
        <f>Prices!F3215</f>
        <v/>
      </c>
      <c r="G3215">
        <f>IF(AND(3213&gt;=16,TEXT(A3215,"yyyy-mm")&lt;&gt;TEXT(A3216,"yyyy-mm")),1,0)</f>
        <v/>
      </c>
      <c r="H3215">
        <f>IF(OR(H3214=1,G3215=1),1,0)</f>
        <v/>
      </c>
      <c r="I3215">
        <f>IF(H3214=0,1,SUMPRODUCT(J3214:N3214,B3215:F3215)+O3214*(1+0.00023125256064071564))</f>
        <v/>
      </c>
      <c r="J3215">
        <f>IF(G3215=1,0.2*R3215/B3215,J3214)</f>
        <v/>
      </c>
      <c r="K3215">
        <f>IF(G3215=1,0.2*R3215/C3215,K3214)</f>
        <v/>
      </c>
      <c r="L3215">
        <f>IF(G3215=1,0.2*R3215/D3215,L3214)</f>
        <v/>
      </c>
      <c r="M3215">
        <f>IF(G3215=1,0.2*R3215/E3215,M3214)</f>
        <v/>
      </c>
      <c r="N3215">
        <f>IF(G3215=1,0.2*R3215/F3215,N3214)</f>
        <v/>
      </c>
      <c r="O3215">
        <f>IF(G3215=1,R3215*(1-1.0),IF(H3214=0,1,O3214*(1+0.00023125256064071564)))</f>
        <v/>
      </c>
      <c r="P3215">
        <f>IF(G3215=1,IF(H3214=0,1,ABS(0.2-J3214*B3215/I3215)+ABS(0.2-K3214*C3215/I3215)+ABS(0.2-L3214*D3215/I3215)+ABS(0.2-M3214*E3215/I3215)+ABS(0.2-N3214*F3215/I3215)),0)</f>
        <v/>
      </c>
      <c r="Q3215">
        <f>P3215*0.0015</f>
        <v/>
      </c>
      <c r="R3215">
        <f>I3215*(1-Q3215)</f>
        <v/>
      </c>
      <c r="S3215">
        <f>R3215/R3214-1</f>
        <v/>
      </c>
      <c r="T3215">
        <f>MAX(T3214,R3215)</f>
        <v/>
      </c>
      <c r="U3215">
        <f>R3215/T3215-1</f>
        <v/>
      </c>
      <c r="V3215" t="n">
        <v>9.241245940414089</v>
      </c>
      <c r="W3215" s="5">
        <f>R3215-V3215</f>
        <v/>
      </c>
    </row>
    <row r="3216">
      <c r="A3216" s="3" t="n">
        <v>43173</v>
      </c>
      <c r="B3216">
        <f>Prices!B3216</f>
        <v/>
      </c>
      <c r="C3216">
        <f>Prices!C3216</f>
        <v/>
      </c>
      <c r="D3216">
        <f>Prices!D3216</f>
        <v/>
      </c>
      <c r="E3216">
        <f>Prices!E3216</f>
        <v/>
      </c>
      <c r="F3216">
        <f>Prices!F3216</f>
        <v/>
      </c>
      <c r="G3216">
        <f>IF(AND(3214&gt;=16,TEXT(A3216,"yyyy-mm")&lt;&gt;TEXT(A3217,"yyyy-mm")),1,0)</f>
        <v/>
      </c>
      <c r="H3216">
        <f>IF(OR(H3215=1,G3216=1),1,0)</f>
        <v/>
      </c>
      <c r="I3216">
        <f>IF(H3215=0,1,SUMPRODUCT(J3215:N3215,B3216:F3216)+O3215*(1+0.00023125256064071564))</f>
        <v/>
      </c>
      <c r="J3216">
        <f>IF(G3216=1,0.2*R3216/B3216,J3215)</f>
        <v/>
      </c>
      <c r="K3216">
        <f>IF(G3216=1,0.2*R3216/C3216,K3215)</f>
        <v/>
      </c>
      <c r="L3216">
        <f>IF(G3216=1,0.2*R3216/D3216,L3215)</f>
        <v/>
      </c>
      <c r="M3216">
        <f>IF(G3216=1,0.2*R3216/E3216,M3215)</f>
        <v/>
      </c>
      <c r="N3216">
        <f>IF(G3216=1,0.2*R3216/F3216,N3215)</f>
        <v/>
      </c>
      <c r="O3216">
        <f>IF(G3216=1,R3216*(1-1.0),IF(H3215=0,1,O3215*(1+0.00023125256064071564)))</f>
        <v/>
      </c>
      <c r="P3216">
        <f>IF(G3216=1,IF(H3215=0,1,ABS(0.2-J3215*B3216/I3216)+ABS(0.2-K3215*C3216/I3216)+ABS(0.2-L3215*D3216/I3216)+ABS(0.2-M3215*E3216/I3216)+ABS(0.2-N3215*F3216/I3216)),0)</f>
        <v/>
      </c>
      <c r="Q3216">
        <f>P3216*0.0015</f>
        <v/>
      </c>
      <c r="R3216">
        <f>I3216*(1-Q3216)</f>
        <v/>
      </c>
      <c r="S3216">
        <f>R3216/R3215-1</f>
        <v/>
      </c>
      <c r="T3216">
        <f>MAX(T3215,R3216)</f>
        <v/>
      </c>
      <c r="U3216">
        <f>R3216/T3216-1</f>
        <v/>
      </c>
      <c r="V3216" t="n">
        <v>9.20681208747844</v>
      </c>
      <c r="W3216" s="5">
        <f>R3216-V3216</f>
        <v/>
      </c>
    </row>
    <row r="3217">
      <c r="A3217" s="3" t="n">
        <v>43174</v>
      </c>
      <c r="B3217">
        <f>Prices!B3217</f>
        <v/>
      </c>
      <c r="C3217">
        <f>Prices!C3217</f>
        <v/>
      </c>
      <c r="D3217">
        <f>Prices!D3217</f>
        <v/>
      </c>
      <c r="E3217">
        <f>Prices!E3217</f>
        <v/>
      </c>
      <c r="F3217">
        <f>Prices!F3217</f>
        <v/>
      </c>
      <c r="G3217">
        <f>IF(AND(3215&gt;=16,TEXT(A3217,"yyyy-mm")&lt;&gt;TEXT(A3218,"yyyy-mm")),1,0)</f>
        <v/>
      </c>
      <c r="H3217">
        <f>IF(OR(H3216=1,G3217=1),1,0)</f>
        <v/>
      </c>
      <c r="I3217">
        <f>IF(H3216=0,1,SUMPRODUCT(J3216:N3216,B3217:F3217)+O3216*(1+0.00023125256064071564))</f>
        <v/>
      </c>
      <c r="J3217">
        <f>IF(G3217=1,0.2*R3217/B3217,J3216)</f>
        <v/>
      </c>
      <c r="K3217">
        <f>IF(G3217=1,0.2*R3217/C3217,K3216)</f>
        <v/>
      </c>
      <c r="L3217">
        <f>IF(G3217=1,0.2*R3217/D3217,L3216)</f>
        <v/>
      </c>
      <c r="M3217">
        <f>IF(G3217=1,0.2*R3217/E3217,M3216)</f>
        <v/>
      </c>
      <c r="N3217">
        <f>IF(G3217=1,0.2*R3217/F3217,N3216)</f>
        <v/>
      </c>
      <c r="O3217">
        <f>IF(G3217=1,R3217*(1-1.0),IF(H3216=0,1,O3216*(1+0.00023125256064071564)))</f>
        <v/>
      </c>
      <c r="P3217">
        <f>IF(G3217=1,IF(H3216=0,1,ABS(0.2-J3216*B3217/I3217)+ABS(0.2-K3216*C3217/I3217)+ABS(0.2-L3216*D3217/I3217)+ABS(0.2-M3216*E3217/I3217)+ABS(0.2-N3216*F3217/I3217)),0)</f>
        <v/>
      </c>
      <c r="Q3217">
        <f>P3217*0.0015</f>
        <v/>
      </c>
      <c r="R3217">
        <f>I3217*(1-Q3217)</f>
        <v/>
      </c>
      <c r="S3217">
        <f>R3217/R3216-1</f>
        <v/>
      </c>
      <c r="T3217">
        <f>MAX(T3216,R3217)</f>
        <v/>
      </c>
      <c r="U3217">
        <f>R3217/T3217-1</f>
        <v/>
      </c>
      <c r="V3217" t="n">
        <v>9.224992516847728</v>
      </c>
      <c r="W3217" s="5">
        <f>R3217-V3217</f>
        <v/>
      </c>
    </row>
    <row r="3218">
      <c r="A3218" s="3" t="n">
        <v>43175</v>
      </c>
      <c r="B3218">
        <f>Prices!B3218</f>
        <v/>
      </c>
      <c r="C3218">
        <f>Prices!C3218</f>
        <v/>
      </c>
      <c r="D3218">
        <f>Prices!D3218</f>
        <v/>
      </c>
      <c r="E3218">
        <f>Prices!E3218</f>
        <v/>
      </c>
      <c r="F3218">
        <f>Prices!F3218</f>
        <v/>
      </c>
      <c r="G3218">
        <f>IF(AND(3216&gt;=16,TEXT(A3218,"yyyy-mm")&lt;&gt;TEXT(A3219,"yyyy-mm")),1,0)</f>
        <v/>
      </c>
      <c r="H3218">
        <f>IF(OR(H3217=1,G3218=1),1,0)</f>
        <v/>
      </c>
      <c r="I3218">
        <f>IF(H3217=0,1,SUMPRODUCT(J3217:N3217,B3218:F3218)+O3217*(1+0.00023125256064071564))</f>
        <v/>
      </c>
      <c r="J3218">
        <f>IF(G3218=1,0.2*R3218/B3218,J3217)</f>
        <v/>
      </c>
      <c r="K3218">
        <f>IF(G3218=1,0.2*R3218/C3218,K3217)</f>
        <v/>
      </c>
      <c r="L3218">
        <f>IF(G3218=1,0.2*R3218/D3218,L3217)</f>
        <v/>
      </c>
      <c r="M3218">
        <f>IF(G3218=1,0.2*R3218/E3218,M3217)</f>
        <v/>
      </c>
      <c r="N3218">
        <f>IF(G3218=1,0.2*R3218/F3218,N3217)</f>
        <v/>
      </c>
      <c r="O3218">
        <f>IF(G3218=1,R3218*(1-1.0),IF(H3217=0,1,O3217*(1+0.00023125256064071564)))</f>
        <v/>
      </c>
      <c r="P3218">
        <f>IF(G3218=1,IF(H3217=0,1,ABS(0.2-J3217*B3218/I3218)+ABS(0.2-K3217*C3218/I3218)+ABS(0.2-L3217*D3218/I3218)+ABS(0.2-M3217*E3218/I3218)+ABS(0.2-N3217*F3218/I3218)),0)</f>
        <v/>
      </c>
      <c r="Q3218">
        <f>P3218*0.0015</f>
        <v/>
      </c>
      <c r="R3218">
        <f>I3218*(1-Q3218)</f>
        <v/>
      </c>
      <c r="S3218">
        <f>R3218/R3217-1</f>
        <v/>
      </c>
      <c r="T3218">
        <f>MAX(T3217,R3218)</f>
        <v/>
      </c>
      <c r="U3218">
        <f>R3218/T3218-1</f>
        <v/>
      </c>
      <c r="V3218" t="n">
        <v>9.11224307701794</v>
      </c>
      <c r="W3218" s="5">
        <f>R3218-V3218</f>
        <v/>
      </c>
    </row>
    <row r="3219">
      <c r="A3219" s="3" t="n">
        <v>43178</v>
      </c>
      <c r="B3219">
        <f>Prices!B3219</f>
        <v/>
      </c>
      <c r="C3219">
        <f>Prices!C3219</f>
        <v/>
      </c>
      <c r="D3219">
        <f>Prices!D3219</f>
        <v/>
      </c>
      <c r="E3219">
        <f>Prices!E3219</f>
        <v/>
      </c>
      <c r="F3219">
        <f>Prices!F3219</f>
        <v/>
      </c>
      <c r="G3219">
        <f>IF(AND(3217&gt;=16,TEXT(A3219,"yyyy-mm")&lt;&gt;TEXT(A3220,"yyyy-mm")),1,0)</f>
        <v/>
      </c>
      <c r="H3219">
        <f>IF(OR(H3218=1,G3219=1),1,0)</f>
        <v/>
      </c>
      <c r="I3219">
        <f>IF(H3218=0,1,SUMPRODUCT(J3218:N3218,B3219:F3219)+O3218*(1+0.00023125256064071564))</f>
        <v/>
      </c>
      <c r="J3219">
        <f>IF(G3219=1,0.2*R3219/B3219,J3218)</f>
        <v/>
      </c>
      <c r="K3219">
        <f>IF(G3219=1,0.2*R3219/C3219,K3218)</f>
        <v/>
      </c>
      <c r="L3219">
        <f>IF(G3219=1,0.2*R3219/D3219,L3218)</f>
        <v/>
      </c>
      <c r="M3219">
        <f>IF(G3219=1,0.2*R3219/E3219,M3218)</f>
        <v/>
      </c>
      <c r="N3219">
        <f>IF(G3219=1,0.2*R3219/F3219,N3218)</f>
        <v/>
      </c>
      <c r="O3219">
        <f>IF(G3219=1,R3219*(1-1.0),IF(H3218=0,1,O3218*(1+0.00023125256064071564)))</f>
        <v/>
      </c>
      <c r="P3219">
        <f>IF(G3219=1,IF(H3218=0,1,ABS(0.2-J3218*B3219/I3219)+ABS(0.2-K3218*C3219/I3219)+ABS(0.2-L3218*D3219/I3219)+ABS(0.2-M3218*E3219/I3219)+ABS(0.2-N3218*F3219/I3219)),0)</f>
        <v/>
      </c>
      <c r="Q3219">
        <f>P3219*0.0015</f>
        <v/>
      </c>
      <c r="R3219">
        <f>I3219*(1-Q3219)</f>
        <v/>
      </c>
      <c r="S3219">
        <f>R3219/R3218-1</f>
        <v/>
      </c>
      <c r="T3219">
        <f>MAX(T3218,R3219)</f>
        <v/>
      </c>
      <c r="U3219">
        <f>R3219/T3219-1</f>
        <v/>
      </c>
      <c r="V3219" t="n">
        <v>8.955136970570711</v>
      </c>
      <c r="W3219" s="5">
        <f>R3219-V3219</f>
        <v/>
      </c>
    </row>
    <row r="3220">
      <c r="A3220" s="3" t="n">
        <v>43179</v>
      </c>
      <c r="B3220">
        <f>Prices!B3220</f>
        <v/>
      </c>
      <c r="C3220">
        <f>Prices!C3220</f>
        <v/>
      </c>
      <c r="D3220">
        <f>Prices!D3220</f>
        <v/>
      </c>
      <c r="E3220">
        <f>Prices!E3220</f>
        <v/>
      </c>
      <c r="F3220">
        <f>Prices!F3220</f>
        <v/>
      </c>
      <c r="G3220">
        <f>IF(AND(3218&gt;=16,TEXT(A3220,"yyyy-mm")&lt;&gt;TEXT(A3221,"yyyy-mm")),1,0)</f>
        <v/>
      </c>
      <c r="H3220">
        <f>IF(OR(H3219=1,G3220=1),1,0)</f>
        <v/>
      </c>
      <c r="I3220">
        <f>IF(H3219=0,1,SUMPRODUCT(J3219:N3219,B3220:F3220)+O3219*(1+0.00023125256064071564))</f>
        <v/>
      </c>
      <c r="J3220">
        <f>IF(G3220=1,0.2*R3220/B3220,J3219)</f>
        <v/>
      </c>
      <c r="K3220">
        <f>IF(G3220=1,0.2*R3220/C3220,K3219)</f>
        <v/>
      </c>
      <c r="L3220">
        <f>IF(G3220=1,0.2*R3220/D3220,L3219)</f>
        <v/>
      </c>
      <c r="M3220">
        <f>IF(G3220=1,0.2*R3220/E3220,M3219)</f>
        <v/>
      </c>
      <c r="N3220">
        <f>IF(G3220=1,0.2*R3220/F3220,N3219)</f>
        <v/>
      </c>
      <c r="O3220">
        <f>IF(G3220=1,R3220*(1-1.0),IF(H3219=0,1,O3219*(1+0.00023125256064071564)))</f>
        <v/>
      </c>
      <c r="P3220">
        <f>IF(G3220=1,IF(H3219=0,1,ABS(0.2-J3219*B3220/I3220)+ABS(0.2-K3219*C3220/I3220)+ABS(0.2-L3219*D3220/I3220)+ABS(0.2-M3219*E3220/I3220)+ABS(0.2-N3219*F3220/I3220)),0)</f>
        <v/>
      </c>
      <c r="Q3220">
        <f>P3220*0.0015</f>
        <v/>
      </c>
      <c r="R3220">
        <f>I3220*(1-Q3220)</f>
        <v/>
      </c>
      <c r="S3220">
        <f>R3220/R3219-1</f>
        <v/>
      </c>
      <c r="T3220">
        <f>MAX(T3219,R3220)</f>
        <v/>
      </c>
      <c r="U3220">
        <f>R3220/T3220-1</f>
        <v/>
      </c>
      <c r="V3220" t="n">
        <v>8.990768961961779</v>
      </c>
      <c r="W3220" s="5">
        <f>R3220-V3220</f>
        <v/>
      </c>
    </row>
    <row r="3221">
      <c r="A3221" s="3" t="n">
        <v>43180</v>
      </c>
      <c r="B3221">
        <f>Prices!B3221</f>
        <v/>
      </c>
      <c r="C3221">
        <f>Prices!C3221</f>
        <v/>
      </c>
      <c r="D3221">
        <f>Prices!D3221</f>
        <v/>
      </c>
      <c r="E3221">
        <f>Prices!E3221</f>
        <v/>
      </c>
      <c r="F3221">
        <f>Prices!F3221</f>
        <v/>
      </c>
      <c r="G3221">
        <f>IF(AND(3219&gt;=16,TEXT(A3221,"yyyy-mm")&lt;&gt;TEXT(A3222,"yyyy-mm")),1,0)</f>
        <v/>
      </c>
      <c r="H3221">
        <f>IF(OR(H3220=1,G3221=1),1,0)</f>
        <v/>
      </c>
      <c r="I3221">
        <f>IF(H3220=0,1,SUMPRODUCT(J3220:N3220,B3221:F3221)+O3220*(1+0.00023125256064071564))</f>
        <v/>
      </c>
      <c r="J3221">
        <f>IF(G3221=1,0.2*R3221/B3221,J3220)</f>
        <v/>
      </c>
      <c r="K3221">
        <f>IF(G3221=1,0.2*R3221/C3221,K3220)</f>
        <v/>
      </c>
      <c r="L3221">
        <f>IF(G3221=1,0.2*R3221/D3221,L3220)</f>
        <v/>
      </c>
      <c r="M3221">
        <f>IF(G3221=1,0.2*R3221/E3221,M3220)</f>
        <v/>
      </c>
      <c r="N3221">
        <f>IF(G3221=1,0.2*R3221/F3221,N3220)</f>
        <v/>
      </c>
      <c r="O3221">
        <f>IF(G3221=1,R3221*(1-1.0),IF(H3220=0,1,O3220*(1+0.00023125256064071564)))</f>
        <v/>
      </c>
      <c r="P3221">
        <f>IF(G3221=1,IF(H3220=0,1,ABS(0.2-J3220*B3221/I3221)+ABS(0.2-K3220*C3221/I3221)+ABS(0.2-L3220*D3221/I3221)+ABS(0.2-M3220*E3221/I3221)+ABS(0.2-N3220*F3221/I3221)),0)</f>
        <v/>
      </c>
      <c r="Q3221">
        <f>P3221*0.0015</f>
        <v/>
      </c>
      <c r="R3221">
        <f>I3221*(1-Q3221)</f>
        <v/>
      </c>
      <c r="S3221">
        <f>R3221/R3220-1</f>
        <v/>
      </c>
      <c r="T3221">
        <f>MAX(T3220,R3221)</f>
        <v/>
      </c>
      <c r="U3221">
        <f>R3221/T3221-1</f>
        <v/>
      </c>
      <c r="V3221" t="n">
        <v>9.030479249163516</v>
      </c>
      <c r="W3221" s="5">
        <f>R3221-V3221</f>
        <v/>
      </c>
    </row>
    <row r="3222">
      <c r="A3222" s="3" t="n">
        <v>43181</v>
      </c>
      <c r="B3222">
        <f>Prices!B3222</f>
        <v/>
      </c>
      <c r="C3222">
        <f>Prices!C3222</f>
        <v/>
      </c>
      <c r="D3222">
        <f>Prices!D3222</f>
        <v/>
      </c>
      <c r="E3222">
        <f>Prices!E3222</f>
        <v/>
      </c>
      <c r="F3222">
        <f>Prices!F3222</f>
        <v/>
      </c>
      <c r="G3222">
        <f>IF(AND(3220&gt;=16,TEXT(A3222,"yyyy-mm")&lt;&gt;TEXT(A3223,"yyyy-mm")),1,0)</f>
        <v/>
      </c>
      <c r="H3222">
        <f>IF(OR(H3221=1,G3222=1),1,0)</f>
        <v/>
      </c>
      <c r="I3222">
        <f>IF(H3221=0,1,SUMPRODUCT(J3221:N3221,B3222:F3222)+O3221*(1+0.00023125256064071564))</f>
        <v/>
      </c>
      <c r="J3222">
        <f>IF(G3222=1,0.2*R3222/B3222,J3221)</f>
        <v/>
      </c>
      <c r="K3222">
        <f>IF(G3222=1,0.2*R3222/C3222,K3221)</f>
        <v/>
      </c>
      <c r="L3222">
        <f>IF(G3222=1,0.2*R3222/D3222,L3221)</f>
        <v/>
      </c>
      <c r="M3222">
        <f>IF(G3222=1,0.2*R3222/E3222,M3221)</f>
        <v/>
      </c>
      <c r="N3222">
        <f>IF(G3222=1,0.2*R3222/F3222,N3221)</f>
        <v/>
      </c>
      <c r="O3222">
        <f>IF(G3222=1,R3222*(1-1.0),IF(H3221=0,1,O3221*(1+0.00023125256064071564)))</f>
        <v/>
      </c>
      <c r="P3222">
        <f>IF(G3222=1,IF(H3221=0,1,ABS(0.2-J3221*B3222/I3222)+ABS(0.2-K3221*C3222/I3222)+ABS(0.2-L3221*D3222/I3222)+ABS(0.2-M3221*E3222/I3222)+ABS(0.2-N3221*F3222/I3222)),0)</f>
        <v/>
      </c>
      <c r="Q3222">
        <f>P3222*0.0015</f>
        <v/>
      </c>
      <c r="R3222">
        <f>I3222*(1-Q3222)</f>
        <v/>
      </c>
      <c r="S3222">
        <f>R3222/R3221-1</f>
        <v/>
      </c>
      <c r="T3222">
        <f>MAX(T3221,R3222)</f>
        <v/>
      </c>
      <c r="U3222">
        <f>R3222/T3222-1</f>
        <v/>
      </c>
      <c r="V3222" t="n">
        <v>8.956888541783108</v>
      </c>
      <c r="W3222" s="5">
        <f>R3222-V3222</f>
        <v/>
      </c>
    </row>
    <row r="3223">
      <c r="A3223" s="3" t="n">
        <v>43182</v>
      </c>
      <c r="B3223">
        <f>Prices!B3223</f>
        <v/>
      </c>
      <c r="C3223">
        <f>Prices!C3223</f>
        <v/>
      </c>
      <c r="D3223">
        <f>Prices!D3223</f>
        <v/>
      </c>
      <c r="E3223">
        <f>Prices!E3223</f>
        <v/>
      </c>
      <c r="F3223">
        <f>Prices!F3223</f>
        <v/>
      </c>
      <c r="G3223">
        <f>IF(AND(3221&gt;=16,TEXT(A3223,"yyyy-mm")&lt;&gt;TEXT(A3224,"yyyy-mm")),1,0)</f>
        <v/>
      </c>
      <c r="H3223">
        <f>IF(OR(H3222=1,G3223=1),1,0)</f>
        <v/>
      </c>
      <c r="I3223">
        <f>IF(H3222=0,1,SUMPRODUCT(J3222:N3222,B3223:F3223)+O3222*(1+0.00023125256064071564))</f>
        <v/>
      </c>
      <c r="J3223">
        <f>IF(G3223=1,0.2*R3223/B3223,J3222)</f>
        <v/>
      </c>
      <c r="K3223">
        <f>IF(G3223=1,0.2*R3223/C3223,K3222)</f>
        <v/>
      </c>
      <c r="L3223">
        <f>IF(G3223=1,0.2*R3223/D3223,L3222)</f>
        <v/>
      </c>
      <c r="M3223">
        <f>IF(G3223=1,0.2*R3223/E3223,M3222)</f>
        <v/>
      </c>
      <c r="N3223">
        <f>IF(G3223=1,0.2*R3223/F3223,N3222)</f>
        <v/>
      </c>
      <c r="O3223">
        <f>IF(G3223=1,R3223*(1-1.0),IF(H3222=0,1,O3222*(1+0.00023125256064071564)))</f>
        <v/>
      </c>
      <c r="P3223">
        <f>IF(G3223=1,IF(H3222=0,1,ABS(0.2-J3222*B3223/I3223)+ABS(0.2-K3222*C3223/I3223)+ABS(0.2-L3222*D3223/I3223)+ABS(0.2-M3222*E3223/I3223)+ABS(0.2-N3222*F3223/I3223)),0)</f>
        <v/>
      </c>
      <c r="Q3223">
        <f>P3223*0.0015</f>
        <v/>
      </c>
      <c r="R3223">
        <f>I3223*(1-Q3223)</f>
        <v/>
      </c>
      <c r="S3223">
        <f>R3223/R3222-1</f>
        <v/>
      </c>
      <c r="T3223">
        <f>MAX(T3222,R3223)</f>
        <v/>
      </c>
      <c r="U3223">
        <f>R3223/T3223-1</f>
        <v/>
      </c>
      <c r="V3223" t="n">
        <v>8.833848822271948</v>
      </c>
      <c r="W3223" s="5">
        <f>R3223-V3223</f>
        <v/>
      </c>
    </row>
    <row r="3224">
      <c r="A3224" s="3" t="n">
        <v>43185</v>
      </c>
      <c r="B3224">
        <f>Prices!B3224</f>
        <v/>
      </c>
      <c r="C3224">
        <f>Prices!C3224</f>
        <v/>
      </c>
      <c r="D3224">
        <f>Prices!D3224</f>
        <v/>
      </c>
      <c r="E3224">
        <f>Prices!E3224</f>
        <v/>
      </c>
      <c r="F3224">
        <f>Prices!F3224</f>
        <v/>
      </c>
      <c r="G3224">
        <f>IF(AND(3222&gt;=16,TEXT(A3224,"yyyy-mm")&lt;&gt;TEXT(A3225,"yyyy-mm")),1,0)</f>
        <v/>
      </c>
      <c r="H3224">
        <f>IF(OR(H3223=1,G3224=1),1,0)</f>
        <v/>
      </c>
      <c r="I3224">
        <f>IF(H3223=0,1,SUMPRODUCT(J3223:N3223,B3224:F3224)+O3223*(1+0.00023125256064071564))</f>
        <v/>
      </c>
      <c r="J3224">
        <f>IF(G3224=1,0.2*R3224/B3224,J3223)</f>
        <v/>
      </c>
      <c r="K3224">
        <f>IF(G3224=1,0.2*R3224/C3224,K3223)</f>
        <v/>
      </c>
      <c r="L3224">
        <f>IF(G3224=1,0.2*R3224/D3224,L3223)</f>
        <v/>
      </c>
      <c r="M3224">
        <f>IF(G3224=1,0.2*R3224/E3224,M3223)</f>
        <v/>
      </c>
      <c r="N3224">
        <f>IF(G3224=1,0.2*R3224/F3224,N3223)</f>
        <v/>
      </c>
      <c r="O3224">
        <f>IF(G3224=1,R3224*(1-1.0),IF(H3223=0,1,O3223*(1+0.00023125256064071564)))</f>
        <v/>
      </c>
      <c r="P3224">
        <f>IF(G3224=1,IF(H3223=0,1,ABS(0.2-J3223*B3224/I3224)+ABS(0.2-K3223*C3224/I3224)+ABS(0.2-L3223*D3224/I3224)+ABS(0.2-M3223*E3224/I3224)+ABS(0.2-N3223*F3224/I3224)),0)</f>
        <v/>
      </c>
      <c r="Q3224">
        <f>P3224*0.0015</f>
        <v/>
      </c>
      <c r="R3224">
        <f>I3224*(1-Q3224)</f>
        <v/>
      </c>
      <c r="S3224">
        <f>R3224/R3223-1</f>
        <v/>
      </c>
      <c r="T3224">
        <f>MAX(T3223,R3224)</f>
        <v/>
      </c>
      <c r="U3224">
        <f>R3224/T3224-1</f>
        <v/>
      </c>
      <c r="V3224" t="n">
        <v>8.905183381213677</v>
      </c>
      <c r="W3224" s="5">
        <f>R3224-V3224</f>
        <v/>
      </c>
    </row>
    <row r="3225">
      <c r="A3225" s="3" t="n">
        <v>43186</v>
      </c>
      <c r="B3225">
        <f>Prices!B3225</f>
        <v/>
      </c>
      <c r="C3225">
        <f>Prices!C3225</f>
        <v/>
      </c>
      <c r="D3225">
        <f>Prices!D3225</f>
        <v/>
      </c>
      <c r="E3225">
        <f>Prices!E3225</f>
        <v/>
      </c>
      <c r="F3225">
        <f>Prices!F3225</f>
        <v/>
      </c>
      <c r="G3225">
        <f>IF(AND(3223&gt;=16,TEXT(A3225,"yyyy-mm")&lt;&gt;TEXT(A3226,"yyyy-mm")),1,0)</f>
        <v/>
      </c>
      <c r="H3225">
        <f>IF(OR(H3224=1,G3225=1),1,0)</f>
        <v/>
      </c>
      <c r="I3225">
        <f>IF(H3224=0,1,SUMPRODUCT(J3224:N3224,B3225:F3225)+O3224*(1+0.00023125256064071564))</f>
        <v/>
      </c>
      <c r="J3225">
        <f>IF(G3225=1,0.2*R3225/B3225,J3224)</f>
        <v/>
      </c>
      <c r="K3225">
        <f>IF(G3225=1,0.2*R3225/C3225,K3224)</f>
        <v/>
      </c>
      <c r="L3225">
        <f>IF(G3225=1,0.2*R3225/D3225,L3224)</f>
        <v/>
      </c>
      <c r="M3225">
        <f>IF(G3225=1,0.2*R3225/E3225,M3224)</f>
        <v/>
      </c>
      <c r="N3225">
        <f>IF(G3225=1,0.2*R3225/F3225,N3224)</f>
        <v/>
      </c>
      <c r="O3225">
        <f>IF(G3225=1,R3225*(1-1.0),IF(H3224=0,1,O3224*(1+0.00023125256064071564)))</f>
        <v/>
      </c>
      <c r="P3225">
        <f>IF(G3225=1,IF(H3224=0,1,ABS(0.2-J3224*B3225/I3225)+ABS(0.2-K3224*C3225/I3225)+ABS(0.2-L3224*D3225/I3225)+ABS(0.2-M3224*E3225/I3225)+ABS(0.2-N3224*F3225/I3225)),0)</f>
        <v/>
      </c>
      <c r="Q3225">
        <f>P3225*0.0015</f>
        <v/>
      </c>
      <c r="R3225">
        <f>I3225*(1-Q3225)</f>
        <v/>
      </c>
      <c r="S3225">
        <f>R3225/R3224-1</f>
        <v/>
      </c>
      <c r="T3225">
        <f>MAX(T3224,R3225)</f>
        <v/>
      </c>
      <c r="U3225">
        <f>R3225/T3225-1</f>
        <v/>
      </c>
      <c r="V3225" t="n">
        <v>8.990428715369989</v>
      </c>
      <c r="W3225" s="5">
        <f>R3225-V3225</f>
        <v/>
      </c>
    </row>
    <row r="3226">
      <c r="A3226" s="3" t="n">
        <v>43187</v>
      </c>
      <c r="B3226">
        <f>Prices!B3226</f>
        <v/>
      </c>
      <c r="C3226">
        <f>Prices!C3226</f>
        <v/>
      </c>
      <c r="D3226">
        <f>Prices!D3226</f>
        <v/>
      </c>
      <c r="E3226">
        <f>Prices!E3226</f>
        <v/>
      </c>
      <c r="F3226">
        <f>Prices!F3226</f>
        <v/>
      </c>
      <c r="G3226">
        <f>IF(AND(3224&gt;=16,TEXT(A3226,"yyyy-mm")&lt;&gt;TEXT(A3227,"yyyy-mm")),1,0)</f>
        <v/>
      </c>
      <c r="H3226">
        <f>IF(OR(H3225=1,G3226=1),1,0)</f>
        <v/>
      </c>
      <c r="I3226">
        <f>IF(H3225=0,1,SUMPRODUCT(J3225:N3225,B3226:F3226)+O3225*(1+0.00023125256064071564))</f>
        <v/>
      </c>
      <c r="J3226">
        <f>IF(G3226=1,0.2*R3226/B3226,J3225)</f>
        <v/>
      </c>
      <c r="K3226">
        <f>IF(G3226=1,0.2*R3226/C3226,K3225)</f>
        <v/>
      </c>
      <c r="L3226">
        <f>IF(G3226=1,0.2*R3226/D3226,L3225)</f>
        <v/>
      </c>
      <c r="M3226">
        <f>IF(G3226=1,0.2*R3226/E3226,M3225)</f>
        <v/>
      </c>
      <c r="N3226">
        <f>IF(G3226=1,0.2*R3226/F3226,N3225)</f>
        <v/>
      </c>
      <c r="O3226">
        <f>IF(G3226=1,R3226*(1-1.0),IF(H3225=0,1,O3225*(1+0.00023125256064071564)))</f>
        <v/>
      </c>
      <c r="P3226">
        <f>IF(G3226=1,IF(H3225=0,1,ABS(0.2-J3225*B3226/I3226)+ABS(0.2-K3225*C3226/I3226)+ABS(0.2-L3225*D3226/I3226)+ABS(0.2-M3225*E3226/I3226)+ABS(0.2-N3225*F3226/I3226)),0)</f>
        <v/>
      </c>
      <c r="Q3226">
        <f>P3226*0.0015</f>
        <v/>
      </c>
      <c r="R3226">
        <f>I3226*(1-Q3226)</f>
        <v/>
      </c>
      <c r="S3226">
        <f>R3226/R3225-1</f>
        <v/>
      </c>
      <c r="T3226">
        <f>MAX(T3225,R3226)</f>
        <v/>
      </c>
      <c r="U3226">
        <f>R3226/T3226-1</f>
        <v/>
      </c>
      <c r="V3226" t="n">
        <v>8.917856998428695</v>
      </c>
      <c r="W3226" s="5">
        <f>R3226-V3226</f>
        <v/>
      </c>
    </row>
    <row r="3227">
      <c r="A3227" s="3" t="n">
        <v>43192</v>
      </c>
      <c r="B3227">
        <f>Prices!B3227</f>
        <v/>
      </c>
      <c r="C3227">
        <f>Prices!C3227</f>
        <v/>
      </c>
      <c r="D3227">
        <f>Prices!D3227</f>
        <v/>
      </c>
      <c r="E3227">
        <f>Prices!E3227</f>
        <v/>
      </c>
      <c r="F3227">
        <f>Prices!F3227</f>
        <v/>
      </c>
      <c r="G3227">
        <f>IF(AND(3225&gt;=16,TEXT(A3227,"yyyy-mm")&lt;&gt;TEXT(A3228,"yyyy-mm")),1,0)</f>
        <v/>
      </c>
      <c r="H3227">
        <f>IF(OR(H3226=1,G3227=1),1,0)</f>
        <v/>
      </c>
      <c r="I3227">
        <f>IF(H3226=0,1,SUMPRODUCT(J3226:N3226,B3227:F3227)+O3226*(1+0.00023125256064071564))</f>
        <v/>
      </c>
      <c r="J3227">
        <f>IF(G3227=1,0.2*R3227/B3227,J3226)</f>
        <v/>
      </c>
      <c r="K3227">
        <f>IF(G3227=1,0.2*R3227/C3227,K3226)</f>
        <v/>
      </c>
      <c r="L3227">
        <f>IF(G3227=1,0.2*R3227/D3227,L3226)</f>
        <v/>
      </c>
      <c r="M3227">
        <f>IF(G3227=1,0.2*R3227/E3227,M3226)</f>
        <v/>
      </c>
      <c r="N3227">
        <f>IF(G3227=1,0.2*R3227/F3227,N3226)</f>
        <v/>
      </c>
      <c r="O3227">
        <f>IF(G3227=1,R3227*(1-1.0),IF(H3226=0,1,O3226*(1+0.00023125256064071564)))</f>
        <v/>
      </c>
      <c r="P3227">
        <f>IF(G3227=1,IF(H3226=0,1,ABS(0.2-J3226*B3227/I3227)+ABS(0.2-K3226*C3227/I3227)+ABS(0.2-L3226*D3227/I3227)+ABS(0.2-M3226*E3227/I3227)+ABS(0.2-N3226*F3227/I3227)),0)</f>
        <v/>
      </c>
      <c r="Q3227">
        <f>P3227*0.0015</f>
        <v/>
      </c>
      <c r="R3227">
        <f>I3227*(1-Q3227)</f>
        <v/>
      </c>
      <c r="S3227">
        <f>R3227/R3226-1</f>
        <v/>
      </c>
      <c r="T3227">
        <f>MAX(T3226,R3227)</f>
        <v/>
      </c>
      <c r="U3227">
        <f>R3227/T3227-1</f>
        <v/>
      </c>
      <c r="V3227" t="n">
        <v>9.086808674185766</v>
      </c>
      <c r="W3227" s="5">
        <f>R3227-V3227</f>
        <v/>
      </c>
    </row>
    <row r="3228">
      <c r="A3228" s="3" t="n">
        <v>43193</v>
      </c>
      <c r="B3228">
        <f>Prices!B3228</f>
        <v/>
      </c>
      <c r="C3228">
        <f>Prices!C3228</f>
        <v/>
      </c>
      <c r="D3228">
        <f>Prices!D3228</f>
        <v/>
      </c>
      <c r="E3228">
        <f>Prices!E3228</f>
        <v/>
      </c>
      <c r="F3228">
        <f>Prices!F3228</f>
        <v/>
      </c>
      <c r="G3228">
        <f>IF(AND(3226&gt;=16,TEXT(A3228,"yyyy-mm")&lt;&gt;TEXT(A3229,"yyyy-mm")),1,0)</f>
        <v/>
      </c>
      <c r="H3228">
        <f>IF(OR(H3227=1,G3228=1),1,0)</f>
        <v/>
      </c>
      <c r="I3228">
        <f>IF(H3227=0,1,SUMPRODUCT(J3227:N3227,B3228:F3228)+O3227*(1+0.00023125256064071564))</f>
        <v/>
      </c>
      <c r="J3228">
        <f>IF(G3228=1,0.2*R3228/B3228,J3227)</f>
        <v/>
      </c>
      <c r="K3228">
        <f>IF(G3228=1,0.2*R3228/C3228,K3227)</f>
        <v/>
      </c>
      <c r="L3228">
        <f>IF(G3228=1,0.2*R3228/D3228,L3227)</f>
        <v/>
      </c>
      <c r="M3228">
        <f>IF(G3228=1,0.2*R3228/E3228,M3227)</f>
        <v/>
      </c>
      <c r="N3228">
        <f>IF(G3228=1,0.2*R3228/F3228,N3227)</f>
        <v/>
      </c>
      <c r="O3228">
        <f>IF(G3228=1,R3228*(1-1.0),IF(H3227=0,1,O3227*(1+0.00023125256064071564)))</f>
        <v/>
      </c>
      <c r="P3228">
        <f>IF(G3228=1,IF(H3227=0,1,ABS(0.2-J3227*B3228/I3228)+ABS(0.2-K3227*C3228/I3228)+ABS(0.2-L3227*D3228/I3228)+ABS(0.2-M3227*E3228/I3228)+ABS(0.2-N3227*F3228/I3228)),0)</f>
        <v/>
      </c>
      <c r="Q3228">
        <f>P3228*0.0015</f>
        <v/>
      </c>
      <c r="R3228">
        <f>I3228*(1-Q3228)</f>
        <v/>
      </c>
      <c r="S3228">
        <f>R3228/R3227-1</f>
        <v/>
      </c>
      <c r="T3228">
        <f>MAX(T3227,R3228)</f>
        <v/>
      </c>
      <c r="U3228">
        <f>R3228/T3228-1</f>
        <v/>
      </c>
      <c r="V3228" t="n">
        <v>9.143120648640677</v>
      </c>
      <c r="W3228" s="5">
        <f>R3228-V3228</f>
        <v/>
      </c>
    </row>
    <row r="3229">
      <c r="A3229" s="3" t="n">
        <v>43194</v>
      </c>
      <c r="B3229">
        <f>Prices!B3229</f>
        <v/>
      </c>
      <c r="C3229">
        <f>Prices!C3229</f>
        <v/>
      </c>
      <c r="D3229">
        <f>Prices!D3229</f>
        <v/>
      </c>
      <c r="E3229">
        <f>Prices!E3229</f>
        <v/>
      </c>
      <c r="F3229">
        <f>Prices!F3229</f>
        <v/>
      </c>
      <c r="G3229">
        <f>IF(AND(3227&gt;=16,TEXT(A3229,"yyyy-mm")&lt;&gt;TEXT(A3230,"yyyy-mm")),1,0)</f>
        <v/>
      </c>
      <c r="H3229">
        <f>IF(OR(H3228=1,G3229=1),1,0)</f>
        <v/>
      </c>
      <c r="I3229">
        <f>IF(H3228=0,1,SUMPRODUCT(J3228:N3228,B3229:F3229)+O3228*(1+0.00023125256064071564))</f>
        <v/>
      </c>
      <c r="J3229">
        <f>IF(G3229=1,0.2*R3229/B3229,J3228)</f>
        <v/>
      </c>
      <c r="K3229">
        <f>IF(G3229=1,0.2*R3229/C3229,K3228)</f>
        <v/>
      </c>
      <c r="L3229">
        <f>IF(G3229=1,0.2*R3229/D3229,L3228)</f>
        <v/>
      </c>
      <c r="M3229">
        <f>IF(G3229=1,0.2*R3229/E3229,M3228)</f>
        <v/>
      </c>
      <c r="N3229">
        <f>IF(G3229=1,0.2*R3229/F3229,N3228)</f>
        <v/>
      </c>
      <c r="O3229">
        <f>IF(G3229=1,R3229*(1-1.0),IF(H3228=0,1,O3228*(1+0.00023125256064071564)))</f>
        <v/>
      </c>
      <c r="P3229">
        <f>IF(G3229=1,IF(H3228=0,1,ABS(0.2-J3228*B3229/I3229)+ABS(0.2-K3228*C3229/I3229)+ABS(0.2-L3228*D3229/I3229)+ABS(0.2-M3228*E3229/I3229)+ABS(0.2-N3228*F3229/I3229)),0)</f>
        <v/>
      </c>
      <c r="Q3229">
        <f>P3229*0.0015</f>
        <v/>
      </c>
      <c r="R3229">
        <f>I3229*(1-Q3229)</f>
        <v/>
      </c>
      <c r="S3229">
        <f>R3229/R3228-1</f>
        <v/>
      </c>
      <c r="T3229">
        <f>MAX(T3228,R3229)</f>
        <v/>
      </c>
      <c r="U3229">
        <f>R3229/T3229-1</f>
        <v/>
      </c>
      <c r="V3229" t="n">
        <v>9.01633038884731</v>
      </c>
      <c r="W3229" s="5">
        <f>R3229-V3229</f>
        <v/>
      </c>
    </row>
    <row r="3230">
      <c r="A3230" s="3" t="n">
        <v>43195</v>
      </c>
      <c r="B3230">
        <f>Prices!B3230</f>
        <v/>
      </c>
      <c r="C3230">
        <f>Prices!C3230</f>
        <v/>
      </c>
      <c r="D3230">
        <f>Prices!D3230</f>
        <v/>
      </c>
      <c r="E3230">
        <f>Prices!E3230</f>
        <v/>
      </c>
      <c r="F3230">
        <f>Prices!F3230</f>
        <v/>
      </c>
      <c r="G3230">
        <f>IF(AND(3228&gt;=16,TEXT(A3230,"yyyy-mm")&lt;&gt;TEXT(A3231,"yyyy-mm")),1,0)</f>
        <v/>
      </c>
      <c r="H3230">
        <f>IF(OR(H3229=1,G3230=1),1,0)</f>
        <v/>
      </c>
      <c r="I3230">
        <f>IF(H3229=0,1,SUMPRODUCT(J3229:N3229,B3230:F3230)+O3229*(1+0.00023125256064071564))</f>
        <v/>
      </c>
      <c r="J3230">
        <f>IF(G3230=1,0.2*R3230/B3230,J3229)</f>
        <v/>
      </c>
      <c r="K3230">
        <f>IF(G3230=1,0.2*R3230/C3230,K3229)</f>
        <v/>
      </c>
      <c r="L3230">
        <f>IF(G3230=1,0.2*R3230/D3230,L3229)</f>
        <v/>
      </c>
      <c r="M3230">
        <f>IF(G3230=1,0.2*R3230/E3230,M3229)</f>
        <v/>
      </c>
      <c r="N3230">
        <f>IF(G3230=1,0.2*R3230/F3230,N3229)</f>
        <v/>
      </c>
      <c r="O3230">
        <f>IF(G3230=1,R3230*(1-1.0),IF(H3229=0,1,O3229*(1+0.00023125256064071564)))</f>
        <v/>
      </c>
      <c r="P3230">
        <f>IF(G3230=1,IF(H3229=0,1,ABS(0.2-J3229*B3230/I3230)+ABS(0.2-K3229*C3230/I3230)+ABS(0.2-L3229*D3230/I3230)+ABS(0.2-M3229*E3230/I3230)+ABS(0.2-N3229*F3230/I3230)),0)</f>
        <v/>
      </c>
      <c r="Q3230">
        <f>P3230*0.0015</f>
        <v/>
      </c>
      <c r="R3230">
        <f>I3230*(1-Q3230)</f>
        <v/>
      </c>
      <c r="S3230">
        <f>R3230/R3229-1</f>
        <v/>
      </c>
      <c r="T3230">
        <f>MAX(T3229,R3230)</f>
        <v/>
      </c>
      <c r="U3230">
        <f>R3230/T3230-1</f>
        <v/>
      </c>
      <c r="V3230" t="n">
        <v>9.197356459376696</v>
      </c>
      <c r="W3230" s="5">
        <f>R3230-V3230</f>
        <v/>
      </c>
    </row>
    <row r="3231">
      <c r="A3231" s="3" t="n">
        <v>43196</v>
      </c>
      <c r="B3231">
        <f>Prices!B3231</f>
        <v/>
      </c>
      <c r="C3231">
        <f>Prices!C3231</f>
        <v/>
      </c>
      <c r="D3231">
        <f>Prices!D3231</f>
        <v/>
      </c>
      <c r="E3231">
        <f>Prices!E3231</f>
        <v/>
      </c>
      <c r="F3231">
        <f>Prices!F3231</f>
        <v/>
      </c>
      <c r="G3231">
        <f>IF(AND(3229&gt;=16,TEXT(A3231,"yyyy-mm")&lt;&gt;TEXT(A3232,"yyyy-mm")),1,0)</f>
        <v/>
      </c>
      <c r="H3231">
        <f>IF(OR(H3230=1,G3231=1),1,0)</f>
        <v/>
      </c>
      <c r="I3231">
        <f>IF(H3230=0,1,SUMPRODUCT(J3230:N3230,B3231:F3231)+O3230*(1+0.00023125256064071564))</f>
        <v/>
      </c>
      <c r="J3231">
        <f>IF(G3231=1,0.2*R3231/B3231,J3230)</f>
        <v/>
      </c>
      <c r="K3231">
        <f>IF(G3231=1,0.2*R3231/C3231,K3230)</f>
        <v/>
      </c>
      <c r="L3231">
        <f>IF(G3231=1,0.2*R3231/D3231,L3230)</f>
        <v/>
      </c>
      <c r="M3231">
        <f>IF(G3231=1,0.2*R3231/E3231,M3230)</f>
        <v/>
      </c>
      <c r="N3231">
        <f>IF(G3231=1,0.2*R3231/F3231,N3230)</f>
        <v/>
      </c>
      <c r="O3231">
        <f>IF(G3231=1,R3231*(1-1.0),IF(H3230=0,1,O3230*(1+0.00023125256064071564)))</f>
        <v/>
      </c>
      <c r="P3231">
        <f>IF(G3231=1,IF(H3230=0,1,ABS(0.2-J3230*B3231/I3231)+ABS(0.2-K3230*C3231/I3231)+ABS(0.2-L3230*D3231/I3231)+ABS(0.2-M3230*E3231/I3231)+ABS(0.2-N3230*F3231/I3231)),0)</f>
        <v/>
      </c>
      <c r="Q3231">
        <f>P3231*0.0015</f>
        <v/>
      </c>
      <c r="R3231">
        <f>I3231*(1-Q3231)</f>
        <v/>
      </c>
      <c r="S3231">
        <f>R3231/R3230-1</f>
        <v/>
      </c>
      <c r="T3231">
        <f>MAX(T3230,R3231)</f>
        <v/>
      </c>
      <c r="U3231">
        <f>R3231/T3231-1</f>
        <v/>
      </c>
      <c r="V3231" t="n">
        <v>9.237368607720351</v>
      </c>
      <c r="W3231" s="5">
        <f>R3231-V3231</f>
        <v/>
      </c>
    </row>
    <row r="3232">
      <c r="A3232" s="3" t="n">
        <v>43199</v>
      </c>
      <c r="B3232">
        <f>Prices!B3232</f>
        <v/>
      </c>
      <c r="C3232">
        <f>Prices!C3232</f>
        <v/>
      </c>
      <c r="D3232">
        <f>Prices!D3232</f>
        <v/>
      </c>
      <c r="E3232">
        <f>Prices!E3232</f>
        <v/>
      </c>
      <c r="F3232">
        <f>Prices!F3232</f>
        <v/>
      </c>
      <c r="G3232">
        <f>IF(AND(3230&gt;=16,TEXT(A3232,"yyyy-mm")&lt;&gt;TEXT(A3233,"yyyy-mm")),1,0)</f>
        <v/>
      </c>
      <c r="H3232">
        <f>IF(OR(H3231=1,G3232=1),1,0)</f>
        <v/>
      </c>
      <c r="I3232">
        <f>IF(H3231=0,1,SUMPRODUCT(J3231:N3231,B3232:F3232)+O3231*(1+0.00023125256064071564))</f>
        <v/>
      </c>
      <c r="J3232">
        <f>IF(G3232=1,0.2*R3232/B3232,J3231)</f>
        <v/>
      </c>
      <c r="K3232">
        <f>IF(G3232=1,0.2*R3232/C3232,K3231)</f>
        <v/>
      </c>
      <c r="L3232">
        <f>IF(G3232=1,0.2*R3232/D3232,L3231)</f>
        <v/>
      </c>
      <c r="M3232">
        <f>IF(G3232=1,0.2*R3232/E3232,M3231)</f>
        <v/>
      </c>
      <c r="N3232">
        <f>IF(G3232=1,0.2*R3232/F3232,N3231)</f>
        <v/>
      </c>
      <c r="O3232">
        <f>IF(G3232=1,R3232*(1-1.0),IF(H3231=0,1,O3231*(1+0.00023125256064071564)))</f>
        <v/>
      </c>
      <c r="P3232">
        <f>IF(G3232=1,IF(H3231=0,1,ABS(0.2-J3231*B3232/I3232)+ABS(0.2-K3231*C3232/I3232)+ABS(0.2-L3231*D3232/I3232)+ABS(0.2-M3231*E3232/I3232)+ABS(0.2-N3231*F3232/I3232)),0)</f>
        <v/>
      </c>
      <c r="Q3232">
        <f>P3232*0.0015</f>
        <v/>
      </c>
      <c r="R3232">
        <f>I3232*(1-Q3232)</f>
        <v/>
      </c>
      <c r="S3232">
        <f>R3232/R3231-1</f>
        <v/>
      </c>
      <c r="T3232">
        <f>MAX(T3231,R3232)</f>
        <v/>
      </c>
      <c r="U3232">
        <f>R3232/T3232-1</f>
        <v/>
      </c>
      <c r="V3232" t="n">
        <v>9.26763176670063</v>
      </c>
      <c r="W3232" s="5">
        <f>R3232-V3232</f>
        <v/>
      </c>
    </row>
    <row r="3233">
      <c r="A3233" s="3" t="n">
        <v>43200</v>
      </c>
      <c r="B3233">
        <f>Prices!B3233</f>
        <v/>
      </c>
      <c r="C3233">
        <f>Prices!C3233</f>
        <v/>
      </c>
      <c r="D3233">
        <f>Prices!D3233</f>
        <v/>
      </c>
      <c r="E3233">
        <f>Prices!E3233</f>
        <v/>
      </c>
      <c r="F3233">
        <f>Prices!F3233</f>
        <v/>
      </c>
      <c r="G3233">
        <f>IF(AND(3231&gt;=16,TEXT(A3233,"yyyy-mm")&lt;&gt;TEXT(A3234,"yyyy-mm")),1,0)</f>
        <v/>
      </c>
      <c r="H3233">
        <f>IF(OR(H3232=1,G3233=1),1,0)</f>
        <v/>
      </c>
      <c r="I3233">
        <f>IF(H3232=0,1,SUMPRODUCT(J3232:N3232,B3233:F3233)+O3232*(1+0.00023125256064071564))</f>
        <v/>
      </c>
      <c r="J3233">
        <f>IF(G3233=1,0.2*R3233/B3233,J3232)</f>
        <v/>
      </c>
      <c r="K3233">
        <f>IF(G3233=1,0.2*R3233/C3233,K3232)</f>
        <v/>
      </c>
      <c r="L3233">
        <f>IF(G3233=1,0.2*R3233/D3233,L3232)</f>
        <v/>
      </c>
      <c r="M3233">
        <f>IF(G3233=1,0.2*R3233/E3233,M3232)</f>
        <v/>
      </c>
      <c r="N3233">
        <f>IF(G3233=1,0.2*R3233/F3233,N3232)</f>
        <v/>
      </c>
      <c r="O3233">
        <f>IF(G3233=1,R3233*(1-1.0),IF(H3232=0,1,O3232*(1+0.00023125256064071564)))</f>
        <v/>
      </c>
      <c r="P3233">
        <f>IF(G3233=1,IF(H3232=0,1,ABS(0.2-J3232*B3233/I3233)+ABS(0.2-K3232*C3233/I3233)+ABS(0.2-L3232*D3233/I3233)+ABS(0.2-M3232*E3233/I3233)+ABS(0.2-N3232*F3233/I3233)),0)</f>
        <v/>
      </c>
      <c r="Q3233">
        <f>P3233*0.0015</f>
        <v/>
      </c>
      <c r="R3233">
        <f>I3233*(1-Q3233)</f>
        <v/>
      </c>
      <c r="S3233">
        <f>R3233/R3232-1</f>
        <v/>
      </c>
      <c r="T3233">
        <f>MAX(T3232,R3233)</f>
        <v/>
      </c>
      <c r="U3233">
        <f>R3233/T3233-1</f>
        <v/>
      </c>
      <c r="V3233" t="n">
        <v>9.262306822006241</v>
      </c>
      <c r="W3233" s="5">
        <f>R3233-V3233</f>
        <v/>
      </c>
    </row>
    <row r="3234">
      <c r="A3234" s="3" t="n">
        <v>43201</v>
      </c>
      <c r="B3234">
        <f>Prices!B3234</f>
        <v/>
      </c>
      <c r="C3234">
        <f>Prices!C3234</f>
        <v/>
      </c>
      <c r="D3234">
        <f>Prices!D3234</f>
        <v/>
      </c>
      <c r="E3234">
        <f>Prices!E3234</f>
        <v/>
      </c>
      <c r="F3234">
        <f>Prices!F3234</f>
        <v/>
      </c>
      <c r="G3234">
        <f>IF(AND(3232&gt;=16,TEXT(A3234,"yyyy-mm")&lt;&gt;TEXT(A3235,"yyyy-mm")),1,0)</f>
        <v/>
      </c>
      <c r="H3234">
        <f>IF(OR(H3233=1,G3234=1),1,0)</f>
        <v/>
      </c>
      <c r="I3234">
        <f>IF(H3233=0,1,SUMPRODUCT(J3233:N3233,B3234:F3234)+O3233*(1+0.00023125256064071564))</f>
        <v/>
      </c>
      <c r="J3234">
        <f>IF(G3234=1,0.2*R3234/B3234,J3233)</f>
        <v/>
      </c>
      <c r="K3234">
        <f>IF(G3234=1,0.2*R3234/C3234,K3233)</f>
        <v/>
      </c>
      <c r="L3234">
        <f>IF(G3234=1,0.2*R3234/D3234,L3233)</f>
        <v/>
      </c>
      <c r="M3234">
        <f>IF(G3234=1,0.2*R3234/E3234,M3233)</f>
        <v/>
      </c>
      <c r="N3234">
        <f>IF(G3234=1,0.2*R3234/F3234,N3233)</f>
        <v/>
      </c>
      <c r="O3234">
        <f>IF(G3234=1,R3234*(1-1.0),IF(H3233=0,1,O3233*(1+0.00023125256064071564)))</f>
        <v/>
      </c>
      <c r="P3234">
        <f>IF(G3234=1,IF(H3233=0,1,ABS(0.2-J3233*B3234/I3234)+ABS(0.2-K3233*C3234/I3234)+ABS(0.2-L3233*D3234/I3234)+ABS(0.2-M3233*E3234/I3234)+ABS(0.2-N3233*F3234/I3234)),0)</f>
        <v/>
      </c>
      <c r="Q3234">
        <f>P3234*0.0015</f>
        <v/>
      </c>
      <c r="R3234">
        <f>I3234*(1-Q3234)</f>
        <v/>
      </c>
      <c r="S3234">
        <f>R3234/R3233-1</f>
        <v/>
      </c>
      <c r="T3234">
        <f>MAX(T3233,R3234)</f>
        <v/>
      </c>
      <c r="U3234">
        <f>R3234/T3234-1</f>
        <v/>
      </c>
      <c r="V3234" t="n">
        <v>9.268853768549695</v>
      </c>
      <c r="W3234" s="5">
        <f>R3234-V3234</f>
        <v/>
      </c>
    </row>
    <row r="3235">
      <c r="A3235" s="3" t="n">
        <v>43202</v>
      </c>
      <c r="B3235">
        <f>Prices!B3235</f>
        <v/>
      </c>
      <c r="C3235">
        <f>Prices!C3235</f>
        <v/>
      </c>
      <c r="D3235">
        <f>Prices!D3235</f>
        <v/>
      </c>
      <c r="E3235">
        <f>Prices!E3235</f>
        <v/>
      </c>
      <c r="F3235">
        <f>Prices!F3235</f>
        <v/>
      </c>
      <c r="G3235">
        <f>IF(AND(3233&gt;=16,TEXT(A3235,"yyyy-mm")&lt;&gt;TEXT(A3236,"yyyy-mm")),1,0)</f>
        <v/>
      </c>
      <c r="H3235">
        <f>IF(OR(H3234=1,G3235=1),1,0)</f>
        <v/>
      </c>
      <c r="I3235">
        <f>IF(H3234=0,1,SUMPRODUCT(J3234:N3234,B3235:F3235)+O3234*(1+0.00023125256064071564))</f>
        <v/>
      </c>
      <c r="J3235">
        <f>IF(G3235=1,0.2*R3235/B3235,J3234)</f>
        <v/>
      </c>
      <c r="K3235">
        <f>IF(G3235=1,0.2*R3235/C3235,K3234)</f>
        <v/>
      </c>
      <c r="L3235">
        <f>IF(G3235=1,0.2*R3235/D3235,L3234)</f>
        <v/>
      </c>
      <c r="M3235">
        <f>IF(G3235=1,0.2*R3235/E3235,M3234)</f>
        <v/>
      </c>
      <c r="N3235">
        <f>IF(G3235=1,0.2*R3235/F3235,N3234)</f>
        <v/>
      </c>
      <c r="O3235">
        <f>IF(G3235=1,R3235*(1-1.0),IF(H3234=0,1,O3234*(1+0.00023125256064071564)))</f>
        <v/>
      </c>
      <c r="P3235">
        <f>IF(G3235=1,IF(H3234=0,1,ABS(0.2-J3234*B3235/I3235)+ABS(0.2-K3234*C3235/I3235)+ABS(0.2-L3234*D3235/I3235)+ABS(0.2-M3234*E3235/I3235)+ABS(0.2-N3234*F3235/I3235)),0)</f>
        <v/>
      </c>
      <c r="Q3235">
        <f>P3235*0.0015</f>
        <v/>
      </c>
      <c r="R3235">
        <f>I3235*(1-Q3235)</f>
        <v/>
      </c>
      <c r="S3235">
        <f>R3235/R3234-1</f>
        <v/>
      </c>
      <c r="T3235">
        <f>MAX(T3234,R3235)</f>
        <v/>
      </c>
      <c r="U3235">
        <f>R3235/T3235-1</f>
        <v/>
      </c>
      <c r="V3235" t="n">
        <v>9.250312802819973</v>
      </c>
      <c r="W3235" s="5">
        <f>R3235-V3235</f>
        <v/>
      </c>
    </row>
    <row r="3236">
      <c r="A3236" s="3" t="n">
        <v>43203</v>
      </c>
      <c r="B3236">
        <f>Prices!B3236</f>
        <v/>
      </c>
      <c r="C3236">
        <f>Prices!C3236</f>
        <v/>
      </c>
      <c r="D3236">
        <f>Prices!D3236</f>
        <v/>
      </c>
      <c r="E3236">
        <f>Prices!E3236</f>
        <v/>
      </c>
      <c r="F3236">
        <f>Prices!F3236</f>
        <v/>
      </c>
      <c r="G3236">
        <f>IF(AND(3234&gt;=16,TEXT(A3236,"yyyy-mm")&lt;&gt;TEXT(A3237,"yyyy-mm")),1,0)</f>
        <v/>
      </c>
      <c r="H3236">
        <f>IF(OR(H3235=1,G3236=1),1,0)</f>
        <v/>
      </c>
      <c r="I3236">
        <f>IF(H3235=0,1,SUMPRODUCT(J3235:N3235,B3236:F3236)+O3235*(1+0.00023125256064071564))</f>
        <v/>
      </c>
      <c r="J3236">
        <f>IF(G3236=1,0.2*R3236/B3236,J3235)</f>
        <v/>
      </c>
      <c r="K3236">
        <f>IF(G3236=1,0.2*R3236/C3236,K3235)</f>
        <v/>
      </c>
      <c r="L3236">
        <f>IF(G3236=1,0.2*R3236/D3236,L3235)</f>
        <v/>
      </c>
      <c r="M3236">
        <f>IF(G3236=1,0.2*R3236/E3236,M3235)</f>
        <v/>
      </c>
      <c r="N3236">
        <f>IF(G3236=1,0.2*R3236/F3236,N3235)</f>
        <v/>
      </c>
      <c r="O3236">
        <f>IF(G3236=1,R3236*(1-1.0),IF(H3235=0,1,O3235*(1+0.00023125256064071564)))</f>
        <v/>
      </c>
      <c r="P3236">
        <f>IF(G3236=1,IF(H3235=0,1,ABS(0.2-J3235*B3236/I3236)+ABS(0.2-K3235*C3236/I3236)+ABS(0.2-L3235*D3236/I3236)+ABS(0.2-M3235*E3236/I3236)+ABS(0.2-N3235*F3236/I3236)),0)</f>
        <v/>
      </c>
      <c r="Q3236">
        <f>P3236*0.0015</f>
        <v/>
      </c>
      <c r="R3236">
        <f>I3236*(1-Q3236)</f>
        <v/>
      </c>
      <c r="S3236">
        <f>R3236/R3235-1</f>
        <v/>
      </c>
      <c r="T3236">
        <f>MAX(T3235,R3236)</f>
        <v/>
      </c>
      <c r="U3236">
        <f>R3236/T3236-1</f>
        <v/>
      </c>
      <c r="V3236" t="n">
        <v>9.305526206837714</v>
      </c>
      <c r="W3236" s="5">
        <f>R3236-V3236</f>
        <v/>
      </c>
    </row>
    <row r="3237">
      <c r="A3237" s="3" t="n">
        <v>43206</v>
      </c>
      <c r="B3237">
        <f>Prices!B3237</f>
        <v/>
      </c>
      <c r="C3237">
        <f>Prices!C3237</f>
        <v/>
      </c>
      <c r="D3237">
        <f>Prices!D3237</f>
        <v/>
      </c>
      <c r="E3237">
        <f>Prices!E3237</f>
        <v/>
      </c>
      <c r="F3237">
        <f>Prices!F3237</f>
        <v/>
      </c>
      <c r="G3237">
        <f>IF(AND(3235&gt;=16,TEXT(A3237,"yyyy-mm")&lt;&gt;TEXT(A3238,"yyyy-mm")),1,0)</f>
        <v/>
      </c>
      <c r="H3237">
        <f>IF(OR(H3236=1,G3237=1),1,0)</f>
        <v/>
      </c>
      <c r="I3237">
        <f>IF(H3236=0,1,SUMPRODUCT(J3236:N3236,B3237:F3237)+O3236*(1+0.00023125256064071564))</f>
        <v/>
      </c>
      <c r="J3237">
        <f>IF(G3237=1,0.2*R3237/B3237,J3236)</f>
        <v/>
      </c>
      <c r="K3237">
        <f>IF(G3237=1,0.2*R3237/C3237,K3236)</f>
        <v/>
      </c>
      <c r="L3237">
        <f>IF(G3237=1,0.2*R3237/D3237,L3236)</f>
        <v/>
      </c>
      <c r="M3237">
        <f>IF(G3237=1,0.2*R3237/E3237,M3236)</f>
        <v/>
      </c>
      <c r="N3237">
        <f>IF(G3237=1,0.2*R3237/F3237,N3236)</f>
        <v/>
      </c>
      <c r="O3237">
        <f>IF(G3237=1,R3237*(1-1.0),IF(H3236=0,1,O3236*(1+0.00023125256064071564)))</f>
        <v/>
      </c>
      <c r="P3237">
        <f>IF(G3237=1,IF(H3236=0,1,ABS(0.2-J3236*B3237/I3237)+ABS(0.2-K3236*C3237/I3237)+ABS(0.2-L3236*D3237/I3237)+ABS(0.2-M3236*E3237/I3237)+ABS(0.2-N3236*F3237/I3237)),0)</f>
        <v/>
      </c>
      <c r="Q3237">
        <f>P3237*0.0015</f>
        <v/>
      </c>
      <c r="R3237">
        <f>I3237*(1-Q3237)</f>
        <v/>
      </c>
      <c r="S3237">
        <f>R3237/R3236-1</f>
        <v/>
      </c>
      <c r="T3237">
        <f>MAX(T3236,R3237)</f>
        <v/>
      </c>
      <c r="U3237">
        <f>R3237/T3237-1</f>
        <v/>
      </c>
      <c r="V3237" t="n">
        <v>9.414121081956395</v>
      </c>
      <c r="W3237" s="5">
        <f>R3237-V3237</f>
        <v/>
      </c>
    </row>
    <row r="3238">
      <c r="A3238" s="3" t="n">
        <v>43207</v>
      </c>
      <c r="B3238">
        <f>Prices!B3238</f>
        <v/>
      </c>
      <c r="C3238">
        <f>Prices!C3238</f>
        <v/>
      </c>
      <c r="D3238">
        <f>Prices!D3238</f>
        <v/>
      </c>
      <c r="E3238">
        <f>Prices!E3238</f>
        <v/>
      </c>
      <c r="F3238">
        <f>Prices!F3238</f>
        <v/>
      </c>
      <c r="G3238">
        <f>IF(AND(3236&gt;=16,TEXT(A3238,"yyyy-mm")&lt;&gt;TEXT(A3239,"yyyy-mm")),1,0)</f>
        <v/>
      </c>
      <c r="H3238">
        <f>IF(OR(H3237=1,G3238=1),1,0)</f>
        <v/>
      </c>
      <c r="I3238">
        <f>IF(H3237=0,1,SUMPRODUCT(J3237:N3237,B3238:F3238)+O3237*(1+0.00023125256064071564))</f>
        <v/>
      </c>
      <c r="J3238">
        <f>IF(G3238=1,0.2*R3238/B3238,J3237)</f>
        <v/>
      </c>
      <c r="K3238">
        <f>IF(G3238=1,0.2*R3238/C3238,K3237)</f>
        <v/>
      </c>
      <c r="L3238">
        <f>IF(G3238=1,0.2*R3238/D3238,L3237)</f>
        <v/>
      </c>
      <c r="M3238">
        <f>IF(G3238=1,0.2*R3238/E3238,M3237)</f>
        <v/>
      </c>
      <c r="N3238">
        <f>IF(G3238=1,0.2*R3238/F3238,N3237)</f>
        <v/>
      </c>
      <c r="O3238">
        <f>IF(G3238=1,R3238*(1-1.0),IF(H3237=0,1,O3237*(1+0.00023125256064071564)))</f>
        <v/>
      </c>
      <c r="P3238">
        <f>IF(G3238=1,IF(H3237=0,1,ABS(0.2-J3237*B3238/I3238)+ABS(0.2-K3237*C3238/I3238)+ABS(0.2-L3237*D3238/I3238)+ABS(0.2-M3237*E3238/I3238)+ABS(0.2-N3237*F3238/I3238)),0)</f>
        <v/>
      </c>
      <c r="Q3238">
        <f>P3238*0.0015</f>
        <v/>
      </c>
      <c r="R3238">
        <f>I3238*(1-Q3238)</f>
        <v/>
      </c>
      <c r="S3238">
        <f>R3238/R3237-1</f>
        <v/>
      </c>
      <c r="T3238">
        <f>MAX(T3237,R3238)</f>
        <v/>
      </c>
      <c r="U3238">
        <f>R3238/T3238-1</f>
        <v/>
      </c>
      <c r="V3238" t="n">
        <v>9.421149820414552</v>
      </c>
      <c r="W3238" s="5">
        <f>R3238-V3238</f>
        <v/>
      </c>
    </row>
    <row r="3239">
      <c r="A3239" s="3" t="n">
        <v>43208</v>
      </c>
      <c r="B3239">
        <f>Prices!B3239</f>
        <v/>
      </c>
      <c r="C3239">
        <f>Prices!C3239</f>
        <v/>
      </c>
      <c r="D3239">
        <f>Prices!D3239</f>
        <v/>
      </c>
      <c r="E3239">
        <f>Prices!E3239</f>
        <v/>
      </c>
      <c r="F3239">
        <f>Prices!F3239</f>
        <v/>
      </c>
      <c r="G3239">
        <f>IF(AND(3237&gt;=16,TEXT(A3239,"yyyy-mm")&lt;&gt;TEXT(A3240,"yyyy-mm")),1,0)</f>
        <v/>
      </c>
      <c r="H3239">
        <f>IF(OR(H3238=1,G3239=1),1,0)</f>
        <v/>
      </c>
      <c r="I3239">
        <f>IF(H3238=0,1,SUMPRODUCT(J3238:N3238,B3239:F3239)+O3238*(1+0.00023125256064071564))</f>
        <v/>
      </c>
      <c r="J3239">
        <f>IF(G3239=1,0.2*R3239/B3239,J3238)</f>
        <v/>
      </c>
      <c r="K3239">
        <f>IF(G3239=1,0.2*R3239/C3239,K3238)</f>
        <v/>
      </c>
      <c r="L3239">
        <f>IF(G3239=1,0.2*R3239/D3239,L3238)</f>
        <v/>
      </c>
      <c r="M3239">
        <f>IF(G3239=1,0.2*R3239/E3239,M3238)</f>
        <v/>
      </c>
      <c r="N3239">
        <f>IF(G3239=1,0.2*R3239/F3239,N3238)</f>
        <v/>
      </c>
      <c r="O3239">
        <f>IF(G3239=1,R3239*(1-1.0),IF(H3238=0,1,O3238*(1+0.00023125256064071564)))</f>
        <v/>
      </c>
      <c r="P3239">
        <f>IF(G3239=1,IF(H3238=0,1,ABS(0.2-J3238*B3239/I3239)+ABS(0.2-K3238*C3239/I3239)+ABS(0.2-L3238*D3239/I3239)+ABS(0.2-M3238*E3239/I3239)+ABS(0.2-N3238*F3239/I3239)),0)</f>
        <v/>
      </c>
      <c r="Q3239">
        <f>P3239*0.0015</f>
        <v/>
      </c>
      <c r="R3239">
        <f>I3239*(1-Q3239)</f>
        <v/>
      </c>
      <c r="S3239">
        <f>R3239/R3238-1</f>
        <v/>
      </c>
      <c r="T3239">
        <f>MAX(T3238,R3239)</f>
        <v/>
      </c>
      <c r="U3239">
        <f>R3239/T3239-1</f>
        <v/>
      </c>
      <c r="V3239" t="n">
        <v>9.424902016250472</v>
      </c>
      <c r="W3239" s="5">
        <f>R3239-V3239</f>
        <v/>
      </c>
    </row>
    <row r="3240">
      <c r="A3240" s="3" t="n">
        <v>43209</v>
      </c>
      <c r="B3240">
        <f>Prices!B3240</f>
        <v/>
      </c>
      <c r="C3240">
        <f>Prices!C3240</f>
        <v/>
      </c>
      <c r="D3240">
        <f>Prices!D3240</f>
        <v/>
      </c>
      <c r="E3240">
        <f>Prices!E3240</f>
        <v/>
      </c>
      <c r="F3240">
        <f>Prices!F3240</f>
        <v/>
      </c>
      <c r="G3240">
        <f>IF(AND(3238&gt;=16,TEXT(A3240,"yyyy-mm")&lt;&gt;TEXT(A3241,"yyyy-mm")),1,0)</f>
        <v/>
      </c>
      <c r="H3240">
        <f>IF(OR(H3239=1,G3240=1),1,0)</f>
        <v/>
      </c>
      <c r="I3240">
        <f>IF(H3239=0,1,SUMPRODUCT(J3239:N3239,B3240:F3240)+O3239*(1+0.00023125256064071564))</f>
        <v/>
      </c>
      <c r="J3240">
        <f>IF(G3240=1,0.2*R3240/B3240,J3239)</f>
        <v/>
      </c>
      <c r="K3240">
        <f>IF(G3240=1,0.2*R3240/C3240,K3239)</f>
        <v/>
      </c>
      <c r="L3240">
        <f>IF(G3240=1,0.2*R3240/D3240,L3239)</f>
        <v/>
      </c>
      <c r="M3240">
        <f>IF(G3240=1,0.2*R3240/E3240,M3239)</f>
        <v/>
      </c>
      <c r="N3240">
        <f>IF(G3240=1,0.2*R3240/F3240,N3239)</f>
        <v/>
      </c>
      <c r="O3240">
        <f>IF(G3240=1,R3240*(1-1.0),IF(H3239=0,1,O3239*(1+0.00023125256064071564)))</f>
        <v/>
      </c>
      <c r="P3240">
        <f>IF(G3240=1,IF(H3239=0,1,ABS(0.2-J3239*B3240/I3240)+ABS(0.2-K3239*C3240/I3240)+ABS(0.2-L3239*D3240/I3240)+ABS(0.2-M3239*E3240/I3240)+ABS(0.2-N3239*F3240/I3240)),0)</f>
        <v/>
      </c>
      <c r="Q3240">
        <f>P3240*0.0015</f>
        <v/>
      </c>
      <c r="R3240">
        <f>I3240*(1-Q3240)</f>
        <v/>
      </c>
      <c r="S3240">
        <f>R3240/R3239-1</f>
        <v/>
      </c>
      <c r="T3240">
        <f>MAX(T3239,R3240)</f>
        <v/>
      </c>
      <c r="U3240">
        <f>R3240/T3240-1</f>
        <v/>
      </c>
      <c r="V3240" t="n">
        <v>9.479465551416668</v>
      </c>
      <c r="W3240" s="5">
        <f>R3240-V3240</f>
        <v/>
      </c>
    </row>
    <row r="3241">
      <c r="A3241" s="3" t="n">
        <v>43210</v>
      </c>
      <c r="B3241">
        <f>Prices!B3241</f>
        <v/>
      </c>
      <c r="C3241">
        <f>Prices!C3241</f>
        <v/>
      </c>
      <c r="D3241">
        <f>Prices!D3241</f>
        <v/>
      </c>
      <c r="E3241">
        <f>Prices!E3241</f>
        <v/>
      </c>
      <c r="F3241">
        <f>Prices!F3241</f>
        <v/>
      </c>
      <c r="G3241">
        <f>IF(AND(3239&gt;=16,TEXT(A3241,"yyyy-mm")&lt;&gt;TEXT(A3242,"yyyy-mm")),1,0)</f>
        <v/>
      </c>
      <c r="H3241">
        <f>IF(OR(H3240=1,G3241=1),1,0)</f>
        <v/>
      </c>
      <c r="I3241">
        <f>IF(H3240=0,1,SUMPRODUCT(J3240:N3240,B3241:F3241)+O3240*(1+0.00023125256064071564))</f>
        <v/>
      </c>
      <c r="J3241">
        <f>IF(G3241=1,0.2*R3241/B3241,J3240)</f>
        <v/>
      </c>
      <c r="K3241">
        <f>IF(G3241=1,0.2*R3241/C3241,K3240)</f>
        <v/>
      </c>
      <c r="L3241">
        <f>IF(G3241=1,0.2*R3241/D3241,L3240)</f>
        <v/>
      </c>
      <c r="M3241">
        <f>IF(G3241=1,0.2*R3241/E3241,M3240)</f>
        <v/>
      </c>
      <c r="N3241">
        <f>IF(G3241=1,0.2*R3241/F3241,N3240)</f>
        <v/>
      </c>
      <c r="O3241">
        <f>IF(G3241=1,R3241*(1-1.0),IF(H3240=0,1,O3240*(1+0.00023125256064071564)))</f>
        <v/>
      </c>
      <c r="P3241">
        <f>IF(G3241=1,IF(H3240=0,1,ABS(0.2-J3240*B3241/I3241)+ABS(0.2-K3240*C3241/I3241)+ABS(0.2-L3240*D3241/I3241)+ABS(0.2-M3240*E3241/I3241)+ABS(0.2-N3240*F3241/I3241)),0)</f>
        <v/>
      </c>
      <c r="Q3241">
        <f>P3241*0.0015</f>
        <v/>
      </c>
      <c r="R3241">
        <f>I3241*(1-Q3241)</f>
        <v/>
      </c>
      <c r="S3241">
        <f>R3241/R3240-1</f>
        <v/>
      </c>
      <c r="T3241">
        <f>MAX(T3240,R3241)</f>
        <v/>
      </c>
      <c r="U3241">
        <f>R3241/T3241-1</f>
        <v/>
      </c>
      <c r="V3241" t="n">
        <v>9.518293184486666</v>
      </c>
      <c r="W3241" s="5">
        <f>R3241-V3241</f>
        <v/>
      </c>
    </row>
    <row r="3242">
      <c r="A3242" s="3" t="n">
        <v>43213</v>
      </c>
      <c r="B3242">
        <f>Prices!B3242</f>
        <v/>
      </c>
      <c r="C3242">
        <f>Prices!C3242</f>
        <v/>
      </c>
      <c r="D3242">
        <f>Prices!D3242</f>
        <v/>
      </c>
      <c r="E3242">
        <f>Prices!E3242</f>
        <v/>
      </c>
      <c r="F3242">
        <f>Prices!F3242</f>
        <v/>
      </c>
      <c r="G3242">
        <f>IF(AND(3240&gt;=16,TEXT(A3242,"yyyy-mm")&lt;&gt;TEXT(A3243,"yyyy-mm")),1,0)</f>
        <v/>
      </c>
      <c r="H3242">
        <f>IF(OR(H3241=1,G3242=1),1,0)</f>
        <v/>
      </c>
      <c r="I3242">
        <f>IF(H3241=0,1,SUMPRODUCT(J3241:N3241,B3242:F3242)+O3241*(1+0.00023125256064071564))</f>
        <v/>
      </c>
      <c r="J3242">
        <f>IF(G3242=1,0.2*R3242/B3242,J3241)</f>
        <v/>
      </c>
      <c r="K3242">
        <f>IF(G3242=1,0.2*R3242/C3242,K3241)</f>
        <v/>
      </c>
      <c r="L3242">
        <f>IF(G3242=1,0.2*R3242/D3242,L3241)</f>
        <v/>
      </c>
      <c r="M3242">
        <f>IF(G3242=1,0.2*R3242/E3242,M3241)</f>
        <v/>
      </c>
      <c r="N3242">
        <f>IF(G3242=1,0.2*R3242/F3242,N3241)</f>
        <v/>
      </c>
      <c r="O3242">
        <f>IF(G3242=1,R3242*(1-1.0),IF(H3241=0,1,O3241*(1+0.00023125256064071564)))</f>
        <v/>
      </c>
      <c r="P3242">
        <f>IF(G3242=1,IF(H3241=0,1,ABS(0.2-J3241*B3242/I3242)+ABS(0.2-K3241*C3242/I3242)+ABS(0.2-L3241*D3242/I3242)+ABS(0.2-M3241*E3242/I3242)+ABS(0.2-N3241*F3242/I3242)),0)</f>
        <v/>
      </c>
      <c r="Q3242">
        <f>P3242*0.0015</f>
        <v/>
      </c>
      <c r="R3242">
        <f>I3242*(1-Q3242)</f>
        <v/>
      </c>
      <c r="S3242">
        <f>R3242/R3241-1</f>
        <v/>
      </c>
      <c r="T3242">
        <f>MAX(T3241,R3242)</f>
        <v/>
      </c>
      <c r="U3242">
        <f>R3242/T3242-1</f>
        <v/>
      </c>
      <c r="V3242" t="n">
        <v>9.538631103861139</v>
      </c>
      <c r="W3242" s="5">
        <f>R3242-V3242</f>
        <v/>
      </c>
    </row>
    <row r="3243">
      <c r="A3243" s="3" t="n">
        <v>43214</v>
      </c>
      <c r="B3243">
        <f>Prices!B3243</f>
        <v/>
      </c>
      <c r="C3243">
        <f>Prices!C3243</f>
        <v/>
      </c>
      <c r="D3243">
        <f>Prices!D3243</f>
        <v/>
      </c>
      <c r="E3243">
        <f>Prices!E3243</f>
        <v/>
      </c>
      <c r="F3243">
        <f>Prices!F3243</f>
        <v/>
      </c>
      <c r="G3243">
        <f>IF(AND(3241&gt;=16,TEXT(A3243,"yyyy-mm")&lt;&gt;TEXT(A3244,"yyyy-mm")),1,0)</f>
        <v/>
      </c>
      <c r="H3243">
        <f>IF(OR(H3242=1,G3243=1),1,0)</f>
        <v/>
      </c>
      <c r="I3243">
        <f>IF(H3242=0,1,SUMPRODUCT(J3242:N3242,B3243:F3243)+O3242*(1+0.00023125256064071564))</f>
        <v/>
      </c>
      <c r="J3243">
        <f>IF(G3243=1,0.2*R3243/B3243,J3242)</f>
        <v/>
      </c>
      <c r="K3243">
        <f>IF(G3243=1,0.2*R3243/C3243,K3242)</f>
        <v/>
      </c>
      <c r="L3243">
        <f>IF(G3243=1,0.2*R3243/D3243,L3242)</f>
        <v/>
      </c>
      <c r="M3243">
        <f>IF(G3243=1,0.2*R3243/E3243,M3242)</f>
        <v/>
      </c>
      <c r="N3243">
        <f>IF(G3243=1,0.2*R3243/F3243,N3242)</f>
        <v/>
      </c>
      <c r="O3243">
        <f>IF(G3243=1,R3243*(1-1.0),IF(H3242=0,1,O3242*(1+0.00023125256064071564)))</f>
        <v/>
      </c>
      <c r="P3243">
        <f>IF(G3243=1,IF(H3242=0,1,ABS(0.2-J3242*B3243/I3243)+ABS(0.2-K3242*C3243/I3243)+ABS(0.2-L3242*D3243/I3243)+ABS(0.2-M3242*E3243/I3243)+ABS(0.2-N3242*F3243/I3243)),0)</f>
        <v/>
      </c>
      <c r="Q3243">
        <f>P3243*0.0015</f>
        <v/>
      </c>
      <c r="R3243">
        <f>I3243*(1-Q3243)</f>
        <v/>
      </c>
      <c r="S3243">
        <f>R3243/R3242-1</f>
        <v/>
      </c>
      <c r="T3243">
        <f>MAX(T3242,R3243)</f>
        <v/>
      </c>
      <c r="U3243">
        <f>R3243/T3243-1</f>
        <v/>
      </c>
      <c r="V3243" t="n">
        <v>9.535825324284977</v>
      </c>
      <c r="W3243" s="5">
        <f>R3243-V3243</f>
        <v/>
      </c>
    </row>
    <row r="3244">
      <c r="A3244" s="3" t="n">
        <v>43215</v>
      </c>
      <c r="B3244">
        <f>Prices!B3244</f>
        <v/>
      </c>
      <c r="C3244">
        <f>Prices!C3244</f>
        <v/>
      </c>
      <c r="D3244">
        <f>Prices!D3244</f>
        <v/>
      </c>
      <c r="E3244">
        <f>Prices!E3244</f>
        <v/>
      </c>
      <c r="F3244">
        <f>Prices!F3244</f>
        <v/>
      </c>
      <c r="G3244">
        <f>IF(AND(3242&gt;=16,TEXT(A3244,"yyyy-mm")&lt;&gt;TEXT(A3245,"yyyy-mm")),1,0)</f>
        <v/>
      </c>
      <c r="H3244">
        <f>IF(OR(H3243=1,G3244=1),1,0)</f>
        <v/>
      </c>
      <c r="I3244">
        <f>IF(H3243=0,1,SUMPRODUCT(J3243:N3243,B3244:F3244)+O3243*(1+0.00023125256064071564))</f>
        <v/>
      </c>
      <c r="J3244">
        <f>IF(G3244=1,0.2*R3244/B3244,J3243)</f>
        <v/>
      </c>
      <c r="K3244">
        <f>IF(G3244=1,0.2*R3244/C3244,K3243)</f>
        <v/>
      </c>
      <c r="L3244">
        <f>IF(G3244=1,0.2*R3244/D3244,L3243)</f>
        <v/>
      </c>
      <c r="M3244">
        <f>IF(G3244=1,0.2*R3244/E3244,M3243)</f>
        <v/>
      </c>
      <c r="N3244">
        <f>IF(G3244=1,0.2*R3244/F3244,N3243)</f>
        <v/>
      </c>
      <c r="O3244">
        <f>IF(G3244=1,R3244*(1-1.0),IF(H3243=0,1,O3243*(1+0.00023125256064071564)))</f>
        <v/>
      </c>
      <c r="P3244">
        <f>IF(G3244=1,IF(H3243=0,1,ABS(0.2-J3243*B3244/I3244)+ABS(0.2-K3243*C3244/I3244)+ABS(0.2-L3243*D3244/I3244)+ABS(0.2-M3243*E3244/I3244)+ABS(0.2-N3243*F3244/I3244)),0)</f>
        <v/>
      </c>
      <c r="Q3244">
        <f>P3244*0.0015</f>
        <v/>
      </c>
      <c r="R3244">
        <f>I3244*(1-Q3244)</f>
        <v/>
      </c>
      <c r="S3244">
        <f>R3244/R3243-1</f>
        <v/>
      </c>
      <c r="T3244">
        <f>MAX(T3243,R3244)</f>
        <v/>
      </c>
      <c r="U3244">
        <f>R3244/T3244-1</f>
        <v/>
      </c>
      <c r="V3244" t="n">
        <v>9.540776263420664</v>
      </c>
      <c r="W3244" s="5">
        <f>R3244-V3244</f>
        <v/>
      </c>
    </row>
    <row r="3245">
      <c r="A3245" s="3" t="n">
        <v>43216</v>
      </c>
      <c r="B3245">
        <f>Prices!B3245</f>
        <v/>
      </c>
      <c r="C3245">
        <f>Prices!C3245</f>
        <v/>
      </c>
      <c r="D3245">
        <f>Prices!D3245</f>
        <v/>
      </c>
      <c r="E3245">
        <f>Prices!E3245</f>
        <v/>
      </c>
      <c r="F3245">
        <f>Prices!F3245</f>
        <v/>
      </c>
      <c r="G3245">
        <f>IF(AND(3243&gt;=16,TEXT(A3245,"yyyy-mm")&lt;&gt;TEXT(A3246,"yyyy-mm")),1,0)</f>
        <v/>
      </c>
      <c r="H3245">
        <f>IF(OR(H3244=1,G3245=1),1,0)</f>
        <v/>
      </c>
      <c r="I3245">
        <f>IF(H3244=0,1,SUMPRODUCT(J3244:N3244,B3245:F3245)+O3244*(1+0.00023125256064071564))</f>
        <v/>
      </c>
      <c r="J3245">
        <f>IF(G3245=1,0.2*R3245/B3245,J3244)</f>
        <v/>
      </c>
      <c r="K3245">
        <f>IF(G3245=1,0.2*R3245/C3245,K3244)</f>
        <v/>
      </c>
      <c r="L3245">
        <f>IF(G3245=1,0.2*R3245/D3245,L3244)</f>
        <v/>
      </c>
      <c r="M3245">
        <f>IF(G3245=1,0.2*R3245/E3245,M3244)</f>
        <v/>
      </c>
      <c r="N3245">
        <f>IF(G3245=1,0.2*R3245/F3245,N3244)</f>
        <v/>
      </c>
      <c r="O3245">
        <f>IF(G3245=1,R3245*(1-1.0),IF(H3244=0,1,O3244*(1+0.00023125256064071564)))</f>
        <v/>
      </c>
      <c r="P3245">
        <f>IF(G3245=1,IF(H3244=0,1,ABS(0.2-J3244*B3245/I3245)+ABS(0.2-K3244*C3245/I3245)+ABS(0.2-L3244*D3245/I3245)+ABS(0.2-M3244*E3245/I3245)+ABS(0.2-N3244*F3245/I3245)),0)</f>
        <v/>
      </c>
      <c r="Q3245">
        <f>P3245*0.0015</f>
        <v/>
      </c>
      <c r="R3245">
        <f>I3245*(1-Q3245)</f>
        <v/>
      </c>
      <c r="S3245">
        <f>R3245/R3244-1</f>
        <v/>
      </c>
      <c r="T3245">
        <f>MAX(T3244,R3245)</f>
        <v/>
      </c>
      <c r="U3245">
        <f>R3245/T3245-1</f>
        <v/>
      </c>
      <c r="V3245" t="n">
        <v>9.554673651768757</v>
      </c>
      <c r="W3245" s="5">
        <f>R3245-V3245</f>
        <v/>
      </c>
    </row>
    <row r="3246">
      <c r="A3246" s="3" t="n">
        <v>43217</v>
      </c>
      <c r="B3246">
        <f>Prices!B3246</f>
        <v/>
      </c>
      <c r="C3246">
        <f>Prices!C3246</f>
        <v/>
      </c>
      <c r="D3246">
        <f>Prices!D3246</f>
        <v/>
      </c>
      <c r="E3246">
        <f>Prices!E3246</f>
        <v/>
      </c>
      <c r="F3246">
        <f>Prices!F3246</f>
        <v/>
      </c>
      <c r="G3246">
        <f>IF(AND(3244&gt;=16,TEXT(A3246,"yyyy-mm")&lt;&gt;TEXT(A3247,"yyyy-mm")),1,0)</f>
        <v/>
      </c>
      <c r="H3246">
        <f>IF(OR(H3245=1,G3246=1),1,0)</f>
        <v/>
      </c>
      <c r="I3246">
        <f>IF(H3245=0,1,SUMPRODUCT(J3245:N3245,B3246:F3246)+O3245*(1+0.00023125256064071564))</f>
        <v/>
      </c>
      <c r="J3246">
        <f>IF(G3246=1,0.2*R3246/B3246,J3245)</f>
        <v/>
      </c>
      <c r="K3246">
        <f>IF(G3246=1,0.2*R3246/C3246,K3245)</f>
        <v/>
      </c>
      <c r="L3246">
        <f>IF(G3246=1,0.2*R3246/D3246,L3245)</f>
        <v/>
      </c>
      <c r="M3246">
        <f>IF(G3246=1,0.2*R3246/E3246,M3245)</f>
        <v/>
      </c>
      <c r="N3246">
        <f>IF(G3246=1,0.2*R3246/F3246,N3245)</f>
        <v/>
      </c>
      <c r="O3246">
        <f>IF(G3246=1,R3246*(1-1.0),IF(H3245=0,1,O3245*(1+0.00023125256064071564)))</f>
        <v/>
      </c>
      <c r="P3246">
        <f>IF(G3246=1,IF(H3245=0,1,ABS(0.2-J3245*B3246/I3246)+ABS(0.2-K3245*C3246/I3246)+ABS(0.2-L3245*D3246/I3246)+ABS(0.2-M3245*E3246/I3246)+ABS(0.2-N3245*F3246/I3246)),0)</f>
        <v/>
      </c>
      <c r="Q3246">
        <f>P3246*0.0015</f>
        <v/>
      </c>
      <c r="R3246">
        <f>I3246*(1-Q3246)</f>
        <v/>
      </c>
      <c r="S3246">
        <f>R3246/R3245-1</f>
        <v/>
      </c>
      <c r="T3246">
        <f>MAX(T3245,R3246)</f>
        <v/>
      </c>
      <c r="U3246">
        <f>R3246/T3246-1</f>
        <v/>
      </c>
      <c r="V3246" t="n">
        <v>9.579375450156268</v>
      </c>
      <c r="W3246" s="5">
        <f>R3246-V3246</f>
        <v/>
      </c>
    </row>
    <row r="3247">
      <c r="A3247" s="3" t="n">
        <v>43220</v>
      </c>
      <c r="B3247">
        <f>Prices!B3247</f>
        <v/>
      </c>
      <c r="C3247">
        <f>Prices!C3247</f>
        <v/>
      </c>
      <c r="D3247">
        <f>Prices!D3247</f>
        <v/>
      </c>
      <c r="E3247">
        <f>Prices!E3247</f>
        <v/>
      </c>
      <c r="F3247">
        <f>Prices!F3247</f>
        <v/>
      </c>
      <c r="G3247">
        <f>IF(AND(3245&gt;=16,TEXT(A3247,"yyyy-mm")&lt;&gt;TEXT(A3248,"yyyy-mm")),1,0)</f>
        <v/>
      </c>
      <c r="H3247">
        <f>IF(OR(H3246=1,G3247=1),1,0)</f>
        <v/>
      </c>
      <c r="I3247">
        <f>IF(H3246=0,1,SUMPRODUCT(J3246:N3246,B3247:F3247)+O3246*(1+0.00023125256064071564))</f>
        <v/>
      </c>
      <c r="J3247">
        <f>IF(G3247=1,0.2*R3247/B3247,J3246)</f>
        <v/>
      </c>
      <c r="K3247">
        <f>IF(G3247=1,0.2*R3247/C3247,K3246)</f>
        <v/>
      </c>
      <c r="L3247">
        <f>IF(G3247=1,0.2*R3247/D3247,L3246)</f>
        <v/>
      </c>
      <c r="M3247">
        <f>IF(G3247=1,0.2*R3247/E3247,M3246)</f>
        <v/>
      </c>
      <c r="N3247">
        <f>IF(G3247=1,0.2*R3247/F3247,N3246)</f>
        <v/>
      </c>
      <c r="O3247">
        <f>IF(G3247=1,R3247*(1-1.0),IF(H3246=0,1,O3246*(1+0.00023125256064071564)))</f>
        <v/>
      </c>
      <c r="P3247">
        <f>IF(G3247=1,IF(H3246=0,1,ABS(0.2-J3246*B3247/I3247)+ABS(0.2-K3246*C3247/I3247)+ABS(0.2-L3246*D3247/I3247)+ABS(0.2-M3246*E3247/I3247)+ABS(0.2-N3246*F3247/I3247)),0)</f>
        <v/>
      </c>
      <c r="Q3247">
        <f>P3247*0.0015</f>
        <v/>
      </c>
      <c r="R3247">
        <f>I3247*(1-Q3247)</f>
        <v/>
      </c>
      <c r="S3247">
        <f>R3247/R3246-1</f>
        <v/>
      </c>
      <c r="T3247">
        <f>MAX(T3246,R3247)</f>
        <v/>
      </c>
      <c r="U3247">
        <f>R3247/T3247-1</f>
        <v/>
      </c>
      <c r="V3247" t="n">
        <v>9.682008993180482</v>
      </c>
      <c r="W3247" s="5">
        <f>R3247-V3247</f>
        <v/>
      </c>
    </row>
    <row r="3248">
      <c r="A3248" s="3" t="n">
        <v>43222</v>
      </c>
      <c r="B3248">
        <f>Prices!B3248</f>
        <v/>
      </c>
      <c r="C3248">
        <f>Prices!C3248</f>
        <v/>
      </c>
      <c r="D3248">
        <f>Prices!D3248</f>
        <v/>
      </c>
      <c r="E3248">
        <f>Prices!E3248</f>
        <v/>
      </c>
      <c r="F3248">
        <f>Prices!F3248</f>
        <v/>
      </c>
      <c r="G3248">
        <f>IF(AND(3246&gt;=16,TEXT(A3248,"yyyy-mm")&lt;&gt;TEXT(A3249,"yyyy-mm")),1,0)</f>
        <v/>
      </c>
      <c r="H3248">
        <f>IF(OR(H3247=1,G3248=1),1,0)</f>
        <v/>
      </c>
      <c r="I3248">
        <f>IF(H3247=0,1,SUMPRODUCT(J3247:N3247,B3248:F3248)+O3247*(1+0.00023125256064071564))</f>
        <v/>
      </c>
      <c r="J3248">
        <f>IF(G3248=1,0.2*R3248/B3248,J3247)</f>
        <v/>
      </c>
      <c r="K3248">
        <f>IF(G3248=1,0.2*R3248/C3248,K3247)</f>
        <v/>
      </c>
      <c r="L3248">
        <f>IF(G3248=1,0.2*R3248/D3248,L3247)</f>
        <v/>
      </c>
      <c r="M3248">
        <f>IF(G3248=1,0.2*R3248/E3248,M3247)</f>
        <v/>
      </c>
      <c r="N3248">
        <f>IF(G3248=1,0.2*R3248/F3248,N3247)</f>
        <v/>
      </c>
      <c r="O3248">
        <f>IF(G3248=1,R3248*(1-1.0),IF(H3247=0,1,O3247*(1+0.00023125256064071564)))</f>
        <v/>
      </c>
      <c r="P3248">
        <f>IF(G3248=1,IF(H3247=0,1,ABS(0.2-J3247*B3248/I3248)+ABS(0.2-K3247*C3248/I3248)+ABS(0.2-L3247*D3248/I3248)+ABS(0.2-M3247*E3248/I3248)+ABS(0.2-N3247*F3248/I3248)),0)</f>
        <v/>
      </c>
      <c r="Q3248">
        <f>P3248*0.0015</f>
        <v/>
      </c>
      <c r="R3248">
        <f>I3248*(1-Q3248)</f>
        <v/>
      </c>
      <c r="S3248">
        <f>R3248/R3247-1</f>
        <v/>
      </c>
      <c r="T3248">
        <f>MAX(T3247,R3248)</f>
        <v/>
      </c>
      <c r="U3248">
        <f>R3248/T3248-1</f>
        <v/>
      </c>
      <c r="V3248" t="n">
        <v>9.578663605549576</v>
      </c>
      <c r="W3248" s="5">
        <f>R3248-V3248</f>
        <v/>
      </c>
    </row>
    <row r="3249">
      <c r="A3249" s="3" t="n">
        <v>43223</v>
      </c>
      <c r="B3249">
        <f>Prices!B3249</f>
        <v/>
      </c>
      <c r="C3249">
        <f>Prices!C3249</f>
        <v/>
      </c>
      <c r="D3249">
        <f>Prices!D3249</f>
        <v/>
      </c>
      <c r="E3249">
        <f>Prices!E3249</f>
        <v/>
      </c>
      <c r="F3249">
        <f>Prices!F3249</f>
        <v/>
      </c>
      <c r="G3249">
        <f>IF(AND(3247&gt;=16,TEXT(A3249,"yyyy-mm")&lt;&gt;TEXT(A3250,"yyyy-mm")),1,0)</f>
        <v/>
      </c>
      <c r="H3249">
        <f>IF(OR(H3248=1,G3249=1),1,0)</f>
        <v/>
      </c>
      <c r="I3249">
        <f>IF(H3248=0,1,SUMPRODUCT(J3248:N3248,B3249:F3249)+O3248*(1+0.00023125256064071564))</f>
        <v/>
      </c>
      <c r="J3249">
        <f>IF(G3249=1,0.2*R3249/B3249,J3248)</f>
        <v/>
      </c>
      <c r="K3249">
        <f>IF(G3249=1,0.2*R3249/C3249,K3248)</f>
        <v/>
      </c>
      <c r="L3249">
        <f>IF(G3249=1,0.2*R3249/D3249,L3248)</f>
        <v/>
      </c>
      <c r="M3249">
        <f>IF(G3249=1,0.2*R3249/E3249,M3248)</f>
        <v/>
      </c>
      <c r="N3249">
        <f>IF(G3249=1,0.2*R3249/F3249,N3248)</f>
        <v/>
      </c>
      <c r="O3249">
        <f>IF(G3249=1,R3249*(1-1.0),IF(H3248=0,1,O3248*(1+0.00023125256064071564)))</f>
        <v/>
      </c>
      <c r="P3249">
        <f>IF(G3249=1,IF(H3248=0,1,ABS(0.2-J3248*B3249/I3249)+ABS(0.2-K3248*C3249/I3249)+ABS(0.2-L3248*D3249/I3249)+ABS(0.2-M3248*E3249/I3249)+ABS(0.2-N3248*F3249/I3249)),0)</f>
        <v/>
      </c>
      <c r="Q3249">
        <f>P3249*0.0015</f>
        <v/>
      </c>
      <c r="R3249">
        <f>I3249*(1-Q3249)</f>
        <v/>
      </c>
      <c r="S3249">
        <f>R3249/R3248-1</f>
        <v/>
      </c>
      <c r="T3249">
        <f>MAX(T3248,R3249)</f>
        <v/>
      </c>
      <c r="U3249">
        <f>R3249/T3249-1</f>
        <v/>
      </c>
      <c r="V3249" t="n">
        <v>9.478201739430155</v>
      </c>
      <c r="W3249" s="5">
        <f>R3249-V3249</f>
        <v/>
      </c>
    </row>
    <row r="3250">
      <c r="A3250" s="3" t="n">
        <v>43224</v>
      </c>
      <c r="B3250">
        <f>Prices!B3250</f>
        <v/>
      </c>
      <c r="C3250">
        <f>Prices!C3250</f>
        <v/>
      </c>
      <c r="D3250">
        <f>Prices!D3250</f>
        <v/>
      </c>
      <c r="E3250">
        <f>Prices!E3250</f>
        <v/>
      </c>
      <c r="F3250">
        <f>Prices!F3250</f>
        <v/>
      </c>
      <c r="G3250">
        <f>IF(AND(3248&gt;=16,TEXT(A3250,"yyyy-mm")&lt;&gt;TEXT(A3251,"yyyy-mm")),1,0)</f>
        <v/>
      </c>
      <c r="H3250">
        <f>IF(OR(H3249=1,G3250=1),1,0)</f>
        <v/>
      </c>
      <c r="I3250">
        <f>IF(H3249=0,1,SUMPRODUCT(J3249:N3249,B3250:F3250)+O3249*(1+0.00023125256064071564))</f>
        <v/>
      </c>
      <c r="J3250">
        <f>IF(G3250=1,0.2*R3250/B3250,J3249)</f>
        <v/>
      </c>
      <c r="K3250">
        <f>IF(G3250=1,0.2*R3250/C3250,K3249)</f>
        <v/>
      </c>
      <c r="L3250">
        <f>IF(G3250=1,0.2*R3250/D3250,L3249)</f>
        <v/>
      </c>
      <c r="M3250">
        <f>IF(G3250=1,0.2*R3250/E3250,M3249)</f>
        <v/>
      </c>
      <c r="N3250">
        <f>IF(G3250=1,0.2*R3250/F3250,N3249)</f>
        <v/>
      </c>
      <c r="O3250">
        <f>IF(G3250=1,R3250*(1-1.0),IF(H3249=0,1,O3249*(1+0.00023125256064071564)))</f>
        <v/>
      </c>
      <c r="P3250">
        <f>IF(G3250=1,IF(H3249=0,1,ABS(0.2-J3249*B3250/I3250)+ABS(0.2-K3249*C3250/I3250)+ABS(0.2-L3249*D3250/I3250)+ABS(0.2-M3249*E3250/I3250)+ABS(0.2-N3249*F3250/I3250)),0)</f>
        <v/>
      </c>
      <c r="Q3250">
        <f>P3250*0.0015</f>
        <v/>
      </c>
      <c r="R3250">
        <f>I3250*(1-Q3250)</f>
        <v/>
      </c>
      <c r="S3250">
        <f>R3250/R3249-1</f>
        <v/>
      </c>
      <c r="T3250">
        <f>MAX(T3249,R3250)</f>
        <v/>
      </c>
      <c r="U3250">
        <f>R3250/T3250-1</f>
        <v/>
      </c>
      <c r="V3250" t="n">
        <v>9.441395705257522</v>
      </c>
      <c r="W3250" s="5">
        <f>R3250-V3250</f>
        <v/>
      </c>
    </row>
    <row r="3251">
      <c r="A3251" s="3" t="n">
        <v>43227</v>
      </c>
      <c r="B3251">
        <f>Prices!B3251</f>
        <v/>
      </c>
      <c r="C3251">
        <f>Prices!C3251</f>
        <v/>
      </c>
      <c r="D3251">
        <f>Prices!D3251</f>
        <v/>
      </c>
      <c r="E3251">
        <f>Prices!E3251</f>
        <v/>
      </c>
      <c r="F3251">
        <f>Prices!F3251</f>
        <v/>
      </c>
      <c r="G3251">
        <f>IF(AND(3249&gt;=16,TEXT(A3251,"yyyy-mm")&lt;&gt;TEXT(A3252,"yyyy-mm")),1,0)</f>
        <v/>
      </c>
      <c r="H3251">
        <f>IF(OR(H3250=1,G3251=1),1,0)</f>
        <v/>
      </c>
      <c r="I3251">
        <f>IF(H3250=0,1,SUMPRODUCT(J3250:N3250,B3251:F3251)+O3250*(1+0.00023125256064071564))</f>
        <v/>
      </c>
      <c r="J3251">
        <f>IF(G3251=1,0.2*R3251/B3251,J3250)</f>
        <v/>
      </c>
      <c r="K3251">
        <f>IF(G3251=1,0.2*R3251/C3251,K3250)</f>
        <v/>
      </c>
      <c r="L3251">
        <f>IF(G3251=1,0.2*R3251/D3251,L3250)</f>
        <v/>
      </c>
      <c r="M3251">
        <f>IF(G3251=1,0.2*R3251/E3251,M3250)</f>
        <v/>
      </c>
      <c r="N3251">
        <f>IF(G3251=1,0.2*R3251/F3251,N3250)</f>
        <v/>
      </c>
      <c r="O3251">
        <f>IF(G3251=1,R3251*(1-1.0),IF(H3250=0,1,O3250*(1+0.00023125256064071564)))</f>
        <v/>
      </c>
      <c r="P3251">
        <f>IF(G3251=1,IF(H3250=0,1,ABS(0.2-J3250*B3251/I3251)+ABS(0.2-K3250*C3251/I3251)+ABS(0.2-L3250*D3251/I3251)+ABS(0.2-M3250*E3251/I3251)+ABS(0.2-N3250*F3251/I3251)),0)</f>
        <v/>
      </c>
      <c r="Q3251">
        <f>P3251*0.0015</f>
        <v/>
      </c>
      <c r="R3251">
        <f>I3251*(1-Q3251)</f>
        <v/>
      </c>
      <c r="S3251">
        <f>R3251/R3250-1</f>
        <v/>
      </c>
      <c r="T3251">
        <f>MAX(T3250,R3251)</f>
        <v/>
      </c>
      <c r="U3251">
        <f>R3251/T3251-1</f>
        <v/>
      </c>
      <c r="V3251" t="n">
        <v>9.531626699916867</v>
      </c>
      <c r="W3251" s="5">
        <f>R3251-V3251</f>
        <v/>
      </c>
    </row>
    <row r="3252">
      <c r="A3252" s="3" t="n">
        <v>43228</v>
      </c>
      <c r="B3252">
        <f>Prices!B3252</f>
        <v/>
      </c>
      <c r="C3252">
        <f>Prices!C3252</f>
        <v/>
      </c>
      <c r="D3252">
        <f>Prices!D3252</f>
        <v/>
      </c>
      <c r="E3252">
        <f>Prices!E3252</f>
        <v/>
      </c>
      <c r="F3252">
        <f>Prices!F3252</f>
        <v/>
      </c>
      <c r="G3252">
        <f>IF(AND(3250&gt;=16,TEXT(A3252,"yyyy-mm")&lt;&gt;TEXT(A3253,"yyyy-mm")),1,0)</f>
        <v/>
      </c>
      <c r="H3252">
        <f>IF(OR(H3251=1,G3252=1),1,0)</f>
        <v/>
      </c>
      <c r="I3252">
        <f>IF(H3251=0,1,SUMPRODUCT(J3251:N3251,B3252:F3252)+O3251*(1+0.00023125256064071564))</f>
        <v/>
      </c>
      <c r="J3252">
        <f>IF(G3252=1,0.2*R3252/B3252,J3251)</f>
        <v/>
      </c>
      <c r="K3252">
        <f>IF(G3252=1,0.2*R3252/C3252,K3251)</f>
        <v/>
      </c>
      <c r="L3252">
        <f>IF(G3252=1,0.2*R3252/D3252,L3251)</f>
        <v/>
      </c>
      <c r="M3252">
        <f>IF(G3252=1,0.2*R3252/E3252,M3251)</f>
        <v/>
      </c>
      <c r="N3252">
        <f>IF(G3252=1,0.2*R3252/F3252,N3251)</f>
        <v/>
      </c>
      <c r="O3252">
        <f>IF(G3252=1,R3252*(1-1.0),IF(H3251=0,1,O3251*(1+0.00023125256064071564)))</f>
        <v/>
      </c>
      <c r="P3252">
        <f>IF(G3252=1,IF(H3251=0,1,ABS(0.2-J3251*B3252/I3252)+ABS(0.2-K3251*C3252/I3252)+ABS(0.2-L3251*D3252/I3252)+ABS(0.2-M3251*E3252/I3252)+ABS(0.2-N3251*F3252/I3252)),0)</f>
        <v/>
      </c>
      <c r="Q3252">
        <f>P3252*0.0015</f>
        <v/>
      </c>
      <c r="R3252">
        <f>I3252*(1-Q3252)</f>
        <v/>
      </c>
      <c r="S3252">
        <f>R3252/R3251-1</f>
        <v/>
      </c>
      <c r="T3252">
        <f>MAX(T3251,R3252)</f>
        <v/>
      </c>
      <c r="U3252">
        <f>R3252/T3252-1</f>
        <v/>
      </c>
      <c r="V3252" t="n">
        <v>9.544357104621596</v>
      </c>
      <c r="W3252" s="5">
        <f>R3252-V3252</f>
        <v/>
      </c>
    </row>
    <row r="3253">
      <c r="A3253" s="3" t="n">
        <v>43229</v>
      </c>
      <c r="B3253">
        <f>Prices!B3253</f>
        <v/>
      </c>
      <c r="C3253">
        <f>Prices!C3253</f>
        <v/>
      </c>
      <c r="D3253">
        <f>Prices!D3253</f>
        <v/>
      </c>
      <c r="E3253">
        <f>Prices!E3253</f>
        <v/>
      </c>
      <c r="F3253">
        <f>Prices!F3253</f>
        <v/>
      </c>
      <c r="G3253">
        <f>IF(AND(3251&gt;=16,TEXT(A3253,"yyyy-mm")&lt;&gt;TEXT(A3254,"yyyy-mm")),1,0)</f>
        <v/>
      </c>
      <c r="H3253">
        <f>IF(OR(H3252=1,G3253=1),1,0)</f>
        <v/>
      </c>
      <c r="I3253">
        <f>IF(H3252=0,1,SUMPRODUCT(J3252:N3252,B3253:F3253)+O3252*(1+0.00023125256064071564))</f>
        <v/>
      </c>
      <c r="J3253">
        <f>IF(G3253=1,0.2*R3253/B3253,J3252)</f>
        <v/>
      </c>
      <c r="K3253">
        <f>IF(G3253=1,0.2*R3253/C3253,K3252)</f>
        <v/>
      </c>
      <c r="L3253">
        <f>IF(G3253=1,0.2*R3253/D3253,L3252)</f>
        <v/>
      </c>
      <c r="M3253">
        <f>IF(G3253=1,0.2*R3253/E3253,M3252)</f>
        <v/>
      </c>
      <c r="N3253">
        <f>IF(G3253=1,0.2*R3253/F3253,N3252)</f>
        <v/>
      </c>
      <c r="O3253">
        <f>IF(G3253=1,R3253*(1-1.0),IF(H3252=0,1,O3252*(1+0.00023125256064071564)))</f>
        <v/>
      </c>
      <c r="P3253">
        <f>IF(G3253=1,IF(H3252=0,1,ABS(0.2-J3252*B3253/I3253)+ABS(0.2-K3252*C3253/I3253)+ABS(0.2-L3252*D3253/I3253)+ABS(0.2-M3252*E3253/I3253)+ABS(0.2-N3252*F3253/I3253)),0)</f>
        <v/>
      </c>
      <c r="Q3253">
        <f>P3253*0.0015</f>
        <v/>
      </c>
      <c r="R3253">
        <f>I3253*(1-Q3253)</f>
        <v/>
      </c>
      <c r="S3253">
        <f>R3253/R3252-1</f>
        <v/>
      </c>
      <c r="T3253">
        <f>MAX(T3252,R3253)</f>
        <v/>
      </c>
      <c r="U3253">
        <f>R3253/T3253-1</f>
        <v/>
      </c>
      <c r="V3253" t="n">
        <v>9.563585836686944</v>
      </c>
      <c r="W3253" s="5">
        <f>R3253-V3253</f>
        <v/>
      </c>
    </row>
    <row r="3254">
      <c r="A3254" s="3" t="n">
        <v>43230</v>
      </c>
      <c r="B3254">
        <f>Prices!B3254</f>
        <v/>
      </c>
      <c r="C3254">
        <f>Prices!C3254</f>
        <v/>
      </c>
      <c r="D3254">
        <f>Prices!D3254</f>
        <v/>
      </c>
      <c r="E3254">
        <f>Prices!E3254</f>
        <v/>
      </c>
      <c r="F3254">
        <f>Prices!F3254</f>
        <v/>
      </c>
      <c r="G3254">
        <f>IF(AND(3252&gt;=16,TEXT(A3254,"yyyy-mm")&lt;&gt;TEXT(A3255,"yyyy-mm")),1,0)</f>
        <v/>
      </c>
      <c r="H3254">
        <f>IF(OR(H3253=1,G3254=1),1,0)</f>
        <v/>
      </c>
      <c r="I3254">
        <f>IF(H3253=0,1,SUMPRODUCT(J3253:N3253,B3254:F3254)+O3253*(1+0.00023125256064071564))</f>
        <v/>
      </c>
      <c r="J3254">
        <f>IF(G3254=1,0.2*R3254/B3254,J3253)</f>
        <v/>
      </c>
      <c r="K3254">
        <f>IF(G3254=1,0.2*R3254/C3254,K3253)</f>
        <v/>
      </c>
      <c r="L3254">
        <f>IF(G3254=1,0.2*R3254/D3254,L3253)</f>
        <v/>
      </c>
      <c r="M3254">
        <f>IF(G3254=1,0.2*R3254/E3254,M3253)</f>
        <v/>
      </c>
      <c r="N3254">
        <f>IF(G3254=1,0.2*R3254/F3254,N3253)</f>
        <v/>
      </c>
      <c r="O3254">
        <f>IF(G3254=1,R3254*(1-1.0),IF(H3253=0,1,O3253*(1+0.00023125256064071564)))</f>
        <v/>
      </c>
      <c r="P3254">
        <f>IF(G3254=1,IF(H3253=0,1,ABS(0.2-J3253*B3254/I3254)+ABS(0.2-K3253*C3254/I3254)+ABS(0.2-L3253*D3254/I3254)+ABS(0.2-M3253*E3254/I3254)+ABS(0.2-N3253*F3254/I3254)),0)</f>
        <v/>
      </c>
      <c r="Q3254">
        <f>P3254*0.0015</f>
        <v/>
      </c>
      <c r="R3254">
        <f>I3254*(1-Q3254)</f>
        <v/>
      </c>
      <c r="S3254">
        <f>R3254/R3253-1</f>
        <v/>
      </c>
      <c r="T3254">
        <f>MAX(T3253,R3254)</f>
        <v/>
      </c>
      <c r="U3254">
        <f>R3254/T3254-1</f>
        <v/>
      </c>
      <c r="V3254" t="n">
        <v>9.455131857721023</v>
      </c>
      <c r="W3254" s="5">
        <f>R3254-V3254</f>
        <v/>
      </c>
    </row>
    <row r="3255">
      <c r="A3255" s="3" t="n">
        <v>43231</v>
      </c>
      <c r="B3255">
        <f>Prices!B3255</f>
        <v/>
      </c>
      <c r="C3255">
        <f>Prices!C3255</f>
        <v/>
      </c>
      <c r="D3255">
        <f>Prices!D3255</f>
        <v/>
      </c>
      <c r="E3255">
        <f>Prices!E3255</f>
        <v/>
      </c>
      <c r="F3255">
        <f>Prices!F3255</f>
        <v/>
      </c>
      <c r="G3255">
        <f>IF(AND(3253&gt;=16,TEXT(A3255,"yyyy-mm")&lt;&gt;TEXT(A3256,"yyyy-mm")),1,0)</f>
        <v/>
      </c>
      <c r="H3255">
        <f>IF(OR(H3254=1,G3255=1),1,0)</f>
        <v/>
      </c>
      <c r="I3255">
        <f>IF(H3254=0,1,SUMPRODUCT(J3254:N3254,B3255:F3255)+O3254*(1+0.00023125256064071564))</f>
        <v/>
      </c>
      <c r="J3255">
        <f>IF(G3255=1,0.2*R3255/B3255,J3254)</f>
        <v/>
      </c>
      <c r="K3255">
        <f>IF(G3255=1,0.2*R3255/C3255,K3254)</f>
        <v/>
      </c>
      <c r="L3255">
        <f>IF(G3255=1,0.2*R3255/D3255,L3254)</f>
        <v/>
      </c>
      <c r="M3255">
        <f>IF(G3255=1,0.2*R3255/E3255,M3254)</f>
        <v/>
      </c>
      <c r="N3255">
        <f>IF(G3255=1,0.2*R3255/F3255,N3254)</f>
        <v/>
      </c>
      <c r="O3255">
        <f>IF(G3255=1,R3255*(1-1.0),IF(H3254=0,1,O3254*(1+0.00023125256064071564)))</f>
        <v/>
      </c>
      <c r="P3255">
        <f>IF(G3255=1,IF(H3254=0,1,ABS(0.2-J3254*B3255/I3255)+ABS(0.2-K3254*C3255/I3255)+ABS(0.2-L3254*D3255/I3255)+ABS(0.2-M3254*E3255/I3255)+ABS(0.2-N3254*F3255/I3255)),0)</f>
        <v/>
      </c>
      <c r="Q3255">
        <f>P3255*0.0015</f>
        <v/>
      </c>
      <c r="R3255">
        <f>I3255*(1-Q3255)</f>
        <v/>
      </c>
      <c r="S3255">
        <f>R3255/R3254-1</f>
        <v/>
      </c>
      <c r="T3255">
        <f>MAX(T3254,R3255)</f>
        <v/>
      </c>
      <c r="U3255">
        <f>R3255/T3255-1</f>
        <v/>
      </c>
      <c r="V3255" t="n">
        <v>9.437933719170331</v>
      </c>
      <c r="W3255" s="5">
        <f>R3255-V3255</f>
        <v/>
      </c>
    </row>
    <row r="3256">
      <c r="A3256" s="3" t="n">
        <v>43234</v>
      </c>
      <c r="B3256">
        <f>Prices!B3256</f>
        <v/>
      </c>
      <c r="C3256">
        <f>Prices!C3256</f>
        <v/>
      </c>
      <c r="D3256">
        <f>Prices!D3256</f>
        <v/>
      </c>
      <c r="E3256">
        <f>Prices!E3256</f>
        <v/>
      </c>
      <c r="F3256">
        <f>Prices!F3256</f>
        <v/>
      </c>
      <c r="G3256">
        <f>IF(AND(3254&gt;=16,TEXT(A3256,"yyyy-mm")&lt;&gt;TEXT(A3257,"yyyy-mm")),1,0)</f>
        <v/>
      </c>
      <c r="H3256">
        <f>IF(OR(H3255=1,G3256=1),1,0)</f>
        <v/>
      </c>
      <c r="I3256">
        <f>IF(H3255=0,1,SUMPRODUCT(J3255:N3255,B3256:F3256)+O3255*(1+0.00023125256064071564))</f>
        <v/>
      </c>
      <c r="J3256">
        <f>IF(G3256=1,0.2*R3256/B3256,J3255)</f>
        <v/>
      </c>
      <c r="K3256">
        <f>IF(G3256=1,0.2*R3256/C3256,K3255)</f>
        <v/>
      </c>
      <c r="L3256">
        <f>IF(G3256=1,0.2*R3256/D3256,L3255)</f>
        <v/>
      </c>
      <c r="M3256">
        <f>IF(G3256=1,0.2*R3256/E3256,M3255)</f>
        <v/>
      </c>
      <c r="N3256">
        <f>IF(G3256=1,0.2*R3256/F3256,N3255)</f>
        <v/>
      </c>
      <c r="O3256">
        <f>IF(G3256=1,R3256*(1-1.0),IF(H3255=0,1,O3255*(1+0.00023125256064071564)))</f>
        <v/>
      </c>
      <c r="P3256">
        <f>IF(G3256=1,IF(H3255=0,1,ABS(0.2-J3255*B3256/I3256)+ABS(0.2-K3255*C3256/I3256)+ABS(0.2-L3255*D3256/I3256)+ABS(0.2-M3255*E3256/I3256)+ABS(0.2-N3255*F3256/I3256)),0)</f>
        <v/>
      </c>
      <c r="Q3256">
        <f>P3256*0.0015</f>
        <v/>
      </c>
      <c r="R3256">
        <f>I3256*(1-Q3256)</f>
        <v/>
      </c>
      <c r="S3256">
        <f>R3256/R3255-1</f>
        <v/>
      </c>
      <c r="T3256">
        <f>MAX(T3255,R3256)</f>
        <v/>
      </c>
      <c r="U3256">
        <f>R3256/T3256-1</f>
        <v/>
      </c>
      <c r="V3256" t="n">
        <v>9.361382329664139</v>
      </c>
      <c r="W3256" s="5">
        <f>R3256-V3256</f>
        <v/>
      </c>
    </row>
    <row r="3257">
      <c r="A3257" s="3" t="n">
        <v>43235</v>
      </c>
      <c r="B3257">
        <f>Prices!B3257</f>
        <v/>
      </c>
      <c r="C3257">
        <f>Prices!C3257</f>
        <v/>
      </c>
      <c r="D3257">
        <f>Prices!D3257</f>
        <v/>
      </c>
      <c r="E3257">
        <f>Prices!E3257</f>
        <v/>
      </c>
      <c r="F3257">
        <f>Prices!F3257</f>
        <v/>
      </c>
      <c r="G3257">
        <f>IF(AND(3255&gt;=16,TEXT(A3257,"yyyy-mm")&lt;&gt;TEXT(A3258,"yyyy-mm")),1,0)</f>
        <v/>
      </c>
      <c r="H3257">
        <f>IF(OR(H3256=1,G3257=1),1,0)</f>
        <v/>
      </c>
      <c r="I3257">
        <f>IF(H3256=0,1,SUMPRODUCT(J3256:N3256,B3257:F3257)+O3256*(1+0.00023125256064071564))</f>
        <v/>
      </c>
      <c r="J3257">
        <f>IF(G3257=1,0.2*R3257/B3257,J3256)</f>
        <v/>
      </c>
      <c r="K3257">
        <f>IF(G3257=1,0.2*R3257/C3257,K3256)</f>
        <v/>
      </c>
      <c r="L3257">
        <f>IF(G3257=1,0.2*R3257/D3257,L3256)</f>
        <v/>
      </c>
      <c r="M3257">
        <f>IF(G3257=1,0.2*R3257/E3257,M3256)</f>
        <v/>
      </c>
      <c r="N3257">
        <f>IF(G3257=1,0.2*R3257/F3257,N3256)</f>
        <v/>
      </c>
      <c r="O3257">
        <f>IF(G3257=1,R3257*(1-1.0),IF(H3256=0,1,O3256*(1+0.00023125256064071564)))</f>
        <v/>
      </c>
      <c r="P3257">
        <f>IF(G3257=1,IF(H3256=0,1,ABS(0.2-J3256*B3257/I3257)+ABS(0.2-K3256*C3257/I3257)+ABS(0.2-L3256*D3257/I3257)+ABS(0.2-M3256*E3257/I3257)+ABS(0.2-N3256*F3257/I3257)),0)</f>
        <v/>
      </c>
      <c r="Q3257">
        <f>P3257*0.0015</f>
        <v/>
      </c>
      <c r="R3257">
        <f>I3257*(1-Q3257)</f>
        <v/>
      </c>
      <c r="S3257">
        <f>R3257/R3256-1</f>
        <v/>
      </c>
      <c r="T3257">
        <f>MAX(T3256,R3257)</f>
        <v/>
      </c>
      <c r="U3257">
        <f>R3257/T3257-1</f>
        <v/>
      </c>
      <c r="V3257" t="n">
        <v>9.302327377121953</v>
      </c>
      <c r="W3257" s="5">
        <f>R3257-V3257</f>
        <v/>
      </c>
    </row>
    <row r="3258">
      <c r="A3258" s="3" t="n">
        <v>43236</v>
      </c>
      <c r="B3258">
        <f>Prices!B3258</f>
        <v/>
      </c>
      <c r="C3258">
        <f>Prices!C3258</f>
        <v/>
      </c>
      <c r="D3258">
        <f>Prices!D3258</f>
        <v/>
      </c>
      <c r="E3258">
        <f>Prices!E3258</f>
        <v/>
      </c>
      <c r="F3258">
        <f>Prices!F3258</f>
        <v/>
      </c>
      <c r="G3258">
        <f>IF(AND(3256&gt;=16,TEXT(A3258,"yyyy-mm")&lt;&gt;TEXT(A3259,"yyyy-mm")),1,0)</f>
        <v/>
      </c>
      <c r="H3258">
        <f>IF(OR(H3257=1,G3258=1),1,0)</f>
        <v/>
      </c>
      <c r="I3258">
        <f>IF(H3257=0,1,SUMPRODUCT(J3257:N3257,B3258:F3258)+O3257*(1+0.00023125256064071564))</f>
        <v/>
      </c>
      <c r="J3258">
        <f>IF(G3258=1,0.2*R3258/B3258,J3257)</f>
        <v/>
      </c>
      <c r="K3258">
        <f>IF(G3258=1,0.2*R3258/C3258,K3257)</f>
        <v/>
      </c>
      <c r="L3258">
        <f>IF(G3258=1,0.2*R3258/D3258,L3257)</f>
        <v/>
      </c>
      <c r="M3258">
        <f>IF(G3258=1,0.2*R3258/E3258,M3257)</f>
        <v/>
      </c>
      <c r="N3258">
        <f>IF(G3258=1,0.2*R3258/F3258,N3257)</f>
        <v/>
      </c>
      <c r="O3258">
        <f>IF(G3258=1,R3258*(1-1.0),IF(H3257=0,1,O3257*(1+0.00023125256064071564)))</f>
        <v/>
      </c>
      <c r="P3258">
        <f>IF(G3258=1,IF(H3257=0,1,ABS(0.2-J3257*B3258/I3258)+ABS(0.2-K3257*C3258/I3258)+ABS(0.2-L3257*D3258/I3258)+ABS(0.2-M3257*E3258/I3258)+ABS(0.2-N3257*F3258/I3258)),0)</f>
        <v/>
      </c>
      <c r="Q3258">
        <f>P3258*0.0015</f>
        <v/>
      </c>
      <c r="R3258">
        <f>I3258*(1-Q3258)</f>
        <v/>
      </c>
      <c r="S3258">
        <f>R3258/R3257-1</f>
        <v/>
      </c>
      <c r="T3258">
        <f>MAX(T3257,R3258)</f>
        <v/>
      </c>
      <c r="U3258">
        <f>R3258/T3258-1</f>
        <v/>
      </c>
      <c r="V3258" t="n">
        <v>9.305415243536059</v>
      </c>
      <c r="W3258" s="5">
        <f>R3258-V3258</f>
        <v/>
      </c>
    </row>
    <row r="3259">
      <c r="A3259" s="3" t="n">
        <v>43237</v>
      </c>
      <c r="B3259">
        <f>Prices!B3259</f>
        <v/>
      </c>
      <c r="C3259">
        <f>Prices!C3259</f>
        <v/>
      </c>
      <c r="D3259">
        <f>Prices!D3259</f>
        <v/>
      </c>
      <c r="E3259">
        <f>Prices!E3259</f>
        <v/>
      </c>
      <c r="F3259">
        <f>Prices!F3259</f>
        <v/>
      </c>
      <c r="G3259">
        <f>IF(AND(3257&gt;=16,TEXT(A3259,"yyyy-mm")&lt;&gt;TEXT(A3260,"yyyy-mm")),1,0)</f>
        <v/>
      </c>
      <c r="H3259">
        <f>IF(OR(H3258=1,G3259=1),1,0)</f>
        <v/>
      </c>
      <c r="I3259">
        <f>IF(H3258=0,1,SUMPRODUCT(J3258:N3258,B3259:F3259)+O3258*(1+0.00023125256064071564))</f>
        <v/>
      </c>
      <c r="J3259">
        <f>IF(G3259=1,0.2*R3259/B3259,J3258)</f>
        <v/>
      </c>
      <c r="K3259">
        <f>IF(G3259=1,0.2*R3259/C3259,K3258)</f>
        <v/>
      </c>
      <c r="L3259">
        <f>IF(G3259=1,0.2*R3259/D3259,L3258)</f>
        <v/>
      </c>
      <c r="M3259">
        <f>IF(G3259=1,0.2*R3259/E3259,M3258)</f>
        <v/>
      </c>
      <c r="N3259">
        <f>IF(G3259=1,0.2*R3259/F3259,N3258)</f>
        <v/>
      </c>
      <c r="O3259">
        <f>IF(G3259=1,R3259*(1-1.0),IF(H3258=0,1,O3258*(1+0.00023125256064071564)))</f>
        <v/>
      </c>
      <c r="P3259">
        <f>IF(G3259=1,IF(H3258=0,1,ABS(0.2-J3258*B3259/I3259)+ABS(0.2-K3258*C3259/I3259)+ABS(0.2-L3258*D3259/I3259)+ABS(0.2-M3258*E3259/I3259)+ABS(0.2-N3258*F3259/I3259)),0)</f>
        <v/>
      </c>
      <c r="Q3259">
        <f>P3259*0.0015</f>
        <v/>
      </c>
      <c r="R3259">
        <f>I3259*(1-Q3259)</f>
        <v/>
      </c>
      <c r="S3259">
        <f>R3259/R3258-1</f>
        <v/>
      </c>
      <c r="T3259">
        <f>MAX(T3258,R3259)</f>
        <v/>
      </c>
      <c r="U3259">
        <f>R3259/T3259-1</f>
        <v/>
      </c>
      <c r="V3259" t="n">
        <v>9.335466902488154</v>
      </c>
      <c r="W3259" s="5">
        <f>R3259-V3259</f>
        <v/>
      </c>
    </row>
    <row r="3260">
      <c r="A3260" s="3" t="n">
        <v>43238</v>
      </c>
      <c r="B3260">
        <f>Prices!B3260</f>
        <v/>
      </c>
      <c r="C3260">
        <f>Prices!C3260</f>
        <v/>
      </c>
      <c r="D3260">
        <f>Prices!D3260</f>
        <v/>
      </c>
      <c r="E3260">
        <f>Prices!E3260</f>
        <v/>
      </c>
      <c r="F3260">
        <f>Prices!F3260</f>
        <v/>
      </c>
      <c r="G3260">
        <f>IF(AND(3258&gt;=16,TEXT(A3260,"yyyy-mm")&lt;&gt;TEXT(A3261,"yyyy-mm")),1,0)</f>
        <v/>
      </c>
      <c r="H3260">
        <f>IF(OR(H3259=1,G3260=1),1,0)</f>
        <v/>
      </c>
      <c r="I3260">
        <f>IF(H3259=0,1,SUMPRODUCT(J3259:N3259,B3260:F3260)+O3259*(1+0.00023125256064071564))</f>
        <v/>
      </c>
      <c r="J3260">
        <f>IF(G3260=1,0.2*R3260/B3260,J3259)</f>
        <v/>
      </c>
      <c r="K3260">
        <f>IF(G3260=1,0.2*R3260/C3260,K3259)</f>
        <v/>
      </c>
      <c r="L3260">
        <f>IF(G3260=1,0.2*R3260/D3260,L3259)</f>
        <v/>
      </c>
      <c r="M3260">
        <f>IF(G3260=1,0.2*R3260/E3260,M3259)</f>
        <v/>
      </c>
      <c r="N3260">
        <f>IF(G3260=1,0.2*R3260/F3260,N3259)</f>
        <v/>
      </c>
      <c r="O3260">
        <f>IF(G3260=1,R3260*(1-1.0),IF(H3259=0,1,O3259*(1+0.00023125256064071564)))</f>
        <v/>
      </c>
      <c r="P3260">
        <f>IF(G3260=1,IF(H3259=0,1,ABS(0.2-J3259*B3260/I3260)+ABS(0.2-K3259*C3260/I3260)+ABS(0.2-L3259*D3260/I3260)+ABS(0.2-M3259*E3260/I3260)+ABS(0.2-N3259*F3260/I3260)),0)</f>
        <v/>
      </c>
      <c r="Q3260">
        <f>P3260*0.0015</f>
        <v/>
      </c>
      <c r="R3260">
        <f>I3260*(1-Q3260)</f>
        <v/>
      </c>
      <c r="S3260">
        <f>R3260/R3259-1</f>
        <v/>
      </c>
      <c r="T3260">
        <f>MAX(T3259,R3260)</f>
        <v/>
      </c>
      <c r="U3260">
        <f>R3260/T3260-1</f>
        <v/>
      </c>
      <c r="V3260" t="n">
        <v>9.220362638877901</v>
      </c>
      <c r="W3260" s="5">
        <f>R3260-V3260</f>
        <v/>
      </c>
    </row>
    <row r="3261">
      <c r="A3261" s="3" t="n">
        <v>43241</v>
      </c>
      <c r="B3261">
        <f>Prices!B3261</f>
        <v/>
      </c>
      <c r="C3261">
        <f>Prices!C3261</f>
        <v/>
      </c>
      <c r="D3261">
        <f>Prices!D3261</f>
        <v/>
      </c>
      <c r="E3261">
        <f>Prices!E3261</f>
        <v/>
      </c>
      <c r="F3261">
        <f>Prices!F3261</f>
        <v/>
      </c>
      <c r="G3261">
        <f>IF(AND(3259&gt;=16,TEXT(A3261,"yyyy-mm")&lt;&gt;TEXT(A3262,"yyyy-mm")),1,0)</f>
        <v/>
      </c>
      <c r="H3261">
        <f>IF(OR(H3260=1,G3261=1),1,0)</f>
        <v/>
      </c>
      <c r="I3261">
        <f>IF(H3260=0,1,SUMPRODUCT(J3260:N3260,B3261:F3261)+O3260*(1+0.00023125256064071564))</f>
        <v/>
      </c>
      <c r="J3261">
        <f>IF(G3261=1,0.2*R3261/B3261,J3260)</f>
        <v/>
      </c>
      <c r="K3261">
        <f>IF(G3261=1,0.2*R3261/C3261,K3260)</f>
        <v/>
      </c>
      <c r="L3261">
        <f>IF(G3261=1,0.2*R3261/D3261,L3260)</f>
        <v/>
      </c>
      <c r="M3261">
        <f>IF(G3261=1,0.2*R3261/E3261,M3260)</f>
        <v/>
      </c>
      <c r="N3261">
        <f>IF(G3261=1,0.2*R3261/F3261,N3260)</f>
        <v/>
      </c>
      <c r="O3261">
        <f>IF(G3261=1,R3261*(1-1.0),IF(H3260=0,1,O3260*(1+0.00023125256064071564)))</f>
        <v/>
      </c>
      <c r="P3261">
        <f>IF(G3261=1,IF(H3260=0,1,ABS(0.2-J3260*B3261/I3261)+ABS(0.2-K3260*C3261/I3261)+ABS(0.2-L3260*D3261/I3261)+ABS(0.2-M3260*E3261/I3261)+ABS(0.2-N3260*F3261/I3261)),0)</f>
        <v/>
      </c>
      <c r="Q3261">
        <f>P3261*0.0015</f>
        <v/>
      </c>
      <c r="R3261">
        <f>I3261*(1-Q3261)</f>
        <v/>
      </c>
      <c r="S3261">
        <f>R3261/R3260-1</f>
        <v/>
      </c>
      <c r="T3261">
        <f>MAX(T3260,R3261)</f>
        <v/>
      </c>
      <c r="U3261">
        <f>R3261/T3261-1</f>
        <v/>
      </c>
      <c r="V3261" t="n">
        <v>9.071663200081856</v>
      </c>
      <c r="W3261" s="5">
        <f>R3261-V3261</f>
        <v/>
      </c>
    </row>
    <row r="3262">
      <c r="A3262" s="3" t="n">
        <v>43242</v>
      </c>
      <c r="B3262">
        <f>Prices!B3262</f>
        <v/>
      </c>
      <c r="C3262">
        <f>Prices!C3262</f>
        <v/>
      </c>
      <c r="D3262">
        <f>Prices!D3262</f>
        <v/>
      </c>
      <c r="E3262">
        <f>Prices!E3262</f>
        <v/>
      </c>
      <c r="F3262">
        <f>Prices!F3262</f>
        <v/>
      </c>
      <c r="G3262">
        <f>IF(AND(3260&gt;=16,TEXT(A3262,"yyyy-mm")&lt;&gt;TEXT(A3263,"yyyy-mm")),1,0)</f>
        <v/>
      </c>
      <c r="H3262">
        <f>IF(OR(H3261=1,G3262=1),1,0)</f>
        <v/>
      </c>
      <c r="I3262">
        <f>IF(H3261=0,1,SUMPRODUCT(J3261:N3261,B3262:F3262)+O3261*(1+0.00023125256064071564))</f>
        <v/>
      </c>
      <c r="J3262">
        <f>IF(G3262=1,0.2*R3262/B3262,J3261)</f>
        <v/>
      </c>
      <c r="K3262">
        <f>IF(G3262=1,0.2*R3262/C3262,K3261)</f>
        <v/>
      </c>
      <c r="L3262">
        <f>IF(G3262=1,0.2*R3262/D3262,L3261)</f>
        <v/>
      </c>
      <c r="M3262">
        <f>IF(G3262=1,0.2*R3262/E3262,M3261)</f>
        <v/>
      </c>
      <c r="N3262">
        <f>IF(G3262=1,0.2*R3262/F3262,N3261)</f>
        <v/>
      </c>
      <c r="O3262">
        <f>IF(G3262=1,R3262*(1-1.0),IF(H3261=0,1,O3261*(1+0.00023125256064071564)))</f>
        <v/>
      </c>
      <c r="P3262">
        <f>IF(G3262=1,IF(H3261=0,1,ABS(0.2-J3261*B3262/I3262)+ABS(0.2-K3261*C3262/I3262)+ABS(0.2-L3261*D3262/I3262)+ABS(0.2-M3261*E3262/I3262)+ABS(0.2-N3261*F3262/I3262)),0)</f>
        <v/>
      </c>
      <c r="Q3262">
        <f>P3262*0.0015</f>
        <v/>
      </c>
      <c r="R3262">
        <f>I3262*(1-Q3262)</f>
        <v/>
      </c>
      <c r="S3262">
        <f>R3262/R3261-1</f>
        <v/>
      </c>
      <c r="T3262">
        <f>MAX(T3261,R3262)</f>
        <v/>
      </c>
      <c r="U3262">
        <f>R3262/T3262-1</f>
        <v/>
      </c>
      <c r="V3262" t="n">
        <v>9.127176117408856</v>
      </c>
      <c r="W3262" s="5">
        <f>R3262-V3262</f>
        <v/>
      </c>
    </row>
    <row r="3263">
      <c r="A3263" s="3" t="n">
        <v>43243</v>
      </c>
      <c r="B3263">
        <f>Prices!B3263</f>
        <v/>
      </c>
      <c r="C3263">
        <f>Prices!C3263</f>
        <v/>
      </c>
      <c r="D3263">
        <f>Prices!D3263</f>
        <v/>
      </c>
      <c r="E3263">
        <f>Prices!E3263</f>
        <v/>
      </c>
      <c r="F3263">
        <f>Prices!F3263</f>
        <v/>
      </c>
      <c r="G3263">
        <f>IF(AND(3261&gt;=16,TEXT(A3263,"yyyy-mm")&lt;&gt;TEXT(A3264,"yyyy-mm")),1,0)</f>
        <v/>
      </c>
      <c r="H3263">
        <f>IF(OR(H3262=1,G3263=1),1,0)</f>
        <v/>
      </c>
      <c r="I3263">
        <f>IF(H3262=0,1,SUMPRODUCT(J3262:N3262,B3263:F3263)+O3262*(1+0.00023125256064071564))</f>
        <v/>
      </c>
      <c r="J3263">
        <f>IF(G3263=1,0.2*R3263/B3263,J3262)</f>
        <v/>
      </c>
      <c r="K3263">
        <f>IF(G3263=1,0.2*R3263/C3263,K3262)</f>
        <v/>
      </c>
      <c r="L3263">
        <f>IF(G3263=1,0.2*R3263/D3263,L3262)</f>
        <v/>
      </c>
      <c r="M3263">
        <f>IF(G3263=1,0.2*R3263/E3263,M3262)</f>
        <v/>
      </c>
      <c r="N3263">
        <f>IF(G3263=1,0.2*R3263/F3263,N3262)</f>
        <v/>
      </c>
      <c r="O3263">
        <f>IF(G3263=1,R3263*(1-1.0),IF(H3262=0,1,O3262*(1+0.00023125256064071564)))</f>
        <v/>
      </c>
      <c r="P3263">
        <f>IF(G3263=1,IF(H3262=0,1,ABS(0.2-J3262*B3263/I3263)+ABS(0.2-K3262*C3263/I3263)+ABS(0.2-L3262*D3263/I3263)+ABS(0.2-M3262*E3263/I3263)+ABS(0.2-N3262*F3263/I3263)),0)</f>
        <v/>
      </c>
      <c r="Q3263">
        <f>P3263*0.0015</f>
        <v/>
      </c>
      <c r="R3263">
        <f>I3263*(1-Q3263)</f>
        <v/>
      </c>
      <c r="S3263">
        <f>R3263/R3262-1</f>
        <v/>
      </c>
      <c r="T3263">
        <f>MAX(T3262,R3263)</f>
        <v/>
      </c>
      <c r="U3263">
        <f>R3263/T3263-1</f>
        <v/>
      </c>
      <c r="V3263" t="n">
        <v>9.050355154570678</v>
      </c>
      <c r="W3263" s="5">
        <f>R3263-V3263</f>
        <v/>
      </c>
    </row>
    <row r="3264">
      <c r="A3264" s="3" t="n">
        <v>43244</v>
      </c>
      <c r="B3264">
        <f>Prices!B3264</f>
        <v/>
      </c>
      <c r="C3264">
        <f>Prices!C3264</f>
        <v/>
      </c>
      <c r="D3264">
        <f>Prices!D3264</f>
        <v/>
      </c>
      <c r="E3264">
        <f>Prices!E3264</f>
        <v/>
      </c>
      <c r="F3264">
        <f>Prices!F3264</f>
        <v/>
      </c>
      <c r="G3264">
        <f>IF(AND(3262&gt;=16,TEXT(A3264,"yyyy-mm")&lt;&gt;TEXT(A3265,"yyyy-mm")),1,0)</f>
        <v/>
      </c>
      <c r="H3264">
        <f>IF(OR(H3263=1,G3264=1),1,0)</f>
        <v/>
      </c>
      <c r="I3264">
        <f>IF(H3263=0,1,SUMPRODUCT(J3263:N3263,B3264:F3264)+O3263*(1+0.00023125256064071564))</f>
        <v/>
      </c>
      <c r="J3264">
        <f>IF(G3264=1,0.2*R3264/B3264,J3263)</f>
        <v/>
      </c>
      <c r="K3264">
        <f>IF(G3264=1,0.2*R3264/C3264,K3263)</f>
        <v/>
      </c>
      <c r="L3264">
        <f>IF(G3264=1,0.2*R3264/D3264,L3263)</f>
        <v/>
      </c>
      <c r="M3264">
        <f>IF(G3264=1,0.2*R3264/E3264,M3263)</f>
        <v/>
      </c>
      <c r="N3264">
        <f>IF(G3264=1,0.2*R3264/F3264,N3263)</f>
        <v/>
      </c>
      <c r="O3264">
        <f>IF(G3264=1,R3264*(1-1.0),IF(H3263=0,1,O3263*(1+0.00023125256064071564)))</f>
        <v/>
      </c>
      <c r="P3264">
        <f>IF(G3264=1,IF(H3263=0,1,ABS(0.2-J3263*B3264/I3264)+ABS(0.2-K3263*C3264/I3264)+ABS(0.2-L3263*D3264/I3264)+ABS(0.2-M3263*E3264/I3264)+ABS(0.2-N3263*F3264/I3264)),0)</f>
        <v/>
      </c>
      <c r="Q3264">
        <f>P3264*0.0015</f>
        <v/>
      </c>
      <c r="R3264">
        <f>I3264*(1-Q3264)</f>
        <v/>
      </c>
      <c r="S3264">
        <f>R3264/R3263-1</f>
        <v/>
      </c>
      <c r="T3264">
        <f>MAX(T3263,R3264)</f>
        <v/>
      </c>
      <c r="U3264">
        <f>R3264/T3264-1</f>
        <v/>
      </c>
      <c r="V3264" t="n">
        <v>9.066731124210223</v>
      </c>
      <c r="W3264" s="5">
        <f>R3264-V3264</f>
        <v/>
      </c>
    </row>
    <row r="3265">
      <c r="A3265" s="3" t="n">
        <v>43245</v>
      </c>
      <c r="B3265">
        <f>Prices!B3265</f>
        <v/>
      </c>
      <c r="C3265">
        <f>Prices!C3265</f>
        <v/>
      </c>
      <c r="D3265">
        <f>Prices!D3265</f>
        <v/>
      </c>
      <c r="E3265">
        <f>Prices!E3265</f>
        <v/>
      </c>
      <c r="F3265">
        <f>Prices!F3265</f>
        <v/>
      </c>
      <c r="G3265">
        <f>IF(AND(3263&gt;=16,TEXT(A3265,"yyyy-mm")&lt;&gt;TEXT(A3266,"yyyy-mm")),1,0)</f>
        <v/>
      </c>
      <c r="H3265">
        <f>IF(OR(H3264=1,G3265=1),1,0)</f>
        <v/>
      </c>
      <c r="I3265">
        <f>IF(H3264=0,1,SUMPRODUCT(J3264:N3264,B3265:F3265)+O3264*(1+0.00023125256064071564))</f>
        <v/>
      </c>
      <c r="J3265">
        <f>IF(G3265=1,0.2*R3265/B3265,J3264)</f>
        <v/>
      </c>
      <c r="K3265">
        <f>IF(G3265=1,0.2*R3265/C3265,K3264)</f>
        <v/>
      </c>
      <c r="L3265">
        <f>IF(G3265=1,0.2*R3265/D3265,L3264)</f>
        <v/>
      </c>
      <c r="M3265">
        <f>IF(G3265=1,0.2*R3265/E3265,M3264)</f>
        <v/>
      </c>
      <c r="N3265">
        <f>IF(G3265=1,0.2*R3265/F3265,N3264)</f>
        <v/>
      </c>
      <c r="O3265">
        <f>IF(G3265=1,R3265*(1-1.0),IF(H3264=0,1,O3264*(1+0.00023125256064071564)))</f>
        <v/>
      </c>
      <c r="P3265">
        <f>IF(G3265=1,IF(H3264=0,1,ABS(0.2-J3264*B3265/I3265)+ABS(0.2-K3264*C3265/I3265)+ABS(0.2-L3264*D3265/I3265)+ABS(0.2-M3264*E3265/I3265)+ABS(0.2-N3264*F3265/I3265)),0)</f>
        <v/>
      </c>
      <c r="Q3265">
        <f>P3265*0.0015</f>
        <v/>
      </c>
      <c r="R3265">
        <f>I3265*(1-Q3265)</f>
        <v/>
      </c>
      <c r="S3265">
        <f>R3265/R3264-1</f>
        <v/>
      </c>
      <c r="T3265">
        <f>MAX(T3264,R3265)</f>
        <v/>
      </c>
      <c r="U3265">
        <f>R3265/T3265-1</f>
        <v/>
      </c>
      <c r="V3265" t="n">
        <v>9.197821556770791</v>
      </c>
      <c r="W3265" s="5">
        <f>R3265-V3265</f>
        <v/>
      </c>
    </row>
    <row r="3266">
      <c r="A3266" s="3" t="n">
        <v>43248</v>
      </c>
      <c r="B3266">
        <f>Prices!B3266</f>
        <v/>
      </c>
      <c r="C3266">
        <f>Prices!C3266</f>
        <v/>
      </c>
      <c r="D3266">
        <f>Prices!D3266</f>
        <v/>
      </c>
      <c r="E3266">
        <f>Prices!E3266</f>
        <v/>
      </c>
      <c r="F3266">
        <f>Prices!F3266</f>
        <v/>
      </c>
      <c r="G3266">
        <f>IF(AND(3264&gt;=16,TEXT(A3266,"yyyy-mm")&lt;&gt;TEXT(A3267,"yyyy-mm")),1,0)</f>
        <v/>
      </c>
      <c r="H3266">
        <f>IF(OR(H3265=1,G3266=1),1,0)</f>
        <v/>
      </c>
      <c r="I3266">
        <f>IF(H3265=0,1,SUMPRODUCT(J3265:N3265,B3266:F3266)+O3265*(1+0.00023125256064071564))</f>
        <v/>
      </c>
      <c r="J3266">
        <f>IF(G3266=1,0.2*R3266/B3266,J3265)</f>
        <v/>
      </c>
      <c r="K3266">
        <f>IF(G3266=1,0.2*R3266/C3266,K3265)</f>
        <v/>
      </c>
      <c r="L3266">
        <f>IF(G3266=1,0.2*R3266/D3266,L3265)</f>
        <v/>
      </c>
      <c r="M3266">
        <f>IF(G3266=1,0.2*R3266/E3266,M3265)</f>
        <v/>
      </c>
      <c r="N3266">
        <f>IF(G3266=1,0.2*R3266/F3266,N3265)</f>
        <v/>
      </c>
      <c r="O3266">
        <f>IF(G3266=1,R3266*(1-1.0),IF(H3265=0,1,O3265*(1+0.00023125256064071564)))</f>
        <v/>
      </c>
      <c r="P3266">
        <f>IF(G3266=1,IF(H3265=0,1,ABS(0.2-J3265*B3266/I3266)+ABS(0.2-K3265*C3266/I3266)+ABS(0.2-L3265*D3266/I3266)+ABS(0.2-M3265*E3266/I3266)+ABS(0.2-N3265*F3266/I3266)),0)</f>
        <v/>
      </c>
      <c r="Q3266">
        <f>P3266*0.0015</f>
        <v/>
      </c>
      <c r="R3266">
        <f>I3266*(1-Q3266)</f>
        <v/>
      </c>
      <c r="S3266">
        <f>R3266/R3265-1</f>
        <v/>
      </c>
      <c r="T3266">
        <f>MAX(T3265,R3266)</f>
        <v/>
      </c>
      <c r="U3266">
        <f>R3266/T3266-1</f>
        <v/>
      </c>
      <c r="V3266" t="n">
        <v>9.315299068269731</v>
      </c>
      <c r="W3266" s="5">
        <f>R3266-V3266</f>
        <v/>
      </c>
    </row>
    <row r="3267">
      <c r="A3267" s="3" t="n">
        <v>43249</v>
      </c>
      <c r="B3267">
        <f>Prices!B3267</f>
        <v/>
      </c>
      <c r="C3267">
        <f>Prices!C3267</f>
        <v/>
      </c>
      <c r="D3267">
        <f>Prices!D3267</f>
        <v/>
      </c>
      <c r="E3267">
        <f>Prices!E3267</f>
        <v/>
      </c>
      <c r="F3267">
        <f>Prices!F3267</f>
        <v/>
      </c>
      <c r="G3267">
        <f>IF(AND(3265&gt;=16,TEXT(A3267,"yyyy-mm")&lt;&gt;TEXT(A3268,"yyyy-mm")),1,0)</f>
        <v/>
      </c>
      <c r="H3267">
        <f>IF(OR(H3266=1,G3267=1),1,0)</f>
        <v/>
      </c>
      <c r="I3267">
        <f>IF(H3266=0,1,SUMPRODUCT(J3266:N3266,B3267:F3267)+O3266*(1+0.00023125256064071564))</f>
        <v/>
      </c>
      <c r="J3267">
        <f>IF(G3267=1,0.2*R3267/B3267,J3266)</f>
        <v/>
      </c>
      <c r="K3267">
        <f>IF(G3267=1,0.2*R3267/C3267,K3266)</f>
        <v/>
      </c>
      <c r="L3267">
        <f>IF(G3267=1,0.2*R3267/D3267,L3266)</f>
        <v/>
      </c>
      <c r="M3267">
        <f>IF(G3267=1,0.2*R3267/E3267,M3266)</f>
        <v/>
      </c>
      <c r="N3267">
        <f>IF(G3267=1,0.2*R3267/F3267,N3266)</f>
        <v/>
      </c>
      <c r="O3267">
        <f>IF(G3267=1,R3267*(1-1.0),IF(H3266=0,1,O3266*(1+0.00023125256064071564)))</f>
        <v/>
      </c>
      <c r="P3267">
        <f>IF(G3267=1,IF(H3266=0,1,ABS(0.2-J3266*B3267/I3267)+ABS(0.2-K3266*C3267/I3267)+ABS(0.2-L3266*D3267/I3267)+ABS(0.2-M3266*E3267/I3267)+ABS(0.2-N3266*F3267/I3267)),0)</f>
        <v/>
      </c>
      <c r="Q3267">
        <f>P3267*0.0015</f>
        <v/>
      </c>
      <c r="R3267">
        <f>I3267*(1-Q3267)</f>
        <v/>
      </c>
      <c r="S3267">
        <f>R3267/R3266-1</f>
        <v/>
      </c>
      <c r="T3267">
        <f>MAX(T3266,R3267)</f>
        <v/>
      </c>
      <c r="U3267">
        <f>R3267/T3267-1</f>
        <v/>
      </c>
      <c r="V3267" t="n">
        <v>9.326181487764005</v>
      </c>
      <c r="W3267" s="5">
        <f>R3267-V3267</f>
        <v/>
      </c>
    </row>
    <row r="3268">
      <c r="A3268" s="3" t="n">
        <v>43250</v>
      </c>
      <c r="B3268">
        <f>Prices!B3268</f>
        <v/>
      </c>
      <c r="C3268">
        <f>Prices!C3268</f>
        <v/>
      </c>
      <c r="D3268">
        <f>Prices!D3268</f>
        <v/>
      </c>
      <c r="E3268">
        <f>Prices!E3268</f>
        <v/>
      </c>
      <c r="F3268">
        <f>Prices!F3268</f>
        <v/>
      </c>
      <c r="G3268">
        <f>IF(AND(3266&gt;=16,TEXT(A3268,"yyyy-mm")&lt;&gt;TEXT(A3269,"yyyy-mm")),1,0)</f>
        <v/>
      </c>
      <c r="H3268">
        <f>IF(OR(H3267=1,G3268=1),1,0)</f>
        <v/>
      </c>
      <c r="I3268">
        <f>IF(H3267=0,1,SUMPRODUCT(J3267:N3267,B3268:F3268)+O3267*(1+0.00023125256064071564))</f>
        <v/>
      </c>
      <c r="J3268">
        <f>IF(G3268=1,0.2*R3268/B3268,J3267)</f>
        <v/>
      </c>
      <c r="K3268">
        <f>IF(G3268=1,0.2*R3268/C3268,K3267)</f>
        <v/>
      </c>
      <c r="L3268">
        <f>IF(G3268=1,0.2*R3268/D3268,L3267)</f>
        <v/>
      </c>
      <c r="M3268">
        <f>IF(G3268=1,0.2*R3268/E3268,M3267)</f>
        <v/>
      </c>
      <c r="N3268">
        <f>IF(G3268=1,0.2*R3268/F3268,N3267)</f>
        <v/>
      </c>
      <c r="O3268">
        <f>IF(G3268=1,R3268*(1-1.0),IF(H3267=0,1,O3267*(1+0.00023125256064071564)))</f>
        <v/>
      </c>
      <c r="P3268">
        <f>IF(G3268=1,IF(H3267=0,1,ABS(0.2-J3267*B3268/I3268)+ABS(0.2-K3267*C3268/I3268)+ABS(0.2-L3267*D3268/I3268)+ABS(0.2-M3267*E3268/I3268)+ABS(0.2-N3267*F3268/I3268)),0)</f>
        <v/>
      </c>
      <c r="Q3268">
        <f>P3268*0.0015</f>
        <v/>
      </c>
      <c r="R3268">
        <f>I3268*(1-Q3268)</f>
        <v/>
      </c>
      <c r="S3268">
        <f>R3268/R3267-1</f>
        <v/>
      </c>
      <c r="T3268">
        <f>MAX(T3267,R3268)</f>
        <v/>
      </c>
      <c r="U3268">
        <f>R3268/T3268-1</f>
        <v/>
      </c>
      <c r="V3268" t="n">
        <v>9.292383434037513</v>
      </c>
      <c r="W3268" s="5">
        <f>R3268-V3268</f>
        <v/>
      </c>
    </row>
    <row r="3269">
      <c r="A3269" s="3" t="n">
        <v>43251</v>
      </c>
      <c r="B3269">
        <f>Prices!B3269</f>
        <v/>
      </c>
      <c r="C3269">
        <f>Prices!C3269</f>
        <v/>
      </c>
      <c r="D3269">
        <f>Prices!D3269</f>
        <v/>
      </c>
      <c r="E3269">
        <f>Prices!E3269</f>
        <v/>
      </c>
      <c r="F3269">
        <f>Prices!F3269</f>
        <v/>
      </c>
      <c r="G3269">
        <f>IF(AND(3267&gt;=16,TEXT(A3269,"yyyy-mm")&lt;&gt;TEXT(A3270,"yyyy-mm")),1,0)</f>
        <v/>
      </c>
      <c r="H3269">
        <f>IF(OR(H3268=1,G3269=1),1,0)</f>
        <v/>
      </c>
      <c r="I3269">
        <f>IF(H3268=0,1,SUMPRODUCT(J3268:N3268,B3269:F3269)+O3268*(1+0.00023125256064071564))</f>
        <v/>
      </c>
      <c r="J3269">
        <f>IF(G3269=1,0.2*R3269/B3269,J3268)</f>
        <v/>
      </c>
      <c r="K3269">
        <f>IF(G3269=1,0.2*R3269/C3269,K3268)</f>
        <v/>
      </c>
      <c r="L3269">
        <f>IF(G3269=1,0.2*R3269/D3269,L3268)</f>
        <v/>
      </c>
      <c r="M3269">
        <f>IF(G3269=1,0.2*R3269/E3269,M3268)</f>
        <v/>
      </c>
      <c r="N3269">
        <f>IF(G3269=1,0.2*R3269/F3269,N3268)</f>
        <v/>
      </c>
      <c r="O3269">
        <f>IF(G3269=1,R3269*(1-1.0),IF(H3268=0,1,O3268*(1+0.00023125256064071564)))</f>
        <v/>
      </c>
      <c r="P3269">
        <f>IF(G3269=1,IF(H3268=0,1,ABS(0.2-J3268*B3269/I3269)+ABS(0.2-K3268*C3269/I3269)+ABS(0.2-L3268*D3269/I3269)+ABS(0.2-M3268*E3269/I3269)+ABS(0.2-N3268*F3269/I3269)),0)</f>
        <v/>
      </c>
      <c r="Q3269">
        <f>P3269*0.0015</f>
        <v/>
      </c>
      <c r="R3269">
        <f>I3269*(1-Q3269)</f>
        <v/>
      </c>
      <c r="S3269">
        <f>R3269/R3268-1</f>
        <v/>
      </c>
      <c r="T3269">
        <f>MAX(T3268,R3269)</f>
        <v/>
      </c>
      <c r="U3269">
        <f>R3269/T3269-1</f>
        <v/>
      </c>
      <c r="V3269" t="n">
        <v>9.31764172573091</v>
      </c>
      <c r="W3269" s="5">
        <f>R3269-V3269</f>
        <v/>
      </c>
    </row>
    <row r="3270">
      <c r="A3270" s="3" t="n">
        <v>43252</v>
      </c>
      <c r="B3270">
        <f>Prices!B3270</f>
        <v/>
      </c>
      <c r="C3270">
        <f>Prices!C3270</f>
        <v/>
      </c>
      <c r="D3270">
        <f>Prices!D3270</f>
        <v/>
      </c>
      <c r="E3270">
        <f>Prices!E3270</f>
        <v/>
      </c>
      <c r="F3270">
        <f>Prices!F3270</f>
        <v/>
      </c>
      <c r="G3270">
        <f>IF(AND(3268&gt;=16,TEXT(A3270,"yyyy-mm")&lt;&gt;TEXT(A3271,"yyyy-mm")),1,0)</f>
        <v/>
      </c>
      <c r="H3270">
        <f>IF(OR(H3269=1,G3270=1),1,0)</f>
        <v/>
      </c>
      <c r="I3270">
        <f>IF(H3269=0,1,SUMPRODUCT(J3269:N3269,B3270:F3270)+O3269*(1+0.00023125256064071564))</f>
        <v/>
      </c>
      <c r="J3270">
        <f>IF(G3270=1,0.2*R3270/B3270,J3269)</f>
        <v/>
      </c>
      <c r="K3270">
        <f>IF(G3270=1,0.2*R3270/C3270,K3269)</f>
        <v/>
      </c>
      <c r="L3270">
        <f>IF(G3270=1,0.2*R3270/D3270,L3269)</f>
        <v/>
      </c>
      <c r="M3270">
        <f>IF(G3270=1,0.2*R3270/E3270,M3269)</f>
        <v/>
      </c>
      <c r="N3270">
        <f>IF(G3270=1,0.2*R3270/F3270,N3269)</f>
        <v/>
      </c>
      <c r="O3270">
        <f>IF(G3270=1,R3270*(1-1.0),IF(H3269=0,1,O3269*(1+0.00023125256064071564)))</f>
        <v/>
      </c>
      <c r="P3270">
        <f>IF(G3270=1,IF(H3269=0,1,ABS(0.2-J3269*B3270/I3270)+ABS(0.2-K3269*C3270/I3270)+ABS(0.2-L3269*D3270/I3270)+ABS(0.2-M3269*E3270/I3270)+ABS(0.2-N3269*F3270/I3270)),0)</f>
        <v/>
      </c>
      <c r="Q3270">
        <f>P3270*0.0015</f>
        <v/>
      </c>
      <c r="R3270">
        <f>I3270*(1-Q3270)</f>
        <v/>
      </c>
      <c r="S3270">
        <f>R3270/R3269-1</f>
        <v/>
      </c>
      <c r="T3270">
        <f>MAX(T3269,R3270)</f>
        <v/>
      </c>
      <c r="U3270">
        <f>R3270/T3270-1</f>
        <v/>
      </c>
      <c r="V3270" t="n">
        <v>9.185091927837144</v>
      </c>
      <c r="W3270" s="5">
        <f>R3270-V3270</f>
        <v/>
      </c>
    </row>
    <row r="3271">
      <c r="A3271" s="3" t="n">
        <v>43255</v>
      </c>
      <c r="B3271">
        <f>Prices!B3271</f>
        <v/>
      </c>
      <c r="C3271">
        <f>Prices!C3271</f>
        <v/>
      </c>
      <c r="D3271">
        <f>Prices!D3271</f>
        <v/>
      </c>
      <c r="E3271">
        <f>Prices!E3271</f>
        <v/>
      </c>
      <c r="F3271">
        <f>Prices!F3271</f>
        <v/>
      </c>
      <c r="G3271">
        <f>IF(AND(3269&gt;=16,TEXT(A3271,"yyyy-mm")&lt;&gt;TEXT(A3272,"yyyy-mm")),1,0)</f>
        <v/>
      </c>
      <c r="H3271">
        <f>IF(OR(H3270=1,G3271=1),1,0)</f>
        <v/>
      </c>
      <c r="I3271">
        <f>IF(H3270=0,1,SUMPRODUCT(J3270:N3270,B3271:F3271)+O3270*(1+0.00023125256064071564))</f>
        <v/>
      </c>
      <c r="J3271">
        <f>IF(G3271=1,0.2*R3271/B3271,J3270)</f>
        <v/>
      </c>
      <c r="K3271">
        <f>IF(G3271=1,0.2*R3271/C3271,K3270)</f>
        <v/>
      </c>
      <c r="L3271">
        <f>IF(G3271=1,0.2*R3271/D3271,L3270)</f>
        <v/>
      </c>
      <c r="M3271">
        <f>IF(G3271=1,0.2*R3271/E3271,M3270)</f>
        <v/>
      </c>
      <c r="N3271">
        <f>IF(G3271=1,0.2*R3271/F3271,N3270)</f>
        <v/>
      </c>
      <c r="O3271">
        <f>IF(G3271=1,R3271*(1-1.0),IF(H3270=0,1,O3270*(1+0.00023125256064071564)))</f>
        <v/>
      </c>
      <c r="P3271">
        <f>IF(G3271=1,IF(H3270=0,1,ABS(0.2-J3270*B3271/I3271)+ABS(0.2-K3270*C3271/I3271)+ABS(0.2-L3270*D3271/I3271)+ABS(0.2-M3270*E3271/I3271)+ABS(0.2-N3270*F3271/I3271)),0)</f>
        <v/>
      </c>
      <c r="Q3271">
        <f>P3271*0.0015</f>
        <v/>
      </c>
      <c r="R3271">
        <f>I3271*(1-Q3271)</f>
        <v/>
      </c>
      <c r="S3271">
        <f>R3271/R3270-1</f>
        <v/>
      </c>
      <c r="T3271">
        <f>MAX(T3270,R3271)</f>
        <v/>
      </c>
      <c r="U3271">
        <f>R3271/T3271-1</f>
        <v/>
      </c>
      <c r="V3271" t="n">
        <v>9.061903002683913</v>
      </c>
      <c r="W3271" s="5">
        <f>R3271-V3271</f>
        <v/>
      </c>
    </row>
    <row r="3272">
      <c r="A3272" s="3" t="n">
        <v>43256</v>
      </c>
      <c r="B3272">
        <f>Prices!B3272</f>
        <v/>
      </c>
      <c r="C3272">
        <f>Prices!C3272</f>
        <v/>
      </c>
      <c r="D3272">
        <f>Prices!D3272</f>
        <v/>
      </c>
      <c r="E3272">
        <f>Prices!E3272</f>
        <v/>
      </c>
      <c r="F3272">
        <f>Prices!F3272</f>
        <v/>
      </c>
      <c r="G3272">
        <f>IF(AND(3270&gt;=16,TEXT(A3272,"yyyy-mm")&lt;&gt;TEXT(A3273,"yyyy-mm")),1,0)</f>
        <v/>
      </c>
      <c r="H3272">
        <f>IF(OR(H3271=1,G3272=1),1,0)</f>
        <v/>
      </c>
      <c r="I3272">
        <f>IF(H3271=0,1,SUMPRODUCT(J3271:N3271,B3272:F3272)+O3271*(1+0.00023125256064071564))</f>
        <v/>
      </c>
      <c r="J3272">
        <f>IF(G3272=1,0.2*R3272/B3272,J3271)</f>
        <v/>
      </c>
      <c r="K3272">
        <f>IF(G3272=1,0.2*R3272/C3272,K3271)</f>
        <v/>
      </c>
      <c r="L3272">
        <f>IF(G3272=1,0.2*R3272/D3272,L3271)</f>
        <v/>
      </c>
      <c r="M3272">
        <f>IF(G3272=1,0.2*R3272/E3272,M3271)</f>
        <v/>
      </c>
      <c r="N3272">
        <f>IF(G3272=1,0.2*R3272/F3272,N3271)</f>
        <v/>
      </c>
      <c r="O3272">
        <f>IF(G3272=1,R3272*(1-1.0),IF(H3271=0,1,O3271*(1+0.00023125256064071564)))</f>
        <v/>
      </c>
      <c r="P3272">
        <f>IF(G3272=1,IF(H3271=0,1,ABS(0.2-J3271*B3272/I3272)+ABS(0.2-K3271*C3272/I3272)+ABS(0.2-L3271*D3272/I3272)+ABS(0.2-M3271*E3272/I3272)+ABS(0.2-N3271*F3272/I3272)),0)</f>
        <v/>
      </c>
      <c r="Q3272">
        <f>P3272*0.0015</f>
        <v/>
      </c>
      <c r="R3272">
        <f>I3272*(1-Q3272)</f>
        <v/>
      </c>
      <c r="S3272">
        <f>R3272/R3271-1</f>
        <v/>
      </c>
      <c r="T3272">
        <f>MAX(T3271,R3272)</f>
        <v/>
      </c>
      <c r="U3272">
        <f>R3272/T3272-1</f>
        <v/>
      </c>
      <c r="V3272" t="n">
        <v>8.893692491871795</v>
      </c>
      <c r="W3272" s="5">
        <f>R3272-V3272</f>
        <v/>
      </c>
    </row>
    <row r="3273">
      <c r="A3273" s="3" t="n">
        <v>43257</v>
      </c>
      <c r="B3273">
        <f>Prices!B3273</f>
        <v/>
      </c>
      <c r="C3273">
        <f>Prices!C3273</f>
        <v/>
      </c>
      <c r="D3273">
        <f>Prices!D3273</f>
        <v/>
      </c>
      <c r="E3273">
        <f>Prices!E3273</f>
        <v/>
      </c>
      <c r="F3273">
        <f>Prices!F3273</f>
        <v/>
      </c>
      <c r="G3273">
        <f>IF(AND(3271&gt;=16,TEXT(A3273,"yyyy-mm")&lt;&gt;TEXT(A3274,"yyyy-mm")),1,0)</f>
        <v/>
      </c>
      <c r="H3273">
        <f>IF(OR(H3272=1,G3273=1),1,0)</f>
        <v/>
      </c>
      <c r="I3273">
        <f>IF(H3272=0,1,SUMPRODUCT(J3272:N3272,B3273:F3273)+O3272*(1+0.00023125256064071564))</f>
        <v/>
      </c>
      <c r="J3273">
        <f>IF(G3273=1,0.2*R3273/B3273,J3272)</f>
        <v/>
      </c>
      <c r="K3273">
        <f>IF(G3273=1,0.2*R3273/C3273,K3272)</f>
        <v/>
      </c>
      <c r="L3273">
        <f>IF(G3273=1,0.2*R3273/D3273,L3272)</f>
        <v/>
      </c>
      <c r="M3273">
        <f>IF(G3273=1,0.2*R3273/E3273,M3272)</f>
        <v/>
      </c>
      <c r="N3273">
        <f>IF(G3273=1,0.2*R3273/F3273,N3272)</f>
        <v/>
      </c>
      <c r="O3273">
        <f>IF(G3273=1,R3273*(1-1.0),IF(H3272=0,1,O3272*(1+0.00023125256064071564)))</f>
        <v/>
      </c>
      <c r="P3273">
        <f>IF(G3273=1,IF(H3272=0,1,ABS(0.2-J3272*B3273/I3273)+ABS(0.2-K3272*C3273/I3273)+ABS(0.2-L3272*D3273/I3273)+ABS(0.2-M3272*E3273/I3273)+ABS(0.2-N3272*F3273/I3273)),0)</f>
        <v/>
      </c>
      <c r="Q3273">
        <f>P3273*0.0015</f>
        <v/>
      </c>
      <c r="R3273">
        <f>I3273*(1-Q3273)</f>
        <v/>
      </c>
      <c r="S3273">
        <f>R3273/R3272-1</f>
        <v/>
      </c>
      <c r="T3273">
        <f>MAX(T3272,R3273)</f>
        <v/>
      </c>
      <c r="U3273">
        <f>R3273/T3273-1</f>
        <v/>
      </c>
      <c r="V3273" t="n">
        <v>9.036116138863822</v>
      </c>
      <c r="W3273" s="5">
        <f>R3273-V3273</f>
        <v/>
      </c>
    </row>
    <row r="3274">
      <c r="A3274" s="3" t="n">
        <v>43258</v>
      </c>
      <c r="B3274">
        <f>Prices!B3274</f>
        <v/>
      </c>
      <c r="C3274">
        <f>Prices!C3274</f>
        <v/>
      </c>
      <c r="D3274">
        <f>Prices!D3274</f>
        <v/>
      </c>
      <c r="E3274">
        <f>Prices!E3274</f>
        <v/>
      </c>
      <c r="F3274">
        <f>Prices!F3274</f>
        <v/>
      </c>
      <c r="G3274">
        <f>IF(AND(3272&gt;=16,TEXT(A3274,"yyyy-mm")&lt;&gt;TEXT(A3275,"yyyy-mm")),1,0)</f>
        <v/>
      </c>
      <c r="H3274">
        <f>IF(OR(H3273=1,G3274=1),1,0)</f>
        <v/>
      </c>
      <c r="I3274">
        <f>IF(H3273=0,1,SUMPRODUCT(J3273:N3273,B3274:F3274)+O3273*(1+0.00023125256064071564))</f>
        <v/>
      </c>
      <c r="J3274">
        <f>IF(G3274=1,0.2*R3274/B3274,J3273)</f>
        <v/>
      </c>
      <c r="K3274">
        <f>IF(G3274=1,0.2*R3274/C3274,K3273)</f>
        <v/>
      </c>
      <c r="L3274">
        <f>IF(G3274=1,0.2*R3274/D3274,L3273)</f>
        <v/>
      </c>
      <c r="M3274">
        <f>IF(G3274=1,0.2*R3274/E3274,M3273)</f>
        <v/>
      </c>
      <c r="N3274">
        <f>IF(G3274=1,0.2*R3274/F3274,N3273)</f>
        <v/>
      </c>
      <c r="O3274">
        <f>IF(G3274=1,R3274*(1-1.0),IF(H3273=0,1,O3273*(1+0.00023125256064071564)))</f>
        <v/>
      </c>
      <c r="P3274">
        <f>IF(G3274=1,IF(H3273=0,1,ABS(0.2-J3273*B3274/I3274)+ABS(0.2-K3273*C3274/I3274)+ABS(0.2-L3273*D3274/I3274)+ABS(0.2-M3273*E3274/I3274)+ABS(0.2-N3273*F3274/I3274)),0)</f>
        <v/>
      </c>
      <c r="Q3274">
        <f>P3274*0.0015</f>
        <v/>
      </c>
      <c r="R3274">
        <f>I3274*(1-Q3274)</f>
        <v/>
      </c>
      <c r="S3274">
        <f>R3274/R3273-1</f>
        <v/>
      </c>
      <c r="T3274">
        <f>MAX(T3273,R3274)</f>
        <v/>
      </c>
      <c r="U3274">
        <f>R3274/T3274-1</f>
        <v/>
      </c>
      <c r="V3274" t="n">
        <v>9.214271443045048</v>
      </c>
      <c r="W3274" s="5">
        <f>R3274-V3274</f>
        <v/>
      </c>
    </row>
    <row r="3275">
      <c r="A3275" s="3" t="n">
        <v>43259</v>
      </c>
      <c r="B3275">
        <f>Prices!B3275</f>
        <v/>
      </c>
      <c r="C3275">
        <f>Prices!C3275</f>
        <v/>
      </c>
      <c r="D3275">
        <f>Prices!D3275</f>
        <v/>
      </c>
      <c r="E3275">
        <f>Prices!E3275</f>
        <v/>
      </c>
      <c r="F3275">
        <f>Prices!F3275</f>
        <v/>
      </c>
      <c r="G3275">
        <f>IF(AND(3273&gt;=16,TEXT(A3275,"yyyy-mm")&lt;&gt;TEXT(A3276,"yyyy-mm")),1,0)</f>
        <v/>
      </c>
      <c r="H3275">
        <f>IF(OR(H3274=1,G3275=1),1,0)</f>
        <v/>
      </c>
      <c r="I3275">
        <f>IF(H3274=0,1,SUMPRODUCT(J3274:N3274,B3275:F3275)+O3274*(1+0.00023125256064071564))</f>
        <v/>
      </c>
      <c r="J3275">
        <f>IF(G3275=1,0.2*R3275/B3275,J3274)</f>
        <v/>
      </c>
      <c r="K3275">
        <f>IF(G3275=1,0.2*R3275/C3275,K3274)</f>
        <v/>
      </c>
      <c r="L3275">
        <f>IF(G3275=1,0.2*R3275/D3275,L3274)</f>
        <v/>
      </c>
      <c r="M3275">
        <f>IF(G3275=1,0.2*R3275/E3275,M3274)</f>
        <v/>
      </c>
      <c r="N3275">
        <f>IF(G3275=1,0.2*R3275/F3275,N3274)</f>
        <v/>
      </c>
      <c r="O3275">
        <f>IF(G3275=1,R3275*(1-1.0),IF(H3274=0,1,O3274*(1+0.00023125256064071564)))</f>
        <v/>
      </c>
      <c r="P3275">
        <f>IF(G3275=1,IF(H3274=0,1,ABS(0.2-J3274*B3275/I3275)+ABS(0.2-K3274*C3275/I3275)+ABS(0.2-L3274*D3275/I3275)+ABS(0.2-M3274*E3275/I3275)+ABS(0.2-N3274*F3275/I3275)),0)</f>
        <v/>
      </c>
      <c r="Q3275">
        <f>P3275*0.0015</f>
        <v/>
      </c>
      <c r="R3275">
        <f>I3275*(1-Q3275)</f>
        <v/>
      </c>
      <c r="S3275">
        <f>R3275/R3274-1</f>
        <v/>
      </c>
      <c r="T3275">
        <f>MAX(T3274,R3275)</f>
        <v/>
      </c>
      <c r="U3275">
        <f>R3275/T3275-1</f>
        <v/>
      </c>
      <c r="V3275" t="n">
        <v>9.245165492464546</v>
      </c>
      <c r="W3275" s="5">
        <f>R3275-V3275</f>
        <v/>
      </c>
    </row>
    <row r="3276">
      <c r="A3276" s="3" t="n">
        <v>43262</v>
      </c>
      <c r="B3276">
        <f>Prices!B3276</f>
        <v/>
      </c>
      <c r="C3276">
        <f>Prices!C3276</f>
        <v/>
      </c>
      <c r="D3276">
        <f>Prices!D3276</f>
        <v/>
      </c>
      <c r="E3276">
        <f>Prices!E3276</f>
        <v/>
      </c>
      <c r="F3276">
        <f>Prices!F3276</f>
        <v/>
      </c>
      <c r="G3276">
        <f>IF(AND(3274&gt;=16,TEXT(A3276,"yyyy-mm")&lt;&gt;TEXT(A3277,"yyyy-mm")),1,0)</f>
        <v/>
      </c>
      <c r="H3276">
        <f>IF(OR(H3275=1,G3276=1),1,0)</f>
        <v/>
      </c>
      <c r="I3276">
        <f>IF(H3275=0,1,SUMPRODUCT(J3275:N3275,B3276:F3276)+O3275*(1+0.00023125256064071564))</f>
        <v/>
      </c>
      <c r="J3276">
        <f>IF(G3276=1,0.2*R3276/B3276,J3275)</f>
        <v/>
      </c>
      <c r="K3276">
        <f>IF(G3276=1,0.2*R3276/C3276,K3275)</f>
        <v/>
      </c>
      <c r="L3276">
        <f>IF(G3276=1,0.2*R3276/D3276,L3275)</f>
        <v/>
      </c>
      <c r="M3276">
        <f>IF(G3276=1,0.2*R3276/E3276,M3275)</f>
        <v/>
      </c>
      <c r="N3276">
        <f>IF(G3276=1,0.2*R3276/F3276,N3275)</f>
        <v/>
      </c>
      <c r="O3276">
        <f>IF(G3276=1,R3276*(1-1.0),IF(H3275=0,1,O3275*(1+0.00023125256064071564)))</f>
        <v/>
      </c>
      <c r="P3276">
        <f>IF(G3276=1,IF(H3275=0,1,ABS(0.2-J3275*B3276/I3276)+ABS(0.2-K3275*C3276/I3276)+ABS(0.2-L3275*D3276/I3276)+ABS(0.2-M3275*E3276/I3276)+ABS(0.2-N3275*F3276/I3276)),0)</f>
        <v/>
      </c>
      <c r="Q3276">
        <f>P3276*0.0015</f>
        <v/>
      </c>
      <c r="R3276">
        <f>I3276*(1-Q3276)</f>
        <v/>
      </c>
      <c r="S3276">
        <f>R3276/R3275-1</f>
        <v/>
      </c>
      <c r="T3276">
        <f>MAX(T3275,R3276)</f>
        <v/>
      </c>
      <c r="U3276">
        <f>R3276/T3276-1</f>
        <v/>
      </c>
      <c r="V3276" t="n">
        <v>9.266302784767788</v>
      </c>
      <c r="W3276" s="5">
        <f>R3276-V3276</f>
        <v/>
      </c>
    </row>
    <row r="3277">
      <c r="A3277" s="3" t="n">
        <v>43263</v>
      </c>
      <c r="B3277">
        <f>Prices!B3277</f>
        <v/>
      </c>
      <c r="C3277">
        <f>Prices!C3277</f>
        <v/>
      </c>
      <c r="D3277">
        <f>Prices!D3277</f>
        <v/>
      </c>
      <c r="E3277">
        <f>Prices!E3277</f>
        <v/>
      </c>
      <c r="F3277">
        <f>Prices!F3277</f>
        <v/>
      </c>
      <c r="G3277">
        <f>IF(AND(3275&gt;=16,TEXT(A3277,"yyyy-mm")&lt;&gt;TEXT(A3278,"yyyy-mm")),1,0)</f>
        <v/>
      </c>
      <c r="H3277">
        <f>IF(OR(H3276=1,G3277=1),1,0)</f>
        <v/>
      </c>
      <c r="I3277">
        <f>IF(H3276=0,1,SUMPRODUCT(J3276:N3276,B3277:F3277)+O3276*(1+0.00023125256064071564))</f>
        <v/>
      </c>
      <c r="J3277">
        <f>IF(G3277=1,0.2*R3277/B3277,J3276)</f>
        <v/>
      </c>
      <c r="K3277">
        <f>IF(G3277=1,0.2*R3277/C3277,K3276)</f>
        <v/>
      </c>
      <c r="L3277">
        <f>IF(G3277=1,0.2*R3277/D3277,L3276)</f>
        <v/>
      </c>
      <c r="M3277">
        <f>IF(G3277=1,0.2*R3277/E3277,M3276)</f>
        <v/>
      </c>
      <c r="N3277">
        <f>IF(G3277=1,0.2*R3277/F3277,N3276)</f>
        <v/>
      </c>
      <c r="O3277">
        <f>IF(G3277=1,R3277*(1-1.0),IF(H3276=0,1,O3276*(1+0.00023125256064071564)))</f>
        <v/>
      </c>
      <c r="P3277">
        <f>IF(G3277=1,IF(H3276=0,1,ABS(0.2-J3276*B3277/I3277)+ABS(0.2-K3276*C3277/I3277)+ABS(0.2-L3276*D3277/I3277)+ABS(0.2-M3276*E3277/I3277)+ABS(0.2-N3276*F3277/I3277)),0)</f>
        <v/>
      </c>
      <c r="Q3277">
        <f>P3277*0.0015</f>
        <v/>
      </c>
      <c r="R3277">
        <f>I3277*(1-Q3277)</f>
        <v/>
      </c>
      <c r="S3277">
        <f>R3277/R3276-1</f>
        <v/>
      </c>
      <c r="T3277">
        <f>MAX(T3276,R3277)</f>
        <v/>
      </c>
      <c r="U3277">
        <f>R3277/T3277-1</f>
        <v/>
      </c>
      <c r="V3277" t="n">
        <v>9.323153664863092</v>
      </c>
      <c r="W3277" s="5">
        <f>R3277-V3277</f>
        <v/>
      </c>
    </row>
    <row r="3278">
      <c r="A3278" s="3" t="n">
        <v>43264</v>
      </c>
      <c r="B3278">
        <f>Prices!B3278</f>
        <v/>
      </c>
      <c r="C3278">
        <f>Prices!C3278</f>
        <v/>
      </c>
      <c r="D3278">
        <f>Prices!D3278</f>
        <v/>
      </c>
      <c r="E3278">
        <f>Prices!E3278</f>
        <v/>
      </c>
      <c r="F3278">
        <f>Prices!F3278</f>
        <v/>
      </c>
      <c r="G3278">
        <f>IF(AND(3276&gt;=16,TEXT(A3278,"yyyy-mm")&lt;&gt;TEXT(A3279,"yyyy-mm")),1,0)</f>
        <v/>
      </c>
      <c r="H3278">
        <f>IF(OR(H3277=1,G3278=1),1,0)</f>
        <v/>
      </c>
      <c r="I3278">
        <f>IF(H3277=0,1,SUMPRODUCT(J3277:N3277,B3278:F3278)+O3277*(1+0.00023125256064071564))</f>
        <v/>
      </c>
      <c r="J3278">
        <f>IF(G3278=1,0.2*R3278/B3278,J3277)</f>
        <v/>
      </c>
      <c r="K3278">
        <f>IF(G3278=1,0.2*R3278/C3278,K3277)</f>
        <v/>
      </c>
      <c r="L3278">
        <f>IF(G3278=1,0.2*R3278/D3278,L3277)</f>
        <v/>
      </c>
      <c r="M3278">
        <f>IF(G3278=1,0.2*R3278/E3278,M3277)</f>
        <v/>
      </c>
      <c r="N3278">
        <f>IF(G3278=1,0.2*R3278/F3278,N3277)</f>
        <v/>
      </c>
      <c r="O3278">
        <f>IF(G3278=1,R3278*(1-1.0),IF(H3277=0,1,O3277*(1+0.00023125256064071564)))</f>
        <v/>
      </c>
      <c r="P3278">
        <f>IF(G3278=1,IF(H3277=0,1,ABS(0.2-J3277*B3278/I3278)+ABS(0.2-K3277*C3278/I3278)+ABS(0.2-L3277*D3278/I3278)+ABS(0.2-M3277*E3278/I3278)+ABS(0.2-N3277*F3278/I3278)),0)</f>
        <v/>
      </c>
      <c r="Q3278">
        <f>P3278*0.0015</f>
        <v/>
      </c>
      <c r="R3278">
        <f>I3278*(1-Q3278)</f>
        <v/>
      </c>
      <c r="S3278">
        <f>R3278/R3277-1</f>
        <v/>
      </c>
      <c r="T3278">
        <f>MAX(T3277,R3278)</f>
        <v/>
      </c>
      <c r="U3278">
        <f>R3278/T3278-1</f>
        <v/>
      </c>
      <c r="V3278" t="n">
        <v>9.343587969932653</v>
      </c>
      <c r="W3278" s="5">
        <f>R3278-V3278</f>
        <v/>
      </c>
    </row>
    <row r="3279">
      <c r="A3279" s="3" t="n">
        <v>43265</v>
      </c>
      <c r="B3279">
        <f>Prices!B3279</f>
        <v/>
      </c>
      <c r="C3279">
        <f>Prices!C3279</f>
        <v/>
      </c>
      <c r="D3279">
        <f>Prices!D3279</f>
        <v/>
      </c>
      <c r="E3279">
        <f>Prices!E3279</f>
        <v/>
      </c>
      <c r="F3279">
        <f>Prices!F3279</f>
        <v/>
      </c>
      <c r="G3279">
        <f>IF(AND(3277&gt;=16,TEXT(A3279,"yyyy-mm")&lt;&gt;TEXT(A3280,"yyyy-mm")),1,0)</f>
        <v/>
      </c>
      <c r="H3279">
        <f>IF(OR(H3278=1,G3279=1),1,0)</f>
        <v/>
      </c>
      <c r="I3279">
        <f>IF(H3278=0,1,SUMPRODUCT(J3278:N3278,B3279:F3279)+O3278*(1+0.00023125256064071564))</f>
        <v/>
      </c>
      <c r="J3279">
        <f>IF(G3279=1,0.2*R3279/B3279,J3278)</f>
        <v/>
      </c>
      <c r="K3279">
        <f>IF(G3279=1,0.2*R3279/C3279,K3278)</f>
        <v/>
      </c>
      <c r="L3279">
        <f>IF(G3279=1,0.2*R3279/D3279,L3278)</f>
        <v/>
      </c>
      <c r="M3279">
        <f>IF(G3279=1,0.2*R3279/E3279,M3278)</f>
        <v/>
      </c>
      <c r="N3279">
        <f>IF(G3279=1,0.2*R3279/F3279,N3278)</f>
        <v/>
      </c>
      <c r="O3279">
        <f>IF(G3279=1,R3279*(1-1.0),IF(H3278=0,1,O3278*(1+0.00023125256064071564)))</f>
        <v/>
      </c>
      <c r="P3279">
        <f>IF(G3279=1,IF(H3278=0,1,ABS(0.2-J3278*B3279/I3279)+ABS(0.2-K3278*C3279/I3279)+ABS(0.2-L3278*D3279/I3279)+ABS(0.2-M3278*E3279/I3279)+ABS(0.2-N3278*F3279/I3279)),0)</f>
        <v/>
      </c>
      <c r="Q3279">
        <f>P3279*0.0015</f>
        <v/>
      </c>
      <c r="R3279">
        <f>I3279*(1-Q3279)</f>
        <v/>
      </c>
      <c r="S3279">
        <f>R3279/R3278-1</f>
        <v/>
      </c>
      <c r="T3279">
        <f>MAX(T3278,R3279)</f>
        <v/>
      </c>
      <c r="U3279">
        <f>R3279/T3279-1</f>
        <v/>
      </c>
      <c r="V3279" t="n">
        <v>9.338173989161337</v>
      </c>
      <c r="W3279" s="5">
        <f>R3279-V3279</f>
        <v/>
      </c>
    </row>
    <row r="3280">
      <c r="A3280" s="3" t="n">
        <v>43266</v>
      </c>
      <c r="B3280">
        <f>Prices!B3280</f>
        <v/>
      </c>
      <c r="C3280">
        <f>Prices!C3280</f>
        <v/>
      </c>
      <c r="D3280">
        <f>Prices!D3280</f>
        <v/>
      </c>
      <c r="E3280">
        <f>Prices!E3280</f>
        <v/>
      </c>
      <c r="F3280">
        <f>Prices!F3280</f>
        <v/>
      </c>
      <c r="G3280">
        <f>IF(AND(3278&gt;=16,TEXT(A3280,"yyyy-mm")&lt;&gt;TEXT(A3281,"yyyy-mm")),1,0)</f>
        <v/>
      </c>
      <c r="H3280">
        <f>IF(OR(H3279=1,G3280=1),1,0)</f>
        <v/>
      </c>
      <c r="I3280">
        <f>IF(H3279=0,1,SUMPRODUCT(J3279:N3279,B3280:F3280)+O3279*(1+0.00023125256064071564))</f>
        <v/>
      </c>
      <c r="J3280">
        <f>IF(G3280=1,0.2*R3280/B3280,J3279)</f>
        <v/>
      </c>
      <c r="K3280">
        <f>IF(G3280=1,0.2*R3280/C3280,K3279)</f>
        <v/>
      </c>
      <c r="L3280">
        <f>IF(G3280=1,0.2*R3280/D3280,L3279)</f>
        <v/>
      </c>
      <c r="M3280">
        <f>IF(G3280=1,0.2*R3280/E3280,M3279)</f>
        <v/>
      </c>
      <c r="N3280">
        <f>IF(G3280=1,0.2*R3280/F3280,N3279)</f>
        <v/>
      </c>
      <c r="O3280">
        <f>IF(G3280=1,R3280*(1-1.0),IF(H3279=0,1,O3279*(1+0.00023125256064071564)))</f>
        <v/>
      </c>
      <c r="P3280">
        <f>IF(G3280=1,IF(H3279=0,1,ABS(0.2-J3279*B3280/I3280)+ABS(0.2-K3279*C3280/I3280)+ABS(0.2-L3279*D3280/I3280)+ABS(0.2-M3279*E3280/I3280)+ABS(0.2-N3279*F3280/I3280)),0)</f>
        <v/>
      </c>
      <c r="Q3280">
        <f>P3280*0.0015</f>
        <v/>
      </c>
      <c r="R3280">
        <f>I3280*(1-Q3280)</f>
        <v/>
      </c>
      <c r="S3280">
        <f>R3280/R3279-1</f>
        <v/>
      </c>
      <c r="T3280">
        <f>MAX(T3279,R3280)</f>
        <v/>
      </c>
      <c r="U3280">
        <f>R3280/T3280-1</f>
        <v/>
      </c>
      <c r="V3280" t="n">
        <v>9.300529218199609</v>
      </c>
      <c r="W3280" s="5">
        <f>R3280-V3280</f>
        <v/>
      </c>
    </row>
    <row r="3281">
      <c r="A3281" s="3" t="n">
        <v>43269</v>
      </c>
      <c r="B3281">
        <f>Prices!B3281</f>
        <v/>
      </c>
      <c r="C3281">
        <f>Prices!C3281</f>
        <v/>
      </c>
      <c r="D3281">
        <f>Prices!D3281</f>
        <v/>
      </c>
      <c r="E3281">
        <f>Prices!E3281</f>
        <v/>
      </c>
      <c r="F3281">
        <f>Prices!F3281</f>
        <v/>
      </c>
      <c r="G3281">
        <f>IF(AND(3279&gt;=16,TEXT(A3281,"yyyy-mm")&lt;&gt;TEXT(A3282,"yyyy-mm")),1,0)</f>
        <v/>
      </c>
      <c r="H3281">
        <f>IF(OR(H3280=1,G3281=1),1,0)</f>
        <v/>
      </c>
      <c r="I3281">
        <f>IF(H3280=0,1,SUMPRODUCT(J3280:N3280,B3281:F3281)+O3280*(1+0.00023125256064071564))</f>
        <v/>
      </c>
      <c r="J3281">
        <f>IF(G3281=1,0.2*R3281/B3281,J3280)</f>
        <v/>
      </c>
      <c r="K3281">
        <f>IF(G3281=1,0.2*R3281/C3281,K3280)</f>
        <v/>
      </c>
      <c r="L3281">
        <f>IF(G3281=1,0.2*R3281/D3281,L3280)</f>
        <v/>
      </c>
      <c r="M3281">
        <f>IF(G3281=1,0.2*R3281/E3281,M3280)</f>
        <v/>
      </c>
      <c r="N3281">
        <f>IF(G3281=1,0.2*R3281/F3281,N3280)</f>
        <v/>
      </c>
      <c r="O3281">
        <f>IF(G3281=1,R3281*(1-1.0),IF(H3280=0,1,O3280*(1+0.00023125256064071564)))</f>
        <v/>
      </c>
      <c r="P3281">
        <f>IF(G3281=1,IF(H3280=0,1,ABS(0.2-J3280*B3281/I3281)+ABS(0.2-K3280*C3281/I3281)+ABS(0.2-L3280*D3281/I3281)+ABS(0.2-M3280*E3281/I3281)+ABS(0.2-N3280*F3281/I3281)),0)</f>
        <v/>
      </c>
      <c r="Q3281">
        <f>P3281*0.0015</f>
        <v/>
      </c>
      <c r="R3281">
        <f>I3281*(1-Q3281)</f>
        <v/>
      </c>
      <c r="S3281">
        <f>R3281/R3280-1</f>
        <v/>
      </c>
      <c r="T3281">
        <f>MAX(T3280,R3281)</f>
        <v/>
      </c>
      <c r="U3281">
        <f>R3281/T3281-1</f>
        <v/>
      </c>
      <c r="V3281" t="n">
        <v>9.251055184197568</v>
      </c>
      <c r="W3281" s="5">
        <f>R3281-V3281</f>
        <v/>
      </c>
    </row>
    <row r="3282">
      <c r="A3282" s="3" t="n">
        <v>43270</v>
      </c>
      <c r="B3282">
        <f>Prices!B3282</f>
        <v/>
      </c>
      <c r="C3282">
        <f>Prices!C3282</f>
        <v/>
      </c>
      <c r="D3282">
        <f>Prices!D3282</f>
        <v/>
      </c>
      <c r="E3282">
        <f>Prices!E3282</f>
        <v/>
      </c>
      <c r="F3282">
        <f>Prices!F3282</f>
        <v/>
      </c>
      <c r="G3282">
        <f>IF(AND(3280&gt;=16,TEXT(A3282,"yyyy-mm")&lt;&gt;TEXT(A3283,"yyyy-mm")),1,0)</f>
        <v/>
      </c>
      <c r="H3282">
        <f>IF(OR(H3281=1,G3282=1),1,0)</f>
        <v/>
      </c>
      <c r="I3282">
        <f>IF(H3281=0,1,SUMPRODUCT(J3281:N3281,B3282:F3282)+O3281*(1+0.00023125256064071564))</f>
        <v/>
      </c>
      <c r="J3282">
        <f>IF(G3282=1,0.2*R3282/B3282,J3281)</f>
        <v/>
      </c>
      <c r="K3282">
        <f>IF(G3282=1,0.2*R3282/C3282,K3281)</f>
        <v/>
      </c>
      <c r="L3282">
        <f>IF(G3282=1,0.2*R3282/D3282,L3281)</f>
        <v/>
      </c>
      <c r="M3282">
        <f>IF(G3282=1,0.2*R3282/E3282,M3281)</f>
        <v/>
      </c>
      <c r="N3282">
        <f>IF(G3282=1,0.2*R3282/F3282,N3281)</f>
        <v/>
      </c>
      <c r="O3282">
        <f>IF(G3282=1,R3282*(1-1.0),IF(H3281=0,1,O3281*(1+0.00023125256064071564)))</f>
        <v/>
      </c>
      <c r="P3282">
        <f>IF(G3282=1,IF(H3281=0,1,ABS(0.2-J3281*B3282/I3282)+ABS(0.2-K3281*C3282/I3282)+ABS(0.2-L3281*D3282/I3282)+ABS(0.2-M3281*E3282/I3282)+ABS(0.2-N3281*F3282/I3282)),0)</f>
        <v/>
      </c>
      <c r="Q3282">
        <f>P3282*0.0015</f>
        <v/>
      </c>
      <c r="R3282">
        <f>I3282*(1-Q3282)</f>
        <v/>
      </c>
      <c r="S3282">
        <f>R3282/R3281-1</f>
        <v/>
      </c>
      <c r="T3282">
        <f>MAX(T3281,R3282)</f>
        <v/>
      </c>
      <c r="U3282">
        <f>R3282/T3282-1</f>
        <v/>
      </c>
      <c r="V3282" t="n">
        <v>9.123336864029309</v>
      </c>
      <c r="W3282" s="5">
        <f>R3282-V3282</f>
        <v/>
      </c>
    </row>
    <row r="3283">
      <c r="A3283" s="3" t="n">
        <v>43271</v>
      </c>
      <c r="B3283">
        <f>Prices!B3283</f>
        <v/>
      </c>
      <c r="C3283">
        <f>Prices!C3283</f>
        <v/>
      </c>
      <c r="D3283">
        <f>Prices!D3283</f>
        <v/>
      </c>
      <c r="E3283">
        <f>Prices!E3283</f>
        <v/>
      </c>
      <c r="F3283">
        <f>Prices!F3283</f>
        <v/>
      </c>
      <c r="G3283">
        <f>IF(AND(3281&gt;=16,TEXT(A3283,"yyyy-mm")&lt;&gt;TEXT(A3284,"yyyy-mm")),1,0)</f>
        <v/>
      </c>
      <c r="H3283">
        <f>IF(OR(H3282=1,G3283=1),1,0)</f>
        <v/>
      </c>
      <c r="I3283">
        <f>IF(H3282=0,1,SUMPRODUCT(J3282:N3282,B3283:F3283)+O3282*(1+0.00023125256064071564))</f>
        <v/>
      </c>
      <c r="J3283">
        <f>IF(G3283=1,0.2*R3283/B3283,J3282)</f>
        <v/>
      </c>
      <c r="K3283">
        <f>IF(G3283=1,0.2*R3283/C3283,K3282)</f>
        <v/>
      </c>
      <c r="L3283">
        <f>IF(G3283=1,0.2*R3283/D3283,L3282)</f>
        <v/>
      </c>
      <c r="M3283">
        <f>IF(G3283=1,0.2*R3283/E3283,M3282)</f>
        <v/>
      </c>
      <c r="N3283">
        <f>IF(G3283=1,0.2*R3283/F3283,N3282)</f>
        <v/>
      </c>
      <c r="O3283">
        <f>IF(G3283=1,R3283*(1-1.0),IF(H3282=0,1,O3282*(1+0.00023125256064071564)))</f>
        <v/>
      </c>
      <c r="P3283">
        <f>IF(G3283=1,IF(H3282=0,1,ABS(0.2-J3282*B3283/I3283)+ABS(0.2-K3282*C3283/I3283)+ABS(0.2-L3282*D3283/I3283)+ABS(0.2-M3282*E3283/I3283)+ABS(0.2-N3282*F3283/I3283)),0)</f>
        <v/>
      </c>
      <c r="Q3283">
        <f>P3283*0.0015</f>
        <v/>
      </c>
      <c r="R3283">
        <f>I3283*(1-Q3283)</f>
        <v/>
      </c>
      <c r="S3283">
        <f>R3283/R3282-1</f>
        <v/>
      </c>
      <c r="T3283">
        <f>MAX(T3282,R3283)</f>
        <v/>
      </c>
      <c r="U3283">
        <f>R3283/T3283-1</f>
        <v/>
      </c>
      <c r="V3283" t="n">
        <v>9.147618098678835</v>
      </c>
      <c r="W3283" s="5">
        <f>R3283-V3283</f>
        <v/>
      </c>
    </row>
    <row r="3284">
      <c r="A3284" s="3" t="n">
        <v>43272</v>
      </c>
      <c r="B3284">
        <f>Prices!B3284</f>
        <v/>
      </c>
      <c r="C3284">
        <f>Prices!C3284</f>
        <v/>
      </c>
      <c r="D3284">
        <f>Prices!D3284</f>
        <v/>
      </c>
      <c r="E3284">
        <f>Prices!E3284</f>
        <v/>
      </c>
      <c r="F3284">
        <f>Prices!F3284</f>
        <v/>
      </c>
      <c r="G3284">
        <f>IF(AND(3282&gt;=16,TEXT(A3284,"yyyy-mm")&lt;&gt;TEXT(A3285,"yyyy-mm")),1,0)</f>
        <v/>
      </c>
      <c r="H3284">
        <f>IF(OR(H3283=1,G3284=1),1,0)</f>
        <v/>
      </c>
      <c r="I3284">
        <f>IF(H3283=0,1,SUMPRODUCT(J3283:N3283,B3284:F3284)+O3283*(1+0.00023125256064071564))</f>
        <v/>
      </c>
      <c r="J3284">
        <f>IF(G3284=1,0.2*R3284/B3284,J3283)</f>
        <v/>
      </c>
      <c r="K3284">
        <f>IF(G3284=1,0.2*R3284/C3284,K3283)</f>
        <v/>
      </c>
      <c r="L3284">
        <f>IF(G3284=1,0.2*R3284/D3284,L3283)</f>
        <v/>
      </c>
      <c r="M3284">
        <f>IF(G3284=1,0.2*R3284/E3284,M3283)</f>
        <v/>
      </c>
      <c r="N3284">
        <f>IF(G3284=1,0.2*R3284/F3284,N3283)</f>
        <v/>
      </c>
      <c r="O3284">
        <f>IF(G3284=1,R3284*(1-1.0),IF(H3283=0,1,O3283*(1+0.00023125256064071564)))</f>
        <v/>
      </c>
      <c r="P3284">
        <f>IF(G3284=1,IF(H3283=0,1,ABS(0.2-J3283*B3284/I3284)+ABS(0.2-K3283*C3284/I3284)+ABS(0.2-L3283*D3284/I3284)+ABS(0.2-M3283*E3284/I3284)+ABS(0.2-N3283*F3284/I3284)),0)</f>
        <v/>
      </c>
      <c r="Q3284">
        <f>P3284*0.0015</f>
        <v/>
      </c>
      <c r="R3284">
        <f>I3284*(1-Q3284)</f>
        <v/>
      </c>
      <c r="S3284">
        <f>R3284/R3283-1</f>
        <v/>
      </c>
      <c r="T3284">
        <f>MAX(T3283,R3284)</f>
        <v/>
      </c>
      <c r="U3284">
        <f>R3284/T3284-1</f>
        <v/>
      </c>
      <c r="V3284" t="n">
        <v>9.08024497317068</v>
      </c>
      <c r="W3284" s="5">
        <f>R3284-V3284</f>
        <v/>
      </c>
    </row>
    <row r="3285">
      <c r="A3285" s="3" t="n">
        <v>43273</v>
      </c>
      <c r="B3285">
        <f>Prices!B3285</f>
        <v/>
      </c>
      <c r="C3285">
        <f>Prices!C3285</f>
        <v/>
      </c>
      <c r="D3285">
        <f>Prices!D3285</f>
        <v/>
      </c>
      <c r="E3285">
        <f>Prices!E3285</f>
        <v/>
      </c>
      <c r="F3285">
        <f>Prices!F3285</f>
        <v/>
      </c>
      <c r="G3285">
        <f>IF(AND(3283&gt;=16,TEXT(A3285,"yyyy-mm")&lt;&gt;TEXT(A3286,"yyyy-mm")),1,0)</f>
        <v/>
      </c>
      <c r="H3285">
        <f>IF(OR(H3284=1,G3285=1),1,0)</f>
        <v/>
      </c>
      <c r="I3285">
        <f>IF(H3284=0,1,SUMPRODUCT(J3284:N3284,B3285:F3285)+O3284*(1+0.00023125256064071564))</f>
        <v/>
      </c>
      <c r="J3285">
        <f>IF(G3285=1,0.2*R3285/B3285,J3284)</f>
        <v/>
      </c>
      <c r="K3285">
        <f>IF(G3285=1,0.2*R3285/C3285,K3284)</f>
        <v/>
      </c>
      <c r="L3285">
        <f>IF(G3285=1,0.2*R3285/D3285,L3284)</f>
        <v/>
      </c>
      <c r="M3285">
        <f>IF(G3285=1,0.2*R3285/E3285,M3284)</f>
        <v/>
      </c>
      <c r="N3285">
        <f>IF(G3285=1,0.2*R3285/F3285,N3284)</f>
        <v/>
      </c>
      <c r="O3285">
        <f>IF(G3285=1,R3285*(1-1.0),IF(H3284=0,1,O3284*(1+0.00023125256064071564)))</f>
        <v/>
      </c>
      <c r="P3285">
        <f>IF(G3285=1,IF(H3284=0,1,ABS(0.2-J3284*B3285/I3285)+ABS(0.2-K3284*C3285/I3285)+ABS(0.2-L3284*D3285/I3285)+ABS(0.2-M3284*E3285/I3285)+ABS(0.2-N3284*F3285/I3285)),0)</f>
        <v/>
      </c>
      <c r="Q3285">
        <f>P3285*0.0015</f>
        <v/>
      </c>
      <c r="R3285">
        <f>I3285*(1-Q3285)</f>
        <v/>
      </c>
      <c r="S3285">
        <f>R3285/R3284-1</f>
        <v/>
      </c>
      <c r="T3285">
        <f>MAX(T3284,R3285)</f>
        <v/>
      </c>
      <c r="U3285">
        <f>R3285/T3285-1</f>
        <v/>
      </c>
      <c r="V3285" t="n">
        <v>9.118905376051657</v>
      </c>
      <c r="W3285" s="5">
        <f>R3285-V3285</f>
        <v/>
      </c>
    </row>
    <row r="3286">
      <c r="A3286" s="3" t="n">
        <v>43276</v>
      </c>
      <c r="B3286">
        <f>Prices!B3286</f>
        <v/>
      </c>
      <c r="C3286">
        <f>Prices!C3286</f>
        <v/>
      </c>
      <c r="D3286">
        <f>Prices!D3286</f>
        <v/>
      </c>
      <c r="E3286">
        <f>Prices!E3286</f>
        <v/>
      </c>
      <c r="F3286">
        <f>Prices!F3286</f>
        <v/>
      </c>
      <c r="G3286">
        <f>IF(AND(3284&gt;=16,TEXT(A3286,"yyyy-mm")&lt;&gt;TEXT(A3287,"yyyy-mm")),1,0)</f>
        <v/>
      </c>
      <c r="H3286">
        <f>IF(OR(H3285=1,G3286=1),1,0)</f>
        <v/>
      </c>
      <c r="I3286">
        <f>IF(H3285=0,1,SUMPRODUCT(J3285:N3285,B3286:F3286)+O3285*(1+0.00023125256064071564))</f>
        <v/>
      </c>
      <c r="J3286">
        <f>IF(G3286=1,0.2*R3286/B3286,J3285)</f>
        <v/>
      </c>
      <c r="K3286">
        <f>IF(G3286=1,0.2*R3286/C3286,K3285)</f>
        <v/>
      </c>
      <c r="L3286">
        <f>IF(G3286=1,0.2*R3286/D3286,L3285)</f>
        <v/>
      </c>
      <c r="M3286">
        <f>IF(G3286=1,0.2*R3286/E3286,M3285)</f>
        <v/>
      </c>
      <c r="N3286">
        <f>IF(G3286=1,0.2*R3286/F3286,N3285)</f>
        <v/>
      </c>
      <c r="O3286">
        <f>IF(G3286=1,R3286*(1-1.0),IF(H3285=0,1,O3285*(1+0.00023125256064071564)))</f>
        <v/>
      </c>
      <c r="P3286">
        <f>IF(G3286=1,IF(H3285=0,1,ABS(0.2-J3285*B3286/I3286)+ABS(0.2-K3285*C3286/I3286)+ABS(0.2-L3285*D3286/I3286)+ABS(0.2-M3285*E3286/I3286)+ABS(0.2-N3285*F3286/I3286)),0)</f>
        <v/>
      </c>
      <c r="Q3286">
        <f>P3286*0.0015</f>
        <v/>
      </c>
      <c r="R3286">
        <f>I3286*(1-Q3286)</f>
        <v/>
      </c>
      <c r="S3286">
        <f>R3286/R3285-1</f>
        <v/>
      </c>
      <c r="T3286">
        <f>MAX(T3285,R3286)</f>
        <v/>
      </c>
      <c r="U3286">
        <f>R3286/T3286-1</f>
        <v/>
      </c>
      <c r="V3286" t="n">
        <v>9.077056881523701</v>
      </c>
      <c r="W3286" s="5">
        <f>R3286-V3286</f>
        <v/>
      </c>
    </row>
    <row r="3287">
      <c r="A3287" s="3" t="n">
        <v>43277</v>
      </c>
      <c r="B3287">
        <f>Prices!B3287</f>
        <v/>
      </c>
      <c r="C3287">
        <f>Prices!C3287</f>
        <v/>
      </c>
      <c r="D3287">
        <f>Prices!D3287</f>
        <v/>
      </c>
      <c r="E3287">
        <f>Prices!E3287</f>
        <v/>
      </c>
      <c r="F3287">
        <f>Prices!F3287</f>
        <v/>
      </c>
      <c r="G3287">
        <f>IF(AND(3285&gt;=16,TEXT(A3287,"yyyy-mm")&lt;&gt;TEXT(A3288,"yyyy-mm")),1,0)</f>
        <v/>
      </c>
      <c r="H3287">
        <f>IF(OR(H3286=1,G3287=1),1,0)</f>
        <v/>
      </c>
      <c r="I3287">
        <f>IF(H3286=0,1,SUMPRODUCT(J3286:N3286,B3287:F3287)+O3286*(1+0.00023125256064071564))</f>
        <v/>
      </c>
      <c r="J3287">
        <f>IF(G3287=1,0.2*R3287/B3287,J3286)</f>
        <v/>
      </c>
      <c r="K3287">
        <f>IF(G3287=1,0.2*R3287/C3287,K3286)</f>
        <v/>
      </c>
      <c r="L3287">
        <f>IF(G3287=1,0.2*R3287/D3287,L3286)</f>
        <v/>
      </c>
      <c r="M3287">
        <f>IF(G3287=1,0.2*R3287/E3287,M3286)</f>
        <v/>
      </c>
      <c r="N3287">
        <f>IF(G3287=1,0.2*R3287/F3287,N3286)</f>
        <v/>
      </c>
      <c r="O3287">
        <f>IF(G3287=1,R3287*(1-1.0),IF(H3286=0,1,O3286*(1+0.00023125256064071564)))</f>
        <v/>
      </c>
      <c r="P3287">
        <f>IF(G3287=1,IF(H3286=0,1,ABS(0.2-J3286*B3287/I3287)+ABS(0.2-K3286*C3287/I3287)+ABS(0.2-L3286*D3287/I3287)+ABS(0.2-M3286*E3287/I3287)+ABS(0.2-N3286*F3287/I3287)),0)</f>
        <v/>
      </c>
      <c r="Q3287">
        <f>P3287*0.0015</f>
        <v/>
      </c>
      <c r="R3287">
        <f>I3287*(1-Q3287)</f>
        <v/>
      </c>
      <c r="S3287">
        <f>R3287/R3286-1</f>
        <v/>
      </c>
      <c r="T3287">
        <f>MAX(T3286,R3287)</f>
        <v/>
      </c>
      <c r="U3287">
        <f>R3287/T3287-1</f>
        <v/>
      </c>
      <c r="V3287" t="n">
        <v>9.079338342510898</v>
      </c>
      <c r="W3287" s="5">
        <f>R3287-V3287</f>
        <v/>
      </c>
    </row>
    <row r="3288">
      <c r="A3288" s="3" t="n">
        <v>43278</v>
      </c>
      <c r="B3288">
        <f>Prices!B3288</f>
        <v/>
      </c>
      <c r="C3288">
        <f>Prices!C3288</f>
        <v/>
      </c>
      <c r="D3288">
        <f>Prices!D3288</f>
        <v/>
      </c>
      <c r="E3288">
        <f>Prices!E3288</f>
        <v/>
      </c>
      <c r="F3288">
        <f>Prices!F3288</f>
        <v/>
      </c>
      <c r="G3288">
        <f>IF(AND(3286&gt;=16,TEXT(A3288,"yyyy-mm")&lt;&gt;TEXT(A3289,"yyyy-mm")),1,0)</f>
        <v/>
      </c>
      <c r="H3288">
        <f>IF(OR(H3287=1,G3288=1),1,0)</f>
        <v/>
      </c>
      <c r="I3288">
        <f>IF(H3287=0,1,SUMPRODUCT(J3287:N3287,B3288:F3288)+O3287*(1+0.00023125256064071564))</f>
        <v/>
      </c>
      <c r="J3288">
        <f>IF(G3288=1,0.2*R3288/B3288,J3287)</f>
        <v/>
      </c>
      <c r="K3288">
        <f>IF(G3288=1,0.2*R3288/C3288,K3287)</f>
        <v/>
      </c>
      <c r="L3288">
        <f>IF(G3288=1,0.2*R3288/D3288,L3287)</f>
        <v/>
      </c>
      <c r="M3288">
        <f>IF(G3288=1,0.2*R3288/E3288,M3287)</f>
        <v/>
      </c>
      <c r="N3288">
        <f>IF(G3288=1,0.2*R3288/F3288,N3287)</f>
        <v/>
      </c>
      <c r="O3288">
        <f>IF(G3288=1,R3288*(1-1.0),IF(H3287=0,1,O3287*(1+0.00023125256064071564)))</f>
        <v/>
      </c>
      <c r="P3288">
        <f>IF(G3288=1,IF(H3287=0,1,ABS(0.2-J3287*B3288/I3288)+ABS(0.2-K3287*C3288/I3288)+ABS(0.2-L3287*D3288/I3288)+ABS(0.2-M3287*E3288/I3288)+ABS(0.2-N3287*F3288/I3288)),0)</f>
        <v/>
      </c>
      <c r="Q3288">
        <f>P3288*0.0015</f>
        <v/>
      </c>
      <c r="R3288">
        <f>I3288*(1-Q3288)</f>
        <v/>
      </c>
      <c r="S3288">
        <f>R3288/R3287-1</f>
        <v/>
      </c>
      <c r="T3288">
        <f>MAX(T3287,R3288)</f>
        <v/>
      </c>
      <c r="U3288">
        <f>R3288/T3288-1</f>
        <v/>
      </c>
      <c r="V3288" t="n">
        <v>8.934839229944078</v>
      </c>
      <c r="W3288" s="5">
        <f>R3288-V3288</f>
        <v/>
      </c>
    </row>
    <row r="3289">
      <c r="A3289" s="3" t="n">
        <v>43279</v>
      </c>
      <c r="B3289">
        <f>Prices!B3289</f>
        <v/>
      </c>
      <c r="C3289">
        <f>Prices!C3289</f>
        <v/>
      </c>
      <c r="D3289">
        <f>Prices!D3289</f>
        <v/>
      </c>
      <c r="E3289">
        <f>Prices!E3289</f>
        <v/>
      </c>
      <c r="F3289">
        <f>Prices!F3289</f>
        <v/>
      </c>
      <c r="G3289">
        <f>IF(AND(3287&gt;=16,TEXT(A3289,"yyyy-mm")&lt;&gt;TEXT(A3290,"yyyy-mm")),1,0)</f>
        <v/>
      </c>
      <c r="H3289">
        <f>IF(OR(H3288=1,G3289=1),1,0)</f>
        <v/>
      </c>
      <c r="I3289">
        <f>IF(H3288=0,1,SUMPRODUCT(J3288:N3288,B3289:F3289)+O3288*(1+0.00023125256064071564))</f>
        <v/>
      </c>
      <c r="J3289">
        <f>IF(G3289=1,0.2*R3289/B3289,J3288)</f>
        <v/>
      </c>
      <c r="K3289">
        <f>IF(G3289=1,0.2*R3289/C3289,K3288)</f>
        <v/>
      </c>
      <c r="L3289">
        <f>IF(G3289=1,0.2*R3289/D3289,L3288)</f>
        <v/>
      </c>
      <c r="M3289">
        <f>IF(G3289=1,0.2*R3289/E3289,M3288)</f>
        <v/>
      </c>
      <c r="N3289">
        <f>IF(G3289=1,0.2*R3289/F3289,N3288)</f>
        <v/>
      </c>
      <c r="O3289">
        <f>IF(G3289=1,R3289*(1-1.0),IF(H3288=0,1,O3288*(1+0.00023125256064071564)))</f>
        <v/>
      </c>
      <c r="P3289">
        <f>IF(G3289=1,IF(H3288=0,1,ABS(0.2-J3288*B3289/I3289)+ABS(0.2-K3288*C3289/I3289)+ABS(0.2-L3288*D3289/I3289)+ABS(0.2-M3288*E3289/I3289)+ABS(0.2-N3288*F3289/I3289)),0)</f>
        <v/>
      </c>
      <c r="Q3289">
        <f>P3289*0.0015</f>
        <v/>
      </c>
      <c r="R3289">
        <f>I3289*(1-Q3289)</f>
        <v/>
      </c>
      <c r="S3289">
        <f>R3289/R3288-1</f>
        <v/>
      </c>
      <c r="T3289">
        <f>MAX(T3288,R3289)</f>
        <v/>
      </c>
      <c r="U3289">
        <f>R3289/T3289-1</f>
        <v/>
      </c>
      <c r="V3289" t="n">
        <v>8.8138531758875</v>
      </c>
      <c r="W3289" s="5">
        <f>R3289-V3289</f>
        <v/>
      </c>
    </row>
    <row r="3290">
      <c r="A3290" s="3" t="n">
        <v>43280</v>
      </c>
      <c r="B3290">
        <f>Prices!B3290</f>
        <v/>
      </c>
      <c r="C3290">
        <f>Prices!C3290</f>
        <v/>
      </c>
      <c r="D3290">
        <f>Prices!D3290</f>
        <v/>
      </c>
      <c r="E3290">
        <f>Prices!E3290</f>
        <v/>
      </c>
      <c r="F3290">
        <f>Prices!F3290</f>
        <v/>
      </c>
      <c r="G3290">
        <f>IF(AND(3288&gt;=16,TEXT(A3290,"yyyy-mm")&lt;&gt;TEXT(A3291,"yyyy-mm")),1,0)</f>
        <v/>
      </c>
      <c r="H3290">
        <f>IF(OR(H3289=1,G3290=1),1,0)</f>
        <v/>
      </c>
      <c r="I3290">
        <f>IF(H3289=0,1,SUMPRODUCT(J3289:N3289,B3290:F3290)+O3289*(1+0.00023125256064071564))</f>
        <v/>
      </c>
      <c r="J3290">
        <f>IF(G3290=1,0.2*R3290/B3290,J3289)</f>
        <v/>
      </c>
      <c r="K3290">
        <f>IF(G3290=1,0.2*R3290/C3290,K3289)</f>
        <v/>
      </c>
      <c r="L3290">
        <f>IF(G3290=1,0.2*R3290/D3290,L3289)</f>
        <v/>
      </c>
      <c r="M3290">
        <f>IF(G3290=1,0.2*R3290/E3290,M3289)</f>
        <v/>
      </c>
      <c r="N3290">
        <f>IF(G3290=1,0.2*R3290/F3290,N3289)</f>
        <v/>
      </c>
      <c r="O3290">
        <f>IF(G3290=1,R3290*(1-1.0),IF(H3289=0,1,O3289*(1+0.00023125256064071564)))</f>
        <v/>
      </c>
      <c r="P3290">
        <f>IF(G3290=1,IF(H3289=0,1,ABS(0.2-J3289*B3290/I3290)+ABS(0.2-K3289*C3290/I3290)+ABS(0.2-L3289*D3290/I3290)+ABS(0.2-M3289*E3290/I3290)+ABS(0.2-N3289*F3290/I3290)),0)</f>
        <v/>
      </c>
      <c r="Q3290">
        <f>P3290*0.0015</f>
        <v/>
      </c>
      <c r="R3290">
        <f>I3290*(1-Q3290)</f>
        <v/>
      </c>
      <c r="S3290">
        <f>R3290/R3289-1</f>
        <v/>
      </c>
      <c r="T3290">
        <f>MAX(T3289,R3290)</f>
        <v/>
      </c>
      <c r="U3290">
        <f>R3290/T3290-1</f>
        <v/>
      </c>
      <c r="V3290" t="n">
        <v>8.98132204962366</v>
      </c>
      <c r="W3290" s="5">
        <f>R3290-V3290</f>
        <v/>
      </c>
    </row>
    <row r="3291">
      <c r="A3291" s="3" t="n">
        <v>43283</v>
      </c>
      <c r="B3291">
        <f>Prices!B3291</f>
        <v/>
      </c>
      <c r="C3291">
        <f>Prices!C3291</f>
        <v/>
      </c>
      <c r="D3291">
        <f>Prices!D3291</f>
        <v/>
      </c>
      <c r="E3291">
        <f>Prices!E3291</f>
        <v/>
      </c>
      <c r="F3291">
        <f>Prices!F3291</f>
        <v/>
      </c>
      <c r="G3291">
        <f>IF(AND(3289&gt;=16,TEXT(A3291,"yyyy-mm")&lt;&gt;TEXT(A3292,"yyyy-mm")),1,0)</f>
        <v/>
      </c>
      <c r="H3291">
        <f>IF(OR(H3290=1,G3291=1),1,0)</f>
        <v/>
      </c>
      <c r="I3291">
        <f>IF(H3290=0,1,SUMPRODUCT(J3290:N3290,B3291:F3291)+O3290*(1+0.00023125256064071564))</f>
        <v/>
      </c>
      <c r="J3291">
        <f>IF(G3291=1,0.2*R3291/B3291,J3290)</f>
        <v/>
      </c>
      <c r="K3291">
        <f>IF(G3291=1,0.2*R3291/C3291,K3290)</f>
        <v/>
      </c>
      <c r="L3291">
        <f>IF(G3291=1,0.2*R3291/D3291,L3290)</f>
        <v/>
      </c>
      <c r="M3291">
        <f>IF(G3291=1,0.2*R3291/E3291,M3290)</f>
        <v/>
      </c>
      <c r="N3291">
        <f>IF(G3291=1,0.2*R3291/F3291,N3290)</f>
        <v/>
      </c>
      <c r="O3291">
        <f>IF(G3291=1,R3291*(1-1.0),IF(H3290=0,1,O3290*(1+0.00023125256064071564)))</f>
        <v/>
      </c>
      <c r="P3291">
        <f>IF(G3291=1,IF(H3290=0,1,ABS(0.2-J3290*B3291/I3291)+ABS(0.2-K3290*C3291/I3291)+ABS(0.2-L3290*D3291/I3291)+ABS(0.2-M3290*E3291/I3291)+ABS(0.2-N3290*F3291/I3291)),0)</f>
        <v/>
      </c>
      <c r="Q3291">
        <f>P3291*0.0015</f>
        <v/>
      </c>
      <c r="R3291">
        <f>I3291*(1-Q3291)</f>
        <v/>
      </c>
      <c r="S3291">
        <f>R3291/R3290-1</f>
        <v/>
      </c>
      <c r="T3291">
        <f>MAX(T3290,R3291)</f>
        <v/>
      </c>
      <c r="U3291">
        <f>R3291/T3291-1</f>
        <v/>
      </c>
      <c r="V3291" t="n">
        <v>8.961543208682061</v>
      </c>
      <c r="W3291" s="5">
        <f>R3291-V3291</f>
        <v/>
      </c>
    </row>
    <row r="3292">
      <c r="A3292" s="3" t="n">
        <v>43284</v>
      </c>
      <c r="B3292">
        <f>Prices!B3292</f>
        <v/>
      </c>
      <c r="C3292">
        <f>Prices!C3292</f>
        <v/>
      </c>
      <c r="D3292">
        <f>Prices!D3292</f>
        <v/>
      </c>
      <c r="E3292">
        <f>Prices!E3292</f>
        <v/>
      </c>
      <c r="F3292">
        <f>Prices!F3292</f>
        <v/>
      </c>
      <c r="G3292">
        <f>IF(AND(3290&gt;=16,TEXT(A3292,"yyyy-mm")&lt;&gt;TEXT(A3293,"yyyy-mm")),1,0)</f>
        <v/>
      </c>
      <c r="H3292">
        <f>IF(OR(H3291=1,G3292=1),1,0)</f>
        <v/>
      </c>
      <c r="I3292">
        <f>IF(H3291=0,1,SUMPRODUCT(J3291:N3291,B3292:F3292)+O3291*(1+0.00023125256064071564))</f>
        <v/>
      </c>
      <c r="J3292">
        <f>IF(G3292=1,0.2*R3292/B3292,J3291)</f>
        <v/>
      </c>
      <c r="K3292">
        <f>IF(G3292=1,0.2*R3292/C3292,K3291)</f>
        <v/>
      </c>
      <c r="L3292">
        <f>IF(G3292=1,0.2*R3292/D3292,L3291)</f>
        <v/>
      </c>
      <c r="M3292">
        <f>IF(G3292=1,0.2*R3292/E3292,M3291)</f>
        <v/>
      </c>
      <c r="N3292">
        <f>IF(G3292=1,0.2*R3292/F3292,N3291)</f>
        <v/>
      </c>
      <c r="O3292">
        <f>IF(G3292=1,R3292*(1-1.0),IF(H3291=0,1,O3291*(1+0.00023125256064071564)))</f>
        <v/>
      </c>
      <c r="P3292">
        <f>IF(G3292=1,IF(H3291=0,1,ABS(0.2-J3291*B3292/I3292)+ABS(0.2-K3291*C3292/I3292)+ABS(0.2-L3291*D3292/I3292)+ABS(0.2-M3291*E3292/I3292)+ABS(0.2-N3291*F3292/I3292)),0)</f>
        <v/>
      </c>
      <c r="Q3292">
        <f>P3292*0.0015</f>
        <v/>
      </c>
      <c r="R3292">
        <f>I3292*(1-Q3292)</f>
        <v/>
      </c>
      <c r="S3292">
        <f>R3292/R3291-1</f>
        <v/>
      </c>
      <c r="T3292">
        <f>MAX(T3291,R3292)</f>
        <v/>
      </c>
      <c r="U3292">
        <f>R3292/T3292-1</f>
        <v/>
      </c>
      <c r="V3292" t="n">
        <v>9.024142504262382</v>
      </c>
      <c r="W3292" s="5">
        <f>R3292-V3292</f>
        <v/>
      </c>
    </row>
    <row r="3293">
      <c r="A3293" s="3" t="n">
        <v>43285</v>
      </c>
      <c r="B3293">
        <f>Prices!B3293</f>
        <v/>
      </c>
      <c r="C3293">
        <f>Prices!C3293</f>
        <v/>
      </c>
      <c r="D3293">
        <f>Prices!D3293</f>
        <v/>
      </c>
      <c r="E3293">
        <f>Prices!E3293</f>
        <v/>
      </c>
      <c r="F3293">
        <f>Prices!F3293</f>
        <v/>
      </c>
      <c r="G3293">
        <f>IF(AND(3291&gt;=16,TEXT(A3293,"yyyy-mm")&lt;&gt;TEXT(A3294,"yyyy-mm")),1,0)</f>
        <v/>
      </c>
      <c r="H3293">
        <f>IF(OR(H3292=1,G3293=1),1,0)</f>
        <v/>
      </c>
      <c r="I3293">
        <f>IF(H3292=0,1,SUMPRODUCT(J3292:N3292,B3293:F3293)+O3292*(1+0.00023125256064071564))</f>
        <v/>
      </c>
      <c r="J3293">
        <f>IF(G3293=1,0.2*R3293/B3293,J3292)</f>
        <v/>
      </c>
      <c r="K3293">
        <f>IF(G3293=1,0.2*R3293/C3293,K3292)</f>
        <v/>
      </c>
      <c r="L3293">
        <f>IF(G3293=1,0.2*R3293/D3293,L3292)</f>
        <v/>
      </c>
      <c r="M3293">
        <f>IF(G3293=1,0.2*R3293/E3293,M3292)</f>
        <v/>
      </c>
      <c r="N3293">
        <f>IF(G3293=1,0.2*R3293/F3293,N3292)</f>
        <v/>
      </c>
      <c r="O3293">
        <f>IF(G3293=1,R3293*(1-1.0),IF(H3292=0,1,O3292*(1+0.00023125256064071564)))</f>
        <v/>
      </c>
      <c r="P3293">
        <f>IF(G3293=1,IF(H3292=0,1,ABS(0.2-J3292*B3293/I3293)+ABS(0.2-K3292*C3293/I3293)+ABS(0.2-L3292*D3293/I3293)+ABS(0.2-M3292*E3293/I3293)+ABS(0.2-N3292*F3293/I3293)),0)</f>
        <v/>
      </c>
      <c r="Q3293">
        <f>P3293*0.0015</f>
        <v/>
      </c>
      <c r="R3293">
        <f>I3293*(1-Q3293)</f>
        <v/>
      </c>
      <c r="S3293">
        <f>R3293/R3292-1</f>
        <v/>
      </c>
      <c r="T3293">
        <f>MAX(T3292,R3293)</f>
        <v/>
      </c>
      <c r="U3293">
        <f>R3293/T3293-1</f>
        <v/>
      </c>
      <c r="V3293" t="n">
        <v>9.058413115980871</v>
      </c>
      <c r="W3293" s="5">
        <f>R3293-V3293</f>
        <v/>
      </c>
    </row>
    <row r="3294">
      <c r="A3294" s="3" t="n">
        <v>43286</v>
      </c>
      <c r="B3294">
        <f>Prices!B3294</f>
        <v/>
      </c>
      <c r="C3294">
        <f>Prices!C3294</f>
        <v/>
      </c>
      <c r="D3294">
        <f>Prices!D3294</f>
        <v/>
      </c>
      <c r="E3294">
        <f>Prices!E3294</f>
        <v/>
      </c>
      <c r="F3294">
        <f>Prices!F3294</f>
        <v/>
      </c>
      <c r="G3294">
        <f>IF(AND(3292&gt;=16,TEXT(A3294,"yyyy-mm")&lt;&gt;TEXT(A3295,"yyyy-mm")),1,0)</f>
        <v/>
      </c>
      <c r="H3294">
        <f>IF(OR(H3293=1,G3294=1),1,0)</f>
        <v/>
      </c>
      <c r="I3294">
        <f>IF(H3293=0,1,SUMPRODUCT(J3293:N3293,B3294:F3294)+O3293*(1+0.00023125256064071564))</f>
        <v/>
      </c>
      <c r="J3294">
        <f>IF(G3294=1,0.2*R3294/B3294,J3293)</f>
        <v/>
      </c>
      <c r="K3294">
        <f>IF(G3294=1,0.2*R3294/C3294,K3293)</f>
        <v/>
      </c>
      <c r="L3294">
        <f>IF(G3294=1,0.2*R3294/D3294,L3293)</f>
        <v/>
      </c>
      <c r="M3294">
        <f>IF(G3294=1,0.2*R3294/E3294,M3293)</f>
        <v/>
      </c>
      <c r="N3294">
        <f>IF(G3294=1,0.2*R3294/F3294,N3293)</f>
        <v/>
      </c>
      <c r="O3294">
        <f>IF(G3294=1,R3294*(1-1.0),IF(H3293=0,1,O3293*(1+0.00023125256064071564)))</f>
        <v/>
      </c>
      <c r="P3294">
        <f>IF(G3294=1,IF(H3293=0,1,ABS(0.2-J3293*B3294/I3294)+ABS(0.2-K3293*C3294/I3294)+ABS(0.2-L3293*D3294/I3294)+ABS(0.2-M3293*E3294/I3294)+ABS(0.2-N3293*F3294/I3294)),0)</f>
        <v/>
      </c>
      <c r="Q3294">
        <f>P3294*0.0015</f>
        <v/>
      </c>
      <c r="R3294">
        <f>I3294*(1-Q3294)</f>
        <v/>
      </c>
      <c r="S3294">
        <f>R3294/R3293-1</f>
        <v/>
      </c>
      <c r="T3294">
        <f>MAX(T3293,R3294)</f>
        <v/>
      </c>
      <c r="U3294">
        <f>R3294/T3294-1</f>
        <v/>
      </c>
      <c r="V3294" t="n">
        <v>8.995440404262631</v>
      </c>
      <c r="W3294" s="5">
        <f>R3294-V3294</f>
        <v/>
      </c>
    </row>
    <row r="3295">
      <c r="A3295" s="3" t="n">
        <v>43287</v>
      </c>
      <c r="B3295">
        <f>Prices!B3295</f>
        <v/>
      </c>
      <c r="C3295">
        <f>Prices!C3295</f>
        <v/>
      </c>
      <c r="D3295">
        <f>Prices!D3295</f>
        <v/>
      </c>
      <c r="E3295">
        <f>Prices!E3295</f>
        <v/>
      </c>
      <c r="F3295">
        <f>Prices!F3295</f>
        <v/>
      </c>
      <c r="G3295">
        <f>IF(AND(3293&gt;=16,TEXT(A3295,"yyyy-mm")&lt;&gt;TEXT(A3296,"yyyy-mm")),1,0)</f>
        <v/>
      </c>
      <c r="H3295">
        <f>IF(OR(H3294=1,G3295=1),1,0)</f>
        <v/>
      </c>
      <c r="I3295">
        <f>IF(H3294=0,1,SUMPRODUCT(J3294:N3294,B3295:F3295)+O3294*(1+0.00023125256064071564))</f>
        <v/>
      </c>
      <c r="J3295">
        <f>IF(G3295=1,0.2*R3295/B3295,J3294)</f>
        <v/>
      </c>
      <c r="K3295">
        <f>IF(G3295=1,0.2*R3295/C3295,K3294)</f>
        <v/>
      </c>
      <c r="L3295">
        <f>IF(G3295=1,0.2*R3295/D3295,L3294)</f>
        <v/>
      </c>
      <c r="M3295">
        <f>IF(G3295=1,0.2*R3295/E3295,M3294)</f>
        <v/>
      </c>
      <c r="N3295">
        <f>IF(G3295=1,0.2*R3295/F3295,N3294)</f>
        <v/>
      </c>
      <c r="O3295">
        <f>IF(G3295=1,R3295*(1-1.0),IF(H3294=0,1,O3294*(1+0.00023125256064071564)))</f>
        <v/>
      </c>
      <c r="P3295">
        <f>IF(G3295=1,IF(H3294=0,1,ABS(0.2-J3294*B3295/I3295)+ABS(0.2-K3294*C3295/I3295)+ABS(0.2-L3294*D3295/I3295)+ABS(0.2-M3294*E3295/I3295)+ABS(0.2-N3294*F3295/I3295)),0)</f>
        <v/>
      </c>
      <c r="Q3295">
        <f>P3295*0.0015</f>
        <v/>
      </c>
      <c r="R3295">
        <f>I3295*(1-Q3295)</f>
        <v/>
      </c>
      <c r="S3295">
        <f>R3295/R3294-1</f>
        <v/>
      </c>
      <c r="T3295">
        <f>MAX(T3294,R3295)</f>
        <v/>
      </c>
      <c r="U3295">
        <f>R3295/T3295-1</f>
        <v/>
      </c>
      <c r="V3295" t="n">
        <v>9.030469874735983</v>
      </c>
      <c r="W3295" s="5">
        <f>R3295-V3295</f>
        <v/>
      </c>
    </row>
    <row r="3296">
      <c r="A3296" s="3" t="n">
        <v>43290</v>
      </c>
      <c r="B3296">
        <f>Prices!B3296</f>
        <v/>
      </c>
      <c r="C3296">
        <f>Prices!C3296</f>
        <v/>
      </c>
      <c r="D3296">
        <f>Prices!D3296</f>
        <v/>
      </c>
      <c r="E3296">
        <f>Prices!E3296</f>
        <v/>
      </c>
      <c r="F3296">
        <f>Prices!F3296</f>
        <v/>
      </c>
      <c r="G3296">
        <f>IF(AND(3294&gt;=16,TEXT(A3296,"yyyy-mm")&lt;&gt;TEXT(A3297,"yyyy-mm")),1,0)</f>
        <v/>
      </c>
      <c r="H3296">
        <f>IF(OR(H3295=1,G3296=1),1,0)</f>
        <v/>
      </c>
      <c r="I3296">
        <f>IF(H3295=0,1,SUMPRODUCT(J3295:N3295,B3296:F3296)+O3295*(1+0.00023125256064071564))</f>
        <v/>
      </c>
      <c r="J3296">
        <f>IF(G3296=1,0.2*R3296/B3296,J3295)</f>
        <v/>
      </c>
      <c r="K3296">
        <f>IF(G3296=1,0.2*R3296/C3296,K3295)</f>
        <v/>
      </c>
      <c r="L3296">
        <f>IF(G3296=1,0.2*R3296/D3296,L3295)</f>
        <v/>
      </c>
      <c r="M3296">
        <f>IF(G3296=1,0.2*R3296/E3296,M3295)</f>
        <v/>
      </c>
      <c r="N3296">
        <f>IF(G3296=1,0.2*R3296/F3296,N3295)</f>
        <v/>
      </c>
      <c r="O3296">
        <f>IF(G3296=1,R3296*(1-1.0),IF(H3295=0,1,O3295*(1+0.00023125256064071564)))</f>
        <v/>
      </c>
      <c r="P3296">
        <f>IF(G3296=1,IF(H3295=0,1,ABS(0.2-J3295*B3296/I3296)+ABS(0.2-K3295*C3296/I3296)+ABS(0.2-L3295*D3296/I3296)+ABS(0.2-M3295*E3296/I3296)+ABS(0.2-N3295*F3296/I3296)),0)</f>
        <v/>
      </c>
      <c r="Q3296">
        <f>P3296*0.0015</f>
        <v/>
      </c>
      <c r="R3296">
        <f>I3296*(1-Q3296)</f>
        <v/>
      </c>
      <c r="S3296">
        <f>R3296/R3295-1</f>
        <v/>
      </c>
      <c r="T3296">
        <f>MAX(T3295,R3296)</f>
        <v/>
      </c>
      <c r="U3296">
        <f>R3296/T3296-1</f>
        <v/>
      </c>
      <c r="V3296" t="n">
        <v>9.160671208704731</v>
      </c>
      <c r="W3296" s="5">
        <f>R3296-V3296</f>
        <v/>
      </c>
    </row>
    <row r="3297">
      <c r="A3297" s="3" t="n">
        <v>43291</v>
      </c>
      <c r="B3297">
        <f>Prices!B3297</f>
        <v/>
      </c>
      <c r="C3297">
        <f>Prices!C3297</f>
        <v/>
      </c>
      <c r="D3297">
        <f>Prices!D3297</f>
        <v/>
      </c>
      <c r="E3297">
        <f>Prices!E3297</f>
        <v/>
      </c>
      <c r="F3297">
        <f>Prices!F3297</f>
        <v/>
      </c>
      <c r="G3297">
        <f>IF(AND(3295&gt;=16,TEXT(A3297,"yyyy-mm")&lt;&gt;TEXT(A3298,"yyyy-mm")),1,0)</f>
        <v/>
      </c>
      <c r="H3297">
        <f>IF(OR(H3296=1,G3297=1),1,0)</f>
        <v/>
      </c>
      <c r="I3297">
        <f>IF(H3296=0,1,SUMPRODUCT(J3296:N3296,B3297:F3297)+O3296*(1+0.00023125256064071564))</f>
        <v/>
      </c>
      <c r="J3297">
        <f>IF(G3297=1,0.2*R3297/B3297,J3296)</f>
        <v/>
      </c>
      <c r="K3297">
        <f>IF(G3297=1,0.2*R3297/C3297,K3296)</f>
        <v/>
      </c>
      <c r="L3297">
        <f>IF(G3297=1,0.2*R3297/D3297,L3296)</f>
        <v/>
      </c>
      <c r="M3297">
        <f>IF(G3297=1,0.2*R3297/E3297,M3296)</f>
        <v/>
      </c>
      <c r="N3297">
        <f>IF(G3297=1,0.2*R3297/F3297,N3296)</f>
        <v/>
      </c>
      <c r="O3297">
        <f>IF(G3297=1,R3297*(1-1.0),IF(H3296=0,1,O3296*(1+0.00023125256064071564)))</f>
        <v/>
      </c>
      <c r="P3297">
        <f>IF(G3297=1,IF(H3296=0,1,ABS(0.2-J3296*B3297/I3297)+ABS(0.2-K3296*C3297/I3297)+ABS(0.2-L3296*D3297/I3297)+ABS(0.2-M3296*E3297/I3297)+ABS(0.2-N3296*F3297/I3297)),0)</f>
        <v/>
      </c>
      <c r="Q3297">
        <f>P3297*0.0015</f>
        <v/>
      </c>
      <c r="R3297">
        <f>I3297*(1-Q3297)</f>
        <v/>
      </c>
      <c r="S3297">
        <f>R3297/R3296-1</f>
        <v/>
      </c>
      <c r="T3297">
        <f>MAX(T3296,R3297)</f>
        <v/>
      </c>
      <c r="U3297">
        <f>R3297/T3297-1</f>
        <v/>
      </c>
      <c r="V3297" t="n">
        <v>9.233379582764975</v>
      </c>
      <c r="W3297" s="5">
        <f>R3297-V3297</f>
        <v/>
      </c>
    </row>
    <row r="3298">
      <c r="A3298" s="3" t="n">
        <v>43292</v>
      </c>
      <c r="B3298">
        <f>Prices!B3298</f>
        <v/>
      </c>
      <c r="C3298">
        <f>Prices!C3298</f>
        <v/>
      </c>
      <c r="D3298">
        <f>Prices!D3298</f>
        <v/>
      </c>
      <c r="E3298">
        <f>Prices!E3298</f>
        <v/>
      </c>
      <c r="F3298">
        <f>Prices!F3298</f>
        <v/>
      </c>
      <c r="G3298">
        <f>IF(AND(3296&gt;=16,TEXT(A3298,"yyyy-mm")&lt;&gt;TEXT(A3299,"yyyy-mm")),1,0)</f>
        <v/>
      </c>
      <c r="H3298">
        <f>IF(OR(H3297=1,G3298=1),1,0)</f>
        <v/>
      </c>
      <c r="I3298">
        <f>IF(H3297=0,1,SUMPRODUCT(J3297:N3297,B3298:F3298)+O3297*(1+0.00023125256064071564))</f>
        <v/>
      </c>
      <c r="J3298">
        <f>IF(G3298=1,0.2*R3298/B3298,J3297)</f>
        <v/>
      </c>
      <c r="K3298">
        <f>IF(G3298=1,0.2*R3298/C3298,K3297)</f>
        <v/>
      </c>
      <c r="L3298">
        <f>IF(G3298=1,0.2*R3298/D3298,L3297)</f>
        <v/>
      </c>
      <c r="M3298">
        <f>IF(G3298=1,0.2*R3298/E3298,M3297)</f>
        <v/>
      </c>
      <c r="N3298">
        <f>IF(G3298=1,0.2*R3298/F3298,N3297)</f>
        <v/>
      </c>
      <c r="O3298">
        <f>IF(G3298=1,R3298*(1-1.0),IF(H3297=0,1,O3297*(1+0.00023125256064071564)))</f>
        <v/>
      </c>
      <c r="P3298">
        <f>IF(G3298=1,IF(H3297=0,1,ABS(0.2-J3297*B3298/I3298)+ABS(0.2-K3297*C3298/I3298)+ABS(0.2-L3297*D3298/I3298)+ABS(0.2-M3297*E3298/I3298)+ABS(0.2-N3297*F3298/I3298)),0)</f>
        <v/>
      </c>
      <c r="Q3298">
        <f>P3298*0.0015</f>
        <v/>
      </c>
      <c r="R3298">
        <f>I3298*(1-Q3298)</f>
        <v/>
      </c>
      <c r="S3298">
        <f>R3298/R3297-1</f>
        <v/>
      </c>
      <c r="T3298">
        <f>MAX(T3297,R3298)</f>
        <v/>
      </c>
      <c r="U3298">
        <f>R3298/T3298-1</f>
        <v/>
      </c>
      <c r="V3298" t="n">
        <v>9.207252441353889</v>
      </c>
      <c r="W3298" s="5">
        <f>R3298-V3298</f>
        <v/>
      </c>
    </row>
    <row r="3299">
      <c r="A3299" s="3" t="n">
        <v>43293</v>
      </c>
      <c r="B3299">
        <f>Prices!B3299</f>
        <v/>
      </c>
      <c r="C3299">
        <f>Prices!C3299</f>
        <v/>
      </c>
      <c r="D3299">
        <f>Prices!D3299</f>
        <v/>
      </c>
      <c r="E3299">
        <f>Prices!E3299</f>
        <v/>
      </c>
      <c r="F3299">
        <f>Prices!F3299</f>
        <v/>
      </c>
      <c r="G3299">
        <f>IF(AND(3297&gt;=16,TEXT(A3299,"yyyy-mm")&lt;&gt;TEXT(A3300,"yyyy-mm")),1,0)</f>
        <v/>
      </c>
      <c r="H3299">
        <f>IF(OR(H3298=1,G3299=1),1,0)</f>
        <v/>
      </c>
      <c r="I3299">
        <f>IF(H3298=0,1,SUMPRODUCT(J3298:N3298,B3299:F3299)+O3298*(1+0.00023125256064071564))</f>
        <v/>
      </c>
      <c r="J3299">
        <f>IF(G3299=1,0.2*R3299/B3299,J3298)</f>
        <v/>
      </c>
      <c r="K3299">
        <f>IF(G3299=1,0.2*R3299/C3299,K3298)</f>
        <v/>
      </c>
      <c r="L3299">
        <f>IF(G3299=1,0.2*R3299/D3299,L3298)</f>
        <v/>
      </c>
      <c r="M3299">
        <f>IF(G3299=1,0.2*R3299/E3299,M3298)</f>
        <v/>
      </c>
      <c r="N3299">
        <f>IF(G3299=1,0.2*R3299/F3299,N3298)</f>
        <v/>
      </c>
      <c r="O3299">
        <f>IF(G3299=1,R3299*(1-1.0),IF(H3298=0,1,O3298*(1+0.00023125256064071564)))</f>
        <v/>
      </c>
      <c r="P3299">
        <f>IF(G3299=1,IF(H3298=0,1,ABS(0.2-J3298*B3299/I3299)+ABS(0.2-K3298*C3299/I3299)+ABS(0.2-L3298*D3299/I3299)+ABS(0.2-M3298*E3299/I3299)+ABS(0.2-N3298*F3299/I3299)),0)</f>
        <v/>
      </c>
      <c r="Q3299">
        <f>P3299*0.0015</f>
        <v/>
      </c>
      <c r="R3299">
        <f>I3299*(1-Q3299)</f>
        <v/>
      </c>
      <c r="S3299">
        <f>R3299/R3298-1</f>
        <v/>
      </c>
      <c r="T3299">
        <f>MAX(T3298,R3299)</f>
        <v/>
      </c>
      <c r="U3299">
        <f>R3299/T3299-1</f>
        <v/>
      </c>
      <c r="V3299" t="n">
        <v>9.205395305867604</v>
      </c>
      <c r="W3299" s="5">
        <f>R3299-V3299</f>
        <v/>
      </c>
    </row>
    <row r="3300">
      <c r="A3300" s="3" t="n">
        <v>43294</v>
      </c>
      <c r="B3300">
        <f>Prices!B3300</f>
        <v/>
      </c>
      <c r="C3300">
        <f>Prices!C3300</f>
        <v/>
      </c>
      <c r="D3300">
        <f>Prices!D3300</f>
        <v/>
      </c>
      <c r="E3300">
        <f>Prices!E3300</f>
        <v/>
      </c>
      <c r="F3300">
        <f>Prices!F3300</f>
        <v/>
      </c>
      <c r="G3300">
        <f>IF(AND(3298&gt;=16,TEXT(A3300,"yyyy-mm")&lt;&gt;TEXT(A3301,"yyyy-mm")),1,0)</f>
        <v/>
      </c>
      <c r="H3300">
        <f>IF(OR(H3299=1,G3300=1),1,0)</f>
        <v/>
      </c>
      <c r="I3300">
        <f>IF(H3299=0,1,SUMPRODUCT(J3299:N3299,B3300:F3300)+O3299*(1+0.00023125256064071564))</f>
        <v/>
      </c>
      <c r="J3300">
        <f>IF(G3300=1,0.2*R3300/B3300,J3299)</f>
        <v/>
      </c>
      <c r="K3300">
        <f>IF(G3300=1,0.2*R3300/C3300,K3299)</f>
        <v/>
      </c>
      <c r="L3300">
        <f>IF(G3300=1,0.2*R3300/D3300,L3299)</f>
        <v/>
      </c>
      <c r="M3300">
        <f>IF(G3300=1,0.2*R3300/E3300,M3299)</f>
        <v/>
      </c>
      <c r="N3300">
        <f>IF(G3300=1,0.2*R3300/F3300,N3299)</f>
        <v/>
      </c>
      <c r="O3300">
        <f>IF(G3300=1,R3300*(1-1.0),IF(H3299=0,1,O3299*(1+0.00023125256064071564)))</f>
        <v/>
      </c>
      <c r="P3300">
        <f>IF(G3300=1,IF(H3299=0,1,ABS(0.2-J3299*B3300/I3300)+ABS(0.2-K3299*C3300/I3300)+ABS(0.2-L3299*D3300/I3300)+ABS(0.2-M3299*E3300/I3300)+ABS(0.2-N3299*F3300/I3300)),0)</f>
        <v/>
      </c>
      <c r="Q3300">
        <f>P3300*0.0015</f>
        <v/>
      </c>
      <c r="R3300">
        <f>I3300*(1-Q3300)</f>
        <v/>
      </c>
      <c r="S3300">
        <f>R3300/R3299-1</f>
        <v/>
      </c>
      <c r="T3300">
        <f>MAX(T3299,R3300)</f>
        <v/>
      </c>
      <c r="U3300">
        <f>R3300/T3300-1</f>
        <v/>
      </c>
      <c r="V3300" t="n">
        <v>9.144565089347822</v>
      </c>
      <c r="W3300" s="5">
        <f>R3300-V3300</f>
        <v/>
      </c>
    </row>
    <row r="3301">
      <c r="A3301" s="3" t="n">
        <v>43297</v>
      </c>
      <c r="B3301">
        <f>Prices!B3301</f>
        <v/>
      </c>
      <c r="C3301">
        <f>Prices!C3301</f>
        <v/>
      </c>
      <c r="D3301">
        <f>Prices!D3301</f>
        <v/>
      </c>
      <c r="E3301">
        <f>Prices!E3301</f>
        <v/>
      </c>
      <c r="F3301">
        <f>Prices!F3301</f>
        <v/>
      </c>
      <c r="G3301">
        <f>IF(AND(3299&gt;=16,TEXT(A3301,"yyyy-mm")&lt;&gt;TEXT(A3302,"yyyy-mm")),1,0)</f>
        <v/>
      </c>
      <c r="H3301">
        <f>IF(OR(H3300=1,G3301=1),1,0)</f>
        <v/>
      </c>
      <c r="I3301">
        <f>IF(H3300=0,1,SUMPRODUCT(J3300:N3300,B3301:F3301)+O3300*(1+0.00023125256064071564))</f>
        <v/>
      </c>
      <c r="J3301">
        <f>IF(G3301=1,0.2*R3301/B3301,J3300)</f>
        <v/>
      </c>
      <c r="K3301">
        <f>IF(G3301=1,0.2*R3301/C3301,K3300)</f>
        <v/>
      </c>
      <c r="L3301">
        <f>IF(G3301=1,0.2*R3301/D3301,L3300)</f>
        <v/>
      </c>
      <c r="M3301">
        <f>IF(G3301=1,0.2*R3301/E3301,M3300)</f>
        <v/>
      </c>
      <c r="N3301">
        <f>IF(G3301=1,0.2*R3301/F3301,N3300)</f>
        <v/>
      </c>
      <c r="O3301">
        <f>IF(G3301=1,R3301*(1-1.0),IF(H3300=0,1,O3300*(1+0.00023125256064071564)))</f>
        <v/>
      </c>
      <c r="P3301">
        <f>IF(G3301=1,IF(H3300=0,1,ABS(0.2-J3300*B3301/I3301)+ABS(0.2-K3300*C3301/I3301)+ABS(0.2-L3300*D3301/I3301)+ABS(0.2-M3300*E3301/I3301)+ABS(0.2-N3300*F3301/I3301)),0)</f>
        <v/>
      </c>
      <c r="Q3301">
        <f>P3301*0.0015</f>
        <v/>
      </c>
      <c r="R3301">
        <f>I3301*(1-Q3301)</f>
        <v/>
      </c>
      <c r="S3301">
        <f>R3301/R3300-1</f>
        <v/>
      </c>
      <c r="T3301">
        <f>MAX(T3300,R3301)</f>
        <v/>
      </c>
      <c r="U3301">
        <f>R3301/T3301-1</f>
        <v/>
      </c>
      <c r="V3301" t="n">
        <v>9.005930745102379</v>
      </c>
      <c r="W3301" s="5">
        <f>R3301-V3301</f>
        <v/>
      </c>
    </row>
    <row r="3302">
      <c r="A3302" s="3" t="n">
        <v>43298</v>
      </c>
      <c r="B3302">
        <f>Prices!B3302</f>
        <v/>
      </c>
      <c r="C3302">
        <f>Prices!C3302</f>
        <v/>
      </c>
      <c r="D3302">
        <f>Prices!D3302</f>
        <v/>
      </c>
      <c r="E3302">
        <f>Prices!E3302</f>
        <v/>
      </c>
      <c r="F3302">
        <f>Prices!F3302</f>
        <v/>
      </c>
      <c r="G3302">
        <f>IF(AND(3300&gt;=16,TEXT(A3302,"yyyy-mm")&lt;&gt;TEXT(A3303,"yyyy-mm")),1,0)</f>
        <v/>
      </c>
      <c r="H3302">
        <f>IF(OR(H3301=1,G3302=1),1,0)</f>
        <v/>
      </c>
      <c r="I3302">
        <f>IF(H3301=0,1,SUMPRODUCT(J3301:N3301,B3302:F3302)+O3301*(1+0.00023125256064071564))</f>
        <v/>
      </c>
      <c r="J3302">
        <f>IF(G3302=1,0.2*R3302/B3302,J3301)</f>
        <v/>
      </c>
      <c r="K3302">
        <f>IF(G3302=1,0.2*R3302/C3302,K3301)</f>
        <v/>
      </c>
      <c r="L3302">
        <f>IF(G3302=1,0.2*R3302/D3302,L3301)</f>
        <v/>
      </c>
      <c r="M3302">
        <f>IF(G3302=1,0.2*R3302/E3302,M3301)</f>
        <v/>
      </c>
      <c r="N3302">
        <f>IF(G3302=1,0.2*R3302/F3302,N3301)</f>
        <v/>
      </c>
      <c r="O3302">
        <f>IF(G3302=1,R3302*(1-1.0),IF(H3301=0,1,O3301*(1+0.00023125256064071564)))</f>
        <v/>
      </c>
      <c r="P3302">
        <f>IF(G3302=1,IF(H3301=0,1,ABS(0.2-J3301*B3302/I3302)+ABS(0.2-K3301*C3302/I3302)+ABS(0.2-L3301*D3302/I3302)+ABS(0.2-M3301*E3302/I3302)+ABS(0.2-N3301*F3302/I3302)),0)</f>
        <v/>
      </c>
      <c r="Q3302">
        <f>P3302*0.0015</f>
        <v/>
      </c>
      <c r="R3302">
        <f>I3302*(1-Q3302)</f>
        <v/>
      </c>
      <c r="S3302">
        <f>R3302/R3301-1</f>
        <v/>
      </c>
      <c r="T3302">
        <f>MAX(T3301,R3302)</f>
        <v/>
      </c>
      <c r="U3302">
        <f>R3302/T3302-1</f>
        <v/>
      </c>
      <c r="V3302" t="n">
        <v>9.10510659694798</v>
      </c>
      <c r="W3302" s="5">
        <f>R3302-V3302</f>
        <v/>
      </c>
    </row>
    <row r="3303">
      <c r="A3303" s="3" t="n">
        <v>43299</v>
      </c>
      <c r="B3303">
        <f>Prices!B3303</f>
        <v/>
      </c>
      <c r="C3303">
        <f>Prices!C3303</f>
        <v/>
      </c>
      <c r="D3303">
        <f>Prices!D3303</f>
        <v/>
      </c>
      <c r="E3303">
        <f>Prices!E3303</f>
        <v/>
      </c>
      <c r="F3303">
        <f>Prices!F3303</f>
        <v/>
      </c>
      <c r="G3303">
        <f>IF(AND(3301&gt;=16,TEXT(A3303,"yyyy-mm")&lt;&gt;TEXT(A3304,"yyyy-mm")),1,0)</f>
        <v/>
      </c>
      <c r="H3303">
        <f>IF(OR(H3302=1,G3303=1),1,0)</f>
        <v/>
      </c>
      <c r="I3303">
        <f>IF(H3302=0,1,SUMPRODUCT(J3302:N3302,B3303:F3303)+O3302*(1+0.00023125256064071564))</f>
        <v/>
      </c>
      <c r="J3303">
        <f>IF(G3303=1,0.2*R3303/B3303,J3302)</f>
        <v/>
      </c>
      <c r="K3303">
        <f>IF(G3303=1,0.2*R3303/C3303,K3302)</f>
        <v/>
      </c>
      <c r="L3303">
        <f>IF(G3303=1,0.2*R3303/D3303,L3302)</f>
        <v/>
      </c>
      <c r="M3303">
        <f>IF(G3303=1,0.2*R3303/E3303,M3302)</f>
        <v/>
      </c>
      <c r="N3303">
        <f>IF(G3303=1,0.2*R3303/F3303,N3302)</f>
        <v/>
      </c>
      <c r="O3303">
        <f>IF(G3303=1,R3303*(1-1.0),IF(H3302=0,1,O3302*(1+0.00023125256064071564)))</f>
        <v/>
      </c>
      <c r="P3303">
        <f>IF(G3303=1,IF(H3302=0,1,ABS(0.2-J3302*B3303/I3303)+ABS(0.2-K3302*C3303/I3303)+ABS(0.2-L3302*D3303/I3303)+ABS(0.2-M3302*E3303/I3303)+ABS(0.2-N3302*F3303/I3303)),0)</f>
        <v/>
      </c>
      <c r="Q3303">
        <f>P3303*0.0015</f>
        <v/>
      </c>
      <c r="R3303">
        <f>I3303*(1-Q3303)</f>
        <v/>
      </c>
      <c r="S3303">
        <f>R3303/R3302-1</f>
        <v/>
      </c>
      <c r="T3303">
        <f>MAX(T3302,R3303)</f>
        <v/>
      </c>
      <c r="U3303">
        <f>R3303/T3303-1</f>
        <v/>
      </c>
      <c r="V3303" t="n">
        <v>9.069915975320269</v>
      </c>
      <c r="W3303" s="5">
        <f>R3303-V3303</f>
        <v/>
      </c>
    </row>
    <row r="3304">
      <c r="A3304" s="3" t="n">
        <v>43300</v>
      </c>
      <c r="B3304">
        <f>Prices!B3304</f>
        <v/>
      </c>
      <c r="C3304">
        <f>Prices!C3304</f>
        <v/>
      </c>
      <c r="D3304">
        <f>Prices!D3304</f>
        <v/>
      </c>
      <c r="E3304">
        <f>Prices!E3304</f>
        <v/>
      </c>
      <c r="F3304">
        <f>Prices!F3304</f>
        <v/>
      </c>
      <c r="G3304">
        <f>IF(AND(3302&gt;=16,TEXT(A3304,"yyyy-mm")&lt;&gt;TEXT(A3305,"yyyy-mm")),1,0)</f>
        <v/>
      </c>
      <c r="H3304">
        <f>IF(OR(H3303=1,G3304=1),1,0)</f>
        <v/>
      </c>
      <c r="I3304">
        <f>IF(H3303=0,1,SUMPRODUCT(J3303:N3303,B3304:F3304)+O3303*(1+0.00023125256064071564))</f>
        <v/>
      </c>
      <c r="J3304">
        <f>IF(G3304=1,0.2*R3304/B3304,J3303)</f>
        <v/>
      </c>
      <c r="K3304">
        <f>IF(G3304=1,0.2*R3304/C3304,K3303)</f>
        <v/>
      </c>
      <c r="L3304">
        <f>IF(G3304=1,0.2*R3304/D3304,L3303)</f>
        <v/>
      </c>
      <c r="M3304">
        <f>IF(G3304=1,0.2*R3304/E3304,M3303)</f>
        <v/>
      </c>
      <c r="N3304">
        <f>IF(G3304=1,0.2*R3304/F3304,N3303)</f>
        <v/>
      </c>
      <c r="O3304">
        <f>IF(G3304=1,R3304*(1-1.0),IF(H3303=0,1,O3303*(1+0.00023125256064071564)))</f>
        <v/>
      </c>
      <c r="P3304">
        <f>IF(G3304=1,IF(H3303=0,1,ABS(0.2-J3303*B3304/I3304)+ABS(0.2-K3303*C3304/I3304)+ABS(0.2-L3303*D3304/I3304)+ABS(0.2-M3303*E3304/I3304)+ABS(0.2-N3303*F3304/I3304)),0)</f>
        <v/>
      </c>
      <c r="Q3304">
        <f>P3304*0.0015</f>
        <v/>
      </c>
      <c r="R3304">
        <f>I3304*(1-Q3304)</f>
        <v/>
      </c>
      <c r="S3304">
        <f>R3304/R3303-1</f>
        <v/>
      </c>
      <c r="T3304">
        <f>MAX(T3303,R3304)</f>
        <v/>
      </c>
      <c r="U3304">
        <f>R3304/T3304-1</f>
        <v/>
      </c>
      <c r="V3304" t="n">
        <v>9.014164520231608</v>
      </c>
      <c r="W3304" s="5">
        <f>R3304-V3304</f>
        <v/>
      </c>
    </row>
    <row r="3305">
      <c r="A3305" s="3" t="n">
        <v>43301</v>
      </c>
      <c r="B3305">
        <f>Prices!B3305</f>
        <v/>
      </c>
      <c r="C3305">
        <f>Prices!C3305</f>
        <v/>
      </c>
      <c r="D3305">
        <f>Prices!D3305</f>
        <v/>
      </c>
      <c r="E3305">
        <f>Prices!E3305</f>
        <v/>
      </c>
      <c r="F3305">
        <f>Prices!F3305</f>
        <v/>
      </c>
      <c r="G3305">
        <f>IF(AND(3303&gt;=16,TEXT(A3305,"yyyy-mm")&lt;&gt;TEXT(A3306,"yyyy-mm")),1,0)</f>
        <v/>
      </c>
      <c r="H3305">
        <f>IF(OR(H3304=1,G3305=1),1,0)</f>
        <v/>
      </c>
      <c r="I3305">
        <f>IF(H3304=0,1,SUMPRODUCT(J3304:N3304,B3305:F3305)+O3304*(1+0.00023125256064071564))</f>
        <v/>
      </c>
      <c r="J3305">
        <f>IF(G3305=1,0.2*R3305/B3305,J3304)</f>
        <v/>
      </c>
      <c r="K3305">
        <f>IF(G3305=1,0.2*R3305/C3305,K3304)</f>
        <v/>
      </c>
      <c r="L3305">
        <f>IF(G3305=1,0.2*R3305/D3305,L3304)</f>
        <v/>
      </c>
      <c r="M3305">
        <f>IF(G3305=1,0.2*R3305/E3305,M3304)</f>
        <v/>
      </c>
      <c r="N3305">
        <f>IF(G3305=1,0.2*R3305/F3305,N3304)</f>
        <v/>
      </c>
      <c r="O3305">
        <f>IF(G3305=1,R3305*(1-1.0),IF(H3304=0,1,O3304*(1+0.00023125256064071564)))</f>
        <v/>
      </c>
      <c r="P3305">
        <f>IF(G3305=1,IF(H3304=0,1,ABS(0.2-J3304*B3305/I3305)+ABS(0.2-K3304*C3305/I3305)+ABS(0.2-L3304*D3305/I3305)+ABS(0.2-M3304*E3305/I3305)+ABS(0.2-N3304*F3305/I3305)),0)</f>
        <v/>
      </c>
      <c r="Q3305">
        <f>P3305*0.0015</f>
        <v/>
      </c>
      <c r="R3305">
        <f>I3305*(1-Q3305)</f>
        <v/>
      </c>
      <c r="S3305">
        <f>R3305/R3304-1</f>
        <v/>
      </c>
      <c r="T3305">
        <f>MAX(T3304,R3305)</f>
        <v/>
      </c>
      <c r="U3305">
        <f>R3305/T3305-1</f>
        <v/>
      </c>
      <c r="V3305" t="n">
        <v>9.065586293458491</v>
      </c>
      <c r="W3305" s="5">
        <f>R3305-V3305</f>
        <v/>
      </c>
    </row>
    <row r="3306">
      <c r="A3306" s="3" t="n">
        <v>43304</v>
      </c>
      <c r="B3306">
        <f>Prices!B3306</f>
        <v/>
      </c>
      <c r="C3306">
        <f>Prices!C3306</f>
        <v/>
      </c>
      <c r="D3306">
        <f>Prices!D3306</f>
        <v/>
      </c>
      <c r="E3306">
        <f>Prices!E3306</f>
        <v/>
      </c>
      <c r="F3306">
        <f>Prices!F3306</f>
        <v/>
      </c>
      <c r="G3306">
        <f>IF(AND(3304&gt;=16,TEXT(A3306,"yyyy-mm")&lt;&gt;TEXT(A3307,"yyyy-mm")),1,0)</f>
        <v/>
      </c>
      <c r="H3306">
        <f>IF(OR(H3305=1,G3306=1),1,0)</f>
        <v/>
      </c>
      <c r="I3306">
        <f>IF(H3305=0,1,SUMPRODUCT(J3305:N3305,B3306:F3306)+O3305*(1+0.00023125256064071564))</f>
        <v/>
      </c>
      <c r="J3306">
        <f>IF(G3306=1,0.2*R3306/B3306,J3305)</f>
        <v/>
      </c>
      <c r="K3306">
        <f>IF(G3306=1,0.2*R3306/C3306,K3305)</f>
        <v/>
      </c>
      <c r="L3306">
        <f>IF(G3306=1,0.2*R3306/D3306,L3305)</f>
        <v/>
      </c>
      <c r="M3306">
        <f>IF(G3306=1,0.2*R3306/E3306,M3305)</f>
        <v/>
      </c>
      <c r="N3306">
        <f>IF(G3306=1,0.2*R3306/F3306,N3305)</f>
        <v/>
      </c>
      <c r="O3306">
        <f>IF(G3306=1,R3306*(1-1.0),IF(H3305=0,1,O3305*(1+0.00023125256064071564)))</f>
        <v/>
      </c>
      <c r="P3306">
        <f>IF(G3306=1,IF(H3305=0,1,ABS(0.2-J3305*B3306/I3306)+ABS(0.2-K3305*C3306/I3306)+ABS(0.2-L3305*D3306/I3306)+ABS(0.2-M3305*E3306/I3306)+ABS(0.2-N3305*F3306/I3306)),0)</f>
        <v/>
      </c>
      <c r="Q3306">
        <f>P3306*0.0015</f>
        <v/>
      </c>
      <c r="R3306">
        <f>I3306*(1-Q3306)</f>
        <v/>
      </c>
      <c r="S3306">
        <f>R3306/R3305-1</f>
        <v/>
      </c>
      <c r="T3306">
        <f>MAX(T3305,R3306)</f>
        <v/>
      </c>
      <c r="U3306">
        <f>R3306/T3306-1</f>
        <v/>
      </c>
      <c r="V3306" t="n">
        <v>9.114167298256579</v>
      </c>
      <c r="W3306" s="5">
        <f>R3306-V3306</f>
        <v/>
      </c>
    </row>
    <row r="3307">
      <c r="A3307" s="3" t="n">
        <v>43305</v>
      </c>
      <c r="B3307">
        <f>Prices!B3307</f>
        <v/>
      </c>
      <c r="C3307">
        <f>Prices!C3307</f>
        <v/>
      </c>
      <c r="D3307">
        <f>Prices!D3307</f>
        <v/>
      </c>
      <c r="E3307">
        <f>Prices!E3307</f>
        <v/>
      </c>
      <c r="F3307">
        <f>Prices!F3307</f>
        <v/>
      </c>
      <c r="G3307">
        <f>IF(AND(3305&gt;=16,TEXT(A3307,"yyyy-mm")&lt;&gt;TEXT(A3308,"yyyy-mm")),1,0)</f>
        <v/>
      </c>
      <c r="H3307">
        <f>IF(OR(H3306=1,G3307=1),1,0)</f>
        <v/>
      </c>
      <c r="I3307">
        <f>IF(H3306=0,1,SUMPRODUCT(J3306:N3306,B3307:F3307)+O3306*(1+0.00023125256064071564))</f>
        <v/>
      </c>
      <c r="J3307">
        <f>IF(G3307=1,0.2*R3307/B3307,J3306)</f>
        <v/>
      </c>
      <c r="K3307">
        <f>IF(G3307=1,0.2*R3307/C3307,K3306)</f>
        <v/>
      </c>
      <c r="L3307">
        <f>IF(G3307=1,0.2*R3307/D3307,L3306)</f>
        <v/>
      </c>
      <c r="M3307">
        <f>IF(G3307=1,0.2*R3307/E3307,M3306)</f>
        <v/>
      </c>
      <c r="N3307">
        <f>IF(G3307=1,0.2*R3307/F3307,N3306)</f>
        <v/>
      </c>
      <c r="O3307">
        <f>IF(G3307=1,R3307*(1-1.0),IF(H3306=0,1,O3306*(1+0.00023125256064071564)))</f>
        <v/>
      </c>
      <c r="P3307">
        <f>IF(G3307=1,IF(H3306=0,1,ABS(0.2-J3306*B3307/I3307)+ABS(0.2-K3306*C3307/I3307)+ABS(0.2-L3306*D3307/I3307)+ABS(0.2-M3306*E3307/I3307)+ABS(0.2-N3306*F3307/I3307)),0)</f>
        <v/>
      </c>
      <c r="Q3307">
        <f>P3307*0.0015</f>
        <v/>
      </c>
      <c r="R3307">
        <f>I3307*(1-Q3307)</f>
        <v/>
      </c>
      <c r="S3307">
        <f>R3307/R3306-1</f>
        <v/>
      </c>
      <c r="T3307">
        <f>MAX(T3306,R3307)</f>
        <v/>
      </c>
      <c r="U3307">
        <f>R3307/T3307-1</f>
        <v/>
      </c>
      <c r="V3307" t="n">
        <v>9.214352768700724</v>
      </c>
      <c r="W3307" s="5">
        <f>R3307-V3307</f>
        <v/>
      </c>
    </row>
    <row r="3308">
      <c r="A3308" s="3" t="n">
        <v>43306</v>
      </c>
      <c r="B3308">
        <f>Prices!B3308</f>
        <v/>
      </c>
      <c r="C3308">
        <f>Prices!C3308</f>
        <v/>
      </c>
      <c r="D3308">
        <f>Prices!D3308</f>
        <v/>
      </c>
      <c r="E3308">
        <f>Prices!E3308</f>
        <v/>
      </c>
      <c r="F3308">
        <f>Prices!F3308</f>
        <v/>
      </c>
      <c r="G3308">
        <f>IF(AND(3306&gt;=16,TEXT(A3308,"yyyy-mm")&lt;&gt;TEXT(A3309,"yyyy-mm")),1,0)</f>
        <v/>
      </c>
      <c r="H3308">
        <f>IF(OR(H3307=1,G3308=1),1,0)</f>
        <v/>
      </c>
      <c r="I3308">
        <f>IF(H3307=0,1,SUMPRODUCT(J3307:N3307,B3308:F3308)+O3307*(1+0.00023125256064071564))</f>
        <v/>
      </c>
      <c r="J3308">
        <f>IF(G3308=1,0.2*R3308/B3308,J3307)</f>
        <v/>
      </c>
      <c r="K3308">
        <f>IF(G3308=1,0.2*R3308/C3308,K3307)</f>
        <v/>
      </c>
      <c r="L3308">
        <f>IF(G3308=1,0.2*R3308/D3308,L3307)</f>
        <v/>
      </c>
      <c r="M3308">
        <f>IF(G3308=1,0.2*R3308/E3308,M3307)</f>
        <v/>
      </c>
      <c r="N3308">
        <f>IF(G3308=1,0.2*R3308/F3308,N3307)</f>
        <v/>
      </c>
      <c r="O3308">
        <f>IF(G3308=1,R3308*(1-1.0),IF(H3307=0,1,O3307*(1+0.00023125256064071564)))</f>
        <v/>
      </c>
      <c r="P3308">
        <f>IF(G3308=1,IF(H3307=0,1,ABS(0.2-J3307*B3308/I3308)+ABS(0.2-K3307*C3308/I3308)+ABS(0.2-L3307*D3308/I3308)+ABS(0.2-M3307*E3308/I3308)+ABS(0.2-N3307*F3308/I3308)),0)</f>
        <v/>
      </c>
      <c r="Q3308">
        <f>P3308*0.0015</f>
        <v/>
      </c>
      <c r="R3308">
        <f>I3308*(1-Q3308)</f>
        <v/>
      </c>
      <c r="S3308">
        <f>R3308/R3307-1</f>
        <v/>
      </c>
      <c r="T3308">
        <f>MAX(T3307,R3308)</f>
        <v/>
      </c>
      <c r="U3308">
        <f>R3308/T3308-1</f>
        <v/>
      </c>
      <c r="V3308" t="n">
        <v>9.227258200078847</v>
      </c>
      <c r="W3308" s="5">
        <f>R3308-V3308</f>
        <v/>
      </c>
    </row>
    <row r="3309">
      <c r="A3309" s="3" t="n">
        <v>43307</v>
      </c>
      <c r="B3309">
        <f>Prices!B3309</f>
        <v/>
      </c>
      <c r="C3309">
        <f>Prices!C3309</f>
        <v/>
      </c>
      <c r="D3309">
        <f>Prices!D3309</f>
        <v/>
      </c>
      <c r="E3309">
        <f>Prices!E3309</f>
        <v/>
      </c>
      <c r="F3309">
        <f>Prices!F3309</f>
        <v/>
      </c>
      <c r="G3309">
        <f>IF(AND(3307&gt;=16,TEXT(A3309,"yyyy-mm")&lt;&gt;TEXT(A3310,"yyyy-mm")),1,0)</f>
        <v/>
      </c>
      <c r="H3309">
        <f>IF(OR(H3308=1,G3309=1),1,0)</f>
        <v/>
      </c>
      <c r="I3309">
        <f>IF(H3308=0,1,SUMPRODUCT(J3308:N3308,B3309:F3309)+O3308*(1+0.00023125256064071564))</f>
        <v/>
      </c>
      <c r="J3309">
        <f>IF(G3309=1,0.2*R3309/B3309,J3308)</f>
        <v/>
      </c>
      <c r="K3309">
        <f>IF(G3309=1,0.2*R3309/C3309,K3308)</f>
        <v/>
      </c>
      <c r="L3309">
        <f>IF(G3309=1,0.2*R3309/D3309,L3308)</f>
        <v/>
      </c>
      <c r="M3309">
        <f>IF(G3309=1,0.2*R3309/E3309,M3308)</f>
        <v/>
      </c>
      <c r="N3309">
        <f>IF(G3309=1,0.2*R3309/F3309,N3308)</f>
        <v/>
      </c>
      <c r="O3309">
        <f>IF(G3309=1,R3309*(1-1.0),IF(H3308=0,1,O3308*(1+0.00023125256064071564)))</f>
        <v/>
      </c>
      <c r="P3309">
        <f>IF(G3309=1,IF(H3308=0,1,ABS(0.2-J3308*B3309/I3309)+ABS(0.2-K3308*C3309/I3309)+ABS(0.2-L3308*D3309/I3309)+ABS(0.2-M3308*E3309/I3309)+ABS(0.2-N3308*F3309/I3309)),0)</f>
        <v/>
      </c>
      <c r="Q3309">
        <f>P3309*0.0015</f>
        <v/>
      </c>
      <c r="R3309">
        <f>I3309*(1-Q3309)</f>
        <v/>
      </c>
      <c r="S3309">
        <f>R3309/R3308-1</f>
        <v/>
      </c>
      <c r="T3309">
        <f>MAX(T3308,R3309)</f>
        <v/>
      </c>
      <c r="U3309">
        <f>R3309/T3309-1</f>
        <v/>
      </c>
      <c r="V3309" t="n">
        <v>9.251835985541673</v>
      </c>
      <c r="W3309" s="5">
        <f>R3309-V3309</f>
        <v/>
      </c>
    </row>
    <row r="3310">
      <c r="A3310" s="3" t="n">
        <v>43308</v>
      </c>
      <c r="B3310">
        <f>Prices!B3310</f>
        <v/>
      </c>
      <c r="C3310">
        <f>Prices!C3310</f>
        <v/>
      </c>
      <c r="D3310">
        <f>Prices!D3310</f>
        <v/>
      </c>
      <c r="E3310">
        <f>Prices!E3310</f>
        <v/>
      </c>
      <c r="F3310">
        <f>Prices!F3310</f>
        <v/>
      </c>
      <c r="G3310">
        <f>IF(AND(3308&gt;=16,TEXT(A3310,"yyyy-mm")&lt;&gt;TEXT(A3311,"yyyy-mm")),1,0)</f>
        <v/>
      </c>
      <c r="H3310">
        <f>IF(OR(H3309=1,G3310=1),1,0)</f>
        <v/>
      </c>
      <c r="I3310">
        <f>IF(H3309=0,1,SUMPRODUCT(J3309:N3309,B3310:F3310)+O3309*(1+0.00023125256064071564))</f>
        <v/>
      </c>
      <c r="J3310">
        <f>IF(G3310=1,0.2*R3310/B3310,J3309)</f>
        <v/>
      </c>
      <c r="K3310">
        <f>IF(G3310=1,0.2*R3310/C3310,K3309)</f>
        <v/>
      </c>
      <c r="L3310">
        <f>IF(G3310=1,0.2*R3310/D3310,L3309)</f>
        <v/>
      </c>
      <c r="M3310">
        <f>IF(G3310=1,0.2*R3310/E3310,M3309)</f>
        <v/>
      </c>
      <c r="N3310">
        <f>IF(G3310=1,0.2*R3310/F3310,N3309)</f>
        <v/>
      </c>
      <c r="O3310">
        <f>IF(G3310=1,R3310*(1-1.0),IF(H3309=0,1,O3309*(1+0.00023125256064071564)))</f>
        <v/>
      </c>
      <c r="P3310">
        <f>IF(G3310=1,IF(H3309=0,1,ABS(0.2-J3309*B3310/I3310)+ABS(0.2-K3309*C3310/I3310)+ABS(0.2-L3309*D3310/I3310)+ABS(0.2-M3309*E3310/I3310)+ABS(0.2-N3309*F3310/I3310)),0)</f>
        <v/>
      </c>
      <c r="Q3310">
        <f>P3310*0.0015</f>
        <v/>
      </c>
      <c r="R3310">
        <f>I3310*(1-Q3310)</f>
        <v/>
      </c>
      <c r="S3310">
        <f>R3310/R3309-1</f>
        <v/>
      </c>
      <c r="T3310">
        <f>MAX(T3309,R3310)</f>
        <v/>
      </c>
      <c r="U3310">
        <f>R3310/T3310-1</f>
        <v/>
      </c>
      <c r="V3310" t="n">
        <v>9.334472971523017</v>
      </c>
      <c r="W3310" s="5">
        <f>R3310-V3310</f>
        <v/>
      </c>
    </row>
    <row r="3311">
      <c r="A3311" s="3" t="n">
        <v>43311</v>
      </c>
      <c r="B3311">
        <f>Prices!B3311</f>
        <v/>
      </c>
      <c r="C3311">
        <f>Prices!C3311</f>
        <v/>
      </c>
      <c r="D3311">
        <f>Prices!D3311</f>
        <v/>
      </c>
      <c r="E3311">
        <f>Prices!E3311</f>
        <v/>
      </c>
      <c r="F3311">
        <f>Prices!F3311</f>
        <v/>
      </c>
      <c r="G3311">
        <f>IF(AND(3309&gt;=16,TEXT(A3311,"yyyy-mm")&lt;&gt;TEXT(A3312,"yyyy-mm")),1,0)</f>
        <v/>
      </c>
      <c r="H3311">
        <f>IF(OR(H3310=1,G3311=1),1,0)</f>
        <v/>
      </c>
      <c r="I3311">
        <f>IF(H3310=0,1,SUMPRODUCT(J3310:N3310,B3311:F3311)+O3310*(1+0.00023125256064071564))</f>
        <v/>
      </c>
      <c r="J3311">
        <f>IF(G3311=1,0.2*R3311/B3311,J3310)</f>
        <v/>
      </c>
      <c r="K3311">
        <f>IF(G3311=1,0.2*R3311/C3311,K3310)</f>
        <v/>
      </c>
      <c r="L3311">
        <f>IF(G3311=1,0.2*R3311/D3311,L3310)</f>
        <v/>
      </c>
      <c r="M3311">
        <f>IF(G3311=1,0.2*R3311/E3311,M3310)</f>
        <v/>
      </c>
      <c r="N3311">
        <f>IF(G3311=1,0.2*R3311/F3311,N3310)</f>
        <v/>
      </c>
      <c r="O3311">
        <f>IF(G3311=1,R3311*(1-1.0),IF(H3310=0,1,O3310*(1+0.00023125256064071564)))</f>
        <v/>
      </c>
      <c r="P3311">
        <f>IF(G3311=1,IF(H3310=0,1,ABS(0.2-J3310*B3311/I3311)+ABS(0.2-K3310*C3311/I3311)+ABS(0.2-L3310*D3311/I3311)+ABS(0.2-M3310*E3311/I3311)+ABS(0.2-N3310*F3311/I3311)),0)</f>
        <v/>
      </c>
      <c r="Q3311">
        <f>P3311*0.0015</f>
        <v/>
      </c>
      <c r="R3311">
        <f>I3311*(1-Q3311)</f>
        <v/>
      </c>
      <c r="S3311">
        <f>R3311/R3310-1</f>
        <v/>
      </c>
      <c r="T3311">
        <f>MAX(T3310,R3311)</f>
        <v/>
      </c>
      <c r="U3311">
        <f>R3311/T3311-1</f>
        <v/>
      </c>
      <c r="V3311" t="n">
        <v>9.364114125623116</v>
      </c>
      <c r="W3311" s="5">
        <f>R3311-V3311</f>
        <v/>
      </c>
    </row>
    <row r="3312">
      <c r="A3312" s="3" t="n">
        <v>43312</v>
      </c>
      <c r="B3312">
        <f>Prices!B3312</f>
        <v/>
      </c>
      <c r="C3312">
        <f>Prices!C3312</f>
        <v/>
      </c>
      <c r="D3312">
        <f>Prices!D3312</f>
        <v/>
      </c>
      <c r="E3312">
        <f>Prices!E3312</f>
        <v/>
      </c>
      <c r="F3312">
        <f>Prices!F3312</f>
        <v/>
      </c>
      <c r="G3312">
        <f>IF(AND(3310&gt;=16,TEXT(A3312,"yyyy-mm")&lt;&gt;TEXT(A3313,"yyyy-mm")),1,0)</f>
        <v/>
      </c>
      <c r="H3312">
        <f>IF(OR(H3311=1,G3312=1),1,0)</f>
        <v/>
      </c>
      <c r="I3312">
        <f>IF(H3311=0,1,SUMPRODUCT(J3311:N3311,B3312:F3312)+O3311*(1+0.00023125256064071564))</f>
        <v/>
      </c>
      <c r="J3312">
        <f>IF(G3312=1,0.2*R3312/B3312,J3311)</f>
        <v/>
      </c>
      <c r="K3312">
        <f>IF(G3312=1,0.2*R3312/C3312,K3311)</f>
        <v/>
      </c>
      <c r="L3312">
        <f>IF(G3312=1,0.2*R3312/D3312,L3311)</f>
        <v/>
      </c>
      <c r="M3312">
        <f>IF(G3312=1,0.2*R3312/E3312,M3311)</f>
        <v/>
      </c>
      <c r="N3312">
        <f>IF(G3312=1,0.2*R3312/F3312,N3311)</f>
        <v/>
      </c>
      <c r="O3312">
        <f>IF(G3312=1,R3312*(1-1.0),IF(H3311=0,1,O3311*(1+0.00023125256064071564)))</f>
        <v/>
      </c>
      <c r="P3312">
        <f>IF(G3312=1,IF(H3311=0,1,ABS(0.2-J3311*B3312/I3312)+ABS(0.2-K3311*C3312/I3312)+ABS(0.2-L3311*D3312/I3312)+ABS(0.2-M3311*E3312/I3312)+ABS(0.2-N3311*F3312/I3312)),0)</f>
        <v/>
      </c>
      <c r="Q3312">
        <f>P3312*0.0015</f>
        <v/>
      </c>
      <c r="R3312">
        <f>I3312*(1-Q3312)</f>
        <v/>
      </c>
      <c r="S3312">
        <f>R3312/R3311-1</f>
        <v/>
      </c>
      <c r="T3312">
        <f>MAX(T3311,R3312)</f>
        <v/>
      </c>
      <c r="U3312">
        <f>R3312/T3312-1</f>
        <v/>
      </c>
      <c r="V3312" t="n">
        <v>9.460659170726277</v>
      </c>
      <c r="W3312" s="5">
        <f>R3312-V3312</f>
        <v/>
      </c>
    </row>
    <row r="3313">
      <c r="A3313" s="3" t="n">
        <v>43313</v>
      </c>
      <c r="B3313">
        <f>Prices!B3313</f>
        <v/>
      </c>
      <c r="C3313">
        <f>Prices!C3313</f>
        <v/>
      </c>
      <c r="D3313">
        <f>Prices!D3313</f>
        <v/>
      </c>
      <c r="E3313">
        <f>Prices!E3313</f>
        <v/>
      </c>
      <c r="F3313">
        <f>Prices!F3313</f>
        <v/>
      </c>
      <c r="G3313">
        <f>IF(AND(3311&gt;=16,TEXT(A3313,"yyyy-mm")&lt;&gt;TEXT(A3314,"yyyy-mm")),1,0)</f>
        <v/>
      </c>
      <c r="H3313">
        <f>IF(OR(H3312=1,G3313=1),1,0)</f>
        <v/>
      </c>
      <c r="I3313">
        <f>IF(H3312=0,1,SUMPRODUCT(J3312:N3312,B3313:F3313)+O3312*(1+0.00023125256064071564))</f>
        <v/>
      </c>
      <c r="J3313">
        <f>IF(G3313=1,0.2*R3313/B3313,J3312)</f>
        <v/>
      </c>
      <c r="K3313">
        <f>IF(G3313=1,0.2*R3313/C3313,K3312)</f>
        <v/>
      </c>
      <c r="L3313">
        <f>IF(G3313=1,0.2*R3313/D3313,L3312)</f>
        <v/>
      </c>
      <c r="M3313">
        <f>IF(G3313=1,0.2*R3313/E3313,M3312)</f>
        <v/>
      </c>
      <c r="N3313">
        <f>IF(G3313=1,0.2*R3313/F3313,N3312)</f>
        <v/>
      </c>
      <c r="O3313">
        <f>IF(G3313=1,R3313*(1-1.0),IF(H3312=0,1,O3312*(1+0.00023125256064071564)))</f>
        <v/>
      </c>
      <c r="P3313">
        <f>IF(G3313=1,IF(H3312=0,1,ABS(0.2-J3312*B3313/I3313)+ABS(0.2-K3312*C3313/I3313)+ABS(0.2-L3312*D3313/I3313)+ABS(0.2-M3312*E3313/I3313)+ABS(0.2-N3312*F3313/I3313)),0)</f>
        <v/>
      </c>
      <c r="Q3313">
        <f>P3313*0.0015</f>
        <v/>
      </c>
      <c r="R3313">
        <f>I3313*(1-Q3313)</f>
        <v/>
      </c>
      <c r="S3313">
        <f>R3313/R3312-1</f>
        <v/>
      </c>
      <c r="T3313">
        <f>MAX(T3312,R3313)</f>
        <v/>
      </c>
      <c r="U3313">
        <f>R3313/T3313-1</f>
        <v/>
      </c>
      <c r="V3313" t="n">
        <v>9.48515856859871</v>
      </c>
      <c r="W3313" s="5">
        <f>R3313-V3313</f>
        <v/>
      </c>
    </row>
    <row r="3314">
      <c r="A3314" s="3" t="n">
        <v>43314</v>
      </c>
      <c r="B3314">
        <f>Prices!B3314</f>
        <v/>
      </c>
      <c r="C3314">
        <f>Prices!C3314</f>
        <v/>
      </c>
      <c r="D3314">
        <f>Prices!D3314</f>
        <v/>
      </c>
      <c r="E3314">
        <f>Prices!E3314</f>
        <v/>
      </c>
      <c r="F3314">
        <f>Prices!F3314</f>
        <v/>
      </c>
      <c r="G3314">
        <f>IF(AND(3312&gt;=16,TEXT(A3314,"yyyy-mm")&lt;&gt;TEXT(A3315,"yyyy-mm")),1,0)</f>
        <v/>
      </c>
      <c r="H3314">
        <f>IF(OR(H3313=1,G3314=1),1,0)</f>
        <v/>
      </c>
      <c r="I3314">
        <f>IF(H3313=0,1,SUMPRODUCT(J3313:N3313,B3314:F3314)+O3313*(1+0.00023125256064071564))</f>
        <v/>
      </c>
      <c r="J3314">
        <f>IF(G3314=1,0.2*R3314/B3314,J3313)</f>
        <v/>
      </c>
      <c r="K3314">
        <f>IF(G3314=1,0.2*R3314/C3314,K3313)</f>
        <v/>
      </c>
      <c r="L3314">
        <f>IF(G3314=1,0.2*R3314/D3314,L3313)</f>
        <v/>
      </c>
      <c r="M3314">
        <f>IF(G3314=1,0.2*R3314/E3314,M3313)</f>
        <v/>
      </c>
      <c r="N3314">
        <f>IF(G3314=1,0.2*R3314/F3314,N3313)</f>
        <v/>
      </c>
      <c r="O3314">
        <f>IF(G3314=1,R3314*(1-1.0),IF(H3313=0,1,O3313*(1+0.00023125256064071564)))</f>
        <v/>
      </c>
      <c r="P3314">
        <f>IF(G3314=1,IF(H3313=0,1,ABS(0.2-J3313*B3314/I3314)+ABS(0.2-K3313*C3314/I3314)+ABS(0.2-L3313*D3314/I3314)+ABS(0.2-M3313*E3314/I3314)+ABS(0.2-N3313*F3314/I3314)),0)</f>
        <v/>
      </c>
      <c r="Q3314">
        <f>P3314*0.0015</f>
        <v/>
      </c>
      <c r="R3314">
        <f>I3314*(1-Q3314)</f>
        <v/>
      </c>
      <c r="S3314">
        <f>R3314/R3313-1</f>
        <v/>
      </c>
      <c r="T3314">
        <f>MAX(T3313,R3314)</f>
        <v/>
      </c>
      <c r="U3314">
        <f>R3314/T3314-1</f>
        <v/>
      </c>
      <c r="V3314" t="n">
        <v>9.451883440969155</v>
      </c>
      <c r="W3314" s="5">
        <f>R3314-V3314</f>
        <v/>
      </c>
    </row>
    <row r="3315">
      <c r="A3315" s="3" t="n">
        <v>43315</v>
      </c>
      <c r="B3315">
        <f>Prices!B3315</f>
        <v/>
      </c>
      <c r="C3315">
        <f>Prices!C3315</f>
        <v/>
      </c>
      <c r="D3315">
        <f>Prices!D3315</f>
        <v/>
      </c>
      <c r="E3315">
        <f>Prices!E3315</f>
        <v/>
      </c>
      <c r="F3315">
        <f>Prices!F3315</f>
        <v/>
      </c>
      <c r="G3315">
        <f>IF(AND(3313&gt;=16,TEXT(A3315,"yyyy-mm")&lt;&gt;TEXT(A3316,"yyyy-mm")),1,0)</f>
        <v/>
      </c>
      <c r="H3315">
        <f>IF(OR(H3314=1,G3315=1),1,0)</f>
        <v/>
      </c>
      <c r="I3315">
        <f>IF(H3314=0,1,SUMPRODUCT(J3314:N3314,B3315:F3315)+O3314*(1+0.00023125256064071564))</f>
        <v/>
      </c>
      <c r="J3315">
        <f>IF(G3315=1,0.2*R3315/B3315,J3314)</f>
        <v/>
      </c>
      <c r="K3315">
        <f>IF(G3315=1,0.2*R3315/C3315,K3314)</f>
        <v/>
      </c>
      <c r="L3315">
        <f>IF(G3315=1,0.2*R3315/D3315,L3314)</f>
        <v/>
      </c>
      <c r="M3315">
        <f>IF(G3315=1,0.2*R3315/E3315,M3314)</f>
        <v/>
      </c>
      <c r="N3315">
        <f>IF(G3315=1,0.2*R3315/F3315,N3314)</f>
        <v/>
      </c>
      <c r="O3315">
        <f>IF(G3315=1,R3315*(1-1.0),IF(H3314=0,1,O3314*(1+0.00023125256064071564)))</f>
        <v/>
      </c>
      <c r="P3315">
        <f>IF(G3315=1,IF(H3314=0,1,ABS(0.2-J3314*B3315/I3315)+ABS(0.2-K3314*C3315/I3315)+ABS(0.2-L3314*D3315/I3315)+ABS(0.2-M3314*E3315/I3315)+ABS(0.2-N3314*F3315/I3315)),0)</f>
        <v/>
      </c>
      <c r="Q3315">
        <f>P3315*0.0015</f>
        <v/>
      </c>
      <c r="R3315">
        <f>I3315*(1-Q3315)</f>
        <v/>
      </c>
      <c r="S3315">
        <f>R3315/R3314-1</f>
        <v/>
      </c>
      <c r="T3315">
        <f>MAX(T3314,R3315)</f>
        <v/>
      </c>
      <c r="U3315">
        <f>R3315/T3315-1</f>
        <v/>
      </c>
      <c r="V3315" t="n">
        <v>9.542579728586894</v>
      </c>
      <c r="W3315" s="5">
        <f>R3315-V3315</f>
        <v/>
      </c>
    </row>
    <row r="3316">
      <c r="A3316" s="3" t="n">
        <v>43318</v>
      </c>
      <c r="B3316">
        <f>Prices!B3316</f>
        <v/>
      </c>
      <c r="C3316">
        <f>Prices!C3316</f>
        <v/>
      </c>
      <c r="D3316">
        <f>Prices!D3316</f>
        <v/>
      </c>
      <c r="E3316">
        <f>Prices!E3316</f>
        <v/>
      </c>
      <c r="F3316">
        <f>Prices!F3316</f>
        <v/>
      </c>
      <c r="G3316">
        <f>IF(AND(3314&gt;=16,TEXT(A3316,"yyyy-mm")&lt;&gt;TEXT(A3317,"yyyy-mm")),1,0)</f>
        <v/>
      </c>
      <c r="H3316">
        <f>IF(OR(H3315=1,G3316=1),1,0)</f>
        <v/>
      </c>
      <c r="I3316">
        <f>IF(H3315=0,1,SUMPRODUCT(J3315:N3315,B3316:F3316)+O3315*(1+0.00023125256064071564))</f>
        <v/>
      </c>
      <c r="J3316">
        <f>IF(G3316=1,0.2*R3316/B3316,J3315)</f>
        <v/>
      </c>
      <c r="K3316">
        <f>IF(G3316=1,0.2*R3316/C3316,K3315)</f>
        <v/>
      </c>
      <c r="L3316">
        <f>IF(G3316=1,0.2*R3316/D3316,L3315)</f>
        <v/>
      </c>
      <c r="M3316">
        <f>IF(G3316=1,0.2*R3316/E3316,M3315)</f>
        <v/>
      </c>
      <c r="N3316">
        <f>IF(G3316=1,0.2*R3316/F3316,N3315)</f>
        <v/>
      </c>
      <c r="O3316">
        <f>IF(G3316=1,R3316*(1-1.0),IF(H3315=0,1,O3315*(1+0.00023125256064071564)))</f>
        <v/>
      </c>
      <c r="P3316">
        <f>IF(G3316=1,IF(H3315=0,1,ABS(0.2-J3315*B3316/I3316)+ABS(0.2-K3315*C3316/I3316)+ABS(0.2-L3315*D3316/I3316)+ABS(0.2-M3315*E3316/I3316)+ABS(0.2-N3315*F3316/I3316)),0)</f>
        <v/>
      </c>
      <c r="Q3316">
        <f>P3316*0.0015</f>
        <v/>
      </c>
      <c r="R3316">
        <f>I3316*(1-Q3316)</f>
        <v/>
      </c>
      <c r="S3316">
        <f>R3316/R3315-1</f>
        <v/>
      </c>
      <c r="T3316">
        <f>MAX(T3315,R3316)</f>
        <v/>
      </c>
      <c r="U3316">
        <f>R3316/T3316-1</f>
        <v/>
      </c>
      <c r="V3316" t="n">
        <v>9.547131993816361</v>
      </c>
      <c r="W3316" s="5">
        <f>R3316-V3316</f>
        <v/>
      </c>
    </row>
    <row r="3317">
      <c r="A3317" s="3" t="n">
        <v>43319</v>
      </c>
      <c r="B3317">
        <f>Prices!B3317</f>
        <v/>
      </c>
      <c r="C3317">
        <f>Prices!C3317</f>
        <v/>
      </c>
      <c r="D3317">
        <f>Prices!D3317</f>
        <v/>
      </c>
      <c r="E3317">
        <f>Prices!E3317</f>
        <v/>
      </c>
      <c r="F3317">
        <f>Prices!F3317</f>
        <v/>
      </c>
      <c r="G3317">
        <f>IF(AND(3315&gt;=16,TEXT(A3317,"yyyy-mm")&lt;&gt;TEXT(A3318,"yyyy-mm")),1,0)</f>
        <v/>
      </c>
      <c r="H3317">
        <f>IF(OR(H3316=1,G3317=1),1,0)</f>
        <v/>
      </c>
      <c r="I3317">
        <f>IF(H3316=0,1,SUMPRODUCT(J3316:N3316,B3317:F3317)+O3316*(1+0.00023125256064071564))</f>
        <v/>
      </c>
      <c r="J3317">
        <f>IF(G3317=1,0.2*R3317/B3317,J3316)</f>
        <v/>
      </c>
      <c r="K3317">
        <f>IF(G3317=1,0.2*R3317/C3317,K3316)</f>
        <v/>
      </c>
      <c r="L3317">
        <f>IF(G3317=1,0.2*R3317/D3317,L3316)</f>
        <v/>
      </c>
      <c r="M3317">
        <f>IF(G3317=1,0.2*R3317/E3317,M3316)</f>
        <v/>
      </c>
      <c r="N3317">
        <f>IF(G3317=1,0.2*R3317/F3317,N3316)</f>
        <v/>
      </c>
      <c r="O3317">
        <f>IF(G3317=1,R3317*(1-1.0),IF(H3316=0,1,O3316*(1+0.00023125256064071564)))</f>
        <v/>
      </c>
      <c r="P3317">
        <f>IF(G3317=1,IF(H3316=0,1,ABS(0.2-J3316*B3317/I3317)+ABS(0.2-K3316*C3317/I3317)+ABS(0.2-L3316*D3317/I3317)+ABS(0.2-M3316*E3317/I3317)+ABS(0.2-N3316*F3317/I3317)),0)</f>
        <v/>
      </c>
      <c r="Q3317">
        <f>P3317*0.0015</f>
        <v/>
      </c>
      <c r="R3317">
        <f>I3317*(1-Q3317)</f>
        <v/>
      </c>
      <c r="S3317">
        <f>R3317/R3316-1</f>
        <v/>
      </c>
      <c r="T3317">
        <f>MAX(T3316,R3317)</f>
        <v/>
      </c>
      <c r="U3317">
        <f>R3317/T3317-1</f>
        <v/>
      </c>
      <c r="V3317" t="n">
        <v>9.526112342501859</v>
      </c>
      <c r="W3317" s="5">
        <f>R3317-V3317</f>
        <v/>
      </c>
    </row>
    <row r="3318">
      <c r="A3318" s="3" t="n">
        <v>43320</v>
      </c>
      <c r="B3318">
        <f>Prices!B3318</f>
        <v/>
      </c>
      <c r="C3318">
        <f>Prices!C3318</f>
        <v/>
      </c>
      <c r="D3318">
        <f>Prices!D3318</f>
        <v/>
      </c>
      <c r="E3318">
        <f>Prices!E3318</f>
        <v/>
      </c>
      <c r="F3318">
        <f>Prices!F3318</f>
        <v/>
      </c>
      <c r="G3318">
        <f>IF(AND(3316&gt;=16,TEXT(A3318,"yyyy-mm")&lt;&gt;TEXT(A3319,"yyyy-mm")),1,0)</f>
        <v/>
      </c>
      <c r="H3318">
        <f>IF(OR(H3317=1,G3318=1),1,0)</f>
        <v/>
      </c>
      <c r="I3318">
        <f>IF(H3317=0,1,SUMPRODUCT(J3317:N3317,B3318:F3318)+O3317*(1+0.00023125256064071564))</f>
        <v/>
      </c>
      <c r="J3318">
        <f>IF(G3318=1,0.2*R3318/B3318,J3317)</f>
        <v/>
      </c>
      <c r="K3318">
        <f>IF(G3318=1,0.2*R3318/C3318,K3317)</f>
        <v/>
      </c>
      <c r="L3318">
        <f>IF(G3318=1,0.2*R3318/D3318,L3317)</f>
        <v/>
      </c>
      <c r="M3318">
        <f>IF(G3318=1,0.2*R3318/E3318,M3317)</f>
        <v/>
      </c>
      <c r="N3318">
        <f>IF(G3318=1,0.2*R3318/F3318,N3317)</f>
        <v/>
      </c>
      <c r="O3318">
        <f>IF(G3318=1,R3318*(1-1.0),IF(H3317=0,1,O3317*(1+0.00023125256064071564)))</f>
        <v/>
      </c>
      <c r="P3318">
        <f>IF(G3318=1,IF(H3317=0,1,ABS(0.2-J3317*B3318/I3318)+ABS(0.2-K3317*C3318/I3318)+ABS(0.2-L3317*D3318/I3318)+ABS(0.2-M3317*E3318/I3318)+ABS(0.2-N3317*F3318/I3318)),0)</f>
        <v/>
      </c>
      <c r="Q3318">
        <f>P3318*0.0015</f>
        <v/>
      </c>
      <c r="R3318">
        <f>I3318*(1-Q3318)</f>
        <v/>
      </c>
      <c r="S3318">
        <f>R3318/R3317-1</f>
        <v/>
      </c>
      <c r="T3318">
        <f>MAX(T3317,R3318)</f>
        <v/>
      </c>
      <c r="U3318">
        <f>R3318/T3318-1</f>
        <v/>
      </c>
      <c r="V3318" t="n">
        <v>9.575846853922362</v>
      </c>
      <c r="W3318" s="5">
        <f>R3318-V3318</f>
        <v/>
      </c>
    </row>
    <row r="3319">
      <c r="A3319" s="3" t="n">
        <v>43321</v>
      </c>
      <c r="B3319">
        <f>Prices!B3319</f>
        <v/>
      </c>
      <c r="C3319">
        <f>Prices!C3319</f>
        <v/>
      </c>
      <c r="D3319">
        <f>Prices!D3319</f>
        <v/>
      </c>
      <c r="E3319">
        <f>Prices!E3319</f>
        <v/>
      </c>
      <c r="F3319">
        <f>Prices!F3319</f>
        <v/>
      </c>
      <c r="G3319">
        <f>IF(AND(3317&gt;=16,TEXT(A3319,"yyyy-mm")&lt;&gt;TEXT(A3320,"yyyy-mm")),1,0)</f>
        <v/>
      </c>
      <c r="H3319">
        <f>IF(OR(H3318=1,G3319=1),1,0)</f>
        <v/>
      </c>
      <c r="I3319">
        <f>IF(H3318=0,1,SUMPRODUCT(J3318:N3318,B3319:F3319)+O3318*(1+0.00023125256064071564))</f>
        <v/>
      </c>
      <c r="J3319">
        <f>IF(G3319=1,0.2*R3319/B3319,J3318)</f>
        <v/>
      </c>
      <c r="K3319">
        <f>IF(G3319=1,0.2*R3319/C3319,K3318)</f>
        <v/>
      </c>
      <c r="L3319">
        <f>IF(G3319=1,0.2*R3319/D3319,L3318)</f>
        <v/>
      </c>
      <c r="M3319">
        <f>IF(G3319=1,0.2*R3319/E3319,M3318)</f>
        <v/>
      </c>
      <c r="N3319">
        <f>IF(G3319=1,0.2*R3319/F3319,N3318)</f>
        <v/>
      </c>
      <c r="O3319">
        <f>IF(G3319=1,R3319*(1-1.0),IF(H3318=0,1,O3318*(1+0.00023125256064071564)))</f>
        <v/>
      </c>
      <c r="P3319">
        <f>IF(G3319=1,IF(H3318=0,1,ABS(0.2-J3318*B3319/I3319)+ABS(0.2-K3318*C3319/I3319)+ABS(0.2-L3318*D3319/I3319)+ABS(0.2-M3318*E3319/I3319)+ABS(0.2-N3318*F3319/I3319)),0)</f>
        <v/>
      </c>
      <c r="Q3319">
        <f>P3319*0.0015</f>
        <v/>
      </c>
      <c r="R3319">
        <f>I3319*(1-Q3319)</f>
        <v/>
      </c>
      <c r="S3319">
        <f>R3319/R3318-1</f>
        <v/>
      </c>
      <c r="T3319">
        <f>MAX(T3318,R3319)</f>
        <v/>
      </c>
      <c r="U3319">
        <f>R3319/T3319-1</f>
        <v/>
      </c>
      <c r="V3319" t="n">
        <v>9.62057711482754</v>
      </c>
      <c r="W3319" s="5">
        <f>R3319-V3319</f>
        <v/>
      </c>
    </row>
    <row r="3320">
      <c r="A3320" s="3" t="n">
        <v>43322</v>
      </c>
      <c r="B3320">
        <f>Prices!B3320</f>
        <v/>
      </c>
      <c r="C3320">
        <f>Prices!C3320</f>
        <v/>
      </c>
      <c r="D3320">
        <f>Prices!D3320</f>
        <v/>
      </c>
      <c r="E3320">
        <f>Prices!E3320</f>
        <v/>
      </c>
      <c r="F3320">
        <f>Prices!F3320</f>
        <v/>
      </c>
      <c r="G3320">
        <f>IF(AND(3318&gt;=16,TEXT(A3320,"yyyy-mm")&lt;&gt;TEXT(A3321,"yyyy-mm")),1,0)</f>
        <v/>
      </c>
      <c r="H3320">
        <f>IF(OR(H3319=1,G3320=1),1,0)</f>
        <v/>
      </c>
      <c r="I3320">
        <f>IF(H3319=0,1,SUMPRODUCT(J3319:N3319,B3320:F3320)+O3319*(1+0.00023125256064071564))</f>
        <v/>
      </c>
      <c r="J3320">
        <f>IF(G3320=1,0.2*R3320/B3320,J3319)</f>
        <v/>
      </c>
      <c r="K3320">
        <f>IF(G3320=1,0.2*R3320/C3320,K3319)</f>
        <v/>
      </c>
      <c r="L3320">
        <f>IF(G3320=1,0.2*R3320/D3320,L3319)</f>
        <v/>
      </c>
      <c r="M3320">
        <f>IF(G3320=1,0.2*R3320/E3320,M3319)</f>
        <v/>
      </c>
      <c r="N3320">
        <f>IF(G3320=1,0.2*R3320/F3320,N3319)</f>
        <v/>
      </c>
      <c r="O3320">
        <f>IF(G3320=1,R3320*(1-1.0),IF(H3319=0,1,O3319*(1+0.00023125256064071564)))</f>
        <v/>
      </c>
      <c r="P3320">
        <f>IF(G3320=1,IF(H3319=0,1,ABS(0.2-J3319*B3320/I3320)+ABS(0.2-K3319*C3320/I3320)+ABS(0.2-L3319*D3320/I3320)+ABS(0.2-M3319*E3320/I3320)+ABS(0.2-N3319*F3320/I3320)),0)</f>
        <v/>
      </c>
      <c r="Q3320">
        <f>P3320*0.0015</f>
        <v/>
      </c>
      <c r="R3320">
        <f>I3320*(1-Q3320)</f>
        <v/>
      </c>
      <c r="S3320">
        <f>R3320/R3319-1</f>
        <v/>
      </c>
      <c r="T3320">
        <f>MAX(T3319,R3320)</f>
        <v/>
      </c>
      <c r="U3320">
        <f>R3320/T3320-1</f>
        <v/>
      </c>
      <c r="V3320" t="n">
        <v>9.587858475709369</v>
      </c>
      <c r="W3320" s="5">
        <f>R3320-V3320</f>
        <v/>
      </c>
    </row>
    <row r="3321">
      <c r="A3321" s="3" t="n">
        <v>43325</v>
      </c>
      <c r="B3321">
        <f>Prices!B3321</f>
        <v/>
      </c>
      <c r="C3321">
        <f>Prices!C3321</f>
        <v/>
      </c>
      <c r="D3321">
        <f>Prices!D3321</f>
        <v/>
      </c>
      <c r="E3321">
        <f>Prices!E3321</f>
        <v/>
      </c>
      <c r="F3321">
        <f>Prices!F3321</f>
        <v/>
      </c>
      <c r="G3321">
        <f>IF(AND(3319&gt;=16,TEXT(A3321,"yyyy-mm")&lt;&gt;TEXT(A3322,"yyyy-mm")),1,0)</f>
        <v/>
      </c>
      <c r="H3321">
        <f>IF(OR(H3320=1,G3321=1),1,0)</f>
        <v/>
      </c>
      <c r="I3321">
        <f>IF(H3320=0,1,SUMPRODUCT(J3320:N3320,B3321:F3321)+O3320*(1+0.00023125256064071564))</f>
        <v/>
      </c>
      <c r="J3321">
        <f>IF(G3321=1,0.2*R3321/B3321,J3320)</f>
        <v/>
      </c>
      <c r="K3321">
        <f>IF(G3321=1,0.2*R3321/C3321,K3320)</f>
        <v/>
      </c>
      <c r="L3321">
        <f>IF(G3321=1,0.2*R3321/D3321,L3320)</f>
        <v/>
      </c>
      <c r="M3321">
        <f>IF(G3321=1,0.2*R3321/E3321,M3320)</f>
        <v/>
      </c>
      <c r="N3321">
        <f>IF(G3321=1,0.2*R3321/F3321,N3320)</f>
        <v/>
      </c>
      <c r="O3321">
        <f>IF(G3321=1,R3321*(1-1.0),IF(H3320=0,1,O3320*(1+0.00023125256064071564)))</f>
        <v/>
      </c>
      <c r="P3321">
        <f>IF(G3321=1,IF(H3320=0,1,ABS(0.2-J3320*B3321/I3321)+ABS(0.2-K3320*C3321/I3321)+ABS(0.2-L3320*D3321/I3321)+ABS(0.2-M3320*E3321/I3321)+ABS(0.2-N3320*F3321/I3321)),0)</f>
        <v/>
      </c>
      <c r="Q3321">
        <f>P3321*0.0015</f>
        <v/>
      </c>
      <c r="R3321">
        <f>I3321*(1-Q3321)</f>
        <v/>
      </c>
      <c r="S3321">
        <f>R3321/R3320-1</f>
        <v/>
      </c>
      <c r="T3321">
        <f>MAX(T3320,R3321)</f>
        <v/>
      </c>
      <c r="U3321">
        <f>R3321/T3321-1</f>
        <v/>
      </c>
      <c r="V3321" t="n">
        <v>9.510822168673732</v>
      </c>
      <c r="W3321" s="5">
        <f>R3321-V3321</f>
        <v/>
      </c>
    </row>
    <row r="3322">
      <c r="A3322" s="3" t="n">
        <v>43326</v>
      </c>
      <c r="B3322">
        <f>Prices!B3322</f>
        <v/>
      </c>
      <c r="C3322">
        <f>Prices!C3322</f>
        <v/>
      </c>
      <c r="D3322">
        <f>Prices!D3322</f>
        <v/>
      </c>
      <c r="E3322">
        <f>Prices!E3322</f>
        <v/>
      </c>
      <c r="F3322">
        <f>Prices!F3322</f>
        <v/>
      </c>
      <c r="G3322">
        <f>IF(AND(3320&gt;=16,TEXT(A3322,"yyyy-mm")&lt;&gt;TEXT(A3323,"yyyy-mm")),1,0)</f>
        <v/>
      </c>
      <c r="H3322">
        <f>IF(OR(H3321=1,G3322=1),1,0)</f>
        <v/>
      </c>
      <c r="I3322">
        <f>IF(H3321=0,1,SUMPRODUCT(J3321:N3321,B3322:F3322)+O3321*(1+0.00023125256064071564))</f>
        <v/>
      </c>
      <c r="J3322">
        <f>IF(G3322=1,0.2*R3322/B3322,J3321)</f>
        <v/>
      </c>
      <c r="K3322">
        <f>IF(G3322=1,0.2*R3322/C3322,K3321)</f>
        <v/>
      </c>
      <c r="L3322">
        <f>IF(G3322=1,0.2*R3322/D3322,L3321)</f>
        <v/>
      </c>
      <c r="M3322">
        <f>IF(G3322=1,0.2*R3322/E3322,M3321)</f>
        <v/>
      </c>
      <c r="N3322">
        <f>IF(G3322=1,0.2*R3322/F3322,N3321)</f>
        <v/>
      </c>
      <c r="O3322">
        <f>IF(G3322=1,R3322*(1-1.0),IF(H3321=0,1,O3321*(1+0.00023125256064071564)))</f>
        <v/>
      </c>
      <c r="P3322">
        <f>IF(G3322=1,IF(H3321=0,1,ABS(0.2-J3321*B3322/I3322)+ABS(0.2-K3321*C3322/I3322)+ABS(0.2-L3321*D3322/I3322)+ABS(0.2-M3321*E3322/I3322)+ABS(0.2-N3321*F3322/I3322)),0)</f>
        <v/>
      </c>
      <c r="Q3322">
        <f>P3322*0.0015</f>
        <v/>
      </c>
      <c r="R3322">
        <f>I3322*(1-Q3322)</f>
        <v/>
      </c>
      <c r="S3322">
        <f>R3322/R3321-1</f>
        <v/>
      </c>
      <c r="T3322">
        <f>MAX(T3321,R3322)</f>
        <v/>
      </c>
      <c r="U3322">
        <f>R3322/T3322-1</f>
        <v/>
      </c>
      <c r="V3322" t="n">
        <v>9.57463838787236</v>
      </c>
      <c r="W3322" s="5">
        <f>R3322-V3322</f>
        <v/>
      </c>
    </row>
    <row r="3323">
      <c r="A3323" s="3" t="n">
        <v>43328</v>
      </c>
      <c r="B3323">
        <f>Prices!B3323</f>
        <v/>
      </c>
      <c r="C3323">
        <f>Prices!C3323</f>
        <v/>
      </c>
      <c r="D3323">
        <f>Prices!D3323</f>
        <v/>
      </c>
      <c r="E3323">
        <f>Prices!E3323</f>
        <v/>
      </c>
      <c r="F3323">
        <f>Prices!F3323</f>
        <v/>
      </c>
      <c r="G3323">
        <f>IF(AND(3321&gt;=16,TEXT(A3323,"yyyy-mm")&lt;&gt;TEXT(A3324,"yyyy-mm")),1,0)</f>
        <v/>
      </c>
      <c r="H3323">
        <f>IF(OR(H3322=1,G3323=1),1,0)</f>
        <v/>
      </c>
      <c r="I3323">
        <f>IF(H3322=0,1,SUMPRODUCT(J3322:N3322,B3323:F3323)+O3322*(1+0.00023125256064071564))</f>
        <v/>
      </c>
      <c r="J3323">
        <f>IF(G3323=1,0.2*R3323/B3323,J3322)</f>
        <v/>
      </c>
      <c r="K3323">
        <f>IF(G3323=1,0.2*R3323/C3323,K3322)</f>
        <v/>
      </c>
      <c r="L3323">
        <f>IF(G3323=1,0.2*R3323/D3323,L3322)</f>
        <v/>
      </c>
      <c r="M3323">
        <f>IF(G3323=1,0.2*R3323/E3323,M3322)</f>
        <v/>
      </c>
      <c r="N3323">
        <f>IF(G3323=1,0.2*R3323/F3323,N3322)</f>
        <v/>
      </c>
      <c r="O3323">
        <f>IF(G3323=1,R3323*(1-1.0),IF(H3322=0,1,O3322*(1+0.00023125256064071564)))</f>
        <v/>
      </c>
      <c r="P3323">
        <f>IF(G3323=1,IF(H3322=0,1,ABS(0.2-J3322*B3323/I3323)+ABS(0.2-K3322*C3323/I3323)+ABS(0.2-L3322*D3323/I3323)+ABS(0.2-M3322*E3323/I3323)+ABS(0.2-N3322*F3323/I3323)),0)</f>
        <v/>
      </c>
      <c r="Q3323">
        <f>P3323*0.0015</f>
        <v/>
      </c>
      <c r="R3323">
        <f>I3323*(1-Q3323)</f>
        <v/>
      </c>
      <c r="S3323">
        <f>R3323/R3322-1</f>
        <v/>
      </c>
      <c r="T3323">
        <f>MAX(T3322,R3323)</f>
        <v/>
      </c>
      <c r="U3323">
        <f>R3323/T3323-1</f>
        <v/>
      </c>
      <c r="V3323" t="n">
        <v>9.552847408610548</v>
      </c>
      <c r="W3323" s="5">
        <f>R3323-V3323</f>
        <v/>
      </c>
    </row>
    <row r="3324">
      <c r="A3324" s="3" t="n">
        <v>43329</v>
      </c>
      <c r="B3324">
        <f>Prices!B3324</f>
        <v/>
      </c>
      <c r="C3324">
        <f>Prices!C3324</f>
        <v/>
      </c>
      <c r="D3324">
        <f>Prices!D3324</f>
        <v/>
      </c>
      <c r="E3324">
        <f>Prices!E3324</f>
        <v/>
      </c>
      <c r="F3324">
        <f>Prices!F3324</f>
        <v/>
      </c>
      <c r="G3324">
        <f>IF(AND(3322&gt;=16,TEXT(A3324,"yyyy-mm")&lt;&gt;TEXT(A3325,"yyyy-mm")),1,0)</f>
        <v/>
      </c>
      <c r="H3324">
        <f>IF(OR(H3323=1,G3324=1),1,0)</f>
        <v/>
      </c>
      <c r="I3324">
        <f>IF(H3323=0,1,SUMPRODUCT(J3323:N3323,B3324:F3324)+O3323*(1+0.00023125256064071564))</f>
        <v/>
      </c>
      <c r="J3324">
        <f>IF(G3324=1,0.2*R3324/B3324,J3323)</f>
        <v/>
      </c>
      <c r="K3324">
        <f>IF(G3324=1,0.2*R3324/C3324,K3323)</f>
        <v/>
      </c>
      <c r="L3324">
        <f>IF(G3324=1,0.2*R3324/D3324,L3323)</f>
        <v/>
      </c>
      <c r="M3324">
        <f>IF(G3324=1,0.2*R3324/E3324,M3323)</f>
        <v/>
      </c>
      <c r="N3324">
        <f>IF(G3324=1,0.2*R3324/F3324,N3323)</f>
        <v/>
      </c>
      <c r="O3324">
        <f>IF(G3324=1,R3324*(1-1.0),IF(H3323=0,1,O3323*(1+0.00023125256064071564)))</f>
        <v/>
      </c>
      <c r="P3324">
        <f>IF(G3324=1,IF(H3323=0,1,ABS(0.2-J3323*B3324/I3324)+ABS(0.2-K3323*C3324/I3324)+ABS(0.2-L3323*D3324/I3324)+ABS(0.2-M3323*E3324/I3324)+ABS(0.2-N3323*F3324/I3324)),0)</f>
        <v/>
      </c>
      <c r="Q3324">
        <f>P3324*0.0015</f>
        <v/>
      </c>
      <c r="R3324">
        <f>I3324*(1-Q3324)</f>
        <v/>
      </c>
      <c r="S3324">
        <f>R3324/R3323-1</f>
        <v/>
      </c>
      <c r="T3324">
        <f>MAX(T3323,R3324)</f>
        <v/>
      </c>
      <c r="U3324">
        <f>R3324/T3324-1</f>
        <v/>
      </c>
      <c r="V3324" t="n">
        <v>9.647425524574279</v>
      </c>
      <c r="W3324" s="5">
        <f>R3324-V3324</f>
        <v/>
      </c>
    </row>
    <row r="3325">
      <c r="A3325" s="3" t="n">
        <v>43332</v>
      </c>
      <c r="B3325">
        <f>Prices!B3325</f>
        <v/>
      </c>
      <c r="C3325">
        <f>Prices!C3325</f>
        <v/>
      </c>
      <c r="D3325">
        <f>Prices!D3325</f>
        <v/>
      </c>
      <c r="E3325">
        <f>Prices!E3325</f>
        <v/>
      </c>
      <c r="F3325">
        <f>Prices!F3325</f>
        <v/>
      </c>
      <c r="G3325">
        <f>IF(AND(3323&gt;=16,TEXT(A3325,"yyyy-mm")&lt;&gt;TEXT(A3326,"yyyy-mm")),1,0)</f>
        <v/>
      </c>
      <c r="H3325">
        <f>IF(OR(H3324=1,G3325=1),1,0)</f>
        <v/>
      </c>
      <c r="I3325">
        <f>IF(H3324=0,1,SUMPRODUCT(J3324:N3324,B3325:F3325)+O3324*(1+0.00023125256064071564))</f>
        <v/>
      </c>
      <c r="J3325">
        <f>IF(G3325=1,0.2*R3325/B3325,J3324)</f>
        <v/>
      </c>
      <c r="K3325">
        <f>IF(G3325=1,0.2*R3325/C3325,K3324)</f>
        <v/>
      </c>
      <c r="L3325">
        <f>IF(G3325=1,0.2*R3325/D3325,L3324)</f>
        <v/>
      </c>
      <c r="M3325">
        <f>IF(G3325=1,0.2*R3325/E3325,M3324)</f>
        <v/>
      </c>
      <c r="N3325">
        <f>IF(G3325=1,0.2*R3325/F3325,N3324)</f>
        <v/>
      </c>
      <c r="O3325">
        <f>IF(G3325=1,R3325*(1-1.0),IF(H3324=0,1,O3324*(1+0.00023125256064071564)))</f>
        <v/>
      </c>
      <c r="P3325">
        <f>IF(G3325=1,IF(H3324=0,1,ABS(0.2-J3324*B3325/I3325)+ABS(0.2-K3324*C3325/I3325)+ABS(0.2-L3324*D3325/I3325)+ABS(0.2-M3324*E3325/I3325)+ABS(0.2-N3324*F3325/I3325)),0)</f>
        <v/>
      </c>
      <c r="Q3325">
        <f>P3325*0.0015</f>
        <v/>
      </c>
      <c r="R3325">
        <f>I3325*(1-Q3325)</f>
        <v/>
      </c>
      <c r="S3325">
        <f>R3325/R3324-1</f>
        <v/>
      </c>
      <c r="T3325">
        <f>MAX(T3324,R3325)</f>
        <v/>
      </c>
      <c r="U3325">
        <f>R3325/T3325-1</f>
        <v/>
      </c>
      <c r="V3325" t="n">
        <v>9.68913646885547</v>
      </c>
      <c r="W3325" s="5">
        <f>R3325-V3325</f>
        <v/>
      </c>
    </row>
    <row r="3326">
      <c r="A3326" s="3" t="n">
        <v>43333</v>
      </c>
      <c r="B3326">
        <f>Prices!B3326</f>
        <v/>
      </c>
      <c r="C3326">
        <f>Prices!C3326</f>
        <v/>
      </c>
      <c r="D3326">
        <f>Prices!D3326</f>
        <v/>
      </c>
      <c r="E3326">
        <f>Prices!E3326</f>
        <v/>
      </c>
      <c r="F3326">
        <f>Prices!F3326</f>
        <v/>
      </c>
      <c r="G3326">
        <f>IF(AND(3324&gt;=16,TEXT(A3326,"yyyy-mm")&lt;&gt;TEXT(A3327,"yyyy-mm")),1,0)</f>
        <v/>
      </c>
      <c r="H3326">
        <f>IF(OR(H3325=1,G3326=1),1,0)</f>
        <v/>
      </c>
      <c r="I3326">
        <f>IF(H3325=0,1,SUMPRODUCT(J3325:N3325,B3326:F3326)+O3325*(1+0.00023125256064071564))</f>
        <v/>
      </c>
      <c r="J3326">
        <f>IF(G3326=1,0.2*R3326/B3326,J3325)</f>
        <v/>
      </c>
      <c r="K3326">
        <f>IF(G3326=1,0.2*R3326/C3326,K3325)</f>
        <v/>
      </c>
      <c r="L3326">
        <f>IF(G3326=1,0.2*R3326/D3326,L3325)</f>
        <v/>
      </c>
      <c r="M3326">
        <f>IF(G3326=1,0.2*R3326/E3326,M3325)</f>
        <v/>
      </c>
      <c r="N3326">
        <f>IF(G3326=1,0.2*R3326/F3326,N3325)</f>
        <v/>
      </c>
      <c r="O3326">
        <f>IF(G3326=1,R3326*(1-1.0),IF(H3325=0,1,O3325*(1+0.00023125256064071564)))</f>
        <v/>
      </c>
      <c r="P3326">
        <f>IF(G3326=1,IF(H3325=0,1,ABS(0.2-J3325*B3326/I3326)+ABS(0.2-K3325*C3326/I3326)+ABS(0.2-L3325*D3326/I3326)+ABS(0.2-M3325*E3326/I3326)+ABS(0.2-N3325*F3326/I3326)),0)</f>
        <v/>
      </c>
      <c r="Q3326">
        <f>P3326*0.0015</f>
        <v/>
      </c>
      <c r="R3326">
        <f>I3326*(1-Q3326)</f>
        <v/>
      </c>
      <c r="S3326">
        <f>R3326/R3325-1</f>
        <v/>
      </c>
      <c r="T3326">
        <f>MAX(T3325,R3326)</f>
        <v/>
      </c>
      <c r="U3326">
        <f>R3326/T3326-1</f>
        <v/>
      </c>
      <c r="V3326" t="n">
        <v>9.720526666120454</v>
      </c>
      <c r="W3326" s="5">
        <f>R3326-V3326</f>
        <v/>
      </c>
    </row>
    <row r="3327">
      <c r="A3327" s="3" t="n">
        <v>43335</v>
      </c>
      <c r="B3327">
        <f>Prices!B3327</f>
        <v/>
      </c>
      <c r="C3327">
        <f>Prices!C3327</f>
        <v/>
      </c>
      <c r="D3327">
        <f>Prices!D3327</f>
        <v/>
      </c>
      <c r="E3327">
        <f>Prices!E3327</f>
        <v/>
      </c>
      <c r="F3327">
        <f>Prices!F3327</f>
        <v/>
      </c>
      <c r="G3327">
        <f>IF(AND(3325&gt;=16,TEXT(A3327,"yyyy-mm")&lt;&gt;TEXT(A3328,"yyyy-mm")),1,0)</f>
        <v/>
      </c>
      <c r="H3327">
        <f>IF(OR(H3326=1,G3327=1),1,0)</f>
        <v/>
      </c>
      <c r="I3327">
        <f>IF(H3326=0,1,SUMPRODUCT(J3326:N3326,B3327:F3327)+O3326*(1+0.00023125256064071564))</f>
        <v/>
      </c>
      <c r="J3327">
        <f>IF(G3327=1,0.2*R3327/B3327,J3326)</f>
        <v/>
      </c>
      <c r="K3327">
        <f>IF(G3327=1,0.2*R3327/C3327,K3326)</f>
        <v/>
      </c>
      <c r="L3327">
        <f>IF(G3327=1,0.2*R3327/D3327,L3326)</f>
        <v/>
      </c>
      <c r="M3327">
        <f>IF(G3327=1,0.2*R3327/E3327,M3326)</f>
        <v/>
      </c>
      <c r="N3327">
        <f>IF(G3327=1,0.2*R3327/F3327,N3326)</f>
        <v/>
      </c>
      <c r="O3327">
        <f>IF(G3327=1,R3327*(1-1.0),IF(H3326=0,1,O3326*(1+0.00023125256064071564)))</f>
        <v/>
      </c>
      <c r="P3327">
        <f>IF(G3327=1,IF(H3326=0,1,ABS(0.2-J3326*B3327/I3327)+ABS(0.2-K3326*C3327/I3327)+ABS(0.2-L3326*D3327/I3327)+ABS(0.2-M3326*E3327/I3327)+ABS(0.2-N3326*F3327/I3327)),0)</f>
        <v/>
      </c>
      <c r="Q3327">
        <f>P3327*0.0015</f>
        <v/>
      </c>
      <c r="R3327">
        <f>I3327*(1-Q3327)</f>
        <v/>
      </c>
      <c r="S3327">
        <f>R3327/R3326-1</f>
        <v/>
      </c>
      <c r="T3327">
        <f>MAX(T3326,R3327)</f>
        <v/>
      </c>
      <c r="U3327">
        <f>R3327/T3327-1</f>
        <v/>
      </c>
      <c r="V3327" t="n">
        <v>9.710183031753065</v>
      </c>
      <c r="W3327" s="5">
        <f>R3327-V3327</f>
        <v/>
      </c>
    </row>
    <row r="3328">
      <c r="A3328" s="3" t="n">
        <v>43336</v>
      </c>
      <c r="B3328">
        <f>Prices!B3328</f>
        <v/>
      </c>
      <c r="C3328">
        <f>Prices!C3328</f>
        <v/>
      </c>
      <c r="D3328">
        <f>Prices!D3328</f>
        <v/>
      </c>
      <c r="E3328">
        <f>Prices!E3328</f>
        <v/>
      </c>
      <c r="F3328">
        <f>Prices!F3328</f>
        <v/>
      </c>
      <c r="G3328">
        <f>IF(AND(3326&gt;=16,TEXT(A3328,"yyyy-mm")&lt;&gt;TEXT(A3329,"yyyy-mm")),1,0)</f>
        <v/>
      </c>
      <c r="H3328">
        <f>IF(OR(H3327=1,G3328=1),1,0)</f>
        <v/>
      </c>
      <c r="I3328">
        <f>IF(H3327=0,1,SUMPRODUCT(J3327:N3327,B3328:F3328)+O3327*(1+0.00023125256064071564))</f>
        <v/>
      </c>
      <c r="J3328">
        <f>IF(G3328=1,0.2*R3328/B3328,J3327)</f>
        <v/>
      </c>
      <c r="K3328">
        <f>IF(G3328=1,0.2*R3328/C3328,K3327)</f>
        <v/>
      </c>
      <c r="L3328">
        <f>IF(G3328=1,0.2*R3328/D3328,L3327)</f>
        <v/>
      </c>
      <c r="M3328">
        <f>IF(G3328=1,0.2*R3328/E3328,M3327)</f>
        <v/>
      </c>
      <c r="N3328">
        <f>IF(G3328=1,0.2*R3328/F3328,N3327)</f>
        <v/>
      </c>
      <c r="O3328">
        <f>IF(G3328=1,R3328*(1-1.0),IF(H3327=0,1,O3327*(1+0.00023125256064071564)))</f>
        <v/>
      </c>
      <c r="P3328">
        <f>IF(G3328=1,IF(H3327=0,1,ABS(0.2-J3327*B3328/I3328)+ABS(0.2-K3327*C3328/I3328)+ABS(0.2-L3327*D3328/I3328)+ABS(0.2-M3327*E3328/I3328)+ABS(0.2-N3327*F3328/I3328)),0)</f>
        <v/>
      </c>
      <c r="Q3328">
        <f>P3328*0.0015</f>
        <v/>
      </c>
      <c r="R3328">
        <f>I3328*(1-Q3328)</f>
        <v/>
      </c>
      <c r="S3328">
        <f>R3328/R3327-1</f>
        <v/>
      </c>
      <c r="T3328">
        <f>MAX(T3327,R3328)</f>
        <v/>
      </c>
      <c r="U3328">
        <f>R3328/T3328-1</f>
        <v/>
      </c>
      <c r="V3328" t="n">
        <v>9.673830042601562</v>
      </c>
      <c r="W3328" s="5">
        <f>R3328-V3328</f>
        <v/>
      </c>
    </row>
    <row r="3329">
      <c r="A3329" s="3" t="n">
        <v>43339</v>
      </c>
      <c r="B3329">
        <f>Prices!B3329</f>
        <v/>
      </c>
      <c r="C3329">
        <f>Prices!C3329</f>
        <v/>
      </c>
      <c r="D3329">
        <f>Prices!D3329</f>
        <v/>
      </c>
      <c r="E3329">
        <f>Prices!E3329</f>
        <v/>
      </c>
      <c r="F3329">
        <f>Prices!F3329</f>
        <v/>
      </c>
      <c r="G3329">
        <f>IF(AND(3327&gt;=16,TEXT(A3329,"yyyy-mm")&lt;&gt;TEXT(A3330,"yyyy-mm")),1,0)</f>
        <v/>
      </c>
      <c r="H3329">
        <f>IF(OR(H3328=1,G3329=1),1,0)</f>
        <v/>
      </c>
      <c r="I3329">
        <f>IF(H3328=0,1,SUMPRODUCT(J3328:N3328,B3329:F3329)+O3328*(1+0.00023125256064071564))</f>
        <v/>
      </c>
      <c r="J3329">
        <f>IF(G3329=1,0.2*R3329/B3329,J3328)</f>
        <v/>
      </c>
      <c r="K3329">
        <f>IF(G3329=1,0.2*R3329/C3329,K3328)</f>
        <v/>
      </c>
      <c r="L3329">
        <f>IF(G3329=1,0.2*R3329/D3329,L3328)</f>
        <v/>
      </c>
      <c r="M3329">
        <f>IF(G3329=1,0.2*R3329/E3329,M3328)</f>
        <v/>
      </c>
      <c r="N3329">
        <f>IF(G3329=1,0.2*R3329/F3329,N3328)</f>
        <v/>
      </c>
      <c r="O3329">
        <f>IF(G3329=1,R3329*(1-1.0),IF(H3328=0,1,O3328*(1+0.00023125256064071564)))</f>
        <v/>
      </c>
      <c r="P3329">
        <f>IF(G3329=1,IF(H3328=0,1,ABS(0.2-J3328*B3329/I3329)+ABS(0.2-K3328*C3329/I3329)+ABS(0.2-L3328*D3329/I3329)+ABS(0.2-M3328*E3329/I3329)+ABS(0.2-N3328*F3329/I3329)),0)</f>
        <v/>
      </c>
      <c r="Q3329">
        <f>P3329*0.0015</f>
        <v/>
      </c>
      <c r="R3329">
        <f>I3329*(1-Q3329)</f>
        <v/>
      </c>
      <c r="S3329">
        <f>R3329/R3328-1</f>
        <v/>
      </c>
      <c r="T3329">
        <f>MAX(T3328,R3329)</f>
        <v/>
      </c>
      <c r="U3329">
        <f>R3329/T3329-1</f>
        <v/>
      </c>
      <c r="V3329" t="n">
        <v>9.804175342875316</v>
      </c>
      <c r="W3329" s="5">
        <f>R3329-V3329</f>
        <v/>
      </c>
    </row>
    <row r="3330">
      <c r="A3330" s="3" t="n">
        <v>43340</v>
      </c>
      <c r="B3330">
        <f>Prices!B3330</f>
        <v/>
      </c>
      <c r="C3330">
        <f>Prices!C3330</f>
        <v/>
      </c>
      <c r="D3330">
        <f>Prices!D3330</f>
        <v/>
      </c>
      <c r="E3330">
        <f>Prices!E3330</f>
        <v/>
      </c>
      <c r="F3330">
        <f>Prices!F3330</f>
        <v/>
      </c>
      <c r="G3330">
        <f>IF(AND(3328&gt;=16,TEXT(A3330,"yyyy-mm")&lt;&gt;TEXT(A3331,"yyyy-mm")),1,0)</f>
        <v/>
      </c>
      <c r="H3330">
        <f>IF(OR(H3329=1,G3330=1),1,0)</f>
        <v/>
      </c>
      <c r="I3330">
        <f>IF(H3329=0,1,SUMPRODUCT(J3329:N3329,B3330:F3330)+O3329*(1+0.00023125256064071564))</f>
        <v/>
      </c>
      <c r="J3330">
        <f>IF(G3330=1,0.2*R3330/B3330,J3329)</f>
        <v/>
      </c>
      <c r="K3330">
        <f>IF(G3330=1,0.2*R3330/C3330,K3329)</f>
        <v/>
      </c>
      <c r="L3330">
        <f>IF(G3330=1,0.2*R3330/D3330,L3329)</f>
        <v/>
      </c>
      <c r="M3330">
        <f>IF(G3330=1,0.2*R3330/E3330,M3329)</f>
        <v/>
      </c>
      <c r="N3330">
        <f>IF(G3330=1,0.2*R3330/F3330,N3329)</f>
        <v/>
      </c>
      <c r="O3330">
        <f>IF(G3330=1,R3330*(1-1.0),IF(H3329=0,1,O3329*(1+0.00023125256064071564)))</f>
        <v/>
      </c>
      <c r="P3330">
        <f>IF(G3330=1,IF(H3329=0,1,ABS(0.2-J3329*B3330/I3330)+ABS(0.2-K3329*C3330/I3330)+ABS(0.2-L3329*D3330/I3330)+ABS(0.2-M3329*E3330/I3330)+ABS(0.2-N3329*F3330/I3330)),0)</f>
        <v/>
      </c>
      <c r="Q3330">
        <f>P3330*0.0015</f>
        <v/>
      </c>
      <c r="R3330">
        <f>I3330*(1-Q3330)</f>
        <v/>
      </c>
      <c r="S3330">
        <f>R3330/R3329-1</f>
        <v/>
      </c>
      <c r="T3330">
        <f>MAX(T3329,R3330)</f>
        <v/>
      </c>
      <c r="U3330">
        <f>R3330/T3330-1</f>
        <v/>
      </c>
      <c r="V3330" t="n">
        <v>9.815754866010394</v>
      </c>
      <c r="W3330" s="5">
        <f>R3330-V3330</f>
        <v/>
      </c>
    </row>
    <row r="3331">
      <c r="A3331" s="3" t="n">
        <v>43341</v>
      </c>
      <c r="B3331">
        <f>Prices!B3331</f>
        <v/>
      </c>
      <c r="C3331">
        <f>Prices!C3331</f>
        <v/>
      </c>
      <c r="D3331">
        <f>Prices!D3331</f>
        <v/>
      </c>
      <c r="E3331">
        <f>Prices!E3331</f>
        <v/>
      </c>
      <c r="F3331">
        <f>Prices!F3331</f>
        <v/>
      </c>
      <c r="G3331">
        <f>IF(AND(3329&gt;=16,TEXT(A3331,"yyyy-mm")&lt;&gt;TEXT(A3332,"yyyy-mm")),1,0)</f>
        <v/>
      </c>
      <c r="H3331">
        <f>IF(OR(H3330=1,G3331=1),1,0)</f>
        <v/>
      </c>
      <c r="I3331">
        <f>IF(H3330=0,1,SUMPRODUCT(J3330:N3330,B3331:F3331)+O3330*(1+0.00023125256064071564))</f>
        <v/>
      </c>
      <c r="J3331">
        <f>IF(G3331=1,0.2*R3331/B3331,J3330)</f>
        <v/>
      </c>
      <c r="K3331">
        <f>IF(G3331=1,0.2*R3331/C3331,K3330)</f>
        <v/>
      </c>
      <c r="L3331">
        <f>IF(G3331=1,0.2*R3331/D3331,L3330)</f>
        <v/>
      </c>
      <c r="M3331">
        <f>IF(G3331=1,0.2*R3331/E3331,M3330)</f>
        <v/>
      </c>
      <c r="N3331">
        <f>IF(G3331=1,0.2*R3331/F3331,N3330)</f>
        <v/>
      </c>
      <c r="O3331">
        <f>IF(G3331=1,R3331*(1-1.0),IF(H3330=0,1,O3330*(1+0.00023125256064071564)))</f>
        <v/>
      </c>
      <c r="P3331">
        <f>IF(G3331=1,IF(H3330=0,1,ABS(0.2-J3330*B3331/I3331)+ABS(0.2-K3330*C3331/I3331)+ABS(0.2-L3330*D3331/I3331)+ABS(0.2-M3330*E3331/I3331)+ABS(0.2-N3330*F3331/I3331)),0)</f>
        <v/>
      </c>
      <c r="Q3331">
        <f>P3331*0.0015</f>
        <v/>
      </c>
      <c r="R3331">
        <f>I3331*(1-Q3331)</f>
        <v/>
      </c>
      <c r="S3331">
        <f>R3331/R3330-1</f>
        <v/>
      </c>
      <c r="T3331">
        <f>MAX(T3330,R3331)</f>
        <v/>
      </c>
      <c r="U3331">
        <f>R3331/T3331-1</f>
        <v/>
      </c>
      <c r="V3331" t="n">
        <v>9.7952676173167</v>
      </c>
      <c r="W3331" s="5">
        <f>R3331-V3331</f>
        <v/>
      </c>
    </row>
    <row r="3332">
      <c r="A3332" s="3" t="n">
        <v>43342</v>
      </c>
      <c r="B3332">
        <f>Prices!B3332</f>
        <v/>
      </c>
      <c r="C3332">
        <f>Prices!C3332</f>
        <v/>
      </c>
      <c r="D3332">
        <f>Prices!D3332</f>
        <v/>
      </c>
      <c r="E3332">
        <f>Prices!E3332</f>
        <v/>
      </c>
      <c r="F3332">
        <f>Prices!F3332</f>
        <v/>
      </c>
      <c r="G3332">
        <f>IF(AND(3330&gt;=16,TEXT(A3332,"yyyy-mm")&lt;&gt;TEXT(A3333,"yyyy-mm")),1,0)</f>
        <v/>
      </c>
      <c r="H3332">
        <f>IF(OR(H3331=1,G3332=1),1,0)</f>
        <v/>
      </c>
      <c r="I3332">
        <f>IF(H3331=0,1,SUMPRODUCT(J3331:N3331,B3332:F3332)+O3331*(1+0.00023125256064071564))</f>
        <v/>
      </c>
      <c r="J3332">
        <f>IF(G3332=1,0.2*R3332/B3332,J3331)</f>
        <v/>
      </c>
      <c r="K3332">
        <f>IF(G3332=1,0.2*R3332/C3332,K3331)</f>
        <v/>
      </c>
      <c r="L3332">
        <f>IF(G3332=1,0.2*R3332/D3332,L3331)</f>
        <v/>
      </c>
      <c r="M3332">
        <f>IF(G3332=1,0.2*R3332/E3332,M3331)</f>
        <v/>
      </c>
      <c r="N3332">
        <f>IF(G3332=1,0.2*R3332/F3332,N3331)</f>
        <v/>
      </c>
      <c r="O3332">
        <f>IF(G3332=1,R3332*(1-1.0),IF(H3331=0,1,O3331*(1+0.00023125256064071564)))</f>
        <v/>
      </c>
      <c r="P3332">
        <f>IF(G3332=1,IF(H3331=0,1,ABS(0.2-J3331*B3332/I3332)+ABS(0.2-K3331*C3332/I3332)+ABS(0.2-L3331*D3332/I3332)+ABS(0.2-M3331*E3332/I3332)+ABS(0.2-N3331*F3332/I3332)),0)</f>
        <v/>
      </c>
      <c r="Q3332">
        <f>P3332*0.0015</f>
        <v/>
      </c>
      <c r="R3332">
        <f>I3332*(1-Q3332)</f>
        <v/>
      </c>
      <c r="S3332">
        <f>R3332/R3331-1</f>
        <v/>
      </c>
      <c r="T3332">
        <f>MAX(T3331,R3332)</f>
        <v/>
      </c>
      <c r="U3332">
        <f>R3332/T3332-1</f>
        <v/>
      </c>
      <c r="V3332" t="n">
        <v>9.805732526477113</v>
      </c>
      <c r="W3332" s="5">
        <f>R3332-V3332</f>
        <v/>
      </c>
    </row>
    <row r="3333">
      <c r="A3333" s="3" t="n">
        <v>43343</v>
      </c>
      <c r="B3333">
        <f>Prices!B3333</f>
        <v/>
      </c>
      <c r="C3333">
        <f>Prices!C3333</f>
        <v/>
      </c>
      <c r="D3333">
        <f>Prices!D3333</f>
        <v/>
      </c>
      <c r="E3333">
        <f>Prices!E3333</f>
        <v/>
      </c>
      <c r="F3333">
        <f>Prices!F3333</f>
        <v/>
      </c>
      <c r="G3333">
        <f>IF(AND(3331&gt;=16,TEXT(A3333,"yyyy-mm")&lt;&gt;TEXT(A3334,"yyyy-mm")),1,0)</f>
        <v/>
      </c>
      <c r="H3333">
        <f>IF(OR(H3332=1,G3333=1),1,0)</f>
        <v/>
      </c>
      <c r="I3333">
        <f>IF(H3332=0,1,SUMPRODUCT(J3332:N3332,B3333:F3333)+O3332*(1+0.00023125256064071564))</f>
        <v/>
      </c>
      <c r="J3333">
        <f>IF(G3333=1,0.2*R3333/B3333,J3332)</f>
        <v/>
      </c>
      <c r="K3333">
        <f>IF(G3333=1,0.2*R3333/C3333,K3332)</f>
        <v/>
      </c>
      <c r="L3333">
        <f>IF(G3333=1,0.2*R3333/D3333,L3332)</f>
        <v/>
      </c>
      <c r="M3333">
        <f>IF(G3333=1,0.2*R3333/E3333,M3332)</f>
        <v/>
      </c>
      <c r="N3333">
        <f>IF(G3333=1,0.2*R3333/F3333,N3332)</f>
        <v/>
      </c>
      <c r="O3333">
        <f>IF(G3333=1,R3333*(1-1.0),IF(H3332=0,1,O3332*(1+0.00023125256064071564)))</f>
        <v/>
      </c>
      <c r="P3333">
        <f>IF(G3333=1,IF(H3332=0,1,ABS(0.2-J3332*B3333/I3333)+ABS(0.2-K3332*C3333/I3333)+ABS(0.2-L3332*D3333/I3333)+ABS(0.2-M3332*E3333/I3333)+ABS(0.2-N3332*F3333/I3333)),0)</f>
        <v/>
      </c>
      <c r="Q3333">
        <f>P3333*0.0015</f>
        <v/>
      </c>
      <c r="R3333">
        <f>I3333*(1-Q3333)</f>
        <v/>
      </c>
      <c r="S3333">
        <f>R3333/R3332-1</f>
        <v/>
      </c>
      <c r="T3333">
        <f>MAX(T3332,R3333)</f>
        <v/>
      </c>
      <c r="U3333">
        <f>R3333/T3333-1</f>
        <v/>
      </c>
      <c r="V3333" t="n">
        <v>9.86274596917483</v>
      </c>
      <c r="W3333" s="5">
        <f>R3333-V3333</f>
        <v/>
      </c>
    </row>
    <row r="3334">
      <c r="A3334" s="3" t="n">
        <v>43346</v>
      </c>
      <c r="B3334">
        <f>Prices!B3334</f>
        <v/>
      </c>
      <c r="C3334">
        <f>Prices!C3334</f>
        <v/>
      </c>
      <c r="D3334">
        <f>Prices!D3334</f>
        <v/>
      </c>
      <c r="E3334">
        <f>Prices!E3334</f>
        <v/>
      </c>
      <c r="F3334">
        <f>Prices!F3334</f>
        <v/>
      </c>
      <c r="G3334">
        <f>IF(AND(3332&gt;=16,TEXT(A3334,"yyyy-mm")&lt;&gt;TEXT(A3335,"yyyy-mm")),1,0)</f>
        <v/>
      </c>
      <c r="H3334">
        <f>IF(OR(H3333=1,G3334=1),1,0)</f>
        <v/>
      </c>
      <c r="I3334">
        <f>IF(H3333=0,1,SUMPRODUCT(J3333:N3333,B3334:F3334)+O3333*(1+0.00023125256064071564))</f>
        <v/>
      </c>
      <c r="J3334">
        <f>IF(G3334=1,0.2*R3334/B3334,J3333)</f>
        <v/>
      </c>
      <c r="K3334">
        <f>IF(G3334=1,0.2*R3334/C3334,K3333)</f>
        <v/>
      </c>
      <c r="L3334">
        <f>IF(G3334=1,0.2*R3334/D3334,L3333)</f>
        <v/>
      </c>
      <c r="M3334">
        <f>IF(G3334=1,0.2*R3334/E3334,M3333)</f>
        <v/>
      </c>
      <c r="N3334">
        <f>IF(G3334=1,0.2*R3334/F3334,N3333)</f>
        <v/>
      </c>
      <c r="O3334">
        <f>IF(G3334=1,R3334*(1-1.0),IF(H3333=0,1,O3333*(1+0.00023125256064071564)))</f>
        <v/>
      </c>
      <c r="P3334">
        <f>IF(G3334=1,IF(H3333=0,1,ABS(0.2-J3333*B3334/I3334)+ABS(0.2-K3333*C3334/I3334)+ABS(0.2-L3333*D3334/I3334)+ABS(0.2-M3333*E3334/I3334)+ABS(0.2-N3333*F3334/I3334)),0)</f>
        <v/>
      </c>
      <c r="Q3334">
        <f>P3334*0.0015</f>
        <v/>
      </c>
      <c r="R3334">
        <f>I3334*(1-Q3334)</f>
        <v/>
      </c>
      <c r="S3334">
        <f>R3334/R3333-1</f>
        <v/>
      </c>
      <c r="T3334">
        <f>MAX(T3333,R3334)</f>
        <v/>
      </c>
      <c r="U3334">
        <f>R3334/T3334-1</f>
        <v/>
      </c>
      <c r="V3334" t="n">
        <v>9.797651032394436</v>
      </c>
      <c r="W3334" s="5">
        <f>R3334-V3334</f>
        <v/>
      </c>
    </row>
    <row r="3335">
      <c r="A3335" s="3" t="n">
        <v>43347</v>
      </c>
      <c r="B3335">
        <f>Prices!B3335</f>
        <v/>
      </c>
      <c r="C3335">
        <f>Prices!C3335</f>
        <v/>
      </c>
      <c r="D3335">
        <f>Prices!D3335</f>
        <v/>
      </c>
      <c r="E3335">
        <f>Prices!E3335</f>
        <v/>
      </c>
      <c r="F3335">
        <f>Prices!F3335</f>
        <v/>
      </c>
      <c r="G3335">
        <f>IF(AND(3333&gt;=16,TEXT(A3335,"yyyy-mm")&lt;&gt;TEXT(A3336,"yyyy-mm")),1,0)</f>
        <v/>
      </c>
      <c r="H3335">
        <f>IF(OR(H3334=1,G3335=1),1,0)</f>
        <v/>
      </c>
      <c r="I3335">
        <f>IF(H3334=0,1,SUMPRODUCT(J3334:N3334,B3335:F3335)+O3334*(1+0.00023125256064071564))</f>
        <v/>
      </c>
      <c r="J3335">
        <f>IF(G3335=1,0.2*R3335/B3335,J3334)</f>
        <v/>
      </c>
      <c r="K3335">
        <f>IF(G3335=1,0.2*R3335/C3335,K3334)</f>
        <v/>
      </c>
      <c r="L3335">
        <f>IF(G3335=1,0.2*R3335/D3335,L3334)</f>
        <v/>
      </c>
      <c r="M3335">
        <f>IF(G3335=1,0.2*R3335/E3335,M3334)</f>
        <v/>
      </c>
      <c r="N3335">
        <f>IF(G3335=1,0.2*R3335/F3335,N3334)</f>
        <v/>
      </c>
      <c r="O3335">
        <f>IF(G3335=1,R3335*(1-1.0),IF(H3334=0,1,O3334*(1+0.00023125256064071564)))</f>
        <v/>
      </c>
      <c r="P3335">
        <f>IF(G3335=1,IF(H3334=0,1,ABS(0.2-J3334*B3335/I3335)+ABS(0.2-K3334*C3335/I3335)+ABS(0.2-L3334*D3335/I3335)+ABS(0.2-M3334*E3335/I3335)+ABS(0.2-N3334*F3335/I3335)),0)</f>
        <v/>
      </c>
      <c r="Q3335">
        <f>P3335*0.0015</f>
        <v/>
      </c>
      <c r="R3335">
        <f>I3335*(1-Q3335)</f>
        <v/>
      </c>
      <c r="S3335">
        <f>R3335/R3334-1</f>
        <v/>
      </c>
      <c r="T3335">
        <f>MAX(T3334,R3335)</f>
        <v/>
      </c>
      <c r="U3335">
        <f>R3335/T3335-1</f>
        <v/>
      </c>
      <c r="V3335" t="n">
        <v>9.627715886688247</v>
      </c>
      <c r="W3335" s="5">
        <f>R3335-V3335</f>
        <v/>
      </c>
    </row>
    <row r="3336">
      <c r="A3336" s="3" t="n">
        <v>43348</v>
      </c>
      <c r="B3336">
        <f>Prices!B3336</f>
        <v/>
      </c>
      <c r="C3336">
        <f>Prices!C3336</f>
        <v/>
      </c>
      <c r="D3336">
        <f>Prices!D3336</f>
        <v/>
      </c>
      <c r="E3336">
        <f>Prices!E3336</f>
        <v/>
      </c>
      <c r="F3336">
        <f>Prices!F3336</f>
        <v/>
      </c>
      <c r="G3336">
        <f>IF(AND(3334&gt;=16,TEXT(A3336,"yyyy-mm")&lt;&gt;TEXT(A3337,"yyyy-mm")),1,0)</f>
        <v/>
      </c>
      <c r="H3336">
        <f>IF(OR(H3335=1,G3336=1),1,0)</f>
        <v/>
      </c>
      <c r="I3336">
        <f>IF(H3335=0,1,SUMPRODUCT(J3335:N3335,B3336:F3336)+O3335*(1+0.00023125256064071564))</f>
        <v/>
      </c>
      <c r="J3336">
        <f>IF(G3336=1,0.2*R3336/B3336,J3335)</f>
        <v/>
      </c>
      <c r="K3336">
        <f>IF(G3336=1,0.2*R3336/C3336,K3335)</f>
        <v/>
      </c>
      <c r="L3336">
        <f>IF(G3336=1,0.2*R3336/D3336,L3335)</f>
        <v/>
      </c>
      <c r="M3336">
        <f>IF(G3336=1,0.2*R3336/E3336,M3335)</f>
        <v/>
      </c>
      <c r="N3336">
        <f>IF(G3336=1,0.2*R3336/F3336,N3335)</f>
        <v/>
      </c>
      <c r="O3336">
        <f>IF(G3336=1,R3336*(1-1.0),IF(H3335=0,1,O3335*(1+0.00023125256064071564)))</f>
        <v/>
      </c>
      <c r="P3336">
        <f>IF(G3336=1,IF(H3335=0,1,ABS(0.2-J3335*B3336/I3336)+ABS(0.2-K3335*C3336/I3336)+ABS(0.2-L3335*D3336/I3336)+ABS(0.2-M3335*E3336/I3336)+ABS(0.2-N3335*F3336/I3336)),0)</f>
        <v/>
      </c>
      <c r="Q3336">
        <f>P3336*0.0015</f>
        <v/>
      </c>
      <c r="R3336">
        <f>I3336*(1-Q3336)</f>
        <v/>
      </c>
      <c r="S3336">
        <f>R3336/R3335-1</f>
        <v/>
      </c>
      <c r="T3336">
        <f>MAX(T3335,R3336)</f>
        <v/>
      </c>
      <c r="U3336">
        <f>R3336/T3336-1</f>
        <v/>
      </c>
      <c r="V3336" t="n">
        <v>9.598740130185027</v>
      </c>
      <c r="W3336" s="5">
        <f>R3336-V3336</f>
        <v/>
      </c>
    </row>
    <row r="3337">
      <c r="A3337" s="3" t="n">
        <v>43349</v>
      </c>
      <c r="B3337">
        <f>Prices!B3337</f>
        <v/>
      </c>
      <c r="C3337">
        <f>Prices!C3337</f>
        <v/>
      </c>
      <c r="D3337">
        <f>Prices!D3337</f>
        <v/>
      </c>
      <c r="E3337">
        <f>Prices!E3337</f>
        <v/>
      </c>
      <c r="F3337">
        <f>Prices!F3337</f>
        <v/>
      </c>
      <c r="G3337">
        <f>IF(AND(3335&gt;=16,TEXT(A3337,"yyyy-mm")&lt;&gt;TEXT(A3338,"yyyy-mm")),1,0)</f>
        <v/>
      </c>
      <c r="H3337">
        <f>IF(OR(H3336=1,G3337=1),1,0)</f>
        <v/>
      </c>
      <c r="I3337">
        <f>IF(H3336=0,1,SUMPRODUCT(J3336:N3336,B3337:F3337)+O3336*(1+0.00023125256064071564))</f>
        <v/>
      </c>
      <c r="J3337">
        <f>IF(G3337=1,0.2*R3337/B3337,J3336)</f>
        <v/>
      </c>
      <c r="K3337">
        <f>IF(G3337=1,0.2*R3337/C3337,K3336)</f>
        <v/>
      </c>
      <c r="L3337">
        <f>IF(G3337=1,0.2*R3337/D3337,L3336)</f>
        <v/>
      </c>
      <c r="M3337">
        <f>IF(G3337=1,0.2*R3337/E3337,M3336)</f>
        <v/>
      </c>
      <c r="N3337">
        <f>IF(G3337=1,0.2*R3337/F3337,N3336)</f>
        <v/>
      </c>
      <c r="O3337">
        <f>IF(G3337=1,R3337*(1-1.0),IF(H3336=0,1,O3336*(1+0.00023125256064071564)))</f>
        <v/>
      </c>
      <c r="P3337">
        <f>IF(G3337=1,IF(H3336=0,1,ABS(0.2-J3336*B3337/I3337)+ABS(0.2-K3336*C3337/I3337)+ABS(0.2-L3336*D3337/I3337)+ABS(0.2-M3336*E3337/I3337)+ABS(0.2-N3336*F3337/I3337)),0)</f>
        <v/>
      </c>
      <c r="Q3337">
        <f>P3337*0.0015</f>
        <v/>
      </c>
      <c r="R3337">
        <f>I3337*(1-Q3337)</f>
        <v/>
      </c>
      <c r="S3337">
        <f>R3337/R3336-1</f>
        <v/>
      </c>
      <c r="T3337">
        <f>MAX(T3336,R3337)</f>
        <v/>
      </c>
      <c r="U3337">
        <f>R3337/T3337-1</f>
        <v/>
      </c>
      <c r="V3337" t="n">
        <v>9.649267935574811</v>
      </c>
      <c r="W3337" s="5">
        <f>R3337-V3337</f>
        <v/>
      </c>
    </row>
    <row r="3338">
      <c r="A3338" s="3" t="n">
        <v>43350</v>
      </c>
      <c r="B3338">
        <f>Prices!B3338</f>
        <v/>
      </c>
      <c r="C3338">
        <f>Prices!C3338</f>
        <v/>
      </c>
      <c r="D3338">
        <f>Prices!D3338</f>
        <v/>
      </c>
      <c r="E3338">
        <f>Prices!E3338</f>
        <v/>
      </c>
      <c r="F3338">
        <f>Prices!F3338</f>
        <v/>
      </c>
      <c r="G3338">
        <f>IF(AND(3336&gt;=16,TEXT(A3338,"yyyy-mm")&lt;&gt;TEXT(A3339,"yyyy-mm")),1,0)</f>
        <v/>
      </c>
      <c r="H3338">
        <f>IF(OR(H3337=1,G3338=1),1,0)</f>
        <v/>
      </c>
      <c r="I3338">
        <f>IF(H3337=0,1,SUMPRODUCT(J3337:N3337,B3338:F3338)+O3337*(1+0.00023125256064071564))</f>
        <v/>
      </c>
      <c r="J3338">
        <f>IF(G3338=1,0.2*R3338/B3338,J3337)</f>
        <v/>
      </c>
      <c r="K3338">
        <f>IF(G3338=1,0.2*R3338/C3338,K3337)</f>
        <v/>
      </c>
      <c r="L3338">
        <f>IF(G3338=1,0.2*R3338/D3338,L3337)</f>
        <v/>
      </c>
      <c r="M3338">
        <f>IF(G3338=1,0.2*R3338/E3338,M3337)</f>
        <v/>
      </c>
      <c r="N3338">
        <f>IF(G3338=1,0.2*R3338/F3338,N3337)</f>
        <v/>
      </c>
      <c r="O3338">
        <f>IF(G3338=1,R3338*(1-1.0),IF(H3337=0,1,O3337*(1+0.00023125256064071564)))</f>
        <v/>
      </c>
      <c r="P3338">
        <f>IF(G3338=1,IF(H3337=0,1,ABS(0.2-J3337*B3338/I3338)+ABS(0.2-K3337*C3338/I3338)+ABS(0.2-L3337*D3338/I3338)+ABS(0.2-M3337*E3338/I3338)+ABS(0.2-N3337*F3338/I3338)),0)</f>
        <v/>
      </c>
      <c r="Q3338">
        <f>P3338*0.0015</f>
        <v/>
      </c>
      <c r="R3338">
        <f>I3338*(1-Q3338)</f>
        <v/>
      </c>
      <c r="S3338">
        <f>R3338/R3337-1</f>
        <v/>
      </c>
      <c r="T3338">
        <f>MAX(T3337,R3338)</f>
        <v/>
      </c>
      <c r="U3338">
        <f>R3338/T3338-1</f>
        <v/>
      </c>
      <c r="V3338" t="n">
        <v>9.717477102618957</v>
      </c>
      <c r="W3338" s="5">
        <f>R3338-V3338</f>
        <v/>
      </c>
    </row>
    <row r="3339">
      <c r="A3339" s="3" t="n">
        <v>43353</v>
      </c>
      <c r="B3339">
        <f>Prices!B3339</f>
        <v/>
      </c>
      <c r="C3339">
        <f>Prices!C3339</f>
        <v/>
      </c>
      <c r="D3339">
        <f>Prices!D3339</f>
        <v/>
      </c>
      <c r="E3339">
        <f>Prices!E3339</f>
        <v/>
      </c>
      <c r="F3339">
        <f>Prices!F3339</f>
        <v/>
      </c>
      <c r="G3339">
        <f>IF(AND(3337&gt;=16,TEXT(A3339,"yyyy-mm")&lt;&gt;TEXT(A3340,"yyyy-mm")),1,0)</f>
        <v/>
      </c>
      <c r="H3339">
        <f>IF(OR(H3338=1,G3339=1),1,0)</f>
        <v/>
      </c>
      <c r="I3339">
        <f>IF(H3338=0,1,SUMPRODUCT(J3338:N3338,B3339:F3339)+O3338*(1+0.00023125256064071564))</f>
        <v/>
      </c>
      <c r="J3339">
        <f>IF(G3339=1,0.2*R3339/B3339,J3338)</f>
        <v/>
      </c>
      <c r="K3339">
        <f>IF(G3339=1,0.2*R3339/C3339,K3338)</f>
        <v/>
      </c>
      <c r="L3339">
        <f>IF(G3339=1,0.2*R3339/D3339,L3338)</f>
        <v/>
      </c>
      <c r="M3339">
        <f>IF(G3339=1,0.2*R3339/E3339,M3338)</f>
        <v/>
      </c>
      <c r="N3339">
        <f>IF(G3339=1,0.2*R3339/F3339,N3338)</f>
        <v/>
      </c>
      <c r="O3339">
        <f>IF(G3339=1,R3339*(1-1.0),IF(H3338=0,1,O3338*(1+0.00023125256064071564)))</f>
        <v/>
      </c>
      <c r="P3339">
        <f>IF(G3339=1,IF(H3338=0,1,ABS(0.2-J3338*B3339/I3339)+ABS(0.2-K3338*C3339/I3339)+ABS(0.2-L3338*D3339/I3339)+ABS(0.2-M3338*E3339/I3339)+ABS(0.2-N3338*F3339/I3339)),0)</f>
        <v/>
      </c>
      <c r="Q3339">
        <f>P3339*0.0015</f>
        <v/>
      </c>
      <c r="R3339">
        <f>I3339*(1-Q3339)</f>
        <v/>
      </c>
      <c r="S3339">
        <f>R3339/R3338-1</f>
        <v/>
      </c>
      <c r="T3339">
        <f>MAX(T3338,R3339)</f>
        <v/>
      </c>
      <c r="U3339">
        <f>R3339/T3339-1</f>
        <v/>
      </c>
      <c r="V3339" t="n">
        <v>9.578472078594146</v>
      </c>
      <c r="W3339" s="5">
        <f>R3339-V3339</f>
        <v/>
      </c>
    </row>
    <row r="3340">
      <c r="A3340" s="3" t="n">
        <v>43354</v>
      </c>
      <c r="B3340">
        <f>Prices!B3340</f>
        <v/>
      </c>
      <c r="C3340">
        <f>Prices!C3340</f>
        <v/>
      </c>
      <c r="D3340">
        <f>Prices!D3340</f>
        <v/>
      </c>
      <c r="E3340">
        <f>Prices!E3340</f>
        <v/>
      </c>
      <c r="F3340">
        <f>Prices!F3340</f>
        <v/>
      </c>
      <c r="G3340">
        <f>IF(AND(3338&gt;=16,TEXT(A3340,"yyyy-mm")&lt;&gt;TEXT(A3341,"yyyy-mm")),1,0)</f>
        <v/>
      </c>
      <c r="H3340">
        <f>IF(OR(H3339=1,G3340=1),1,0)</f>
        <v/>
      </c>
      <c r="I3340">
        <f>IF(H3339=0,1,SUMPRODUCT(J3339:N3339,B3340:F3340)+O3339*(1+0.00023125256064071564))</f>
        <v/>
      </c>
      <c r="J3340">
        <f>IF(G3340=1,0.2*R3340/B3340,J3339)</f>
        <v/>
      </c>
      <c r="K3340">
        <f>IF(G3340=1,0.2*R3340/C3340,K3339)</f>
        <v/>
      </c>
      <c r="L3340">
        <f>IF(G3340=1,0.2*R3340/D3340,L3339)</f>
        <v/>
      </c>
      <c r="M3340">
        <f>IF(G3340=1,0.2*R3340/E3340,M3339)</f>
        <v/>
      </c>
      <c r="N3340">
        <f>IF(G3340=1,0.2*R3340/F3340,N3339)</f>
        <v/>
      </c>
      <c r="O3340">
        <f>IF(G3340=1,R3340*(1-1.0),IF(H3339=0,1,O3339*(1+0.00023125256064071564)))</f>
        <v/>
      </c>
      <c r="P3340">
        <f>IF(G3340=1,IF(H3339=0,1,ABS(0.2-J3339*B3340/I3340)+ABS(0.2-K3339*C3340/I3340)+ABS(0.2-L3339*D3340/I3340)+ABS(0.2-M3339*E3340/I3340)+ABS(0.2-N3339*F3340/I3340)),0)</f>
        <v/>
      </c>
      <c r="Q3340">
        <f>P3340*0.0015</f>
        <v/>
      </c>
      <c r="R3340">
        <f>I3340*(1-Q3340)</f>
        <v/>
      </c>
      <c r="S3340">
        <f>R3340/R3339-1</f>
        <v/>
      </c>
      <c r="T3340">
        <f>MAX(T3339,R3340)</f>
        <v/>
      </c>
      <c r="U3340">
        <f>R3340/T3340-1</f>
        <v/>
      </c>
      <c r="V3340" t="n">
        <v>9.447038639016606</v>
      </c>
      <c r="W3340" s="5">
        <f>R3340-V3340</f>
        <v/>
      </c>
    </row>
    <row r="3341">
      <c r="A3341" s="3" t="n">
        <v>43355</v>
      </c>
      <c r="B3341">
        <f>Prices!B3341</f>
        <v/>
      </c>
      <c r="C3341">
        <f>Prices!C3341</f>
        <v/>
      </c>
      <c r="D3341">
        <f>Prices!D3341</f>
        <v/>
      </c>
      <c r="E3341">
        <f>Prices!E3341</f>
        <v/>
      </c>
      <c r="F3341">
        <f>Prices!F3341</f>
        <v/>
      </c>
      <c r="G3341">
        <f>IF(AND(3339&gt;=16,TEXT(A3341,"yyyy-mm")&lt;&gt;TEXT(A3342,"yyyy-mm")),1,0)</f>
        <v/>
      </c>
      <c r="H3341">
        <f>IF(OR(H3340=1,G3341=1),1,0)</f>
        <v/>
      </c>
      <c r="I3341">
        <f>IF(H3340=0,1,SUMPRODUCT(J3340:N3340,B3341:F3341)+O3340*(1+0.00023125256064071564))</f>
        <v/>
      </c>
      <c r="J3341">
        <f>IF(G3341=1,0.2*R3341/B3341,J3340)</f>
        <v/>
      </c>
      <c r="K3341">
        <f>IF(G3341=1,0.2*R3341/C3341,K3340)</f>
        <v/>
      </c>
      <c r="L3341">
        <f>IF(G3341=1,0.2*R3341/D3341,L3340)</f>
        <v/>
      </c>
      <c r="M3341">
        <f>IF(G3341=1,0.2*R3341/E3341,M3340)</f>
        <v/>
      </c>
      <c r="N3341">
        <f>IF(G3341=1,0.2*R3341/F3341,N3340)</f>
        <v/>
      </c>
      <c r="O3341">
        <f>IF(G3341=1,R3341*(1-1.0),IF(H3340=0,1,O3340*(1+0.00023125256064071564)))</f>
        <v/>
      </c>
      <c r="P3341">
        <f>IF(G3341=1,IF(H3340=0,1,ABS(0.2-J3340*B3341/I3341)+ABS(0.2-K3340*C3341/I3341)+ABS(0.2-L3340*D3341/I3341)+ABS(0.2-M3340*E3341/I3341)+ABS(0.2-N3340*F3341/I3341)),0)</f>
        <v/>
      </c>
      <c r="Q3341">
        <f>P3341*0.0015</f>
        <v/>
      </c>
      <c r="R3341">
        <f>I3341*(1-Q3341)</f>
        <v/>
      </c>
      <c r="S3341">
        <f>R3341/R3340-1</f>
        <v/>
      </c>
      <c r="T3341">
        <f>MAX(T3340,R3341)</f>
        <v/>
      </c>
      <c r="U3341">
        <f>R3341/T3341-1</f>
        <v/>
      </c>
      <c r="V3341" t="n">
        <v>9.481054130091445</v>
      </c>
      <c r="W3341" s="5">
        <f>R3341-V3341</f>
        <v/>
      </c>
    </row>
    <row r="3342">
      <c r="A3342" s="3" t="n">
        <v>43357</v>
      </c>
      <c r="B3342">
        <f>Prices!B3342</f>
        <v/>
      </c>
      <c r="C3342">
        <f>Prices!C3342</f>
        <v/>
      </c>
      <c r="D3342">
        <f>Prices!D3342</f>
        <v/>
      </c>
      <c r="E3342">
        <f>Prices!E3342</f>
        <v/>
      </c>
      <c r="F3342">
        <f>Prices!F3342</f>
        <v/>
      </c>
      <c r="G3342">
        <f>IF(AND(3340&gt;=16,TEXT(A3342,"yyyy-mm")&lt;&gt;TEXT(A3343,"yyyy-mm")),1,0)</f>
        <v/>
      </c>
      <c r="H3342">
        <f>IF(OR(H3341=1,G3342=1),1,0)</f>
        <v/>
      </c>
      <c r="I3342">
        <f>IF(H3341=0,1,SUMPRODUCT(J3341:N3341,B3342:F3342)+O3341*(1+0.00023125256064071564))</f>
        <v/>
      </c>
      <c r="J3342">
        <f>IF(G3342=1,0.2*R3342/B3342,J3341)</f>
        <v/>
      </c>
      <c r="K3342">
        <f>IF(G3342=1,0.2*R3342/C3342,K3341)</f>
        <v/>
      </c>
      <c r="L3342">
        <f>IF(G3342=1,0.2*R3342/D3342,L3341)</f>
        <v/>
      </c>
      <c r="M3342">
        <f>IF(G3342=1,0.2*R3342/E3342,M3341)</f>
        <v/>
      </c>
      <c r="N3342">
        <f>IF(G3342=1,0.2*R3342/F3342,N3341)</f>
        <v/>
      </c>
      <c r="O3342">
        <f>IF(G3342=1,R3342*(1-1.0),IF(H3341=0,1,O3341*(1+0.00023125256064071564)))</f>
        <v/>
      </c>
      <c r="P3342">
        <f>IF(G3342=1,IF(H3341=0,1,ABS(0.2-J3341*B3342/I3342)+ABS(0.2-K3341*C3342/I3342)+ABS(0.2-L3341*D3342/I3342)+ABS(0.2-M3341*E3342/I3342)+ABS(0.2-N3341*F3342/I3342)),0)</f>
        <v/>
      </c>
      <c r="Q3342">
        <f>P3342*0.0015</f>
        <v/>
      </c>
      <c r="R3342">
        <f>I3342*(1-Q3342)</f>
        <v/>
      </c>
      <c r="S3342">
        <f>R3342/R3341-1</f>
        <v/>
      </c>
      <c r="T3342">
        <f>MAX(T3341,R3342)</f>
        <v/>
      </c>
      <c r="U3342">
        <f>R3342/T3342-1</f>
        <v/>
      </c>
      <c r="V3342" t="n">
        <v>9.620110636190343</v>
      </c>
      <c r="W3342" s="5">
        <f>R3342-V3342</f>
        <v/>
      </c>
    </row>
    <row r="3343">
      <c r="A3343" s="3" t="n">
        <v>43360</v>
      </c>
      <c r="B3343">
        <f>Prices!B3343</f>
        <v/>
      </c>
      <c r="C3343">
        <f>Prices!C3343</f>
        <v/>
      </c>
      <c r="D3343">
        <f>Prices!D3343</f>
        <v/>
      </c>
      <c r="E3343">
        <f>Prices!E3343</f>
        <v/>
      </c>
      <c r="F3343">
        <f>Prices!F3343</f>
        <v/>
      </c>
      <c r="G3343">
        <f>IF(AND(3341&gt;=16,TEXT(A3343,"yyyy-mm")&lt;&gt;TEXT(A3344,"yyyy-mm")),1,0)</f>
        <v/>
      </c>
      <c r="H3343">
        <f>IF(OR(H3342=1,G3343=1),1,0)</f>
        <v/>
      </c>
      <c r="I3343">
        <f>IF(H3342=0,1,SUMPRODUCT(J3342:N3342,B3343:F3343)+O3342*(1+0.00023125256064071564))</f>
        <v/>
      </c>
      <c r="J3343">
        <f>IF(G3343=1,0.2*R3343/B3343,J3342)</f>
        <v/>
      </c>
      <c r="K3343">
        <f>IF(G3343=1,0.2*R3343/C3343,K3342)</f>
        <v/>
      </c>
      <c r="L3343">
        <f>IF(G3343=1,0.2*R3343/D3343,L3342)</f>
        <v/>
      </c>
      <c r="M3343">
        <f>IF(G3343=1,0.2*R3343/E3343,M3342)</f>
        <v/>
      </c>
      <c r="N3343">
        <f>IF(G3343=1,0.2*R3343/F3343,N3342)</f>
        <v/>
      </c>
      <c r="O3343">
        <f>IF(G3343=1,R3343*(1-1.0),IF(H3342=0,1,O3342*(1+0.00023125256064071564)))</f>
        <v/>
      </c>
      <c r="P3343">
        <f>IF(G3343=1,IF(H3342=0,1,ABS(0.2-J3342*B3343/I3343)+ABS(0.2-K3342*C3343/I3343)+ABS(0.2-L3342*D3343/I3343)+ABS(0.2-M3342*E3343/I3343)+ABS(0.2-N3342*F3343/I3343)),0)</f>
        <v/>
      </c>
      <c r="Q3343">
        <f>P3343*0.0015</f>
        <v/>
      </c>
      <c r="R3343">
        <f>I3343*(1-Q3343)</f>
        <v/>
      </c>
      <c r="S3343">
        <f>R3343/R3342-1</f>
        <v/>
      </c>
      <c r="T3343">
        <f>MAX(T3342,R3343)</f>
        <v/>
      </c>
      <c r="U3343">
        <f>R3343/T3343-1</f>
        <v/>
      </c>
      <c r="V3343" t="n">
        <v>9.581305156568845</v>
      </c>
      <c r="W3343" s="5">
        <f>R3343-V3343</f>
        <v/>
      </c>
    </row>
    <row r="3344">
      <c r="A3344" s="3" t="n">
        <v>43361</v>
      </c>
      <c r="B3344">
        <f>Prices!B3344</f>
        <v/>
      </c>
      <c r="C3344">
        <f>Prices!C3344</f>
        <v/>
      </c>
      <c r="D3344">
        <f>Prices!D3344</f>
        <v/>
      </c>
      <c r="E3344">
        <f>Prices!E3344</f>
        <v/>
      </c>
      <c r="F3344">
        <f>Prices!F3344</f>
        <v/>
      </c>
      <c r="G3344">
        <f>IF(AND(3342&gt;=16,TEXT(A3344,"yyyy-mm")&lt;&gt;TEXT(A3345,"yyyy-mm")),1,0)</f>
        <v/>
      </c>
      <c r="H3344">
        <f>IF(OR(H3343=1,G3344=1),1,0)</f>
        <v/>
      </c>
      <c r="I3344">
        <f>IF(H3343=0,1,SUMPRODUCT(J3343:N3343,B3344:F3344)+O3343*(1+0.00023125256064071564))</f>
        <v/>
      </c>
      <c r="J3344">
        <f>IF(G3344=1,0.2*R3344/B3344,J3343)</f>
        <v/>
      </c>
      <c r="K3344">
        <f>IF(G3344=1,0.2*R3344/C3344,K3343)</f>
        <v/>
      </c>
      <c r="L3344">
        <f>IF(G3344=1,0.2*R3344/D3344,L3343)</f>
        <v/>
      </c>
      <c r="M3344">
        <f>IF(G3344=1,0.2*R3344/E3344,M3343)</f>
        <v/>
      </c>
      <c r="N3344">
        <f>IF(G3344=1,0.2*R3344/F3344,N3343)</f>
        <v/>
      </c>
      <c r="O3344">
        <f>IF(G3344=1,R3344*(1-1.0),IF(H3343=0,1,O3343*(1+0.00023125256064071564)))</f>
        <v/>
      </c>
      <c r="P3344">
        <f>IF(G3344=1,IF(H3343=0,1,ABS(0.2-J3343*B3344/I3344)+ABS(0.2-K3343*C3344/I3344)+ABS(0.2-L3343*D3344/I3344)+ABS(0.2-M3343*E3344/I3344)+ABS(0.2-N3343*F3344/I3344)),0)</f>
        <v/>
      </c>
      <c r="Q3344">
        <f>P3344*0.0015</f>
        <v/>
      </c>
      <c r="R3344">
        <f>I3344*(1-Q3344)</f>
        <v/>
      </c>
      <c r="S3344">
        <f>R3344/R3343-1</f>
        <v/>
      </c>
      <c r="T3344">
        <f>MAX(T3343,R3344)</f>
        <v/>
      </c>
      <c r="U3344">
        <f>R3344/T3344-1</f>
        <v/>
      </c>
      <c r="V3344" t="n">
        <v>9.482565469247834</v>
      </c>
      <c r="W3344" s="5">
        <f>R3344-V3344</f>
        <v/>
      </c>
    </row>
    <row r="3345">
      <c r="A3345" s="3" t="n">
        <v>43362</v>
      </c>
      <c r="B3345">
        <f>Prices!B3345</f>
        <v/>
      </c>
      <c r="C3345">
        <f>Prices!C3345</f>
        <v/>
      </c>
      <c r="D3345">
        <f>Prices!D3345</f>
        <v/>
      </c>
      <c r="E3345">
        <f>Prices!E3345</f>
        <v/>
      </c>
      <c r="F3345">
        <f>Prices!F3345</f>
        <v/>
      </c>
      <c r="G3345">
        <f>IF(AND(3343&gt;=16,TEXT(A3345,"yyyy-mm")&lt;&gt;TEXT(A3346,"yyyy-mm")),1,0)</f>
        <v/>
      </c>
      <c r="H3345">
        <f>IF(OR(H3344=1,G3345=1),1,0)</f>
        <v/>
      </c>
      <c r="I3345">
        <f>IF(H3344=0,1,SUMPRODUCT(J3344:N3344,B3345:F3345)+O3344*(1+0.00023125256064071564))</f>
        <v/>
      </c>
      <c r="J3345">
        <f>IF(G3345=1,0.2*R3345/B3345,J3344)</f>
        <v/>
      </c>
      <c r="K3345">
        <f>IF(G3345=1,0.2*R3345/C3345,K3344)</f>
        <v/>
      </c>
      <c r="L3345">
        <f>IF(G3345=1,0.2*R3345/D3345,L3344)</f>
        <v/>
      </c>
      <c r="M3345">
        <f>IF(G3345=1,0.2*R3345/E3345,M3344)</f>
        <v/>
      </c>
      <c r="N3345">
        <f>IF(G3345=1,0.2*R3345/F3345,N3344)</f>
        <v/>
      </c>
      <c r="O3345">
        <f>IF(G3345=1,R3345*(1-1.0),IF(H3344=0,1,O3344*(1+0.00023125256064071564)))</f>
        <v/>
      </c>
      <c r="P3345">
        <f>IF(G3345=1,IF(H3344=0,1,ABS(0.2-J3344*B3345/I3345)+ABS(0.2-K3344*C3345/I3345)+ABS(0.2-L3344*D3345/I3345)+ABS(0.2-M3344*E3345/I3345)+ABS(0.2-N3344*F3345/I3345)),0)</f>
        <v/>
      </c>
      <c r="Q3345">
        <f>P3345*0.0015</f>
        <v/>
      </c>
      <c r="R3345">
        <f>I3345*(1-Q3345)</f>
        <v/>
      </c>
      <c r="S3345">
        <f>R3345/R3344-1</f>
        <v/>
      </c>
      <c r="T3345">
        <f>MAX(T3344,R3345)</f>
        <v/>
      </c>
      <c r="U3345">
        <f>R3345/T3345-1</f>
        <v/>
      </c>
      <c r="V3345" t="n">
        <v>9.432997904262807</v>
      </c>
      <c r="W3345" s="5">
        <f>R3345-V3345</f>
        <v/>
      </c>
    </row>
    <row r="3346">
      <c r="A3346" s="3" t="n">
        <v>43364</v>
      </c>
      <c r="B3346">
        <f>Prices!B3346</f>
        <v/>
      </c>
      <c r="C3346">
        <f>Prices!C3346</f>
        <v/>
      </c>
      <c r="D3346">
        <f>Prices!D3346</f>
        <v/>
      </c>
      <c r="E3346">
        <f>Prices!E3346</f>
        <v/>
      </c>
      <c r="F3346">
        <f>Prices!F3346</f>
        <v/>
      </c>
      <c r="G3346">
        <f>IF(AND(3344&gt;=16,TEXT(A3346,"yyyy-mm")&lt;&gt;TEXT(A3347,"yyyy-mm")),1,0)</f>
        <v/>
      </c>
      <c r="H3346">
        <f>IF(OR(H3345=1,G3346=1),1,0)</f>
        <v/>
      </c>
      <c r="I3346">
        <f>IF(H3345=0,1,SUMPRODUCT(J3345:N3345,B3346:F3346)+O3345*(1+0.00023125256064071564))</f>
        <v/>
      </c>
      <c r="J3346">
        <f>IF(G3346=1,0.2*R3346/B3346,J3345)</f>
        <v/>
      </c>
      <c r="K3346">
        <f>IF(G3346=1,0.2*R3346/C3346,K3345)</f>
        <v/>
      </c>
      <c r="L3346">
        <f>IF(G3346=1,0.2*R3346/D3346,L3345)</f>
        <v/>
      </c>
      <c r="M3346">
        <f>IF(G3346=1,0.2*R3346/E3346,M3345)</f>
        <v/>
      </c>
      <c r="N3346">
        <f>IF(G3346=1,0.2*R3346/F3346,N3345)</f>
        <v/>
      </c>
      <c r="O3346">
        <f>IF(G3346=1,R3346*(1-1.0),IF(H3345=0,1,O3345*(1+0.00023125256064071564)))</f>
        <v/>
      </c>
      <c r="P3346">
        <f>IF(G3346=1,IF(H3345=0,1,ABS(0.2-J3345*B3346/I3346)+ABS(0.2-K3345*C3346/I3346)+ABS(0.2-L3345*D3346/I3346)+ABS(0.2-M3345*E3346/I3346)+ABS(0.2-N3345*F3346/I3346)),0)</f>
        <v/>
      </c>
      <c r="Q3346">
        <f>P3346*0.0015</f>
        <v/>
      </c>
      <c r="R3346">
        <f>I3346*(1-Q3346)</f>
        <v/>
      </c>
      <c r="S3346">
        <f>R3346/R3345-1</f>
        <v/>
      </c>
      <c r="T3346">
        <f>MAX(T3345,R3346)</f>
        <v/>
      </c>
      <c r="U3346">
        <f>R3346/T3346-1</f>
        <v/>
      </c>
      <c r="V3346" t="n">
        <v>9.270621115829398</v>
      </c>
      <c r="W3346" s="5">
        <f>R3346-V3346</f>
        <v/>
      </c>
    </row>
    <row r="3347">
      <c r="A3347" s="3" t="n">
        <v>43367</v>
      </c>
      <c r="B3347">
        <f>Prices!B3347</f>
        <v/>
      </c>
      <c r="C3347">
        <f>Prices!C3347</f>
        <v/>
      </c>
      <c r="D3347">
        <f>Prices!D3347</f>
        <v/>
      </c>
      <c r="E3347">
        <f>Prices!E3347</f>
        <v/>
      </c>
      <c r="F3347">
        <f>Prices!F3347</f>
        <v/>
      </c>
      <c r="G3347">
        <f>IF(AND(3345&gt;=16,TEXT(A3347,"yyyy-mm")&lt;&gt;TEXT(A3348,"yyyy-mm")),1,0)</f>
        <v/>
      </c>
      <c r="H3347">
        <f>IF(OR(H3346=1,G3347=1),1,0)</f>
        <v/>
      </c>
      <c r="I3347">
        <f>IF(H3346=0,1,SUMPRODUCT(J3346:N3346,B3347:F3347)+O3346*(1+0.00023125256064071564))</f>
        <v/>
      </c>
      <c r="J3347">
        <f>IF(G3347=1,0.2*R3347/B3347,J3346)</f>
        <v/>
      </c>
      <c r="K3347">
        <f>IF(G3347=1,0.2*R3347/C3347,K3346)</f>
        <v/>
      </c>
      <c r="L3347">
        <f>IF(G3347=1,0.2*R3347/D3347,L3346)</f>
        <v/>
      </c>
      <c r="M3347">
        <f>IF(G3347=1,0.2*R3347/E3347,M3346)</f>
        <v/>
      </c>
      <c r="N3347">
        <f>IF(G3347=1,0.2*R3347/F3347,N3346)</f>
        <v/>
      </c>
      <c r="O3347">
        <f>IF(G3347=1,R3347*(1-1.0),IF(H3346=0,1,O3346*(1+0.00023125256064071564)))</f>
        <v/>
      </c>
      <c r="P3347">
        <f>IF(G3347=1,IF(H3346=0,1,ABS(0.2-J3346*B3347/I3347)+ABS(0.2-K3346*C3347/I3347)+ABS(0.2-L3346*D3347/I3347)+ABS(0.2-M3346*E3347/I3347)+ABS(0.2-N3346*F3347/I3347)),0)</f>
        <v/>
      </c>
      <c r="Q3347">
        <f>P3347*0.0015</f>
        <v/>
      </c>
      <c r="R3347">
        <f>I3347*(1-Q3347)</f>
        <v/>
      </c>
      <c r="S3347">
        <f>R3347/R3346-1</f>
        <v/>
      </c>
      <c r="T3347">
        <f>MAX(T3346,R3347)</f>
        <v/>
      </c>
      <c r="U3347">
        <f>R3347/T3347-1</f>
        <v/>
      </c>
      <c r="V3347" t="n">
        <v>9.074289631568742</v>
      </c>
      <c r="W3347" s="5">
        <f>R3347-V3347</f>
        <v/>
      </c>
    </row>
    <row r="3348">
      <c r="A3348" s="3" t="n">
        <v>43368</v>
      </c>
      <c r="B3348">
        <f>Prices!B3348</f>
        <v/>
      </c>
      <c r="C3348">
        <f>Prices!C3348</f>
        <v/>
      </c>
      <c r="D3348">
        <f>Prices!D3348</f>
        <v/>
      </c>
      <c r="E3348">
        <f>Prices!E3348</f>
        <v/>
      </c>
      <c r="F3348">
        <f>Prices!F3348</f>
        <v/>
      </c>
      <c r="G3348">
        <f>IF(AND(3346&gt;=16,TEXT(A3348,"yyyy-mm")&lt;&gt;TEXT(A3349,"yyyy-mm")),1,0)</f>
        <v/>
      </c>
      <c r="H3348">
        <f>IF(OR(H3347=1,G3348=1),1,0)</f>
        <v/>
      </c>
      <c r="I3348">
        <f>IF(H3347=0,1,SUMPRODUCT(J3347:N3347,B3348:F3348)+O3347*(1+0.00023125256064071564))</f>
        <v/>
      </c>
      <c r="J3348">
        <f>IF(G3348=1,0.2*R3348/B3348,J3347)</f>
        <v/>
      </c>
      <c r="K3348">
        <f>IF(G3348=1,0.2*R3348/C3348,K3347)</f>
        <v/>
      </c>
      <c r="L3348">
        <f>IF(G3348=1,0.2*R3348/D3348,L3347)</f>
        <v/>
      </c>
      <c r="M3348">
        <f>IF(G3348=1,0.2*R3348/E3348,M3347)</f>
        <v/>
      </c>
      <c r="N3348">
        <f>IF(G3348=1,0.2*R3348/F3348,N3347)</f>
        <v/>
      </c>
      <c r="O3348">
        <f>IF(G3348=1,R3348*(1-1.0),IF(H3347=0,1,O3347*(1+0.00023125256064071564)))</f>
        <v/>
      </c>
      <c r="P3348">
        <f>IF(G3348=1,IF(H3347=0,1,ABS(0.2-J3347*B3348/I3348)+ABS(0.2-K3347*C3348/I3348)+ABS(0.2-L3347*D3348/I3348)+ABS(0.2-M3347*E3348/I3348)+ABS(0.2-N3347*F3348/I3348)),0)</f>
        <v/>
      </c>
      <c r="Q3348">
        <f>P3348*0.0015</f>
        <v/>
      </c>
      <c r="R3348">
        <f>I3348*(1-Q3348)</f>
        <v/>
      </c>
      <c r="S3348">
        <f>R3348/R3347-1</f>
        <v/>
      </c>
      <c r="T3348">
        <f>MAX(T3347,R3348)</f>
        <v/>
      </c>
      <c r="U3348">
        <f>R3348/T3348-1</f>
        <v/>
      </c>
      <c r="V3348" t="n">
        <v>9.052807823425717</v>
      </c>
      <c r="W3348" s="5">
        <f>R3348-V3348</f>
        <v/>
      </c>
    </row>
    <row r="3349">
      <c r="A3349" s="3" t="n">
        <v>43369</v>
      </c>
      <c r="B3349">
        <f>Prices!B3349</f>
        <v/>
      </c>
      <c r="C3349">
        <f>Prices!C3349</f>
        <v/>
      </c>
      <c r="D3349">
        <f>Prices!D3349</f>
        <v/>
      </c>
      <c r="E3349">
        <f>Prices!E3349</f>
        <v/>
      </c>
      <c r="F3349">
        <f>Prices!F3349</f>
        <v/>
      </c>
      <c r="G3349">
        <f>IF(AND(3347&gt;=16,TEXT(A3349,"yyyy-mm")&lt;&gt;TEXT(A3350,"yyyy-mm")),1,0)</f>
        <v/>
      </c>
      <c r="H3349">
        <f>IF(OR(H3348=1,G3349=1),1,0)</f>
        <v/>
      </c>
      <c r="I3349">
        <f>IF(H3348=0,1,SUMPRODUCT(J3348:N3348,B3349:F3349)+O3348*(1+0.00023125256064071564))</f>
        <v/>
      </c>
      <c r="J3349">
        <f>IF(G3349=1,0.2*R3349/B3349,J3348)</f>
        <v/>
      </c>
      <c r="K3349">
        <f>IF(G3349=1,0.2*R3349/C3349,K3348)</f>
        <v/>
      </c>
      <c r="L3349">
        <f>IF(G3349=1,0.2*R3349/D3349,L3348)</f>
        <v/>
      </c>
      <c r="M3349">
        <f>IF(G3349=1,0.2*R3349/E3349,M3348)</f>
        <v/>
      </c>
      <c r="N3349">
        <f>IF(G3349=1,0.2*R3349/F3349,N3348)</f>
        <v/>
      </c>
      <c r="O3349">
        <f>IF(G3349=1,R3349*(1-1.0),IF(H3348=0,1,O3348*(1+0.00023125256064071564)))</f>
        <v/>
      </c>
      <c r="P3349">
        <f>IF(G3349=1,IF(H3348=0,1,ABS(0.2-J3348*B3349/I3349)+ABS(0.2-K3348*C3349/I3349)+ABS(0.2-L3348*D3349/I3349)+ABS(0.2-M3348*E3349/I3349)+ABS(0.2-N3348*F3349/I3349)),0)</f>
        <v/>
      </c>
      <c r="Q3349">
        <f>P3349*0.0015</f>
        <v/>
      </c>
      <c r="R3349">
        <f>I3349*(1-Q3349)</f>
        <v/>
      </c>
      <c r="S3349">
        <f>R3349/R3348-1</f>
        <v/>
      </c>
      <c r="T3349">
        <f>MAX(T3348,R3349)</f>
        <v/>
      </c>
      <c r="U3349">
        <f>R3349/T3349-1</f>
        <v/>
      </c>
      <c r="V3349" t="n">
        <v>9.026175922969424</v>
      </c>
      <c r="W3349" s="5">
        <f>R3349-V3349</f>
        <v/>
      </c>
    </row>
    <row r="3350">
      <c r="A3350" s="3" t="n">
        <v>43370</v>
      </c>
      <c r="B3350">
        <f>Prices!B3350</f>
        <v/>
      </c>
      <c r="C3350">
        <f>Prices!C3350</f>
        <v/>
      </c>
      <c r="D3350">
        <f>Prices!D3350</f>
        <v/>
      </c>
      <c r="E3350">
        <f>Prices!E3350</f>
        <v/>
      </c>
      <c r="F3350">
        <f>Prices!F3350</f>
        <v/>
      </c>
      <c r="G3350">
        <f>IF(AND(3348&gt;=16,TEXT(A3350,"yyyy-mm")&lt;&gt;TEXT(A3351,"yyyy-mm")),1,0)</f>
        <v/>
      </c>
      <c r="H3350">
        <f>IF(OR(H3349=1,G3350=1),1,0)</f>
        <v/>
      </c>
      <c r="I3350">
        <f>IF(H3349=0,1,SUMPRODUCT(J3349:N3349,B3350:F3350)+O3349*(1+0.00023125256064071564))</f>
        <v/>
      </c>
      <c r="J3350">
        <f>IF(G3350=1,0.2*R3350/B3350,J3349)</f>
        <v/>
      </c>
      <c r="K3350">
        <f>IF(G3350=1,0.2*R3350/C3350,K3349)</f>
        <v/>
      </c>
      <c r="L3350">
        <f>IF(G3350=1,0.2*R3350/D3350,L3349)</f>
        <v/>
      </c>
      <c r="M3350">
        <f>IF(G3350=1,0.2*R3350/E3350,M3349)</f>
        <v/>
      </c>
      <c r="N3350">
        <f>IF(G3350=1,0.2*R3350/F3350,N3349)</f>
        <v/>
      </c>
      <c r="O3350">
        <f>IF(G3350=1,R3350*(1-1.0),IF(H3349=0,1,O3349*(1+0.00023125256064071564)))</f>
        <v/>
      </c>
      <c r="P3350">
        <f>IF(G3350=1,IF(H3349=0,1,ABS(0.2-J3349*B3350/I3350)+ABS(0.2-K3349*C3350/I3350)+ABS(0.2-L3349*D3350/I3350)+ABS(0.2-M3349*E3350/I3350)+ABS(0.2-N3349*F3350/I3350)),0)</f>
        <v/>
      </c>
      <c r="Q3350">
        <f>P3350*0.0015</f>
        <v/>
      </c>
      <c r="R3350">
        <f>I3350*(1-Q3350)</f>
        <v/>
      </c>
      <c r="S3350">
        <f>R3350/R3349-1</f>
        <v/>
      </c>
      <c r="T3350">
        <f>MAX(T3349,R3350)</f>
        <v/>
      </c>
      <c r="U3350">
        <f>R3350/T3350-1</f>
        <v/>
      </c>
      <c r="V3350" t="n">
        <v>8.895419897514238</v>
      </c>
      <c r="W3350" s="5">
        <f>R3350-V3350</f>
        <v/>
      </c>
    </row>
    <row r="3351">
      <c r="A3351" s="3" t="n">
        <v>43371</v>
      </c>
      <c r="B3351">
        <f>Prices!B3351</f>
        <v/>
      </c>
      <c r="C3351">
        <f>Prices!C3351</f>
        <v/>
      </c>
      <c r="D3351">
        <f>Prices!D3351</f>
        <v/>
      </c>
      <c r="E3351">
        <f>Prices!E3351</f>
        <v/>
      </c>
      <c r="F3351">
        <f>Prices!F3351</f>
        <v/>
      </c>
      <c r="G3351">
        <f>IF(AND(3349&gt;=16,TEXT(A3351,"yyyy-mm")&lt;&gt;TEXT(A3352,"yyyy-mm")),1,0)</f>
        <v/>
      </c>
      <c r="H3351">
        <f>IF(OR(H3350=1,G3351=1),1,0)</f>
        <v/>
      </c>
      <c r="I3351">
        <f>IF(H3350=0,1,SUMPRODUCT(J3350:N3350,B3351:F3351)+O3350*(1+0.00023125256064071564))</f>
        <v/>
      </c>
      <c r="J3351">
        <f>IF(G3351=1,0.2*R3351/B3351,J3350)</f>
        <v/>
      </c>
      <c r="K3351">
        <f>IF(G3351=1,0.2*R3351/C3351,K3350)</f>
        <v/>
      </c>
      <c r="L3351">
        <f>IF(G3351=1,0.2*R3351/D3351,L3350)</f>
        <v/>
      </c>
      <c r="M3351">
        <f>IF(G3351=1,0.2*R3351/E3351,M3350)</f>
        <v/>
      </c>
      <c r="N3351">
        <f>IF(G3351=1,0.2*R3351/F3351,N3350)</f>
        <v/>
      </c>
      <c r="O3351">
        <f>IF(G3351=1,R3351*(1-1.0),IF(H3350=0,1,O3350*(1+0.00023125256064071564)))</f>
        <v/>
      </c>
      <c r="P3351">
        <f>IF(G3351=1,IF(H3350=0,1,ABS(0.2-J3350*B3351/I3351)+ABS(0.2-K3350*C3351/I3351)+ABS(0.2-L3350*D3351/I3351)+ABS(0.2-M3350*E3351/I3351)+ABS(0.2-N3350*F3351/I3351)),0)</f>
        <v/>
      </c>
      <c r="Q3351">
        <f>P3351*0.0015</f>
        <v/>
      </c>
      <c r="R3351">
        <f>I3351*(1-Q3351)</f>
        <v/>
      </c>
      <c r="S3351">
        <f>R3351/R3350-1</f>
        <v/>
      </c>
      <c r="T3351">
        <f>MAX(T3350,R3351)</f>
        <v/>
      </c>
      <c r="U3351">
        <f>R3351/T3351-1</f>
        <v/>
      </c>
      <c r="V3351" t="n">
        <v>8.729156691435463</v>
      </c>
      <c r="W3351" s="5">
        <f>R3351-V3351</f>
        <v/>
      </c>
    </row>
    <row r="3352">
      <c r="A3352" s="3" t="n">
        <v>43374</v>
      </c>
      <c r="B3352">
        <f>Prices!B3352</f>
        <v/>
      </c>
      <c r="C3352">
        <f>Prices!C3352</f>
        <v/>
      </c>
      <c r="D3352">
        <f>Prices!D3352</f>
        <v/>
      </c>
      <c r="E3352">
        <f>Prices!E3352</f>
        <v/>
      </c>
      <c r="F3352">
        <f>Prices!F3352</f>
        <v/>
      </c>
      <c r="G3352">
        <f>IF(AND(3350&gt;=16,TEXT(A3352,"yyyy-mm")&lt;&gt;TEXT(A3353,"yyyy-mm")),1,0)</f>
        <v/>
      </c>
      <c r="H3352">
        <f>IF(OR(H3351=1,G3352=1),1,0)</f>
        <v/>
      </c>
      <c r="I3352">
        <f>IF(H3351=0,1,SUMPRODUCT(J3351:N3351,B3352:F3352)+O3351*(1+0.00023125256064071564))</f>
        <v/>
      </c>
      <c r="J3352">
        <f>IF(G3352=1,0.2*R3352/B3352,J3351)</f>
        <v/>
      </c>
      <c r="K3352">
        <f>IF(G3352=1,0.2*R3352/C3352,K3351)</f>
        <v/>
      </c>
      <c r="L3352">
        <f>IF(G3352=1,0.2*R3352/D3352,L3351)</f>
        <v/>
      </c>
      <c r="M3352">
        <f>IF(G3352=1,0.2*R3352/E3352,M3351)</f>
        <v/>
      </c>
      <c r="N3352">
        <f>IF(G3352=1,0.2*R3352/F3352,N3351)</f>
        <v/>
      </c>
      <c r="O3352">
        <f>IF(G3352=1,R3352*(1-1.0),IF(H3351=0,1,O3351*(1+0.00023125256064071564)))</f>
        <v/>
      </c>
      <c r="P3352">
        <f>IF(G3352=1,IF(H3351=0,1,ABS(0.2-J3351*B3352/I3352)+ABS(0.2-K3351*C3352/I3352)+ABS(0.2-L3351*D3352/I3352)+ABS(0.2-M3351*E3352/I3352)+ABS(0.2-N3351*F3352/I3352)),0)</f>
        <v/>
      </c>
      <c r="Q3352">
        <f>P3352*0.0015</f>
        <v/>
      </c>
      <c r="R3352">
        <f>I3352*(1-Q3352)</f>
        <v/>
      </c>
      <c r="S3352">
        <f>R3352/R3351-1</f>
        <v/>
      </c>
      <c r="T3352">
        <f>MAX(T3351,R3352)</f>
        <v/>
      </c>
      <c r="U3352">
        <f>R3352/T3352-1</f>
        <v/>
      </c>
      <c r="V3352" t="n">
        <v>8.800121331483755</v>
      </c>
      <c r="W3352" s="5">
        <f>R3352-V3352</f>
        <v/>
      </c>
    </row>
    <row r="3353">
      <c r="A3353" s="3" t="n">
        <v>43376</v>
      </c>
      <c r="B3353">
        <f>Prices!B3353</f>
        <v/>
      </c>
      <c r="C3353">
        <f>Prices!C3353</f>
        <v/>
      </c>
      <c r="D3353">
        <f>Prices!D3353</f>
        <v/>
      </c>
      <c r="E3353">
        <f>Prices!E3353</f>
        <v/>
      </c>
      <c r="F3353">
        <f>Prices!F3353</f>
        <v/>
      </c>
      <c r="G3353">
        <f>IF(AND(3351&gt;=16,TEXT(A3353,"yyyy-mm")&lt;&gt;TEXT(A3354,"yyyy-mm")),1,0)</f>
        <v/>
      </c>
      <c r="H3353">
        <f>IF(OR(H3352=1,G3353=1),1,0)</f>
        <v/>
      </c>
      <c r="I3353">
        <f>IF(H3352=0,1,SUMPRODUCT(J3352:N3352,B3353:F3353)+O3352*(1+0.00023125256064071564))</f>
        <v/>
      </c>
      <c r="J3353">
        <f>IF(G3353=1,0.2*R3353/B3353,J3352)</f>
        <v/>
      </c>
      <c r="K3353">
        <f>IF(G3353=1,0.2*R3353/C3353,K3352)</f>
        <v/>
      </c>
      <c r="L3353">
        <f>IF(G3353=1,0.2*R3353/D3353,L3352)</f>
        <v/>
      </c>
      <c r="M3353">
        <f>IF(G3353=1,0.2*R3353/E3353,M3352)</f>
        <v/>
      </c>
      <c r="N3353">
        <f>IF(G3353=1,0.2*R3353/F3353,N3352)</f>
        <v/>
      </c>
      <c r="O3353">
        <f>IF(G3353=1,R3353*(1-1.0),IF(H3352=0,1,O3352*(1+0.00023125256064071564)))</f>
        <v/>
      </c>
      <c r="P3353">
        <f>IF(G3353=1,IF(H3352=0,1,ABS(0.2-J3352*B3353/I3353)+ABS(0.2-K3352*C3353/I3353)+ABS(0.2-L3352*D3353/I3353)+ABS(0.2-M3352*E3353/I3353)+ABS(0.2-N3352*F3353/I3353)),0)</f>
        <v/>
      </c>
      <c r="Q3353">
        <f>P3353*0.0015</f>
        <v/>
      </c>
      <c r="R3353">
        <f>I3353*(1-Q3353)</f>
        <v/>
      </c>
      <c r="S3353">
        <f>R3353/R3352-1</f>
        <v/>
      </c>
      <c r="T3353">
        <f>MAX(T3352,R3353)</f>
        <v/>
      </c>
      <c r="U3353">
        <f>R3353/T3353-1</f>
        <v/>
      </c>
      <c r="V3353" t="n">
        <v>8.741346377804179</v>
      </c>
      <c r="W3353" s="5">
        <f>R3353-V3353</f>
        <v/>
      </c>
    </row>
    <row r="3354">
      <c r="A3354" s="3" t="n">
        <v>43377</v>
      </c>
      <c r="B3354">
        <f>Prices!B3354</f>
        <v/>
      </c>
      <c r="C3354">
        <f>Prices!C3354</f>
        <v/>
      </c>
      <c r="D3354">
        <f>Prices!D3354</f>
        <v/>
      </c>
      <c r="E3354">
        <f>Prices!E3354</f>
        <v/>
      </c>
      <c r="F3354">
        <f>Prices!F3354</f>
        <v/>
      </c>
      <c r="G3354">
        <f>IF(AND(3352&gt;=16,TEXT(A3354,"yyyy-mm")&lt;&gt;TEXT(A3355,"yyyy-mm")),1,0)</f>
        <v/>
      </c>
      <c r="H3354">
        <f>IF(OR(H3353=1,G3354=1),1,0)</f>
        <v/>
      </c>
      <c r="I3354">
        <f>IF(H3353=0,1,SUMPRODUCT(J3353:N3353,B3354:F3354)+O3353*(1+0.00023125256064071564))</f>
        <v/>
      </c>
      <c r="J3354">
        <f>IF(G3354=1,0.2*R3354/B3354,J3353)</f>
        <v/>
      </c>
      <c r="K3354">
        <f>IF(G3354=1,0.2*R3354/C3354,K3353)</f>
        <v/>
      </c>
      <c r="L3354">
        <f>IF(G3354=1,0.2*R3354/D3354,L3353)</f>
        <v/>
      </c>
      <c r="M3354">
        <f>IF(G3354=1,0.2*R3354/E3354,M3353)</f>
        <v/>
      </c>
      <c r="N3354">
        <f>IF(G3354=1,0.2*R3354/F3354,N3353)</f>
        <v/>
      </c>
      <c r="O3354">
        <f>IF(G3354=1,R3354*(1-1.0),IF(H3353=0,1,O3353*(1+0.00023125256064071564)))</f>
        <v/>
      </c>
      <c r="P3354">
        <f>IF(G3354=1,IF(H3353=0,1,ABS(0.2-J3353*B3354/I3354)+ABS(0.2-K3353*C3354/I3354)+ABS(0.2-L3353*D3354/I3354)+ABS(0.2-M3353*E3354/I3354)+ABS(0.2-N3353*F3354/I3354)),0)</f>
        <v/>
      </c>
      <c r="Q3354">
        <f>P3354*0.0015</f>
        <v/>
      </c>
      <c r="R3354">
        <f>I3354*(1-Q3354)</f>
        <v/>
      </c>
      <c r="S3354">
        <f>R3354/R3353-1</f>
        <v/>
      </c>
      <c r="T3354">
        <f>MAX(T3353,R3354)</f>
        <v/>
      </c>
      <c r="U3354">
        <f>R3354/T3354-1</f>
        <v/>
      </c>
      <c r="V3354" t="n">
        <v>8.502625498109017</v>
      </c>
      <c r="W3354" s="5">
        <f>R3354-V3354</f>
        <v/>
      </c>
    </row>
    <row r="3355">
      <c r="A3355" s="3" t="n">
        <v>43378</v>
      </c>
      <c r="B3355">
        <f>Prices!B3355</f>
        <v/>
      </c>
      <c r="C3355">
        <f>Prices!C3355</f>
        <v/>
      </c>
      <c r="D3355">
        <f>Prices!D3355</f>
        <v/>
      </c>
      <c r="E3355">
        <f>Prices!E3355</f>
        <v/>
      </c>
      <c r="F3355">
        <f>Prices!F3355</f>
        <v/>
      </c>
      <c r="G3355">
        <f>IF(AND(3353&gt;=16,TEXT(A3355,"yyyy-mm")&lt;&gt;TEXT(A3356,"yyyy-mm")),1,0)</f>
        <v/>
      </c>
      <c r="H3355">
        <f>IF(OR(H3354=1,G3355=1),1,0)</f>
        <v/>
      </c>
      <c r="I3355">
        <f>IF(H3354=0,1,SUMPRODUCT(J3354:N3354,B3355:F3355)+O3354*(1+0.00023125256064071564))</f>
        <v/>
      </c>
      <c r="J3355">
        <f>IF(G3355=1,0.2*R3355/B3355,J3354)</f>
        <v/>
      </c>
      <c r="K3355">
        <f>IF(G3355=1,0.2*R3355/C3355,K3354)</f>
        <v/>
      </c>
      <c r="L3355">
        <f>IF(G3355=1,0.2*R3355/D3355,L3354)</f>
        <v/>
      </c>
      <c r="M3355">
        <f>IF(G3355=1,0.2*R3355/E3355,M3354)</f>
        <v/>
      </c>
      <c r="N3355">
        <f>IF(G3355=1,0.2*R3355/F3355,N3354)</f>
        <v/>
      </c>
      <c r="O3355">
        <f>IF(G3355=1,R3355*(1-1.0),IF(H3354=0,1,O3354*(1+0.00023125256064071564)))</f>
        <v/>
      </c>
      <c r="P3355">
        <f>IF(G3355=1,IF(H3354=0,1,ABS(0.2-J3354*B3355/I3355)+ABS(0.2-K3354*C3355/I3355)+ABS(0.2-L3354*D3355/I3355)+ABS(0.2-M3354*E3355/I3355)+ABS(0.2-N3354*F3355/I3355)),0)</f>
        <v/>
      </c>
      <c r="Q3355">
        <f>P3355*0.0015</f>
        <v/>
      </c>
      <c r="R3355">
        <f>I3355*(1-Q3355)</f>
        <v/>
      </c>
      <c r="S3355">
        <f>R3355/R3354-1</f>
        <v/>
      </c>
      <c r="T3355">
        <f>MAX(T3354,R3355)</f>
        <v/>
      </c>
      <c r="U3355">
        <f>R3355/T3355-1</f>
        <v/>
      </c>
      <c r="V3355" t="n">
        <v>8.277470449448058</v>
      </c>
      <c r="W3355" s="5">
        <f>R3355-V3355</f>
        <v/>
      </c>
    </row>
    <row r="3356">
      <c r="A3356" s="3" t="n">
        <v>43381</v>
      </c>
      <c r="B3356">
        <f>Prices!B3356</f>
        <v/>
      </c>
      <c r="C3356">
        <f>Prices!C3356</f>
        <v/>
      </c>
      <c r="D3356">
        <f>Prices!D3356</f>
        <v/>
      </c>
      <c r="E3356">
        <f>Prices!E3356</f>
        <v/>
      </c>
      <c r="F3356">
        <f>Prices!F3356</f>
        <v/>
      </c>
      <c r="G3356">
        <f>IF(AND(3354&gt;=16,TEXT(A3356,"yyyy-mm")&lt;&gt;TEXT(A3357,"yyyy-mm")),1,0)</f>
        <v/>
      </c>
      <c r="H3356">
        <f>IF(OR(H3355=1,G3356=1),1,0)</f>
        <v/>
      </c>
      <c r="I3356">
        <f>IF(H3355=0,1,SUMPRODUCT(J3355:N3355,B3356:F3356)+O3355*(1+0.00023125256064071564))</f>
        <v/>
      </c>
      <c r="J3356">
        <f>IF(G3356=1,0.2*R3356/B3356,J3355)</f>
        <v/>
      </c>
      <c r="K3356">
        <f>IF(G3356=1,0.2*R3356/C3356,K3355)</f>
        <v/>
      </c>
      <c r="L3356">
        <f>IF(G3356=1,0.2*R3356/D3356,L3355)</f>
        <v/>
      </c>
      <c r="M3356">
        <f>IF(G3356=1,0.2*R3356/E3356,M3355)</f>
        <v/>
      </c>
      <c r="N3356">
        <f>IF(G3356=1,0.2*R3356/F3356,N3355)</f>
        <v/>
      </c>
      <c r="O3356">
        <f>IF(G3356=1,R3356*(1-1.0),IF(H3355=0,1,O3355*(1+0.00023125256064071564)))</f>
        <v/>
      </c>
      <c r="P3356">
        <f>IF(G3356=1,IF(H3355=0,1,ABS(0.2-J3355*B3356/I3356)+ABS(0.2-K3355*C3356/I3356)+ABS(0.2-L3355*D3356/I3356)+ABS(0.2-M3355*E3356/I3356)+ABS(0.2-N3355*F3356/I3356)),0)</f>
        <v/>
      </c>
      <c r="Q3356">
        <f>P3356*0.0015</f>
        <v/>
      </c>
      <c r="R3356">
        <f>I3356*(1-Q3356)</f>
        <v/>
      </c>
      <c r="S3356">
        <f>R3356/R3355-1</f>
        <v/>
      </c>
      <c r="T3356">
        <f>MAX(T3355,R3356)</f>
        <v/>
      </c>
      <c r="U3356">
        <f>R3356/T3356-1</f>
        <v/>
      </c>
      <c r="V3356" t="n">
        <v>8.194639756902767</v>
      </c>
      <c r="W3356" s="5">
        <f>R3356-V3356</f>
        <v/>
      </c>
    </row>
    <row r="3357">
      <c r="A3357" s="3" t="n">
        <v>43382</v>
      </c>
      <c r="B3357">
        <f>Prices!B3357</f>
        <v/>
      </c>
      <c r="C3357">
        <f>Prices!C3357</f>
        <v/>
      </c>
      <c r="D3357">
        <f>Prices!D3357</f>
        <v/>
      </c>
      <c r="E3357">
        <f>Prices!E3357</f>
        <v/>
      </c>
      <c r="F3357">
        <f>Prices!F3357</f>
        <v/>
      </c>
      <c r="G3357">
        <f>IF(AND(3355&gt;=16,TEXT(A3357,"yyyy-mm")&lt;&gt;TEXT(A3358,"yyyy-mm")),1,0)</f>
        <v/>
      </c>
      <c r="H3357">
        <f>IF(OR(H3356=1,G3357=1),1,0)</f>
        <v/>
      </c>
      <c r="I3357">
        <f>IF(H3356=0,1,SUMPRODUCT(J3356:N3356,B3357:F3357)+O3356*(1+0.00023125256064071564))</f>
        <v/>
      </c>
      <c r="J3357">
        <f>IF(G3357=1,0.2*R3357/B3357,J3356)</f>
        <v/>
      </c>
      <c r="K3357">
        <f>IF(G3357=1,0.2*R3357/C3357,K3356)</f>
        <v/>
      </c>
      <c r="L3357">
        <f>IF(G3357=1,0.2*R3357/D3357,L3356)</f>
        <v/>
      </c>
      <c r="M3357">
        <f>IF(G3357=1,0.2*R3357/E3357,M3356)</f>
        <v/>
      </c>
      <c r="N3357">
        <f>IF(G3357=1,0.2*R3357/F3357,N3356)</f>
        <v/>
      </c>
      <c r="O3357">
        <f>IF(G3357=1,R3357*(1-1.0),IF(H3356=0,1,O3356*(1+0.00023125256064071564)))</f>
        <v/>
      </c>
      <c r="P3357">
        <f>IF(G3357=1,IF(H3356=0,1,ABS(0.2-J3356*B3357/I3357)+ABS(0.2-K3356*C3357/I3357)+ABS(0.2-L3356*D3357/I3357)+ABS(0.2-M3356*E3357/I3357)+ABS(0.2-N3356*F3357/I3357)),0)</f>
        <v/>
      </c>
      <c r="Q3357">
        <f>P3357*0.0015</f>
        <v/>
      </c>
      <c r="R3357">
        <f>I3357*(1-Q3357)</f>
        <v/>
      </c>
      <c r="S3357">
        <f>R3357/R3356-1</f>
        <v/>
      </c>
      <c r="T3357">
        <f>MAX(T3356,R3357)</f>
        <v/>
      </c>
      <c r="U3357">
        <f>R3357/T3357-1</f>
        <v/>
      </c>
      <c r="V3357" t="n">
        <v>8.13487842521511</v>
      </c>
      <c r="W3357" s="5">
        <f>R3357-V3357</f>
        <v/>
      </c>
    </row>
    <row r="3358">
      <c r="A3358" s="3" t="n">
        <v>43383</v>
      </c>
      <c r="B3358">
        <f>Prices!B3358</f>
        <v/>
      </c>
      <c r="C3358">
        <f>Prices!C3358</f>
        <v/>
      </c>
      <c r="D3358">
        <f>Prices!D3358</f>
        <v/>
      </c>
      <c r="E3358">
        <f>Prices!E3358</f>
        <v/>
      </c>
      <c r="F3358">
        <f>Prices!F3358</f>
        <v/>
      </c>
      <c r="G3358">
        <f>IF(AND(3356&gt;=16,TEXT(A3358,"yyyy-mm")&lt;&gt;TEXT(A3359,"yyyy-mm")),1,0)</f>
        <v/>
      </c>
      <c r="H3358">
        <f>IF(OR(H3357=1,G3358=1),1,0)</f>
        <v/>
      </c>
      <c r="I3358">
        <f>IF(H3357=0,1,SUMPRODUCT(J3357:N3357,B3358:F3358)+O3357*(1+0.00023125256064071564))</f>
        <v/>
      </c>
      <c r="J3358">
        <f>IF(G3358=1,0.2*R3358/B3358,J3357)</f>
        <v/>
      </c>
      <c r="K3358">
        <f>IF(G3358=1,0.2*R3358/C3358,K3357)</f>
        <v/>
      </c>
      <c r="L3358">
        <f>IF(G3358=1,0.2*R3358/D3358,L3357)</f>
        <v/>
      </c>
      <c r="M3358">
        <f>IF(G3358=1,0.2*R3358/E3358,M3357)</f>
        <v/>
      </c>
      <c r="N3358">
        <f>IF(G3358=1,0.2*R3358/F3358,N3357)</f>
        <v/>
      </c>
      <c r="O3358">
        <f>IF(G3358=1,R3358*(1-1.0),IF(H3357=0,1,O3357*(1+0.00023125256064071564)))</f>
        <v/>
      </c>
      <c r="P3358">
        <f>IF(G3358=1,IF(H3357=0,1,ABS(0.2-J3357*B3358/I3358)+ABS(0.2-K3357*C3358/I3358)+ABS(0.2-L3357*D3358/I3358)+ABS(0.2-M3357*E3358/I3358)+ABS(0.2-N3357*F3358/I3358)),0)</f>
        <v/>
      </c>
      <c r="Q3358">
        <f>P3358*0.0015</f>
        <v/>
      </c>
      <c r="R3358">
        <f>I3358*(1-Q3358)</f>
        <v/>
      </c>
      <c r="S3358">
        <f>R3358/R3357-1</f>
        <v/>
      </c>
      <c r="T3358">
        <f>MAX(T3357,R3358)</f>
        <v/>
      </c>
      <c r="U3358">
        <f>R3358/T3358-1</f>
        <v/>
      </c>
      <c r="V3358" t="n">
        <v>8.37798399097413</v>
      </c>
      <c r="W3358" s="5">
        <f>R3358-V3358</f>
        <v/>
      </c>
    </row>
    <row r="3359">
      <c r="A3359" s="3" t="n">
        <v>43384</v>
      </c>
      <c r="B3359">
        <f>Prices!B3359</f>
        <v/>
      </c>
      <c r="C3359">
        <f>Prices!C3359</f>
        <v/>
      </c>
      <c r="D3359">
        <f>Prices!D3359</f>
        <v/>
      </c>
      <c r="E3359">
        <f>Prices!E3359</f>
        <v/>
      </c>
      <c r="F3359">
        <f>Prices!F3359</f>
        <v/>
      </c>
      <c r="G3359">
        <f>IF(AND(3357&gt;=16,TEXT(A3359,"yyyy-mm")&lt;&gt;TEXT(A3360,"yyyy-mm")),1,0)</f>
        <v/>
      </c>
      <c r="H3359">
        <f>IF(OR(H3358=1,G3359=1),1,0)</f>
        <v/>
      </c>
      <c r="I3359">
        <f>IF(H3358=0,1,SUMPRODUCT(J3358:N3358,B3359:F3359)+O3358*(1+0.00023125256064071564))</f>
        <v/>
      </c>
      <c r="J3359">
        <f>IF(G3359=1,0.2*R3359/B3359,J3358)</f>
        <v/>
      </c>
      <c r="K3359">
        <f>IF(G3359=1,0.2*R3359/C3359,K3358)</f>
        <v/>
      </c>
      <c r="L3359">
        <f>IF(G3359=1,0.2*R3359/D3359,L3358)</f>
        <v/>
      </c>
      <c r="M3359">
        <f>IF(G3359=1,0.2*R3359/E3359,M3358)</f>
        <v/>
      </c>
      <c r="N3359">
        <f>IF(G3359=1,0.2*R3359/F3359,N3358)</f>
        <v/>
      </c>
      <c r="O3359">
        <f>IF(G3359=1,R3359*(1-1.0),IF(H3358=0,1,O3358*(1+0.00023125256064071564)))</f>
        <v/>
      </c>
      <c r="P3359">
        <f>IF(G3359=1,IF(H3358=0,1,ABS(0.2-J3358*B3359/I3359)+ABS(0.2-K3358*C3359/I3359)+ABS(0.2-L3358*D3359/I3359)+ABS(0.2-M3358*E3359/I3359)+ABS(0.2-N3358*F3359/I3359)),0)</f>
        <v/>
      </c>
      <c r="Q3359">
        <f>P3359*0.0015</f>
        <v/>
      </c>
      <c r="R3359">
        <f>I3359*(1-Q3359)</f>
        <v/>
      </c>
      <c r="S3359">
        <f>R3359/R3358-1</f>
        <v/>
      </c>
      <c r="T3359">
        <f>MAX(T3358,R3359)</f>
        <v/>
      </c>
      <c r="U3359">
        <f>R3359/T3359-1</f>
        <v/>
      </c>
      <c r="V3359" t="n">
        <v>8.253527183892514</v>
      </c>
      <c r="W3359" s="5">
        <f>R3359-V3359</f>
        <v/>
      </c>
    </row>
    <row r="3360">
      <c r="A3360" s="3" t="n">
        <v>43385</v>
      </c>
      <c r="B3360">
        <f>Prices!B3360</f>
        <v/>
      </c>
      <c r="C3360">
        <f>Prices!C3360</f>
        <v/>
      </c>
      <c r="D3360">
        <f>Prices!D3360</f>
        <v/>
      </c>
      <c r="E3360">
        <f>Prices!E3360</f>
        <v/>
      </c>
      <c r="F3360">
        <f>Prices!F3360</f>
        <v/>
      </c>
      <c r="G3360">
        <f>IF(AND(3358&gt;=16,TEXT(A3360,"yyyy-mm")&lt;&gt;TEXT(A3361,"yyyy-mm")),1,0)</f>
        <v/>
      </c>
      <c r="H3360">
        <f>IF(OR(H3359=1,G3360=1),1,0)</f>
        <v/>
      </c>
      <c r="I3360">
        <f>IF(H3359=0,1,SUMPRODUCT(J3359:N3359,B3360:F3360)+O3359*(1+0.00023125256064071564))</f>
        <v/>
      </c>
      <c r="J3360">
        <f>IF(G3360=1,0.2*R3360/B3360,J3359)</f>
        <v/>
      </c>
      <c r="K3360">
        <f>IF(G3360=1,0.2*R3360/C3360,K3359)</f>
        <v/>
      </c>
      <c r="L3360">
        <f>IF(G3360=1,0.2*R3360/D3360,L3359)</f>
        <v/>
      </c>
      <c r="M3360">
        <f>IF(G3360=1,0.2*R3360/E3360,M3359)</f>
        <v/>
      </c>
      <c r="N3360">
        <f>IF(G3360=1,0.2*R3360/F3360,N3359)</f>
        <v/>
      </c>
      <c r="O3360">
        <f>IF(G3360=1,R3360*(1-1.0),IF(H3359=0,1,O3359*(1+0.00023125256064071564)))</f>
        <v/>
      </c>
      <c r="P3360">
        <f>IF(G3360=1,IF(H3359=0,1,ABS(0.2-J3359*B3360/I3360)+ABS(0.2-K3359*C3360/I3360)+ABS(0.2-L3359*D3360/I3360)+ABS(0.2-M3359*E3360/I3360)+ABS(0.2-N3359*F3360/I3360)),0)</f>
        <v/>
      </c>
      <c r="Q3360">
        <f>P3360*0.0015</f>
        <v/>
      </c>
      <c r="R3360">
        <f>I3360*(1-Q3360)</f>
        <v/>
      </c>
      <c r="S3360">
        <f>R3360/R3359-1</f>
        <v/>
      </c>
      <c r="T3360">
        <f>MAX(T3359,R3360)</f>
        <v/>
      </c>
      <c r="U3360">
        <f>R3360/T3360-1</f>
        <v/>
      </c>
      <c r="V3360" t="n">
        <v>8.448832824383022</v>
      </c>
      <c r="W3360" s="5">
        <f>R3360-V3360</f>
        <v/>
      </c>
    </row>
    <row r="3361">
      <c r="A3361" s="3" t="n">
        <v>43388</v>
      </c>
      <c r="B3361">
        <f>Prices!B3361</f>
        <v/>
      </c>
      <c r="C3361">
        <f>Prices!C3361</f>
        <v/>
      </c>
      <c r="D3361">
        <f>Prices!D3361</f>
        <v/>
      </c>
      <c r="E3361">
        <f>Prices!E3361</f>
        <v/>
      </c>
      <c r="F3361">
        <f>Prices!F3361</f>
        <v/>
      </c>
      <c r="G3361">
        <f>IF(AND(3359&gt;=16,TEXT(A3361,"yyyy-mm")&lt;&gt;TEXT(A3362,"yyyy-mm")),1,0)</f>
        <v/>
      </c>
      <c r="H3361">
        <f>IF(OR(H3360=1,G3361=1),1,0)</f>
        <v/>
      </c>
      <c r="I3361">
        <f>IF(H3360=0,1,SUMPRODUCT(J3360:N3360,B3361:F3361)+O3360*(1+0.00023125256064071564))</f>
        <v/>
      </c>
      <c r="J3361">
        <f>IF(G3361=1,0.2*R3361/B3361,J3360)</f>
        <v/>
      </c>
      <c r="K3361">
        <f>IF(G3361=1,0.2*R3361/C3361,K3360)</f>
        <v/>
      </c>
      <c r="L3361">
        <f>IF(G3361=1,0.2*R3361/D3361,L3360)</f>
        <v/>
      </c>
      <c r="M3361">
        <f>IF(G3361=1,0.2*R3361/E3361,M3360)</f>
        <v/>
      </c>
      <c r="N3361">
        <f>IF(G3361=1,0.2*R3361/F3361,N3360)</f>
        <v/>
      </c>
      <c r="O3361">
        <f>IF(G3361=1,R3361*(1-1.0),IF(H3360=0,1,O3360*(1+0.00023125256064071564)))</f>
        <v/>
      </c>
      <c r="P3361">
        <f>IF(G3361=1,IF(H3360=0,1,ABS(0.2-J3360*B3361/I3361)+ABS(0.2-K3360*C3361/I3361)+ABS(0.2-L3360*D3361/I3361)+ABS(0.2-M3360*E3361/I3361)+ABS(0.2-N3360*F3361/I3361)),0)</f>
        <v/>
      </c>
      <c r="Q3361">
        <f>P3361*0.0015</f>
        <v/>
      </c>
      <c r="R3361">
        <f>I3361*(1-Q3361)</f>
        <v/>
      </c>
      <c r="S3361">
        <f>R3361/R3360-1</f>
        <v/>
      </c>
      <c r="T3361">
        <f>MAX(T3360,R3361)</f>
        <v/>
      </c>
      <c r="U3361">
        <f>R3361/T3361-1</f>
        <v/>
      </c>
      <c r="V3361" t="n">
        <v>8.508898662451729</v>
      </c>
      <c r="W3361" s="5">
        <f>R3361-V3361</f>
        <v/>
      </c>
    </row>
    <row r="3362">
      <c r="A3362" s="3" t="n">
        <v>43389</v>
      </c>
      <c r="B3362">
        <f>Prices!B3362</f>
        <v/>
      </c>
      <c r="C3362">
        <f>Prices!C3362</f>
        <v/>
      </c>
      <c r="D3362">
        <f>Prices!D3362</f>
        <v/>
      </c>
      <c r="E3362">
        <f>Prices!E3362</f>
        <v/>
      </c>
      <c r="F3362">
        <f>Prices!F3362</f>
        <v/>
      </c>
      <c r="G3362">
        <f>IF(AND(3360&gt;=16,TEXT(A3362,"yyyy-mm")&lt;&gt;TEXT(A3363,"yyyy-mm")),1,0)</f>
        <v/>
      </c>
      <c r="H3362">
        <f>IF(OR(H3361=1,G3362=1),1,0)</f>
        <v/>
      </c>
      <c r="I3362">
        <f>IF(H3361=0,1,SUMPRODUCT(J3361:N3361,B3362:F3362)+O3361*(1+0.00023125256064071564))</f>
        <v/>
      </c>
      <c r="J3362">
        <f>IF(G3362=1,0.2*R3362/B3362,J3361)</f>
        <v/>
      </c>
      <c r="K3362">
        <f>IF(G3362=1,0.2*R3362/C3362,K3361)</f>
        <v/>
      </c>
      <c r="L3362">
        <f>IF(G3362=1,0.2*R3362/D3362,L3361)</f>
        <v/>
      </c>
      <c r="M3362">
        <f>IF(G3362=1,0.2*R3362/E3362,M3361)</f>
        <v/>
      </c>
      <c r="N3362">
        <f>IF(G3362=1,0.2*R3362/F3362,N3361)</f>
        <v/>
      </c>
      <c r="O3362">
        <f>IF(G3362=1,R3362*(1-1.0),IF(H3361=0,1,O3361*(1+0.00023125256064071564)))</f>
        <v/>
      </c>
      <c r="P3362">
        <f>IF(G3362=1,IF(H3361=0,1,ABS(0.2-J3361*B3362/I3362)+ABS(0.2-K3361*C3362/I3362)+ABS(0.2-L3361*D3362/I3362)+ABS(0.2-M3361*E3362/I3362)+ABS(0.2-N3361*F3362/I3362)),0)</f>
        <v/>
      </c>
      <c r="Q3362">
        <f>P3362*0.0015</f>
        <v/>
      </c>
      <c r="R3362">
        <f>I3362*(1-Q3362)</f>
        <v/>
      </c>
      <c r="S3362">
        <f>R3362/R3361-1</f>
        <v/>
      </c>
      <c r="T3362">
        <f>MAX(T3361,R3362)</f>
        <v/>
      </c>
      <c r="U3362">
        <f>R3362/T3362-1</f>
        <v/>
      </c>
      <c r="V3362" t="n">
        <v>8.639634102564282</v>
      </c>
      <c r="W3362" s="5">
        <f>R3362-V3362</f>
        <v/>
      </c>
    </row>
    <row r="3363">
      <c r="A3363" s="3" t="n">
        <v>43390</v>
      </c>
      <c r="B3363">
        <f>Prices!B3363</f>
        <v/>
      </c>
      <c r="C3363">
        <f>Prices!C3363</f>
        <v/>
      </c>
      <c r="D3363">
        <f>Prices!D3363</f>
        <v/>
      </c>
      <c r="E3363">
        <f>Prices!E3363</f>
        <v/>
      </c>
      <c r="F3363">
        <f>Prices!F3363</f>
        <v/>
      </c>
      <c r="G3363">
        <f>IF(AND(3361&gt;=16,TEXT(A3363,"yyyy-mm")&lt;&gt;TEXT(A3364,"yyyy-mm")),1,0)</f>
        <v/>
      </c>
      <c r="H3363">
        <f>IF(OR(H3362=1,G3363=1),1,0)</f>
        <v/>
      </c>
      <c r="I3363">
        <f>IF(H3362=0,1,SUMPRODUCT(J3362:N3362,B3363:F3363)+O3362*(1+0.00023125256064071564))</f>
        <v/>
      </c>
      <c r="J3363">
        <f>IF(G3363=1,0.2*R3363/B3363,J3362)</f>
        <v/>
      </c>
      <c r="K3363">
        <f>IF(G3363=1,0.2*R3363/C3363,K3362)</f>
        <v/>
      </c>
      <c r="L3363">
        <f>IF(G3363=1,0.2*R3363/D3363,L3362)</f>
        <v/>
      </c>
      <c r="M3363">
        <f>IF(G3363=1,0.2*R3363/E3363,M3362)</f>
        <v/>
      </c>
      <c r="N3363">
        <f>IF(G3363=1,0.2*R3363/F3363,N3362)</f>
        <v/>
      </c>
      <c r="O3363">
        <f>IF(G3363=1,R3363*(1-1.0),IF(H3362=0,1,O3362*(1+0.00023125256064071564)))</f>
        <v/>
      </c>
      <c r="P3363">
        <f>IF(G3363=1,IF(H3362=0,1,ABS(0.2-J3362*B3363/I3363)+ABS(0.2-K3362*C3363/I3363)+ABS(0.2-L3362*D3363/I3363)+ABS(0.2-M3362*E3363/I3363)+ABS(0.2-N3362*F3363/I3363)),0)</f>
        <v/>
      </c>
      <c r="Q3363">
        <f>P3363*0.0015</f>
        <v/>
      </c>
      <c r="R3363">
        <f>I3363*(1-Q3363)</f>
        <v/>
      </c>
      <c r="S3363">
        <f>R3363/R3362-1</f>
        <v/>
      </c>
      <c r="T3363">
        <f>MAX(T3362,R3363)</f>
        <v/>
      </c>
      <c r="U3363">
        <f>R3363/T3363-1</f>
        <v/>
      </c>
      <c r="V3363" t="n">
        <v>8.490056798188975</v>
      </c>
      <c r="W3363" s="5">
        <f>R3363-V3363</f>
        <v/>
      </c>
    </row>
    <row r="3364">
      <c r="A3364" s="3" t="n">
        <v>43392</v>
      </c>
      <c r="B3364">
        <f>Prices!B3364</f>
        <v/>
      </c>
      <c r="C3364">
        <f>Prices!C3364</f>
        <v/>
      </c>
      <c r="D3364">
        <f>Prices!D3364</f>
        <v/>
      </c>
      <c r="E3364">
        <f>Prices!E3364</f>
        <v/>
      </c>
      <c r="F3364">
        <f>Prices!F3364</f>
        <v/>
      </c>
      <c r="G3364">
        <f>IF(AND(3362&gt;=16,TEXT(A3364,"yyyy-mm")&lt;&gt;TEXT(A3365,"yyyy-mm")),1,0)</f>
        <v/>
      </c>
      <c r="H3364">
        <f>IF(OR(H3363=1,G3364=1),1,0)</f>
        <v/>
      </c>
      <c r="I3364">
        <f>IF(H3363=0,1,SUMPRODUCT(J3363:N3363,B3364:F3364)+O3363*(1+0.00023125256064071564))</f>
        <v/>
      </c>
      <c r="J3364">
        <f>IF(G3364=1,0.2*R3364/B3364,J3363)</f>
        <v/>
      </c>
      <c r="K3364">
        <f>IF(G3364=1,0.2*R3364/C3364,K3363)</f>
        <v/>
      </c>
      <c r="L3364">
        <f>IF(G3364=1,0.2*R3364/D3364,L3363)</f>
        <v/>
      </c>
      <c r="M3364">
        <f>IF(G3364=1,0.2*R3364/E3364,M3363)</f>
        <v/>
      </c>
      <c r="N3364">
        <f>IF(G3364=1,0.2*R3364/F3364,N3363)</f>
        <v/>
      </c>
      <c r="O3364">
        <f>IF(G3364=1,R3364*(1-1.0),IF(H3363=0,1,O3363*(1+0.00023125256064071564)))</f>
        <v/>
      </c>
      <c r="P3364">
        <f>IF(G3364=1,IF(H3363=0,1,ABS(0.2-J3363*B3364/I3364)+ABS(0.2-K3363*C3364/I3364)+ABS(0.2-L3363*D3364/I3364)+ABS(0.2-M3363*E3364/I3364)+ABS(0.2-N3363*F3364/I3364)),0)</f>
        <v/>
      </c>
      <c r="Q3364">
        <f>P3364*0.0015</f>
        <v/>
      </c>
      <c r="R3364">
        <f>I3364*(1-Q3364)</f>
        <v/>
      </c>
      <c r="S3364">
        <f>R3364/R3363-1</f>
        <v/>
      </c>
      <c r="T3364">
        <f>MAX(T3363,R3364)</f>
        <v/>
      </c>
      <c r="U3364">
        <f>R3364/T3364-1</f>
        <v/>
      </c>
      <c r="V3364" t="n">
        <v>8.372339752446893</v>
      </c>
      <c r="W3364" s="5">
        <f>R3364-V3364</f>
        <v/>
      </c>
    </row>
    <row r="3365">
      <c r="A3365" s="3" t="n">
        <v>43395</v>
      </c>
      <c r="B3365">
        <f>Prices!B3365</f>
        <v/>
      </c>
      <c r="C3365">
        <f>Prices!C3365</f>
        <v/>
      </c>
      <c r="D3365">
        <f>Prices!D3365</f>
        <v/>
      </c>
      <c r="E3365">
        <f>Prices!E3365</f>
        <v/>
      </c>
      <c r="F3365">
        <f>Prices!F3365</f>
        <v/>
      </c>
      <c r="G3365">
        <f>IF(AND(3363&gt;=16,TEXT(A3365,"yyyy-mm")&lt;&gt;TEXT(A3366,"yyyy-mm")),1,0)</f>
        <v/>
      </c>
      <c r="H3365">
        <f>IF(OR(H3364=1,G3365=1),1,0)</f>
        <v/>
      </c>
      <c r="I3365">
        <f>IF(H3364=0,1,SUMPRODUCT(J3364:N3364,B3365:F3365)+O3364*(1+0.00023125256064071564))</f>
        <v/>
      </c>
      <c r="J3365">
        <f>IF(G3365=1,0.2*R3365/B3365,J3364)</f>
        <v/>
      </c>
      <c r="K3365">
        <f>IF(G3365=1,0.2*R3365/C3365,K3364)</f>
        <v/>
      </c>
      <c r="L3365">
        <f>IF(G3365=1,0.2*R3365/D3365,L3364)</f>
        <v/>
      </c>
      <c r="M3365">
        <f>IF(G3365=1,0.2*R3365/E3365,M3364)</f>
        <v/>
      </c>
      <c r="N3365">
        <f>IF(G3365=1,0.2*R3365/F3365,N3364)</f>
        <v/>
      </c>
      <c r="O3365">
        <f>IF(G3365=1,R3365*(1-1.0),IF(H3364=0,1,O3364*(1+0.00023125256064071564)))</f>
        <v/>
      </c>
      <c r="P3365">
        <f>IF(G3365=1,IF(H3364=0,1,ABS(0.2-J3364*B3365/I3365)+ABS(0.2-K3364*C3365/I3365)+ABS(0.2-L3364*D3365/I3365)+ABS(0.2-M3364*E3365/I3365)+ABS(0.2-N3364*F3365/I3365)),0)</f>
        <v/>
      </c>
      <c r="Q3365">
        <f>P3365*0.0015</f>
        <v/>
      </c>
      <c r="R3365">
        <f>I3365*(1-Q3365)</f>
        <v/>
      </c>
      <c r="S3365">
        <f>R3365/R3364-1</f>
        <v/>
      </c>
      <c r="T3365">
        <f>MAX(T3364,R3365)</f>
        <v/>
      </c>
      <c r="U3365">
        <f>R3365/T3365-1</f>
        <v/>
      </c>
      <c r="V3365" t="n">
        <v>8.266350087830276</v>
      </c>
      <c r="W3365" s="5">
        <f>R3365-V3365</f>
        <v/>
      </c>
    </row>
    <row r="3366">
      <c r="A3366" s="3" t="n">
        <v>43396</v>
      </c>
      <c r="B3366">
        <f>Prices!B3366</f>
        <v/>
      </c>
      <c r="C3366">
        <f>Prices!C3366</f>
        <v/>
      </c>
      <c r="D3366">
        <f>Prices!D3366</f>
        <v/>
      </c>
      <c r="E3366">
        <f>Prices!E3366</f>
        <v/>
      </c>
      <c r="F3366">
        <f>Prices!F3366</f>
        <v/>
      </c>
      <c r="G3366">
        <f>IF(AND(3364&gt;=16,TEXT(A3366,"yyyy-mm")&lt;&gt;TEXT(A3367,"yyyy-mm")),1,0)</f>
        <v/>
      </c>
      <c r="H3366">
        <f>IF(OR(H3365=1,G3366=1),1,0)</f>
        <v/>
      </c>
      <c r="I3366">
        <f>IF(H3365=0,1,SUMPRODUCT(J3365:N3365,B3366:F3366)+O3365*(1+0.00023125256064071564))</f>
        <v/>
      </c>
      <c r="J3366">
        <f>IF(G3366=1,0.2*R3366/B3366,J3365)</f>
        <v/>
      </c>
      <c r="K3366">
        <f>IF(G3366=1,0.2*R3366/C3366,K3365)</f>
        <v/>
      </c>
      <c r="L3366">
        <f>IF(G3366=1,0.2*R3366/D3366,L3365)</f>
        <v/>
      </c>
      <c r="M3366">
        <f>IF(G3366=1,0.2*R3366/E3366,M3365)</f>
        <v/>
      </c>
      <c r="N3366">
        <f>IF(G3366=1,0.2*R3366/F3366,N3365)</f>
        <v/>
      </c>
      <c r="O3366">
        <f>IF(G3366=1,R3366*(1-1.0),IF(H3365=0,1,O3365*(1+0.00023125256064071564)))</f>
        <v/>
      </c>
      <c r="P3366">
        <f>IF(G3366=1,IF(H3365=0,1,ABS(0.2-J3365*B3366/I3366)+ABS(0.2-K3365*C3366/I3366)+ABS(0.2-L3365*D3366/I3366)+ABS(0.2-M3365*E3366/I3366)+ABS(0.2-N3365*F3366/I3366)),0)</f>
        <v/>
      </c>
      <c r="Q3366">
        <f>P3366*0.0015</f>
        <v/>
      </c>
      <c r="R3366">
        <f>I3366*(1-Q3366)</f>
        <v/>
      </c>
      <c r="S3366">
        <f>R3366/R3365-1</f>
        <v/>
      </c>
      <c r="T3366">
        <f>MAX(T3365,R3366)</f>
        <v/>
      </c>
      <c r="U3366">
        <f>R3366/T3366-1</f>
        <v/>
      </c>
      <c r="V3366" t="n">
        <v>8.151209709565121</v>
      </c>
      <c r="W3366" s="5">
        <f>R3366-V3366</f>
        <v/>
      </c>
    </row>
    <row r="3367">
      <c r="A3367" s="3" t="n">
        <v>43397</v>
      </c>
      <c r="B3367">
        <f>Prices!B3367</f>
        <v/>
      </c>
      <c r="C3367">
        <f>Prices!C3367</f>
        <v/>
      </c>
      <c r="D3367">
        <f>Prices!D3367</f>
        <v/>
      </c>
      <c r="E3367">
        <f>Prices!E3367</f>
        <v/>
      </c>
      <c r="F3367">
        <f>Prices!F3367</f>
        <v/>
      </c>
      <c r="G3367">
        <f>IF(AND(3365&gt;=16,TEXT(A3367,"yyyy-mm")&lt;&gt;TEXT(A3368,"yyyy-mm")),1,0)</f>
        <v/>
      </c>
      <c r="H3367">
        <f>IF(OR(H3366=1,G3367=1),1,0)</f>
        <v/>
      </c>
      <c r="I3367">
        <f>IF(H3366=0,1,SUMPRODUCT(J3366:N3366,B3367:F3367)+O3366*(1+0.00023125256064071564))</f>
        <v/>
      </c>
      <c r="J3367">
        <f>IF(G3367=1,0.2*R3367/B3367,J3366)</f>
        <v/>
      </c>
      <c r="K3367">
        <f>IF(G3367=1,0.2*R3367/C3367,K3366)</f>
        <v/>
      </c>
      <c r="L3367">
        <f>IF(G3367=1,0.2*R3367/D3367,L3366)</f>
        <v/>
      </c>
      <c r="M3367">
        <f>IF(G3367=1,0.2*R3367/E3367,M3366)</f>
        <v/>
      </c>
      <c r="N3367">
        <f>IF(G3367=1,0.2*R3367/F3367,N3366)</f>
        <v/>
      </c>
      <c r="O3367">
        <f>IF(G3367=1,R3367*(1-1.0),IF(H3366=0,1,O3366*(1+0.00023125256064071564)))</f>
        <v/>
      </c>
      <c r="P3367">
        <f>IF(G3367=1,IF(H3366=0,1,ABS(0.2-J3366*B3367/I3367)+ABS(0.2-K3366*C3367/I3367)+ABS(0.2-L3366*D3367/I3367)+ABS(0.2-M3366*E3367/I3367)+ABS(0.2-N3366*F3367/I3367)),0)</f>
        <v/>
      </c>
      <c r="Q3367">
        <f>P3367*0.0015</f>
        <v/>
      </c>
      <c r="R3367">
        <f>I3367*(1-Q3367)</f>
        <v/>
      </c>
      <c r="S3367">
        <f>R3367/R3366-1</f>
        <v/>
      </c>
      <c r="T3367">
        <f>MAX(T3366,R3367)</f>
        <v/>
      </c>
      <c r="U3367">
        <f>R3367/T3367-1</f>
        <v/>
      </c>
      <c r="V3367" t="n">
        <v>8.213904982590186</v>
      </c>
      <c r="W3367" s="5">
        <f>R3367-V3367</f>
        <v/>
      </c>
    </row>
    <row r="3368">
      <c r="A3368" s="3" t="n">
        <v>43398</v>
      </c>
      <c r="B3368">
        <f>Prices!B3368</f>
        <v/>
      </c>
      <c r="C3368">
        <f>Prices!C3368</f>
        <v/>
      </c>
      <c r="D3368">
        <f>Prices!D3368</f>
        <v/>
      </c>
      <c r="E3368">
        <f>Prices!E3368</f>
        <v/>
      </c>
      <c r="F3368">
        <f>Prices!F3368</f>
        <v/>
      </c>
      <c r="G3368">
        <f>IF(AND(3366&gt;=16,TEXT(A3368,"yyyy-mm")&lt;&gt;TEXT(A3369,"yyyy-mm")),1,0)</f>
        <v/>
      </c>
      <c r="H3368">
        <f>IF(OR(H3367=1,G3368=1),1,0)</f>
        <v/>
      </c>
      <c r="I3368">
        <f>IF(H3367=0,1,SUMPRODUCT(J3367:N3367,B3368:F3368)+O3367*(1+0.00023125256064071564))</f>
        <v/>
      </c>
      <c r="J3368">
        <f>IF(G3368=1,0.2*R3368/B3368,J3367)</f>
        <v/>
      </c>
      <c r="K3368">
        <f>IF(G3368=1,0.2*R3368/C3368,K3367)</f>
        <v/>
      </c>
      <c r="L3368">
        <f>IF(G3368=1,0.2*R3368/D3368,L3367)</f>
        <v/>
      </c>
      <c r="M3368">
        <f>IF(G3368=1,0.2*R3368/E3368,M3367)</f>
        <v/>
      </c>
      <c r="N3368">
        <f>IF(G3368=1,0.2*R3368/F3368,N3367)</f>
        <v/>
      </c>
      <c r="O3368">
        <f>IF(G3368=1,R3368*(1-1.0),IF(H3367=0,1,O3367*(1+0.00023125256064071564)))</f>
        <v/>
      </c>
      <c r="P3368">
        <f>IF(G3368=1,IF(H3367=0,1,ABS(0.2-J3367*B3368/I3368)+ABS(0.2-K3367*C3368/I3368)+ABS(0.2-L3367*D3368/I3368)+ABS(0.2-M3367*E3368/I3368)+ABS(0.2-N3367*F3368/I3368)),0)</f>
        <v/>
      </c>
      <c r="Q3368">
        <f>P3368*0.0015</f>
        <v/>
      </c>
      <c r="R3368">
        <f>I3368*(1-Q3368)</f>
        <v/>
      </c>
      <c r="S3368">
        <f>R3368/R3367-1</f>
        <v/>
      </c>
      <c r="T3368">
        <f>MAX(T3367,R3368)</f>
        <v/>
      </c>
      <c r="U3368">
        <f>R3368/T3368-1</f>
        <v/>
      </c>
      <c r="V3368" t="n">
        <v>8.141852501419701</v>
      </c>
      <c r="W3368" s="5">
        <f>R3368-V3368</f>
        <v/>
      </c>
    </row>
    <row r="3369">
      <c r="A3369" s="3" t="n">
        <v>43399</v>
      </c>
      <c r="B3369">
        <f>Prices!B3369</f>
        <v/>
      </c>
      <c r="C3369">
        <f>Prices!C3369</f>
        <v/>
      </c>
      <c r="D3369">
        <f>Prices!D3369</f>
        <v/>
      </c>
      <c r="E3369">
        <f>Prices!E3369</f>
        <v/>
      </c>
      <c r="F3369">
        <f>Prices!F3369</f>
        <v/>
      </c>
      <c r="G3369">
        <f>IF(AND(3367&gt;=16,TEXT(A3369,"yyyy-mm")&lt;&gt;TEXT(A3370,"yyyy-mm")),1,0)</f>
        <v/>
      </c>
      <c r="H3369">
        <f>IF(OR(H3368=1,G3369=1),1,0)</f>
        <v/>
      </c>
      <c r="I3369">
        <f>IF(H3368=0,1,SUMPRODUCT(J3368:N3368,B3369:F3369)+O3368*(1+0.00023125256064071564))</f>
        <v/>
      </c>
      <c r="J3369">
        <f>IF(G3369=1,0.2*R3369/B3369,J3368)</f>
        <v/>
      </c>
      <c r="K3369">
        <f>IF(G3369=1,0.2*R3369/C3369,K3368)</f>
        <v/>
      </c>
      <c r="L3369">
        <f>IF(G3369=1,0.2*R3369/D3369,L3368)</f>
        <v/>
      </c>
      <c r="M3369">
        <f>IF(G3369=1,0.2*R3369/E3369,M3368)</f>
        <v/>
      </c>
      <c r="N3369">
        <f>IF(G3369=1,0.2*R3369/F3369,N3368)</f>
        <v/>
      </c>
      <c r="O3369">
        <f>IF(G3369=1,R3369*(1-1.0),IF(H3368=0,1,O3368*(1+0.00023125256064071564)))</f>
        <v/>
      </c>
      <c r="P3369">
        <f>IF(G3369=1,IF(H3368=0,1,ABS(0.2-J3368*B3369/I3369)+ABS(0.2-K3368*C3369/I3369)+ABS(0.2-L3368*D3369/I3369)+ABS(0.2-M3368*E3369/I3369)+ABS(0.2-N3368*F3369/I3369)),0)</f>
        <v/>
      </c>
      <c r="Q3369">
        <f>P3369*0.0015</f>
        <v/>
      </c>
      <c r="R3369">
        <f>I3369*(1-Q3369)</f>
        <v/>
      </c>
      <c r="S3369">
        <f>R3369/R3368-1</f>
        <v/>
      </c>
      <c r="T3369">
        <f>MAX(T3368,R3369)</f>
        <v/>
      </c>
      <c r="U3369">
        <f>R3369/T3369-1</f>
        <v/>
      </c>
      <c r="V3369" t="n">
        <v>8.121323434591137</v>
      </c>
      <c r="W3369" s="5">
        <f>R3369-V3369</f>
        <v/>
      </c>
    </row>
    <row r="3370">
      <c r="A3370" s="3" t="n">
        <v>43402</v>
      </c>
      <c r="B3370">
        <f>Prices!B3370</f>
        <v/>
      </c>
      <c r="C3370">
        <f>Prices!C3370</f>
        <v/>
      </c>
      <c r="D3370">
        <f>Prices!D3370</f>
        <v/>
      </c>
      <c r="E3370">
        <f>Prices!E3370</f>
        <v/>
      </c>
      <c r="F3370">
        <f>Prices!F3370</f>
        <v/>
      </c>
      <c r="G3370">
        <f>IF(AND(3368&gt;=16,TEXT(A3370,"yyyy-mm")&lt;&gt;TEXT(A3371,"yyyy-mm")),1,0)</f>
        <v/>
      </c>
      <c r="H3370">
        <f>IF(OR(H3369=1,G3370=1),1,0)</f>
        <v/>
      </c>
      <c r="I3370">
        <f>IF(H3369=0,1,SUMPRODUCT(J3369:N3369,B3370:F3370)+O3369*(1+0.00023125256064071564))</f>
        <v/>
      </c>
      <c r="J3370">
        <f>IF(G3370=1,0.2*R3370/B3370,J3369)</f>
        <v/>
      </c>
      <c r="K3370">
        <f>IF(G3370=1,0.2*R3370/C3370,K3369)</f>
        <v/>
      </c>
      <c r="L3370">
        <f>IF(G3370=1,0.2*R3370/D3370,L3369)</f>
        <v/>
      </c>
      <c r="M3370">
        <f>IF(G3370=1,0.2*R3370/E3370,M3369)</f>
        <v/>
      </c>
      <c r="N3370">
        <f>IF(G3370=1,0.2*R3370/F3370,N3369)</f>
        <v/>
      </c>
      <c r="O3370">
        <f>IF(G3370=1,R3370*(1-1.0),IF(H3369=0,1,O3369*(1+0.00023125256064071564)))</f>
        <v/>
      </c>
      <c r="P3370">
        <f>IF(G3370=1,IF(H3369=0,1,ABS(0.2-J3369*B3370/I3370)+ABS(0.2-K3369*C3370/I3370)+ABS(0.2-L3369*D3370/I3370)+ABS(0.2-M3369*E3370/I3370)+ABS(0.2-N3369*F3370/I3370)),0)</f>
        <v/>
      </c>
      <c r="Q3370">
        <f>P3370*0.0015</f>
        <v/>
      </c>
      <c r="R3370">
        <f>I3370*(1-Q3370)</f>
        <v/>
      </c>
      <c r="S3370">
        <f>R3370/R3369-1</f>
        <v/>
      </c>
      <c r="T3370">
        <f>MAX(T3369,R3370)</f>
        <v/>
      </c>
      <c r="U3370">
        <f>R3370/T3370-1</f>
        <v/>
      </c>
      <c r="V3370" t="n">
        <v>8.324610043472751</v>
      </c>
      <c r="W3370" s="5">
        <f>R3370-V3370</f>
        <v/>
      </c>
    </row>
    <row r="3371">
      <c r="A3371" s="3" t="n">
        <v>43403</v>
      </c>
      <c r="B3371">
        <f>Prices!B3371</f>
        <v/>
      </c>
      <c r="C3371">
        <f>Prices!C3371</f>
        <v/>
      </c>
      <c r="D3371">
        <f>Prices!D3371</f>
        <v/>
      </c>
      <c r="E3371">
        <f>Prices!E3371</f>
        <v/>
      </c>
      <c r="F3371">
        <f>Prices!F3371</f>
        <v/>
      </c>
      <c r="G3371">
        <f>IF(AND(3369&gt;=16,TEXT(A3371,"yyyy-mm")&lt;&gt;TEXT(A3372,"yyyy-mm")),1,0)</f>
        <v/>
      </c>
      <c r="H3371">
        <f>IF(OR(H3370=1,G3371=1),1,0)</f>
        <v/>
      </c>
      <c r="I3371">
        <f>IF(H3370=0,1,SUMPRODUCT(J3370:N3370,B3371:F3371)+O3370*(1+0.00023125256064071564))</f>
        <v/>
      </c>
      <c r="J3371">
        <f>IF(G3371=1,0.2*R3371/B3371,J3370)</f>
        <v/>
      </c>
      <c r="K3371">
        <f>IF(G3371=1,0.2*R3371/C3371,K3370)</f>
        <v/>
      </c>
      <c r="L3371">
        <f>IF(G3371=1,0.2*R3371/D3371,L3370)</f>
        <v/>
      </c>
      <c r="M3371">
        <f>IF(G3371=1,0.2*R3371/E3371,M3370)</f>
        <v/>
      </c>
      <c r="N3371">
        <f>IF(G3371=1,0.2*R3371/F3371,N3370)</f>
        <v/>
      </c>
      <c r="O3371">
        <f>IF(G3371=1,R3371*(1-1.0),IF(H3370=0,1,O3370*(1+0.00023125256064071564)))</f>
        <v/>
      </c>
      <c r="P3371">
        <f>IF(G3371=1,IF(H3370=0,1,ABS(0.2-J3370*B3371/I3371)+ABS(0.2-K3370*C3371/I3371)+ABS(0.2-L3370*D3371/I3371)+ABS(0.2-M3370*E3371/I3371)+ABS(0.2-N3370*F3371/I3371)),0)</f>
        <v/>
      </c>
      <c r="Q3371">
        <f>P3371*0.0015</f>
        <v/>
      </c>
      <c r="R3371">
        <f>I3371*(1-Q3371)</f>
        <v/>
      </c>
      <c r="S3371">
        <f>R3371/R3370-1</f>
        <v/>
      </c>
      <c r="T3371">
        <f>MAX(T3370,R3371)</f>
        <v/>
      </c>
      <c r="U3371">
        <f>R3371/T3371-1</f>
        <v/>
      </c>
      <c r="V3371" t="n">
        <v>8.335921134172118</v>
      </c>
      <c r="W3371" s="5">
        <f>R3371-V3371</f>
        <v/>
      </c>
    </row>
    <row r="3372">
      <c r="A3372" s="3" t="n">
        <v>43404</v>
      </c>
      <c r="B3372">
        <f>Prices!B3372</f>
        <v/>
      </c>
      <c r="C3372">
        <f>Prices!C3372</f>
        <v/>
      </c>
      <c r="D3372">
        <f>Prices!D3372</f>
        <v/>
      </c>
      <c r="E3372">
        <f>Prices!E3372</f>
        <v/>
      </c>
      <c r="F3372">
        <f>Prices!F3372</f>
        <v/>
      </c>
      <c r="G3372">
        <f>IF(AND(3370&gt;=16,TEXT(A3372,"yyyy-mm")&lt;&gt;TEXT(A3373,"yyyy-mm")),1,0)</f>
        <v/>
      </c>
      <c r="H3372">
        <f>IF(OR(H3371=1,G3372=1),1,0)</f>
        <v/>
      </c>
      <c r="I3372">
        <f>IF(H3371=0,1,SUMPRODUCT(J3371:N3371,B3372:F3372)+O3371*(1+0.00023125256064071564))</f>
        <v/>
      </c>
      <c r="J3372">
        <f>IF(G3372=1,0.2*R3372/B3372,J3371)</f>
        <v/>
      </c>
      <c r="K3372">
        <f>IF(G3372=1,0.2*R3372/C3372,K3371)</f>
        <v/>
      </c>
      <c r="L3372">
        <f>IF(G3372=1,0.2*R3372/D3372,L3371)</f>
        <v/>
      </c>
      <c r="M3372">
        <f>IF(G3372=1,0.2*R3372/E3372,M3371)</f>
        <v/>
      </c>
      <c r="N3372">
        <f>IF(G3372=1,0.2*R3372/F3372,N3371)</f>
        <v/>
      </c>
      <c r="O3372">
        <f>IF(G3372=1,R3372*(1-1.0),IF(H3371=0,1,O3371*(1+0.00023125256064071564)))</f>
        <v/>
      </c>
      <c r="P3372">
        <f>IF(G3372=1,IF(H3371=0,1,ABS(0.2-J3371*B3372/I3372)+ABS(0.2-K3371*C3372/I3372)+ABS(0.2-L3371*D3372/I3372)+ABS(0.2-M3371*E3372/I3372)+ABS(0.2-N3371*F3372/I3372)),0)</f>
        <v/>
      </c>
      <c r="Q3372">
        <f>P3372*0.0015</f>
        <v/>
      </c>
      <c r="R3372">
        <f>I3372*(1-Q3372)</f>
        <v/>
      </c>
      <c r="S3372">
        <f>R3372/R3371-1</f>
        <v/>
      </c>
      <c r="T3372">
        <f>MAX(T3371,R3372)</f>
        <v/>
      </c>
      <c r="U3372">
        <f>R3372/T3372-1</f>
        <v/>
      </c>
      <c r="V3372" t="n">
        <v>8.497491416691567</v>
      </c>
      <c r="W3372" s="5">
        <f>R3372-V3372</f>
        <v/>
      </c>
    </row>
    <row r="3373">
      <c r="A3373" s="3" t="n">
        <v>43405</v>
      </c>
      <c r="B3373">
        <f>Prices!B3373</f>
        <v/>
      </c>
      <c r="C3373">
        <f>Prices!C3373</f>
        <v/>
      </c>
      <c r="D3373">
        <f>Prices!D3373</f>
        <v/>
      </c>
      <c r="E3373">
        <f>Prices!E3373</f>
        <v/>
      </c>
      <c r="F3373">
        <f>Prices!F3373</f>
        <v/>
      </c>
      <c r="G3373">
        <f>IF(AND(3371&gt;=16,TEXT(A3373,"yyyy-mm")&lt;&gt;TEXT(A3374,"yyyy-mm")),1,0)</f>
        <v/>
      </c>
      <c r="H3373">
        <f>IF(OR(H3372=1,G3373=1),1,0)</f>
        <v/>
      </c>
      <c r="I3373">
        <f>IF(H3372=0,1,SUMPRODUCT(J3372:N3372,B3373:F3373)+O3372*(1+0.00023125256064071564))</f>
        <v/>
      </c>
      <c r="J3373">
        <f>IF(G3373=1,0.2*R3373/B3373,J3372)</f>
        <v/>
      </c>
      <c r="K3373">
        <f>IF(G3373=1,0.2*R3373/C3373,K3372)</f>
        <v/>
      </c>
      <c r="L3373">
        <f>IF(G3373=1,0.2*R3373/D3373,L3372)</f>
        <v/>
      </c>
      <c r="M3373">
        <f>IF(G3373=1,0.2*R3373/E3373,M3372)</f>
        <v/>
      </c>
      <c r="N3373">
        <f>IF(G3373=1,0.2*R3373/F3373,N3372)</f>
        <v/>
      </c>
      <c r="O3373">
        <f>IF(G3373=1,R3373*(1-1.0),IF(H3372=0,1,O3372*(1+0.00023125256064071564)))</f>
        <v/>
      </c>
      <c r="P3373">
        <f>IF(G3373=1,IF(H3372=0,1,ABS(0.2-J3372*B3373/I3373)+ABS(0.2-K3372*C3373/I3373)+ABS(0.2-L3372*D3373/I3373)+ABS(0.2-M3372*E3373/I3373)+ABS(0.2-N3372*F3373/I3373)),0)</f>
        <v/>
      </c>
      <c r="Q3373">
        <f>P3373*0.0015</f>
        <v/>
      </c>
      <c r="R3373">
        <f>I3373*(1-Q3373)</f>
        <v/>
      </c>
      <c r="S3373">
        <f>R3373/R3372-1</f>
        <v/>
      </c>
      <c r="T3373">
        <f>MAX(T3372,R3373)</f>
        <v/>
      </c>
      <c r="U3373">
        <f>R3373/T3373-1</f>
        <v/>
      </c>
      <c r="V3373" t="n">
        <v>8.519232003685355</v>
      </c>
      <c r="W3373" s="5">
        <f>R3373-V3373</f>
        <v/>
      </c>
    </row>
    <row r="3374">
      <c r="A3374" s="3" t="n">
        <v>43406</v>
      </c>
      <c r="B3374">
        <f>Prices!B3374</f>
        <v/>
      </c>
      <c r="C3374">
        <f>Prices!C3374</f>
        <v/>
      </c>
      <c r="D3374">
        <f>Prices!D3374</f>
        <v/>
      </c>
      <c r="E3374">
        <f>Prices!E3374</f>
        <v/>
      </c>
      <c r="F3374">
        <f>Prices!F3374</f>
        <v/>
      </c>
      <c r="G3374">
        <f>IF(AND(3372&gt;=16,TEXT(A3374,"yyyy-mm")&lt;&gt;TEXT(A3375,"yyyy-mm")),1,0)</f>
        <v/>
      </c>
      <c r="H3374">
        <f>IF(OR(H3373=1,G3374=1),1,0)</f>
        <v/>
      </c>
      <c r="I3374">
        <f>IF(H3373=0,1,SUMPRODUCT(J3373:N3373,B3374:F3374)+O3373*(1+0.00023125256064071564))</f>
        <v/>
      </c>
      <c r="J3374">
        <f>IF(G3374=1,0.2*R3374/B3374,J3373)</f>
        <v/>
      </c>
      <c r="K3374">
        <f>IF(G3374=1,0.2*R3374/C3374,K3373)</f>
        <v/>
      </c>
      <c r="L3374">
        <f>IF(G3374=1,0.2*R3374/D3374,L3373)</f>
        <v/>
      </c>
      <c r="M3374">
        <f>IF(G3374=1,0.2*R3374/E3374,M3373)</f>
        <v/>
      </c>
      <c r="N3374">
        <f>IF(G3374=1,0.2*R3374/F3374,N3373)</f>
        <v/>
      </c>
      <c r="O3374">
        <f>IF(G3374=1,R3374*(1-1.0),IF(H3373=0,1,O3373*(1+0.00023125256064071564)))</f>
        <v/>
      </c>
      <c r="P3374">
        <f>IF(G3374=1,IF(H3373=0,1,ABS(0.2-J3373*B3374/I3374)+ABS(0.2-K3373*C3374/I3374)+ABS(0.2-L3373*D3374/I3374)+ABS(0.2-M3373*E3374/I3374)+ABS(0.2-N3373*F3374/I3374)),0)</f>
        <v/>
      </c>
      <c r="Q3374">
        <f>P3374*0.0015</f>
        <v/>
      </c>
      <c r="R3374">
        <f>I3374*(1-Q3374)</f>
        <v/>
      </c>
      <c r="S3374">
        <f>R3374/R3373-1</f>
        <v/>
      </c>
      <c r="T3374">
        <f>MAX(T3373,R3374)</f>
        <v/>
      </c>
      <c r="U3374">
        <f>R3374/T3374-1</f>
        <v/>
      </c>
      <c r="V3374" t="n">
        <v>8.574833396084376</v>
      </c>
      <c r="W3374" s="5">
        <f>R3374-V3374</f>
        <v/>
      </c>
    </row>
    <row r="3375">
      <c r="A3375" s="3" t="n">
        <v>43409</v>
      </c>
      <c r="B3375">
        <f>Prices!B3375</f>
        <v/>
      </c>
      <c r="C3375">
        <f>Prices!C3375</f>
        <v/>
      </c>
      <c r="D3375">
        <f>Prices!D3375</f>
        <v/>
      </c>
      <c r="E3375">
        <f>Prices!E3375</f>
        <v/>
      </c>
      <c r="F3375">
        <f>Prices!F3375</f>
        <v/>
      </c>
      <c r="G3375">
        <f>IF(AND(3373&gt;=16,TEXT(A3375,"yyyy-mm")&lt;&gt;TEXT(A3376,"yyyy-mm")),1,0)</f>
        <v/>
      </c>
      <c r="H3375">
        <f>IF(OR(H3374=1,G3375=1),1,0)</f>
        <v/>
      </c>
      <c r="I3375">
        <f>IF(H3374=0,1,SUMPRODUCT(J3374:N3374,B3375:F3375)+O3374*(1+0.00023125256064071564))</f>
        <v/>
      </c>
      <c r="J3375">
        <f>IF(G3375=1,0.2*R3375/B3375,J3374)</f>
        <v/>
      </c>
      <c r="K3375">
        <f>IF(G3375=1,0.2*R3375/C3375,K3374)</f>
        <v/>
      </c>
      <c r="L3375">
        <f>IF(G3375=1,0.2*R3375/D3375,L3374)</f>
        <v/>
      </c>
      <c r="M3375">
        <f>IF(G3375=1,0.2*R3375/E3375,M3374)</f>
        <v/>
      </c>
      <c r="N3375">
        <f>IF(G3375=1,0.2*R3375/F3375,N3374)</f>
        <v/>
      </c>
      <c r="O3375">
        <f>IF(G3375=1,R3375*(1-1.0),IF(H3374=0,1,O3374*(1+0.00023125256064071564)))</f>
        <v/>
      </c>
      <c r="P3375">
        <f>IF(G3375=1,IF(H3374=0,1,ABS(0.2-J3374*B3375/I3375)+ABS(0.2-K3374*C3375/I3375)+ABS(0.2-L3374*D3375/I3375)+ABS(0.2-M3374*E3375/I3375)+ABS(0.2-N3374*F3375/I3375)),0)</f>
        <v/>
      </c>
      <c r="Q3375">
        <f>P3375*0.0015</f>
        <v/>
      </c>
      <c r="R3375">
        <f>I3375*(1-Q3375)</f>
        <v/>
      </c>
      <c r="S3375">
        <f>R3375/R3374-1</f>
        <v/>
      </c>
      <c r="T3375">
        <f>MAX(T3374,R3375)</f>
        <v/>
      </c>
      <c r="U3375">
        <f>R3375/T3375-1</f>
        <v/>
      </c>
      <c r="V3375" t="n">
        <v>8.538597724064719</v>
      </c>
      <c r="W3375" s="5">
        <f>R3375-V3375</f>
        <v/>
      </c>
    </row>
    <row r="3376">
      <c r="A3376" s="3" t="n">
        <v>43410</v>
      </c>
      <c r="B3376">
        <f>Prices!B3376</f>
        <v/>
      </c>
      <c r="C3376">
        <f>Prices!C3376</f>
        <v/>
      </c>
      <c r="D3376">
        <f>Prices!D3376</f>
        <v/>
      </c>
      <c r="E3376">
        <f>Prices!E3376</f>
        <v/>
      </c>
      <c r="F3376">
        <f>Prices!F3376</f>
        <v/>
      </c>
      <c r="G3376">
        <f>IF(AND(3374&gt;=16,TEXT(A3376,"yyyy-mm")&lt;&gt;TEXT(A3377,"yyyy-mm")),1,0)</f>
        <v/>
      </c>
      <c r="H3376">
        <f>IF(OR(H3375=1,G3376=1),1,0)</f>
        <v/>
      </c>
      <c r="I3376">
        <f>IF(H3375=0,1,SUMPRODUCT(J3375:N3375,B3376:F3376)+O3375*(1+0.00023125256064071564))</f>
        <v/>
      </c>
      <c r="J3376">
        <f>IF(G3376=1,0.2*R3376/B3376,J3375)</f>
        <v/>
      </c>
      <c r="K3376">
        <f>IF(G3376=1,0.2*R3376/C3376,K3375)</f>
        <v/>
      </c>
      <c r="L3376">
        <f>IF(G3376=1,0.2*R3376/D3376,L3375)</f>
        <v/>
      </c>
      <c r="M3376">
        <f>IF(G3376=1,0.2*R3376/E3376,M3375)</f>
        <v/>
      </c>
      <c r="N3376">
        <f>IF(G3376=1,0.2*R3376/F3376,N3375)</f>
        <v/>
      </c>
      <c r="O3376">
        <f>IF(G3376=1,R3376*(1-1.0),IF(H3375=0,1,O3375*(1+0.00023125256064071564)))</f>
        <v/>
      </c>
      <c r="P3376">
        <f>IF(G3376=1,IF(H3375=0,1,ABS(0.2-J3375*B3376/I3376)+ABS(0.2-K3375*C3376/I3376)+ABS(0.2-L3375*D3376/I3376)+ABS(0.2-M3375*E3376/I3376)+ABS(0.2-N3375*F3376/I3376)),0)</f>
        <v/>
      </c>
      <c r="Q3376">
        <f>P3376*0.0015</f>
        <v/>
      </c>
      <c r="R3376">
        <f>I3376*(1-Q3376)</f>
        <v/>
      </c>
      <c r="S3376">
        <f>R3376/R3375-1</f>
        <v/>
      </c>
      <c r="T3376">
        <f>MAX(T3375,R3376)</f>
        <v/>
      </c>
      <c r="U3376">
        <f>R3376/T3376-1</f>
        <v/>
      </c>
      <c r="V3376" t="n">
        <v>8.526462139566469</v>
      </c>
      <c r="W3376" s="5">
        <f>R3376-V3376</f>
        <v/>
      </c>
    </row>
    <row r="3377">
      <c r="A3377" s="3" t="n">
        <v>43411</v>
      </c>
      <c r="B3377">
        <f>Prices!B3377</f>
        <v/>
      </c>
      <c r="C3377">
        <f>Prices!C3377</f>
        <v/>
      </c>
      <c r="D3377">
        <f>Prices!D3377</f>
        <v/>
      </c>
      <c r="E3377">
        <f>Prices!E3377</f>
        <v/>
      </c>
      <c r="F3377">
        <f>Prices!F3377</f>
        <v/>
      </c>
      <c r="G3377">
        <f>IF(AND(3375&gt;=16,TEXT(A3377,"yyyy-mm")&lt;&gt;TEXT(A3378,"yyyy-mm")),1,0)</f>
        <v/>
      </c>
      <c r="H3377">
        <f>IF(OR(H3376=1,G3377=1),1,0)</f>
        <v/>
      </c>
      <c r="I3377">
        <f>IF(H3376=0,1,SUMPRODUCT(J3376:N3376,B3377:F3377)+O3376*(1+0.00023125256064071564))</f>
        <v/>
      </c>
      <c r="J3377">
        <f>IF(G3377=1,0.2*R3377/B3377,J3376)</f>
        <v/>
      </c>
      <c r="K3377">
        <f>IF(G3377=1,0.2*R3377/C3377,K3376)</f>
        <v/>
      </c>
      <c r="L3377">
        <f>IF(G3377=1,0.2*R3377/D3377,L3376)</f>
        <v/>
      </c>
      <c r="M3377">
        <f>IF(G3377=1,0.2*R3377/E3377,M3376)</f>
        <v/>
      </c>
      <c r="N3377">
        <f>IF(G3377=1,0.2*R3377/F3377,N3376)</f>
        <v/>
      </c>
      <c r="O3377">
        <f>IF(G3377=1,R3377*(1-1.0),IF(H3376=0,1,O3376*(1+0.00023125256064071564)))</f>
        <v/>
      </c>
      <c r="P3377">
        <f>IF(G3377=1,IF(H3376=0,1,ABS(0.2-J3376*B3377/I3377)+ABS(0.2-K3376*C3377/I3377)+ABS(0.2-L3376*D3377/I3377)+ABS(0.2-M3376*E3377/I3377)+ABS(0.2-N3376*F3377/I3377)),0)</f>
        <v/>
      </c>
      <c r="Q3377">
        <f>P3377*0.0015</f>
        <v/>
      </c>
      <c r="R3377">
        <f>I3377*(1-Q3377)</f>
        <v/>
      </c>
      <c r="S3377">
        <f>R3377/R3376-1</f>
        <v/>
      </c>
      <c r="T3377">
        <f>MAX(T3376,R3377)</f>
        <v/>
      </c>
      <c r="U3377">
        <f>R3377/T3377-1</f>
        <v/>
      </c>
      <c r="V3377" t="n">
        <v>8.599156516827192</v>
      </c>
      <c r="W3377" s="5">
        <f>R3377-V3377</f>
        <v/>
      </c>
    </row>
    <row r="3378">
      <c r="A3378" s="3" t="n">
        <v>43413</v>
      </c>
      <c r="B3378">
        <f>Prices!B3378</f>
        <v/>
      </c>
      <c r="C3378">
        <f>Prices!C3378</f>
        <v/>
      </c>
      <c r="D3378">
        <f>Prices!D3378</f>
        <v/>
      </c>
      <c r="E3378">
        <f>Prices!E3378</f>
        <v/>
      </c>
      <c r="F3378">
        <f>Prices!F3378</f>
        <v/>
      </c>
      <c r="G3378">
        <f>IF(AND(3376&gt;=16,TEXT(A3378,"yyyy-mm")&lt;&gt;TEXT(A3379,"yyyy-mm")),1,0)</f>
        <v/>
      </c>
      <c r="H3378">
        <f>IF(OR(H3377=1,G3378=1),1,0)</f>
        <v/>
      </c>
      <c r="I3378">
        <f>IF(H3377=0,1,SUMPRODUCT(J3377:N3377,B3378:F3378)+O3377*(1+0.00023125256064071564))</f>
        <v/>
      </c>
      <c r="J3378">
        <f>IF(G3378=1,0.2*R3378/B3378,J3377)</f>
        <v/>
      </c>
      <c r="K3378">
        <f>IF(G3378=1,0.2*R3378/C3378,K3377)</f>
        <v/>
      </c>
      <c r="L3378">
        <f>IF(G3378=1,0.2*R3378/D3378,L3377)</f>
        <v/>
      </c>
      <c r="M3378">
        <f>IF(G3378=1,0.2*R3378/E3378,M3377)</f>
        <v/>
      </c>
      <c r="N3378">
        <f>IF(G3378=1,0.2*R3378/F3378,N3377)</f>
        <v/>
      </c>
      <c r="O3378">
        <f>IF(G3378=1,R3378*(1-1.0),IF(H3377=0,1,O3377*(1+0.00023125256064071564)))</f>
        <v/>
      </c>
      <c r="P3378">
        <f>IF(G3378=1,IF(H3377=0,1,ABS(0.2-J3377*B3378/I3378)+ABS(0.2-K3377*C3378/I3378)+ABS(0.2-L3377*D3378/I3378)+ABS(0.2-M3377*E3378/I3378)+ABS(0.2-N3377*F3378/I3378)),0)</f>
        <v/>
      </c>
      <c r="Q3378">
        <f>P3378*0.0015</f>
        <v/>
      </c>
      <c r="R3378">
        <f>I3378*(1-Q3378)</f>
        <v/>
      </c>
      <c r="S3378">
        <f>R3378/R3377-1</f>
        <v/>
      </c>
      <c r="T3378">
        <f>MAX(T3377,R3378)</f>
        <v/>
      </c>
      <c r="U3378">
        <f>R3378/T3378-1</f>
        <v/>
      </c>
      <c r="V3378" t="n">
        <v>8.653773346273885</v>
      </c>
      <c r="W3378" s="5">
        <f>R3378-V3378</f>
        <v/>
      </c>
    </row>
    <row r="3379">
      <c r="A3379" s="3" t="n">
        <v>43416</v>
      </c>
      <c r="B3379">
        <f>Prices!B3379</f>
        <v/>
      </c>
      <c r="C3379">
        <f>Prices!C3379</f>
        <v/>
      </c>
      <c r="D3379">
        <f>Prices!D3379</f>
        <v/>
      </c>
      <c r="E3379">
        <f>Prices!E3379</f>
        <v/>
      </c>
      <c r="F3379">
        <f>Prices!F3379</f>
        <v/>
      </c>
      <c r="G3379">
        <f>IF(AND(3377&gt;=16,TEXT(A3379,"yyyy-mm")&lt;&gt;TEXT(A3380,"yyyy-mm")),1,0)</f>
        <v/>
      </c>
      <c r="H3379">
        <f>IF(OR(H3378=1,G3379=1),1,0)</f>
        <v/>
      </c>
      <c r="I3379">
        <f>IF(H3378=0,1,SUMPRODUCT(J3378:N3378,B3379:F3379)+O3378*(1+0.00023125256064071564))</f>
        <v/>
      </c>
      <c r="J3379">
        <f>IF(G3379=1,0.2*R3379/B3379,J3378)</f>
        <v/>
      </c>
      <c r="K3379">
        <f>IF(G3379=1,0.2*R3379/C3379,K3378)</f>
        <v/>
      </c>
      <c r="L3379">
        <f>IF(G3379=1,0.2*R3379/D3379,L3378)</f>
        <v/>
      </c>
      <c r="M3379">
        <f>IF(G3379=1,0.2*R3379/E3379,M3378)</f>
        <v/>
      </c>
      <c r="N3379">
        <f>IF(G3379=1,0.2*R3379/F3379,N3378)</f>
        <v/>
      </c>
      <c r="O3379">
        <f>IF(G3379=1,R3379*(1-1.0),IF(H3378=0,1,O3378*(1+0.00023125256064071564)))</f>
        <v/>
      </c>
      <c r="P3379">
        <f>IF(G3379=1,IF(H3378=0,1,ABS(0.2-J3378*B3379/I3379)+ABS(0.2-K3378*C3379/I3379)+ABS(0.2-L3378*D3379/I3379)+ABS(0.2-M3378*E3379/I3379)+ABS(0.2-N3378*F3379/I3379)),0)</f>
        <v/>
      </c>
      <c r="Q3379">
        <f>P3379*0.0015</f>
        <v/>
      </c>
      <c r="R3379">
        <f>I3379*(1-Q3379)</f>
        <v/>
      </c>
      <c r="S3379">
        <f>R3379/R3378-1</f>
        <v/>
      </c>
      <c r="T3379">
        <f>MAX(T3378,R3379)</f>
        <v/>
      </c>
      <c r="U3379">
        <f>R3379/T3379-1</f>
        <v/>
      </c>
      <c r="V3379" t="n">
        <v>8.582538774306041</v>
      </c>
      <c r="W3379" s="5">
        <f>R3379-V3379</f>
        <v/>
      </c>
    </row>
    <row r="3380">
      <c r="A3380" s="3" t="n">
        <v>43417</v>
      </c>
      <c r="B3380">
        <f>Prices!B3380</f>
        <v/>
      </c>
      <c r="C3380">
        <f>Prices!C3380</f>
        <v/>
      </c>
      <c r="D3380">
        <f>Prices!D3380</f>
        <v/>
      </c>
      <c r="E3380">
        <f>Prices!E3380</f>
        <v/>
      </c>
      <c r="F3380">
        <f>Prices!F3380</f>
        <v/>
      </c>
      <c r="G3380">
        <f>IF(AND(3378&gt;=16,TEXT(A3380,"yyyy-mm")&lt;&gt;TEXT(A3381,"yyyy-mm")),1,0)</f>
        <v/>
      </c>
      <c r="H3380">
        <f>IF(OR(H3379=1,G3380=1),1,0)</f>
        <v/>
      </c>
      <c r="I3380">
        <f>IF(H3379=0,1,SUMPRODUCT(J3379:N3379,B3380:F3380)+O3379*(1+0.00023125256064071564))</f>
        <v/>
      </c>
      <c r="J3380">
        <f>IF(G3380=1,0.2*R3380/B3380,J3379)</f>
        <v/>
      </c>
      <c r="K3380">
        <f>IF(G3380=1,0.2*R3380/C3380,K3379)</f>
        <v/>
      </c>
      <c r="L3380">
        <f>IF(G3380=1,0.2*R3380/D3380,L3379)</f>
        <v/>
      </c>
      <c r="M3380">
        <f>IF(G3380=1,0.2*R3380/E3380,M3379)</f>
        <v/>
      </c>
      <c r="N3380">
        <f>IF(G3380=1,0.2*R3380/F3380,N3379)</f>
        <v/>
      </c>
      <c r="O3380">
        <f>IF(G3380=1,R3380*(1-1.0),IF(H3379=0,1,O3379*(1+0.00023125256064071564)))</f>
        <v/>
      </c>
      <c r="P3380">
        <f>IF(G3380=1,IF(H3379=0,1,ABS(0.2-J3379*B3380/I3380)+ABS(0.2-K3379*C3380/I3380)+ABS(0.2-L3379*D3380/I3380)+ABS(0.2-M3379*E3380/I3380)+ABS(0.2-N3379*F3380/I3380)),0)</f>
        <v/>
      </c>
      <c r="Q3380">
        <f>P3380*0.0015</f>
        <v/>
      </c>
      <c r="R3380">
        <f>I3380*(1-Q3380)</f>
        <v/>
      </c>
      <c r="S3380">
        <f>R3380/R3379-1</f>
        <v/>
      </c>
      <c r="T3380">
        <f>MAX(T3379,R3380)</f>
        <v/>
      </c>
      <c r="U3380">
        <f>R3380/T3380-1</f>
        <v/>
      </c>
      <c r="V3380" t="n">
        <v>8.627959500096972</v>
      </c>
      <c r="W3380" s="5">
        <f>R3380-V3380</f>
        <v/>
      </c>
    </row>
    <row r="3381">
      <c r="A3381" s="3" t="n">
        <v>43418</v>
      </c>
      <c r="B3381">
        <f>Prices!B3381</f>
        <v/>
      </c>
      <c r="C3381">
        <f>Prices!C3381</f>
        <v/>
      </c>
      <c r="D3381">
        <f>Prices!D3381</f>
        <v/>
      </c>
      <c r="E3381">
        <f>Prices!E3381</f>
        <v/>
      </c>
      <c r="F3381">
        <f>Prices!F3381</f>
        <v/>
      </c>
      <c r="G3381">
        <f>IF(AND(3379&gt;=16,TEXT(A3381,"yyyy-mm")&lt;&gt;TEXT(A3382,"yyyy-mm")),1,0)</f>
        <v/>
      </c>
      <c r="H3381">
        <f>IF(OR(H3380=1,G3381=1),1,0)</f>
        <v/>
      </c>
      <c r="I3381">
        <f>IF(H3380=0,1,SUMPRODUCT(J3380:N3380,B3381:F3381)+O3380*(1+0.00023125256064071564))</f>
        <v/>
      </c>
      <c r="J3381">
        <f>IF(G3381=1,0.2*R3381/B3381,J3380)</f>
        <v/>
      </c>
      <c r="K3381">
        <f>IF(G3381=1,0.2*R3381/C3381,K3380)</f>
        <v/>
      </c>
      <c r="L3381">
        <f>IF(G3381=1,0.2*R3381/D3381,L3380)</f>
        <v/>
      </c>
      <c r="M3381">
        <f>IF(G3381=1,0.2*R3381/E3381,M3380)</f>
        <v/>
      </c>
      <c r="N3381">
        <f>IF(G3381=1,0.2*R3381/F3381,N3380)</f>
        <v/>
      </c>
      <c r="O3381">
        <f>IF(G3381=1,R3381*(1-1.0),IF(H3380=0,1,O3380*(1+0.00023125256064071564)))</f>
        <v/>
      </c>
      <c r="P3381">
        <f>IF(G3381=1,IF(H3380=0,1,ABS(0.2-J3380*B3381/I3381)+ABS(0.2-K3380*C3381/I3381)+ABS(0.2-L3380*D3381/I3381)+ABS(0.2-M3380*E3381/I3381)+ABS(0.2-N3380*F3381/I3381)),0)</f>
        <v/>
      </c>
      <c r="Q3381">
        <f>P3381*0.0015</f>
        <v/>
      </c>
      <c r="R3381">
        <f>I3381*(1-Q3381)</f>
        <v/>
      </c>
      <c r="S3381">
        <f>R3381/R3380-1</f>
        <v/>
      </c>
      <c r="T3381">
        <f>MAX(T3380,R3381)</f>
        <v/>
      </c>
      <c r="U3381">
        <f>R3381/T3381-1</f>
        <v/>
      </c>
      <c r="V3381" t="n">
        <v>8.626985015841941</v>
      </c>
      <c r="W3381" s="5">
        <f>R3381-V3381</f>
        <v/>
      </c>
    </row>
    <row r="3382">
      <c r="A3382" s="3" t="n">
        <v>43419</v>
      </c>
      <c r="B3382">
        <f>Prices!B3382</f>
        <v/>
      </c>
      <c r="C3382">
        <f>Prices!C3382</f>
        <v/>
      </c>
      <c r="D3382">
        <f>Prices!D3382</f>
        <v/>
      </c>
      <c r="E3382">
        <f>Prices!E3382</f>
        <v/>
      </c>
      <c r="F3382">
        <f>Prices!F3382</f>
        <v/>
      </c>
      <c r="G3382">
        <f>IF(AND(3380&gt;=16,TEXT(A3382,"yyyy-mm")&lt;&gt;TEXT(A3383,"yyyy-mm")),1,0)</f>
        <v/>
      </c>
      <c r="H3382">
        <f>IF(OR(H3381=1,G3382=1),1,0)</f>
        <v/>
      </c>
      <c r="I3382">
        <f>IF(H3381=0,1,SUMPRODUCT(J3381:N3381,B3382:F3382)+O3381*(1+0.00023125256064071564))</f>
        <v/>
      </c>
      <c r="J3382">
        <f>IF(G3382=1,0.2*R3382/B3382,J3381)</f>
        <v/>
      </c>
      <c r="K3382">
        <f>IF(G3382=1,0.2*R3382/C3382,K3381)</f>
        <v/>
      </c>
      <c r="L3382">
        <f>IF(G3382=1,0.2*R3382/D3382,L3381)</f>
        <v/>
      </c>
      <c r="M3382">
        <f>IF(G3382=1,0.2*R3382/E3382,M3381)</f>
        <v/>
      </c>
      <c r="N3382">
        <f>IF(G3382=1,0.2*R3382/F3382,N3381)</f>
        <v/>
      </c>
      <c r="O3382">
        <f>IF(G3382=1,R3382*(1-1.0),IF(H3381=0,1,O3381*(1+0.00023125256064071564)))</f>
        <v/>
      </c>
      <c r="P3382">
        <f>IF(G3382=1,IF(H3381=0,1,ABS(0.2-J3381*B3382/I3382)+ABS(0.2-K3381*C3382/I3382)+ABS(0.2-L3381*D3382/I3382)+ABS(0.2-M3381*E3382/I3382)+ABS(0.2-N3381*F3382/I3382)),0)</f>
        <v/>
      </c>
      <c r="Q3382">
        <f>P3382*0.0015</f>
        <v/>
      </c>
      <c r="R3382">
        <f>I3382*(1-Q3382)</f>
        <v/>
      </c>
      <c r="S3382">
        <f>R3382/R3381-1</f>
        <v/>
      </c>
      <c r="T3382">
        <f>MAX(T3381,R3382)</f>
        <v/>
      </c>
      <c r="U3382">
        <f>R3382/T3382-1</f>
        <v/>
      </c>
      <c r="V3382" t="n">
        <v>8.656354315891043</v>
      </c>
      <c r="W3382" s="5">
        <f>R3382-V3382</f>
        <v/>
      </c>
    </row>
    <row r="3383">
      <c r="A3383" s="3" t="n">
        <v>43420</v>
      </c>
      <c r="B3383">
        <f>Prices!B3383</f>
        <v/>
      </c>
      <c r="C3383">
        <f>Prices!C3383</f>
        <v/>
      </c>
      <c r="D3383">
        <f>Prices!D3383</f>
        <v/>
      </c>
      <c r="E3383">
        <f>Prices!E3383</f>
        <v/>
      </c>
      <c r="F3383">
        <f>Prices!F3383</f>
        <v/>
      </c>
      <c r="G3383">
        <f>IF(AND(3381&gt;=16,TEXT(A3383,"yyyy-mm")&lt;&gt;TEXT(A3384,"yyyy-mm")),1,0)</f>
        <v/>
      </c>
      <c r="H3383">
        <f>IF(OR(H3382=1,G3383=1),1,0)</f>
        <v/>
      </c>
      <c r="I3383">
        <f>IF(H3382=0,1,SUMPRODUCT(J3382:N3382,B3383:F3383)+O3382*(1+0.00023125256064071564))</f>
        <v/>
      </c>
      <c r="J3383">
        <f>IF(G3383=1,0.2*R3383/B3383,J3382)</f>
        <v/>
      </c>
      <c r="K3383">
        <f>IF(G3383=1,0.2*R3383/C3383,K3382)</f>
        <v/>
      </c>
      <c r="L3383">
        <f>IF(G3383=1,0.2*R3383/D3383,L3382)</f>
        <v/>
      </c>
      <c r="M3383">
        <f>IF(G3383=1,0.2*R3383/E3383,M3382)</f>
        <v/>
      </c>
      <c r="N3383">
        <f>IF(G3383=1,0.2*R3383/F3383,N3382)</f>
        <v/>
      </c>
      <c r="O3383">
        <f>IF(G3383=1,R3383*(1-1.0),IF(H3382=0,1,O3382*(1+0.00023125256064071564)))</f>
        <v/>
      </c>
      <c r="P3383">
        <f>IF(G3383=1,IF(H3382=0,1,ABS(0.2-J3382*B3383/I3383)+ABS(0.2-K3382*C3383/I3383)+ABS(0.2-L3382*D3383/I3383)+ABS(0.2-M3382*E3383/I3383)+ABS(0.2-N3382*F3383/I3383)),0)</f>
        <v/>
      </c>
      <c r="Q3383">
        <f>P3383*0.0015</f>
        <v/>
      </c>
      <c r="R3383">
        <f>I3383*(1-Q3383)</f>
        <v/>
      </c>
      <c r="S3383">
        <f>R3383/R3382-1</f>
        <v/>
      </c>
      <c r="T3383">
        <f>MAX(T3382,R3383)</f>
        <v/>
      </c>
      <c r="U3383">
        <f>R3383/T3383-1</f>
        <v/>
      </c>
      <c r="V3383" t="n">
        <v>8.656829643518426</v>
      </c>
      <c r="W3383" s="5">
        <f>R3383-V3383</f>
        <v/>
      </c>
    </row>
    <row r="3384">
      <c r="A3384" s="3" t="n">
        <v>43423</v>
      </c>
      <c r="B3384">
        <f>Prices!B3384</f>
        <v/>
      </c>
      <c r="C3384">
        <f>Prices!C3384</f>
        <v/>
      </c>
      <c r="D3384">
        <f>Prices!D3384</f>
        <v/>
      </c>
      <c r="E3384">
        <f>Prices!E3384</f>
        <v/>
      </c>
      <c r="F3384">
        <f>Prices!F3384</f>
        <v/>
      </c>
      <c r="G3384">
        <f>IF(AND(3382&gt;=16,TEXT(A3384,"yyyy-mm")&lt;&gt;TEXT(A3385,"yyyy-mm")),1,0)</f>
        <v/>
      </c>
      <c r="H3384">
        <f>IF(OR(H3383=1,G3384=1),1,0)</f>
        <v/>
      </c>
      <c r="I3384">
        <f>IF(H3383=0,1,SUMPRODUCT(J3383:N3383,B3384:F3384)+O3383*(1+0.00023125256064071564))</f>
        <v/>
      </c>
      <c r="J3384">
        <f>IF(G3384=1,0.2*R3384/B3384,J3383)</f>
        <v/>
      </c>
      <c r="K3384">
        <f>IF(G3384=1,0.2*R3384/C3384,K3383)</f>
        <v/>
      </c>
      <c r="L3384">
        <f>IF(G3384=1,0.2*R3384/D3384,L3383)</f>
        <v/>
      </c>
      <c r="M3384">
        <f>IF(G3384=1,0.2*R3384/E3384,M3383)</f>
        <v/>
      </c>
      <c r="N3384">
        <f>IF(G3384=1,0.2*R3384/F3384,N3383)</f>
        <v/>
      </c>
      <c r="O3384">
        <f>IF(G3384=1,R3384*(1-1.0),IF(H3383=0,1,O3383*(1+0.00023125256064071564)))</f>
        <v/>
      </c>
      <c r="P3384">
        <f>IF(G3384=1,IF(H3383=0,1,ABS(0.2-J3383*B3384/I3384)+ABS(0.2-K3383*C3384/I3384)+ABS(0.2-L3383*D3384/I3384)+ABS(0.2-M3383*E3384/I3384)+ABS(0.2-N3383*F3384/I3384)),0)</f>
        <v/>
      </c>
      <c r="Q3384">
        <f>P3384*0.0015</f>
        <v/>
      </c>
      <c r="R3384">
        <f>I3384*(1-Q3384)</f>
        <v/>
      </c>
      <c r="S3384">
        <f>R3384/R3383-1</f>
        <v/>
      </c>
      <c r="T3384">
        <f>MAX(T3383,R3384)</f>
        <v/>
      </c>
      <c r="U3384">
        <f>R3384/T3384-1</f>
        <v/>
      </c>
      <c r="V3384" t="n">
        <v>8.710763935869325</v>
      </c>
      <c r="W3384" s="5">
        <f>R3384-V3384</f>
        <v/>
      </c>
    </row>
    <row r="3385">
      <c r="A3385" s="3" t="n">
        <v>43424</v>
      </c>
      <c r="B3385">
        <f>Prices!B3385</f>
        <v/>
      </c>
      <c r="C3385">
        <f>Prices!C3385</f>
        <v/>
      </c>
      <c r="D3385">
        <f>Prices!D3385</f>
        <v/>
      </c>
      <c r="E3385">
        <f>Prices!E3385</f>
        <v/>
      </c>
      <c r="F3385">
        <f>Prices!F3385</f>
        <v/>
      </c>
      <c r="G3385">
        <f>IF(AND(3383&gt;=16,TEXT(A3385,"yyyy-mm")&lt;&gt;TEXT(A3386,"yyyy-mm")),1,0)</f>
        <v/>
      </c>
      <c r="H3385">
        <f>IF(OR(H3384=1,G3385=1),1,0)</f>
        <v/>
      </c>
      <c r="I3385">
        <f>IF(H3384=0,1,SUMPRODUCT(J3384:N3384,B3385:F3385)+O3384*(1+0.00023125256064071564))</f>
        <v/>
      </c>
      <c r="J3385">
        <f>IF(G3385=1,0.2*R3385/B3385,J3384)</f>
        <v/>
      </c>
      <c r="K3385">
        <f>IF(G3385=1,0.2*R3385/C3385,K3384)</f>
        <v/>
      </c>
      <c r="L3385">
        <f>IF(G3385=1,0.2*R3385/D3385,L3384)</f>
        <v/>
      </c>
      <c r="M3385">
        <f>IF(G3385=1,0.2*R3385/E3385,M3384)</f>
        <v/>
      </c>
      <c r="N3385">
        <f>IF(G3385=1,0.2*R3385/F3385,N3384)</f>
        <v/>
      </c>
      <c r="O3385">
        <f>IF(G3385=1,R3385*(1-1.0),IF(H3384=0,1,O3384*(1+0.00023125256064071564)))</f>
        <v/>
      </c>
      <c r="P3385">
        <f>IF(G3385=1,IF(H3384=0,1,ABS(0.2-J3384*B3385/I3385)+ABS(0.2-K3384*C3385/I3385)+ABS(0.2-L3384*D3385/I3385)+ABS(0.2-M3384*E3385/I3385)+ABS(0.2-N3384*F3385/I3385)),0)</f>
        <v/>
      </c>
      <c r="Q3385">
        <f>P3385*0.0015</f>
        <v/>
      </c>
      <c r="R3385">
        <f>I3385*(1-Q3385)</f>
        <v/>
      </c>
      <c r="S3385">
        <f>R3385/R3384-1</f>
        <v/>
      </c>
      <c r="T3385">
        <f>MAX(T3384,R3385)</f>
        <v/>
      </c>
      <c r="U3385">
        <f>R3385/T3385-1</f>
        <v/>
      </c>
      <c r="V3385" t="n">
        <v>8.615203422859238</v>
      </c>
      <c r="W3385" s="5">
        <f>R3385-V3385</f>
        <v/>
      </c>
    </row>
    <row r="3386">
      <c r="A3386" s="3" t="n">
        <v>43425</v>
      </c>
      <c r="B3386">
        <f>Prices!B3386</f>
        <v/>
      </c>
      <c r="C3386">
        <f>Prices!C3386</f>
        <v/>
      </c>
      <c r="D3386">
        <f>Prices!D3386</f>
        <v/>
      </c>
      <c r="E3386">
        <f>Prices!E3386</f>
        <v/>
      </c>
      <c r="F3386">
        <f>Prices!F3386</f>
        <v/>
      </c>
      <c r="G3386">
        <f>IF(AND(3384&gt;=16,TEXT(A3386,"yyyy-mm")&lt;&gt;TEXT(A3387,"yyyy-mm")),1,0)</f>
        <v/>
      </c>
      <c r="H3386">
        <f>IF(OR(H3385=1,G3386=1),1,0)</f>
        <v/>
      </c>
      <c r="I3386">
        <f>IF(H3385=0,1,SUMPRODUCT(J3385:N3385,B3386:F3386)+O3385*(1+0.00023125256064071564))</f>
        <v/>
      </c>
      <c r="J3386">
        <f>IF(G3386=1,0.2*R3386/B3386,J3385)</f>
        <v/>
      </c>
      <c r="K3386">
        <f>IF(G3386=1,0.2*R3386/C3386,K3385)</f>
        <v/>
      </c>
      <c r="L3386">
        <f>IF(G3386=1,0.2*R3386/D3386,L3385)</f>
        <v/>
      </c>
      <c r="M3386">
        <f>IF(G3386=1,0.2*R3386/E3386,M3385)</f>
        <v/>
      </c>
      <c r="N3386">
        <f>IF(G3386=1,0.2*R3386/F3386,N3385)</f>
        <v/>
      </c>
      <c r="O3386">
        <f>IF(G3386=1,R3386*(1-1.0),IF(H3385=0,1,O3385*(1+0.00023125256064071564)))</f>
        <v/>
      </c>
      <c r="P3386">
        <f>IF(G3386=1,IF(H3385=0,1,ABS(0.2-J3385*B3386/I3386)+ABS(0.2-K3385*C3386/I3386)+ABS(0.2-L3385*D3386/I3386)+ABS(0.2-M3385*E3386/I3386)+ABS(0.2-N3385*F3386/I3386)),0)</f>
        <v/>
      </c>
      <c r="Q3386">
        <f>P3386*0.0015</f>
        <v/>
      </c>
      <c r="R3386">
        <f>I3386*(1-Q3386)</f>
        <v/>
      </c>
      <c r="S3386">
        <f>R3386/R3385-1</f>
        <v/>
      </c>
      <c r="T3386">
        <f>MAX(T3385,R3386)</f>
        <v/>
      </c>
      <c r="U3386">
        <f>R3386/T3386-1</f>
        <v/>
      </c>
      <c r="V3386" t="n">
        <v>8.583271399594093</v>
      </c>
      <c r="W3386" s="5">
        <f>R3386-V3386</f>
        <v/>
      </c>
    </row>
    <row r="3387">
      <c r="A3387" s="3" t="n">
        <v>43426</v>
      </c>
      <c r="B3387">
        <f>Prices!B3387</f>
        <v/>
      </c>
      <c r="C3387">
        <f>Prices!C3387</f>
        <v/>
      </c>
      <c r="D3387">
        <f>Prices!D3387</f>
        <v/>
      </c>
      <c r="E3387">
        <f>Prices!E3387</f>
        <v/>
      </c>
      <c r="F3387">
        <f>Prices!F3387</f>
        <v/>
      </c>
      <c r="G3387">
        <f>IF(AND(3385&gt;=16,TEXT(A3387,"yyyy-mm")&lt;&gt;TEXT(A3388,"yyyy-mm")),1,0)</f>
        <v/>
      </c>
      <c r="H3387">
        <f>IF(OR(H3386=1,G3387=1),1,0)</f>
        <v/>
      </c>
      <c r="I3387">
        <f>IF(H3386=0,1,SUMPRODUCT(J3386:N3386,B3387:F3387)+O3386*(1+0.00023125256064071564))</f>
        <v/>
      </c>
      <c r="J3387">
        <f>IF(G3387=1,0.2*R3387/B3387,J3386)</f>
        <v/>
      </c>
      <c r="K3387">
        <f>IF(G3387=1,0.2*R3387/C3387,K3386)</f>
        <v/>
      </c>
      <c r="L3387">
        <f>IF(G3387=1,0.2*R3387/D3387,L3386)</f>
        <v/>
      </c>
      <c r="M3387">
        <f>IF(G3387=1,0.2*R3387/E3387,M3386)</f>
        <v/>
      </c>
      <c r="N3387">
        <f>IF(G3387=1,0.2*R3387/F3387,N3386)</f>
        <v/>
      </c>
      <c r="O3387">
        <f>IF(G3387=1,R3387*(1-1.0),IF(H3386=0,1,O3386*(1+0.00023125256064071564)))</f>
        <v/>
      </c>
      <c r="P3387">
        <f>IF(G3387=1,IF(H3386=0,1,ABS(0.2-J3386*B3387/I3387)+ABS(0.2-K3386*C3387/I3387)+ABS(0.2-L3386*D3387/I3387)+ABS(0.2-M3386*E3387/I3387)+ABS(0.2-N3386*F3387/I3387)),0)</f>
        <v/>
      </c>
      <c r="Q3387">
        <f>P3387*0.0015</f>
        <v/>
      </c>
      <c r="R3387">
        <f>I3387*(1-Q3387)</f>
        <v/>
      </c>
      <c r="S3387">
        <f>R3387/R3386-1</f>
        <v/>
      </c>
      <c r="T3387">
        <f>MAX(T3386,R3387)</f>
        <v/>
      </c>
      <c r="U3387">
        <f>R3387/T3387-1</f>
        <v/>
      </c>
      <c r="V3387" t="n">
        <v>8.513747359038522</v>
      </c>
      <c r="W3387" s="5">
        <f>R3387-V3387</f>
        <v/>
      </c>
    </row>
    <row r="3388">
      <c r="A3388" s="3" t="n">
        <v>43430</v>
      </c>
      <c r="B3388">
        <f>Prices!B3388</f>
        <v/>
      </c>
      <c r="C3388">
        <f>Prices!C3388</f>
        <v/>
      </c>
      <c r="D3388">
        <f>Prices!D3388</f>
        <v/>
      </c>
      <c r="E3388">
        <f>Prices!E3388</f>
        <v/>
      </c>
      <c r="F3388">
        <f>Prices!F3388</f>
        <v/>
      </c>
      <c r="G3388">
        <f>IF(AND(3386&gt;=16,TEXT(A3388,"yyyy-mm")&lt;&gt;TEXT(A3389,"yyyy-mm")),1,0)</f>
        <v/>
      </c>
      <c r="H3388">
        <f>IF(OR(H3387=1,G3388=1),1,0)</f>
        <v/>
      </c>
      <c r="I3388">
        <f>IF(H3387=0,1,SUMPRODUCT(J3387:N3387,B3388:F3388)+O3387*(1+0.00023125256064071564))</f>
        <v/>
      </c>
      <c r="J3388">
        <f>IF(G3388=1,0.2*R3388/B3388,J3387)</f>
        <v/>
      </c>
      <c r="K3388">
        <f>IF(G3388=1,0.2*R3388/C3388,K3387)</f>
        <v/>
      </c>
      <c r="L3388">
        <f>IF(G3388=1,0.2*R3388/D3388,L3387)</f>
        <v/>
      </c>
      <c r="M3388">
        <f>IF(G3388=1,0.2*R3388/E3388,M3387)</f>
        <v/>
      </c>
      <c r="N3388">
        <f>IF(G3388=1,0.2*R3388/F3388,N3387)</f>
        <v/>
      </c>
      <c r="O3388">
        <f>IF(G3388=1,R3388*(1-1.0),IF(H3387=0,1,O3387*(1+0.00023125256064071564)))</f>
        <v/>
      </c>
      <c r="P3388">
        <f>IF(G3388=1,IF(H3387=0,1,ABS(0.2-J3387*B3388/I3388)+ABS(0.2-K3387*C3388/I3388)+ABS(0.2-L3387*D3388/I3388)+ABS(0.2-M3387*E3388/I3388)+ABS(0.2-N3387*F3388/I3388)),0)</f>
        <v/>
      </c>
      <c r="Q3388">
        <f>P3388*0.0015</f>
        <v/>
      </c>
      <c r="R3388">
        <f>I3388*(1-Q3388)</f>
        <v/>
      </c>
      <c r="S3388">
        <f>R3388/R3387-1</f>
        <v/>
      </c>
      <c r="T3388">
        <f>MAX(T3387,R3388)</f>
        <v/>
      </c>
      <c r="U3388">
        <f>R3388/T3388-1</f>
        <v/>
      </c>
      <c r="V3388" t="n">
        <v>8.561360341200579</v>
      </c>
      <c r="W3388" s="5">
        <f>R3388-V3388</f>
        <v/>
      </c>
    </row>
    <row r="3389">
      <c r="A3389" s="3" t="n">
        <v>43431</v>
      </c>
      <c r="B3389">
        <f>Prices!B3389</f>
        <v/>
      </c>
      <c r="C3389">
        <f>Prices!C3389</f>
        <v/>
      </c>
      <c r="D3389">
        <f>Prices!D3389</f>
        <v/>
      </c>
      <c r="E3389">
        <f>Prices!E3389</f>
        <v/>
      </c>
      <c r="F3389">
        <f>Prices!F3389</f>
        <v/>
      </c>
      <c r="G3389">
        <f>IF(AND(3387&gt;=16,TEXT(A3389,"yyyy-mm")&lt;&gt;TEXT(A3390,"yyyy-mm")),1,0)</f>
        <v/>
      </c>
      <c r="H3389">
        <f>IF(OR(H3388=1,G3389=1),1,0)</f>
        <v/>
      </c>
      <c r="I3389">
        <f>IF(H3388=0,1,SUMPRODUCT(J3388:N3388,B3389:F3389)+O3388*(1+0.00023125256064071564))</f>
        <v/>
      </c>
      <c r="J3389">
        <f>IF(G3389=1,0.2*R3389/B3389,J3388)</f>
        <v/>
      </c>
      <c r="K3389">
        <f>IF(G3389=1,0.2*R3389/C3389,K3388)</f>
        <v/>
      </c>
      <c r="L3389">
        <f>IF(G3389=1,0.2*R3389/D3389,L3388)</f>
        <v/>
      </c>
      <c r="M3389">
        <f>IF(G3389=1,0.2*R3389/E3389,M3388)</f>
        <v/>
      </c>
      <c r="N3389">
        <f>IF(G3389=1,0.2*R3389/F3389,N3388)</f>
        <v/>
      </c>
      <c r="O3389">
        <f>IF(G3389=1,R3389*(1-1.0),IF(H3388=0,1,O3388*(1+0.00023125256064071564)))</f>
        <v/>
      </c>
      <c r="P3389">
        <f>IF(G3389=1,IF(H3388=0,1,ABS(0.2-J3388*B3389/I3389)+ABS(0.2-K3388*C3389/I3389)+ABS(0.2-L3388*D3389/I3389)+ABS(0.2-M3388*E3389/I3389)+ABS(0.2-N3388*F3389/I3389)),0)</f>
        <v/>
      </c>
      <c r="Q3389">
        <f>P3389*0.0015</f>
        <v/>
      </c>
      <c r="R3389">
        <f>I3389*(1-Q3389)</f>
        <v/>
      </c>
      <c r="S3389">
        <f>R3389/R3388-1</f>
        <v/>
      </c>
      <c r="T3389">
        <f>MAX(T3388,R3389)</f>
        <v/>
      </c>
      <c r="U3389">
        <f>R3389/T3389-1</f>
        <v/>
      </c>
      <c r="V3389" t="n">
        <v>8.604052179110752</v>
      </c>
      <c r="W3389" s="5">
        <f>R3389-V3389</f>
        <v/>
      </c>
    </row>
    <row r="3390">
      <c r="A3390" s="3" t="n">
        <v>43432</v>
      </c>
      <c r="B3390">
        <f>Prices!B3390</f>
        <v/>
      </c>
      <c r="C3390">
        <f>Prices!C3390</f>
        <v/>
      </c>
      <c r="D3390">
        <f>Prices!D3390</f>
        <v/>
      </c>
      <c r="E3390">
        <f>Prices!E3390</f>
        <v/>
      </c>
      <c r="F3390">
        <f>Prices!F3390</f>
        <v/>
      </c>
      <c r="G3390">
        <f>IF(AND(3388&gt;=16,TEXT(A3390,"yyyy-mm")&lt;&gt;TEXT(A3391,"yyyy-mm")),1,0)</f>
        <v/>
      </c>
      <c r="H3390">
        <f>IF(OR(H3389=1,G3390=1),1,0)</f>
        <v/>
      </c>
      <c r="I3390">
        <f>IF(H3389=0,1,SUMPRODUCT(J3389:N3389,B3390:F3390)+O3389*(1+0.00023125256064071564))</f>
        <v/>
      </c>
      <c r="J3390">
        <f>IF(G3390=1,0.2*R3390/B3390,J3389)</f>
        <v/>
      </c>
      <c r="K3390">
        <f>IF(G3390=1,0.2*R3390/C3390,K3389)</f>
        <v/>
      </c>
      <c r="L3390">
        <f>IF(G3390=1,0.2*R3390/D3390,L3389)</f>
        <v/>
      </c>
      <c r="M3390">
        <f>IF(G3390=1,0.2*R3390/E3390,M3389)</f>
        <v/>
      </c>
      <c r="N3390">
        <f>IF(G3390=1,0.2*R3390/F3390,N3389)</f>
        <v/>
      </c>
      <c r="O3390">
        <f>IF(G3390=1,R3390*(1-1.0),IF(H3389=0,1,O3389*(1+0.00023125256064071564)))</f>
        <v/>
      </c>
      <c r="P3390">
        <f>IF(G3390=1,IF(H3389=0,1,ABS(0.2-J3389*B3390/I3390)+ABS(0.2-K3389*C3390/I3390)+ABS(0.2-L3389*D3390/I3390)+ABS(0.2-M3389*E3390/I3390)+ABS(0.2-N3389*F3390/I3390)),0)</f>
        <v/>
      </c>
      <c r="Q3390">
        <f>P3390*0.0015</f>
        <v/>
      </c>
      <c r="R3390">
        <f>I3390*(1-Q3390)</f>
        <v/>
      </c>
      <c r="S3390">
        <f>R3390/R3389-1</f>
        <v/>
      </c>
      <c r="T3390">
        <f>MAX(T3389,R3390)</f>
        <v/>
      </c>
      <c r="U3390">
        <f>R3390/T3390-1</f>
        <v/>
      </c>
      <c r="V3390" t="n">
        <v>8.56376753893886</v>
      </c>
      <c r="W3390" s="5">
        <f>R3390-V3390</f>
        <v/>
      </c>
    </row>
    <row r="3391">
      <c r="A3391" s="3" t="n">
        <v>43433</v>
      </c>
      <c r="B3391">
        <f>Prices!B3391</f>
        <v/>
      </c>
      <c r="C3391">
        <f>Prices!C3391</f>
        <v/>
      </c>
      <c r="D3391">
        <f>Prices!D3391</f>
        <v/>
      </c>
      <c r="E3391">
        <f>Prices!E3391</f>
        <v/>
      </c>
      <c r="F3391">
        <f>Prices!F3391</f>
        <v/>
      </c>
      <c r="G3391">
        <f>IF(AND(3389&gt;=16,TEXT(A3391,"yyyy-mm")&lt;&gt;TEXT(A3392,"yyyy-mm")),1,0)</f>
        <v/>
      </c>
      <c r="H3391">
        <f>IF(OR(H3390=1,G3391=1),1,0)</f>
        <v/>
      </c>
      <c r="I3391">
        <f>IF(H3390=0,1,SUMPRODUCT(J3390:N3390,B3391:F3391)+O3390*(1+0.00023125256064071564))</f>
        <v/>
      </c>
      <c r="J3391">
        <f>IF(G3391=1,0.2*R3391/B3391,J3390)</f>
        <v/>
      </c>
      <c r="K3391">
        <f>IF(G3391=1,0.2*R3391/C3391,K3390)</f>
        <v/>
      </c>
      <c r="L3391">
        <f>IF(G3391=1,0.2*R3391/D3391,L3390)</f>
        <v/>
      </c>
      <c r="M3391">
        <f>IF(G3391=1,0.2*R3391/E3391,M3390)</f>
        <v/>
      </c>
      <c r="N3391">
        <f>IF(G3391=1,0.2*R3391/F3391,N3390)</f>
        <v/>
      </c>
      <c r="O3391">
        <f>IF(G3391=1,R3391*(1-1.0),IF(H3390=0,1,O3390*(1+0.00023125256064071564)))</f>
        <v/>
      </c>
      <c r="P3391">
        <f>IF(G3391=1,IF(H3390=0,1,ABS(0.2-J3390*B3391/I3391)+ABS(0.2-K3390*C3391/I3391)+ABS(0.2-L3390*D3391/I3391)+ABS(0.2-M3390*E3391/I3391)+ABS(0.2-N3390*F3391/I3391)),0)</f>
        <v/>
      </c>
      <c r="Q3391">
        <f>P3391*0.0015</f>
        <v/>
      </c>
      <c r="R3391">
        <f>I3391*(1-Q3391)</f>
        <v/>
      </c>
      <c r="S3391">
        <f>R3391/R3390-1</f>
        <v/>
      </c>
      <c r="T3391">
        <f>MAX(T3390,R3391)</f>
        <v/>
      </c>
      <c r="U3391">
        <f>R3391/T3391-1</f>
        <v/>
      </c>
      <c r="V3391" t="n">
        <v>8.595859994595259</v>
      </c>
      <c r="W3391" s="5">
        <f>R3391-V3391</f>
        <v/>
      </c>
    </row>
    <row r="3392">
      <c r="A3392" s="3" t="n">
        <v>43434</v>
      </c>
      <c r="B3392">
        <f>Prices!B3392</f>
        <v/>
      </c>
      <c r="C3392">
        <f>Prices!C3392</f>
        <v/>
      </c>
      <c r="D3392">
        <f>Prices!D3392</f>
        <v/>
      </c>
      <c r="E3392">
        <f>Prices!E3392</f>
        <v/>
      </c>
      <c r="F3392">
        <f>Prices!F3392</f>
        <v/>
      </c>
      <c r="G3392">
        <f>IF(AND(3390&gt;=16,TEXT(A3392,"yyyy-mm")&lt;&gt;TEXT(A3393,"yyyy-mm")),1,0)</f>
        <v/>
      </c>
      <c r="H3392">
        <f>IF(OR(H3391=1,G3392=1),1,0)</f>
        <v/>
      </c>
      <c r="I3392">
        <f>IF(H3391=0,1,SUMPRODUCT(J3391:N3391,B3392:F3392)+O3391*(1+0.00023125256064071564))</f>
        <v/>
      </c>
      <c r="J3392">
        <f>IF(G3392=1,0.2*R3392/B3392,J3391)</f>
        <v/>
      </c>
      <c r="K3392">
        <f>IF(G3392=1,0.2*R3392/C3392,K3391)</f>
        <v/>
      </c>
      <c r="L3392">
        <f>IF(G3392=1,0.2*R3392/D3392,L3391)</f>
        <v/>
      </c>
      <c r="M3392">
        <f>IF(G3392=1,0.2*R3392/E3392,M3391)</f>
        <v/>
      </c>
      <c r="N3392">
        <f>IF(G3392=1,0.2*R3392/F3392,N3391)</f>
        <v/>
      </c>
      <c r="O3392">
        <f>IF(G3392=1,R3392*(1-1.0),IF(H3391=0,1,O3391*(1+0.00023125256064071564)))</f>
        <v/>
      </c>
      <c r="P3392">
        <f>IF(G3392=1,IF(H3391=0,1,ABS(0.2-J3391*B3392/I3392)+ABS(0.2-K3391*C3392/I3392)+ABS(0.2-L3391*D3392/I3392)+ABS(0.2-M3391*E3392/I3392)+ABS(0.2-N3391*F3392/I3392)),0)</f>
        <v/>
      </c>
      <c r="Q3392">
        <f>P3392*0.0015</f>
        <v/>
      </c>
      <c r="R3392">
        <f>I3392*(1-Q3392)</f>
        <v/>
      </c>
      <c r="S3392">
        <f>R3392/R3391-1</f>
        <v/>
      </c>
      <c r="T3392">
        <f>MAX(T3391,R3392)</f>
        <v/>
      </c>
      <c r="U3392">
        <f>R3392/T3392-1</f>
        <v/>
      </c>
      <c r="V3392" t="n">
        <v>8.643440866837455</v>
      </c>
      <c r="W3392" s="5">
        <f>R3392-V3392</f>
        <v/>
      </c>
    </row>
    <row r="3393">
      <c r="A3393" s="3" t="n">
        <v>43437</v>
      </c>
      <c r="B3393">
        <f>Prices!B3393</f>
        <v/>
      </c>
      <c r="C3393">
        <f>Prices!C3393</f>
        <v/>
      </c>
      <c r="D3393">
        <f>Prices!D3393</f>
        <v/>
      </c>
      <c r="E3393">
        <f>Prices!E3393</f>
        <v/>
      </c>
      <c r="F3393">
        <f>Prices!F3393</f>
        <v/>
      </c>
      <c r="G3393">
        <f>IF(AND(3391&gt;=16,TEXT(A3393,"yyyy-mm")&lt;&gt;TEXT(A3394,"yyyy-mm")),1,0)</f>
        <v/>
      </c>
      <c r="H3393">
        <f>IF(OR(H3392=1,G3393=1),1,0)</f>
        <v/>
      </c>
      <c r="I3393">
        <f>IF(H3392=0,1,SUMPRODUCT(J3392:N3392,B3393:F3393)+O3392*(1+0.00023125256064071564))</f>
        <v/>
      </c>
      <c r="J3393">
        <f>IF(G3393=1,0.2*R3393/B3393,J3392)</f>
        <v/>
      </c>
      <c r="K3393">
        <f>IF(G3393=1,0.2*R3393/C3393,K3392)</f>
        <v/>
      </c>
      <c r="L3393">
        <f>IF(G3393=1,0.2*R3393/D3393,L3392)</f>
        <v/>
      </c>
      <c r="M3393">
        <f>IF(G3393=1,0.2*R3393/E3393,M3392)</f>
        <v/>
      </c>
      <c r="N3393">
        <f>IF(G3393=1,0.2*R3393/F3393,N3392)</f>
        <v/>
      </c>
      <c r="O3393">
        <f>IF(G3393=1,R3393*(1-1.0),IF(H3392=0,1,O3392*(1+0.00023125256064071564)))</f>
        <v/>
      </c>
      <c r="P3393">
        <f>IF(G3393=1,IF(H3392=0,1,ABS(0.2-J3392*B3393/I3393)+ABS(0.2-K3392*C3393/I3393)+ABS(0.2-L3392*D3393/I3393)+ABS(0.2-M3392*E3393/I3393)+ABS(0.2-N3392*F3393/I3393)),0)</f>
        <v/>
      </c>
      <c r="Q3393">
        <f>P3393*0.0015</f>
        <v/>
      </c>
      <c r="R3393">
        <f>I3393*(1-Q3393)</f>
        <v/>
      </c>
      <c r="S3393">
        <f>R3393/R3392-1</f>
        <v/>
      </c>
      <c r="T3393">
        <f>MAX(T3392,R3393)</f>
        <v/>
      </c>
      <c r="U3393">
        <f>R3393/T3393-1</f>
        <v/>
      </c>
      <c r="V3393" t="n">
        <v>8.709187446276745</v>
      </c>
      <c r="W3393" s="5">
        <f>R3393-V3393</f>
        <v/>
      </c>
    </row>
    <row r="3394">
      <c r="A3394" s="3" t="n">
        <v>43438</v>
      </c>
      <c r="B3394">
        <f>Prices!B3394</f>
        <v/>
      </c>
      <c r="C3394">
        <f>Prices!C3394</f>
        <v/>
      </c>
      <c r="D3394">
        <f>Prices!D3394</f>
        <v/>
      </c>
      <c r="E3394">
        <f>Prices!E3394</f>
        <v/>
      </c>
      <c r="F3394">
        <f>Prices!F3394</f>
        <v/>
      </c>
      <c r="G3394">
        <f>IF(AND(3392&gt;=16,TEXT(A3394,"yyyy-mm")&lt;&gt;TEXT(A3395,"yyyy-mm")),1,0)</f>
        <v/>
      </c>
      <c r="H3394">
        <f>IF(OR(H3393=1,G3394=1),1,0)</f>
        <v/>
      </c>
      <c r="I3394">
        <f>IF(H3393=0,1,SUMPRODUCT(J3393:N3393,B3394:F3394)+O3393*(1+0.00023125256064071564))</f>
        <v/>
      </c>
      <c r="J3394">
        <f>IF(G3394=1,0.2*R3394/B3394,J3393)</f>
        <v/>
      </c>
      <c r="K3394">
        <f>IF(G3394=1,0.2*R3394/C3394,K3393)</f>
        <v/>
      </c>
      <c r="L3394">
        <f>IF(G3394=1,0.2*R3394/D3394,L3393)</f>
        <v/>
      </c>
      <c r="M3394">
        <f>IF(G3394=1,0.2*R3394/E3394,M3393)</f>
        <v/>
      </c>
      <c r="N3394">
        <f>IF(G3394=1,0.2*R3394/F3394,N3393)</f>
        <v/>
      </c>
      <c r="O3394">
        <f>IF(G3394=1,R3394*(1-1.0),IF(H3393=0,1,O3393*(1+0.00023125256064071564)))</f>
        <v/>
      </c>
      <c r="P3394">
        <f>IF(G3394=1,IF(H3393=0,1,ABS(0.2-J3393*B3394/I3394)+ABS(0.2-K3393*C3394/I3394)+ABS(0.2-L3393*D3394/I3394)+ABS(0.2-M3393*E3394/I3394)+ABS(0.2-N3393*F3394/I3394)),0)</f>
        <v/>
      </c>
      <c r="Q3394">
        <f>P3394*0.0015</f>
        <v/>
      </c>
      <c r="R3394">
        <f>I3394*(1-Q3394)</f>
        <v/>
      </c>
      <c r="S3394">
        <f>R3394/R3393-1</f>
        <v/>
      </c>
      <c r="T3394">
        <f>MAX(T3393,R3394)</f>
        <v/>
      </c>
      <c r="U3394">
        <f>R3394/T3394-1</f>
        <v/>
      </c>
      <c r="V3394" t="n">
        <v>8.719419724347127</v>
      </c>
      <c r="W3394" s="5">
        <f>R3394-V3394</f>
        <v/>
      </c>
    </row>
    <row r="3395">
      <c r="A3395" s="3" t="n">
        <v>43439</v>
      </c>
      <c r="B3395">
        <f>Prices!B3395</f>
        <v/>
      </c>
      <c r="C3395">
        <f>Prices!C3395</f>
        <v/>
      </c>
      <c r="D3395">
        <f>Prices!D3395</f>
        <v/>
      </c>
      <c r="E3395">
        <f>Prices!E3395</f>
        <v/>
      </c>
      <c r="F3395">
        <f>Prices!F3395</f>
        <v/>
      </c>
      <c r="G3395">
        <f>IF(AND(3393&gt;=16,TEXT(A3395,"yyyy-mm")&lt;&gt;TEXT(A3396,"yyyy-mm")),1,0)</f>
        <v/>
      </c>
      <c r="H3395">
        <f>IF(OR(H3394=1,G3395=1),1,0)</f>
        <v/>
      </c>
      <c r="I3395">
        <f>IF(H3394=0,1,SUMPRODUCT(J3394:N3394,B3395:F3395)+O3394*(1+0.00023125256064071564))</f>
        <v/>
      </c>
      <c r="J3395">
        <f>IF(G3395=1,0.2*R3395/B3395,J3394)</f>
        <v/>
      </c>
      <c r="K3395">
        <f>IF(G3395=1,0.2*R3395/C3395,K3394)</f>
        <v/>
      </c>
      <c r="L3395">
        <f>IF(G3395=1,0.2*R3395/D3395,L3394)</f>
        <v/>
      </c>
      <c r="M3395">
        <f>IF(G3395=1,0.2*R3395/E3395,M3394)</f>
        <v/>
      </c>
      <c r="N3395">
        <f>IF(G3395=1,0.2*R3395/F3395,N3394)</f>
        <v/>
      </c>
      <c r="O3395">
        <f>IF(G3395=1,R3395*(1-1.0),IF(H3394=0,1,O3394*(1+0.00023125256064071564)))</f>
        <v/>
      </c>
      <c r="P3395">
        <f>IF(G3395=1,IF(H3394=0,1,ABS(0.2-J3394*B3395/I3395)+ABS(0.2-K3394*C3395/I3395)+ABS(0.2-L3394*D3395/I3395)+ABS(0.2-M3394*E3395/I3395)+ABS(0.2-N3394*F3395/I3395)),0)</f>
        <v/>
      </c>
      <c r="Q3395">
        <f>P3395*0.0015</f>
        <v/>
      </c>
      <c r="R3395">
        <f>I3395*(1-Q3395)</f>
        <v/>
      </c>
      <c r="S3395">
        <f>R3395/R3394-1</f>
        <v/>
      </c>
      <c r="T3395">
        <f>MAX(T3394,R3395)</f>
        <v/>
      </c>
      <c r="U3395">
        <f>R3395/T3395-1</f>
        <v/>
      </c>
      <c r="V3395" t="n">
        <v>8.62109312015412</v>
      </c>
      <c r="W3395" s="5">
        <f>R3395-V3395</f>
        <v/>
      </c>
    </row>
    <row r="3396">
      <c r="A3396" s="3" t="n">
        <v>43440</v>
      </c>
      <c r="B3396">
        <f>Prices!B3396</f>
        <v/>
      </c>
      <c r="C3396">
        <f>Prices!C3396</f>
        <v/>
      </c>
      <c r="D3396">
        <f>Prices!D3396</f>
        <v/>
      </c>
      <c r="E3396">
        <f>Prices!E3396</f>
        <v/>
      </c>
      <c r="F3396">
        <f>Prices!F3396</f>
        <v/>
      </c>
      <c r="G3396">
        <f>IF(AND(3394&gt;=16,TEXT(A3396,"yyyy-mm")&lt;&gt;TEXT(A3397,"yyyy-mm")),1,0)</f>
        <v/>
      </c>
      <c r="H3396">
        <f>IF(OR(H3395=1,G3396=1),1,0)</f>
        <v/>
      </c>
      <c r="I3396">
        <f>IF(H3395=0,1,SUMPRODUCT(J3395:N3395,B3396:F3396)+O3395*(1+0.00023125256064071564))</f>
        <v/>
      </c>
      <c r="J3396">
        <f>IF(G3396=1,0.2*R3396/B3396,J3395)</f>
        <v/>
      </c>
      <c r="K3396">
        <f>IF(G3396=1,0.2*R3396/C3396,K3395)</f>
        <v/>
      </c>
      <c r="L3396">
        <f>IF(G3396=1,0.2*R3396/D3396,L3395)</f>
        <v/>
      </c>
      <c r="M3396">
        <f>IF(G3396=1,0.2*R3396/E3396,M3395)</f>
        <v/>
      </c>
      <c r="N3396">
        <f>IF(G3396=1,0.2*R3396/F3396,N3395)</f>
        <v/>
      </c>
      <c r="O3396">
        <f>IF(G3396=1,R3396*(1-1.0),IF(H3395=0,1,O3395*(1+0.00023125256064071564)))</f>
        <v/>
      </c>
      <c r="P3396">
        <f>IF(G3396=1,IF(H3395=0,1,ABS(0.2-J3395*B3396/I3396)+ABS(0.2-K3395*C3396/I3396)+ABS(0.2-L3395*D3396/I3396)+ABS(0.2-M3395*E3396/I3396)+ABS(0.2-N3395*F3396/I3396)),0)</f>
        <v/>
      </c>
      <c r="Q3396">
        <f>P3396*0.0015</f>
        <v/>
      </c>
      <c r="R3396">
        <f>I3396*(1-Q3396)</f>
        <v/>
      </c>
      <c r="S3396">
        <f>R3396/R3395-1</f>
        <v/>
      </c>
      <c r="T3396">
        <f>MAX(T3395,R3396)</f>
        <v/>
      </c>
      <c r="U3396">
        <f>R3396/T3396-1</f>
        <v/>
      </c>
      <c r="V3396" t="n">
        <v>8.46096320178397</v>
      </c>
      <c r="W3396" s="5">
        <f>R3396-V3396</f>
        <v/>
      </c>
    </row>
    <row r="3397">
      <c r="A3397" s="3" t="n">
        <v>43441</v>
      </c>
      <c r="B3397">
        <f>Prices!B3397</f>
        <v/>
      </c>
      <c r="C3397">
        <f>Prices!C3397</f>
        <v/>
      </c>
      <c r="D3397">
        <f>Prices!D3397</f>
        <v/>
      </c>
      <c r="E3397">
        <f>Prices!E3397</f>
        <v/>
      </c>
      <c r="F3397">
        <f>Prices!F3397</f>
        <v/>
      </c>
      <c r="G3397">
        <f>IF(AND(3395&gt;=16,TEXT(A3397,"yyyy-mm")&lt;&gt;TEXT(A3398,"yyyy-mm")),1,0)</f>
        <v/>
      </c>
      <c r="H3397">
        <f>IF(OR(H3396=1,G3397=1),1,0)</f>
        <v/>
      </c>
      <c r="I3397">
        <f>IF(H3396=0,1,SUMPRODUCT(J3396:N3396,B3397:F3397)+O3396*(1+0.00023125256064071564))</f>
        <v/>
      </c>
      <c r="J3397">
        <f>IF(G3397=1,0.2*R3397/B3397,J3396)</f>
        <v/>
      </c>
      <c r="K3397">
        <f>IF(G3397=1,0.2*R3397/C3397,K3396)</f>
        <v/>
      </c>
      <c r="L3397">
        <f>IF(G3397=1,0.2*R3397/D3397,L3396)</f>
        <v/>
      </c>
      <c r="M3397">
        <f>IF(G3397=1,0.2*R3397/E3397,M3396)</f>
        <v/>
      </c>
      <c r="N3397">
        <f>IF(G3397=1,0.2*R3397/F3397,N3396)</f>
        <v/>
      </c>
      <c r="O3397">
        <f>IF(G3397=1,R3397*(1-1.0),IF(H3396=0,1,O3396*(1+0.00023125256064071564)))</f>
        <v/>
      </c>
      <c r="P3397">
        <f>IF(G3397=1,IF(H3396=0,1,ABS(0.2-J3396*B3397/I3397)+ABS(0.2-K3396*C3397/I3397)+ABS(0.2-L3396*D3397/I3397)+ABS(0.2-M3396*E3397/I3397)+ABS(0.2-N3396*F3397/I3397)),0)</f>
        <v/>
      </c>
      <c r="Q3397">
        <f>P3397*0.0015</f>
        <v/>
      </c>
      <c r="R3397">
        <f>I3397*(1-Q3397)</f>
        <v/>
      </c>
      <c r="S3397">
        <f>R3397/R3396-1</f>
        <v/>
      </c>
      <c r="T3397">
        <f>MAX(T3396,R3397)</f>
        <v/>
      </c>
      <c r="U3397">
        <f>R3397/T3397-1</f>
        <v/>
      </c>
      <c r="V3397" t="n">
        <v>8.501465781335312</v>
      </c>
      <c r="W3397" s="5">
        <f>R3397-V3397</f>
        <v/>
      </c>
    </row>
    <row r="3398">
      <c r="A3398" s="3" t="n">
        <v>43444</v>
      </c>
      <c r="B3398">
        <f>Prices!B3398</f>
        <v/>
      </c>
      <c r="C3398">
        <f>Prices!C3398</f>
        <v/>
      </c>
      <c r="D3398">
        <f>Prices!D3398</f>
        <v/>
      </c>
      <c r="E3398">
        <f>Prices!E3398</f>
        <v/>
      </c>
      <c r="F3398">
        <f>Prices!F3398</f>
        <v/>
      </c>
      <c r="G3398">
        <f>IF(AND(3396&gt;=16,TEXT(A3398,"yyyy-mm")&lt;&gt;TEXT(A3399,"yyyy-mm")),1,0)</f>
        <v/>
      </c>
      <c r="H3398">
        <f>IF(OR(H3397=1,G3398=1),1,0)</f>
        <v/>
      </c>
      <c r="I3398">
        <f>IF(H3397=0,1,SUMPRODUCT(J3397:N3397,B3398:F3398)+O3397*(1+0.00023125256064071564))</f>
        <v/>
      </c>
      <c r="J3398">
        <f>IF(G3398=1,0.2*R3398/B3398,J3397)</f>
        <v/>
      </c>
      <c r="K3398">
        <f>IF(G3398=1,0.2*R3398/C3398,K3397)</f>
        <v/>
      </c>
      <c r="L3398">
        <f>IF(G3398=1,0.2*R3398/D3398,L3397)</f>
        <v/>
      </c>
      <c r="M3398">
        <f>IF(G3398=1,0.2*R3398/E3398,M3397)</f>
        <v/>
      </c>
      <c r="N3398">
        <f>IF(G3398=1,0.2*R3398/F3398,N3397)</f>
        <v/>
      </c>
      <c r="O3398">
        <f>IF(G3398=1,R3398*(1-1.0),IF(H3397=0,1,O3397*(1+0.00023125256064071564)))</f>
        <v/>
      </c>
      <c r="P3398">
        <f>IF(G3398=1,IF(H3397=0,1,ABS(0.2-J3397*B3398/I3398)+ABS(0.2-K3397*C3398/I3398)+ABS(0.2-L3397*D3398/I3398)+ABS(0.2-M3397*E3398/I3398)+ABS(0.2-N3397*F3398/I3398)),0)</f>
        <v/>
      </c>
      <c r="Q3398">
        <f>P3398*0.0015</f>
        <v/>
      </c>
      <c r="R3398">
        <f>I3398*(1-Q3398)</f>
        <v/>
      </c>
      <c r="S3398">
        <f>R3398/R3397-1</f>
        <v/>
      </c>
      <c r="T3398">
        <f>MAX(T3397,R3398)</f>
        <v/>
      </c>
      <c r="U3398">
        <f>R3398/T3398-1</f>
        <v/>
      </c>
      <c r="V3398" t="n">
        <v>8.342040175292558</v>
      </c>
      <c r="W3398" s="5">
        <f>R3398-V3398</f>
        <v/>
      </c>
    </row>
    <row r="3399">
      <c r="A3399" s="3" t="n">
        <v>43445</v>
      </c>
      <c r="B3399">
        <f>Prices!B3399</f>
        <v/>
      </c>
      <c r="C3399">
        <f>Prices!C3399</f>
        <v/>
      </c>
      <c r="D3399">
        <f>Prices!D3399</f>
        <v/>
      </c>
      <c r="E3399">
        <f>Prices!E3399</f>
        <v/>
      </c>
      <c r="F3399">
        <f>Prices!F3399</f>
        <v/>
      </c>
      <c r="G3399">
        <f>IF(AND(3397&gt;=16,TEXT(A3399,"yyyy-mm")&lt;&gt;TEXT(A3400,"yyyy-mm")),1,0)</f>
        <v/>
      </c>
      <c r="H3399">
        <f>IF(OR(H3398=1,G3399=1),1,0)</f>
        <v/>
      </c>
      <c r="I3399">
        <f>IF(H3398=0,1,SUMPRODUCT(J3398:N3398,B3399:F3399)+O3398*(1+0.00023125256064071564))</f>
        <v/>
      </c>
      <c r="J3399">
        <f>IF(G3399=1,0.2*R3399/B3399,J3398)</f>
        <v/>
      </c>
      <c r="K3399">
        <f>IF(G3399=1,0.2*R3399/C3399,K3398)</f>
        <v/>
      </c>
      <c r="L3399">
        <f>IF(G3399=1,0.2*R3399/D3399,L3398)</f>
        <v/>
      </c>
      <c r="M3399">
        <f>IF(G3399=1,0.2*R3399/E3399,M3398)</f>
        <v/>
      </c>
      <c r="N3399">
        <f>IF(G3399=1,0.2*R3399/F3399,N3398)</f>
        <v/>
      </c>
      <c r="O3399">
        <f>IF(G3399=1,R3399*(1-1.0),IF(H3398=0,1,O3398*(1+0.00023125256064071564)))</f>
        <v/>
      </c>
      <c r="P3399">
        <f>IF(G3399=1,IF(H3398=0,1,ABS(0.2-J3398*B3399/I3399)+ABS(0.2-K3398*C3399/I3399)+ABS(0.2-L3398*D3399/I3399)+ABS(0.2-M3398*E3399/I3399)+ABS(0.2-N3398*F3399/I3399)),0)</f>
        <v/>
      </c>
      <c r="Q3399">
        <f>P3399*0.0015</f>
        <v/>
      </c>
      <c r="R3399">
        <f>I3399*(1-Q3399)</f>
        <v/>
      </c>
      <c r="S3399">
        <f>R3399/R3398-1</f>
        <v/>
      </c>
      <c r="T3399">
        <f>MAX(T3398,R3399)</f>
        <v/>
      </c>
      <c r="U3399">
        <f>R3399/T3399-1</f>
        <v/>
      </c>
      <c r="V3399" t="n">
        <v>8.439268697320387</v>
      </c>
      <c r="W3399" s="5">
        <f>R3399-V3399</f>
        <v/>
      </c>
    </row>
    <row r="3400">
      <c r="A3400" s="3" t="n">
        <v>43446</v>
      </c>
      <c r="B3400">
        <f>Prices!B3400</f>
        <v/>
      </c>
      <c r="C3400">
        <f>Prices!C3400</f>
        <v/>
      </c>
      <c r="D3400">
        <f>Prices!D3400</f>
        <v/>
      </c>
      <c r="E3400">
        <f>Prices!E3400</f>
        <v/>
      </c>
      <c r="F3400">
        <f>Prices!F3400</f>
        <v/>
      </c>
      <c r="G3400">
        <f>IF(AND(3398&gt;=16,TEXT(A3400,"yyyy-mm")&lt;&gt;TEXT(A3401,"yyyy-mm")),1,0)</f>
        <v/>
      </c>
      <c r="H3400">
        <f>IF(OR(H3399=1,G3400=1),1,0)</f>
        <v/>
      </c>
      <c r="I3400">
        <f>IF(H3399=0,1,SUMPRODUCT(J3399:N3399,B3400:F3400)+O3399*(1+0.00023125256064071564))</f>
        <v/>
      </c>
      <c r="J3400">
        <f>IF(G3400=1,0.2*R3400/B3400,J3399)</f>
        <v/>
      </c>
      <c r="K3400">
        <f>IF(G3400=1,0.2*R3400/C3400,K3399)</f>
        <v/>
      </c>
      <c r="L3400">
        <f>IF(G3400=1,0.2*R3400/D3400,L3399)</f>
        <v/>
      </c>
      <c r="M3400">
        <f>IF(G3400=1,0.2*R3400/E3400,M3399)</f>
        <v/>
      </c>
      <c r="N3400">
        <f>IF(G3400=1,0.2*R3400/F3400,N3399)</f>
        <v/>
      </c>
      <c r="O3400">
        <f>IF(G3400=1,R3400*(1-1.0),IF(H3399=0,1,O3399*(1+0.00023125256064071564)))</f>
        <v/>
      </c>
      <c r="P3400">
        <f>IF(G3400=1,IF(H3399=0,1,ABS(0.2-J3399*B3400/I3400)+ABS(0.2-K3399*C3400/I3400)+ABS(0.2-L3399*D3400/I3400)+ABS(0.2-M3399*E3400/I3400)+ABS(0.2-N3399*F3400/I3400)),0)</f>
        <v/>
      </c>
      <c r="Q3400">
        <f>P3400*0.0015</f>
        <v/>
      </c>
      <c r="R3400">
        <f>I3400*(1-Q3400)</f>
        <v/>
      </c>
      <c r="S3400">
        <f>R3400/R3399-1</f>
        <v/>
      </c>
      <c r="T3400">
        <f>MAX(T3399,R3400)</f>
        <v/>
      </c>
      <c r="U3400">
        <f>R3400/T3400-1</f>
        <v/>
      </c>
      <c r="V3400" t="n">
        <v>8.630687352582251</v>
      </c>
      <c r="W3400" s="5">
        <f>R3400-V3400</f>
        <v/>
      </c>
    </row>
    <row r="3401">
      <c r="A3401" s="3" t="n">
        <v>43447</v>
      </c>
      <c r="B3401">
        <f>Prices!B3401</f>
        <v/>
      </c>
      <c r="C3401">
        <f>Prices!C3401</f>
        <v/>
      </c>
      <c r="D3401">
        <f>Prices!D3401</f>
        <v/>
      </c>
      <c r="E3401">
        <f>Prices!E3401</f>
        <v/>
      </c>
      <c r="F3401">
        <f>Prices!F3401</f>
        <v/>
      </c>
      <c r="G3401">
        <f>IF(AND(3399&gt;=16,TEXT(A3401,"yyyy-mm")&lt;&gt;TEXT(A3402,"yyyy-mm")),1,0)</f>
        <v/>
      </c>
      <c r="H3401">
        <f>IF(OR(H3400=1,G3401=1),1,0)</f>
        <v/>
      </c>
      <c r="I3401">
        <f>IF(H3400=0,1,SUMPRODUCT(J3400:N3400,B3401:F3401)+O3400*(1+0.00023125256064071564))</f>
        <v/>
      </c>
      <c r="J3401">
        <f>IF(G3401=1,0.2*R3401/B3401,J3400)</f>
        <v/>
      </c>
      <c r="K3401">
        <f>IF(G3401=1,0.2*R3401/C3401,K3400)</f>
        <v/>
      </c>
      <c r="L3401">
        <f>IF(G3401=1,0.2*R3401/D3401,L3400)</f>
        <v/>
      </c>
      <c r="M3401">
        <f>IF(G3401=1,0.2*R3401/E3401,M3400)</f>
        <v/>
      </c>
      <c r="N3401">
        <f>IF(G3401=1,0.2*R3401/F3401,N3400)</f>
        <v/>
      </c>
      <c r="O3401">
        <f>IF(G3401=1,R3401*(1-1.0),IF(H3400=0,1,O3400*(1+0.00023125256064071564)))</f>
        <v/>
      </c>
      <c r="P3401">
        <f>IF(G3401=1,IF(H3400=0,1,ABS(0.2-J3400*B3401/I3401)+ABS(0.2-K3400*C3401/I3401)+ABS(0.2-L3400*D3401/I3401)+ABS(0.2-M3400*E3401/I3401)+ABS(0.2-N3400*F3401/I3401)),0)</f>
        <v/>
      </c>
      <c r="Q3401">
        <f>P3401*0.0015</f>
        <v/>
      </c>
      <c r="R3401">
        <f>I3401*(1-Q3401)</f>
        <v/>
      </c>
      <c r="S3401">
        <f>R3401/R3400-1</f>
        <v/>
      </c>
      <c r="T3401">
        <f>MAX(T3400,R3401)</f>
        <v/>
      </c>
      <c r="U3401">
        <f>R3401/T3401-1</f>
        <v/>
      </c>
      <c r="V3401" t="n">
        <v>8.694456420702712</v>
      </c>
      <c r="W3401" s="5">
        <f>R3401-V3401</f>
        <v/>
      </c>
    </row>
    <row r="3402">
      <c r="A3402" s="3" t="n">
        <v>43448</v>
      </c>
      <c r="B3402">
        <f>Prices!B3402</f>
        <v/>
      </c>
      <c r="C3402">
        <f>Prices!C3402</f>
        <v/>
      </c>
      <c r="D3402">
        <f>Prices!D3402</f>
        <v/>
      </c>
      <c r="E3402">
        <f>Prices!E3402</f>
        <v/>
      </c>
      <c r="F3402">
        <f>Prices!F3402</f>
        <v/>
      </c>
      <c r="G3402">
        <f>IF(AND(3400&gt;=16,TEXT(A3402,"yyyy-mm")&lt;&gt;TEXT(A3403,"yyyy-mm")),1,0)</f>
        <v/>
      </c>
      <c r="H3402">
        <f>IF(OR(H3401=1,G3402=1),1,0)</f>
        <v/>
      </c>
      <c r="I3402">
        <f>IF(H3401=0,1,SUMPRODUCT(J3401:N3401,B3402:F3402)+O3401*(1+0.00023125256064071564))</f>
        <v/>
      </c>
      <c r="J3402">
        <f>IF(G3402=1,0.2*R3402/B3402,J3401)</f>
        <v/>
      </c>
      <c r="K3402">
        <f>IF(G3402=1,0.2*R3402/C3402,K3401)</f>
        <v/>
      </c>
      <c r="L3402">
        <f>IF(G3402=1,0.2*R3402/D3402,L3401)</f>
        <v/>
      </c>
      <c r="M3402">
        <f>IF(G3402=1,0.2*R3402/E3402,M3401)</f>
        <v/>
      </c>
      <c r="N3402">
        <f>IF(G3402=1,0.2*R3402/F3402,N3401)</f>
        <v/>
      </c>
      <c r="O3402">
        <f>IF(G3402=1,R3402*(1-1.0),IF(H3401=0,1,O3401*(1+0.00023125256064071564)))</f>
        <v/>
      </c>
      <c r="P3402">
        <f>IF(G3402=1,IF(H3401=0,1,ABS(0.2-J3401*B3402/I3402)+ABS(0.2-K3401*C3402/I3402)+ABS(0.2-L3401*D3402/I3402)+ABS(0.2-M3401*E3402/I3402)+ABS(0.2-N3401*F3402/I3402)),0)</f>
        <v/>
      </c>
      <c r="Q3402">
        <f>P3402*0.0015</f>
        <v/>
      </c>
      <c r="R3402">
        <f>I3402*(1-Q3402)</f>
        <v/>
      </c>
      <c r="S3402">
        <f>R3402/R3401-1</f>
        <v/>
      </c>
      <c r="T3402">
        <f>MAX(T3401,R3402)</f>
        <v/>
      </c>
      <c r="U3402">
        <f>R3402/T3402-1</f>
        <v/>
      </c>
      <c r="V3402" t="n">
        <v>8.721666577802736</v>
      </c>
      <c r="W3402" s="5">
        <f>R3402-V3402</f>
        <v/>
      </c>
    </row>
    <row r="3403">
      <c r="A3403" s="3" t="n">
        <v>43451</v>
      </c>
      <c r="B3403">
        <f>Prices!B3403</f>
        <v/>
      </c>
      <c r="C3403">
        <f>Prices!C3403</f>
        <v/>
      </c>
      <c r="D3403">
        <f>Prices!D3403</f>
        <v/>
      </c>
      <c r="E3403">
        <f>Prices!E3403</f>
        <v/>
      </c>
      <c r="F3403">
        <f>Prices!F3403</f>
        <v/>
      </c>
      <c r="G3403">
        <f>IF(AND(3401&gt;=16,TEXT(A3403,"yyyy-mm")&lt;&gt;TEXT(A3404,"yyyy-mm")),1,0)</f>
        <v/>
      </c>
      <c r="H3403">
        <f>IF(OR(H3402=1,G3403=1),1,0)</f>
        <v/>
      </c>
      <c r="I3403">
        <f>IF(H3402=0,1,SUMPRODUCT(J3402:N3402,B3403:F3403)+O3402*(1+0.00023125256064071564))</f>
        <v/>
      </c>
      <c r="J3403">
        <f>IF(G3403=1,0.2*R3403/B3403,J3402)</f>
        <v/>
      </c>
      <c r="K3403">
        <f>IF(G3403=1,0.2*R3403/C3403,K3402)</f>
        <v/>
      </c>
      <c r="L3403">
        <f>IF(G3403=1,0.2*R3403/D3403,L3402)</f>
        <v/>
      </c>
      <c r="M3403">
        <f>IF(G3403=1,0.2*R3403/E3403,M3402)</f>
        <v/>
      </c>
      <c r="N3403">
        <f>IF(G3403=1,0.2*R3403/F3403,N3402)</f>
        <v/>
      </c>
      <c r="O3403">
        <f>IF(G3403=1,R3403*(1-1.0),IF(H3402=0,1,O3402*(1+0.00023125256064071564)))</f>
        <v/>
      </c>
      <c r="P3403">
        <f>IF(G3403=1,IF(H3402=0,1,ABS(0.2-J3402*B3403/I3403)+ABS(0.2-K3402*C3403/I3403)+ABS(0.2-L3402*D3403/I3403)+ABS(0.2-M3402*E3403/I3403)+ABS(0.2-N3402*F3403/I3403)),0)</f>
        <v/>
      </c>
      <c r="Q3403">
        <f>P3403*0.0015</f>
        <v/>
      </c>
      <c r="R3403">
        <f>I3403*(1-Q3403)</f>
        <v/>
      </c>
      <c r="S3403">
        <f>R3403/R3402-1</f>
        <v/>
      </c>
      <c r="T3403">
        <f>MAX(T3402,R3403)</f>
        <v/>
      </c>
      <c r="U3403">
        <f>R3403/T3403-1</f>
        <v/>
      </c>
      <c r="V3403" t="n">
        <v>8.746464219726926</v>
      </c>
      <c r="W3403" s="5">
        <f>R3403-V3403</f>
        <v/>
      </c>
    </row>
    <row r="3404">
      <c r="A3404" s="3" t="n">
        <v>43452</v>
      </c>
      <c r="B3404">
        <f>Prices!B3404</f>
        <v/>
      </c>
      <c r="C3404">
        <f>Prices!C3404</f>
        <v/>
      </c>
      <c r="D3404">
        <f>Prices!D3404</f>
        <v/>
      </c>
      <c r="E3404">
        <f>Prices!E3404</f>
        <v/>
      </c>
      <c r="F3404">
        <f>Prices!F3404</f>
        <v/>
      </c>
      <c r="G3404">
        <f>IF(AND(3402&gt;=16,TEXT(A3404,"yyyy-mm")&lt;&gt;TEXT(A3405,"yyyy-mm")),1,0)</f>
        <v/>
      </c>
      <c r="H3404">
        <f>IF(OR(H3403=1,G3404=1),1,0)</f>
        <v/>
      </c>
      <c r="I3404">
        <f>IF(H3403=0,1,SUMPRODUCT(J3403:N3403,B3404:F3404)+O3403*(1+0.00023125256064071564))</f>
        <v/>
      </c>
      <c r="J3404">
        <f>IF(G3404=1,0.2*R3404/B3404,J3403)</f>
        <v/>
      </c>
      <c r="K3404">
        <f>IF(G3404=1,0.2*R3404/C3404,K3403)</f>
        <v/>
      </c>
      <c r="L3404">
        <f>IF(G3404=1,0.2*R3404/D3404,L3403)</f>
        <v/>
      </c>
      <c r="M3404">
        <f>IF(G3404=1,0.2*R3404/E3404,M3403)</f>
        <v/>
      </c>
      <c r="N3404">
        <f>IF(G3404=1,0.2*R3404/F3404,N3403)</f>
        <v/>
      </c>
      <c r="O3404">
        <f>IF(G3404=1,R3404*(1-1.0),IF(H3403=0,1,O3403*(1+0.00023125256064071564)))</f>
        <v/>
      </c>
      <c r="P3404">
        <f>IF(G3404=1,IF(H3403=0,1,ABS(0.2-J3403*B3404/I3404)+ABS(0.2-K3403*C3404/I3404)+ABS(0.2-L3403*D3404/I3404)+ABS(0.2-M3403*E3404/I3404)+ABS(0.2-N3403*F3404/I3404)),0)</f>
        <v/>
      </c>
      <c r="Q3404">
        <f>P3404*0.0015</f>
        <v/>
      </c>
      <c r="R3404">
        <f>I3404*(1-Q3404)</f>
        <v/>
      </c>
      <c r="S3404">
        <f>R3404/R3403-1</f>
        <v/>
      </c>
      <c r="T3404">
        <f>MAX(T3403,R3404)</f>
        <v/>
      </c>
      <c r="U3404">
        <f>R3404/T3404-1</f>
        <v/>
      </c>
      <c r="V3404" t="n">
        <v>8.780759898131715</v>
      </c>
      <c r="W3404" s="5">
        <f>R3404-V3404</f>
        <v/>
      </c>
    </row>
    <row r="3405">
      <c r="A3405" s="3" t="n">
        <v>43453</v>
      </c>
      <c r="B3405">
        <f>Prices!B3405</f>
        <v/>
      </c>
      <c r="C3405">
        <f>Prices!C3405</f>
        <v/>
      </c>
      <c r="D3405">
        <f>Prices!D3405</f>
        <v/>
      </c>
      <c r="E3405">
        <f>Prices!E3405</f>
        <v/>
      </c>
      <c r="F3405">
        <f>Prices!F3405</f>
        <v/>
      </c>
      <c r="G3405">
        <f>IF(AND(3403&gt;=16,TEXT(A3405,"yyyy-mm")&lt;&gt;TEXT(A3406,"yyyy-mm")),1,0)</f>
        <v/>
      </c>
      <c r="H3405">
        <f>IF(OR(H3404=1,G3405=1),1,0)</f>
        <v/>
      </c>
      <c r="I3405">
        <f>IF(H3404=0,1,SUMPRODUCT(J3404:N3404,B3405:F3405)+O3404*(1+0.00023125256064071564))</f>
        <v/>
      </c>
      <c r="J3405">
        <f>IF(G3405=1,0.2*R3405/B3405,J3404)</f>
        <v/>
      </c>
      <c r="K3405">
        <f>IF(G3405=1,0.2*R3405/C3405,K3404)</f>
        <v/>
      </c>
      <c r="L3405">
        <f>IF(G3405=1,0.2*R3405/D3405,L3404)</f>
        <v/>
      </c>
      <c r="M3405">
        <f>IF(G3405=1,0.2*R3405/E3405,M3404)</f>
        <v/>
      </c>
      <c r="N3405">
        <f>IF(G3405=1,0.2*R3405/F3405,N3404)</f>
        <v/>
      </c>
      <c r="O3405">
        <f>IF(G3405=1,R3405*(1-1.0),IF(H3404=0,1,O3404*(1+0.00023125256064071564)))</f>
        <v/>
      </c>
      <c r="P3405">
        <f>IF(G3405=1,IF(H3404=0,1,ABS(0.2-J3404*B3405/I3405)+ABS(0.2-K3404*C3405/I3405)+ABS(0.2-L3404*D3405/I3405)+ABS(0.2-M3404*E3405/I3405)+ABS(0.2-N3404*F3405/I3405)),0)</f>
        <v/>
      </c>
      <c r="Q3405">
        <f>P3405*0.0015</f>
        <v/>
      </c>
      <c r="R3405">
        <f>I3405*(1-Q3405)</f>
        <v/>
      </c>
      <c r="S3405">
        <f>R3405/R3404-1</f>
        <v/>
      </c>
      <c r="T3405">
        <f>MAX(T3404,R3405)</f>
        <v/>
      </c>
      <c r="U3405">
        <f>R3405/T3405-1</f>
        <v/>
      </c>
      <c r="V3405" t="n">
        <v>8.837099119034498</v>
      </c>
      <c r="W3405" s="5">
        <f>R3405-V3405</f>
        <v/>
      </c>
    </row>
    <row r="3406">
      <c r="A3406" s="3" t="n">
        <v>43454</v>
      </c>
      <c r="B3406">
        <f>Prices!B3406</f>
        <v/>
      </c>
      <c r="C3406">
        <f>Prices!C3406</f>
        <v/>
      </c>
      <c r="D3406">
        <f>Prices!D3406</f>
        <v/>
      </c>
      <c r="E3406">
        <f>Prices!E3406</f>
        <v/>
      </c>
      <c r="F3406">
        <f>Prices!F3406</f>
        <v/>
      </c>
      <c r="G3406">
        <f>IF(AND(3404&gt;=16,TEXT(A3406,"yyyy-mm")&lt;&gt;TEXT(A3407,"yyyy-mm")),1,0)</f>
        <v/>
      </c>
      <c r="H3406">
        <f>IF(OR(H3405=1,G3406=1),1,0)</f>
        <v/>
      </c>
      <c r="I3406">
        <f>IF(H3405=0,1,SUMPRODUCT(J3405:N3405,B3406:F3406)+O3405*(1+0.00023125256064071564))</f>
        <v/>
      </c>
      <c r="J3406">
        <f>IF(G3406=1,0.2*R3406/B3406,J3405)</f>
        <v/>
      </c>
      <c r="K3406">
        <f>IF(G3406=1,0.2*R3406/C3406,K3405)</f>
        <v/>
      </c>
      <c r="L3406">
        <f>IF(G3406=1,0.2*R3406/D3406,L3405)</f>
        <v/>
      </c>
      <c r="M3406">
        <f>IF(G3406=1,0.2*R3406/E3406,M3405)</f>
        <v/>
      </c>
      <c r="N3406">
        <f>IF(G3406=1,0.2*R3406/F3406,N3405)</f>
        <v/>
      </c>
      <c r="O3406">
        <f>IF(G3406=1,R3406*(1-1.0),IF(H3405=0,1,O3405*(1+0.00023125256064071564)))</f>
        <v/>
      </c>
      <c r="P3406">
        <f>IF(G3406=1,IF(H3405=0,1,ABS(0.2-J3405*B3406/I3406)+ABS(0.2-K3405*C3406/I3406)+ABS(0.2-L3405*D3406/I3406)+ABS(0.2-M3405*E3406/I3406)+ABS(0.2-N3405*F3406/I3406)),0)</f>
        <v/>
      </c>
      <c r="Q3406">
        <f>P3406*0.0015</f>
        <v/>
      </c>
      <c r="R3406">
        <f>I3406*(1-Q3406)</f>
        <v/>
      </c>
      <c r="S3406">
        <f>R3406/R3405-1</f>
        <v/>
      </c>
      <c r="T3406">
        <f>MAX(T3405,R3406)</f>
        <v/>
      </c>
      <c r="U3406">
        <f>R3406/T3406-1</f>
        <v/>
      </c>
      <c r="V3406" t="n">
        <v>8.827508679490709</v>
      </c>
      <c r="W3406" s="5">
        <f>R3406-V3406</f>
        <v/>
      </c>
    </row>
    <row r="3407">
      <c r="A3407" s="3" t="n">
        <v>43455</v>
      </c>
      <c r="B3407">
        <f>Prices!B3407</f>
        <v/>
      </c>
      <c r="C3407">
        <f>Prices!C3407</f>
        <v/>
      </c>
      <c r="D3407">
        <f>Prices!D3407</f>
        <v/>
      </c>
      <c r="E3407">
        <f>Prices!E3407</f>
        <v/>
      </c>
      <c r="F3407">
        <f>Prices!F3407</f>
        <v/>
      </c>
      <c r="G3407">
        <f>IF(AND(3405&gt;=16,TEXT(A3407,"yyyy-mm")&lt;&gt;TEXT(A3408,"yyyy-mm")),1,0)</f>
        <v/>
      </c>
      <c r="H3407">
        <f>IF(OR(H3406=1,G3407=1),1,0)</f>
        <v/>
      </c>
      <c r="I3407">
        <f>IF(H3406=0,1,SUMPRODUCT(J3406:N3406,B3407:F3407)+O3406*(1+0.00023125256064071564))</f>
        <v/>
      </c>
      <c r="J3407">
        <f>IF(G3407=1,0.2*R3407/B3407,J3406)</f>
        <v/>
      </c>
      <c r="K3407">
        <f>IF(G3407=1,0.2*R3407/C3407,K3406)</f>
        <v/>
      </c>
      <c r="L3407">
        <f>IF(G3407=1,0.2*R3407/D3407,L3406)</f>
        <v/>
      </c>
      <c r="M3407">
        <f>IF(G3407=1,0.2*R3407/E3407,M3406)</f>
        <v/>
      </c>
      <c r="N3407">
        <f>IF(G3407=1,0.2*R3407/F3407,N3406)</f>
        <v/>
      </c>
      <c r="O3407">
        <f>IF(G3407=1,R3407*(1-1.0),IF(H3406=0,1,O3406*(1+0.00023125256064071564)))</f>
        <v/>
      </c>
      <c r="P3407">
        <f>IF(G3407=1,IF(H3406=0,1,ABS(0.2-J3406*B3407/I3407)+ABS(0.2-K3406*C3407/I3407)+ABS(0.2-L3406*D3407/I3407)+ABS(0.2-M3406*E3407/I3407)+ABS(0.2-N3406*F3407/I3407)),0)</f>
        <v/>
      </c>
      <c r="Q3407">
        <f>P3407*0.0015</f>
        <v/>
      </c>
      <c r="R3407">
        <f>I3407*(1-Q3407)</f>
        <v/>
      </c>
      <c r="S3407">
        <f>R3407/R3406-1</f>
        <v/>
      </c>
      <c r="T3407">
        <f>MAX(T3406,R3407)</f>
        <v/>
      </c>
      <c r="U3407">
        <f>R3407/T3407-1</f>
        <v/>
      </c>
      <c r="V3407" t="n">
        <v>8.692229729303959</v>
      </c>
      <c r="W3407" s="5">
        <f>R3407-V3407</f>
        <v/>
      </c>
    </row>
    <row r="3408">
      <c r="A3408" s="3" t="n">
        <v>43458</v>
      </c>
      <c r="B3408">
        <f>Prices!B3408</f>
        <v/>
      </c>
      <c r="C3408">
        <f>Prices!C3408</f>
        <v/>
      </c>
      <c r="D3408">
        <f>Prices!D3408</f>
        <v/>
      </c>
      <c r="E3408">
        <f>Prices!E3408</f>
        <v/>
      </c>
      <c r="F3408">
        <f>Prices!F3408</f>
        <v/>
      </c>
      <c r="G3408">
        <f>IF(AND(3406&gt;=16,TEXT(A3408,"yyyy-mm")&lt;&gt;TEXT(A3409,"yyyy-mm")),1,0)</f>
        <v/>
      </c>
      <c r="H3408">
        <f>IF(OR(H3407=1,G3408=1),1,0)</f>
        <v/>
      </c>
      <c r="I3408">
        <f>IF(H3407=0,1,SUMPRODUCT(J3407:N3407,B3408:F3408)+O3407*(1+0.00023125256064071564))</f>
        <v/>
      </c>
      <c r="J3408">
        <f>IF(G3408=1,0.2*R3408/B3408,J3407)</f>
        <v/>
      </c>
      <c r="K3408">
        <f>IF(G3408=1,0.2*R3408/C3408,K3407)</f>
        <v/>
      </c>
      <c r="L3408">
        <f>IF(G3408=1,0.2*R3408/D3408,L3407)</f>
        <v/>
      </c>
      <c r="M3408">
        <f>IF(G3408=1,0.2*R3408/E3408,M3407)</f>
        <v/>
      </c>
      <c r="N3408">
        <f>IF(G3408=1,0.2*R3408/F3408,N3407)</f>
        <v/>
      </c>
      <c r="O3408">
        <f>IF(G3408=1,R3408*(1-1.0),IF(H3407=0,1,O3407*(1+0.00023125256064071564)))</f>
        <v/>
      </c>
      <c r="P3408">
        <f>IF(G3408=1,IF(H3407=0,1,ABS(0.2-J3407*B3408/I3408)+ABS(0.2-K3407*C3408/I3408)+ABS(0.2-L3407*D3408/I3408)+ABS(0.2-M3407*E3408/I3408)+ABS(0.2-N3407*F3408/I3408)),0)</f>
        <v/>
      </c>
      <c r="Q3408">
        <f>P3408*0.0015</f>
        <v/>
      </c>
      <c r="R3408">
        <f>I3408*(1-Q3408)</f>
        <v/>
      </c>
      <c r="S3408">
        <f>R3408/R3407-1</f>
        <v/>
      </c>
      <c r="T3408">
        <f>MAX(T3407,R3408)</f>
        <v/>
      </c>
      <c r="U3408">
        <f>R3408/T3408-1</f>
        <v/>
      </c>
      <c r="V3408" t="n">
        <v>8.584413652971254</v>
      </c>
      <c r="W3408" s="5">
        <f>R3408-V3408</f>
        <v/>
      </c>
    </row>
    <row r="3409">
      <c r="A3409" s="3" t="n">
        <v>43460</v>
      </c>
      <c r="B3409">
        <f>Prices!B3409</f>
        <v/>
      </c>
      <c r="C3409">
        <f>Prices!C3409</f>
        <v/>
      </c>
      <c r="D3409">
        <f>Prices!D3409</f>
        <v/>
      </c>
      <c r="E3409">
        <f>Prices!E3409</f>
        <v/>
      </c>
      <c r="F3409">
        <f>Prices!F3409</f>
        <v/>
      </c>
      <c r="G3409">
        <f>IF(AND(3407&gt;=16,TEXT(A3409,"yyyy-mm")&lt;&gt;TEXT(A3410,"yyyy-mm")),1,0)</f>
        <v/>
      </c>
      <c r="H3409">
        <f>IF(OR(H3408=1,G3409=1),1,0)</f>
        <v/>
      </c>
      <c r="I3409">
        <f>IF(H3408=0,1,SUMPRODUCT(J3408:N3408,B3409:F3409)+O3408*(1+0.00023125256064071564))</f>
        <v/>
      </c>
      <c r="J3409">
        <f>IF(G3409=1,0.2*R3409/B3409,J3408)</f>
        <v/>
      </c>
      <c r="K3409">
        <f>IF(G3409=1,0.2*R3409/C3409,K3408)</f>
        <v/>
      </c>
      <c r="L3409">
        <f>IF(G3409=1,0.2*R3409/D3409,L3408)</f>
        <v/>
      </c>
      <c r="M3409">
        <f>IF(G3409=1,0.2*R3409/E3409,M3408)</f>
        <v/>
      </c>
      <c r="N3409">
        <f>IF(G3409=1,0.2*R3409/F3409,N3408)</f>
        <v/>
      </c>
      <c r="O3409">
        <f>IF(G3409=1,R3409*(1-1.0),IF(H3408=0,1,O3408*(1+0.00023125256064071564)))</f>
        <v/>
      </c>
      <c r="P3409">
        <f>IF(G3409=1,IF(H3408=0,1,ABS(0.2-J3408*B3409/I3409)+ABS(0.2-K3408*C3409/I3409)+ABS(0.2-L3408*D3409/I3409)+ABS(0.2-M3408*E3409/I3409)+ABS(0.2-N3408*F3409/I3409)),0)</f>
        <v/>
      </c>
      <c r="Q3409">
        <f>P3409*0.0015</f>
        <v/>
      </c>
      <c r="R3409">
        <f>I3409*(1-Q3409)</f>
        <v/>
      </c>
      <c r="S3409">
        <f>R3409/R3408-1</f>
        <v/>
      </c>
      <c r="T3409">
        <f>MAX(T3408,R3409)</f>
        <v/>
      </c>
      <c r="U3409">
        <f>R3409/T3409-1</f>
        <v/>
      </c>
      <c r="V3409" t="n">
        <v>8.57844602262789</v>
      </c>
      <c r="W3409" s="5">
        <f>R3409-V3409</f>
        <v/>
      </c>
    </row>
    <row r="3410">
      <c r="A3410" s="3" t="n">
        <v>43461</v>
      </c>
      <c r="B3410">
        <f>Prices!B3410</f>
        <v/>
      </c>
      <c r="C3410">
        <f>Prices!C3410</f>
        <v/>
      </c>
      <c r="D3410">
        <f>Prices!D3410</f>
        <v/>
      </c>
      <c r="E3410">
        <f>Prices!E3410</f>
        <v/>
      </c>
      <c r="F3410">
        <f>Prices!F3410</f>
        <v/>
      </c>
      <c r="G3410">
        <f>IF(AND(3408&gt;=16,TEXT(A3410,"yyyy-mm")&lt;&gt;TEXT(A3411,"yyyy-mm")),1,0)</f>
        <v/>
      </c>
      <c r="H3410">
        <f>IF(OR(H3409=1,G3410=1),1,0)</f>
        <v/>
      </c>
      <c r="I3410">
        <f>IF(H3409=0,1,SUMPRODUCT(J3409:N3409,B3410:F3410)+O3409*(1+0.00023125256064071564))</f>
        <v/>
      </c>
      <c r="J3410">
        <f>IF(G3410=1,0.2*R3410/B3410,J3409)</f>
        <v/>
      </c>
      <c r="K3410">
        <f>IF(G3410=1,0.2*R3410/C3410,K3409)</f>
        <v/>
      </c>
      <c r="L3410">
        <f>IF(G3410=1,0.2*R3410/D3410,L3409)</f>
        <v/>
      </c>
      <c r="M3410">
        <f>IF(G3410=1,0.2*R3410/E3410,M3409)</f>
        <v/>
      </c>
      <c r="N3410">
        <f>IF(G3410=1,0.2*R3410/F3410,N3409)</f>
        <v/>
      </c>
      <c r="O3410">
        <f>IF(G3410=1,R3410*(1-1.0),IF(H3409=0,1,O3409*(1+0.00023125256064071564)))</f>
        <v/>
      </c>
      <c r="P3410">
        <f>IF(G3410=1,IF(H3409=0,1,ABS(0.2-J3409*B3410/I3410)+ABS(0.2-K3409*C3410/I3410)+ABS(0.2-L3409*D3410/I3410)+ABS(0.2-M3409*E3410/I3410)+ABS(0.2-N3409*F3410/I3410)),0)</f>
        <v/>
      </c>
      <c r="Q3410">
        <f>P3410*0.0015</f>
        <v/>
      </c>
      <c r="R3410">
        <f>I3410*(1-Q3410)</f>
        <v/>
      </c>
      <c r="S3410">
        <f>R3410/R3409-1</f>
        <v/>
      </c>
      <c r="T3410">
        <f>MAX(T3409,R3410)</f>
        <v/>
      </c>
      <c r="U3410">
        <f>R3410/T3410-1</f>
        <v/>
      </c>
      <c r="V3410" t="n">
        <v>8.634919435141809</v>
      </c>
      <c r="W3410" s="5">
        <f>R3410-V3410</f>
        <v/>
      </c>
    </row>
    <row r="3411">
      <c r="A3411" s="3" t="n">
        <v>43462</v>
      </c>
      <c r="B3411">
        <f>Prices!B3411</f>
        <v/>
      </c>
      <c r="C3411">
        <f>Prices!C3411</f>
        <v/>
      </c>
      <c r="D3411">
        <f>Prices!D3411</f>
        <v/>
      </c>
      <c r="E3411">
        <f>Prices!E3411</f>
        <v/>
      </c>
      <c r="F3411">
        <f>Prices!F3411</f>
        <v/>
      </c>
      <c r="G3411">
        <f>IF(AND(3409&gt;=16,TEXT(A3411,"yyyy-mm")&lt;&gt;TEXT(A3412,"yyyy-mm")),1,0)</f>
        <v/>
      </c>
      <c r="H3411">
        <f>IF(OR(H3410=1,G3411=1),1,0)</f>
        <v/>
      </c>
      <c r="I3411">
        <f>IF(H3410=0,1,SUMPRODUCT(J3410:N3410,B3411:F3411)+O3410*(1+0.00023125256064071564))</f>
        <v/>
      </c>
      <c r="J3411">
        <f>IF(G3411=1,0.2*R3411/B3411,J3410)</f>
        <v/>
      </c>
      <c r="K3411">
        <f>IF(G3411=1,0.2*R3411/C3411,K3410)</f>
        <v/>
      </c>
      <c r="L3411">
        <f>IF(G3411=1,0.2*R3411/D3411,L3410)</f>
        <v/>
      </c>
      <c r="M3411">
        <f>IF(G3411=1,0.2*R3411/E3411,M3410)</f>
        <v/>
      </c>
      <c r="N3411">
        <f>IF(G3411=1,0.2*R3411/F3411,N3410)</f>
        <v/>
      </c>
      <c r="O3411">
        <f>IF(G3411=1,R3411*(1-1.0),IF(H3410=0,1,O3410*(1+0.00023125256064071564)))</f>
        <v/>
      </c>
      <c r="P3411">
        <f>IF(G3411=1,IF(H3410=0,1,ABS(0.2-J3410*B3411/I3411)+ABS(0.2-K3410*C3411/I3411)+ABS(0.2-L3410*D3411/I3411)+ABS(0.2-M3410*E3411/I3411)+ABS(0.2-N3410*F3411/I3411)),0)</f>
        <v/>
      </c>
      <c r="Q3411">
        <f>P3411*0.0015</f>
        <v/>
      </c>
      <c r="R3411">
        <f>I3411*(1-Q3411)</f>
        <v/>
      </c>
      <c r="S3411">
        <f>R3411/R3410-1</f>
        <v/>
      </c>
      <c r="T3411">
        <f>MAX(T3410,R3411)</f>
        <v/>
      </c>
      <c r="U3411">
        <f>R3411/T3411-1</f>
        <v/>
      </c>
      <c r="V3411" t="n">
        <v>8.70264790773952</v>
      </c>
      <c r="W3411" s="5">
        <f>R3411-V3411</f>
        <v/>
      </c>
    </row>
    <row r="3412">
      <c r="A3412" s="3" t="n">
        <v>43465</v>
      </c>
      <c r="B3412">
        <f>Prices!B3412</f>
        <v/>
      </c>
      <c r="C3412">
        <f>Prices!C3412</f>
        <v/>
      </c>
      <c r="D3412">
        <f>Prices!D3412</f>
        <v/>
      </c>
      <c r="E3412">
        <f>Prices!E3412</f>
        <v/>
      </c>
      <c r="F3412">
        <f>Prices!F3412</f>
        <v/>
      </c>
      <c r="G3412">
        <f>IF(AND(3410&gt;=16,TEXT(A3412,"yyyy-mm")&lt;&gt;TEXT(A3413,"yyyy-mm")),1,0)</f>
        <v/>
      </c>
      <c r="H3412">
        <f>IF(OR(H3411=1,G3412=1),1,0)</f>
        <v/>
      </c>
      <c r="I3412">
        <f>IF(H3411=0,1,SUMPRODUCT(J3411:N3411,B3412:F3412)+O3411*(1+0.00023125256064071564))</f>
        <v/>
      </c>
      <c r="J3412">
        <f>IF(G3412=1,0.2*R3412/B3412,J3411)</f>
        <v/>
      </c>
      <c r="K3412">
        <f>IF(G3412=1,0.2*R3412/C3412,K3411)</f>
        <v/>
      </c>
      <c r="L3412">
        <f>IF(G3412=1,0.2*R3412/D3412,L3411)</f>
        <v/>
      </c>
      <c r="M3412">
        <f>IF(G3412=1,0.2*R3412/E3412,M3411)</f>
        <v/>
      </c>
      <c r="N3412">
        <f>IF(G3412=1,0.2*R3412/F3412,N3411)</f>
        <v/>
      </c>
      <c r="O3412">
        <f>IF(G3412=1,R3412*(1-1.0),IF(H3411=0,1,O3411*(1+0.00023125256064071564)))</f>
        <v/>
      </c>
      <c r="P3412">
        <f>IF(G3412=1,IF(H3411=0,1,ABS(0.2-J3411*B3412/I3412)+ABS(0.2-K3411*C3412/I3412)+ABS(0.2-L3411*D3412/I3412)+ABS(0.2-M3411*E3412/I3412)+ABS(0.2-N3411*F3412/I3412)),0)</f>
        <v/>
      </c>
      <c r="Q3412">
        <f>P3412*0.0015</f>
        <v/>
      </c>
      <c r="R3412">
        <f>I3412*(1-Q3412)</f>
        <v/>
      </c>
      <c r="S3412">
        <f>R3412/R3411-1</f>
        <v/>
      </c>
      <c r="T3412">
        <f>MAX(T3411,R3412)</f>
        <v/>
      </c>
      <c r="U3412">
        <f>R3412/T3412-1</f>
        <v/>
      </c>
      <c r="V3412" t="n">
        <v>8.727827419765292</v>
      </c>
      <c r="W3412" s="5">
        <f>R3412-V3412</f>
        <v/>
      </c>
    </row>
    <row r="3413">
      <c r="A3413" s="3" t="n">
        <v>43466</v>
      </c>
      <c r="B3413">
        <f>Prices!B3413</f>
        <v/>
      </c>
      <c r="C3413">
        <f>Prices!C3413</f>
        <v/>
      </c>
      <c r="D3413">
        <f>Prices!D3413</f>
        <v/>
      </c>
      <c r="E3413">
        <f>Prices!E3413</f>
        <v/>
      </c>
      <c r="F3413">
        <f>Prices!F3413</f>
        <v/>
      </c>
      <c r="G3413">
        <f>IF(AND(3411&gt;=16,TEXT(A3413,"yyyy-mm")&lt;&gt;TEXT(A3414,"yyyy-mm")),1,0)</f>
        <v/>
      </c>
      <c r="H3413">
        <f>IF(OR(H3412=1,G3413=1),1,0)</f>
        <v/>
      </c>
      <c r="I3413">
        <f>IF(H3412=0,1,SUMPRODUCT(J3412:N3412,B3413:F3413)+O3412*(1+0.00023125256064071564))</f>
        <v/>
      </c>
      <c r="J3413">
        <f>IF(G3413=1,0.2*R3413/B3413,J3412)</f>
        <v/>
      </c>
      <c r="K3413">
        <f>IF(G3413=1,0.2*R3413/C3413,K3412)</f>
        <v/>
      </c>
      <c r="L3413">
        <f>IF(G3413=1,0.2*R3413/D3413,L3412)</f>
        <v/>
      </c>
      <c r="M3413">
        <f>IF(G3413=1,0.2*R3413/E3413,M3412)</f>
        <v/>
      </c>
      <c r="N3413">
        <f>IF(G3413=1,0.2*R3413/F3413,N3412)</f>
        <v/>
      </c>
      <c r="O3413">
        <f>IF(G3413=1,R3413*(1-1.0),IF(H3412=0,1,O3412*(1+0.00023125256064071564)))</f>
        <v/>
      </c>
      <c r="P3413">
        <f>IF(G3413=1,IF(H3412=0,1,ABS(0.2-J3412*B3413/I3413)+ABS(0.2-K3412*C3413/I3413)+ABS(0.2-L3412*D3413/I3413)+ABS(0.2-M3412*E3413/I3413)+ABS(0.2-N3412*F3413/I3413)),0)</f>
        <v/>
      </c>
      <c r="Q3413">
        <f>P3413*0.0015</f>
        <v/>
      </c>
      <c r="R3413">
        <f>I3413*(1-Q3413)</f>
        <v/>
      </c>
      <c r="S3413">
        <f>R3413/R3412-1</f>
        <v/>
      </c>
      <c r="T3413">
        <f>MAX(T3412,R3413)</f>
        <v/>
      </c>
      <c r="U3413">
        <f>R3413/T3413-1</f>
        <v/>
      </c>
      <c r="V3413" t="n">
        <v>8.729107324906936</v>
      </c>
      <c r="W3413" s="5">
        <f>R3413-V3413</f>
        <v/>
      </c>
    </row>
    <row r="3414">
      <c r="A3414" s="3" t="n">
        <v>43467</v>
      </c>
      <c r="B3414">
        <f>Prices!B3414</f>
        <v/>
      </c>
      <c r="C3414">
        <f>Prices!C3414</f>
        <v/>
      </c>
      <c r="D3414">
        <f>Prices!D3414</f>
        <v/>
      </c>
      <c r="E3414">
        <f>Prices!E3414</f>
        <v/>
      </c>
      <c r="F3414">
        <f>Prices!F3414</f>
        <v/>
      </c>
      <c r="G3414">
        <f>IF(AND(3412&gt;=16,TEXT(A3414,"yyyy-mm")&lt;&gt;TEXT(A3415,"yyyy-mm")),1,0)</f>
        <v/>
      </c>
      <c r="H3414">
        <f>IF(OR(H3413=1,G3414=1),1,0)</f>
        <v/>
      </c>
      <c r="I3414">
        <f>IF(H3413=0,1,SUMPRODUCT(J3413:N3413,B3414:F3414)+O3413*(1+0.00023125256064071564))</f>
        <v/>
      </c>
      <c r="J3414">
        <f>IF(G3414=1,0.2*R3414/B3414,J3413)</f>
        <v/>
      </c>
      <c r="K3414">
        <f>IF(G3414=1,0.2*R3414/C3414,K3413)</f>
        <v/>
      </c>
      <c r="L3414">
        <f>IF(G3414=1,0.2*R3414/D3414,L3413)</f>
        <v/>
      </c>
      <c r="M3414">
        <f>IF(G3414=1,0.2*R3414/E3414,M3413)</f>
        <v/>
      </c>
      <c r="N3414">
        <f>IF(G3414=1,0.2*R3414/F3414,N3413)</f>
        <v/>
      </c>
      <c r="O3414">
        <f>IF(G3414=1,R3414*(1-1.0),IF(H3413=0,1,O3413*(1+0.00023125256064071564)))</f>
        <v/>
      </c>
      <c r="P3414">
        <f>IF(G3414=1,IF(H3413=0,1,ABS(0.2-J3413*B3414/I3414)+ABS(0.2-K3413*C3414/I3414)+ABS(0.2-L3413*D3414/I3414)+ABS(0.2-M3413*E3414/I3414)+ABS(0.2-N3413*F3414/I3414)),0)</f>
        <v/>
      </c>
      <c r="Q3414">
        <f>P3414*0.0015</f>
        <v/>
      </c>
      <c r="R3414">
        <f>I3414*(1-Q3414)</f>
        <v/>
      </c>
      <c r="S3414">
        <f>R3414/R3413-1</f>
        <v/>
      </c>
      <c r="T3414">
        <f>MAX(T3413,R3414)</f>
        <v/>
      </c>
      <c r="U3414">
        <f>R3414/T3414-1</f>
        <v/>
      </c>
      <c r="V3414" t="n">
        <v>8.642525592990797</v>
      </c>
      <c r="W3414" s="5">
        <f>R3414-V3414</f>
        <v/>
      </c>
    </row>
    <row r="3415">
      <c r="A3415" s="3" t="n">
        <v>43468</v>
      </c>
      <c r="B3415">
        <f>Prices!B3415</f>
        <v/>
      </c>
      <c r="C3415">
        <f>Prices!C3415</f>
        <v/>
      </c>
      <c r="D3415">
        <f>Prices!D3415</f>
        <v/>
      </c>
      <c r="E3415">
        <f>Prices!E3415</f>
        <v/>
      </c>
      <c r="F3415">
        <f>Prices!F3415</f>
        <v/>
      </c>
      <c r="G3415">
        <f>IF(AND(3413&gt;=16,TEXT(A3415,"yyyy-mm")&lt;&gt;TEXT(A3416,"yyyy-mm")),1,0)</f>
        <v/>
      </c>
      <c r="H3415">
        <f>IF(OR(H3414=1,G3415=1),1,0)</f>
        <v/>
      </c>
      <c r="I3415">
        <f>IF(H3414=0,1,SUMPRODUCT(J3414:N3414,B3415:F3415)+O3414*(1+0.00023125256064071564))</f>
        <v/>
      </c>
      <c r="J3415">
        <f>IF(G3415=1,0.2*R3415/B3415,J3414)</f>
        <v/>
      </c>
      <c r="K3415">
        <f>IF(G3415=1,0.2*R3415/C3415,K3414)</f>
        <v/>
      </c>
      <c r="L3415">
        <f>IF(G3415=1,0.2*R3415/D3415,L3414)</f>
        <v/>
      </c>
      <c r="M3415">
        <f>IF(G3415=1,0.2*R3415/E3415,M3414)</f>
        <v/>
      </c>
      <c r="N3415">
        <f>IF(G3415=1,0.2*R3415/F3415,N3414)</f>
        <v/>
      </c>
      <c r="O3415">
        <f>IF(G3415=1,R3415*(1-1.0),IF(H3414=0,1,O3414*(1+0.00023125256064071564)))</f>
        <v/>
      </c>
      <c r="P3415">
        <f>IF(G3415=1,IF(H3414=0,1,ABS(0.2-J3414*B3415/I3415)+ABS(0.2-K3414*C3415/I3415)+ABS(0.2-L3414*D3415/I3415)+ABS(0.2-M3414*E3415/I3415)+ABS(0.2-N3414*F3415/I3415)),0)</f>
        <v/>
      </c>
      <c r="Q3415">
        <f>P3415*0.0015</f>
        <v/>
      </c>
      <c r="R3415">
        <f>I3415*(1-Q3415)</f>
        <v/>
      </c>
      <c r="S3415">
        <f>R3415/R3414-1</f>
        <v/>
      </c>
      <c r="T3415">
        <f>MAX(T3414,R3415)</f>
        <v/>
      </c>
      <c r="U3415">
        <f>R3415/T3415-1</f>
        <v/>
      </c>
      <c r="V3415" t="n">
        <v>8.562817936925249</v>
      </c>
      <c r="W3415" s="5">
        <f>R3415-V3415</f>
        <v/>
      </c>
    </row>
    <row r="3416">
      <c r="A3416" s="3" t="n">
        <v>43469</v>
      </c>
      <c r="B3416">
        <f>Prices!B3416</f>
        <v/>
      </c>
      <c r="C3416">
        <f>Prices!C3416</f>
        <v/>
      </c>
      <c r="D3416">
        <f>Prices!D3416</f>
        <v/>
      </c>
      <c r="E3416">
        <f>Prices!E3416</f>
        <v/>
      </c>
      <c r="F3416">
        <f>Prices!F3416</f>
        <v/>
      </c>
      <c r="G3416">
        <f>IF(AND(3414&gt;=16,TEXT(A3416,"yyyy-mm")&lt;&gt;TEXT(A3417,"yyyy-mm")),1,0)</f>
        <v/>
      </c>
      <c r="H3416">
        <f>IF(OR(H3415=1,G3416=1),1,0)</f>
        <v/>
      </c>
      <c r="I3416">
        <f>IF(H3415=0,1,SUMPRODUCT(J3415:N3415,B3416:F3416)+O3415*(1+0.00023125256064071564))</f>
        <v/>
      </c>
      <c r="J3416">
        <f>IF(G3416=1,0.2*R3416/B3416,J3415)</f>
        <v/>
      </c>
      <c r="K3416">
        <f>IF(G3416=1,0.2*R3416/C3416,K3415)</f>
        <v/>
      </c>
      <c r="L3416">
        <f>IF(G3416=1,0.2*R3416/D3416,L3415)</f>
        <v/>
      </c>
      <c r="M3416">
        <f>IF(G3416=1,0.2*R3416/E3416,M3415)</f>
        <v/>
      </c>
      <c r="N3416">
        <f>IF(G3416=1,0.2*R3416/F3416,N3415)</f>
        <v/>
      </c>
      <c r="O3416">
        <f>IF(G3416=1,R3416*(1-1.0),IF(H3415=0,1,O3415*(1+0.00023125256064071564)))</f>
        <v/>
      </c>
      <c r="P3416">
        <f>IF(G3416=1,IF(H3415=0,1,ABS(0.2-J3415*B3416/I3416)+ABS(0.2-K3415*C3416/I3416)+ABS(0.2-L3415*D3416/I3416)+ABS(0.2-M3415*E3416/I3416)+ABS(0.2-N3415*F3416/I3416)),0)</f>
        <v/>
      </c>
      <c r="Q3416">
        <f>P3416*0.0015</f>
        <v/>
      </c>
      <c r="R3416">
        <f>I3416*(1-Q3416)</f>
        <v/>
      </c>
      <c r="S3416">
        <f>R3416/R3415-1</f>
        <v/>
      </c>
      <c r="T3416">
        <f>MAX(T3415,R3416)</f>
        <v/>
      </c>
      <c r="U3416">
        <f>R3416/T3416-1</f>
        <v/>
      </c>
      <c r="V3416" t="n">
        <v>8.575238244596671</v>
      </c>
      <c r="W3416" s="5">
        <f>R3416-V3416</f>
        <v/>
      </c>
    </row>
    <row r="3417">
      <c r="A3417" s="3" t="n">
        <v>43472</v>
      </c>
      <c r="B3417">
        <f>Prices!B3417</f>
        <v/>
      </c>
      <c r="C3417">
        <f>Prices!C3417</f>
        <v/>
      </c>
      <c r="D3417">
        <f>Prices!D3417</f>
        <v/>
      </c>
      <c r="E3417">
        <f>Prices!E3417</f>
        <v/>
      </c>
      <c r="F3417">
        <f>Prices!F3417</f>
        <v/>
      </c>
      <c r="G3417">
        <f>IF(AND(3415&gt;=16,TEXT(A3417,"yyyy-mm")&lt;&gt;TEXT(A3418,"yyyy-mm")),1,0)</f>
        <v/>
      </c>
      <c r="H3417">
        <f>IF(OR(H3416=1,G3417=1),1,0)</f>
        <v/>
      </c>
      <c r="I3417">
        <f>IF(H3416=0,1,SUMPRODUCT(J3416:N3416,B3417:F3417)+O3416*(1+0.00023125256064071564))</f>
        <v/>
      </c>
      <c r="J3417">
        <f>IF(G3417=1,0.2*R3417/B3417,J3416)</f>
        <v/>
      </c>
      <c r="K3417">
        <f>IF(G3417=1,0.2*R3417/C3417,K3416)</f>
        <v/>
      </c>
      <c r="L3417">
        <f>IF(G3417=1,0.2*R3417/D3417,L3416)</f>
        <v/>
      </c>
      <c r="M3417">
        <f>IF(G3417=1,0.2*R3417/E3417,M3416)</f>
        <v/>
      </c>
      <c r="N3417">
        <f>IF(G3417=1,0.2*R3417/F3417,N3416)</f>
        <v/>
      </c>
      <c r="O3417">
        <f>IF(G3417=1,R3417*(1-1.0),IF(H3416=0,1,O3416*(1+0.00023125256064071564)))</f>
        <v/>
      </c>
      <c r="P3417">
        <f>IF(G3417=1,IF(H3416=0,1,ABS(0.2-J3416*B3417/I3417)+ABS(0.2-K3416*C3417/I3417)+ABS(0.2-L3416*D3417/I3417)+ABS(0.2-M3416*E3417/I3417)+ABS(0.2-N3416*F3417/I3417)),0)</f>
        <v/>
      </c>
      <c r="Q3417">
        <f>P3417*0.0015</f>
        <v/>
      </c>
      <c r="R3417">
        <f>I3417*(1-Q3417)</f>
        <v/>
      </c>
      <c r="S3417">
        <f>R3417/R3416-1</f>
        <v/>
      </c>
      <c r="T3417">
        <f>MAX(T3416,R3417)</f>
        <v/>
      </c>
      <c r="U3417">
        <f>R3417/T3417-1</f>
        <v/>
      </c>
      <c r="V3417" t="n">
        <v>8.598173899581194</v>
      </c>
      <c r="W3417" s="5">
        <f>R3417-V3417</f>
        <v/>
      </c>
    </row>
    <row r="3418">
      <c r="A3418" s="3" t="n">
        <v>43473</v>
      </c>
      <c r="B3418">
        <f>Prices!B3418</f>
        <v/>
      </c>
      <c r="C3418">
        <f>Prices!C3418</f>
        <v/>
      </c>
      <c r="D3418">
        <f>Prices!D3418</f>
        <v/>
      </c>
      <c r="E3418">
        <f>Prices!E3418</f>
        <v/>
      </c>
      <c r="F3418">
        <f>Prices!F3418</f>
        <v/>
      </c>
      <c r="G3418">
        <f>IF(AND(3416&gt;=16,TEXT(A3418,"yyyy-mm")&lt;&gt;TEXT(A3419,"yyyy-mm")),1,0)</f>
        <v/>
      </c>
      <c r="H3418">
        <f>IF(OR(H3417=1,G3418=1),1,0)</f>
        <v/>
      </c>
      <c r="I3418">
        <f>IF(H3417=0,1,SUMPRODUCT(J3417:N3417,B3418:F3418)+O3417*(1+0.00023125256064071564))</f>
        <v/>
      </c>
      <c r="J3418">
        <f>IF(G3418=1,0.2*R3418/B3418,J3417)</f>
        <v/>
      </c>
      <c r="K3418">
        <f>IF(G3418=1,0.2*R3418/C3418,K3417)</f>
        <v/>
      </c>
      <c r="L3418">
        <f>IF(G3418=1,0.2*R3418/D3418,L3417)</f>
        <v/>
      </c>
      <c r="M3418">
        <f>IF(G3418=1,0.2*R3418/E3418,M3417)</f>
        <v/>
      </c>
      <c r="N3418">
        <f>IF(G3418=1,0.2*R3418/F3418,N3417)</f>
        <v/>
      </c>
      <c r="O3418">
        <f>IF(G3418=1,R3418*(1-1.0),IF(H3417=0,1,O3417*(1+0.00023125256064071564)))</f>
        <v/>
      </c>
      <c r="P3418">
        <f>IF(G3418=1,IF(H3417=0,1,ABS(0.2-J3417*B3418/I3418)+ABS(0.2-K3417*C3418/I3418)+ABS(0.2-L3417*D3418/I3418)+ABS(0.2-M3417*E3418/I3418)+ABS(0.2-N3417*F3418/I3418)),0)</f>
        <v/>
      </c>
      <c r="Q3418">
        <f>P3418*0.0015</f>
        <v/>
      </c>
      <c r="R3418">
        <f>I3418*(1-Q3418)</f>
        <v/>
      </c>
      <c r="S3418">
        <f>R3418/R3417-1</f>
        <v/>
      </c>
      <c r="T3418">
        <f>MAX(T3417,R3418)</f>
        <v/>
      </c>
      <c r="U3418">
        <f>R3418/T3418-1</f>
        <v/>
      </c>
      <c r="V3418" t="n">
        <v>8.608431207112002</v>
      </c>
      <c r="W3418" s="5">
        <f>R3418-V3418</f>
        <v/>
      </c>
    </row>
    <row r="3419">
      <c r="A3419" s="3" t="n">
        <v>43474</v>
      </c>
      <c r="B3419">
        <f>Prices!B3419</f>
        <v/>
      </c>
      <c r="C3419">
        <f>Prices!C3419</f>
        <v/>
      </c>
      <c r="D3419">
        <f>Prices!D3419</f>
        <v/>
      </c>
      <c r="E3419">
        <f>Prices!E3419</f>
        <v/>
      </c>
      <c r="F3419">
        <f>Prices!F3419</f>
        <v/>
      </c>
      <c r="G3419">
        <f>IF(AND(3417&gt;=16,TEXT(A3419,"yyyy-mm")&lt;&gt;TEXT(A3420,"yyyy-mm")),1,0)</f>
        <v/>
      </c>
      <c r="H3419">
        <f>IF(OR(H3418=1,G3419=1),1,0)</f>
        <v/>
      </c>
      <c r="I3419">
        <f>IF(H3418=0,1,SUMPRODUCT(J3418:N3418,B3419:F3419)+O3418*(1+0.00023125256064071564))</f>
        <v/>
      </c>
      <c r="J3419">
        <f>IF(G3419=1,0.2*R3419/B3419,J3418)</f>
        <v/>
      </c>
      <c r="K3419">
        <f>IF(G3419=1,0.2*R3419/C3419,K3418)</f>
        <v/>
      </c>
      <c r="L3419">
        <f>IF(G3419=1,0.2*R3419/D3419,L3418)</f>
        <v/>
      </c>
      <c r="M3419">
        <f>IF(G3419=1,0.2*R3419/E3419,M3418)</f>
        <v/>
      </c>
      <c r="N3419">
        <f>IF(G3419=1,0.2*R3419/F3419,N3418)</f>
        <v/>
      </c>
      <c r="O3419">
        <f>IF(G3419=1,R3419*(1-1.0),IF(H3418=0,1,O3418*(1+0.00023125256064071564)))</f>
        <v/>
      </c>
      <c r="P3419">
        <f>IF(G3419=1,IF(H3418=0,1,ABS(0.2-J3418*B3419/I3419)+ABS(0.2-K3418*C3419/I3419)+ABS(0.2-L3418*D3419/I3419)+ABS(0.2-M3418*E3419/I3419)+ABS(0.2-N3418*F3419/I3419)),0)</f>
        <v/>
      </c>
      <c r="Q3419">
        <f>P3419*0.0015</f>
        <v/>
      </c>
      <c r="R3419">
        <f>I3419*(1-Q3419)</f>
        <v/>
      </c>
      <c r="S3419">
        <f>R3419/R3418-1</f>
        <v/>
      </c>
      <c r="T3419">
        <f>MAX(T3418,R3419)</f>
        <v/>
      </c>
      <c r="U3419">
        <f>R3419/T3419-1</f>
        <v/>
      </c>
      <c r="V3419" t="n">
        <v>8.614201545823226</v>
      </c>
      <c r="W3419" s="5">
        <f>R3419-V3419</f>
        <v/>
      </c>
    </row>
    <row r="3420">
      <c r="A3420" s="3" t="n">
        <v>43475</v>
      </c>
      <c r="B3420">
        <f>Prices!B3420</f>
        <v/>
      </c>
      <c r="C3420">
        <f>Prices!C3420</f>
        <v/>
      </c>
      <c r="D3420">
        <f>Prices!D3420</f>
        <v/>
      </c>
      <c r="E3420">
        <f>Prices!E3420</f>
        <v/>
      </c>
      <c r="F3420">
        <f>Prices!F3420</f>
        <v/>
      </c>
      <c r="G3420">
        <f>IF(AND(3418&gt;=16,TEXT(A3420,"yyyy-mm")&lt;&gt;TEXT(A3421,"yyyy-mm")),1,0)</f>
        <v/>
      </c>
      <c r="H3420">
        <f>IF(OR(H3419=1,G3420=1),1,0)</f>
        <v/>
      </c>
      <c r="I3420">
        <f>IF(H3419=0,1,SUMPRODUCT(J3419:N3419,B3420:F3420)+O3419*(1+0.00023125256064071564))</f>
        <v/>
      </c>
      <c r="J3420">
        <f>IF(G3420=1,0.2*R3420/B3420,J3419)</f>
        <v/>
      </c>
      <c r="K3420">
        <f>IF(G3420=1,0.2*R3420/C3420,K3419)</f>
        <v/>
      </c>
      <c r="L3420">
        <f>IF(G3420=1,0.2*R3420/D3420,L3419)</f>
        <v/>
      </c>
      <c r="M3420">
        <f>IF(G3420=1,0.2*R3420/E3420,M3419)</f>
        <v/>
      </c>
      <c r="N3420">
        <f>IF(G3420=1,0.2*R3420/F3420,N3419)</f>
        <v/>
      </c>
      <c r="O3420">
        <f>IF(G3420=1,R3420*(1-1.0),IF(H3419=0,1,O3419*(1+0.00023125256064071564)))</f>
        <v/>
      </c>
      <c r="P3420">
        <f>IF(G3420=1,IF(H3419=0,1,ABS(0.2-J3419*B3420/I3420)+ABS(0.2-K3419*C3420/I3420)+ABS(0.2-L3419*D3420/I3420)+ABS(0.2-M3419*E3420/I3420)+ABS(0.2-N3419*F3420/I3420)),0)</f>
        <v/>
      </c>
      <c r="Q3420">
        <f>P3420*0.0015</f>
        <v/>
      </c>
      <c r="R3420">
        <f>I3420*(1-Q3420)</f>
        <v/>
      </c>
      <c r="S3420">
        <f>R3420/R3419-1</f>
        <v/>
      </c>
      <c r="T3420">
        <f>MAX(T3419,R3420)</f>
        <v/>
      </c>
      <c r="U3420">
        <f>R3420/T3420-1</f>
        <v/>
      </c>
      <c r="V3420" t="n">
        <v>8.61998852366105</v>
      </c>
      <c r="W3420" s="5">
        <f>R3420-V3420</f>
        <v/>
      </c>
    </row>
    <row r="3421">
      <c r="A3421" s="3" t="n">
        <v>43476</v>
      </c>
      <c r="B3421">
        <f>Prices!B3421</f>
        <v/>
      </c>
      <c r="C3421">
        <f>Prices!C3421</f>
        <v/>
      </c>
      <c r="D3421">
        <f>Prices!D3421</f>
        <v/>
      </c>
      <c r="E3421">
        <f>Prices!E3421</f>
        <v/>
      </c>
      <c r="F3421">
        <f>Prices!F3421</f>
        <v/>
      </c>
      <c r="G3421">
        <f>IF(AND(3419&gt;=16,TEXT(A3421,"yyyy-mm")&lt;&gt;TEXT(A3422,"yyyy-mm")),1,0)</f>
        <v/>
      </c>
      <c r="H3421">
        <f>IF(OR(H3420=1,G3421=1),1,0)</f>
        <v/>
      </c>
      <c r="I3421">
        <f>IF(H3420=0,1,SUMPRODUCT(J3420:N3420,B3421:F3421)+O3420*(1+0.00023125256064071564))</f>
        <v/>
      </c>
      <c r="J3421">
        <f>IF(G3421=1,0.2*R3421/B3421,J3420)</f>
        <v/>
      </c>
      <c r="K3421">
        <f>IF(G3421=1,0.2*R3421/C3421,K3420)</f>
        <v/>
      </c>
      <c r="L3421">
        <f>IF(G3421=1,0.2*R3421/D3421,L3420)</f>
        <v/>
      </c>
      <c r="M3421">
        <f>IF(G3421=1,0.2*R3421/E3421,M3420)</f>
        <v/>
      </c>
      <c r="N3421">
        <f>IF(G3421=1,0.2*R3421/F3421,N3420)</f>
        <v/>
      </c>
      <c r="O3421">
        <f>IF(G3421=1,R3421*(1-1.0),IF(H3420=0,1,O3420*(1+0.00023125256064071564)))</f>
        <v/>
      </c>
      <c r="P3421">
        <f>IF(G3421=1,IF(H3420=0,1,ABS(0.2-J3420*B3421/I3421)+ABS(0.2-K3420*C3421/I3421)+ABS(0.2-L3420*D3421/I3421)+ABS(0.2-M3420*E3421/I3421)+ABS(0.2-N3420*F3421/I3421)),0)</f>
        <v/>
      </c>
      <c r="Q3421">
        <f>P3421*0.0015</f>
        <v/>
      </c>
      <c r="R3421">
        <f>I3421*(1-Q3421)</f>
        <v/>
      </c>
      <c r="S3421">
        <f>R3421/R3420-1</f>
        <v/>
      </c>
      <c r="T3421">
        <f>MAX(T3420,R3421)</f>
        <v/>
      </c>
      <c r="U3421">
        <f>R3421/T3421-1</f>
        <v/>
      </c>
      <c r="V3421" t="n">
        <v>8.609588606441834</v>
      </c>
      <c r="W3421" s="5">
        <f>R3421-V3421</f>
        <v/>
      </c>
    </row>
    <row r="3422">
      <c r="A3422" s="3" t="n">
        <v>43479</v>
      </c>
      <c r="B3422">
        <f>Prices!B3422</f>
        <v/>
      </c>
      <c r="C3422">
        <f>Prices!C3422</f>
        <v/>
      </c>
      <c r="D3422">
        <f>Prices!D3422</f>
        <v/>
      </c>
      <c r="E3422">
        <f>Prices!E3422</f>
        <v/>
      </c>
      <c r="F3422">
        <f>Prices!F3422</f>
        <v/>
      </c>
      <c r="G3422">
        <f>IF(AND(3420&gt;=16,TEXT(A3422,"yyyy-mm")&lt;&gt;TEXT(A3423,"yyyy-mm")),1,0)</f>
        <v/>
      </c>
      <c r="H3422">
        <f>IF(OR(H3421=1,G3422=1),1,0)</f>
        <v/>
      </c>
      <c r="I3422">
        <f>IF(H3421=0,1,SUMPRODUCT(J3421:N3421,B3422:F3422)+O3421*(1+0.00023125256064071564))</f>
        <v/>
      </c>
      <c r="J3422">
        <f>IF(G3422=1,0.2*R3422/B3422,J3421)</f>
        <v/>
      </c>
      <c r="K3422">
        <f>IF(G3422=1,0.2*R3422/C3422,K3421)</f>
        <v/>
      </c>
      <c r="L3422">
        <f>IF(G3422=1,0.2*R3422/D3422,L3421)</f>
        <v/>
      </c>
      <c r="M3422">
        <f>IF(G3422=1,0.2*R3422/E3422,M3421)</f>
        <v/>
      </c>
      <c r="N3422">
        <f>IF(G3422=1,0.2*R3422/F3422,N3421)</f>
        <v/>
      </c>
      <c r="O3422">
        <f>IF(G3422=1,R3422*(1-1.0),IF(H3421=0,1,O3421*(1+0.00023125256064071564)))</f>
        <v/>
      </c>
      <c r="P3422">
        <f>IF(G3422=1,IF(H3421=0,1,ABS(0.2-J3421*B3422/I3422)+ABS(0.2-K3421*C3422/I3422)+ABS(0.2-L3421*D3422/I3422)+ABS(0.2-M3421*E3422/I3422)+ABS(0.2-N3421*F3422/I3422)),0)</f>
        <v/>
      </c>
      <c r="Q3422">
        <f>P3422*0.0015</f>
        <v/>
      </c>
      <c r="R3422">
        <f>I3422*(1-Q3422)</f>
        <v/>
      </c>
      <c r="S3422">
        <f>R3422/R3421-1</f>
        <v/>
      </c>
      <c r="T3422">
        <f>MAX(T3421,R3422)</f>
        <v/>
      </c>
      <c r="U3422">
        <f>R3422/T3422-1</f>
        <v/>
      </c>
      <c r="V3422" t="n">
        <v>8.584074878155247</v>
      </c>
      <c r="W3422" s="5">
        <f>R3422-V3422</f>
        <v/>
      </c>
    </row>
    <row r="3423">
      <c r="A3423" s="3" t="n">
        <v>43480</v>
      </c>
      <c r="B3423">
        <f>Prices!B3423</f>
        <v/>
      </c>
      <c r="C3423">
        <f>Prices!C3423</f>
        <v/>
      </c>
      <c r="D3423">
        <f>Prices!D3423</f>
        <v/>
      </c>
      <c r="E3423">
        <f>Prices!E3423</f>
        <v/>
      </c>
      <c r="F3423">
        <f>Prices!F3423</f>
        <v/>
      </c>
      <c r="G3423">
        <f>IF(AND(3421&gt;=16,TEXT(A3423,"yyyy-mm")&lt;&gt;TEXT(A3424,"yyyy-mm")),1,0)</f>
        <v/>
      </c>
      <c r="H3423">
        <f>IF(OR(H3422=1,G3423=1),1,0)</f>
        <v/>
      </c>
      <c r="I3423">
        <f>IF(H3422=0,1,SUMPRODUCT(J3422:N3422,B3423:F3423)+O3422*(1+0.00023125256064071564))</f>
        <v/>
      </c>
      <c r="J3423">
        <f>IF(G3423=1,0.2*R3423/B3423,J3422)</f>
        <v/>
      </c>
      <c r="K3423">
        <f>IF(G3423=1,0.2*R3423/C3423,K3422)</f>
        <v/>
      </c>
      <c r="L3423">
        <f>IF(G3423=1,0.2*R3423/D3423,L3422)</f>
        <v/>
      </c>
      <c r="M3423">
        <f>IF(G3423=1,0.2*R3423/E3423,M3422)</f>
        <v/>
      </c>
      <c r="N3423">
        <f>IF(G3423=1,0.2*R3423/F3423,N3422)</f>
        <v/>
      </c>
      <c r="O3423">
        <f>IF(G3423=1,R3423*(1-1.0),IF(H3422=0,1,O3422*(1+0.00023125256064071564)))</f>
        <v/>
      </c>
      <c r="P3423">
        <f>IF(G3423=1,IF(H3422=0,1,ABS(0.2-J3422*B3423/I3423)+ABS(0.2-K3422*C3423/I3423)+ABS(0.2-L3422*D3423/I3423)+ABS(0.2-M3422*E3423/I3423)+ABS(0.2-N3422*F3423/I3423)),0)</f>
        <v/>
      </c>
      <c r="Q3423">
        <f>P3423*0.0015</f>
        <v/>
      </c>
      <c r="R3423">
        <f>I3423*(1-Q3423)</f>
        <v/>
      </c>
      <c r="S3423">
        <f>R3423/R3422-1</f>
        <v/>
      </c>
      <c r="T3423">
        <f>MAX(T3422,R3423)</f>
        <v/>
      </c>
      <c r="U3423">
        <f>R3423/T3423-1</f>
        <v/>
      </c>
      <c r="V3423" t="n">
        <v>8.692676614778936</v>
      </c>
      <c r="W3423" s="5">
        <f>R3423-V3423</f>
        <v/>
      </c>
    </row>
    <row r="3424">
      <c r="A3424" s="3" t="n">
        <v>43481</v>
      </c>
      <c r="B3424">
        <f>Prices!B3424</f>
        <v/>
      </c>
      <c r="C3424">
        <f>Prices!C3424</f>
        <v/>
      </c>
      <c r="D3424">
        <f>Prices!D3424</f>
        <v/>
      </c>
      <c r="E3424">
        <f>Prices!E3424</f>
        <v/>
      </c>
      <c r="F3424">
        <f>Prices!F3424</f>
        <v/>
      </c>
      <c r="G3424">
        <f>IF(AND(3422&gt;=16,TEXT(A3424,"yyyy-mm")&lt;&gt;TEXT(A3425,"yyyy-mm")),1,0)</f>
        <v/>
      </c>
      <c r="H3424">
        <f>IF(OR(H3423=1,G3424=1),1,0)</f>
        <v/>
      </c>
      <c r="I3424">
        <f>IF(H3423=0,1,SUMPRODUCT(J3423:N3423,B3424:F3424)+O3423*(1+0.00023125256064071564))</f>
        <v/>
      </c>
      <c r="J3424">
        <f>IF(G3424=1,0.2*R3424/B3424,J3423)</f>
        <v/>
      </c>
      <c r="K3424">
        <f>IF(G3424=1,0.2*R3424/C3424,K3423)</f>
        <v/>
      </c>
      <c r="L3424">
        <f>IF(G3424=1,0.2*R3424/D3424,L3423)</f>
        <v/>
      </c>
      <c r="M3424">
        <f>IF(G3424=1,0.2*R3424/E3424,M3423)</f>
        <v/>
      </c>
      <c r="N3424">
        <f>IF(G3424=1,0.2*R3424/F3424,N3423)</f>
        <v/>
      </c>
      <c r="O3424">
        <f>IF(G3424=1,R3424*(1-1.0),IF(H3423=0,1,O3423*(1+0.00023125256064071564)))</f>
        <v/>
      </c>
      <c r="P3424">
        <f>IF(G3424=1,IF(H3423=0,1,ABS(0.2-J3423*B3424/I3424)+ABS(0.2-K3423*C3424/I3424)+ABS(0.2-L3423*D3424/I3424)+ABS(0.2-M3423*E3424/I3424)+ABS(0.2-N3423*F3424/I3424)),0)</f>
        <v/>
      </c>
      <c r="Q3424">
        <f>P3424*0.0015</f>
        <v/>
      </c>
      <c r="R3424">
        <f>I3424*(1-Q3424)</f>
        <v/>
      </c>
      <c r="S3424">
        <f>R3424/R3423-1</f>
        <v/>
      </c>
      <c r="T3424">
        <f>MAX(T3423,R3424)</f>
        <v/>
      </c>
      <c r="U3424">
        <f>R3424/T3424-1</f>
        <v/>
      </c>
      <c r="V3424" t="n">
        <v>8.702661802976063</v>
      </c>
      <c r="W3424" s="5">
        <f>R3424-V3424</f>
        <v/>
      </c>
    </row>
    <row r="3425">
      <c r="A3425" s="3" t="n">
        <v>43482</v>
      </c>
      <c r="B3425">
        <f>Prices!B3425</f>
        <v/>
      </c>
      <c r="C3425">
        <f>Prices!C3425</f>
        <v/>
      </c>
      <c r="D3425">
        <f>Prices!D3425</f>
        <v/>
      </c>
      <c r="E3425">
        <f>Prices!E3425</f>
        <v/>
      </c>
      <c r="F3425">
        <f>Prices!F3425</f>
        <v/>
      </c>
      <c r="G3425">
        <f>IF(AND(3423&gt;=16,TEXT(A3425,"yyyy-mm")&lt;&gt;TEXT(A3426,"yyyy-mm")),1,0)</f>
        <v/>
      </c>
      <c r="H3425">
        <f>IF(OR(H3424=1,G3425=1),1,0)</f>
        <v/>
      </c>
      <c r="I3425">
        <f>IF(H3424=0,1,SUMPRODUCT(J3424:N3424,B3425:F3425)+O3424*(1+0.00023125256064071564))</f>
        <v/>
      </c>
      <c r="J3425">
        <f>IF(G3425=1,0.2*R3425/B3425,J3424)</f>
        <v/>
      </c>
      <c r="K3425">
        <f>IF(G3425=1,0.2*R3425/C3425,K3424)</f>
        <v/>
      </c>
      <c r="L3425">
        <f>IF(G3425=1,0.2*R3425/D3425,L3424)</f>
        <v/>
      </c>
      <c r="M3425">
        <f>IF(G3425=1,0.2*R3425/E3425,M3424)</f>
        <v/>
      </c>
      <c r="N3425">
        <f>IF(G3425=1,0.2*R3425/F3425,N3424)</f>
        <v/>
      </c>
      <c r="O3425">
        <f>IF(G3425=1,R3425*(1-1.0),IF(H3424=0,1,O3424*(1+0.00023125256064071564)))</f>
        <v/>
      </c>
      <c r="P3425">
        <f>IF(G3425=1,IF(H3424=0,1,ABS(0.2-J3424*B3425/I3425)+ABS(0.2-K3424*C3425/I3425)+ABS(0.2-L3424*D3425/I3425)+ABS(0.2-M3424*E3425/I3425)+ABS(0.2-N3424*F3425/I3425)),0)</f>
        <v/>
      </c>
      <c r="Q3425">
        <f>P3425*0.0015</f>
        <v/>
      </c>
      <c r="R3425">
        <f>I3425*(1-Q3425)</f>
        <v/>
      </c>
      <c r="S3425">
        <f>R3425/R3424-1</f>
        <v/>
      </c>
      <c r="T3425">
        <f>MAX(T3424,R3425)</f>
        <v/>
      </c>
      <c r="U3425">
        <f>R3425/T3425-1</f>
        <v/>
      </c>
      <c r="V3425" t="n">
        <v>8.703545035048897</v>
      </c>
      <c r="W3425" s="5">
        <f>R3425-V3425</f>
        <v/>
      </c>
    </row>
    <row r="3426">
      <c r="A3426" s="3" t="n">
        <v>43483</v>
      </c>
      <c r="B3426">
        <f>Prices!B3426</f>
        <v/>
      </c>
      <c r="C3426">
        <f>Prices!C3426</f>
        <v/>
      </c>
      <c r="D3426">
        <f>Prices!D3426</f>
        <v/>
      </c>
      <c r="E3426">
        <f>Prices!E3426</f>
        <v/>
      </c>
      <c r="F3426">
        <f>Prices!F3426</f>
        <v/>
      </c>
      <c r="G3426">
        <f>IF(AND(3424&gt;=16,TEXT(A3426,"yyyy-mm")&lt;&gt;TEXT(A3427,"yyyy-mm")),1,0)</f>
        <v/>
      </c>
      <c r="H3426">
        <f>IF(OR(H3425=1,G3426=1),1,0)</f>
        <v/>
      </c>
      <c r="I3426">
        <f>IF(H3425=0,1,SUMPRODUCT(J3425:N3425,B3426:F3426)+O3425*(1+0.00023125256064071564))</f>
        <v/>
      </c>
      <c r="J3426">
        <f>IF(G3426=1,0.2*R3426/B3426,J3425)</f>
        <v/>
      </c>
      <c r="K3426">
        <f>IF(G3426=1,0.2*R3426/C3426,K3425)</f>
        <v/>
      </c>
      <c r="L3426">
        <f>IF(G3426=1,0.2*R3426/D3426,L3425)</f>
        <v/>
      </c>
      <c r="M3426">
        <f>IF(G3426=1,0.2*R3426/E3426,M3425)</f>
        <v/>
      </c>
      <c r="N3426">
        <f>IF(G3426=1,0.2*R3426/F3426,N3425)</f>
        <v/>
      </c>
      <c r="O3426">
        <f>IF(G3426=1,R3426*(1-1.0),IF(H3425=0,1,O3425*(1+0.00023125256064071564)))</f>
        <v/>
      </c>
      <c r="P3426">
        <f>IF(G3426=1,IF(H3425=0,1,ABS(0.2-J3425*B3426/I3426)+ABS(0.2-K3425*C3426/I3426)+ABS(0.2-L3425*D3426/I3426)+ABS(0.2-M3425*E3426/I3426)+ABS(0.2-N3425*F3426/I3426)),0)</f>
        <v/>
      </c>
      <c r="Q3426">
        <f>P3426*0.0015</f>
        <v/>
      </c>
      <c r="R3426">
        <f>I3426*(1-Q3426)</f>
        <v/>
      </c>
      <c r="S3426">
        <f>R3426/R3425-1</f>
        <v/>
      </c>
      <c r="T3426">
        <f>MAX(T3425,R3426)</f>
        <v/>
      </c>
      <c r="U3426">
        <f>R3426/T3426-1</f>
        <v/>
      </c>
      <c r="V3426" t="n">
        <v>8.676791914345745</v>
      </c>
      <c r="W3426" s="5">
        <f>R3426-V3426</f>
        <v/>
      </c>
    </row>
    <row r="3427">
      <c r="A3427" s="3" t="n">
        <v>43486</v>
      </c>
      <c r="B3427">
        <f>Prices!B3427</f>
        <v/>
      </c>
      <c r="C3427">
        <f>Prices!C3427</f>
        <v/>
      </c>
      <c r="D3427">
        <f>Prices!D3427</f>
        <v/>
      </c>
      <c r="E3427">
        <f>Prices!E3427</f>
        <v/>
      </c>
      <c r="F3427">
        <f>Prices!F3427</f>
        <v/>
      </c>
      <c r="G3427">
        <f>IF(AND(3425&gt;=16,TEXT(A3427,"yyyy-mm")&lt;&gt;TEXT(A3428,"yyyy-mm")),1,0)</f>
        <v/>
      </c>
      <c r="H3427">
        <f>IF(OR(H3426=1,G3427=1),1,0)</f>
        <v/>
      </c>
      <c r="I3427">
        <f>IF(H3426=0,1,SUMPRODUCT(J3426:N3426,B3427:F3427)+O3426*(1+0.00023125256064071564))</f>
        <v/>
      </c>
      <c r="J3427">
        <f>IF(G3427=1,0.2*R3427/B3427,J3426)</f>
        <v/>
      </c>
      <c r="K3427">
        <f>IF(G3427=1,0.2*R3427/C3427,K3426)</f>
        <v/>
      </c>
      <c r="L3427">
        <f>IF(G3427=1,0.2*R3427/D3427,L3426)</f>
        <v/>
      </c>
      <c r="M3427">
        <f>IF(G3427=1,0.2*R3427/E3427,M3426)</f>
        <v/>
      </c>
      <c r="N3427">
        <f>IF(G3427=1,0.2*R3427/F3427,N3426)</f>
        <v/>
      </c>
      <c r="O3427">
        <f>IF(G3427=1,R3427*(1-1.0),IF(H3426=0,1,O3426*(1+0.00023125256064071564)))</f>
        <v/>
      </c>
      <c r="P3427">
        <f>IF(G3427=1,IF(H3426=0,1,ABS(0.2-J3426*B3427/I3427)+ABS(0.2-K3426*C3427/I3427)+ABS(0.2-L3426*D3427/I3427)+ABS(0.2-M3426*E3427/I3427)+ABS(0.2-N3426*F3427/I3427)),0)</f>
        <v/>
      </c>
      <c r="Q3427">
        <f>P3427*0.0015</f>
        <v/>
      </c>
      <c r="R3427">
        <f>I3427*(1-Q3427)</f>
        <v/>
      </c>
      <c r="S3427">
        <f>R3427/R3426-1</f>
        <v/>
      </c>
      <c r="T3427">
        <f>MAX(T3426,R3427)</f>
        <v/>
      </c>
      <c r="U3427">
        <f>R3427/T3427-1</f>
        <v/>
      </c>
      <c r="V3427" t="n">
        <v>8.653971241658688</v>
      </c>
      <c r="W3427" s="5">
        <f>R3427-V3427</f>
        <v/>
      </c>
    </row>
    <row r="3428">
      <c r="A3428" s="3" t="n">
        <v>43487</v>
      </c>
      <c r="B3428">
        <f>Prices!B3428</f>
        <v/>
      </c>
      <c r="C3428">
        <f>Prices!C3428</f>
        <v/>
      </c>
      <c r="D3428">
        <f>Prices!D3428</f>
        <v/>
      </c>
      <c r="E3428">
        <f>Prices!E3428</f>
        <v/>
      </c>
      <c r="F3428">
        <f>Prices!F3428</f>
        <v/>
      </c>
      <c r="G3428">
        <f>IF(AND(3426&gt;=16,TEXT(A3428,"yyyy-mm")&lt;&gt;TEXT(A3429,"yyyy-mm")),1,0)</f>
        <v/>
      </c>
      <c r="H3428">
        <f>IF(OR(H3427=1,G3428=1),1,0)</f>
        <v/>
      </c>
      <c r="I3428">
        <f>IF(H3427=0,1,SUMPRODUCT(J3427:N3427,B3428:F3428)+O3427*(1+0.00023125256064071564))</f>
        <v/>
      </c>
      <c r="J3428">
        <f>IF(G3428=1,0.2*R3428/B3428,J3427)</f>
        <v/>
      </c>
      <c r="K3428">
        <f>IF(G3428=1,0.2*R3428/C3428,K3427)</f>
        <v/>
      </c>
      <c r="L3428">
        <f>IF(G3428=1,0.2*R3428/D3428,L3427)</f>
        <v/>
      </c>
      <c r="M3428">
        <f>IF(G3428=1,0.2*R3428/E3428,M3427)</f>
        <v/>
      </c>
      <c r="N3428">
        <f>IF(G3428=1,0.2*R3428/F3428,N3427)</f>
        <v/>
      </c>
      <c r="O3428">
        <f>IF(G3428=1,R3428*(1-1.0),IF(H3427=0,1,O3427*(1+0.00023125256064071564)))</f>
        <v/>
      </c>
      <c r="P3428">
        <f>IF(G3428=1,IF(H3427=0,1,ABS(0.2-J3427*B3428/I3428)+ABS(0.2-K3427*C3428/I3428)+ABS(0.2-L3427*D3428/I3428)+ABS(0.2-M3427*E3428/I3428)+ABS(0.2-N3427*F3428/I3428)),0)</f>
        <v/>
      </c>
      <c r="Q3428">
        <f>P3428*0.0015</f>
        <v/>
      </c>
      <c r="R3428">
        <f>I3428*(1-Q3428)</f>
        <v/>
      </c>
      <c r="S3428">
        <f>R3428/R3427-1</f>
        <v/>
      </c>
      <c r="T3428">
        <f>MAX(T3427,R3428)</f>
        <v/>
      </c>
      <c r="U3428">
        <f>R3428/T3428-1</f>
        <v/>
      </c>
      <c r="V3428" t="n">
        <v>8.638884512872803</v>
      </c>
      <c r="W3428" s="5">
        <f>R3428-V3428</f>
        <v/>
      </c>
    </row>
    <row r="3429">
      <c r="A3429" s="3" t="n">
        <v>43488</v>
      </c>
      <c r="B3429">
        <f>Prices!B3429</f>
        <v/>
      </c>
      <c r="C3429">
        <f>Prices!C3429</f>
        <v/>
      </c>
      <c r="D3429">
        <f>Prices!D3429</f>
        <v/>
      </c>
      <c r="E3429">
        <f>Prices!E3429</f>
        <v/>
      </c>
      <c r="F3429">
        <f>Prices!F3429</f>
        <v/>
      </c>
      <c r="G3429">
        <f>IF(AND(3427&gt;=16,TEXT(A3429,"yyyy-mm")&lt;&gt;TEXT(A3430,"yyyy-mm")),1,0)</f>
        <v/>
      </c>
      <c r="H3429">
        <f>IF(OR(H3428=1,G3429=1),1,0)</f>
        <v/>
      </c>
      <c r="I3429">
        <f>IF(H3428=0,1,SUMPRODUCT(J3428:N3428,B3429:F3429)+O3428*(1+0.00023125256064071564))</f>
        <v/>
      </c>
      <c r="J3429">
        <f>IF(G3429=1,0.2*R3429/B3429,J3428)</f>
        <v/>
      </c>
      <c r="K3429">
        <f>IF(G3429=1,0.2*R3429/C3429,K3428)</f>
        <v/>
      </c>
      <c r="L3429">
        <f>IF(G3429=1,0.2*R3429/D3429,L3428)</f>
        <v/>
      </c>
      <c r="M3429">
        <f>IF(G3429=1,0.2*R3429/E3429,M3428)</f>
        <v/>
      </c>
      <c r="N3429">
        <f>IF(G3429=1,0.2*R3429/F3429,N3428)</f>
        <v/>
      </c>
      <c r="O3429">
        <f>IF(G3429=1,R3429*(1-1.0),IF(H3428=0,1,O3428*(1+0.00023125256064071564)))</f>
        <v/>
      </c>
      <c r="P3429">
        <f>IF(G3429=1,IF(H3428=0,1,ABS(0.2-J3428*B3429/I3429)+ABS(0.2-K3428*C3429/I3429)+ABS(0.2-L3428*D3429/I3429)+ABS(0.2-M3428*E3429/I3429)+ABS(0.2-N3428*F3429/I3429)),0)</f>
        <v/>
      </c>
      <c r="Q3429">
        <f>P3429*0.0015</f>
        <v/>
      </c>
      <c r="R3429">
        <f>I3429*(1-Q3429)</f>
        <v/>
      </c>
      <c r="S3429">
        <f>R3429/R3428-1</f>
        <v/>
      </c>
      <c r="T3429">
        <f>MAX(T3428,R3429)</f>
        <v/>
      </c>
      <c r="U3429">
        <f>R3429/T3429-1</f>
        <v/>
      </c>
      <c r="V3429" t="n">
        <v>8.622726258419773</v>
      </c>
      <c r="W3429" s="5">
        <f>R3429-V3429</f>
        <v/>
      </c>
    </row>
    <row r="3430">
      <c r="A3430" s="3" t="n">
        <v>43489</v>
      </c>
      <c r="B3430">
        <f>Prices!B3430</f>
        <v/>
      </c>
      <c r="C3430">
        <f>Prices!C3430</f>
        <v/>
      </c>
      <c r="D3430">
        <f>Prices!D3430</f>
        <v/>
      </c>
      <c r="E3430">
        <f>Prices!E3430</f>
        <v/>
      </c>
      <c r="F3430">
        <f>Prices!F3430</f>
        <v/>
      </c>
      <c r="G3430">
        <f>IF(AND(3428&gt;=16,TEXT(A3430,"yyyy-mm")&lt;&gt;TEXT(A3431,"yyyy-mm")),1,0)</f>
        <v/>
      </c>
      <c r="H3430">
        <f>IF(OR(H3429=1,G3430=1),1,0)</f>
        <v/>
      </c>
      <c r="I3430">
        <f>IF(H3429=0,1,SUMPRODUCT(J3429:N3429,B3430:F3430)+O3429*(1+0.00023125256064071564))</f>
        <v/>
      </c>
      <c r="J3430">
        <f>IF(G3430=1,0.2*R3430/B3430,J3429)</f>
        <v/>
      </c>
      <c r="K3430">
        <f>IF(G3430=1,0.2*R3430/C3430,K3429)</f>
        <v/>
      </c>
      <c r="L3430">
        <f>IF(G3430=1,0.2*R3430/D3430,L3429)</f>
        <v/>
      </c>
      <c r="M3430">
        <f>IF(G3430=1,0.2*R3430/E3430,M3429)</f>
        <v/>
      </c>
      <c r="N3430">
        <f>IF(G3430=1,0.2*R3430/F3430,N3429)</f>
        <v/>
      </c>
      <c r="O3430">
        <f>IF(G3430=1,R3430*(1-1.0),IF(H3429=0,1,O3429*(1+0.00023125256064071564)))</f>
        <v/>
      </c>
      <c r="P3430">
        <f>IF(G3430=1,IF(H3429=0,1,ABS(0.2-J3429*B3430/I3430)+ABS(0.2-K3429*C3430/I3430)+ABS(0.2-L3429*D3430/I3430)+ABS(0.2-M3429*E3430/I3430)+ABS(0.2-N3429*F3430/I3430)),0)</f>
        <v/>
      </c>
      <c r="Q3430">
        <f>P3430*0.0015</f>
        <v/>
      </c>
      <c r="R3430">
        <f>I3430*(1-Q3430)</f>
        <v/>
      </c>
      <c r="S3430">
        <f>R3430/R3429-1</f>
        <v/>
      </c>
      <c r="T3430">
        <f>MAX(T3429,R3430)</f>
        <v/>
      </c>
      <c r="U3430">
        <f>R3430/T3430-1</f>
        <v/>
      </c>
      <c r="V3430" t="n">
        <v>8.614405397964996</v>
      </c>
      <c r="W3430" s="5">
        <f>R3430-V3430</f>
        <v/>
      </c>
    </row>
    <row r="3431">
      <c r="A3431" s="3" t="n">
        <v>43490</v>
      </c>
      <c r="B3431">
        <f>Prices!B3431</f>
        <v/>
      </c>
      <c r="C3431">
        <f>Prices!C3431</f>
        <v/>
      </c>
      <c r="D3431">
        <f>Prices!D3431</f>
        <v/>
      </c>
      <c r="E3431">
        <f>Prices!E3431</f>
        <v/>
      </c>
      <c r="F3431">
        <f>Prices!F3431</f>
        <v/>
      </c>
      <c r="G3431">
        <f>IF(AND(3429&gt;=16,TEXT(A3431,"yyyy-mm")&lt;&gt;TEXT(A3432,"yyyy-mm")),1,0)</f>
        <v/>
      </c>
      <c r="H3431">
        <f>IF(OR(H3430=1,G3431=1),1,0)</f>
        <v/>
      </c>
      <c r="I3431">
        <f>IF(H3430=0,1,SUMPRODUCT(J3430:N3430,B3431:F3431)+O3430*(1+0.00023125256064071564))</f>
        <v/>
      </c>
      <c r="J3431">
        <f>IF(G3431=1,0.2*R3431/B3431,J3430)</f>
        <v/>
      </c>
      <c r="K3431">
        <f>IF(G3431=1,0.2*R3431/C3431,K3430)</f>
        <v/>
      </c>
      <c r="L3431">
        <f>IF(G3431=1,0.2*R3431/D3431,L3430)</f>
        <v/>
      </c>
      <c r="M3431">
        <f>IF(G3431=1,0.2*R3431/E3431,M3430)</f>
        <v/>
      </c>
      <c r="N3431">
        <f>IF(G3431=1,0.2*R3431/F3431,N3430)</f>
        <v/>
      </c>
      <c r="O3431">
        <f>IF(G3431=1,R3431*(1-1.0),IF(H3430=0,1,O3430*(1+0.00023125256064071564)))</f>
        <v/>
      </c>
      <c r="P3431">
        <f>IF(G3431=1,IF(H3430=0,1,ABS(0.2-J3430*B3431/I3431)+ABS(0.2-K3430*C3431/I3431)+ABS(0.2-L3430*D3431/I3431)+ABS(0.2-M3430*E3431/I3431)+ABS(0.2-N3430*F3431/I3431)),0)</f>
        <v/>
      </c>
      <c r="Q3431">
        <f>P3431*0.0015</f>
        <v/>
      </c>
      <c r="R3431">
        <f>I3431*(1-Q3431)</f>
        <v/>
      </c>
      <c r="S3431">
        <f>R3431/R3430-1</f>
        <v/>
      </c>
      <c r="T3431">
        <f>MAX(T3430,R3431)</f>
        <v/>
      </c>
      <c r="U3431">
        <f>R3431/T3431-1</f>
        <v/>
      </c>
      <c r="V3431" t="n">
        <v>8.538791797283745</v>
      </c>
      <c r="W3431" s="5">
        <f>R3431-V3431</f>
        <v/>
      </c>
    </row>
    <row r="3432">
      <c r="A3432" s="3" t="n">
        <v>43493</v>
      </c>
      <c r="B3432">
        <f>Prices!B3432</f>
        <v/>
      </c>
      <c r="C3432">
        <f>Prices!C3432</f>
        <v/>
      </c>
      <c r="D3432">
        <f>Prices!D3432</f>
        <v/>
      </c>
      <c r="E3432">
        <f>Prices!E3432</f>
        <v/>
      </c>
      <c r="F3432">
        <f>Prices!F3432</f>
        <v/>
      </c>
      <c r="G3432">
        <f>IF(AND(3430&gt;=16,TEXT(A3432,"yyyy-mm")&lt;&gt;TEXT(A3433,"yyyy-mm")),1,0)</f>
        <v/>
      </c>
      <c r="H3432">
        <f>IF(OR(H3431=1,G3432=1),1,0)</f>
        <v/>
      </c>
      <c r="I3432">
        <f>IF(H3431=0,1,SUMPRODUCT(J3431:N3431,B3432:F3432)+O3431*(1+0.00023125256064071564))</f>
        <v/>
      </c>
      <c r="J3432">
        <f>IF(G3432=1,0.2*R3432/B3432,J3431)</f>
        <v/>
      </c>
      <c r="K3432">
        <f>IF(G3432=1,0.2*R3432/C3432,K3431)</f>
        <v/>
      </c>
      <c r="L3432">
        <f>IF(G3432=1,0.2*R3432/D3432,L3431)</f>
        <v/>
      </c>
      <c r="M3432">
        <f>IF(G3432=1,0.2*R3432/E3432,M3431)</f>
        <v/>
      </c>
      <c r="N3432">
        <f>IF(G3432=1,0.2*R3432/F3432,N3431)</f>
        <v/>
      </c>
      <c r="O3432">
        <f>IF(G3432=1,R3432*(1-1.0),IF(H3431=0,1,O3431*(1+0.00023125256064071564)))</f>
        <v/>
      </c>
      <c r="P3432">
        <f>IF(G3432=1,IF(H3431=0,1,ABS(0.2-J3431*B3432/I3432)+ABS(0.2-K3431*C3432/I3432)+ABS(0.2-L3431*D3432/I3432)+ABS(0.2-M3431*E3432/I3432)+ABS(0.2-N3431*F3432/I3432)),0)</f>
        <v/>
      </c>
      <c r="Q3432">
        <f>P3432*0.0015</f>
        <v/>
      </c>
      <c r="R3432">
        <f>I3432*(1-Q3432)</f>
        <v/>
      </c>
      <c r="S3432">
        <f>R3432/R3431-1</f>
        <v/>
      </c>
      <c r="T3432">
        <f>MAX(T3431,R3432)</f>
        <v/>
      </c>
      <c r="U3432">
        <f>R3432/T3432-1</f>
        <v/>
      </c>
      <c r="V3432" t="n">
        <v>8.409539424917272</v>
      </c>
      <c r="W3432" s="5">
        <f>R3432-V3432</f>
        <v/>
      </c>
    </row>
    <row r="3433">
      <c r="A3433" s="3" t="n">
        <v>43494</v>
      </c>
      <c r="B3433">
        <f>Prices!B3433</f>
        <v/>
      </c>
      <c r="C3433">
        <f>Prices!C3433</f>
        <v/>
      </c>
      <c r="D3433">
        <f>Prices!D3433</f>
        <v/>
      </c>
      <c r="E3433">
        <f>Prices!E3433</f>
        <v/>
      </c>
      <c r="F3433">
        <f>Prices!F3433</f>
        <v/>
      </c>
      <c r="G3433">
        <f>IF(AND(3431&gt;=16,TEXT(A3433,"yyyy-mm")&lt;&gt;TEXT(A3434,"yyyy-mm")),1,0)</f>
        <v/>
      </c>
      <c r="H3433">
        <f>IF(OR(H3432=1,G3433=1),1,0)</f>
        <v/>
      </c>
      <c r="I3433">
        <f>IF(H3432=0,1,SUMPRODUCT(J3432:N3432,B3433:F3433)+O3432*(1+0.00023125256064071564))</f>
        <v/>
      </c>
      <c r="J3433">
        <f>IF(G3433=1,0.2*R3433/B3433,J3432)</f>
        <v/>
      </c>
      <c r="K3433">
        <f>IF(G3433=1,0.2*R3433/C3433,K3432)</f>
        <v/>
      </c>
      <c r="L3433">
        <f>IF(G3433=1,0.2*R3433/D3433,L3432)</f>
        <v/>
      </c>
      <c r="M3433">
        <f>IF(G3433=1,0.2*R3433/E3433,M3432)</f>
        <v/>
      </c>
      <c r="N3433">
        <f>IF(G3433=1,0.2*R3433/F3433,N3432)</f>
        <v/>
      </c>
      <c r="O3433">
        <f>IF(G3433=1,R3433*(1-1.0),IF(H3432=0,1,O3432*(1+0.00023125256064071564)))</f>
        <v/>
      </c>
      <c r="P3433">
        <f>IF(G3433=1,IF(H3432=0,1,ABS(0.2-J3432*B3433/I3433)+ABS(0.2-K3432*C3433/I3433)+ABS(0.2-L3432*D3433/I3433)+ABS(0.2-M3432*E3433/I3433)+ABS(0.2-N3432*F3433/I3433)),0)</f>
        <v/>
      </c>
      <c r="Q3433">
        <f>P3433*0.0015</f>
        <v/>
      </c>
      <c r="R3433">
        <f>I3433*(1-Q3433)</f>
        <v/>
      </c>
      <c r="S3433">
        <f>R3433/R3432-1</f>
        <v/>
      </c>
      <c r="T3433">
        <f>MAX(T3432,R3433)</f>
        <v/>
      </c>
      <c r="U3433">
        <f>R3433/T3433-1</f>
        <v/>
      </c>
      <c r="V3433" t="n">
        <v>8.41947348876017</v>
      </c>
      <c r="W3433" s="5">
        <f>R3433-V3433</f>
        <v/>
      </c>
    </row>
    <row r="3434">
      <c r="A3434" s="3" t="n">
        <v>43495</v>
      </c>
      <c r="B3434">
        <f>Prices!B3434</f>
        <v/>
      </c>
      <c r="C3434">
        <f>Prices!C3434</f>
        <v/>
      </c>
      <c r="D3434">
        <f>Prices!D3434</f>
        <v/>
      </c>
      <c r="E3434">
        <f>Prices!E3434</f>
        <v/>
      </c>
      <c r="F3434">
        <f>Prices!F3434</f>
        <v/>
      </c>
      <c r="G3434">
        <f>IF(AND(3432&gt;=16,TEXT(A3434,"yyyy-mm")&lt;&gt;TEXT(A3435,"yyyy-mm")),1,0)</f>
        <v/>
      </c>
      <c r="H3434">
        <f>IF(OR(H3433=1,G3434=1),1,0)</f>
        <v/>
      </c>
      <c r="I3434">
        <f>IF(H3433=0,1,SUMPRODUCT(J3433:N3433,B3434:F3434)+O3433*(1+0.00023125256064071564))</f>
        <v/>
      </c>
      <c r="J3434">
        <f>IF(G3434=1,0.2*R3434/B3434,J3433)</f>
        <v/>
      </c>
      <c r="K3434">
        <f>IF(G3434=1,0.2*R3434/C3434,K3433)</f>
        <v/>
      </c>
      <c r="L3434">
        <f>IF(G3434=1,0.2*R3434/D3434,L3433)</f>
        <v/>
      </c>
      <c r="M3434">
        <f>IF(G3434=1,0.2*R3434/E3434,M3433)</f>
        <v/>
      </c>
      <c r="N3434">
        <f>IF(G3434=1,0.2*R3434/F3434,N3433)</f>
        <v/>
      </c>
      <c r="O3434">
        <f>IF(G3434=1,R3434*(1-1.0),IF(H3433=0,1,O3433*(1+0.00023125256064071564)))</f>
        <v/>
      </c>
      <c r="P3434">
        <f>IF(G3434=1,IF(H3433=0,1,ABS(0.2-J3433*B3434/I3434)+ABS(0.2-K3433*C3434/I3434)+ABS(0.2-L3433*D3434/I3434)+ABS(0.2-M3433*E3434/I3434)+ABS(0.2-N3433*F3434/I3434)),0)</f>
        <v/>
      </c>
      <c r="Q3434">
        <f>P3434*0.0015</f>
        <v/>
      </c>
      <c r="R3434">
        <f>I3434*(1-Q3434)</f>
        <v/>
      </c>
      <c r="S3434">
        <f>R3434/R3433-1</f>
        <v/>
      </c>
      <c r="T3434">
        <f>MAX(T3433,R3434)</f>
        <v/>
      </c>
      <c r="U3434">
        <f>R3434/T3434-1</f>
        <v/>
      </c>
      <c r="V3434" t="n">
        <v>8.461732139432518</v>
      </c>
      <c r="W3434" s="5">
        <f>R3434-V3434</f>
        <v/>
      </c>
    </row>
    <row r="3435">
      <c r="A3435" s="3" t="n">
        <v>43496</v>
      </c>
      <c r="B3435">
        <f>Prices!B3435</f>
        <v/>
      </c>
      <c r="C3435">
        <f>Prices!C3435</f>
        <v/>
      </c>
      <c r="D3435">
        <f>Prices!D3435</f>
        <v/>
      </c>
      <c r="E3435">
        <f>Prices!E3435</f>
        <v/>
      </c>
      <c r="F3435">
        <f>Prices!F3435</f>
        <v/>
      </c>
      <c r="G3435">
        <f>IF(AND(3433&gt;=16,TEXT(A3435,"yyyy-mm")&lt;&gt;TEXT(A3436,"yyyy-mm")),1,0)</f>
        <v/>
      </c>
      <c r="H3435">
        <f>IF(OR(H3434=1,G3435=1),1,0)</f>
        <v/>
      </c>
      <c r="I3435">
        <f>IF(H3434=0,1,SUMPRODUCT(J3434:N3434,B3435:F3435)+O3434*(1+0.00023125256064071564))</f>
        <v/>
      </c>
      <c r="J3435">
        <f>IF(G3435=1,0.2*R3435/B3435,J3434)</f>
        <v/>
      </c>
      <c r="K3435">
        <f>IF(G3435=1,0.2*R3435/C3435,K3434)</f>
        <v/>
      </c>
      <c r="L3435">
        <f>IF(G3435=1,0.2*R3435/D3435,L3434)</f>
        <v/>
      </c>
      <c r="M3435">
        <f>IF(G3435=1,0.2*R3435/E3435,M3434)</f>
        <v/>
      </c>
      <c r="N3435">
        <f>IF(G3435=1,0.2*R3435/F3435,N3434)</f>
        <v/>
      </c>
      <c r="O3435">
        <f>IF(G3435=1,R3435*(1-1.0),IF(H3434=0,1,O3434*(1+0.00023125256064071564)))</f>
        <v/>
      </c>
      <c r="P3435">
        <f>IF(G3435=1,IF(H3434=0,1,ABS(0.2-J3434*B3435/I3435)+ABS(0.2-K3434*C3435/I3435)+ABS(0.2-L3434*D3435/I3435)+ABS(0.2-M3434*E3435/I3435)+ABS(0.2-N3434*F3435/I3435)),0)</f>
        <v/>
      </c>
      <c r="Q3435">
        <f>P3435*0.0015</f>
        <v/>
      </c>
      <c r="R3435">
        <f>I3435*(1-Q3435)</f>
        <v/>
      </c>
      <c r="S3435">
        <f>R3435/R3434-1</f>
        <v/>
      </c>
      <c r="T3435">
        <f>MAX(T3434,R3435)</f>
        <v/>
      </c>
      <c r="U3435">
        <f>R3435/T3435-1</f>
        <v/>
      </c>
      <c r="V3435" t="n">
        <v>8.560921394123863</v>
      </c>
      <c r="W3435" s="5">
        <f>R3435-V3435</f>
        <v/>
      </c>
    </row>
    <row r="3436">
      <c r="A3436" s="3" t="n">
        <v>43497</v>
      </c>
      <c r="B3436">
        <f>Prices!B3436</f>
        <v/>
      </c>
      <c r="C3436">
        <f>Prices!C3436</f>
        <v/>
      </c>
      <c r="D3436">
        <f>Prices!D3436</f>
        <v/>
      </c>
      <c r="E3436">
        <f>Prices!E3436</f>
        <v/>
      </c>
      <c r="F3436">
        <f>Prices!F3436</f>
        <v/>
      </c>
      <c r="G3436">
        <f>IF(AND(3434&gt;=16,TEXT(A3436,"yyyy-mm")&lt;&gt;TEXT(A3437,"yyyy-mm")),1,0)</f>
        <v/>
      </c>
      <c r="H3436">
        <f>IF(OR(H3435=1,G3436=1),1,0)</f>
        <v/>
      </c>
      <c r="I3436">
        <f>IF(H3435=0,1,SUMPRODUCT(J3435:N3435,B3436:F3436)+O3435*(1+0.00023125256064071564))</f>
        <v/>
      </c>
      <c r="J3436">
        <f>IF(G3436=1,0.2*R3436/B3436,J3435)</f>
        <v/>
      </c>
      <c r="K3436">
        <f>IF(G3436=1,0.2*R3436/C3436,K3435)</f>
        <v/>
      </c>
      <c r="L3436">
        <f>IF(G3436=1,0.2*R3436/D3436,L3435)</f>
        <v/>
      </c>
      <c r="M3436">
        <f>IF(G3436=1,0.2*R3436/E3436,M3435)</f>
        <v/>
      </c>
      <c r="N3436">
        <f>IF(G3436=1,0.2*R3436/F3436,N3435)</f>
        <v/>
      </c>
      <c r="O3436">
        <f>IF(G3436=1,R3436*(1-1.0),IF(H3435=0,1,O3435*(1+0.00023125256064071564)))</f>
        <v/>
      </c>
      <c r="P3436">
        <f>IF(G3436=1,IF(H3435=0,1,ABS(0.2-J3435*B3436/I3436)+ABS(0.2-K3435*C3436/I3436)+ABS(0.2-L3435*D3436/I3436)+ABS(0.2-M3435*E3436/I3436)+ABS(0.2-N3435*F3436/I3436)),0)</f>
        <v/>
      </c>
      <c r="Q3436">
        <f>P3436*0.0015</f>
        <v/>
      </c>
      <c r="R3436">
        <f>I3436*(1-Q3436)</f>
        <v/>
      </c>
      <c r="S3436">
        <f>R3436/R3435-1</f>
        <v/>
      </c>
      <c r="T3436">
        <f>MAX(T3435,R3436)</f>
        <v/>
      </c>
      <c r="U3436">
        <f>R3436/T3436-1</f>
        <v/>
      </c>
      <c r="V3436" t="n">
        <v>8.636980787955514</v>
      </c>
      <c r="W3436" s="5">
        <f>R3436-V3436</f>
        <v/>
      </c>
    </row>
    <row r="3437">
      <c r="A3437" s="3" t="n">
        <v>43500</v>
      </c>
      <c r="B3437">
        <f>Prices!B3437</f>
        <v/>
      </c>
      <c r="C3437">
        <f>Prices!C3437</f>
        <v/>
      </c>
      <c r="D3437">
        <f>Prices!D3437</f>
        <v/>
      </c>
      <c r="E3437">
        <f>Prices!E3437</f>
        <v/>
      </c>
      <c r="F3437">
        <f>Prices!F3437</f>
        <v/>
      </c>
      <c r="G3437">
        <f>IF(AND(3435&gt;=16,TEXT(A3437,"yyyy-mm")&lt;&gt;TEXT(A3438,"yyyy-mm")),1,0)</f>
        <v/>
      </c>
      <c r="H3437">
        <f>IF(OR(H3436=1,G3437=1),1,0)</f>
        <v/>
      </c>
      <c r="I3437">
        <f>IF(H3436=0,1,SUMPRODUCT(J3436:N3436,B3437:F3437)+O3436*(1+0.00023125256064071564))</f>
        <v/>
      </c>
      <c r="J3437">
        <f>IF(G3437=1,0.2*R3437/B3437,J3436)</f>
        <v/>
      </c>
      <c r="K3437">
        <f>IF(G3437=1,0.2*R3437/C3437,K3436)</f>
        <v/>
      </c>
      <c r="L3437">
        <f>IF(G3437=1,0.2*R3437/D3437,L3436)</f>
        <v/>
      </c>
      <c r="M3437">
        <f>IF(G3437=1,0.2*R3437/E3437,M3436)</f>
        <v/>
      </c>
      <c r="N3437">
        <f>IF(G3437=1,0.2*R3437/F3437,N3436)</f>
        <v/>
      </c>
      <c r="O3437">
        <f>IF(G3437=1,R3437*(1-1.0),IF(H3436=0,1,O3436*(1+0.00023125256064071564)))</f>
        <v/>
      </c>
      <c r="P3437">
        <f>IF(G3437=1,IF(H3436=0,1,ABS(0.2-J3436*B3437/I3437)+ABS(0.2-K3436*C3437/I3437)+ABS(0.2-L3436*D3437/I3437)+ABS(0.2-M3436*E3437/I3437)+ABS(0.2-N3436*F3437/I3437)),0)</f>
        <v/>
      </c>
      <c r="Q3437">
        <f>P3437*0.0015</f>
        <v/>
      </c>
      <c r="R3437">
        <f>I3437*(1-Q3437)</f>
        <v/>
      </c>
      <c r="S3437">
        <f>R3437/R3436-1</f>
        <v/>
      </c>
      <c r="T3437">
        <f>MAX(T3436,R3437)</f>
        <v/>
      </c>
      <c r="U3437">
        <f>R3437/T3437-1</f>
        <v/>
      </c>
      <c r="V3437" t="n">
        <v>8.578428267337834</v>
      </c>
      <c r="W3437" s="5">
        <f>R3437-V3437</f>
        <v/>
      </c>
    </row>
    <row r="3438">
      <c r="A3438" s="3" t="n">
        <v>43501</v>
      </c>
      <c r="B3438">
        <f>Prices!B3438</f>
        <v/>
      </c>
      <c r="C3438">
        <f>Prices!C3438</f>
        <v/>
      </c>
      <c r="D3438">
        <f>Prices!D3438</f>
        <v/>
      </c>
      <c r="E3438">
        <f>Prices!E3438</f>
        <v/>
      </c>
      <c r="F3438">
        <f>Prices!F3438</f>
        <v/>
      </c>
      <c r="G3438">
        <f>IF(AND(3436&gt;=16,TEXT(A3438,"yyyy-mm")&lt;&gt;TEXT(A3439,"yyyy-mm")),1,0)</f>
        <v/>
      </c>
      <c r="H3438">
        <f>IF(OR(H3437=1,G3438=1),1,0)</f>
        <v/>
      </c>
      <c r="I3438">
        <f>IF(H3437=0,1,SUMPRODUCT(J3437:N3437,B3438:F3438)+O3437*(1+0.00023125256064071564))</f>
        <v/>
      </c>
      <c r="J3438">
        <f>IF(G3438=1,0.2*R3438/B3438,J3437)</f>
        <v/>
      </c>
      <c r="K3438">
        <f>IF(G3438=1,0.2*R3438/C3438,K3437)</f>
        <v/>
      </c>
      <c r="L3438">
        <f>IF(G3438=1,0.2*R3438/D3438,L3437)</f>
        <v/>
      </c>
      <c r="M3438">
        <f>IF(G3438=1,0.2*R3438/E3438,M3437)</f>
        <v/>
      </c>
      <c r="N3438">
        <f>IF(G3438=1,0.2*R3438/F3438,N3437)</f>
        <v/>
      </c>
      <c r="O3438">
        <f>IF(G3438=1,R3438*(1-1.0),IF(H3437=0,1,O3437*(1+0.00023125256064071564)))</f>
        <v/>
      </c>
      <c r="P3438">
        <f>IF(G3438=1,IF(H3437=0,1,ABS(0.2-J3437*B3438/I3438)+ABS(0.2-K3437*C3438/I3438)+ABS(0.2-L3437*D3438/I3438)+ABS(0.2-M3437*E3438/I3438)+ABS(0.2-N3437*F3438/I3438)),0)</f>
        <v/>
      </c>
      <c r="Q3438">
        <f>P3438*0.0015</f>
        <v/>
      </c>
      <c r="R3438">
        <f>I3438*(1-Q3438)</f>
        <v/>
      </c>
      <c r="S3438">
        <f>R3438/R3437-1</f>
        <v/>
      </c>
      <c r="T3438">
        <f>MAX(T3437,R3438)</f>
        <v/>
      </c>
      <c r="U3438">
        <f>R3438/T3438-1</f>
        <v/>
      </c>
      <c r="V3438" t="n">
        <v>8.545316487668559</v>
      </c>
      <c r="W3438" s="5">
        <f>R3438-V3438</f>
        <v/>
      </c>
    </row>
    <row r="3439">
      <c r="A3439" s="3" t="n">
        <v>43502</v>
      </c>
      <c r="B3439">
        <f>Prices!B3439</f>
        <v/>
      </c>
      <c r="C3439">
        <f>Prices!C3439</f>
        <v/>
      </c>
      <c r="D3439">
        <f>Prices!D3439</f>
        <v/>
      </c>
      <c r="E3439">
        <f>Prices!E3439</f>
        <v/>
      </c>
      <c r="F3439">
        <f>Prices!F3439</f>
        <v/>
      </c>
      <c r="G3439">
        <f>IF(AND(3437&gt;=16,TEXT(A3439,"yyyy-mm")&lt;&gt;TEXT(A3440,"yyyy-mm")),1,0)</f>
        <v/>
      </c>
      <c r="H3439">
        <f>IF(OR(H3438=1,G3439=1),1,0)</f>
        <v/>
      </c>
      <c r="I3439">
        <f>IF(H3438=0,1,SUMPRODUCT(J3438:N3438,B3439:F3439)+O3438*(1+0.00023125256064071564))</f>
        <v/>
      </c>
      <c r="J3439">
        <f>IF(G3439=1,0.2*R3439/B3439,J3438)</f>
        <v/>
      </c>
      <c r="K3439">
        <f>IF(G3439=1,0.2*R3439/C3439,K3438)</f>
        <v/>
      </c>
      <c r="L3439">
        <f>IF(G3439=1,0.2*R3439/D3439,L3438)</f>
        <v/>
      </c>
      <c r="M3439">
        <f>IF(G3439=1,0.2*R3439/E3439,M3438)</f>
        <v/>
      </c>
      <c r="N3439">
        <f>IF(G3439=1,0.2*R3439/F3439,N3438)</f>
        <v/>
      </c>
      <c r="O3439">
        <f>IF(G3439=1,R3439*(1-1.0),IF(H3438=0,1,O3438*(1+0.00023125256064071564)))</f>
        <v/>
      </c>
      <c r="P3439">
        <f>IF(G3439=1,IF(H3438=0,1,ABS(0.2-J3438*B3439/I3439)+ABS(0.2-K3438*C3439/I3439)+ABS(0.2-L3438*D3439/I3439)+ABS(0.2-M3438*E3439/I3439)+ABS(0.2-N3438*F3439/I3439)),0)</f>
        <v/>
      </c>
      <c r="Q3439">
        <f>P3439*0.0015</f>
        <v/>
      </c>
      <c r="R3439">
        <f>I3439*(1-Q3439)</f>
        <v/>
      </c>
      <c r="S3439">
        <f>R3439/R3438-1</f>
        <v/>
      </c>
      <c r="T3439">
        <f>MAX(T3438,R3439)</f>
        <v/>
      </c>
      <c r="U3439">
        <f>R3439/T3439-1</f>
        <v/>
      </c>
      <c r="V3439" t="n">
        <v>8.641668750299379</v>
      </c>
      <c r="W3439" s="5">
        <f>R3439-V3439</f>
        <v/>
      </c>
    </row>
    <row r="3440">
      <c r="A3440" s="3" t="n">
        <v>43503</v>
      </c>
      <c r="B3440">
        <f>Prices!B3440</f>
        <v/>
      </c>
      <c r="C3440">
        <f>Prices!C3440</f>
        <v/>
      </c>
      <c r="D3440">
        <f>Prices!D3440</f>
        <v/>
      </c>
      <c r="E3440">
        <f>Prices!E3440</f>
        <v/>
      </c>
      <c r="F3440">
        <f>Prices!F3440</f>
        <v/>
      </c>
      <c r="G3440">
        <f>IF(AND(3438&gt;=16,TEXT(A3440,"yyyy-mm")&lt;&gt;TEXT(A3441,"yyyy-mm")),1,0)</f>
        <v/>
      </c>
      <c r="H3440">
        <f>IF(OR(H3439=1,G3440=1),1,0)</f>
        <v/>
      </c>
      <c r="I3440">
        <f>IF(H3439=0,1,SUMPRODUCT(J3439:N3439,B3440:F3440)+O3439*(1+0.00023125256064071564))</f>
        <v/>
      </c>
      <c r="J3440">
        <f>IF(G3440=1,0.2*R3440/B3440,J3439)</f>
        <v/>
      </c>
      <c r="K3440">
        <f>IF(G3440=1,0.2*R3440/C3440,K3439)</f>
        <v/>
      </c>
      <c r="L3440">
        <f>IF(G3440=1,0.2*R3440/D3440,L3439)</f>
        <v/>
      </c>
      <c r="M3440">
        <f>IF(G3440=1,0.2*R3440/E3440,M3439)</f>
        <v/>
      </c>
      <c r="N3440">
        <f>IF(G3440=1,0.2*R3440/F3440,N3439)</f>
        <v/>
      </c>
      <c r="O3440">
        <f>IF(G3440=1,R3440*(1-1.0),IF(H3439=0,1,O3439*(1+0.00023125256064071564)))</f>
        <v/>
      </c>
      <c r="P3440">
        <f>IF(G3440=1,IF(H3439=0,1,ABS(0.2-J3439*B3440/I3440)+ABS(0.2-K3439*C3440/I3440)+ABS(0.2-L3439*D3440/I3440)+ABS(0.2-M3439*E3440/I3440)+ABS(0.2-N3439*F3440/I3440)),0)</f>
        <v/>
      </c>
      <c r="Q3440">
        <f>P3440*0.0015</f>
        <v/>
      </c>
      <c r="R3440">
        <f>I3440*(1-Q3440)</f>
        <v/>
      </c>
      <c r="S3440">
        <f>R3440/R3439-1</f>
        <v/>
      </c>
      <c r="T3440">
        <f>MAX(T3439,R3440)</f>
        <v/>
      </c>
      <c r="U3440">
        <f>R3440/T3440-1</f>
        <v/>
      </c>
      <c r="V3440" t="n">
        <v>8.6791253376825</v>
      </c>
      <c r="W3440" s="5">
        <f>R3440-V3440</f>
        <v/>
      </c>
    </row>
    <row r="3441">
      <c r="A3441" s="3" t="n">
        <v>43504</v>
      </c>
      <c r="B3441">
        <f>Prices!B3441</f>
        <v/>
      </c>
      <c r="C3441">
        <f>Prices!C3441</f>
        <v/>
      </c>
      <c r="D3441">
        <f>Prices!D3441</f>
        <v/>
      </c>
      <c r="E3441">
        <f>Prices!E3441</f>
        <v/>
      </c>
      <c r="F3441">
        <f>Prices!F3441</f>
        <v/>
      </c>
      <c r="G3441">
        <f>IF(AND(3439&gt;=16,TEXT(A3441,"yyyy-mm")&lt;&gt;TEXT(A3442,"yyyy-mm")),1,0)</f>
        <v/>
      </c>
      <c r="H3441">
        <f>IF(OR(H3440=1,G3441=1),1,0)</f>
        <v/>
      </c>
      <c r="I3441">
        <f>IF(H3440=0,1,SUMPRODUCT(J3440:N3440,B3441:F3441)+O3440*(1+0.00023125256064071564))</f>
        <v/>
      </c>
      <c r="J3441">
        <f>IF(G3441=1,0.2*R3441/B3441,J3440)</f>
        <v/>
      </c>
      <c r="K3441">
        <f>IF(G3441=1,0.2*R3441/C3441,K3440)</f>
        <v/>
      </c>
      <c r="L3441">
        <f>IF(G3441=1,0.2*R3441/D3441,L3440)</f>
        <v/>
      </c>
      <c r="M3441">
        <f>IF(G3441=1,0.2*R3441/E3441,M3440)</f>
        <v/>
      </c>
      <c r="N3441">
        <f>IF(G3441=1,0.2*R3441/F3441,N3440)</f>
        <v/>
      </c>
      <c r="O3441">
        <f>IF(G3441=1,R3441*(1-1.0),IF(H3440=0,1,O3440*(1+0.00023125256064071564)))</f>
        <v/>
      </c>
      <c r="P3441">
        <f>IF(G3441=1,IF(H3440=0,1,ABS(0.2-J3440*B3441/I3441)+ABS(0.2-K3440*C3441/I3441)+ABS(0.2-L3440*D3441/I3441)+ABS(0.2-M3440*E3441/I3441)+ABS(0.2-N3440*F3441/I3441)),0)</f>
        <v/>
      </c>
      <c r="Q3441">
        <f>P3441*0.0015</f>
        <v/>
      </c>
      <c r="R3441">
        <f>I3441*(1-Q3441)</f>
        <v/>
      </c>
      <c r="S3441">
        <f>R3441/R3440-1</f>
        <v/>
      </c>
      <c r="T3441">
        <f>MAX(T3440,R3441)</f>
        <v/>
      </c>
      <c r="U3441">
        <f>R3441/T3441-1</f>
        <v/>
      </c>
      <c r="V3441" t="n">
        <v>8.550687518627894</v>
      </c>
      <c r="W3441" s="5">
        <f>R3441-V3441</f>
        <v/>
      </c>
    </row>
    <row r="3442">
      <c r="A3442" s="3" t="n">
        <v>43507</v>
      </c>
      <c r="B3442">
        <f>Prices!B3442</f>
        <v/>
      </c>
      <c r="C3442">
        <f>Prices!C3442</f>
        <v/>
      </c>
      <c r="D3442">
        <f>Prices!D3442</f>
        <v/>
      </c>
      <c r="E3442">
        <f>Prices!E3442</f>
        <v/>
      </c>
      <c r="F3442">
        <f>Prices!F3442</f>
        <v/>
      </c>
      <c r="G3442">
        <f>IF(AND(3440&gt;=16,TEXT(A3442,"yyyy-mm")&lt;&gt;TEXT(A3443,"yyyy-mm")),1,0)</f>
        <v/>
      </c>
      <c r="H3442">
        <f>IF(OR(H3441=1,G3442=1),1,0)</f>
        <v/>
      </c>
      <c r="I3442">
        <f>IF(H3441=0,1,SUMPRODUCT(J3441:N3441,B3442:F3442)+O3441*(1+0.00023125256064071564))</f>
        <v/>
      </c>
      <c r="J3442">
        <f>IF(G3442=1,0.2*R3442/B3442,J3441)</f>
        <v/>
      </c>
      <c r="K3442">
        <f>IF(G3442=1,0.2*R3442/C3442,K3441)</f>
        <v/>
      </c>
      <c r="L3442">
        <f>IF(G3442=1,0.2*R3442/D3442,L3441)</f>
        <v/>
      </c>
      <c r="M3442">
        <f>IF(G3442=1,0.2*R3442/E3442,M3441)</f>
        <v/>
      </c>
      <c r="N3442">
        <f>IF(G3442=1,0.2*R3442/F3442,N3441)</f>
        <v/>
      </c>
      <c r="O3442">
        <f>IF(G3442=1,R3442*(1-1.0),IF(H3441=0,1,O3441*(1+0.00023125256064071564)))</f>
        <v/>
      </c>
      <c r="P3442">
        <f>IF(G3442=1,IF(H3441=0,1,ABS(0.2-J3441*B3442/I3442)+ABS(0.2-K3441*C3442/I3442)+ABS(0.2-L3441*D3442/I3442)+ABS(0.2-M3441*E3442/I3442)+ABS(0.2-N3441*F3442/I3442)),0)</f>
        <v/>
      </c>
      <c r="Q3442">
        <f>P3442*0.0015</f>
        <v/>
      </c>
      <c r="R3442">
        <f>I3442*(1-Q3442)</f>
        <v/>
      </c>
      <c r="S3442">
        <f>R3442/R3441-1</f>
        <v/>
      </c>
      <c r="T3442">
        <f>MAX(T3441,R3442)</f>
        <v/>
      </c>
      <c r="U3442">
        <f>R3442/T3442-1</f>
        <v/>
      </c>
      <c r="V3442" t="n">
        <v>8.46681249084501</v>
      </c>
      <c r="W3442" s="5">
        <f>R3442-V3442</f>
        <v/>
      </c>
    </row>
    <row r="3443">
      <c r="A3443" s="3" t="n">
        <v>43508</v>
      </c>
      <c r="B3443">
        <f>Prices!B3443</f>
        <v/>
      </c>
      <c r="C3443">
        <f>Prices!C3443</f>
        <v/>
      </c>
      <c r="D3443">
        <f>Prices!D3443</f>
        <v/>
      </c>
      <c r="E3443">
        <f>Prices!E3443</f>
        <v/>
      </c>
      <c r="F3443">
        <f>Prices!F3443</f>
        <v/>
      </c>
      <c r="G3443">
        <f>IF(AND(3441&gt;=16,TEXT(A3443,"yyyy-mm")&lt;&gt;TEXT(A3444,"yyyy-mm")),1,0)</f>
        <v/>
      </c>
      <c r="H3443">
        <f>IF(OR(H3442=1,G3443=1),1,0)</f>
        <v/>
      </c>
      <c r="I3443">
        <f>IF(H3442=0,1,SUMPRODUCT(J3442:N3442,B3443:F3443)+O3442*(1+0.00023125256064071564))</f>
        <v/>
      </c>
      <c r="J3443">
        <f>IF(G3443=1,0.2*R3443/B3443,J3442)</f>
        <v/>
      </c>
      <c r="K3443">
        <f>IF(G3443=1,0.2*R3443/C3443,K3442)</f>
        <v/>
      </c>
      <c r="L3443">
        <f>IF(G3443=1,0.2*R3443/D3443,L3442)</f>
        <v/>
      </c>
      <c r="M3443">
        <f>IF(G3443=1,0.2*R3443/E3443,M3442)</f>
        <v/>
      </c>
      <c r="N3443">
        <f>IF(G3443=1,0.2*R3443/F3443,N3442)</f>
        <v/>
      </c>
      <c r="O3443">
        <f>IF(G3443=1,R3443*(1-1.0),IF(H3442=0,1,O3442*(1+0.00023125256064071564)))</f>
        <v/>
      </c>
      <c r="P3443">
        <f>IF(G3443=1,IF(H3442=0,1,ABS(0.2-J3442*B3443/I3443)+ABS(0.2-K3442*C3443/I3443)+ABS(0.2-L3442*D3443/I3443)+ABS(0.2-M3442*E3443/I3443)+ABS(0.2-N3442*F3443/I3443)),0)</f>
        <v/>
      </c>
      <c r="Q3443">
        <f>P3443*0.0015</f>
        <v/>
      </c>
      <c r="R3443">
        <f>I3443*(1-Q3443)</f>
        <v/>
      </c>
      <c r="S3443">
        <f>R3443/R3442-1</f>
        <v/>
      </c>
      <c r="T3443">
        <f>MAX(T3442,R3443)</f>
        <v/>
      </c>
      <c r="U3443">
        <f>R3443/T3443-1</f>
        <v/>
      </c>
      <c r="V3443" t="n">
        <v>8.440112538185234</v>
      </c>
      <c r="W3443" s="5">
        <f>R3443-V3443</f>
        <v/>
      </c>
    </row>
    <row r="3444">
      <c r="A3444" s="3" t="n">
        <v>43509</v>
      </c>
      <c r="B3444">
        <f>Prices!B3444</f>
        <v/>
      </c>
      <c r="C3444">
        <f>Prices!C3444</f>
        <v/>
      </c>
      <c r="D3444">
        <f>Prices!D3444</f>
        <v/>
      </c>
      <c r="E3444">
        <f>Prices!E3444</f>
        <v/>
      </c>
      <c r="F3444">
        <f>Prices!F3444</f>
        <v/>
      </c>
      <c r="G3444">
        <f>IF(AND(3442&gt;=16,TEXT(A3444,"yyyy-mm")&lt;&gt;TEXT(A3445,"yyyy-mm")),1,0)</f>
        <v/>
      </c>
      <c r="H3444">
        <f>IF(OR(H3443=1,G3444=1),1,0)</f>
        <v/>
      </c>
      <c r="I3444">
        <f>IF(H3443=0,1,SUMPRODUCT(J3443:N3443,B3444:F3444)+O3443*(1+0.00023125256064071564))</f>
        <v/>
      </c>
      <c r="J3444">
        <f>IF(G3444=1,0.2*R3444/B3444,J3443)</f>
        <v/>
      </c>
      <c r="K3444">
        <f>IF(G3444=1,0.2*R3444/C3444,K3443)</f>
        <v/>
      </c>
      <c r="L3444">
        <f>IF(G3444=1,0.2*R3444/D3444,L3443)</f>
        <v/>
      </c>
      <c r="M3444">
        <f>IF(G3444=1,0.2*R3444/E3444,M3443)</f>
        <v/>
      </c>
      <c r="N3444">
        <f>IF(G3444=1,0.2*R3444/F3444,N3443)</f>
        <v/>
      </c>
      <c r="O3444">
        <f>IF(G3444=1,R3444*(1-1.0),IF(H3443=0,1,O3443*(1+0.00023125256064071564)))</f>
        <v/>
      </c>
      <c r="P3444">
        <f>IF(G3444=1,IF(H3443=0,1,ABS(0.2-J3443*B3444/I3444)+ABS(0.2-K3443*C3444/I3444)+ABS(0.2-L3443*D3444/I3444)+ABS(0.2-M3443*E3444/I3444)+ABS(0.2-N3443*F3444/I3444)),0)</f>
        <v/>
      </c>
      <c r="Q3444">
        <f>P3444*0.0015</f>
        <v/>
      </c>
      <c r="R3444">
        <f>I3444*(1-Q3444)</f>
        <v/>
      </c>
      <c r="S3444">
        <f>R3444/R3443-1</f>
        <v/>
      </c>
      <c r="T3444">
        <f>MAX(T3443,R3444)</f>
        <v/>
      </c>
      <c r="U3444">
        <f>R3444/T3444-1</f>
        <v/>
      </c>
      <c r="V3444" t="n">
        <v>8.38951645909423</v>
      </c>
      <c r="W3444" s="5">
        <f>R3444-V3444</f>
        <v/>
      </c>
    </row>
    <row r="3445">
      <c r="A3445" s="3" t="n">
        <v>43510</v>
      </c>
      <c r="B3445">
        <f>Prices!B3445</f>
        <v/>
      </c>
      <c r="C3445">
        <f>Prices!C3445</f>
        <v/>
      </c>
      <c r="D3445">
        <f>Prices!D3445</f>
        <v/>
      </c>
      <c r="E3445">
        <f>Prices!E3445</f>
        <v/>
      </c>
      <c r="F3445">
        <f>Prices!F3445</f>
        <v/>
      </c>
      <c r="G3445">
        <f>IF(AND(3443&gt;=16,TEXT(A3445,"yyyy-mm")&lt;&gt;TEXT(A3446,"yyyy-mm")),1,0)</f>
        <v/>
      </c>
      <c r="H3445">
        <f>IF(OR(H3444=1,G3445=1),1,0)</f>
        <v/>
      </c>
      <c r="I3445">
        <f>IF(H3444=0,1,SUMPRODUCT(J3444:N3444,B3445:F3445)+O3444*(1+0.00023125256064071564))</f>
        <v/>
      </c>
      <c r="J3445">
        <f>IF(G3445=1,0.2*R3445/B3445,J3444)</f>
        <v/>
      </c>
      <c r="K3445">
        <f>IF(G3445=1,0.2*R3445/C3445,K3444)</f>
        <v/>
      </c>
      <c r="L3445">
        <f>IF(G3445=1,0.2*R3445/D3445,L3444)</f>
        <v/>
      </c>
      <c r="M3445">
        <f>IF(G3445=1,0.2*R3445/E3445,M3444)</f>
        <v/>
      </c>
      <c r="N3445">
        <f>IF(G3445=1,0.2*R3445/F3445,N3444)</f>
        <v/>
      </c>
      <c r="O3445">
        <f>IF(G3445=1,R3445*(1-1.0),IF(H3444=0,1,O3444*(1+0.00023125256064071564)))</f>
        <v/>
      </c>
      <c r="P3445">
        <f>IF(G3445=1,IF(H3444=0,1,ABS(0.2-J3444*B3445/I3445)+ABS(0.2-K3444*C3445/I3445)+ABS(0.2-L3444*D3445/I3445)+ABS(0.2-M3444*E3445/I3445)+ABS(0.2-N3444*F3445/I3445)),0)</f>
        <v/>
      </c>
      <c r="Q3445">
        <f>P3445*0.0015</f>
        <v/>
      </c>
      <c r="R3445">
        <f>I3445*(1-Q3445)</f>
        <v/>
      </c>
      <c r="S3445">
        <f>R3445/R3444-1</f>
        <v/>
      </c>
      <c r="T3445">
        <f>MAX(T3444,R3445)</f>
        <v/>
      </c>
      <c r="U3445">
        <f>R3445/T3445-1</f>
        <v/>
      </c>
      <c r="V3445" t="n">
        <v>8.386090422489655</v>
      </c>
      <c r="W3445" s="5">
        <f>R3445-V3445</f>
        <v/>
      </c>
    </row>
    <row r="3446">
      <c r="A3446" s="3" t="n">
        <v>43511</v>
      </c>
      <c r="B3446">
        <f>Prices!B3446</f>
        <v/>
      </c>
      <c r="C3446">
        <f>Prices!C3446</f>
        <v/>
      </c>
      <c r="D3446">
        <f>Prices!D3446</f>
        <v/>
      </c>
      <c r="E3446">
        <f>Prices!E3446</f>
        <v/>
      </c>
      <c r="F3446">
        <f>Prices!F3446</f>
        <v/>
      </c>
      <c r="G3446">
        <f>IF(AND(3444&gt;=16,TEXT(A3446,"yyyy-mm")&lt;&gt;TEXT(A3447,"yyyy-mm")),1,0)</f>
        <v/>
      </c>
      <c r="H3446">
        <f>IF(OR(H3445=1,G3446=1),1,0)</f>
        <v/>
      </c>
      <c r="I3446">
        <f>IF(H3445=0,1,SUMPRODUCT(J3445:N3445,B3446:F3446)+O3445*(1+0.00023125256064071564))</f>
        <v/>
      </c>
      <c r="J3446">
        <f>IF(G3446=1,0.2*R3446/B3446,J3445)</f>
        <v/>
      </c>
      <c r="K3446">
        <f>IF(G3446=1,0.2*R3446/C3446,K3445)</f>
        <v/>
      </c>
      <c r="L3446">
        <f>IF(G3446=1,0.2*R3446/D3446,L3445)</f>
        <v/>
      </c>
      <c r="M3446">
        <f>IF(G3446=1,0.2*R3446/E3446,M3445)</f>
        <v/>
      </c>
      <c r="N3446">
        <f>IF(G3446=1,0.2*R3446/F3446,N3445)</f>
        <v/>
      </c>
      <c r="O3446">
        <f>IF(G3446=1,R3446*(1-1.0),IF(H3445=0,1,O3445*(1+0.00023125256064071564)))</f>
        <v/>
      </c>
      <c r="P3446">
        <f>IF(G3446=1,IF(H3445=0,1,ABS(0.2-J3445*B3446/I3446)+ABS(0.2-K3445*C3446/I3446)+ABS(0.2-L3445*D3446/I3446)+ABS(0.2-M3445*E3446/I3446)+ABS(0.2-N3445*F3446/I3446)),0)</f>
        <v/>
      </c>
      <c r="Q3446">
        <f>P3446*0.0015</f>
        <v/>
      </c>
      <c r="R3446">
        <f>I3446*(1-Q3446)</f>
        <v/>
      </c>
      <c r="S3446">
        <f>R3446/R3445-1</f>
        <v/>
      </c>
      <c r="T3446">
        <f>MAX(T3445,R3446)</f>
        <v/>
      </c>
      <c r="U3446">
        <f>R3446/T3446-1</f>
        <v/>
      </c>
      <c r="V3446" t="n">
        <v>8.322748377994628</v>
      </c>
      <c r="W3446" s="5">
        <f>R3446-V3446</f>
        <v/>
      </c>
    </row>
    <row r="3447">
      <c r="A3447" s="3" t="n">
        <v>43514</v>
      </c>
      <c r="B3447">
        <f>Prices!B3447</f>
        <v/>
      </c>
      <c r="C3447">
        <f>Prices!C3447</f>
        <v/>
      </c>
      <c r="D3447">
        <f>Prices!D3447</f>
        <v/>
      </c>
      <c r="E3447">
        <f>Prices!E3447</f>
        <v/>
      </c>
      <c r="F3447">
        <f>Prices!F3447</f>
        <v/>
      </c>
      <c r="G3447">
        <f>IF(AND(3445&gt;=16,TEXT(A3447,"yyyy-mm")&lt;&gt;TEXT(A3448,"yyyy-mm")),1,0)</f>
        <v/>
      </c>
      <c r="H3447">
        <f>IF(OR(H3446=1,G3447=1),1,0)</f>
        <v/>
      </c>
      <c r="I3447">
        <f>IF(H3446=0,1,SUMPRODUCT(J3446:N3446,B3447:F3447)+O3446*(1+0.00023125256064071564))</f>
        <v/>
      </c>
      <c r="J3447">
        <f>IF(G3447=1,0.2*R3447/B3447,J3446)</f>
        <v/>
      </c>
      <c r="K3447">
        <f>IF(G3447=1,0.2*R3447/C3447,K3446)</f>
        <v/>
      </c>
      <c r="L3447">
        <f>IF(G3447=1,0.2*R3447/D3447,L3446)</f>
        <v/>
      </c>
      <c r="M3447">
        <f>IF(G3447=1,0.2*R3447/E3447,M3446)</f>
        <v/>
      </c>
      <c r="N3447">
        <f>IF(G3447=1,0.2*R3447/F3447,N3446)</f>
        <v/>
      </c>
      <c r="O3447">
        <f>IF(G3447=1,R3447*(1-1.0),IF(H3446=0,1,O3446*(1+0.00023125256064071564)))</f>
        <v/>
      </c>
      <c r="P3447">
        <f>IF(G3447=1,IF(H3446=0,1,ABS(0.2-J3446*B3447/I3447)+ABS(0.2-K3446*C3447/I3447)+ABS(0.2-L3446*D3447/I3447)+ABS(0.2-M3446*E3447/I3447)+ABS(0.2-N3446*F3447/I3447)),0)</f>
        <v/>
      </c>
      <c r="Q3447">
        <f>P3447*0.0015</f>
        <v/>
      </c>
      <c r="R3447">
        <f>I3447*(1-Q3447)</f>
        <v/>
      </c>
      <c r="S3447">
        <f>R3447/R3446-1</f>
        <v/>
      </c>
      <c r="T3447">
        <f>MAX(T3446,R3447)</f>
        <v/>
      </c>
      <c r="U3447">
        <f>R3447/T3447-1</f>
        <v/>
      </c>
      <c r="V3447" t="n">
        <v>8.25352424911271</v>
      </c>
      <c r="W3447" s="5">
        <f>R3447-V3447</f>
        <v/>
      </c>
    </row>
    <row r="3448">
      <c r="A3448" s="3" t="n">
        <v>43515</v>
      </c>
      <c r="B3448">
        <f>Prices!B3448</f>
        <v/>
      </c>
      <c r="C3448">
        <f>Prices!C3448</f>
        <v/>
      </c>
      <c r="D3448">
        <f>Prices!D3448</f>
        <v/>
      </c>
      <c r="E3448">
        <f>Prices!E3448</f>
        <v/>
      </c>
      <c r="F3448">
        <f>Prices!F3448</f>
        <v/>
      </c>
      <c r="G3448">
        <f>IF(AND(3446&gt;=16,TEXT(A3448,"yyyy-mm")&lt;&gt;TEXT(A3449,"yyyy-mm")),1,0)</f>
        <v/>
      </c>
      <c r="H3448">
        <f>IF(OR(H3447=1,G3448=1),1,0)</f>
        <v/>
      </c>
      <c r="I3448">
        <f>IF(H3447=0,1,SUMPRODUCT(J3447:N3447,B3448:F3448)+O3447*(1+0.00023125256064071564))</f>
        <v/>
      </c>
      <c r="J3448">
        <f>IF(G3448=1,0.2*R3448/B3448,J3447)</f>
        <v/>
      </c>
      <c r="K3448">
        <f>IF(G3448=1,0.2*R3448/C3448,K3447)</f>
        <v/>
      </c>
      <c r="L3448">
        <f>IF(G3448=1,0.2*R3448/D3448,L3447)</f>
        <v/>
      </c>
      <c r="M3448">
        <f>IF(G3448=1,0.2*R3448/E3448,M3447)</f>
        <v/>
      </c>
      <c r="N3448">
        <f>IF(G3448=1,0.2*R3448/F3448,N3447)</f>
        <v/>
      </c>
      <c r="O3448">
        <f>IF(G3448=1,R3448*(1-1.0),IF(H3447=0,1,O3447*(1+0.00023125256064071564)))</f>
        <v/>
      </c>
      <c r="P3448">
        <f>IF(G3448=1,IF(H3447=0,1,ABS(0.2-J3447*B3448/I3448)+ABS(0.2-K3447*C3448/I3448)+ABS(0.2-L3447*D3448/I3448)+ABS(0.2-M3447*E3448/I3448)+ABS(0.2-N3447*F3448/I3448)),0)</f>
        <v/>
      </c>
      <c r="Q3448">
        <f>P3448*0.0015</f>
        <v/>
      </c>
      <c r="R3448">
        <f>I3448*(1-Q3448)</f>
        <v/>
      </c>
      <c r="S3448">
        <f>R3448/R3447-1</f>
        <v/>
      </c>
      <c r="T3448">
        <f>MAX(T3447,R3448)</f>
        <v/>
      </c>
      <c r="U3448">
        <f>R3448/T3448-1</f>
        <v/>
      </c>
      <c r="V3448" t="n">
        <v>8.22932114685241</v>
      </c>
      <c r="W3448" s="5">
        <f>R3448-V3448</f>
        <v/>
      </c>
    </row>
    <row r="3449">
      <c r="A3449" s="3" t="n">
        <v>43516</v>
      </c>
      <c r="B3449">
        <f>Prices!B3449</f>
        <v/>
      </c>
      <c r="C3449">
        <f>Prices!C3449</f>
        <v/>
      </c>
      <c r="D3449">
        <f>Prices!D3449</f>
        <v/>
      </c>
      <c r="E3449">
        <f>Prices!E3449</f>
        <v/>
      </c>
      <c r="F3449">
        <f>Prices!F3449</f>
        <v/>
      </c>
      <c r="G3449">
        <f>IF(AND(3447&gt;=16,TEXT(A3449,"yyyy-mm")&lt;&gt;TEXT(A3450,"yyyy-mm")),1,0)</f>
        <v/>
      </c>
      <c r="H3449">
        <f>IF(OR(H3448=1,G3449=1),1,0)</f>
        <v/>
      </c>
      <c r="I3449">
        <f>IF(H3448=0,1,SUMPRODUCT(J3448:N3448,B3449:F3449)+O3448*(1+0.00023125256064071564))</f>
        <v/>
      </c>
      <c r="J3449">
        <f>IF(G3449=1,0.2*R3449/B3449,J3448)</f>
        <v/>
      </c>
      <c r="K3449">
        <f>IF(G3449=1,0.2*R3449/C3449,K3448)</f>
        <v/>
      </c>
      <c r="L3449">
        <f>IF(G3449=1,0.2*R3449/D3449,L3448)</f>
        <v/>
      </c>
      <c r="M3449">
        <f>IF(G3449=1,0.2*R3449/E3449,M3448)</f>
        <v/>
      </c>
      <c r="N3449">
        <f>IF(G3449=1,0.2*R3449/F3449,N3448)</f>
        <v/>
      </c>
      <c r="O3449">
        <f>IF(G3449=1,R3449*(1-1.0),IF(H3448=0,1,O3448*(1+0.00023125256064071564)))</f>
        <v/>
      </c>
      <c r="P3449">
        <f>IF(G3449=1,IF(H3448=0,1,ABS(0.2-J3448*B3449/I3449)+ABS(0.2-K3448*C3449/I3449)+ABS(0.2-L3448*D3449/I3449)+ABS(0.2-M3448*E3449/I3449)+ABS(0.2-N3448*F3449/I3449)),0)</f>
        <v/>
      </c>
      <c r="Q3449">
        <f>P3449*0.0015</f>
        <v/>
      </c>
      <c r="R3449">
        <f>I3449*(1-Q3449)</f>
        <v/>
      </c>
      <c r="S3449">
        <f>R3449/R3448-1</f>
        <v/>
      </c>
      <c r="T3449">
        <f>MAX(T3448,R3449)</f>
        <v/>
      </c>
      <c r="U3449">
        <f>R3449/T3449-1</f>
        <v/>
      </c>
      <c r="V3449" t="n">
        <v>8.33123062258097</v>
      </c>
      <c r="W3449" s="5">
        <f>R3449-V3449</f>
        <v/>
      </c>
    </row>
    <row r="3450">
      <c r="A3450" s="3" t="n">
        <v>43517</v>
      </c>
      <c r="B3450">
        <f>Prices!B3450</f>
        <v/>
      </c>
      <c r="C3450">
        <f>Prices!C3450</f>
        <v/>
      </c>
      <c r="D3450">
        <f>Prices!D3450</f>
        <v/>
      </c>
      <c r="E3450">
        <f>Prices!E3450</f>
        <v/>
      </c>
      <c r="F3450">
        <f>Prices!F3450</f>
        <v/>
      </c>
      <c r="G3450">
        <f>IF(AND(3448&gt;=16,TEXT(A3450,"yyyy-mm")&lt;&gt;TEXT(A3451,"yyyy-mm")),1,0)</f>
        <v/>
      </c>
      <c r="H3450">
        <f>IF(OR(H3449=1,G3450=1),1,0)</f>
        <v/>
      </c>
      <c r="I3450">
        <f>IF(H3449=0,1,SUMPRODUCT(J3449:N3449,B3450:F3450)+O3449*(1+0.00023125256064071564))</f>
        <v/>
      </c>
      <c r="J3450">
        <f>IF(G3450=1,0.2*R3450/B3450,J3449)</f>
        <v/>
      </c>
      <c r="K3450">
        <f>IF(G3450=1,0.2*R3450/C3450,K3449)</f>
        <v/>
      </c>
      <c r="L3450">
        <f>IF(G3450=1,0.2*R3450/D3450,L3449)</f>
        <v/>
      </c>
      <c r="M3450">
        <f>IF(G3450=1,0.2*R3450/E3450,M3449)</f>
        <v/>
      </c>
      <c r="N3450">
        <f>IF(G3450=1,0.2*R3450/F3450,N3449)</f>
        <v/>
      </c>
      <c r="O3450">
        <f>IF(G3450=1,R3450*(1-1.0),IF(H3449=0,1,O3449*(1+0.00023125256064071564)))</f>
        <v/>
      </c>
      <c r="P3450">
        <f>IF(G3450=1,IF(H3449=0,1,ABS(0.2-J3449*B3450/I3450)+ABS(0.2-K3449*C3450/I3450)+ABS(0.2-L3449*D3450/I3450)+ABS(0.2-M3449*E3450/I3450)+ABS(0.2-N3449*F3450/I3450)),0)</f>
        <v/>
      </c>
      <c r="Q3450">
        <f>P3450*0.0015</f>
        <v/>
      </c>
      <c r="R3450">
        <f>I3450*(1-Q3450)</f>
        <v/>
      </c>
      <c r="S3450">
        <f>R3450/R3449-1</f>
        <v/>
      </c>
      <c r="T3450">
        <f>MAX(T3449,R3450)</f>
        <v/>
      </c>
      <c r="U3450">
        <f>R3450/T3450-1</f>
        <v/>
      </c>
      <c r="V3450" t="n">
        <v>8.384309241639711</v>
      </c>
      <c r="W3450" s="5">
        <f>R3450-V3450</f>
        <v/>
      </c>
    </row>
    <row r="3451">
      <c r="A3451" s="3" t="n">
        <v>43518</v>
      </c>
      <c r="B3451">
        <f>Prices!B3451</f>
        <v/>
      </c>
      <c r="C3451">
        <f>Prices!C3451</f>
        <v/>
      </c>
      <c r="D3451">
        <f>Prices!D3451</f>
        <v/>
      </c>
      <c r="E3451">
        <f>Prices!E3451</f>
        <v/>
      </c>
      <c r="F3451">
        <f>Prices!F3451</f>
        <v/>
      </c>
      <c r="G3451">
        <f>IF(AND(3449&gt;=16,TEXT(A3451,"yyyy-mm")&lt;&gt;TEXT(A3452,"yyyy-mm")),1,0)</f>
        <v/>
      </c>
      <c r="H3451">
        <f>IF(OR(H3450=1,G3451=1),1,0)</f>
        <v/>
      </c>
      <c r="I3451">
        <f>IF(H3450=0,1,SUMPRODUCT(J3450:N3450,B3451:F3451)+O3450*(1+0.00023125256064071564))</f>
        <v/>
      </c>
      <c r="J3451">
        <f>IF(G3451=1,0.2*R3451/B3451,J3450)</f>
        <v/>
      </c>
      <c r="K3451">
        <f>IF(G3451=1,0.2*R3451/C3451,K3450)</f>
        <v/>
      </c>
      <c r="L3451">
        <f>IF(G3451=1,0.2*R3451/D3451,L3450)</f>
        <v/>
      </c>
      <c r="M3451">
        <f>IF(G3451=1,0.2*R3451/E3451,M3450)</f>
        <v/>
      </c>
      <c r="N3451">
        <f>IF(G3451=1,0.2*R3451/F3451,N3450)</f>
        <v/>
      </c>
      <c r="O3451">
        <f>IF(G3451=1,R3451*(1-1.0),IF(H3450=0,1,O3450*(1+0.00023125256064071564)))</f>
        <v/>
      </c>
      <c r="P3451">
        <f>IF(G3451=1,IF(H3450=0,1,ABS(0.2-J3450*B3451/I3451)+ABS(0.2-K3450*C3451/I3451)+ABS(0.2-L3450*D3451/I3451)+ABS(0.2-M3450*E3451/I3451)+ABS(0.2-N3450*F3451/I3451)),0)</f>
        <v/>
      </c>
      <c r="Q3451">
        <f>P3451*0.0015</f>
        <v/>
      </c>
      <c r="R3451">
        <f>I3451*(1-Q3451)</f>
        <v/>
      </c>
      <c r="S3451">
        <f>R3451/R3450-1</f>
        <v/>
      </c>
      <c r="T3451">
        <f>MAX(T3450,R3451)</f>
        <v/>
      </c>
      <c r="U3451">
        <f>R3451/T3451-1</f>
        <v/>
      </c>
      <c r="V3451" t="n">
        <v>8.43264473314251</v>
      </c>
      <c r="W3451" s="5">
        <f>R3451-V3451</f>
        <v/>
      </c>
    </row>
    <row r="3452">
      <c r="A3452" s="3" t="n">
        <v>43521</v>
      </c>
      <c r="B3452">
        <f>Prices!B3452</f>
        <v/>
      </c>
      <c r="C3452">
        <f>Prices!C3452</f>
        <v/>
      </c>
      <c r="D3452">
        <f>Prices!D3452</f>
        <v/>
      </c>
      <c r="E3452">
        <f>Prices!E3452</f>
        <v/>
      </c>
      <c r="F3452">
        <f>Prices!F3452</f>
        <v/>
      </c>
      <c r="G3452">
        <f>IF(AND(3450&gt;=16,TEXT(A3452,"yyyy-mm")&lt;&gt;TEXT(A3453,"yyyy-mm")),1,0)</f>
        <v/>
      </c>
      <c r="H3452">
        <f>IF(OR(H3451=1,G3452=1),1,0)</f>
        <v/>
      </c>
      <c r="I3452">
        <f>IF(H3451=0,1,SUMPRODUCT(J3451:N3451,B3452:F3452)+O3451*(1+0.00023125256064071564))</f>
        <v/>
      </c>
      <c r="J3452">
        <f>IF(G3452=1,0.2*R3452/B3452,J3451)</f>
        <v/>
      </c>
      <c r="K3452">
        <f>IF(G3452=1,0.2*R3452/C3452,K3451)</f>
        <v/>
      </c>
      <c r="L3452">
        <f>IF(G3452=1,0.2*R3452/D3452,L3451)</f>
        <v/>
      </c>
      <c r="M3452">
        <f>IF(G3452=1,0.2*R3452/E3452,M3451)</f>
        <v/>
      </c>
      <c r="N3452">
        <f>IF(G3452=1,0.2*R3452/F3452,N3451)</f>
        <v/>
      </c>
      <c r="O3452">
        <f>IF(G3452=1,R3452*(1-1.0),IF(H3451=0,1,O3451*(1+0.00023125256064071564)))</f>
        <v/>
      </c>
      <c r="P3452">
        <f>IF(G3452=1,IF(H3451=0,1,ABS(0.2-J3451*B3452/I3452)+ABS(0.2-K3451*C3452/I3452)+ABS(0.2-L3451*D3452/I3452)+ABS(0.2-M3451*E3452/I3452)+ABS(0.2-N3451*F3452/I3452)),0)</f>
        <v/>
      </c>
      <c r="Q3452">
        <f>P3452*0.0015</f>
        <v/>
      </c>
      <c r="R3452">
        <f>I3452*(1-Q3452)</f>
        <v/>
      </c>
      <c r="S3452">
        <f>R3452/R3451-1</f>
        <v/>
      </c>
      <c r="T3452">
        <f>MAX(T3451,R3452)</f>
        <v/>
      </c>
      <c r="U3452">
        <f>R3452/T3452-1</f>
        <v/>
      </c>
      <c r="V3452" t="n">
        <v>8.484109615352059</v>
      </c>
      <c r="W3452" s="5">
        <f>R3452-V3452</f>
        <v/>
      </c>
    </row>
    <row r="3453">
      <c r="A3453" s="3" t="n">
        <v>43522</v>
      </c>
      <c r="B3453">
        <f>Prices!B3453</f>
        <v/>
      </c>
      <c r="C3453">
        <f>Prices!C3453</f>
        <v/>
      </c>
      <c r="D3453">
        <f>Prices!D3453</f>
        <v/>
      </c>
      <c r="E3453">
        <f>Prices!E3453</f>
        <v/>
      </c>
      <c r="F3453">
        <f>Prices!F3453</f>
        <v/>
      </c>
      <c r="G3453">
        <f>IF(AND(3451&gt;=16,TEXT(A3453,"yyyy-mm")&lt;&gt;TEXT(A3454,"yyyy-mm")),1,0)</f>
        <v/>
      </c>
      <c r="H3453">
        <f>IF(OR(H3452=1,G3453=1),1,0)</f>
        <v/>
      </c>
      <c r="I3453">
        <f>IF(H3452=0,1,SUMPRODUCT(J3452:N3452,B3453:F3453)+O3452*(1+0.00023125256064071564))</f>
        <v/>
      </c>
      <c r="J3453">
        <f>IF(G3453=1,0.2*R3453/B3453,J3452)</f>
        <v/>
      </c>
      <c r="K3453">
        <f>IF(G3453=1,0.2*R3453/C3453,K3452)</f>
        <v/>
      </c>
      <c r="L3453">
        <f>IF(G3453=1,0.2*R3453/D3453,L3452)</f>
        <v/>
      </c>
      <c r="M3453">
        <f>IF(G3453=1,0.2*R3453/E3453,M3452)</f>
        <v/>
      </c>
      <c r="N3453">
        <f>IF(G3453=1,0.2*R3453/F3453,N3452)</f>
        <v/>
      </c>
      <c r="O3453">
        <f>IF(G3453=1,R3453*(1-1.0),IF(H3452=0,1,O3452*(1+0.00023125256064071564)))</f>
        <v/>
      </c>
      <c r="P3453">
        <f>IF(G3453=1,IF(H3452=0,1,ABS(0.2-J3452*B3453/I3453)+ABS(0.2-K3452*C3453/I3453)+ABS(0.2-L3452*D3453/I3453)+ABS(0.2-M3452*E3453/I3453)+ABS(0.2-N3452*F3453/I3453)),0)</f>
        <v/>
      </c>
      <c r="Q3453">
        <f>P3453*0.0015</f>
        <v/>
      </c>
      <c r="R3453">
        <f>I3453*(1-Q3453)</f>
        <v/>
      </c>
      <c r="S3453">
        <f>R3453/R3452-1</f>
        <v/>
      </c>
      <c r="T3453">
        <f>MAX(T3452,R3453)</f>
        <v/>
      </c>
      <c r="U3453">
        <f>R3453/T3453-1</f>
        <v/>
      </c>
      <c r="V3453" t="n">
        <v>8.476106166239825</v>
      </c>
      <c r="W3453" s="5">
        <f>R3453-V3453</f>
        <v/>
      </c>
    </row>
    <row r="3454">
      <c r="A3454" s="3" t="n">
        <v>43523</v>
      </c>
      <c r="B3454">
        <f>Prices!B3454</f>
        <v/>
      </c>
      <c r="C3454">
        <f>Prices!C3454</f>
        <v/>
      </c>
      <c r="D3454">
        <f>Prices!D3454</f>
        <v/>
      </c>
      <c r="E3454">
        <f>Prices!E3454</f>
        <v/>
      </c>
      <c r="F3454">
        <f>Prices!F3454</f>
        <v/>
      </c>
      <c r="G3454">
        <f>IF(AND(3452&gt;=16,TEXT(A3454,"yyyy-mm")&lt;&gt;TEXT(A3455,"yyyy-mm")),1,0)</f>
        <v/>
      </c>
      <c r="H3454">
        <f>IF(OR(H3453=1,G3454=1),1,0)</f>
        <v/>
      </c>
      <c r="I3454">
        <f>IF(H3453=0,1,SUMPRODUCT(J3453:N3453,B3454:F3454)+O3453*(1+0.00023125256064071564))</f>
        <v/>
      </c>
      <c r="J3454">
        <f>IF(G3454=1,0.2*R3454/B3454,J3453)</f>
        <v/>
      </c>
      <c r="K3454">
        <f>IF(G3454=1,0.2*R3454/C3454,K3453)</f>
        <v/>
      </c>
      <c r="L3454">
        <f>IF(G3454=1,0.2*R3454/D3454,L3453)</f>
        <v/>
      </c>
      <c r="M3454">
        <f>IF(G3454=1,0.2*R3454/E3454,M3453)</f>
        <v/>
      </c>
      <c r="N3454">
        <f>IF(G3454=1,0.2*R3454/F3454,N3453)</f>
        <v/>
      </c>
      <c r="O3454">
        <f>IF(G3454=1,R3454*(1-1.0),IF(H3453=0,1,O3453*(1+0.00023125256064071564)))</f>
        <v/>
      </c>
      <c r="P3454">
        <f>IF(G3454=1,IF(H3453=0,1,ABS(0.2-J3453*B3454/I3454)+ABS(0.2-K3453*C3454/I3454)+ABS(0.2-L3453*D3454/I3454)+ABS(0.2-M3453*E3454/I3454)+ABS(0.2-N3453*F3454/I3454)),0)</f>
        <v/>
      </c>
      <c r="Q3454">
        <f>P3454*0.0015</f>
        <v/>
      </c>
      <c r="R3454">
        <f>I3454*(1-Q3454)</f>
        <v/>
      </c>
      <c r="S3454">
        <f>R3454/R3453-1</f>
        <v/>
      </c>
      <c r="T3454">
        <f>MAX(T3453,R3454)</f>
        <v/>
      </c>
      <c r="U3454">
        <f>R3454/T3454-1</f>
        <v/>
      </c>
      <c r="V3454" t="n">
        <v>8.464969053200694</v>
      </c>
      <c r="W3454" s="5">
        <f>R3454-V3454</f>
        <v/>
      </c>
    </row>
    <row r="3455">
      <c r="A3455" s="3" t="n">
        <v>43524</v>
      </c>
      <c r="B3455">
        <f>Prices!B3455</f>
        <v/>
      </c>
      <c r="C3455">
        <f>Prices!C3455</f>
        <v/>
      </c>
      <c r="D3455">
        <f>Prices!D3455</f>
        <v/>
      </c>
      <c r="E3455">
        <f>Prices!E3455</f>
        <v/>
      </c>
      <c r="F3455">
        <f>Prices!F3455</f>
        <v/>
      </c>
      <c r="G3455">
        <f>IF(AND(3453&gt;=16,TEXT(A3455,"yyyy-mm")&lt;&gt;TEXT(A3456,"yyyy-mm")),1,0)</f>
        <v/>
      </c>
      <c r="H3455">
        <f>IF(OR(H3454=1,G3455=1),1,0)</f>
        <v/>
      </c>
      <c r="I3455">
        <f>IF(H3454=0,1,SUMPRODUCT(J3454:N3454,B3455:F3455)+O3454*(1+0.00023125256064071564))</f>
        <v/>
      </c>
      <c r="J3455">
        <f>IF(G3455=1,0.2*R3455/B3455,J3454)</f>
        <v/>
      </c>
      <c r="K3455">
        <f>IF(G3455=1,0.2*R3455/C3455,K3454)</f>
        <v/>
      </c>
      <c r="L3455">
        <f>IF(G3455=1,0.2*R3455/D3455,L3454)</f>
        <v/>
      </c>
      <c r="M3455">
        <f>IF(G3455=1,0.2*R3455/E3455,M3454)</f>
        <v/>
      </c>
      <c r="N3455">
        <f>IF(G3455=1,0.2*R3455/F3455,N3454)</f>
        <v/>
      </c>
      <c r="O3455">
        <f>IF(G3455=1,R3455*(1-1.0),IF(H3454=0,1,O3454*(1+0.00023125256064071564)))</f>
        <v/>
      </c>
      <c r="P3455">
        <f>IF(G3455=1,IF(H3454=0,1,ABS(0.2-J3454*B3455/I3455)+ABS(0.2-K3454*C3455/I3455)+ABS(0.2-L3454*D3455/I3455)+ABS(0.2-M3454*E3455/I3455)+ABS(0.2-N3454*F3455/I3455)),0)</f>
        <v/>
      </c>
      <c r="Q3455">
        <f>P3455*0.0015</f>
        <v/>
      </c>
      <c r="R3455">
        <f>I3455*(1-Q3455)</f>
        <v/>
      </c>
      <c r="S3455">
        <f>R3455/R3454-1</f>
        <v/>
      </c>
      <c r="T3455">
        <f>MAX(T3454,R3455)</f>
        <v/>
      </c>
      <c r="U3455">
        <f>R3455/T3455-1</f>
        <v/>
      </c>
      <c r="V3455" t="n">
        <v>8.48670437678709</v>
      </c>
      <c r="W3455" s="5">
        <f>R3455-V3455</f>
        <v/>
      </c>
    </row>
    <row r="3456">
      <c r="A3456" s="3" t="n">
        <v>43525</v>
      </c>
      <c r="B3456">
        <f>Prices!B3456</f>
        <v/>
      </c>
      <c r="C3456">
        <f>Prices!C3456</f>
        <v/>
      </c>
      <c r="D3456">
        <f>Prices!D3456</f>
        <v/>
      </c>
      <c r="E3456">
        <f>Prices!E3456</f>
        <v/>
      </c>
      <c r="F3456">
        <f>Prices!F3456</f>
        <v/>
      </c>
      <c r="G3456">
        <f>IF(AND(3454&gt;=16,TEXT(A3456,"yyyy-mm")&lt;&gt;TEXT(A3457,"yyyy-mm")),1,0)</f>
        <v/>
      </c>
      <c r="H3456">
        <f>IF(OR(H3455=1,G3456=1),1,0)</f>
        <v/>
      </c>
      <c r="I3456">
        <f>IF(H3455=0,1,SUMPRODUCT(J3455:N3455,B3456:F3456)+O3455*(1+0.00023125256064071564))</f>
        <v/>
      </c>
      <c r="J3456">
        <f>IF(G3456=1,0.2*R3456/B3456,J3455)</f>
        <v/>
      </c>
      <c r="K3456">
        <f>IF(G3456=1,0.2*R3456/C3456,K3455)</f>
        <v/>
      </c>
      <c r="L3456">
        <f>IF(G3456=1,0.2*R3456/D3456,L3455)</f>
        <v/>
      </c>
      <c r="M3456">
        <f>IF(G3456=1,0.2*R3456/E3456,M3455)</f>
        <v/>
      </c>
      <c r="N3456">
        <f>IF(G3456=1,0.2*R3456/F3456,N3455)</f>
        <v/>
      </c>
      <c r="O3456">
        <f>IF(G3456=1,R3456*(1-1.0),IF(H3455=0,1,O3455*(1+0.00023125256064071564)))</f>
        <v/>
      </c>
      <c r="P3456">
        <f>IF(G3456=1,IF(H3455=0,1,ABS(0.2-J3455*B3456/I3456)+ABS(0.2-K3455*C3456/I3456)+ABS(0.2-L3455*D3456/I3456)+ABS(0.2-M3455*E3456/I3456)+ABS(0.2-N3455*F3456/I3456)),0)</f>
        <v/>
      </c>
      <c r="Q3456">
        <f>P3456*0.0015</f>
        <v/>
      </c>
      <c r="R3456">
        <f>I3456*(1-Q3456)</f>
        <v/>
      </c>
      <c r="S3456">
        <f>R3456/R3455-1</f>
        <v/>
      </c>
      <c r="T3456">
        <f>MAX(T3455,R3456)</f>
        <v/>
      </c>
      <c r="U3456">
        <f>R3456/T3456-1</f>
        <v/>
      </c>
      <c r="V3456" t="n">
        <v>8.57342911820254</v>
      </c>
      <c r="W3456" s="5">
        <f>R3456-V3456</f>
        <v/>
      </c>
    </row>
    <row r="3457">
      <c r="A3457" s="3" t="n">
        <v>43529</v>
      </c>
      <c r="B3457">
        <f>Prices!B3457</f>
        <v/>
      </c>
      <c r="C3457">
        <f>Prices!C3457</f>
        <v/>
      </c>
      <c r="D3457">
        <f>Prices!D3457</f>
        <v/>
      </c>
      <c r="E3457">
        <f>Prices!E3457</f>
        <v/>
      </c>
      <c r="F3457">
        <f>Prices!F3457</f>
        <v/>
      </c>
      <c r="G3457">
        <f>IF(AND(3455&gt;=16,TEXT(A3457,"yyyy-mm")&lt;&gt;TEXT(A3458,"yyyy-mm")),1,0)</f>
        <v/>
      </c>
      <c r="H3457">
        <f>IF(OR(H3456=1,G3457=1),1,0)</f>
        <v/>
      </c>
      <c r="I3457">
        <f>IF(H3456=0,1,SUMPRODUCT(J3456:N3456,B3457:F3457)+O3456*(1+0.00023125256064071564))</f>
        <v/>
      </c>
      <c r="J3457">
        <f>IF(G3457=1,0.2*R3457/B3457,J3456)</f>
        <v/>
      </c>
      <c r="K3457">
        <f>IF(G3457=1,0.2*R3457/C3457,K3456)</f>
        <v/>
      </c>
      <c r="L3457">
        <f>IF(G3457=1,0.2*R3457/D3457,L3456)</f>
        <v/>
      </c>
      <c r="M3457">
        <f>IF(G3457=1,0.2*R3457/E3457,M3456)</f>
        <v/>
      </c>
      <c r="N3457">
        <f>IF(G3457=1,0.2*R3457/F3457,N3456)</f>
        <v/>
      </c>
      <c r="O3457">
        <f>IF(G3457=1,R3457*(1-1.0),IF(H3456=0,1,O3456*(1+0.00023125256064071564)))</f>
        <v/>
      </c>
      <c r="P3457">
        <f>IF(G3457=1,IF(H3456=0,1,ABS(0.2-J3456*B3457/I3457)+ABS(0.2-K3456*C3457/I3457)+ABS(0.2-L3456*D3457/I3457)+ABS(0.2-M3456*E3457/I3457)+ABS(0.2-N3456*F3457/I3457)),0)</f>
        <v/>
      </c>
      <c r="Q3457">
        <f>P3457*0.0015</f>
        <v/>
      </c>
      <c r="R3457">
        <f>I3457*(1-Q3457)</f>
        <v/>
      </c>
      <c r="S3457">
        <f>R3457/R3456-1</f>
        <v/>
      </c>
      <c r="T3457">
        <f>MAX(T3456,R3457)</f>
        <v/>
      </c>
      <c r="U3457">
        <f>R3457/T3457-1</f>
        <v/>
      </c>
      <c r="V3457" t="n">
        <v>8.702955429069249</v>
      </c>
      <c r="W3457" s="5">
        <f>R3457-V3457</f>
        <v/>
      </c>
    </row>
    <row r="3458">
      <c r="A3458" s="3" t="n">
        <v>43530</v>
      </c>
      <c r="B3458">
        <f>Prices!B3458</f>
        <v/>
      </c>
      <c r="C3458">
        <f>Prices!C3458</f>
        <v/>
      </c>
      <c r="D3458">
        <f>Prices!D3458</f>
        <v/>
      </c>
      <c r="E3458">
        <f>Prices!E3458</f>
        <v/>
      </c>
      <c r="F3458">
        <f>Prices!F3458</f>
        <v/>
      </c>
      <c r="G3458">
        <f>IF(AND(3456&gt;=16,TEXT(A3458,"yyyy-mm")&lt;&gt;TEXT(A3459,"yyyy-mm")),1,0)</f>
        <v/>
      </c>
      <c r="H3458">
        <f>IF(OR(H3457=1,G3458=1),1,0)</f>
        <v/>
      </c>
      <c r="I3458">
        <f>IF(H3457=0,1,SUMPRODUCT(J3457:N3457,B3458:F3458)+O3457*(1+0.00023125256064071564))</f>
        <v/>
      </c>
      <c r="J3458">
        <f>IF(G3458=1,0.2*R3458/B3458,J3457)</f>
        <v/>
      </c>
      <c r="K3458">
        <f>IF(G3458=1,0.2*R3458/C3458,K3457)</f>
        <v/>
      </c>
      <c r="L3458">
        <f>IF(G3458=1,0.2*R3458/D3458,L3457)</f>
        <v/>
      </c>
      <c r="M3458">
        <f>IF(G3458=1,0.2*R3458/E3458,M3457)</f>
        <v/>
      </c>
      <c r="N3458">
        <f>IF(G3458=1,0.2*R3458/F3458,N3457)</f>
        <v/>
      </c>
      <c r="O3458">
        <f>IF(G3458=1,R3458*(1-1.0),IF(H3457=0,1,O3457*(1+0.00023125256064071564)))</f>
        <v/>
      </c>
      <c r="P3458">
        <f>IF(G3458=1,IF(H3457=0,1,ABS(0.2-J3457*B3458/I3458)+ABS(0.2-K3457*C3458/I3458)+ABS(0.2-L3457*D3458/I3458)+ABS(0.2-M3457*E3458/I3458)+ABS(0.2-N3457*F3458/I3458)),0)</f>
        <v/>
      </c>
      <c r="Q3458">
        <f>P3458*0.0015</f>
        <v/>
      </c>
      <c r="R3458">
        <f>I3458*(1-Q3458)</f>
        <v/>
      </c>
      <c r="S3458">
        <f>R3458/R3457-1</f>
        <v/>
      </c>
      <c r="T3458">
        <f>MAX(T3457,R3458)</f>
        <v/>
      </c>
      <c r="U3458">
        <f>R3458/T3458-1</f>
        <v/>
      </c>
      <c r="V3458" t="n">
        <v>8.735655585972511</v>
      </c>
      <c r="W3458" s="5">
        <f>R3458-V3458</f>
        <v/>
      </c>
    </row>
    <row r="3459">
      <c r="A3459" s="3" t="n">
        <v>43531</v>
      </c>
      <c r="B3459">
        <f>Prices!B3459</f>
        <v/>
      </c>
      <c r="C3459">
        <f>Prices!C3459</f>
        <v/>
      </c>
      <c r="D3459">
        <f>Prices!D3459</f>
        <v/>
      </c>
      <c r="E3459">
        <f>Prices!E3459</f>
        <v/>
      </c>
      <c r="F3459">
        <f>Prices!F3459</f>
        <v/>
      </c>
      <c r="G3459">
        <f>IF(AND(3457&gt;=16,TEXT(A3459,"yyyy-mm")&lt;&gt;TEXT(A3460,"yyyy-mm")),1,0)</f>
        <v/>
      </c>
      <c r="H3459">
        <f>IF(OR(H3458=1,G3459=1),1,0)</f>
        <v/>
      </c>
      <c r="I3459">
        <f>IF(H3458=0,1,SUMPRODUCT(J3458:N3458,B3459:F3459)+O3458*(1+0.00023125256064071564))</f>
        <v/>
      </c>
      <c r="J3459">
        <f>IF(G3459=1,0.2*R3459/B3459,J3458)</f>
        <v/>
      </c>
      <c r="K3459">
        <f>IF(G3459=1,0.2*R3459/C3459,K3458)</f>
        <v/>
      </c>
      <c r="L3459">
        <f>IF(G3459=1,0.2*R3459/D3459,L3458)</f>
        <v/>
      </c>
      <c r="M3459">
        <f>IF(G3459=1,0.2*R3459/E3459,M3458)</f>
        <v/>
      </c>
      <c r="N3459">
        <f>IF(G3459=1,0.2*R3459/F3459,N3458)</f>
        <v/>
      </c>
      <c r="O3459">
        <f>IF(G3459=1,R3459*(1-1.0),IF(H3458=0,1,O3458*(1+0.00023125256064071564)))</f>
        <v/>
      </c>
      <c r="P3459">
        <f>IF(G3459=1,IF(H3458=0,1,ABS(0.2-J3458*B3459/I3459)+ABS(0.2-K3458*C3459/I3459)+ABS(0.2-L3458*D3459/I3459)+ABS(0.2-M3458*E3459/I3459)+ABS(0.2-N3458*F3459/I3459)),0)</f>
        <v/>
      </c>
      <c r="Q3459">
        <f>P3459*0.0015</f>
        <v/>
      </c>
      <c r="R3459">
        <f>I3459*(1-Q3459)</f>
        <v/>
      </c>
      <c r="S3459">
        <f>R3459/R3458-1</f>
        <v/>
      </c>
      <c r="T3459">
        <f>MAX(T3458,R3459)</f>
        <v/>
      </c>
      <c r="U3459">
        <f>R3459/T3459-1</f>
        <v/>
      </c>
      <c r="V3459" t="n">
        <v>8.703821060407391</v>
      </c>
      <c r="W3459" s="5">
        <f>R3459-V3459</f>
        <v/>
      </c>
    </row>
    <row r="3460">
      <c r="A3460" s="3" t="n">
        <v>43532</v>
      </c>
      <c r="B3460">
        <f>Prices!B3460</f>
        <v/>
      </c>
      <c r="C3460">
        <f>Prices!C3460</f>
        <v/>
      </c>
      <c r="D3460">
        <f>Prices!D3460</f>
        <v/>
      </c>
      <c r="E3460">
        <f>Prices!E3460</f>
        <v/>
      </c>
      <c r="F3460">
        <f>Prices!F3460</f>
        <v/>
      </c>
      <c r="G3460">
        <f>IF(AND(3458&gt;=16,TEXT(A3460,"yyyy-mm")&lt;&gt;TEXT(A3461,"yyyy-mm")),1,0)</f>
        <v/>
      </c>
      <c r="H3460">
        <f>IF(OR(H3459=1,G3460=1),1,0)</f>
        <v/>
      </c>
      <c r="I3460">
        <f>IF(H3459=0,1,SUMPRODUCT(J3459:N3459,B3460:F3460)+O3459*(1+0.00023125256064071564))</f>
        <v/>
      </c>
      <c r="J3460">
        <f>IF(G3460=1,0.2*R3460/B3460,J3459)</f>
        <v/>
      </c>
      <c r="K3460">
        <f>IF(G3460=1,0.2*R3460/C3460,K3459)</f>
        <v/>
      </c>
      <c r="L3460">
        <f>IF(G3460=1,0.2*R3460/D3460,L3459)</f>
        <v/>
      </c>
      <c r="M3460">
        <f>IF(G3460=1,0.2*R3460/E3460,M3459)</f>
        <v/>
      </c>
      <c r="N3460">
        <f>IF(G3460=1,0.2*R3460/F3460,N3459)</f>
        <v/>
      </c>
      <c r="O3460">
        <f>IF(G3460=1,R3460*(1-1.0),IF(H3459=0,1,O3459*(1+0.00023125256064071564)))</f>
        <v/>
      </c>
      <c r="P3460">
        <f>IF(G3460=1,IF(H3459=0,1,ABS(0.2-J3459*B3460/I3460)+ABS(0.2-K3459*C3460/I3460)+ABS(0.2-L3459*D3460/I3460)+ABS(0.2-M3459*E3460/I3460)+ABS(0.2-N3459*F3460/I3460)),0)</f>
        <v/>
      </c>
      <c r="Q3460">
        <f>P3460*0.0015</f>
        <v/>
      </c>
      <c r="R3460">
        <f>I3460*(1-Q3460)</f>
        <v/>
      </c>
      <c r="S3460">
        <f>R3460/R3459-1</f>
        <v/>
      </c>
      <c r="T3460">
        <f>MAX(T3459,R3460)</f>
        <v/>
      </c>
      <c r="U3460">
        <f>R3460/T3460-1</f>
        <v/>
      </c>
      <c r="V3460" t="n">
        <v>8.672617747799466</v>
      </c>
      <c r="W3460" s="5">
        <f>R3460-V3460</f>
        <v/>
      </c>
    </row>
    <row r="3461">
      <c r="A3461" s="3" t="n">
        <v>43535</v>
      </c>
      <c r="B3461">
        <f>Prices!B3461</f>
        <v/>
      </c>
      <c r="C3461">
        <f>Prices!C3461</f>
        <v/>
      </c>
      <c r="D3461">
        <f>Prices!D3461</f>
        <v/>
      </c>
      <c r="E3461">
        <f>Prices!E3461</f>
        <v/>
      </c>
      <c r="F3461">
        <f>Prices!F3461</f>
        <v/>
      </c>
      <c r="G3461">
        <f>IF(AND(3459&gt;=16,TEXT(A3461,"yyyy-mm")&lt;&gt;TEXT(A3462,"yyyy-mm")),1,0)</f>
        <v/>
      </c>
      <c r="H3461">
        <f>IF(OR(H3460=1,G3461=1),1,0)</f>
        <v/>
      </c>
      <c r="I3461">
        <f>IF(H3460=0,1,SUMPRODUCT(J3460:N3460,B3461:F3461)+O3460*(1+0.00023125256064071564))</f>
        <v/>
      </c>
      <c r="J3461">
        <f>IF(G3461=1,0.2*R3461/B3461,J3460)</f>
        <v/>
      </c>
      <c r="K3461">
        <f>IF(G3461=1,0.2*R3461/C3461,K3460)</f>
        <v/>
      </c>
      <c r="L3461">
        <f>IF(G3461=1,0.2*R3461/D3461,L3460)</f>
        <v/>
      </c>
      <c r="M3461">
        <f>IF(G3461=1,0.2*R3461/E3461,M3460)</f>
        <v/>
      </c>
      <c r="N3461">
        <f>IF(G3461=1,0.2*R3461/F3461,N3460)</f>
        <v/>
      </c>
      <c r="O3461">
        <f>IF(G3461=1,R3461*(1-1.0),IF(H3460=0,1,O3460*(1+0.00023125256064071564)))</f>
        <v/>
      </c>
      <c r="P3461">
        <f>IF(G3461=1,IF(H3460=0,1,ABS(0.2-J3460*B3461/I3461)+ABS(0.2-K3460*C3461/I3461)+ABS(0.2-L3460*D3461/I3461)+ABS(0.2-M3460*E3461/I3461)+ABS(0.2-N3460*F3461/I3461)),0)</f>
        <v/>
      </c>
      <c r="Q3461">
        <f>P3461*0.0015</f>
        <v/>
      </c>
      <c r="R3461">
        <f>I3461*(1-Q3461)</f>
        <v/>
      </c>
      <c r="S3461">
        <f>R3461/R3460-1</f>
        <v/>
      </c>
      <c r="T3461">
        <f>MAX(T3460,R3461)</f>
        <v/>
      </c>
      <c r="U3461">
        <f>R3461/T3461-1</f>
        <v/>
      </c>
      <c r="V3461" t="n">
        <v>8.806665534021292</v>
      </c>
      <c r="W3461" s="5">
        <f>R3461-V3461</f>
        <v/>
      </c>
    </row>
    <row r="3462">
      <c r="A3462" s="3" t="n">
        <v>43536</v>
      </c>
      <c r="B3462">
        <f>Prices!B3462</f>
        <v/>
      </c>
      <c r="C3462">
        <f>Prices!C3462</f>
        <v/>
      </c>
      <c r="D3462">
        <f>Prices!D3462</f>
        <v/>
      </c>
      <c r="E3462">
        <f>Prices!E3462</f>
        <v/>
      </c>
      <c r="F3462">
        <f>Prices!F3462</f>
        <v/>
      </c>
      <c r="G3462">
        <f>IF(AND(3460&gt;=16,TEXT(A3462,"yyyy-mm")&lt;&gt;TEXT(A3463,"yyyy-mm")),1,0)</f>
        <v/>
      </c>
      <c r="H3462">
        <f>IF(OR(H3461=1,G3462=1),1,0)</f>
        <v/>
      </c>
      <c r="I3462">
        <f>IF(H3461=0,1,SUMPRODUCT(J3461:N3461,B3462:F3462)+O3461*(1+0.00023125256064071564))</f>
        <v/>
      </c>
      <c r="J3462">
        <f>IF(G3462=1,0.2*R3462/B3462,J3461)</f>
        <v/>
      </c>
      <c r="K3462">
        <f>IF(G3462=1,0.2*R3462/C3462,K3461)</f>
        <v/>
      </c>
      <c r="L3462">
        <f>IF(G3462=1,0.2*R3462/D3462,L3461)</f>
        <v/>
      </c>
      <c r="M3462">
        <f>IF(G3462=1,0.2*R3462/E3462,M3461)</f>
        <v/>
      </c>
      <c r="N3462">
        <f>IF(G3462=1,0.2*R3462/F3462,N3461)</f>
        <v/>
      </c>
      <c r="O3462">
        <f>IF(G3462=1,R3462*(1-1.0),IF(H3461=0,1,O3461*(1+0.00023125256064071564)))</f>
        <v/>
      </c>
      <c r="P3462">
        <f>IF(G3462=1,IF(H3461=0,1,ABS(0.2-J3461*B3462/I3462)+ABS(0.2-K3461*C3462/I3462)+ABS(0.2-L3461*D3462/I3462)+ABS(0.2-M3461*E3462/I3462)+ABS(0.2-N3461*F3462/I3462)),0)</f>
        <v/>
      </c>
      <c r="Q3462">
        <f>P3462*0.0015</f>
        <v/>
      </c>
      <c r="R3462">
        <f>I3462*(1-Q3462)</f>
        <v/>
      </c>
      <c r="S3462">
        <f>R3462/R3461-1</f>
        <v/>
      </c>
      <c r="T3462">
        <f>MAX(T3461,R3462)</f>
        <v/>
      </c>
      <c r="U3462">
        <f>R3462/T3462-1</f>
        <v/>
      </c>
      <c r="V3462" t="n">
        <v>8.85847025395744</v>
      </c>
      <c r="W3462" s="5">
        <f>R3462-V3462</f>
        <v/>
      </c>
    </row>
    <row r="3463">
      <c r="A3463" s="3" t="n">
        <v>43537</v>
      </c>
      <c r="B3463">
        <f>Prices!B3463</f>
        <v/>
      </c>
      <c r="C3463">
        <f>Prices!C3463</f>
        <v/>
      </c>
      <c r="D3463">
        <f>Prices!D3463</f>
        <v/>
      </c>
      <c r="E3463">
        <f>Prices!E3463</f>
        <v/>
      </c>
      <c r="F3463">
        <f>Prices!F3463</f>
        <v/>
      </c>
      <c r="G3463">
        <f>IF(AND(3461&gt;=16,TEXT(A3463,"yyyy-mm")&lt;&gt;TEXT(A3464,"yyyy-mm")),1,0)</f>
        <v/>
      </c>
      <c r="H3463">
        <f>IF(OR(H3462=1,G3463=1),1,0)</f>
        <v/>
      </c>
      <c r="I3463">
        <f>IF(H3462=0,1,SUMPRODUCT(J3462:N3462,B3463:F3463)+O3462*(1+0.00023125256064071564))</f>
        <v/>
      </c>
      <c r="J3463">
        <f>IF(G3463=1,0.2*R3463/B3463,J3462)</f>
        <v/>
      </c>
      <c r="K3463">
        <f>IF(G3463=1,0.2*R3463/C3463,K3462)</f>
        <v/>
      </c>
      <c r="L3463">
        <f>IF(G3463=1,0.2*R3463/D3463,L3462)</f>
        <v/>
      </c>
      <c r="M3463">
        <f>IF(G3463=1,0.2*R3463/E3463,M3462)</f>
        <v/>
      </c>
      <c r="N3463">
        <f>IF(G3463=1,0.2*R3463/F3463,N3462)</f>
        <v/>
      </c>
      <c r="O3463">
        <f>IF(G3463=1,R3463*(1-1.0),IF(H3462=0,1,O3462*(1+0.00023125256064071564)))</f>
        <v/>
      </c>
      <c r="P3463">
        <f>IF(G3463=1,IF(H3462=0,1,ABS(0.2-J3462*B3463/I3463)+ABS(0.2-K3462*C3463/I3463)+ABS(0.2-L3462*D3463/I3463)+ABS(0.2-M3462*E3463/I3463)+ABS(0.2-N3462*F3463/I3463)),0)</f>
        <v/>
      </c>
      <c r="Q3463">
        <f>P3463*0.0015</f>
        <v/>
      </c>
      <c r="R3463">
        <f>I3463*(1-Q3463)</f>
        <v/>
      </c>
      <c r="S3463">
        <f>R3463/R3462-1</f>
        <v/>
      </c>
      <c r="T3463">
        <f>MAX(T3462,R3463)</f>
        <v/>
      </c>
      <c r="U3463">
        <f>R3463/T3463-1</f>
        <v/>
      </c>
      <c r="V3463" t="n">
        <v>8.8362937028503</v>
      </c>
      <c r="W3463" s="5">
        <f>R3463-V3463</f>
        <v/>
      </c>
    </row>
    <row r="3464">
      <c r="A3464" s="3" t="n">
        <v>43538</v>
      </c>
      <c r="B3464">
        <f>Prices!B3464</f>
        <v/>
      </c>
      <c r="C3464">
        <f>Prices!C3464</f>
        <v/>
      </c>
      <c r="D3464">
        <f>Prices!D3464</f>
        <v/>
      </c>
      <c r="E3464">
        <f>Prices!E3464</f>
        <v/>
      </c>
      <c r="F3464">
        <f>Prices!F3464</f>
        <v/>
      </c>
      <c r="G3464">
        <f>IF(AND(3462&gt;=16,TEXT(A3464,"yyyy-mm")&lt;&gt;TEXT(A3465,"yyyy-mm")),1,0)</f>
        <v/>
      </c>
      <c r="H3464">
        <f>IF(OR(H3463=1,G3464=1),1,0)</f>
        <v/>
      </c>
      <c r="I3464">
        <f>IF(H3463=0,1,SUMPRODUCT(J3463:N3463,B3464:F3464)+O3463*(1+0.00023125256064071564))</f>
        <v/>
      </c>
      <c r="J3464">
        <f>IF(G3464=1,0.2*R3464/B3464,J3463)</f>
        <v/>
      </c>
      <c r="K3464">
        <f>IF(G3464=1,0.2*R3464/C3464,K3463)</f>
        <v/>
      </c>
      <c r="L3464">
        <f>IF(G3464=1,0.2*R3464/D3464,L3463)</f>
        <v/>
      </c>
      <c r="M3464">
        <f>IF(G3464=1,0.2*R3464/E3464,M3463)</f>
        <v/>
      </c>
      <c r="N3464">
        <f>IF(G3464=1,0.2*R3464/F3464,N3463)</f>
        <v/>
      </c>
      <c r="O3464">
        <f>IF(G3464=1,R3464*(1-1.0),IF(H3463=0,1,O3463*(1+0.00023125256064071564)))</f>
        <v/>
      </c>
      <c r="P3464">
        <f>IF(G3464=1,IF(H3463=0,1,ABS(0.2-J3463*B3464/I3464)+ABS(0.2-K3463*C3464/I3464)+ABS(0.2-L3463*D3464/I3464)+ABS(0.2-M3463*E3464/I3464)+ABS(0.2-N3463*F3464/I3464)),0)</f>
        <v/>
      </c>
      <c r="Q3464">
        <f>P3464*0.0015</f>
        <v/>
      </c>
      <c r="R3464">
        <f>I3464*(1-Q3464)</f>
        <v/>
      </c>
      <c r="S3464">
        <f>R3464/R3463-1</f>
        <v/>
      </c>
      <c r="T3464">
        <f>MAX(T3463,R3464)</f>
        <v/>
      </c>
      <c r="U3464">
        <f>R3464/T3464-1</f>
        <v/>
      </c>
      <c r="V3464" t="n">
        <v>8.834410039446013</v>
      </c>
      <c r="W3464" s="5">
        <f>R3464-V3464</f>
        <v/>
      </c>
    </row>
    <row r="3465">
      <c r="A3465" s="3" t="n">
        <v>43539</v>
      </c>
      <c r="B3465">
        <f>Prices!B3465</f>
        <v/>
      </c>
      <c r="C3465">
        <f>Prices!C3465</f>
        <v/>
      </c>
      <c r="D3465">
        <f>Prices!D3465</f>
        <v/>
      </c>
      <c r="E3465">
        <f>Prices!E3465</f>
        <v/>
      </c>
      <c r="F3465">
        <f>Prices!F3465</f>
        <v/>
      </c>
      <c r="G3465">
        <f>IF(AND(3463&gt;=16,TEXT(A3465,"yyyy-mm")&lt;&gt;TEXT(A3466,"yyyy-mm")),1,0)</f>
        <v/>
      </c>
      <c r="H3465">
        <f>IF(OR(H3464=1,G3465=1),1,0)</f>
        <v/>
      </c>
      <c r="I3465">
        <f>IF(H3464=0,1,SUMPRODUCT(J3464:N3464,B3465:F3465)+O3464*(1+0.00023125256064071564))</f>
        <v/>
      </c>
      <c r="J3465">
        <f>IF(G3465=1,0.2*R3465/B3465,J3464)</f>
        <v/>
      </c>
      <c r="K3465">
        <f>IF(G3465=1,0.2*R3465/C3465,K3464)</f>
        <v/>
      </c>
      <c r="L3465">
        <f>IF(G3465=1,0.2*R3465/D3465,L3464)</f>
        <v/>
      </c>
      <c r="M3465">
        <f>IF(G3465=1,0.2*R3465/E3465,M3464)</f>
        <v/>
      </c>
      <c r="N3465">
        <f>IF(G3465=1,0.2*R3465/F3465,N3464)</f>
        <v/>
      </c>
      <c r="O3465">
        <f>IF(G3465=1,R3465*(1-1.0),IF(H3464=0,1,O3464*(1+0.00023125256064071564)))</f>
        <v/>
      </c>
      <c r="P3465">
        <f>IF(G3465=1,IF(H3464=0,1,ABS(0.2-J3464*B3465/I3465)+ABS(0.2-K3464*C3465/I3465)+ABS(0.2-L3464*D3465/I3465)+ABS(0.2-M3464*E3465/I3465)+ABS(0.2-N3464*F3465/I3465)),0)</f>
        <v/>
      </c>
      <c r="Q3465">
        <f>P3465*0.0015</f>
        <v/>
      </c>
      <c r="R3465">
        <f>I3465*(1-Q3465)</f>
        <v/>
      </c>
      <c r="S3465">
        <f>R3465/R3464-1</f>
        <v/>
      </c>
      <c r="T3465">
        <f>MAX(T3464,R3465)</f>
        <v/>
      </c>
      <c r="U3465">
        <f>R3465/T3465-1</f>
        <v/>
      </c>
      <c r="V3465" t="n">
        <v>8.874746722093178</v>
      </c>
      <c r="W3465" s="5">
        <f>R3465-V3465</f>
        <v/>
      </c>
    </row>
    <row r="3466">
      <c r="A3466" s="3" t="n">
        <v>43542</v>
      </c>
      <c r="B3466">
        <f>Prices!B3466</f>
        <v/>
      </c>
      <c r="C3466">
        <f>Prices!C3466</f>
        <v/>
      </c>
      <c r="D3466">
        <f>Prices!D3466</f>
        <v/>
      </c>
      <c r="E3466">
        <f>Prices!E3466</f>
        <v/>
      </c>
      <c r="F3466">
        <f>Prices!F3466</f>
        <v/>
      </c>
      <c r="G3466">
        <f>IF(AND(3464&gt;=16,TEXT(A3466,"yyyy-mm")&lt;&gt;TEXT(A3467,"yyyy-mm")),1,0)</f>
        <v/>
      </c>
      <c r="H3466">
        <f>IF(OR(H3465=1,G3466=1),1,0)</f>
        <v/>
      </c>
      <c r="I3466">
        <f>IF(H3465=0,1,SUMPRODUCT(J3465:N3465,B3466:F3466)+O3465*(1+0.00023125256064071564))</f>
        <v/>
      </c>
      <c r="J3466">
        <f>IF(G3466=1,0.2*R3466/B3466,J3465)</f>
        <v/>
      </c>
      <c r="K3466">
        <f>IF(G3466=1,0.2*R3466/C3466,K3465)</f>
        <v/>
      </c>
      <c r="L3466">
        <f>IF(G3466=1,0.2*R3466/D3466,L3465)</f>
        <v/>
      </c>
      <c r="M3466">
        <f>IF(G3466=1,0.2*R3466/E3466,M3465)</f>
        <v/>
      </c>
      <c r="N3466">
        <f>IF(G3466=1,0.2*R3466/F3466,N3465)</f>
        <v/>
      </c>
      <c r="O3466">
        <f>IF(G3466=1,R3466*(1-1.0),IF(H3465=0,1,O3465*(1+0.00023125256064071564)))</f>
        <v/>
      </c>
      <c r="P3466">
        <f>IF(G3466=1,IF(H3465=0,1,ABS(0.2-J3465*B3466/I3466)+ABS(0.2-K3465*C3466/I3466)+ABS(0.2-L3465*D3466/I3466)+ABS(0.2-M3465*E3466/I3466)+ABS(0.2-N3465*F3466/I3466)),0)</f>
        <v/>
      </c>
      <c r="Q3466">
        <f>P3466*0.0015</f>
        <v/>
      </c>
      <c r="R3466">
        <f>I3466*(1-Q3466)</f>
        <v/>
      </c>
      <c r="S3466">
        <f>R3466/R3465-1</f>
        <v/>
      </c>
      <c r="T3466">
        <f>MAX(T3465,R3466)</f>
        <v/>
      </c>
      <c r="U3466">
        <f>R3466/T3466-1</f>
        <v/>
      </c>
      <c r="V3466" t="n">
        <v>8.888753756808269</v>
      </c>
      <c r="W3466" s="5">
        <f>R3466-V3466</f>
        <v/>
      </c>
    </row>
    <row r="3467">
      <c r="A3467" s="3" t="n">
        <v>43543</v>
      </c>
      <c r="B3467">
        <f>Prices!B3467</f>
        <v/>
      </c>
      <c r="C3467">
        <f>Prices!C3467</f>
        <v/>
      </c>
      <c r="D3467">
        <f>Prices!D3467</f>
        <v/>
      </c>
      <c r="E3467">
        <f>Prices!E3467</f>
        <v/>
      </c>
      <c r="F3467">
        <f>Prices!F3467</f>
        <v/>
      </c>
      <c r="G3467">
        <f>IF(AND(3465&gt;=16,TEXT(A3467,"yyyy-mm")&lt;&gt;TEXT(A3468,"yyyy-mm")),1,0)</f>
        <v/>
      </c>
      <c r="H3467">
        <f>IF(OR(H3466=1,G3467=1),1,0)</f>
        <v/>
      </c>
      <c r="I3467">
        <f>IF(H3466=0,1,SUMPRODUCT(J3466:N3466,B3467:F3467)+O3466*(1+0.00023125256064071564))</f>
        <v/>
      </c>
      <c r="J3467">
        <f>IF(G3467=1,0.2*R3467/B3467,J3466)</f>
        <v/>
      </c>
      <c r="K3467">
        <f>IF(G3467=1,0.2*R3467/C3467,K3466)</f>
        <v/>
      </c>
      <c r="L3467">
        <f>IF(G3467=1,0.2*R3467/D3467,L3466)</f>
        <v/>
      </c>
      <c r="M3467">
        <f>IF(G3467=1,0.2*R3467/E3467,M3466)</f>
        <v/>
      </c>
      <c r="N3467">
        <f>IF(G3467=1,0.2*R3467/F3467,N3466)</f>
        <v/>
      </c>
      <c r="O3467">
        <f>IF(G3467=1,R3467*(1-1.0),IF(H3466=0,1,O3466*(1+0.00023125256064071564)))</f>
        <v/>
      </c>
      <c r="P3467">
        <f>IF(G3467=1,IF(H3466=0,1,ABS(0.2-J3466*B3467/I3467)+ABS(0.2-K3466*C3467/I3467)+ABS(0.2-L3466*D3467/I3467)+ABS(0.2-M3466*E3467/I3467)+ABS(0.2-N3466*F3467/I3467)),0)</f>
        <v/>
      </c>
      <c r="Q3467">
        <f>P3467*0.0015</f>
        <v/>
      </c>
      <c r="R3467">
        <f>I3467*(1-Q3467)</f>
        <v/>
      </c>
      <c r="S3467">
        <f>R3467/R3466-1</f>
        <v/>
      </c>
      <c r="T3467">
        <f>MAX(T3466,R3467)</f>
        <v/>
      </c>
      <c r="U3467">
        <f>R3467/T3467-1</f>
        <v/>
      </c>
      <c r="V3467" t="n">
        <v>8.943601732542044</v>
      </c>
      <c r="W3467" s="5">
        <f>R3467-V3467</f>
        <v/>
      </c>
    </row>
    <row r="3468">
      <c r="A3468" s="3" t="n">
        <v>43544</v>
      </c>
      <c r="B3468">
        <f>Prices!B3468</f>
        <v/>
      </c>
      <c r="C3468">
        <f>Prices!C3468</f>
        <v/>
      </c>
      <c r="D3468">
        <f>Prices!D3468</f>
        <v/>
      </c>
      <c r="E3468">
        <f>Prices!E3468</f>
        <v/>
      </c>
      <c r="F3468">
        <f>Prices!F3468</f>
        <v/>
      </c>
      <c r="G3468">
        <f>IF(AND(3466&gt;=16,TEXT(A3468,"yyyy-mm")&lt;&gt;TEXT(A3469,"yyyy-mm")),1,0)</f>
        <v/>
      </c>
      <c r="H3468">
        <f>IF(OR(H3467=1,G3468=1),1,0)</f>
        <v/>
      </c>
      <c r="I3468">
        <f>IF(H3467=0,1,SUMPRODUCT(J3467:N3467,B3468:F3468)+O3467*(1+0.00023125256064071564))</f>
        <v/>
      </c>
      <c r="J3468">
        <f>IF(G3468=1,0.2*R3468/B3468,J3467)</f>
        <v/>
      </c>
      <c r="K3468">
        <f>IF(G3468=1,0.2*R3468/C3468,K3467)</f>
        <v/>
      </c>
      <c r="L3468">
        <f>IF(G3468=1,0.2*R3468/D3468,L3467)</f>
        <v/>
      </c>
      <c r="M3468">
        <f>IF(G3468=1,0.2*R3468/E3468,M3467)</f>
        <v/>
      </c>
      <c r="N3468">
        <f>IF(G3468=1,0.2*R3468/F3468,N3467)</f>
        <v/>
      </c>
      <c r="O3468">
        <f>IF(G3468=1,R3468*(1-1.0),IF(H3467=0,1,O3467*(1+0.00023125256064071564)))</f>
        <v/>
      </c>
      <c r="P3468">
        <f>IF(G3468=1,IF(H3467=0,1,ABS(0.2-J3467*B3468/I3468)+ABS(0.2-K3467*C3468/I3468)+ABS(0.2-L3467*D3468/I3468)+ABS(0.2-M3467*E3468/I3468)+ABS(0.2-N3467*F3468/I3468)),0)</f>
        <v/>
      </c>
      <c r="Q3468">
        <f>P3468*0.0015</f>
        <v/>
      </c>
      <c r="R3468">
        <f>I3468*(1-Q3468)</f>
        <v/>
      </c>
      <c r="S3468">
        <f>R3468/R3467-1</f>
        <v/>
      </c>
      <c r="T3468">
        <f>MAX(T3467,R3468)</f>
        <v/>
      </c>
      <c r="U3468">
        <f>R3468/T3468-1</f>
        <v/>
      </c>
      <c r="V3468" t="n">
        <v>8.910704053302814</v>
      </c>
      <c r="W3468" s="5">
        <f>R3468-V3468</f>
        <v/>
      </c>
    </row>
    <row r="3469">
      <c r="A3469" s="3" t="n">
        <v>43546</v>
      </c>
      <c r="B3469">
        <f>Prices!B3469</f>
        <v/>
      </c>
      <c r="C3469">
        <f>Prices!C3469</f>
        <v/>
      </c>
      <c r="D3469">
        <f>Prices!D3469</f>
        <v/>
      </c>
      <c r="E3469">
        <f>Prices!E3469</f>
        <v/>
      </c>
      <c r="F3469">
        <f>Prices!F3469</f>
        <v/>
      </c>
      <c r="G3469">
        <f>IF(AND(3467&gt;=16,TEXT(A3469,"yyyy-mm")&lt;&gt;TEXT(A3470,"yyyy-mm")),1,0)</f>
        <v/>
      </c>
      <c r="H3469">
        <f>IF(OR(H3468=1,G3469=1),1,0)</f>
        <v/>
      </c>
      <c r="I3469">
        <f>IF(H3468=0,1,SUMPRODUCT(J3468:N3468,B3469:F3469)+O3468*(1+0.00023125256064071564))</f>
        <v/>
      </c>
      <c r="J3469">
        <f>IF(G3469=1,0.2*R3469/B3469,J3468)</f>
        <v/>
      </c>
      <c r="K3469">
        <f>IF(G3469=1,0.2*R3469/C3469,K3468)</f>
        <v/>
      </c>
      <c r="L3469">
        <f>IF(G3469=1,0.2*R3469/D3469,L3468)</f>
        <v/>
      </c>
      <c r="M3469">
        <f>IF(G3469=1,0.2*R3469/E3469,M3468)</f>
        <v/>
      </c>
      <c r="N3469">
        <f>IF(G3469=1,0.2*R3469/F3469,N3468)</f>
        <v/>
      </c>
      <c r="O3469">
        <f>IF(G3469=1,R3469*(1-1.0),IF(H3468=0,1,O3468*(1+0.00023125256064071564)))</f>
        <v/>
      </c>
      <c r="P3469">
        <f>IF(G3469=1,IF(H3468=0,1,ABS(0.2-J3468*B3469/I3469)+ABS(0.2-K3468*C3469/I3469)+ABS(0.2-L3468*D3469/I3469)+ABS(0.2-M3468*E3469/I3469)+ABS(0.2-N3468*F3469/I3469)),0)</f>
        <v/>
      </c>
      <c r="Q3469">
        <f>P3469*0.0015</f>
        <v/>
      </c>
      <c r="R3469">
        <f>I3469*(1-Q3469)</f>
        <v/>
      </c>
      <c r="S3469">
        <f>R3469/R3468-1</f>
        <v/>
      </c>
      <c r="T3469">
        <f>MAX(T3468,R3469)</f>
        <v/>
      </c>
      <c r="U3469">
        <f>R3469/T3469-1</f>
        <v/>
      </c>
      <c r="V3469" t="n">
        <v>8.859935256948932</v>
      </c>
      <c r="W3469" s="5">
        <f>R3469-V3469</f>
        <v/>
      </c>
    </row>
    <row r="3470">
      <c r="A3470" s="3" t="n">
        <v>43549</v>
      </c>
      <c r="B3470">
        <f>Prices!B3470</f>
        <v/>
      </c>
      <c r="C3470">
        <f>Prices!C3470</f>
        <v/>
      </c>
      <c r="D3470">
        <f>Prices!D3470</f>
        <v/>
      </c>
      <c r="E3470">
        <f>Prices!E3470</f>
        <v/>
      </c>
      <c r="F3470">
        <f>Prices!F3470</f>
        <v/>
      </c>
      <c r="G3470">
        <f>IF(AND(3468&gt;=16,TEXT(A3470,"yyyy-mm")&lt;&gt;TEXT(A3471,"yyyy-mm")),1,0)</f>
        <v/>
      </c>
      <c r="H3470">
        <f>IF(OR(H3469=1,G3470=1),1,0)</f>
        <v/>
      </c>
      <c r="I3470">
        <f>IF(H3469=0,1,SUMPRODUCT(J3469:N3469,B3470:F3470)+O3469*(1+0.00023125256064071564))</f>
        <v/>
      </c>
      <c r="J3470">
        <f>IF(G3470=1,0.2*R3470/B3470,J3469)</f>
        <v/>
      </c>
      <c r="K3470">
        <f>IF(G3470=1,0.2*R3470/C3470,K3469)</f>
        <v/>
      </c>
      <c r="L3470">
        <f>IF(G3470=1,0.2*R3470/D3470,L3469)</f>
        <v/>
      </c>
      <c r="M3470">
        <f>IF(G3470=1,0.2*R3470/E3470,M3469)</f>
        <v/>
      </c>
      <c r="N3470">
        <f>IF(G3470=1,0.2*R3470/F3470,N3469)</f>
        <v/>
      </c>
      <c r="O3470">
        <f>IF(G3470=1,R3470*(1-1.0),IF(H3469=0,1,O3469*(1+0.00023125256064071564)))</f>
        <v/>
      </c>
      <c r="P3470">
        <f>IF(G3470=1,IF(H3469=0,1,ABS(0.2-J3469*B3470/I3470)+ABS(0.2-K3469*C3470/I3470)+ABS(0.2-L3469*D3470/I3470)+ABS(0.2-M3469*E3470/I3470)+ABS(0.2-N3469*F3470/I3470)),0)</f>
        <v/>
      </c>
      <c r="Q3470">
        <f>P3470*0.0015</f>
        <v/>
      </c>
      <c r="R3470">
        <f>I3470*(1-Q3470)</f>
        <v/>
      </c>
      <c r="S3470">
        <f>R3470/R3469-1</f>
        <v/>
      </c>
      <c r="T3470">
        <f>MAX(T3469,R3470)</f>
        <v/>
      </c>
      <c r="U3470">
        <f>R3470/T3470-1</f>
        <v/>
      </c>
      <c r="V3470" t="n">
        <v>8.816778849393609</v>
      </c>
      <c r="W3470" s="5">
        <f>R3470-V3470</f>
        <v/>
      </c>
    </row>
    <row r="3471">
      <c r="A3471" s="3" t="n">
        <v>43550</v>
      </c>
      <c r="B3471">
        <f>Prices!B3471</f>
        <v/>
      </c>
      <c r="C3471">
        <f>Prices!C3471</f>
        <v/>
      </c>
      <c r="D3471">
        <f>Prices!D3471</f>
        <v/>
      </c>
      <c r="E3471">
        <f>Prices!E3471</f>
        <v/>
      </c>
      <c r="F3471">
        <f>Prices!F3471</f>
        <v/>
      </c>
      <c r="G3471">
        <f>IF(AND(3469&gt;=16,TEXT(A3471,"yyyy-mm")&lt;&gt;TEXT(A3472,"yyyy-mm")),1,0)</f>
        <v/>
      </c>
      <c r="H3471">
        <f>IF(OR(H3470=1,G3471=1),1,0)</f>
        <v/>
      </c>
      <c r="I3471">
        <f>IF(H3470=0,1,SUMPRODUCT(J3470:N3470,B3471:F3471)+O3470*(1+0.00023125256064071564))</f>
        <v/>
      </c>
      <c r="J3471">
        <f>IF(G3471=1,0.2*R3471/B3471,J3470)</f>
        <v/>
      </c>
      <c r="K3471">
        <f>IF(G3471=1,0.2*R3471/C3471,K3470)</f>
        <v/>
      </c>
      <c r="L3471">
        <f>IF(G3471=1,0.2*R3471/D3471,L3470)</f>
        <v/>
      </c>
      <c r="M3471">
        <f>IF(G3471=1,0.2*R3471/E3471,M3470)</f>
        <v/>
      </c>
      <c r="N3471">
        <f>IF(G3471=1,0.2*R3471/F3471,N3470)</f>
        <v/>
      </c>
      <c r="O3471">
        <f>IF(G3471=1,R3471*(1-1.0),IF(H3470=0,1,O3470*(1+0.00023125256064071564)))</f>
        <v/>
      </c>
      <c r="P3471">
        <f>IF(G3471=1,IF(H3470=0,1,ABS(0.2-J3470*B3471/I3471)+ABS(0.2-K3470*C3471/I3471)+ABS(0.2-L3470*D3471/I3471)+ABS(0.2-M3470*E3471/I3471)+ABS(0.2-N3470*F3471/I3471)),0)</f>
        <v/>
      </c>
      <c r="Q3471">
        <f>P3471*0.0015</f>
        <v/>
      </c>
      <c r="R3471">
        <f>I3471*(1-Q3471)</f>
        <v/>
      </c>
      <c r="S3471">
        <f>R3471/R3470-1</f>
        <v/>
      </c>
      <c r="T3471">
        <f>MAX(T3470,R3471)</f>
        <v/>
      </c>
      <c r="U3471">
        <f>R3471/T3471-1</f>
        <v/>
      </c>
      <c r="V3471" t="n">
        <v>8.895837751476948</v>
      </c>
      <c r="W3471" s="5">
        <f>R3471-V3471</f>
        <v/>
      </c>
    </row>
    <row r="3472">
      <c r="A3472" s="3" t="n">
        <v>43551</v>
      </c>
      <c r="B3472">
        <f>Prices!B3472</f>
        <v/>
      </c>
      <c r="C3472">
        <f>Prices!C3472</f>
        <v/>
      </c>
      <c r="D3472">
        <f>Prices!D3472</f>
        <v/>
      </c>
      <c r="E3472">
        <f>Prices!E3472</f>
        <v/>
      </c>
      <c r="F3472">
        <f>Prices!F3472</f>
        <v/>
      </c>
      <c r="G3472">
        <f>IF(AND(3470&gt;=16,TEXT(A3472,"yyyy-mm")&lt;&gt;TEXT(A3473,"yyyy-mm")),1,0)</f>
        <v/>
      </c>
      <c r="H3472">
        <f>IF(OR(H3471=1,G3472=1),1,0)</f>
        <v/>
      </c>
      <c r="I3472">
        <f>IF(H3471=0,1,SUMPRODUCT(J3471:N3471,B3472:F3472)+O3471*(1+0.00023125256064071564))</f>
        <v/>
      </c>
      <c r="J3472">
        <f>IF(G3472=1,0.2*R3472/B3472,J3471)</f>
        <v/>
      </c>
      <c r="K3472">
        <f>IF(G3472=1,0.2*R3472/C3472,K3471)</f>
        <v/>
      </c>
      <c r="L3472">
        <f>IF(G3472=1,0.2*R3472/D3472,L3471)</f>
        <v/>
      </c>
      <c r="M3472">
        <f>IF(G3472=1,0.2*R3472/E3472,M3471)</f>
        <v/>
      </c>
      <c r="N3472">
        <f>IF(G3472=1,0.2*R3472/F3472,N3471)</f>
        <v/>
      </c>
      <c r="O3472">
        <f>IF(G3472=1,R3472*(1-1.0),IF(H3471=0,1,O3471*(1+0.00023125256064071564)))</f>
        <v/>
      </c>
      <c r="P3472">
        <f>IF(G3472=1,IF(H3471=0,1,ABS(0.2-J3471*B3472/I3472)+ABS(0.2-K3471*C3472/I3472)+ABS(0.2-L3471*D3472/I3472)+ABS(0.2-M3471*E3472/I3472)+ABS(0.2-N3471*F3472/I3472)),0)</f>
        <v/>
      </c>
      <c r="Q3472">
        <f>P3472*0.0015</f>
        <v/>
      </c>
      <c r="R3472">
        <f>I3472*(1-Q3472)</f>
        <v/>
      </c>
      <c r="S3472">
        <f>R3472/R3471-1</f>
        <v/>
      </c>
      <c r="T3472">
        <f>MAX(T3471,R3472)</f>
        <v/>
      </c>
      <c r="U3472">
        <f>R3472/T3472-1</f>
        <v/>
      </c>
      <c r="V3472" t="n">
        <v>8.881676705052138</v>
      </c>
      <c r="W3472" s="5">
        <f>R3472-V3472</f>
        <v/>
      </c>
    </row>
    <row r="3473">
      <c r="A3473" s="3" t="n">
        <v>43552</v>
      </c>
      <c r="B3473">
        <f>Prices!B3473</f>
        <v/>
      </c>
      <c r="C3473">
        <f>Prices!C3473</f>
        <v/>
      </c>
      <c r="D3473">
        <f>Prices!D3473</f>
        <v/>
      </c>
      <c r="E3473">
        <f>Prices!E3473</f>
        <v/>
      </c>
      <c r="F3473">
        <f>Prices!F3473</f>
        <v/>
      </c>
      <c r="G3473">
        <f>IF(AND(3471&gt;=16,TEXT(A3473,"yyyy-mm")&lt;&gt;TEXT(A3474,"yyyy-mm")),1,0)</f>
        <v/>
      </c>
      <c r="H3473">
        <f>IF(OR(H3472=1,G3473=1),1,0)</f>
        <v/>
      </c>
      <c r="I3473">
        <f>IF(H3472=0,1,SUMPRODUCT(J3472:N3472,B3473:F3473)+O3472*(1+0.00023125256064071564))</f>
        <v/>
      </c>
      <c r="J3473">
        <f>IF(G3473=1,0.2*R3473/B3473,J3472)</f>
        <v/>
      </c>
      <c r="K3473">
        <f>IF(G3473=1,0.2*R3473/C3473,K3472)</f>
        <v/>
      </c>
      <c r="L3473">
        <f>IF(G3473=1,0.2*R3473/D3473,L3472)</f>
        <v/>
      </c>
      <c r="M3473">
        <f>IF(G3473=1,0.2*R3473/E3473,M3472)</f>
        <v/>
      </c>
      <c r="N3473">
        <f>IF(G3473=1,0.2*R3473/F3473,N3472)</f>
        <v/>
      </c>
      <c r="O3473">
        <f>IF(G3473=1,R3473*(1-1.0),IF(H3472=0,1,O3472*(1+0.00023125256064071564)))</f>
        <v/>
      </c>
      <c r="P3473">
        <f>IF(G3473=1,IF(H3472=0,1,ABS(0.2-J3472*B3473/I3473)+ABS(0.2-K3472*C3473/I3473)+ABS(0.2-L3472*D3473/I3473)+ABS(0.2-M3472*E3473/I3473)+ABS(0.2-N3472*F3473/I3473)),0)</f>
        <v/>
      </c>
      <c r="Q3473">
        <f>P3473*0.0015</f>
        <v/>
      </c>
      <c r="R3473">
        <f>I3473*(1-Q3473)</f>
        <v/>
      </c>
      <c r="S3473">
        <f>R3473/R3472-1</f>
        <v/>
      </c>
      <c r="T3473">
        <f>MAX(T3472,R3473)</f>
        <v/>
      </c>
      <c r="U3473">
        <f>R3473/T3473-1</f>
        <v/>
      </c>
      <c r="V3473" t="n">
        <v>8.966213538993848</v>
      </c>
      <c r="W3473" s="5">
        <f>R3473-V3473</f>
        <v/>
      </c>
    </row>
    <row r="3474">
      <c r="A3474" s="3" t="n">
        <v>43553</v>
      </c>
      <c r="B3474">
        <f>Prices!B3474</f>
        <v/>
      </c>
      <c r="C3474">
        <f>Prices!C3474</f>
        <v/>
      </c>
      <c r="D3474">
        <f>Prices!D3474</f>
        <v/>
      </c>
      <c r="E3474">
        <f>Prices!E3474</f>
        <v/>
      </c>
      <c r="F3474">
        <f>Prices!F3474</f>
        <v/>
      </c>
      <c r="G3474">
        <f>IF(AND(3472&gt;=16,TEXT(A3474,"yyyy-mm")&lt;&gt;TEXT(A3475,"yyyy-mm")),1,0)</f>
        <v/>
      </c>
      <c r="H3474">
        <f>IF(OR(H3473=1,G3474=1),1,0)</f>
        <v/>
      </c>
      <c r="I3474">
        <f>IF(H3473=0,1,SUMPRODUCT(J3473:N3473,B3474:F3474)+O3473*(1+0.00023125256064071564))</f>
        <v/>
      </c>
      <c r="J3474">
        <f>IF(G3474=1,0.2*R3474/B3474,J3473)</f>
        <v/>
      </c>
      <c r="K3474">
        <f>IF(G3474=1,0.2*R3474/C3474,K3473)</f>
        <v/>
      </c>
      <c r="L3474">
        <f>IF(G3474=1,0.2*R3474/D3474,L3473)</f>
        <v/>
      </c>
      <c r="M3474">
        <f>IF(G3474=1,0.2*R3474/E3474,M3473)</f>
        <v/>
      </c>
      <c r="N3474">
        <f>IF(G3474=1,0.2*R3474/F3474,N3473)</f>
        <v/>
      </c>
      <c r="O3474">
        <f>IF(G3474=1,R3474*(1-1.0),IF(H3473=0,1,O3473*(1+0.00023125256064071564)))</f>
        <v/>
      </c>
      <c r="P3474">
        <f>IF(G3474=1,IF(H3473=0,1,ABS(0.2-J3473*B3474/I3474)+ABS(0.2-K3473*C3474/I3474)+ABS(0.2-L3473*D3474/I3474)+ABS(0.2-M3473*E3474/I3474)+ABS(0.2-N3473*F3474/I3474)),0)</f>
        <v/>
      </c>
      <c r="Q3474">
        <f>P3474*0.0015</f>
        <v/>
      </c>
      <c r="R3474">
        <f>I3474*(1-Q3474)</f>
        <v/>
      </c>
      <c r="S3474">
        <f>R3474/R3473-1</f>
        <v/>
      </c>
      <c r="T3474">
        <f>MAX(T3473,R3474)</f>
        <v/>
      </c>
      <c r="U3474">
        <f>R3474/T3474-1</f>
        <v/>
      </c>
      <c r="V3474" t="n">
        <v>9.041563902902853</v>
      </c>
      <c r="W3474" s="5">
        <f>R3474-V3474</f>
        <v/>
      </c>
    </row>
    <row r="3475">
      <c r="A3475" s="3" t="n">
        <v>43556</v>
      </c>
      <c r="B3475">
        <f>Prices!B3475</f>
        <v/>
      </c>
      <c r="C3475">
        <f>Prices!C3475</f>
        <v/>
      </c>
      <c r="D3475">
        <f>Prices!D3475</f>
        <v/>
      </c>
      <c r="E3475">
        <f>Prices!E3475</f>
        <v/>
      </c>
      <c r="F3475">
        <f>Prices!F3475</f>
        <v/>
      </c>
      <c r="G3475">
        <f>IF(AND(3473&gt;=16,TEXT(A3475,"yyyy-mm")&lt;&gt;TEXT(A3476,"yyyy-mm")),1,0)</f>
        <v/>
      </c>
      <c r="H3475">
        <f>IF(OR(H3474=1,G3475=1),1,0)</f>
        <v/>
      </c>
      <c r="I3475">
        <f>IF(H3474=0,1,SUMPRODUCT(J3474:N3474,B3475:F3475)+O3474*(1+0.00023125256064071564))</f>
        <v/>
      </c>
      <c r="J3475">
        <f>IF(G3475=1,0.2*R3475/B3475,J3474)</f>
        <v/>
      </c>
      <c r="K3475">
        <f>IF(G3475=1,0.2*R3475/C3475,K3474)</f>
        <v/>
      </c>
      <c r="L3475">
        <f>IF(G3475=1,0.2*R3475/D3475,L3474)</f>
        <v/>
      </c>
      <c r="M3475">
        <f>IF(G3475=1,0.2*R3475/E3475,M3474)</f>
        <v/>
      </c>
      <c r="N3475">
        <f>IF(G3475=1,0.2*R3475/F3475,N3474)</f>
        <v/>
      </c>
      <c r="O3475">
        <f>IF(G3475=1,R3475*(1-1.0),IF(H3474=0,1,O3474*(1+0.00023125256064071564)))</f>
        <v/>
      </c>
      <c r="P3475">
        <f>IF(G3475=1,IF(H3474=0,1,ABS(0.2-J3474*B3475/I3475)+ABS(0.2-K3474*C3475/I3475)+ABS(0.2-L3474*D3475/I3475)+ABS(0.2-M3474*E3475/I3475)+ABS(0.2-N3474*F3475/I3475)),0)</f>
        <v/>
      </c>
      <c r="Q3475">
        <f>P3475*0.0015</f>
        <v/>
      </c>
      <c r="R3475">
        <f>I3475*(1-Q3475)</f>
        <v/>
      </c>
      <c r="S3475">
        <f>R3475/R3474-1</f>
        <v/>
      </c>
      <c r="T3475">
        <f>MAX(T3474,R3475)</f>
        <v/>
      </c>
      <c r="U3475">
        <f>R3475/T3475-1</f>
        <v/>
      </c>
      <c r="V3475" t="n">
        <v>9.076917805434293</v>
      </c>
      <c r="W3475" s="5">
        <f>R3475-V3475</f>
        <v/>
      </c>
    </row>
    <row r="3476">
      <c r="A3476" s="3" t="n">
        <v>43557</v>
      </c>
      <c r="B3476">
        <f>Prices!B3476</f>
        <v/>
      </c>
      <c r="C3476">
        <f>Prices!C3476</f>
        <v/>
      </c>
      <c r="D3476">
        <f>Prices!D3476</f>
        <v/>
      </c>
      <c r="E3476">
        <f>Prices!E3476</f>
        <v/>
      </c>
      <c r="F3476">
        <f>Prices!F3476</f>
        <v/>
      </c>
      <c r="G3476">
        <f>IF(AND(3474&gt;=16,TEXT(A3476,"yyyy-mm")&lt;&gt;TEXT(A3477,"yyyy-mm")),1,0)</f>
        <v/>
      </c>
      <c r="H3476">
        <f>IF(OR(H3475=1,G3476=1),1,0)</f>
        <v/>
      </c>
      <c r="I3476">
        <f>IF(H3475=0,1,SUMPRODUCT(J3475:N3475,B3476:F3476)+O3475*(1+0.00023125256064071564))</f>
        <v/>
      </c>
      <c r="J3476">
        <f>IF(G3476=1,0.2*R3476/B3476,J3475)</f>
        <v/>
      </c>
      <c r="K3476">
        <f>IF(G3476=1,0.2*R3476/C3476,K3475)</f>
        <v/>
      </c>
      <c r="L3476">
        <f>IF(G3476=1,0.2*R3476/D3476,L3475)</f>
        <v/>
      </c>
      <c r="M3476">
        <f>IF(G3476=1,0.2*R3476/E3476,M3475)</f>
        <v/>
      </c>
      <c r="N3476">
        <f>IF(G3476=1,0.2*R3476/F3476,N3475)</f>
        <v/>
      </c>
      <c r="O3476">
        <f>IF(G3476=1,R3476*(1-1.0),IF(H3475=0,1,O3475*(1+0.00023125256064071564)))</f>
        <v/>
      </c>
      <c r="P3476">
        <f>IF(G3476=1,IF(H3475=0,1,ABS(0.2-J3475*B3476/I3476)+ABS(0.2-K3475*C3476/I3476)+ABS(0.2-L3475*D3476/I3476)+ABS(0.2-M3475*E3476/I3476)+ABS(0.2-N3475*F3476/I3476)),0)</f>
        <v/>
      </c>
      <c r="Q3476">
        <f>P3476*0.0015</f>
        <v/>
      </c>
      <c r="R3476">
        <f>I3476*(1-Q3476)</f>
        <v/>
      </c>
      <c r="S3476">
        <f>R3476/R3475-1</f>
        <v/>
      </c>
      <c r="T3476">
        <f>MAX(T3475,R3476)</f>
        <v/>
      </c>
      <c r="U3476">
        <f>R3476/T3476-1</f>
        <v/>
      </c>
      <c r="V3476" t="n">
        <v>9.090165381265777</v>
      </c>
      <c r="W3476" s="5">
        <f>R3476-V3476</f>
        <v/>
      </c>
    </row>
    <row r="3477">
      <c r="A3477" s="3" t="n">
        <v>43558</v>
      </c>
      <c r="B3477">
        <f>Prices!B3477</f>
        <v/>
      </c>
      <c r="C3477">
        <f>Prices!C3477</f>
        <v/>
      </c>
      <c r="D3477">
        <f>Prices!D3477</f>
        <v/>
      </c>
      <c r="E3477">
        <f>Prices!E3477</f>
        <v/>
      </c>
      <c r="F3477">
        <f>Prices!F3477</f>
        <v/>
      </c>
      <c r="G3477">
        <f>IF(AND(3475&gt;=16,TEXT(A3477,"yyyy-mm")&lt;&gt;TEXT(A3478,"yyyy-mm")),1,0)</f>
        <v/>
      </c>
      <c r="H3477">
        <f>IF(OR(H3476=1,G3477=1),1,0)</f>
        <v/>
      </c>
      <c r="I3477">
        <f>IF(H3476=0,1,SUMPRODUCT(J3476:N3476,B3477:F3477)+O3476*(1+0.00023125256064071564))</f>
        <v/>
      </c>
      <c r="J3477">
        <f>IF(G3477=1,0.2*R3477/B3477,J3476)</f>
        <v/>
      </c>
      <c r="K3477">
        <f>IF(G3477=1,0.2*R3477/C3477,K3476)</f>
        <v/>
      </c>
      <c r="L3477">
        <f>IF(G3477=1,0.2*R3477/D3477,L3476)</f>
        <v/>
      </c>
      <c r="M3477">
        <f>IF(G3477=1,0.2*R3477/E3477,M3476)</f>
        <v/>
      </c>
      <c r="N3477">
        <f>IF(G3477=1,0.2*R3477/F3477,N3476)</f>
        <v/>
      </c>
      <c r="O3477">
        <f>IF(G3477=1,R3477*(1-1.0),IF(H3476=0,1,O3476*(1+0.00023125256064071564)))</f>
        <v/>
      </c>
      <c r="P3477">
        <f>IF(G3477=1,IF(H3476=0,1,ABS(0.2-J3476*B3477/I3477)+ABS(0.2-K3476*C3477/I3477)+ABS(0.2-L3476*D3477/I3477)+ABS(0.2-M3476*E3477/I3477)+ABS(0.2-N3476*F3477/I3477)),0)</f>
        <v/>
      </c>
      <c r="Q3477">
        <f>P3477*0.0015</f>
        <v/>
      </c>
      <c r="R3477">
        <f>I3477*(1-Q3477)</f>
        <v/>
      </c>
      <c r="S3477">
        <f>R3477/R3476-1</f>
        <v/>
      </c>
      <c r="T3477">
        <f>MAX(T3476,R3477)</f>
        <v/>
      </c>
      <c r="U3477">
        <f>R3477/T3477-1</f>
        <v/>
      </c>
      <c r="V3477" t="n">
        <v>9.037889883560084</v>
      </c>
      <c r="W3477" s="5">
        <f>R3477-V3477</f>
        <v/>
      </c>
    </row>
    <row r="3478">
      <c r="A3478" s="3" t="n">
        <v>43559</v>
      </c>
      <c r="B3478">
        <f>Prices!B3478</f>
        <v/>
      </c>
      <c r="C3478">
        <f>Prices!C3478</f>
        <v/>
      </c>
      <c r="D3478">
        <f>Prices!D3478</f>
        <v/>
      </c>
      <c r="E3478">
        <f>Prices!E3478</f>
        <v/>
      </c>
      <c r="F3478">
        <f>Prices!F3478</f>
        <v/>
      </c>
      <c r="G3478">
        <f>IF(AND(3476&gt;=16,TEXT(A3478,"yyyy-mm")&lt;&gt;TEXT(A3479,"yyyy-mm")),1,0)</f>
        <v/>
      </c>
      <c r="H3478">
        <f>IF(OR(H3477=1,G3478=1),1,0)</f>
        <v/>
      </c>
      <c r="I3478">
        <f>IF(H3477=0,1,SUMPRODUCT(J3477:N3477,B3478:F3478)+O3477*(1+0.00023125256064071564))</f>
        <v/>
      </c>
      <c r="J3478">
        <f>IF(G3478=1,0.2*R3478/B3478,J3477)</f>
        <v/>
      </c>
      <c r="K3478">
        <f>IF(G3478=1,0.2*R3478/C3478,K3477)</f>
        <v/>
      </c>
      <c r="L3478">
        <f>IF(G3478=1,0.2*R3478/D3478,L3477)</f>
        <v/>
      </c>
      <c r="M3478">
        <f>IF(G3478=1,0.2*R3478/E3478,M3477)</f>
        <v/>
      </c>
      <c r="N3478">
        <f>IF(G3478=1,0.2*R3478/F3478,N3477)</f>
        <v/>
      </c>
      <c r="O3478">
        <f>IF(G3478=1,R3478*(1-1.0),IF(H3477=0,1,O3477*(1+0.00023125256064071564)))</f>
        <v/>
      </c>
      <c r="P3478">
        <f>IF(G3478=1,IF(H3477=0,1,ABS(0.2-J3477*B3478/I3478)+ABS(0.2-K3477*C3478/I3478)+ABS(0.2-L3477*D3478/I3478)+ABS(0.2-M3477*E3478/I3478)+ABS(0.2-N3477*F3478/I3478)),0)</f>
        <v/>
      </c>
      <c r="Q3478">
        <f>P3478*0.0015</f>
        <v/>
      </c>
      <c r="R3478">
        <f>I3478*(1-Q3478)</f>
        <v/>
      </c>
      <c r="S3478">
        <f>R3478/R3477-1</f>
        <v/>
      </c>
      <c r="T3478">
        <f>MAX(T3477,R3478)</f>
        <v/>
      </c>
      <c r="U3478">
        <f>R3478/T3478-1</f>
        <v/>
      </c>
      <c r="V3478" t="n">
        <v>9.009651895109764</v>
      </c>
      <c r="W3478" s="5">
        <f>R3478-V3478</f>
        <v/>
      </c>
    </row>
    <row r="3479">
      <c r="A3479" s="3" t="n">
        <v>43560</v>
      </c>
      <c r="B3479">
        <f>Prices!B3479</f>
        <v/>
      </c>
      <c r="C3479">
        <f>Prices!C3479</f>
        <v/>
      </c>
      <c r="D3479">
        <f>Prices!D3479</f>
        <v/>
      </c>
      <c r="E3479">
        <f>Prices!E3479</f>
        <v/>
      </c>
      <c r="F3479">
        <f>Prices!F3479</f>
        <v/>
      </c>
      <c r="G3479">
        <f>IF(AND(3477&gt;=16,TEXT(A3479,"yyyy-mm")&lt;&gt;TEXT(A3480,"yyyy-mm")),1,0)</f>
        <v/>
      </c>
      <c r="H3479">
        <f>IF(OR(H3478=1,G3479=1),1,0)</f>
        <v/>
      </c>
      <c r="I3479">
        <f>IF(H3478=0,1,SUMPRODUCT(J3478:N3478,B3479:F3479)+O3478*(1+0.00023125256064071564))</f>
        <v/>
      </c>
      <c r="J3479">
        <f>IF(G3479=1,0.2*R3479/B3479,J3478)</f>
        <v/>
      </c>
      <c r="K3479">
        <f>IF(G3479=1,0.2*R3479/C3479,K3478)</f>
        <v/>
      </c>
      <c r="L3479">
        <f>IF(G3479=1,0.2*R3479/D3479,L3478)</f>
        <v/>
      </c>
      <c r="M3479">
        <f>IF(G3479=1,0.2*R3479/E3479,M3478)</f>
        <v/>
      </c>
      <c r="N3479">
        <f>IF(G3479=1,0.2*R3479/F3479,N3478)</f>
        <v/>
      </c>
      <c r="O3479">
        <f>IF(G3479=1,R3479*(1-1.0),IF(H3478=0,1,O3478*(1+0.00023125256064071564)))</f>
        <v/>
      </c>
      <c r="P3479">
        <f>IF(G3479=1,IF(H3478=0,1,ABS(0.2-J3478*B3479/I3479)+ABS(0.2-K3478*C3479/I3479)+ABS(0.2-L3478*D3479/I3479)+ABS(0.2-M3478*E3479/I3479)+ABS(0.2-N3478*F3479/I3479)),0)</f>
        <v/>
      </c>
      <c r="Q3479">
        <f>P3479*0.0015</f>
        <v/>
      </c>
      <c r="R3479">
        <f>I3479*(1-Q3479)</f>
        <v/>
      </c>
      <c r="S3479">
        <f>R3479/R3478-1</f>
        <v/>
      </c>
      <c r="T3479">
        <f>MAX(T3478,R3479)</f>
        <v/>
      </c>
      <c r="U3479">
        <f>R3479/T3479-1</f>
        <v/>
      </c>
      <c r="V3479" t="n">
        <v>9.066125114538597</v>
      </c>
      <c r="W3479" s="5">
        <f>R3479-V3479</f>
        <v/>
      </c>
    </row>
    <row r="3480">
      <c r="A3480" s="3" t="n">
        <v>43563</v>
      </c>
      <c r="B3480">
        <f>Prices!B3480</f>
        <v/>
      </c>
      <c r="C3480">
        <f>Prices!C3480</f>
        <v/>
      </c>
      <c r="D3480">
        <f>Prices!D3480</f>
        <v/>
      </c>
      <c r="E3480">
        <f>Prices!E3480</f>
        <v/>
      </c>
      <c r="F3480">
        <f>Prices!F3480</f>
        <v/>
      </c>
      <c r="G3480">
        <f>IF(AND(3478&gt;=16,TEXT(A3480,"yyyy-mm")&lt;&gt;TEXT(A3481,"yyyy-mm")),1,0)</f>
        <v/>
      </c>
      <c r="H3480">
        <f>IF(OR(H3479=1,G3480=1),1,0)</f>
        <v/>
      </c>
      <c r="I3480">
        <f>IF(H3479=0,1,SUMPRODUCT(J3479:N3479,B3480:F3480)+O3479*(1+0.00023125256064071564))</f>
        <v/>
      </c>
      <c r="J3480">
        <f>IF(G3480=1,0.2*R3480/B3480,J3479)</f>
        <v/>
      </c>
      <c r="K3480">
        <f>IF(G3480=1,0.2*R3480/C3480,K3479)</f>
        <v/>
      </c>
      <c r="L3480">
        <f>IF(G3480=1,0.2*R3480/D3480,L3479)</f>
        <v/>
      </c>
      <c r="M3480">
        <f>IF(G3480=1,0.2*R3480/E3480,M3479)</f>
        <v/>
      </c>
      <c r="N3480">
        <f>IF(G3480=1,0.2*R3480/F3480,N3479)</f>
        <v/>
      </c>
      <c r="O3480">
        <f>IF(G3480=1,R3480*(1-1.0),IF(H3479=0,1,O3479*(1+0.00023125256064071564)))</f>
        <v/>
      </c>
      <c r="P3480">
        <f>IF(G3480=1,IF(H3479=0,1,ABS(0.2-J3479*B3480/I3480)+ABS(0.2-K3479*C3480/I3480)+ABS(0.2-L3479*D3480/I3480)+ABS(0.2-M3479*E3480/I3480)+ABS(0.2-N3479*F3480/I3480)),0)</f>
        <v/>
      </c>
      <c r="Q3480">
        <f>P3480*0.0015</f>
        <v/>
      </c>
      <c r="R3480">
        <f>I3480*(1-Q3480)</f>
        <v/>
      </c>
      <c r="S3480">
        <f>R3480/R3479-1</f>
        <v/>
      </c>
      <c r="T3480">
        <f>MAX(T3479,R3480)</f>
        <v/>
      </c>
      <c r="U3480">
        <f>R3480/T3480-1</f>
        <v/>
      </c>
      <c r="V3480" t="n">
        <v>9.016572800107609</v>
      </c>
      <c r="W3480" s="5">
        <f>R3480-V3480</f>
        <v/>
      </c>
    </row>
    <row r="3481">
      <c r="A3481" s="3" t="n">
        <v>43564</v>
      </c>
      <c r="B3481">
        <f>Prices!B3481</f>
        <v/>
      </c>
      <c r="C3481">
        <f>Prices!C3481</f>
        <v/>
      </c>
      <c r="D3481">
        <f>Prices!D3481</f>
        <v/>
      </c>
      <c r="E3481">
        <f>Prices!E3481</f>
        <v/>
      </c>
      <c r="F3481">
        <f>Prices!F3481</f>
        <v/>
      </c>
      <c r="G3481">
        <f>IF(AND(3479&gt;=16,TEXT(A3481,"yyyy-mm")&lt;&gt;TEXT(A3482,"yyyy-mm")),1,0)</f>
        <v/>
      </c>
      <c r="H3481">
        <f>IF(OR(H3480=1,G3481=1),1,0)</f>
        <v/>
      </c>
      <c r="I3481">
        <f>IF(H3480=0,1,SUMPRODUCT(J3480:N3480,B3481:F3481)+O3480*(1+0.00023125256064071564))</f>
        <v/>
      </c>
      <c r="J3481">
        <f>IF(G3481=1,0.2*R3481/B3481,J3480)</f>
        <v/>
      </c>
      <c r="K3481">
        <f>IF(G3481=1,0.2*R3481/C3481,K3480)</f>
        <v/>
      </c>
      <c r="L3481">
        <f>IF(G3481=1,0.2*R3481/D3481,L3480)</f>
        <v/>
      </c>
      <c r="M3481">
        <f>IF(G3481=1,0.2*R3481/E3481,M3480)</f>
        <v/>
      </c>
      <c r="N3481">
        <f>IF(G3481=1,0.2*R3481/F3481,N3480)</f>
        <v/>
      </c>
      <c r="O3481">
        <f>IF(G3481=1,R3481*(1-1.0),IF(H3480=0,1,O3480*(1+0.00023125256064071564)))</f>
        <v/>
      </c>
      <c r="P3481">
        <f>IF(G3481=1,IF(H3480=0,1,ABS(0.2-J3480*B3481/I3481)+ABS(0.2-K3480*C3481/I3481)+ABS(0.2-L3480*D3481/I3481)+ABS(0.2-M3480*E3481/I3481)+ABS(0.2-N3480*F3481/I3481)),0)</f>
        <v/>
      </c>
      <c r="Q3481">
        <f>P3481*0.0015</f>
        <v/>
      </c>
      <c r="R3481">
        <f>I3481*(1-Q3481)</f>
        <v/>
      </c>
      <c r="S3481">
        <f>R3481/R3480-1</f>
        <v/>
      </c>
      <c r="T3481">
        <f>MAX(T3480,R3481)</f>
        <v/>
      </c>
      <c r="U3481">
        <f>R3481/T3481-1</f>
        <v/>
      </c>
      <c r="V3481" t="n">
        <v>9.069459133679283</v>
      </c>
      <c r="W3481" s="5">
        <f>R3481-V3481</f>
        <v/>
      </c>
    </row>
    <row r="3482">
      <c r="A3482" s="3" t="n">
        <v>43565</v>
      </c>
      <c r="B3482">
        <f>Prices!B3482</f>
        <v/>
      </c>
      <c r="C3482">
        <f>Prices!C3482</f>
        <v/>
      </c>
      <c r="D3482">
        <f>Prices!D3482</f>
        <v/>
      </c>
      <c r="E3482">
        <f>Prices!E3482</f>
        <v/>
      </c>
      <c r="F3482">
        <f>Prices!F3482</f>
        <v/>
      </c>
      <c r="G3482">
        <f>IF(AND(3480&gt;=16,TEXT(A3482,"yyyy-mm")&lt;&gt;TEXT(A3483,"yyyy-mm")),1,0)</f>
        <v/>
      </c>
      <c r="H3482">
        <f>IF(OR(H3481=1,G3482=1),1,0)</f>
        <v/>
      </c>
      <c r="I3482">
        <f>IF(H3481=0,1,SUMPRODUCT(J3481:N3481,B3482:F3482)+O3481*(1+0.00023125256064071564))</f>
        <v/>
      </c>
      <c r="J3482">
        <f>IF(G3482=1,0.2*R3482/B3482,J3481)</f>
        <v/>
      </c>
      <c r="K3482">
        <f>IF(G3482=1,0.2*R3482/C3482,K3481)</f>
        <v/>
      </c>
      <c r="L3482">
        <f>IF(G3482=1,0.2*R3482/D3482,L3481)</f>
        <v/>
      </c>
      <c r="M3482">
        <f>IF(G3482=1,0.2*R3482/E3482,M3481)</f>
        <v/>
      </c>
      <c r="N3482">
        <f>IF(G3482=1,0.2*R3482/F3482,N3481)</f>
        <v/>
      </c>
      <c r="O3482">
        <f>IF(G3482=1,R3482*(1-1.0),IF(H3481=0,1,O3481*(1+0.00023125256064071564)))</f>
        <v/>
      </c>
      <c r="P3482">
        <f>IF(G3482=1,IF(H3481=0,1,ABS(0.2-J3481*B3482/I3482)+ABS(0.2-K3481*C3482/I3482)+ABS(0.2-L3481*D3482/I3482)+ABS(0.2-M3481*E3482/I3482)+ABS(0.2-N3481*F3482/I3482)),0)</f>
        <v/>
      </c>
      <c r="Q3482">
        <f>P3482*0.0015</f>
        <v/>
      </c>
      <c r="R3482">
        <f>I3482*(1-Q3482)</f>
        <v/>
      </c>
      <c r="S3482">
        <f>R3482/R3481-1</f>
        <v/>
      </c>
      <c r="T3482">
        <f>MAX(T3481,R3482)</f>
        <v/>
      </c>
      <c r="U3482">
        <f>R3482/T3482-1</f>
        <v/>
      </c>
      <c r="V3482" t="n">
        <v>9.046476331618495</v>
      </c>
      <c r="W3482" s="5">
        <f>R3482-V3482</f>
        <v/>
      </c>
    </row>
    <row r="3483">
      <c r="A3483" s="3" t="n">
        <v>43566</v>
      </c>
      <c r="B3483">
        <f>Prices!B3483</f>
        <v/>
      </c>
      <c r="C3483">
        <f>Prices!C3483</f>
        <v/>
      </c>
      <c r="D3483">
        <f>Prices!D3483</f>
        <v/>
      </c>
      <c r="E3483">
        <f>Prices!E3483</f>
        <v/>
      </c>
      <c r="F3483">
        <f>Prices!F3483</f>
        <v/>
      </c>
      <c r="G3483">
        <f>IF(AND(3481&gt;=16,TEXT(A3483,"yyyy-mm")&lt;&gt;TEXT(A3484,"yyyy-mm")),1,0)</f>
        <v/>
      </c>
      <c r="H3483">
        <f>IF(OR(H3482=1,G3483=1),1,0)</f>
        <v/>
      </c>
      <c r="I3483">
        <f>IF(H3482=0,1,SUMPRODUCT(J3482:N3482,B3483:F3483)+O3482*(1+0.00023125256064071564))</f>
        <v/>
      </c>
      <c r="J3483">
        <f>IF(G3483=1,0.2*R3483/B3483,J3482)</f>
        <v/>
      </c>
      <c r="K3483">
        <f>IF(G3483=1,0.2*R3483/C3483,K3482)</f>
        <v/>
      </c>
      <c r="L3483">
        <f>IF(G3483=1,0.2*R3483/D3483,L3482)</f>
        <v/>
      </c>
      <c r="M3483">
        <f>IF(G3483=1,0.2*R3483/E3483,M3482)</f>
        <v/>
      </c>
      <c r="N3483">
        <f>IF(G3483=1,0.2*R3483/F3483,N3482)</f>
        <v/>
      </c>
      <c r="O3483">
        <f>IF(G3483=1,R3483*(1-1.0),IF(H3482=0,1,O3482*(1+0.00023125256064071564)))</f>
        <v/>
      </c>
      <c r="P3483">
        <f>IF(G3483=1,IF(H3482=0,1,ABS(0.2-J3482*B3483/I3483)+ABS(0.2-K3482*C3483/I3483)+ABS(0.2-L3482*D3483/I3483)+ABS(0.2-M3482*E3483/I3483)+ABS(0.2-N3482*F3483/I3483)),0)</f>
        <v/>
      </c>
      <c r="Q3483">
        <f>P3483*0.0015</f>
        <v/>
      </c>
      <c r="R3483">
        <f>I3483*(1-Q3483)</f>
        <v/>
      </c>
      <c r="S3483">
        <f>R3483/R3482-1</f>
        <v/>
      </c>
      <c r="T3483">
        <f>MAX(T3482,R3483)</f>
        <v/>
      </c>
      <c r="U3483">
        <f>R3483/T3483-1</f>
        <v/>
      </c>
      <c r="V3483" t="n">
        <v>9.055401828113865</v>
      </c>
      <c r="W3483" s="5">
        <f>R3483-V3483</f>
        <v/>
      </c>
    </row>
    <row r="3484">
      <c r="A3484" s="3" t="n">
        <v>43567</v>
      </c>
      <c r="B3484">
        <f>Prices!B3484</f>
        <v/>
      </c>
      <c r="C3484">
        <f>Prices!C3484</f>
        <v/>
      </c>
      <c r="D3484">
        <f>Prices!D3484</f>
        <v/>
      </c>
      <c r="E3484">
        <f>Prices!E3484</f>
        <v/>
      </c>
      <c r="F3484">
        <f>Prices!F3484</f>
        <v/>
      </c>
      <c r="G3484">
        <f>IF(AND(3482&gt;=16,TEXT(A3484,"yyyy-mm")&lt;&gt;TEXT(A3485,"yyyy-mm")),1,0)</f>
        <v/>
      </c>
      <c r="H3484">
        <f>IF(OR(H3483=1,G3484=1),1,0)</f>
        <v/>
      </c>
      <c r="I3484">
        <f>IF(H3483=0,1,SUMPRODUCT(J3483:N3483,B3484:F3484)+O3483*(1+0.00023125256064071564))</f>
        <v/>
      </c>
      <c r="J3484">
        <f>IF(G3484=1,0.2*R3484/B3484,J3483)</f>
        <v/>
      </c>
      <c r="K3484">
        <f>IF(G3484=1,0.2*R3484/C3484,K3483)</f>
        <v/>
      </c>
      <c r="L3484">
        <f>IF(G3484=1,0.2*R3484/D3484,L3483)</f>
        <v/>
      </c>
      <c r="M3484">
        <f>IF(G3484=1,0.2*R3484/E3484,M3483)</f>
        <v/>
      </c>
      <c r="N3484">
        <f>IF(G3484=1,0.2*R3484/F3484,N3483)</f>
        <v/>
      </c>
      <c r="O3484">
        <f>IF(G3484=1,R3484*(1-1.0),IF(H3483=0,1,O3483*(1+0.00023125256064071564)))</f>
        <v/>
      </c>
      <c r="P3484">
        <f>IF(G3484=1,IF(H3483=0,1,ABS(0.2-J3483*B3484/I3484)+ABS(0.2-K3483*C3484/I3484)+ABS(0.2-L3483*D3484/I3484)+ABS(0.2-M3483*E3484/I3484)+ABS(0.2-N3483*F3484/I3484)),0)</f>
        <v/>
      </c>
      <c r="Q3484">
        <f>P3484*0.0015</f>
        <v/>
      </c>
      <c r="R3484">
        <f>I3484*(1-Q3484)</f>
        <v/>
      </c>
      <c r="S3484">
        <f>R3484/R3483-1</f>
        <v/>
      </c>
      <c r="T3484">
        <f>MAX(T3483,R3484)</f>
        <v/>
      </c>
      <c r="U3484">
        <f>R3484/T3484-1</f>
        <v/>
      </c>
      <c r="V3484" t="n">
        <v>9.088749830895228</v>
      </c>
      <c r="W3484" s="5">
        <f>R3484-V3484</f>
        <v/>
      </c>
    </row>
    <row r="3485">
      <c r="A3485" s="3" t="n">
        <v>43570</v>
      </c>
      <c r="B3485">
        <f>Prices!B3485</f>
        <v/>
      </c>
      <c r="C3485">
        <f>Prices!C3485</f>
        <v/>
      </c>
      <c r="D3485">
        <f>Prices!D3485</f>
        <v/>
      </c>
      <c r="E3485">
        <f>Prices!E3485</f>
        <v/>
      </c>
      <c r="F3485">
        <f>Prices!F3485</f>
        <v/>
      </c>
      <c r="G3485">
        <f>IF(AND(3483&gt;=16,TEXT(A3485,"yyyy-mm")&lt;&gt;TEXT(A3486,"yyyy-mm")),1,0)</f>
        <v/>
      </c>
      <c r="H3485">
        <f>IF(OR(H3484=1,G3485=1),1,0)</f>
        <v/>
      </c>
      <c r="I3485">
        <f>IF(H3484=0,1,SUMPRODUCT(J3484:N3484,B3485:F3485)+O3484*(1+0.00023125256064071564))</f>
        <v/>
      </c>
      <c r="J3485">
        <f>IF(G3485=1,0.2*R3485/B3485,J3484)</f>
        <v/>
      </c>
      <c r="K3485">
        <f>IF(G3485=1,0.2*R3485/C3485,K3484)</f>
        <v/>
      </c>
      <c r="L3485">
        <f>IF(G3485=1,0.2*R3485/D3485,L3484)</f>
        <v/>
      </c>
      <c r="M3485">
        <f>IF(G3485=1,0.2*R3485/E3485,M3484)</f>
        <v/>
      </c>
      <c r="N3485">
        <f>IF(G3485=1,0.2*R3485/F3485,N3484)</f>
        <v/>
      </c>
      <c r="O3485">
        <f>IF(G3485=1,R3485*(1-1.0),IF(H3484=0,1,O3484*(1+0.00023125256064071564)))</f>
        <v/>
      </c>
      <c r="P3485">
        <f>IF(G3485=1,IF(H3484=0,1,ABS(0.2-J3484*B3485/I3485)+ABS(0.2-K3484*C3485/I3485)+ABS(0.2-L3484*D3485/I3485)+ABS(0.2-M3484*E3485/I3485)+ABS(0.2-N3484*F3485/I3485)),0)</f>
        <v/>
      </c>
      <c r="Q3485">
        <f>P3485*0.0015</f>
        <v/>
      </c>
      <c r="R3485">
        <f>I3485*(1-Q3485)</f>
        <v/>
      </c>
      <c r="S3485">
        <f>R3485/R3484-1</f>
        <v/>
      </c>
      <c r="T3485">
        <f>MAX(T3484,R3485)</f>
        <v/>
      </c>
      <c r="U3485">
        <f>R3485/T3485-1</f>
        <v/>
      </c>
      <c r="V3485" t="n">
        <v>9.139038315856871</v>
      </c>
      <c r="W3485" s="5">
        <f>R3485-V3485</f>
        <v/>
      </c>
    </row>
    <row r="3486">
      <c r="A3486" s="3" t="n">
        <v>43571</v>
      </c>
      <c r="B3486">
        <f>Prices!B3486</f>
        <v/>
      </c>
      <c r="C3486">
        <f>Prices!C3486</f>
        <v/>
      </c>
      <c r="D3486">
        <f>Prices!D3486</f>
        <v/>
      </c>
      <c r="E3486">
        <f>Prices!E3486</f>
        <v/>
      </c>
      <c r="F3486">
        <f>Prices!F3486</f>
        <v/>
      </c>
      <c r="G3486">
        <f>IF(AND(3484&gt;=16,TEXT(A3486,"yyyy-mm")&lt;&gt;TEXT(A3487,"yyyy-mm")),1,0)</f>
        <v/>
      </c>
      <c r="H3486">
        <f>IF(OR(H3485=1,G3486=1),1,0)</f>
        <v/>
      </c>
      <c r="I3486">
        <f>IF(H3485=0,1,SUMPRODUCT(J3485:N3485,B3486:F3486)+O3485*(1+0.00023125256064071564))</f>
        <v/>
      </c>
      <c r="J3486">
        <f>IF(G3486=1,0.2*R3486/B3486,J3485)</f>
        <v/>
      </c>
      <c r="K3486">
        <f>IF(G3486=1,0.2*R3486/C3486,K3485)</f>
        <v/>
      </c>
      <c r="L3486">
        <f>IF(G3486=1,0.2*R3486/D3486,L3485)</f>
        <v/>
      </c>
      <c r="M3486">
        <f>IF(G3486=1,0.2*R3486/E3486,M3485)</f>
        <v/>
      </c>
      <c r="N3486">
        <f>IF(G3486=1,0.2*R3486/F3486,N3485)</f>
        <v/>
      </c>
      <c r="O3486">
        <f>IF(G3486=1,R3486*(1-1.0),IF(H3485=0,1,O3485*(1+0.00023125256064071564)))</f>
        <v/>
      </c>
      <c r="P3486">
        <f>IF(G3486=1,IF(H3485=0,1,ABS(0.2-J3485*B3486/I3486)+ABS(0.2-K3485*C3486/I3486)+ABS(0.2-L3485*D3486/I3486)+ABS(0.2-M3485*E3486/I3486)+ABS(0.2-N3485*F3486/I3486)),0)</f>
        <v/>
      </c>
      <c r="Q3486">
        <f>P3486*0.0015</f>
        <v/>
      </c>
      <c r="R3486">
        <f>I3486*(1-Q3486)</f>
        <v/>
      </c>
      <c r="S3486">
        <f>R3486/R3485-1</f>
        <v/>
      </c>
      <c r="T3486">
        <f>MAX(T3485,R3486)</f>
        <v/>
      </c>
      <c r="U3486">
        <f>R3486/T3486-1</f>
        <v/>
      </c>
      <c r="V3486" t="n">
        <v>9.17241942814209</v>
      </c>
      <c r="W3486" s="5">
        <f>R3486-V3486</f>
        <v/>
      </c>
    </row>
    <row r="3487">
      <c r="A3487" s="3" t="n">
        <v>43573</v>
      </c>
      <c r="B3487">
        <f>Prices!B3487</f>
        <v/>
      </c>
      <c r="C3487">
        <f>Prices!C3487</f>
        <v/>
      </c>
      <c r="D3487">
        <f>Prices!D3487</f>
        <v/>
      </c>
      <c r="E3487">
        <f>Prices!E3487</f>
        <v/>
      </c>
      <c r="F3487">
        <f>Prices!F3487</f>
        <v/>
      </c>
      <c r="G3487">
        <f>IF(AND(3485&gt;=16,TEXT(A3487,"yyyy-mm")&lt;&gt;TEXT(A3488,"yyyy-mm")),1,0)</f>
        <v/>
      </c>
      <c r="H3487">
        <f>IF(OR(H3486=1,G3487=1),1,0)</f>
        <v/>
      </c>
      <c r="I3487">
        <f>IF(H3486=0,1,SUMPRODUCT(J3486:N3486,B3487:F3487)+O3486*(1+0.00023125256064071564))</f>
        <v/>
      </c>
      <c r="J3487">
        <f>IF(G3487=1,0.2*R3487/B3487,J3486)</f>
        <v/>
      </c>
      <c r="K3487">
        <f>IF(G3487=1,0.2*R3487/C3487,K3486)</f>
        <v/>
      </c>
      <c r="L3487">
        <f>IF(G3487=1,0.2*R3487/D3487,L3486)</f>
        <v/>
      </c>
      <c r="M3487">
        <f>IF(G3487=1,0.2*R3487/E3487,M3486)</f>
        <v/>
      </c>
      <c r="N3487">
        <f>IF(G3487=1,0.2*R3487/F3487,N3486)</f>
        <v/>
      </c>
      <c r="O3487">
        <f>IF(G3487=1,R3487*(1-1.0),IF(H3486=0,1,O3486*(1+0.00023125256064071564)))</f>
        <v/>
      </c>
      <c r="P3487">
        <f>IF(G3487=1,IF(H3486=0,1,ABS(0.2-J3486*B3487/I3487)+ABS(0.2-K3486*C3487/I3487)+ABS(0.2-L3486*D3487/I3487)+ABS(0.2-M3486*E3487/I3487)+ABS(0.2-N3486*F3487/I3487)),0)</f>
        <v/>
      </c>
      <c r="Q3487">
        <f>P3487*0.0015</f>
        <v/>
      </c>
      <c r="R3487">
        <f>I3487*(1-Q3487)</f>
        <v/>
      </c>
      <c r="S3487">
        <f>R3487/R3486-1</f>
        <v/>
      </c>
      <c r="T3487">
        <f>MAX(T3486,R3487)</f>
        <v/>
      </c>
      <c r="U3487">
        <f>R3487/T3487-1</f>
        <v/>
      </c>
      <c r="V3487" t="n">
        <v>9.129893568769196</v>
      </c>
      <c r="W3487" s="5">
        <f>R3487-V3487</f>
        <v/>
      </c>
    </row>
    <row r="3488">
      <c r="A3488" s="3" t="n">
        <v>43577</v>
      </c>
      <c r="B3488">
        <f>Prices!B3488</f>
        <v/>
      </c>
      <c r="C3488">
        <f>Prices!C3488</f>
        <v/>
      </c>
      <c r="D3488">
        <f>Prices!D3488</f>
        <v/>
      </c>
      <c r="E3488">
        <f>Prices!E3488</f>
        <v/>
      </c>
      <c r="F3488">
        <f>Prices!F3488</f>
        <v/>
      </c>
      <c r="G3488">
        <f>IF(AND(3486&gt;=16,TEXT(A3488,"yyyy-mm")&lt;&gt;TEXT(A3489,"yyyy-mm")),1,0)</f>
        <v/>
      </c>
      <c r="H3488">
        <f>IF(OR(H3487=1,G3488=1),1,0)</f>
        <v/>
      </c>
      <c r="I3488">
        <f>IF(H3487=0,1,SUMPRODUCT(J3487:N3487,B3488:F3488)+O3487*(1+0.00023125256064071564))</f>
        <v/>
      </c>
      <c r="J3488">
        <f>IF(G3488=1,0.2*R3488/B3488,J3487)</f>
        <v/>
      </c>
      <c r="K3488">
        <f>IF(G3488=1,0.2*R3488/C3488,K3487)</f>
        <v/>
      </c>
      <c r="L3488">
        <f>IF(G3488=1,0.2*R3488/D3488,L3487)</f>
        <v/>
      </c>
      <c r="M3488">
        <f>IF(G3488=1,0.2*R3488/E3488,M3487)</f>
        <v/>
      </c>
      <c r="N3488">
        <f>IF(G3488=1,0.2*R3488/F3488,N3487)</f>
        <v/>
      </c>
      <c r="O3488">
        <f>IF(G3488=1,R3488*(1-1.0),IF(H3487=0,1,O3487*(1+0.00023125256064071564)))</f>
        <v/>
      </c>
      <c r="P3488">
        <f>IF(G3488=1,IF(H3487=0,1,ABS(0.2-J3487*B3488/I3488)+ABS(0.2-K3487*C3488/I3488)+ABS(0.2-L3487*D3488/I3488)+ABS(0.2-M3487*E3488/I3488)+ABS(0.2-N3487*F3488/I3488)),0)</f>
        <v/>
      </c>
      <c r="Q3488">
        <f>P3488*0.0015</f>
        <v/>
      </c>
      <c r="R3488">
        <f>I3488*(1-Q3488)</f>
        <v/>
      </c>
      <c r="S3488">
        <f>R3488/R3487-1</f>
        <v/>
      </c>
      <c r="T3488">
        <f>MAX(T3487,R3488)</f>
        <v/>
      </c>
      <c r="U3488">
        <f>R3488/T3488-1</f>
        <v/>
      </c>
      <c r="V3488" t="n">
        <v>9.011308380439516</v>
      </c>
      <c r="W3488" s="5">
        <f>R3488-V3488</f>
        <v/>
      </c>
    </row>
    <row r="3489">
      <c r="A3489" s="3" t="n">
        <v>43578</v>
      </c>
      <c r="B3489">
        <f>Prices!B3489</f>
        <v/>
      </c>
      <c r="C3489">
        <f>Prices!C3489</f>
        <v/>
      </c>
      <c r="D3489">
        <f>Prices!D3489</f>
        <v/>
      </c>
      <c r="E3489">
        <f>Prices!E3489</f>
        <v/>
      </c>
      <c r="F3489">
        <f>Prices!F3489</f>
        <v/>
      </c>
      <c r="G3489">
        <f>IF(AND(3487&gt;=16,TEXT(A3489,"yyyy-mm")&lt;&gt;TEXT(A3490,"yyyy-mm")),1,0)</f>
        <v/>
      </c>
      <c r="H3489">
        <f>IF(OR(H3488=1,G3489=1),1,0)</f>
        <v/>
      </c>
      <c r="I3489">
        <f>IF(H3488=0,1,SUMPRODUCT(J3488:N3488,B3489:F3489)+O3488*(1+0.00023125256064071564))</f>
        <v/>
      </c>
      <c r="J3489">
        <f>IF(G3489=1,0.2*R3489/B3489,J3488)</f>
        <v/>
      </c>
      <c r="K3489">
        <f>IF(G3489=1,0.2*R3489/C3489,K3488)</f>
        <v/>
      </c>
      <c r="L3489">
        <f>IF(G3489=1,0.2*R3489/D3489,L3488)</f>
        <v/>
      </c>
      <c r="M3489">
        <f>IF(G3489=1,0.2*R3489/E3489,M3488)</f>
        <v/>
      </c>
      <c r="N3489">
        <f>IF(G3489=1,0.2*R3489/F3489,N3488)</f>
        <v/>
      </c>
      <c r="O3489">
        <f>IF(G3489=1,R3489*(1-1.0),IF(H3488=0,1,O3488*(1+0.00023125256064071564)))</f>
        <v/>
      </c>
      <c r="P3489">
        <f>IF(G3489=1,IF(H3488=0,1,ABS(0.2-J3488*B3489/I3489)+ABS(0.2-K3488*C3489/I3489)+ABS(0.2-L3488*D3489/I3489)+ABS(0.2-M3488*E3489/I3489)+ABS(0.2-N3488*F3489/I3489)),0)</f>
        <v/>
      </c>
      <c r="Q3489">
        <f>P3489*0.0015</f>
        <v/>
      </c>
      <c r="R3489">
        <f>I3489*(1-Q3489)</f>
        <v/>
      </c>
      <c r="S3489">
        <f>R3489/R3488-1</f>
        <v/>
      </c>
      <c r="T3489">
        <f>MAX(T3488,R3489)</f>
        <v/>
      </c>
      <c r="U3489">
        <f>R3489/T3489-1</f>
        <v/>
      </c>
      <c r="V3489" t="n">
        <v>9.011499879522521</v>
      </c>
      <c r="W3489" s="5">
        <f>R3489-V3489</f>
        <v/>
      </c>
    </row>
    <row r="3490">
      <c r="A3490" s="3" t="n">
        <v>43579</v>
      </c>
      <c r="B3490">
        <f>Prices!B3490</f>
        <v/>
      </c>
      <c r="C3490">
        <f>Prices!C3490</f>
        <v/>
      </c>
      <c r="D3490">
        <f>Prices!D3490</f>
        <v/>
      </c>
      <c r="E3490">
        <f>Prices!E3490</f>
        <v/>
      </c>
      <c r="F3490">
        <f>Prices!F3490</f>
        <v/>
      </c>
      <c r="G3490">
        <f>IF(AND(3488&gt;=16,TEXT(A3490,"yyyy-mm")&lt;&gt;TEXT(A3491,"yyyy-mm")),1,0)</f>
        <v/>
      </c>
      <c r="H3490">
        <f>IF(OR(H3489=1,G3490=1),1,0)</f>
        <v/>
      </c>
      <c r="I3490">
        <f>IF(H3489=0,1,SUMPRODUCT(J3489:N3489,B3490:F3490)+O3489*(1+0.00023125256064071564))</f>
        <v/>
      </c>
      <c r="J3490">
        <f>IF(G3490=1,0.2*R3490/B3490,J3489)</f>
        <v/>
      </c>
      <c r="K3490">
        <f>IF(G3490=1,0.2*R3490/C3490,K3489)</f>
        <v/>
      </c>
      <c r="L3490">
        <f>IF(G3490=1,0.2*R3490/D3490,L3489)</f>
        <v/>
      </c>
      <c r="M3490">
        <f>IF(G3490=1,0.2*R3490/E3490,M3489)</f>
        <v/>
      </c>
      <c r="N3490">
        <f>IF(G3490=1,0.2*R3490/F3490,N3489)</f>
        <v/>
      </c>
      <c r="O3490">
        <f>IF(G3490=1,R3490*(1-1.0),IF(H3489=0,1,O3489*(1+0.00023125256064071564)))</f>
        <v/>
      </c>
      <c r="P3490">
        <f>IF(G3490=1,IF(H3489=0,1,ABS(0.2-J3489*B3490/I3490)+ABS(0.2-K3489*C3490/I3490)+ABS(0.2-L3489*D3490/I3490)+ABS(0.2-M3489*E3490/I3490)+ABS(0.2-N3489*F3490/I3490)),0)</f>
        <v/>
      </c>
      <c r="Q3490">
        <f>P3490*0.0015</f>
        <v/>
      </c>
      <c r="R3490">
        <f>I3490*(1-Q3490)</f>
        <v/>
      </c>
      <c r="S3490">
        <f>R3490/R3489-1</f>
        <v/>
      </c>
      <c r="T3490">
        <f>MAX(T3489,R3490)</f>
        <v/>
      </c>
      <c r="U3490">
        <f>R3490/T3490-1</f>
        <v/>
      </c>
      <c r="V3490" t="n">
        <v>9.104233596251751</v>
      </c>
      <c r="W3490" s="5">
        <f>R3490-V3490</f>
        <v/>
      </c>
    </row>
    <row r="3491">
      <c r="A3491" s="3" t="n">
        <v>43580</v>
      </c>
      <c r="B3491">
        <f>Prices!B3491</f>
        <v/>
      </c>
      <c r="C3491">
        <f>Prices!C3491</f>
        <v/>
      </c>
      <c r="D3491">
        <f>Prices!D3491</f>
        <v/>
      </c>
      <c r="E3491">
        <f>Prices!E3491</f>
        <v/>
      </c>
      <c r="F3491">
        <f>Prices!F3491</f>
        <v/>
      </c>
      <c r="G3491">
        <f>IF(AND(3489&gt;=16,TEXT(A3491,"yyyy-mm")&lt;&gt;TEXT(A3492,"yyyy-mm")),1,0)</f>
        <v/>
      </c>
      <c r="H3491">
        <f>IF(OR(H3490=1,G3491=1),1,0)</f>
        <v/>
      </c>
      <c r="I3491">
        <f>IF(H3490=0,1,SUMPRODUCT(J3490:N3490,B3491:F3491)+O3490*(1+0.00023125256064071564))</f>
        <v/>
      </c>
      <c r="J3491">
        <f>IF(G3491=1,0.2*R3491/B3491,J3490)</f>
        <v/>
      </c>
      <c r="K3491">
        <f>IF(G3491=1,0.2*R3491/C3491,K3490)</f>
        <v/>
      </c>
      <c r="L3491">
        <f>IF(G3491=1,0.2*R3491/D3491,L3490)</f>
        <v/>
      </c>
      <c r="M3491">
        <f>IF(G3491=1,0.2*R3491/E3491,M3490)</f>
        <v/>
      </c>
      <c r="N3491">
        <f>IF(G3491=1,0.2*R3491/F3491,N3490)</f>
        <v/>
      </c>
      <c r="O3491">
        <f>IF(G3491=1,R3491*(1-1.0),IF(H3490=0,1,O3490*(1+0.00023125256064071564)))</f>
        <v/>
      </c>
      <c r="P3491">
        <f>IF(G3491=1,IF(H3490=0,1,ABS(0.2-J3490*B3491/I3491)+ABS(0.2-K3490*C3491/I3491)+ABS(0.2-L3490*D3491/I3491)+ABS(0.2-M3490*E3491/I3491)+ABS(0.2-N3490*F3491/I3491)),0)</f>
        <v/>
      </c>
      <c r="Q3491">
        <f>P3491*0.0015</f>
        <v/>
      </c>
      <c r="R3491">
        <f>I3491*(1-Q3491)</f>
        <v/>
      </c>
      <c r="S3491">
        <f>R3491/R3490-1</f>
        <v/>
      </c>
      <c r="T3491">
        <f>MAX(T3490,R3491)</f>
        <v/>
      </c>
      <c r="U3491">
        <f>R3491/T3491-1</f>
        <v/>
      </c>
      <c r="V3491" t="n">
        <v>9.06394202295381</v>
      </c>
      <c r="W3491" s="5">
        <f>R3491-V3491</f>
        <v/>
      </c>
    </row>
    <row r="3492">
      <c r="A3492" s="3" t="n">
        <v>43581</v>
      </c>
      <c r="B3492">
        <f>Prices!B3492</f>
        <v/>
      </c>
      <c r="C3492">
        <f>Prices!C3492</f>
        <v/>
      </c>
      <c r="D3492">
        <f>Prices!D3492</f>
        <v/>
      </c>
      <c r="E3492">
        <f>Prices!E3492</f>
        <v/>
      </c>
      <c r="F3492">
        <f>Prices!F3492</f>
        <v/>
      </c>
      <c r="G3492">
        <f>IF(AND(3490&gt;=16,TEXT(A3492,"yyyy-mm")&lt;&gt;TEXT(A3493,"yyyy-mm")),1,0)</f>
        <v/>
      </c>
      <c r="H3492">
        <f>IF(OR(H3491=1,G3492=1),1,0)</f>
        <v/>
      </c>
      <c r="I3492">
        <f>IF(H3491=0,1,SUMPRODUCT(J3491:N3491,B3492:F3492)+O3491*(1+0.00023125256064071564))</f>
        <v/>
      </c>
      <c r="J3492">
        <f>IF(G3492=1,0.2*R3492/B3492,J3491)</f>
        <v/>
      </c>
      <c r="K3492">
        <f>IF(G3492=1,0.2*R3492/C3492,K3491)</f>
        <v/>
      </c>
      <c r="L3492">
        <f>IF(G3492=1,0.2*R3492/D3492,L3491)</f>
        <v/>
      </c>
      <c r="M3492">
        <f>IF(G3492=1,0.2*R3492/E3492,M3491)</f>
        <v/>
      </c>
      <c r="N3492">
        <f>IF(G3492=1,0.2*R3492/F3492,N3491)</f>
        <v/>
      </c>
      <c r="O3492">
        <f>IF(G3492=1,R3492*(1-1.0),IF(H3491=0,1,O3491*(1+0.00023125256064071564)))</f>
        <v/>
      </c>
      <c r="P3492">
        <f>IF(G3492=1,IF(H3491=0,1,ABS(0.2-J3491*B3492/I3492)+ABS(0.2-K3491*C3492/I3492)+ABS(0.2-L3491*D3492/I3492)+ABS(0.2-M3491*E3492/I3492)+ABS(0.2-N3491*F3492/I3492)),0)</f>
        <v/>
      </c>
      <c r="Q3492">
        <f>P3492*0.0015</f>
        <v/>
      </c>
      <c r="R3492">
        <f>I3492*(1-Q3492)</f>
        <v/>
      </c>
      <c r="S3492">
        <f>R3492/R3491-1</f>
        <v/>
      </c>
      <c r="T3492">
        <f>MAX(T3491,R3492)</f>
        <v/>
      </c>
      <c r="U3492">
        <f>R3492/T3492-1</f>
        <v/>
      </c>
      <c r="V3492" t="n">
        <v>9.088955286573047</v>
      </c>
      <c r="W3492" s="5">
        <f>R3492-V3492</f>
        <v/>
      </c>
    </row>
    <row r="3493">
      <c r="A3493" s="3" t="n">
        <v>43585</v>
      </c>
      <c r="B3493">
        <f>Prices!B3493</f>
        <v/>
      </c>
      <c r="C3493">
        <f>Prices!C3493</f>
        <v/>
      </c>
      <c r="D3493">
        <f>Prices!D3493</f>
        <v/>
      </c>
      <c r="E3493">
        <f>Prices!E3493</f>
        <v/>
      </c>
      <c r="F3493">
        <f>Prices!F3493</f>
        <v/>
      </c>
      <c r="G3493">
        <f>IF(AND(3491&gt;=16,TEXT(A3493,"yyyy-mm")&lt;&gt;TEXT(A3494,"yyyy-mm")),1,0)</f>
        <v/>
      </c>
      <c r="H3493">
        <f>IF(OR(H3492=1,G3493=1),1,0)</f>
        <v/>
      </c>
      <c r="I3493">
        <f>IF(H3492=0,1,SUMPRODUCT(J3492:N3492,B3493:F3493)+O3492*(1+0.00023125256064071564))</f>
        <v/>
      </c>
      <c r="J3493">
        <f>IF(G3493=1,0.2*R3493/B3493,J3492)</f>
        <v/>
      </c>
      <c r="K3493">
        <f>IF(G3493=1,0.2*R3493/C3493,K3492)</f>
        <v/>
      </c>
      <c r="L3493">
        <f>IF(G3493=1,0.2*R3493/D3493,L3492)</f>
        <v/>
      </c>
      <c r="M3493">
        <f>IF(G3493=1,0.2*R3493/E3493,M3492)</f>
        <v/>
      </c>
      <c r="N3493">
        <f>IF(G3493=1,0.2*R3493/F3493,N3492)</f>
        <v/>
      </c>
      <c r="O3493">
        <f>IF(G3493=1,R3493*(1-1.0),IF(H3492=0,1,O3492*(1+0.00023125256064071564)))</f>
        <v/>
      </c>
      <c r="P3493">
        <f>IF(G3493=1,IF(H3492=0,1,ABS(0.2-J3492*B3493/I3493)+ABS(0.2-K3492*C3493/I3493)+ABS(0.2-L3492*D3493/I3493)+ABS(0.2-M3492*E3493/I3493)+ABS(0.2-N3492*F3493/I3493)),0)</f>
        <v/>
      </c>
      <c r="Q3493">
        <f>P3493*0.0015</f>
        <v/>
      </c>
      <c r="R3493">
        <f>I3493*(1-Q3493)</f>
        <v/>
      </c>
      <c r="S3493">
        <f>R3493/R3492-1</f>
        <v/>
      </c>
      <c r="T3493">
        <f>MAX(T3492,R3493)</f>
        <v/>
      </c>
      <c r="U3493">
        <f>R3493/T3493-1</f>
        <v/>
      </c>
      <c r="V3493" t="n">
        <v>9.076930999723547</v>
      </c>
      <c r="W3493" s="5">
        <f>R3493-V3493</f>
        <v/>
      </c>
    </row>
    <row r="3494">
      <c r="A3494" s="3" t="n">
        <v>43587</v>
      </c>
      <c r="B3494">
        <f>Prices!B3494</f>
        <v/>
      </c>
      <c r="C3494">
        <f>Prices!C3494</f>
        <v/>
      </c>
      <c r="D3494">
        <f>Prices!D3494</f>
        <v/>
      </c>
      <c r="E3494">
        <f>Prices!E3494</f>
        <v/>
      </c>
      <c r="F3494">
        <f>Prices!F3494</f>
        <v/>
      </c>
      <c r="G3494">
        <f>IF(AND(3492&gt;=16,TEXT(A3494,"yyyy-mm")&lt;&gt;TEXT(A3495,"yyyy-mm")),1,0)</f>
        <v/>
      </c>
      <c r="H3494">
        <f>IF(OR(H3493=1,G3494=1),1,0)</f>
        <v/>
      </c>
      <c r="I3494">
        <f>IF(H3493=0,1,SUMPRODUCT(J3493:N3493,B3494:F3494)+O3493*(1+0.00023125256064071564))</f>
        <v/>
      </c>
      <c r="J3494">
        <f>IF(G3494=1,0.2*R3494/B3494,J3493)</f>
        <v/>
      </c>
      <c r="K3494">
        <f>IF(G3494=1,0.2*R3494/C3494,K3493)</f>
        <v/>
      </c>
      <c r="L3494">
        <f>IF(G3494=1,0.2*R3494/D3494,L3493)</f>
        <v/>
      </c>
      <c r="M3494">
        <f>IF(G3494=1,0.2*R3494/E3494,M3493)</f>
        <v/>
      </c>
      <c r="N3494">
        <f>IF(G3494=1,0.2*R3494/F3494,N3493)</f>
        <v/>
      </c>
      <c r="O3494">
        <f>IF(G3494=1,R3494*(1-1.0),IF(H3493=0,1,O3493*(1+0.00023125256064071564)))</f>
        <v/>
      </c>
      <c r="P3494">
        <f>IF(G3494=1,IF(H3493=0,1,ABS(0.2-J3493*B3494/I3494)+ABS(0.2-K3493*C3494/I3494)+ABS(0.2-L3493*D3494/I3494)+ABS(0.2-M3493*E3494/I3494)+ABS(0.2-N3493*F3494/I3494)),0)</f>
        <v/>
      </c>
      <c r="Q3494">
        <f>P3494*0.0015</f>
        <v/>
      </c>
      <c r="R3494">
        <f>I3494*(1-Q3494)</f>
        <v/>
      </c>
      <c r="S3494">
        <f>R3494/R3493-1</f>
        <v/>
      </c>
      <c r="T3494">
        <f>MAX(T3493,R3494)</f>
        <v/>
      </c>
      <c r="U3494">
        <f>R3494/T3494-1</f>
        <v/>
      </c>
      <c r="V3494" t="n">
        <v>9.015742180054474</v>
      </c>
      <c r="W3494" s="5">
        <f>R3494-V3494</f>
        <v/>
      </c>
    </row>
    <row r="3495">
      <c r="A3495" s="3" t="n">
        <v>43588</v>
      </c>
      <c r="B3495">
        <f>Prices!B3495</f>
        <v/>
      </c>
      <c r="C3495">
        <f>Prices!C3495</f>
        <v/>
      </c>
      <c r="D3495">
        <f>Prices!D3495</f>
        <v/>
      </c>
      <c r="E3495">
        <f>Prices!E3495</f>
        <v/>
      </c>
      <c r="F3495">
        <f>Prices!F3495</f>
        <v/>
      </c>
      <c r="G3495">
        <f>IF(AND(3493&gt;=16,TEXT(A3495,"yyyy-mm")&lt;&gt;TEXT(A3496,"yyyy-mm")),1,0)</f>
        <v/>
      </c>
      <c r="H3495">
        <f>IF(OR(H3494=1,G3495=1),1,0)</f>
        <v/>
      </c>
      <c r="I3495">
        <f>IF(H3494=0,1,SUMPRODUCT(J3494:N3494,B3495:F3495)+O3494*(1+0.00023125256064071564))</f>
        <v/>
      </c>
      <c r="J3495">
        <f>IF(G3495=1,0.2*R3495/B3495,J3494)</f>
        <v/>
      </c>
      <c r="K3495">
        <f>IF(G3495=1,0.2*R3495/C3495,K3494)</f>
        <v/>
      </c>
      <c r="L3495">
        <f>IF(G3495=1,0.2*R3495/D3495,L3494)</f>
        <v/>
      </c>
      <c r="M3495">
        <f>IF(G3495=1,0.2*R3495/E3495,M3494)</f>
        <v/>
      </c>
      <c r="N3495">
        <f>IF(G3495=1,0.2*R3495/F3495,N3494)</f>
        <v/>
      </c>
      <c r="O3495">
        <f>IF(G3495=1,R3495*(1-1.0),IF(H3494=0,1,O3494*(1+0.00023125256064071564)))</f>
        <v/>
      </c>
      <c r="P3495">
        <f>IF(G3495=1,IF(H3494=0,1,ABS(0.2-J3494*B3495/I3495)+ABS(0.2-K3494*C3495/I3495)+ABS(0.2-L3494*D3495/I3495)+ABS(0.2-M3494*E3495/I3495)+ABS(0.2-N3494*F3495/I3495)),0)</f>
        <v/>
      </c>
      <c r="Q3495">
        <f>P3495*0.0015</f>
        <v/>
      </c>
      <c r="R3495">
        <f>I3495*(1-Q3495)</f>
        <v/>
      </c>
      <c r="S3495">
        <f>R3495/R3494-1</f>
        <v/>
      </c>
      <c r="T3495">
        <f>MAX(T3494,R3495)</f>
        <v/>
      </c>
      <c r="U3495">
        <f>R3495/T3495-1</f>
        <v/>
      </c>
      <c r="V3495" t="n">
        <v>8.962247499470267</v>
      </c>
      <c r="W3495" s="5">
        <f>R3495-V3495</f>
        <v/>
      </c>
    </row>
    <row r="3496">
      <c r="A3496" s="3" t="n">
        <v>43591</v>
      </c>
      <c r="B3496">
        <f>Prices!B3496</f>
        <v/>
      </c>
      <c r="C3496">
        <f>Prices!C3496</f>
        <v/>
      </c>
      <c r="D3496">
        <f>Prices!D3496</f>
        <v/>
      </c>
      <c r="E3496">
        <f>Prices!E3496</f>
        <v/>
      </c>
      <c r="F3496">
        <f>Prices!F3496</f>
        <v/>
      </c>
      <c r="G3496">
        <f>IF(AND(3494&gt;=16,TEXT(A3496,"yyyy-mm")&lt;&gt;TEXT(A3497,"yyyy-mm")),1,0)</f>
        <v/>
      </c>
      <c r="H3496">
        <f>IF(OR(H3495=1,G3496=1),1,0)</f>
        <v/>
      </c>
      <c r="I3496">
        <f>IF(H3495=0,1,SUMPRODUCT(J3495:N3495,B3496:F3496)+O3495*(1+0.00023125256064071564))</f>
        <v/>
      </c>
      <c r="J3496">
        <f>IF(G3496=1,0.2*R3496/B3496,J3495)</f>
        <v/>
      </c>
      <c r="K3496">
        <f>IF(G3496=1,0.2*R3496/C3496,K3495)</f>
        <v/>
      </c>
      <c r="L3496">
        <f>IF(G3496=1,0.2*R3496/D3496,L3495)</f>
        <v/>
      </c>
      <c r="M3496">
        <f>IF(G3496=1,0.2*R3496/E3496,M3495)</f>
        <v/>
      </c>
      <c r="N3496">
        <f>IF(G3496=1,0.2*R3496/F3496,N3495)</f>
        <v/>
      </c>
      <c r="O3496">
        <f>IF(G3496=1,R3496*(1-1.0),IF(H3495=0,1,O3495*(1+0.00023125256064071564)))</f>
        <v/>
      </c>
      <c r="P3496">
        <f>IF(G3496=1,IF(H3495=0,1,ABS(0.2-J3495*B3496/I3496)+ABS(0.2-K3495*C3496/I3496)+ABS(0.2-L3495*D3496/I3496)+ABS(0.2-M3495*E3496/I3496)+ABS(0.2-N3495*F3496/I3496)),0)</f>
        <v/>
      </c>
      <c r="Q3496">
        <f>P3496*0.0015</f>
        <v/>
      </c>
      <c r="R3496">
        <f>I3496*(1-Q3496)</f>
        <v/>
      </c>
      <c r="S3496">
        <f>R3496/R3495-1</f>
        <v/>
      </c>
      <c r="T3496">
        <f>MAX(T3495,R3496)</f>
        <v/>
      </c>
      <c r="U3496">
        <f>R3496/T3496-1</f>
        <v/>
      </c>
      <c r="V3496" t="n">
        <v>8.882336471707145</v>
      </c>
      <c r="W3496" s="5">
        <f>R3496-V3496</f>
        <v/>
      </c>
    </row>
    <row r="3497">
      <c r="A3497" s="3" t="n">
        <v>43592</v>
      </c>
      <c r="B3497">
        <f>Prices!B3497</f>
        <v/>
      </c>
      <c r="C3497">
        <f>Prices!C3497</f>
        <v/>
      </c>
      <c r="D3497">
        <f>Prices!D3497</f>
        <v/>
      </c>
      <c r="E3497">
        <f>Prices!E3497</f>
        <v/>
      </c>
      <c r="F3497">
        <f>Prices!F3497</f>
        <v/>
      </c>
      <c r="G3497">
        <f>IF(AND(3495&gt;=16,TEXT(A3497,"yyyy-mm")&lt;&gt;TEXT(A3498,"yyyy-mm")),1,0)</f>
        <v/>
      </c>
      <c r="H3497">
        <f>IF(OR(H3496=1,G3497=1),1,0)</f>
        <v/>
      </c>
      <c r="I3497">
        <f>IF(H3496=0,1,SUMPRODUCT(J3496:N3496,B3497:F3497)+O3496*(1+0.00023125256064071564))</f>
        <v/>
      </c>
      <c r="J3497">
        <f>IF(G3497=1,0.2*R3497/B3497,J3496)</f>
        <v/>
      </c>
      <c r="K3497">
        <f>IF(G3497=1,0.2*R3497/C3497,K3496)</f>
        <v/>
      </c>
      <c r="L3497">
        <f>IF(G3497=1,0.2*R3497/D3497,L3496)</f>
        <v/>
      </c>
      <c r="M3497">
        <f>IF(G3497=1,0.2*R3497/E3497,M3496)</f>
        <v/>
      </c>
      <c r="N3497">
        <f>IF(G3497=1,0.2*R3497/F3497,N3496)</f>
        <v/>
      </c>
      <c r="O3497">
        <f>IF(G3497=1,R3497*(1-1.0),IF(H3496=0,1,O3496*(1+0.00023125256064071564)))</f>
        <v/>
      </c>
      <c r="P3497">
        <f>IF(G3497=1,IF(H3496=0,1,ABS(0.2-J3496*B3497/I3497)+ABS(0.2-K3496*C3497/I3497)+ABS(0.2-L3496*D3497/I3497)+ABS(0.2-M3496*E3497/I3497)+ABS(0.2-N3496*F3497/I3497)),0)</f>
        <v/>
      </c>
      <c r="Q3497">
        <f>P3497*0.0015</f>
        <v/>
      </c>
      <c r="R3497">
        <f>I3497*(1-Q3497)</f>
        <v/>
      </c>
      <c r="S3497">
        <f>R3497/R3496-1</f>
        <v/>
      </c>
      <c r="T3497">
        <f>MAX(T3496,R3497)</f>
        <v/>
      </c>
      <c r="U3497">
        <f>R3497/T3497-1</f>
        <v/>
      </c>
      <c r="V3497" t="n">
        <v>8.819362479438333</v>
      </c>
      <c r="W3497" s="5">
        <f>R3497-V3497</f>
        <v/>
      </c>
    </row>
    <row r="3498">
      <c r="A3498" s="3" t="n">
        <v>43593</v>
      </c>
      <c r="B3498">
        <f>Prices!B3498</f>
        <v/>
      </c>
      <c r="C3498">
        <f>Prices!C3498</f>
        <v/>
      </c>
      <c r="D3498">
        <f>Prices!D3498</f>
        <v/>
      </c>
      <c r="E3498">
        <f>Prices!E3498</f>
        <v/>
      </c>
      <c r="F3498">
        <f>Prices!F3498</f>
        <v/>
      </c>
      <c r="G3498">
        <f>IF(AND(3496&gt;=16,TEXT(A3498,"yyyy-mm")&lt;&gt;TEXT(A3499,"yyyy-mm")),1,0)</f>
        <v/>
      </c>
      <c r="H3498">
        <f>IF(OR(H3497=1,G3498=1),1,0)</f>
        <v/>
      </c>
      <c r="I3498">
        <f>IF(H3497=0,1,SUMPRODUCT(J3497:N3497,B3498:F3498)+O3497*(1+0.00023125256064071564))</f>
        <v/>
      </c>
      <c r="J3498">
        <f>IF(G3498=1,0.2*R3498/B3498,J3497)</f>
        <v/>
      </c>
      <c r="K3498">
        <f>IF(G3498=1,0.2*R3498/C3498,K3497)</f>
        <v/>
      </c>
      <c r="L3498">
        <f>IF(G3498=1,0.2*R3498/D3498,L3497)</f>
        <v/>
      </c>
      <c r="M3498">
        <f>IF(G3498=1,0.2*R3498/E3498,M3497)</f>
        <v/>
      </c>
      <c r="N3498">
        <f>IF(G3498=1,0.2*R3498/F3498,N3497)</f>
        <v/>
      </c>
      <c r="O3498">
        <f>IF(G3498=1,R3498*(1-1.0),IF(H3497=0,1,O3497*(1+0.00023125256064071564)))</f>
        <v/>
      </c>
      <c r="P3498">
        <f>IF(G3498=1,IF(H3497=0,1,ABS(0.2-J3497*B3498/I3498)+ABS(0.2-K3497*C3498/I3498)+ABS(0.2-L3497*D3498/I3498)+ABS(0.2-M3497*E3498/I3498)+ABS(0.2-N3497*F3498/I3498)),0)</f>
        <v/>
      </c>
      <c r="Q3498">
        <f>P3498*0.0015</f>
        <v/>
      </c>
      <c r="R3498">
        <f>I3498*(1-Q3498)</f>
        <v/>
      </c>
      <c r="S3498">
        <f>R3498/R3497-1</f>
        <v/>
      </c>
      <c r="T3498">
        <f>MAX(T3497,R3498)</f>
        <v/>
      </c>
      <c r="U3498">
        <f>R3498/T3498-1</f>
        <v/>
      </c>
      <c r="V3498" t="n">
        <v>8.719167746986331</v>
      </c>
      <c r="W3498" s="5">
        <f>R3498-V3498</f>
        <v/>
      </c>
    </row>
    <row r="3499">
      <c r="A3499" s="3" t="n">
        <v>43594</v>
      </c>
      <c r="B3499">
        <f>Prices!B3499</f>
        <v/>
      </c>
      <c r="C3499">
        <f>Prices!C3499</f>
        <v/>
      </c>
      <c r="D3499">
        <f>Prices!D3499</f>
        <v/>
      </c>
      <c r="E3499">
        <f>Prices!E3499</f>
        <v/>
      </c>
      <c r="F3499">
        <f>Prices!F3499</f>
        <v/>
      </c>
      <c r="G3499">
        <f>IF(AND(3497&gt;=16,TEXT(A3499,"yyyy-mm")&lt;&gt;TEXT(A3500,"yyyy-mm")),1,0)</f>
        <v/>
      </c>
      <c r="H3499">
        <f>IF(OR(H3498=1,G3499=1),1,0)</f>
        <v/>
      </c>
      <c r="I3499">
        <f>IF(H3498=0,1,SUMPRODUCT(J3498:N3498,B3499:F3499)+O3498*(1+0.00023125256064071564))</f>
        <v/>
      </c>
      <c r="J3499">
        <f>IF(G3499=1,0.2*R3499/B3499,J3498)</f>
        <v/>
      </c>
      <c r="K3499">
        <f>IF(G3499=1,0.2*R3499/C3499,K3498)</f>
        <v/>
      </c>
      <c r="L3499">
        <f>IF(G3499=1,0.2*R3499/D3499,L3498)</f>
        <v/>
      </c>
      <c r="M3499">
        <f>IF(G3499=1,0.2*R3499/E3499,M3498)</f>
        <v/>
      </c>
      <c r="N3499">
        <f>IF(G3499=1,0.2*R3499/F3499,N3498)</f>
        <v/>
      </c>
      <c r="O3499">
        <f>IF(G3499=1,R3499*(1-1.0),IF(H3498=0,1,O3498*(1+0.00023125256064071564)))</f>
        <v/>
      </c>
      <c r="P3499">
        <f>IF(G3499=1,IF(H3498=0,1,ABS(0.2-J3498*B3499/I3499)+ABS(0.2-K3498*C3499/I3499)+ABS(0.2-L3498*D3499/I3499)+ABS(0.2-M3498*E3499/I3499)+ABS(0.2-N3498*F3499/I3499)),0)</f>
        <v/>
      </c>
      <c r="Q3499">
        <f>P3499*0.0015</f>
        <v/>
      </c>
      <c r="R3499">
        <f>I3499*(1-Q3499)</f>
        <v/>
      </c>
      <c r="S3499">
        <f>R3499/R3498-1</f>
        <v/>
      </c>
      <c r="T3499">
        <f>MAX(T3498,R3499)</f>
        <v/>
      </c>
      <c r="U3499">
        <f>R3499/T3499-1</f>
        <v/>
      </c>
      <c r="V3499" t="n">
        <v>8.702245574170233</v>
      </c>
      <c r="W3499" s="5">
        <f>R3499-V3499</f>
        <v/>
      </c>
    </row>
    <row r="3500">
      <c r="A3500" s="3" t="n">
        <v>43595</v>
      </c>
      <c r="B3500">
        <f>Prices!B3500</f>
        <v/>
      </c>
      <c r="C3500">
        <f>Prices!C3500</f>
        <v/>
      </c>
      <c r="D3500">
        <f>Prices!D3500</f>
        <v/>
      </c>
      <c r="E3500">
        <f>Prices!E3500</f>
        <v/>
      </c>
      <c r="F3500">
        <f>Prices!F3500</f>
        <v/>
      </c>
      <c r="G3500">
        <f>IF(AND(3498&gt;=16,TEXT(A3500,"yyyy-mm")&lt;&gt;TEXT(A3501,"yyyy-mm")),1,0)</f>
        <v/>
      </c>
      <c r="H3500">
        <f>IF(OR(H3499=1,G3500=1),1,0)</f>
        <v/>
      </c>
      <c r="I3500">
        <f>IF(H3499=0,1,SUMPRODUCT(J3499:N3499,B3500:F3500)+O3499*(1+0.00023125256064071564))</f>
        <v/>
      </c>
      <c r="J3500">
        <f>IF(G3500=1,0.2*R3500/B3500,J3499)</f>
        <v/>
      </c>
      <c r="K3500">
        <f>IF(G3500=1,0.2*R3500/C3500,K3499)</f>
        <v/>
      </c>
      <c r="L3500">
        <f>IF(G3500=1,0.2*R3500/D3500,L3499)</f>
        <v/>
      </c>
      <c r="M3500">
        <f>IF(G3500=1,0.2*R3500/E3500,M3499)</f>
        <v/>
      </c>
      <c r="N3500">
        <f>IF(G3500=1,0.2*R3500/F3500,N3499)</f>
        <v/>
      </c>
      <c r="O3500">
        <f>IF(G3500=1,R3500*(1-1.0),IF(H3499=0,1,O3499*(1+0.00023125256064071564)))</f>
        <v/>
      </c>
      <c r="P3500">
        <f>IF(G3500=1,IF(H3499=0,1,ABS(0.2-J3499*B3500/I3500)+ABS(0.2-K3499*C3500/I3500)+ABS(0.2-L3499*D3500/I3500)+ABS(0.2-M3499*E3500/I3500)+ABS(0.2-N3499*F3500/I3500)),0)</f>
        <v/>
      </c>
      <c r="Q3500">
        <f>P3500*0.0015</f>
        <v/>
      </c>
      <c r="R3500">
        <f>I3500*(1-Q3500)</f>
        <v/>
      </c>
      <c r="S3500">
        <f>R3500/R3499-1</f>
        <v/>
      </c>
      <c r="T3500">
        <f>MAX(T3499,R3500)</f>
        <v/>
      </c>
      <c r="U3500">
        <f>R3500/T3500-1</f>
        <v/>
      </c>
      <c r="V3500" t="n">
        <v>8.6673431320879</v>
      </c>
      <c r="W3500" s="5">
        <f>R3500-V3500</f>
        <v/>
      </c>
    </row>
    <row r="3501">
      <c r="A3501" s="3" t="n">
        <v>43598</v>
      </c>
      <c r="B3501">
        <f>Prices!B3501</f>
        <v/>
      </c>
      <c r="C3501">
        <f>Prices!C3501</f>
        <v/>
      </c>
      <c r="D3501">
        <f>Prices!D3501</f>
        <v/>
      </c>
      <c r="E3501">
        <f>Prices!E3501</f>
        <v/>
      </c>
      <c r="F3501">
        <f>Prices!F3501</f>
        <v/>
      </c>
      <c r="G3501">
        <f>IF(AND(3499&gt;=16,TEXT(A3501,"yyyy-mm")&lt;&gt;TEXT(A3502,"yyyy-mm")),1,0)</f>
        <v/>
      </c>
      <c r="H3501">
        <f>IF(OR(H3500=1,G3501=1),1,0)</f>
        <v/>
      </c>
      <c r="I3501">
        <f>IF(H3500=0,1,SUMPRODUCT(J3500:N3500,B3501:F3501)+O3500*(1+0.00023125256064071564))</f>
        <v/>
      </c>
      <c r="J3501">
        <f>IF(G3501=1,0.2*R3501/B3501,J3500)</f>
        <v/>
      </c>
      <c r="K3501">
        <f>IF(G3501=1,0.2*R3501/C3501,K3500)</f>
        <v/>
      </c>
      <c r="L3501">
        <f>IF(G3501=1,0.2*R3501/D3501,L3500)</f>
        <v/>
      </c>
      <c r="M3501">
        <f>IF(G3501=1,0.2*R3501/E3501,M3500)</f>
        <v/>
      </c>
      <c r="N3501">
        <f>IF(G3501=1,0.2*R3501/F3501,N3500)</f>
        <v/>
      </c>
      <c r="O3501">
        <f>IF(G3501=1,R3501*(1-1.0),IF(H3500=0,1,O3500*(1+0.00023125256064071564)))</f>
        <v/>
      </c>
      <c r="P3501">
        <f>IF(G3501=1,IF(H3500=0,1,ABS(0.2-J3500*B3501/I3501)+ABS(0.2-K3500*C3501/I3501)+ABS(0.2-L3500*D3501/I3501)+ABS(0.2-M3500*E3501/I3501)+ABS(0.2-N3500*F3501/I3501)),0)</f>
        <v/>
      </c>
      <c r="Q3501">
        <f>P3501*0.0015</f>
        <v/>
      </c>
      <c r="R3501">
        <f>I3501*(1-Q3501)</f>
        <v/>
      </c>
      <c r="S3501">
        <f>R3501/R3500-1</f>
        <v/>
      </c>
      <c r="T3501">
        <f>MAX(T3500,R3501)</f>
        <v/>
      </c>
      <c r="U3501">
        <f>R3501/T3501-1</f>
        <v/>
      </c>
      <c r="V3501" t="n">
        <v>8.543999950133248</v>
      </c>
      <c r="W3501" s="5">
        <f>R3501-V3501</f>
        <v/>
      </c>
    </row>
    <row r="3502">
      <c r="A3502" s="3" t="n">
        <v>43599</v>
      </c>
      <c r="B3502">
        <f>Prices!B3502</f>
        <v/>
      </c>
      <c r="C3502">
        <f>Prices!C3502</f>
        <v/>
      </c>
      <c r="D3502">
        <f>Prices!D3502</f>
        <v/>
      </c>
      <c r="E3502">
        <f>Prices!E3502</f>
        <v/>
      </c>
      <c r="F3502">
        <f>Prices!F3502</f>
        <v/>
      </c>
      <c r="G3502">
        <f>IF(AND(3500&gt;=16,TEXT(A3502,"yyyy-mm")&lt;&gt;TEXT(A3503,"yyyy-mm")),1,0)</f>
        <v/>
      </c>
      <c r="H3502">
        <f>IF(OR(H3501=1,G3502=1),1,0)</f>
        <v/>
      </c>
      <c r="I3502">
        <f>IF(H3501=0,1,SUMPRODUCT(J3501:N3501,B3502:F3502)+O3501*(1+0.00023125256064071564))</f>
        <v/>
      </c>
      <c r="J3502">
        <f>IF(G3502=1,0.2*R3502/B3502,J3501)</f>
        <v/>
      </c>
      <c r="K3502">
        <f>IF(G3502=1,0.2*R3502/C3502,K3501)</f>
        <v/>
      </c>
      <c r="L3502">
        <f>IF(G3502=1,0.2*R3502/D3502,L3501)</f>
        <v/>
      </c>
      <c r="M3502">
        <f>IF(G3502=1,0.2*R3502/E3502,M3501)</f>
        <v/>
      </c>
      <c r="N3502">
        <f>IF(G3502=1,0.2*R3502/F3502,N3501)</f>
        <v/>
      </c>
      <c r="O3502">
        <f>IF(G3502=1,R3502*(1-1.0),IF(H3501=0,1,O3501*(1+0.00023125256064071564)))</f>
        <v/>
      </c>
      <c r="P3502">
        <f>IF(G3502=1,IF(H3501=0,1,ABS(0.2-J3501*B3502/I3502)+ABS(0.2-K3501*C3502/I3502)+ABS(0.2-L3501*D3502/I3502)+ABS(0.2-M3501*E3502/I3502)+ABS(0.2-N3501*F3502/I3502)),0)</f>
        <v/>
      </c>
      <c r="Q3502">
        <f>P3502*0.0015</f>
        <v/>
      </c>
      <c r="R3502">
        <f>I3502*(1-Q3502)</f>
        <v/>
      </c>
      <c r="S3502">
        <f>R3502/R3501-1</f>
        <v/>
      </c>
      <c r="T3502">
        <f>MAX(T3501,R3502)</f>
        <v/>
      </c>
      <c r="U3502">
        <f>R3502/T3502-1</f>
        <v/>
      </c>
      <c r="V3502" t="n">
        <v>8.554074268927117</v>
      </c>
      <c r="W3502" s="5">
        <f>R3502-V3502</f>
        <v/>
      </c>
    </row>
    <row r="3503">
      <c r="A3503" s="3" t="n">
        <v>43600</v>
      </c>
      <c r="B3503">
        <f>Prices!B3503</f>
        <v/>
      </c>
      <c r="C3503">
        <f>Prices!C3503</f>
        <v/>
      </c>
      <c r="D3503">
        <f>Prices!D3503</f>
        <v/>
      </c>
      <c r="E3503">
        <f>Prices!E3503</f>
        <v/>
      </c>
      <c r="F3503">
        <f>Prices!F3503</f>
        <v/>
      </c>
      <c r="G3503">
        <f>IF(AND(3501&gt;=16,TEXT(A3503,"yyyy-mm")&lt;&gt;TEXT(A3504,"yyyy-mm")),1,0)</f>
        <v/>
      </c>
      <c r="H3503">
        <f>IF(OR(H3502=1,G3503=1),1,0)</f>
        <v/>
      </c>
      <c r="I3503">
        <f>IF(H3502=0,1,SUMPRODUCT(J3502:N3502,B3503:F3503)+O3502*(1+0.00023125256064071564))</f>
        <v/>
      </c>
      <c r="J3503">
        <f>IF(G3503=1,0.2*R3503/B3503,J3502)</f>
        <v/>
      </c>
      <c r="K3503">
        <f>IF(G3503=1,0.2*R3503/C3503,K3502)</f>
        <v/>
      </c>
      <c r="L3503">
        <f>IF(G3503=1,0.2*R3503/D3503,L3502)</f>
        <v/>
      </c>
      <c r="M3503">
        <f>IF(G3503=1,0.2*R3503/E3503,M3502)</f>
        <v/>
      </c>
      <c r="N3503">
        <f>IF(G3503=1,0.2*R3503/F3503,N3502)</f>
        <v/>
      </c>
      <c r="O3503">
        <f>IF(G3503=1,R3503*(1-1.0),IF(H3502=0,1,O3502*(1+0.00023125256064071564)))</f>
        <v/>
      </c>
      <c r="P3503">
        <f>IF(G3503=1,IF(H3502=0,1,ABS(0.2-J3502*B3503/I3503)+ABS(0.2-K3502*C3503/I3503)+ABS(0.2-L3502*D3503/I3503)+ABS(0.2-M3502*E3503/I3503)+ABS(0.2-N3502*F3503/I3503)),0)</f>
        <v/>
      </c>
      <c r="Q3503">
        <f>P3503*0.0015</f>
        <v/>
      </c>
      <c r="R3503">
        <f>I3503*(1-Q3503)</f>
        <v/>
      </c>
      <c r="S3503">
        <f>R3503/R3502-1</f>
        <v/>
      </c>
      <c r="T3503">
        <f>MAX(T3502,R3503)</f>
        <v/>
      </c>
      <c r="U3503">
        <f>R3503/T3503-1</f>
        <v/>
      </c>
      <c r="V3503" t="n">
        <v>8.511124229234751</v>
      </c>
      <c r="W3503" s="5">
        <f>R3503-V3503</f>
        <v/>
      </c>
    </row>
    <row r="3504">
      <c r="A3504" s="3" t="n">
        <v>43601</v>
      </c>
      <c r="B3504">
        <f>Prices!B3504</f>
        <v/>
      </c>
      <c r="C3504">
        <f>Prices!C3504</f>
        <v/>
      </c>
      <c r="D3504">
        <f>Prices!D3504</f>
        <v/>
      </c>
      <c r="E3504">
        <f>Prices!E3504</f>
        <v/>
      </c>
      <c r="F3504">
        <f>Prices!F3504</f>
        <v/>
      </c>
      <c r="G3504">
        <f>IF(AND(3502&gt;=16,TEXT(A3504,"yyyy-mm")&lt;&gt;TEXT(A3505,"yyyy-mm")),1,0)</f>
        <v/>
      </c>
      <c r="H3504">
        <f>IF(OR(H3503=1,G3504=1),1,0)</f>
        <v/>
      </c>
      <c r="I3504">
        <f>IF(H3503=0,1,SUMPRODUCT(J3503:N3503,B3504:F3504)+O3503*(1+0.00023125256064071564))</f>
        <v/>
      </c>
      <c r="J3504">
        <f>IF(G3504=1,0.2*R3504/B3504,J3503)</f>
        <v/>
      </c>
      <c r="K3504">
        <f>IF(G3504=1,0.2*R3504/C3504,K3503)</f>
        <v/>
      </c>
      <c r="L3504">
        <f>IF(G3504=1,0.2*R3504/D3504,L3503)</f>
        <v/>
      </c>
      <c r="M3504">
        <f>IF(G3504=1,0.2*R3504/E3504,M3503)</f>
        <v/>
      </c>
      <c r="N3504">
        <f>IF(G3504=1,0.2*R3504/F3504,N3503)</f>
        <v/>
      </c>
      <c r="O3504">
        <f>IF(G3504=1,R3504*(1-1.0),IF(H3503=0,1,O3503*(1+0.00023125256064071564)))</f>
        <v/>
      </c>
      <c r="P3504">
        <f>IF(G3504=1,IF(H3503=0,1,ABS(0.2-J3503*B3504/I3504)+ABS(0.2-K3503*C3504/I3504)+ABS(0.2-L3503*D3504/I3504)+ABS(0.2-M3503*E3504/I3504)+ABS(0.2-N3503*F3504/I3504)),0)</f>
        <v/>
      </c>
      <c r="Q3504">
        <f>P3504*0.0015</f>
        <v/>
      </c>
      <c r="R3504">
        <f>I3504*(1-Q3504)</f>
        <v/>
      </c>
      <c r="S3504">
        <f>R3504/R3503-1</f>
        <v/>
      </c>
      <c r="T3504">
        <f>MAX(T3503,R3504)</f>
        <v/>
      </c>
      <c r="U3504">
        <f>R3504/T3504-1</f>
        <v/>
      </c>
      <c r="V3504" t="n">
        <v>8.588566271691692</v>
      </c>
      <c r="W3504" s="5">
        <f>R3504-V3504</f>
        <v/>
      </c>
    </row>
    <row r="3505">
      <c r="A3505" s="3" t="n">
        <v>43602</v>
      </c>
      <c r="B3505">
        <f>Prices!B3505</f>
        <v/>
      </c>
      <c r="C3505">
        <f>Prices!C3505</f>
        <v/>
      </c>
      <c r="D3505">
        <f>Prices!D3505</f>
        <v/>
      </c>
      <c r="E3505">
        <f>Prices!E3505</f>
        <v/>
      </c>
      <c r="F3505">
        <f>Prices!F3505</f>
        <v/>
      </c>
      <c r="G3505">
        <f>IF(AND(3503&gt;=16,TEXT(A3505,"yyyy-mm")&lt;&gt;TEXT(A3506,"yyyy-mm")),1,0)</f>
        <v/>
      </c>
      <c r="H3505">
        <f>IF(OR(H3504=1,G3505=1),1,0)</f>
        <v/>
      </c>
      <c r="I3505">
        <f>IF(H3504=0,1,SUMPRODUCT(J3504:N3504,B3505:F3505)+O3504*(1+0.00023125256064071564))</f>
        <v/>
      </c>
      <c r="J3505">
        <f>IF(G3505=1,0.2*R3505/B3505,J3504)</f>
        <v/>
      </c>
      <c r="K3505">
        <f>IF(G3505=1,0.2*R3505/C3505,K3504)</f>
        <v/>
      </c>
      <c r="L3505">
        <f>IF(G3505=1,0.2*R3505/D3505,L3504)</f>
        <v/>
      </c>
      <c r="M3505">
        <f>IF(G3505=1,0.2*R3505/E3505,M3504)</f>
        <v/>
      </c>
      <c r="N3505">
        <f>IF(G3505=1,0.2*R3505/F3505,N3504)</f>
        <v/>
      </c>
      <c r="O3505">
        <f>IF(G3505=1,R3505*(1-1.0),IF(H3504=0,1,O3504*(1+0.00023125256064071564)))</f>
        <v/>
      </c>
      <c r="P3505">
        <f>IF(G3505=1,IF(H3504=0,1,ABS(0.2-J3504*B3505/I3505)+ABS(0.2-K3504*C3505/I3505)+ABS(0.2-L3504*D3505/I3505)+ABS(0.2-M3504*E3505/I3505)+ABS(0.2-N3504*F3505/I3505)),0)</f>
        <v/>
      </c>
      <c r="Q3505">
        <f>P3505*0.0015</f>
        <v/>
      </c>
      <c r="R3505">
        <f>I3505*(1-Q3505)</f>
        <v/>
      </c>
      <c r="S3505">
        <f>R3505/R3504-1</f>
        <v/>
      </c>
      <c r="T3505">
        <f>MAX(T3504,R3505)</f>
        <v/>
      </c>
      <c r="U3505">
        <f>R3505/T3505-1</f>
        <v/>
      </c>
      <c r="V3505" t="n">
        <v>8.662499972693341</v>
      </c>
      <c r="W3505" s="5">
        <f>R3505-V3505</f>
        <v/>
      </c>
    </row>
    <row r="3506">
      <c r="A3506" s="3" t="n">
        <v>43605</v>
      </c>
      <c r="B3506">
        <f>Prices!B3506</f>
        <v/>
      </c>
      <c r="C3506">
        <f>Prices!C3506</f>
        <v/>
      </c>
      <c r="D3506">
        <f>Prices!D3506</f>
        <v/>
      </c>
      <c r="E3506">
        <f>Prices!E3506</f>
        <v/>
      </c>
      <c r="F3506">
        <f>Prices!F3506</f>
        <v/>
      </c>
      <c r="G3506">
        <f>IF(AND(3504&gt;=16,TEXT(A3506,"yyyy-mm")&lt;&gt;TEXT(A3507,"yyyy-mm")),1,0)</f>
        <v/>
      </c>
      <c r="H3506">
        <f>IF(OR(H3505=1,G3506=1),1,0)</f>
        <v/>
      </c>
      <c r="I3506">
        <f>IF(H3505=0,1,SUMPRODUCT(J3505:N3505,B3506:F3506)+O3505*(1+0.00023125256064071564))</f>
        <v/>
      </c>
      <c r="J3506">
        <f>IF(G3506=1,0.2*R3506/B3506,J3505)</f>
        <v/>
      </c>
      <c r="K3506">
        <f>IF(G3506=1,0.2*R3506/C3506,K3505)</f>
        <v/>
      </c>
      <c r="L3506">
        <f>IF(G3506=1,0.2*R3506/D3506,L3505)</f>
        <v/>
      </c>
      <c r="M3506">
        <f>IF(G3506=1,0.2*R3506/E3506,M3505)</f>
        <v/>
      </c>
      <c r="N3506">
        <f>IF(G3506=1,0.2*R3506/F3506,N3505)</f>
        <v/>
      </c>
      <c r="O3506">
        <f>IF(G3506=1,R3506*(1-1.0),IF(H3505=0,1,O3505*(1+0.00023125256064071564)))</f>
        <v/>
      </c>
      <c r="P3506">
        <f>IF(G3506=1,IF(H3505=0,1,ABS(0.2-J3505*B3506/I3506)+ABS(0.2-K3505*C3506/I3506)+ABS(0.2-L3505*D3506/I3506)+ABS(0.2-M3505*E3506/I3506)+ABS(0.2-N3505*F3506/I3506)),0)</f>
        <v/>
      </c>
      <c r="Q3506">
        <f>P3506*0.0015</f>
        <v/>
      </c>
      <c r="R3506">
        <f>I3506*(1-Q3506)</f>
        <v/>
      </c>
      <c r="S3506">
        <f>R3506/R3505-1</f>
        <v/>
      </c>
      <c r="T3506">
        <f>MAX(T3505,R3506)</f>
        <v/>
      </c>
      <c r="U3506">
        <f>R3506/T3506-1</f>
        <v/>
      </c>
      <c r="V3506" t="n">
        <v>8.916980236098144</v>
      </c>
      <c r="W3506" s="5">
        <f>R3506-V3506</f>
        <v/>
      </c>
    </row>
    <row r="3507">
      <c r="A3507" s="3" t="n">
        <v>43606</v>
      </c>
      <c r="B3507">
        <f>Prices!B3507</f>
        <v/>
      </c>
      <c r="C3507">
        <f>Prices!C3507</f>
        <v/>
      </c>
      <c r="D3507">
        <f>Prices!D3507</f>
        <v/>
      </c>
      <c r="E3507">
        <f>Prices!E3507</f>
        <v/>
      </c>
      <c r="F3507">
        <f>Prices!F3507</f>
        <v/>
      </c>
      <c r="G3507">
        <f>IF(AND(3505&gt;=16,TEXT(A3507,"yyyy-mm")&lt;&gt;TEXT(A3508,"yyyy-mm")),1,0)</f>
        <v/>
      </c>
      <c r="H3507">
        <f>IF(OR(H3506=1,G3507=1),1,0)</f>
        <v/>
      </c>
      <c r="I3507">
        <f>IF(H3506=0,1,SUMPRODUCT(J3506:N3506,B3507:F3507)+O3506*(1+0.00023125256064071564))</f>
        <v/>
      </c>
      <c r="J3507">
        <f>IF(G3507=1,0.2*R3507/B3507,J3506)</f>
        <v/>
      </c>
      <c r="K3507">
        <f>IF(G3507=1,0.2*R3507/C3507,K3506)</f>
        <v/>
      </c>
      <c r="L3507">
        <f>IF(G3507=1,0.2*R3507/D3507,L3506)</f>
        <v/>
      </c>
      <c r="M3507">
        <f>IF(G3507=1,0.2*R3507/E3507,M3506)</f>
        <v/>
      </c>
      <c r="N3507">
        <f>IF(G3507=1,0.2*R3507/F3507,N3506)</f>
        <v/>
      </c>
      <c r="O3507">
        <f>IF(G3507=1,R3507*(1-1.0),IF(H3506=0,1,O3506*(1+0.00023125256064071564)))</f>
        <v/>
      </c>
      <c r="P3507">
        <f>IF(G3507=1,IF(H3506=0,1,ABS(0.2-J3506*B3507/I3507)+ABS(0.2-K3506*C3507/I3507)+ABS(0.2-L3506*D3507/I3507)+ABS(0.2-M3506*E3507/I3507)+ABS(0.2-N3506*F3507/I3507)),0)</f>
        <v/>
      </c>
      <c r="Q3507">
        <f>P3507*0.0015</f>
        <v/>
      </c>
      <c r="R3507">
        <f>I3507*(1-Q3507)</f>
        <v/>
      </c>
      <c r="S3507">
        <f>R3507/R3506-1</f>
        <v/>
      </c>
      <c r="T3507">
        <f>MAX(T3506,R3507)</f>
        <v/>
      </c>
      <c r="U3507">
        <f>R3507/T3507-1</f>
        <v/>
      </c>
      <c r="V3507" t="n">
        <v>8.841130529946113</v>
      </c>
      <c r="W3507" s="5">
        <f>R3507-V3507</f>
        <v/>
      </c>
    </row>
    <row r="3508">
      <c r="A3508" s="3" t="n">
        <v>43607</v>
      </c>
      <c r="B3508">
        <f>Prices!B3508</f>
        <v/>
      </c>
      <c r="C3508">
        <f>Prices!C3508</f>
        <v/>
      </c>
      <c r="D3508">
        <f>Prices!D3508</f>
        <v/>
      </c>
      <c r="E3508">
        <f>Prices!E3508</f>
        <v/>
      </c>
      <c r="F3508">
        <f>Prices!F3508</f>
        <v/>
      </c>
      <c r="G3508">
        <f>IF(AND(3506&gt;=16,TEXT(A3508,"yyyy-mm")&lt;&gt;TEXT(A3509,"yyyy-mm")),1,0)</f>
        <v/>
      </c>
      <c r="H3508">
        <f>IF(OR(H3507=1,G3508=1),1,0)</f>
        <v/>
      </c>
      <c r="I3508">
        <f>IF(H3507=0,1,SUMPRODUCT(J3507:N3507,B3508:F3508)+O3507*(1+0.00023125256064071564))</f>
        <v/>
      </c>
      <c r="J3508">
        <f>IF(G3508=1,0.2*R3508/B3508,J3507)</f>
        <v/>
      </c>
      <c r="K3508">
        <f>IF(G3508=1,0.2*R3508/C3508,K3507)</f>
        <v/>
      </c>
      <c r="L3508">
        <f>IF(G3508=1,0.2*R3508/D3508,L3507)</f>
        <v/>
      </c>
      <c r="M3508">
        <f>IF(G3508=1,0.2*R3508/E3508,M3507)</f>
        <v/>
      </c>
      <c r="N3508">
        <f>IF(G3508=1,0.2*R3508/F3508,N3507)</f>
        <v/>
      </c>
      <c r="O3508">
        <f>IF(G3508=1,R3508*(1-1.0),IF(H3507=0,1,O3507*(1+0.00023125256064071564)))</f>
        <v/>
      </c>
      <c r="P3508">
        <f>IF(G3508=1,IF(H3507=0,1,ABS(0.2-J3507*B3508/I3508)+ABS(0.2-K3507*C3508/I3508)+ABS(0.2-L3507*D3508/I3508)+ABS(0.2-M3507*E3508/I3508)+ABS(0.2-N3507*F3508/I3508)),0)</f>
        <v/>
      </c>
      <c r="Q3508">
        <f>P3508*0.0015</f>
        <v/>
      </c>
      <c r="R3508">
        <f>I3508*(1-Q3508)</f>
        <v/>
      </c>
      <c r="S3508">
        <f>R3508/R3507-1</f>
        <v/>
      </c>
      <c r="T3508">
        <f>MAX(T3507,R3508)</f>
        <v/>
      </c>
      <c r="U3508">
        <f>R3508/T3508-1</f>
        <v/>
      </c>
      <c r="V3508" t="n">
        <v>8.856406379203007</v>
      </c>
      <c r="W3508" s="5">
        <f>R3508-V3508</f>
        <v/>
      </c>
    </row>
    <row r="3509">
      <c r="A3509" s="3" t="n">
        <v>43608</v>
      </c>
      <c r="B3509">
        <f>Prices!B3509</f>
        <v/>
      </c>
      <c r="C3509">
        <f>Prices!C3509</f>
        <v/>
      </c>
      <c r="D3509">
        <f>Prices!D3509</f>
        <v/>
      </c>
      <c r="E3509">
        <f>Prices!E3509</f>
        <v/>
      </c>
      <c r="F3509">
        <f>Prices!F3509</f>
        <v/>
      </c>
      <c r="G3509">
        <f>IF(AND(3507&gt;=16,TEXT(A3509,"yyyy-mm")&lt;&gt;TEXT(A3510,"yyyy-mm")),1,0)</f>
        <v/>
      </c>
      <c r="H3509">
        <f>IF(OR(H3508=1,G3509=1),1,0)</f>
        <v/>
      </c>
      <c r="I3509">
        <f>IF(H3508=0,1,SUMPRODUCT(J3508:N3508,B3509:F3509)+O3508*(1+0.00023125256064071564))</f>
        <v/>
      </c>
      <c r="J3509">
        <f>IF(G3509=1,0.2*R3509/B3509,J3508)</f>
        <v/>
      </c>
      <c r="K3509">
        <f>IF(G3509=1,0.2*R3509/C3509,K3508)</f>
        <v/>
      </c>
      <c r="L3509">
        <f>IF(G3509=1,0.2*R3509/D3509,L3508)</f>
        <v/>
      </c>
      <c r="M3509">
        <f>IF(G3509=1,0.2*R3509/E3509,M3508)</f>
        <v/>
      </c>
      <c r="N3509">
        <f>IF(G3509=1,0.2*R3509/F3509,N3508)</f>
        <v/>
      </c>
      <c r="O3509">
        <f>IF(G3509=1,R3509*(1-1.0),IF(H3508=0,1,O3508*(1+0.00023125256064071564)))</f>
        <v/>
      </c>
      <c r="P3509">
        <f>IF(G3509=1,IF(H3508=0,1,ABS(0.2-J3508*B3509/I3509)+ABS(0.2-K3508*C3509/I3509)+ABS(0.2-L3508*D3509/I3509)+ABS(0.2-M3508*E3509/I3509)+ABS(0.2-N3508*F3509/I3509)),0)</f>
        <v/>
      </c>
      <c r="Q3509">
        <f>P3509*0.0015</f>
        <v/>
      </c>
      <c r="R3509">
        <f>I3509*(1-Q3509)</f>
        <v/>
      </c>
      <c r="S3509">
        <f>R3509/R3508-1</f>
        <v/>
      </c>
      <c r="T3509">
        <f>MAX(T3508,R3509)</f>
        <v/>
      </c>
      <c r="U3509">
        <f>R3509/T3509-1</f>
        <v/>
      </c>
      <c r="V3509" t="n">
        <v>8.80380916232313</v>
      </c>
      <c r="W3509" s="5">
        <f>R3509-V3509</f>
        <v/>
      </c>
    </row>
    <row r="3510">
      <c r="A3510" s="3" t="n">
        <v>43609</v>
      </c>
      <c r="B3510">
        <f>Prices!B3510</f>
        <v/>
      </c>
      <c r="C3510">
        <f>Prices!C3510</f>
        <v/>
      </c>
      <c r="D3510">
        <f>Prices!D3510</f>
        <v/>
      </c>
      <c r="E3510">
        <f>Prices!E3510</f>
        <v/>
      </c>
      <c r="F3510">
        <f>Prices!F3510</f>
        <v/>
      </c>
      <c r="G3510">
        <f>IF(AND(3508&gt;=16,TEXT(A3510,"yyyy-mm")&lt;&gt;TEXT(A3511,"yyyy-mm")),1,0)</f>
        <v/>
      </c>
      <c r="H3510">
        <f>IF(OR(H3509=1,G3510=1),1,0)</f>
        <v/>
      </c>
      <c r="I3510">
        <f>IF(H3509=0,1,SUMPRODUCT(J3509:N3509,B3510:F3510)+O3509*(1+0.00023125256064071564))</f>
        <v/>
      </c>
      <c r="J3510">
        <f>IF(G3510=1,0.2*R3510/B3510,J3509)</f>
        <v/>
      </c>
      <c r="K3510">
        <f>IF(G3510=1,0.2*R3510/C3510,K3509)</f>
        <v/>
      </c>
      <c r="L3510">
        <f>IF(G3510=1,0.2*R3510/D3510,L3509)</f>
        <v/>
      </c>
      <c r="M3510">
        <f>IF(G3510=1,0.2*R3510/E3510,M3509)</f>
        <v/>
      </c>
      <c r="N3510">
        <f>IF(G3510=1,0.2*R3510/F3510,N3509)</f>
        <v/>
      </c>
      <c r="O3510">
        <f>IF(G3510=1,R3510*(1-1.0),IF(H3509=0,1,O3509*(1+0.00023125256064071564)))</f>
        <v/>
      </c>
      <c r="P3510">
        <f>IF(G3510=1,IF(H3509=0,1,ABS(0.2-J3509*B3510/I3510)+ABS(0.2-K3509*C3510/I3510)+ABS(0.2-L3509*D3510/I3510)+ABS(0.2-M3509*E3510/I3510)+ABS(0.2-N3509*F3510/I3510)),0)</f>
        <v/>
      </c>
      <c r="Q3510">
        <f>P3510*0.0015</f>
        <v/>
      </c>
      <c r="R3510">
        <f>I3510*(1-Q3510)</f>
        <v/>
      </c>
      <c r="S3510">
        <f>R3510/R3509-1</f>
        <v/>
      </c>
      <c r="T3510">
        <f>MAX(T3509,R3510)</f>
        <v/>
      </c>
      <c r="U3510">
        <f>R3510/T3510-1</f>
        <v/>
      </c>
      <c r="V3510" t="n">
        <v>8.931333891830668</v>
      </c>
      <c r="W3510" s="5">
        <f>R3510-V3510</f>
        <v/>
      </c>
    </row>
    <row r="3511">
      <c r="A3511" s="3" t="n">
        <v>43612</v>
      </c>
      <c r="B3511">
        <f>Prices!B3511</f>
        <v/>
      </c>
      <c r="C3511">
        <f>Prices!C3511</f>
        <v/>
      </c>
      <c r="D3511">
        <f>Prices!D3511</f>
        <v/>
      </c>
      <c r="E3511">
        <f>Prices!E3511</f>
        <v/>
      </c>
      <c r="F3511">
        <f>Prices!F3511</f>
        <v/>
      </c>
      <c r="G3511">
        <f>IF(AND(3509&gt;=16,TEXT(A3511,"yyyy-mm")&lt;&gt;TEXT(A3512,"yyyy-mm")),1,0)</f>
        <v/>
      </c>
      <c r="H3511">
        <f>IF(OR(H3510=1,G3511=1),1,0)</f>
        <v/>
      </c>
      <c r="I3511">
        <f>IF(H3510=0,1,SUMPRODUCT(J3510:N3510,B3511:F3511)+O3510*(1+0.00023125256064071564))</f>
        <v/>
      </c>
      <c r="J3511">
        <f>IF(G3511=1,0.2*R3511/B3511,J3510)</f>
        <v/>
      </c>
      <c r="K3511">
        <f>IF(G3511=1,0.2*R3511/C3511,K3510)</f>
        <v/>
      </c>
      <c r="L3511">
        <f>IF(G3511=1,0.2*R3511/D3511,L3510)</f>
        <v/>
      </c>
      <c r="M3511">
        <f>IF(G3511=1,0.2*R3511/E3511,M3510)</f>
        <v/>
      </c>
      <c r="N3511">
        <f>IF(G3511=1,0.2*R3511/F3511,N3510)</f>
        <v/>
      </c>
      <c r="O3511">
        <f>IF(G3511=1,R3511*(1-1.0),IF(H3510=0,1,O3510*(1+0.00023125256064071564)))</f>
        <v/>
      </c>
      <c r="P3511">
        <f>IF(G3511=1,IF(H3510=0,1,ABS(0.2-J3510*B3511/I3511)+ABS(0.2-K3510*C3511/I3511)+ABS(0.2-L3510*D3511/I3511)+ABS(0.2-M3510*E3511/I3511)+ABS(0.2-N3510*F3511/I3511)),0)</f>
        <v/>
      </c>
      <c r="Q3511">
        <f>P3511*0.0015</f>
        <v/>
      </c>
      <c r="R3511">
        <f>I3511*(1-Q3511)</f>
        <v/>
      </c>
      <c r="S3511">
        <f>R3511/R3510-1</f>
        <v/>
      </c>
      <c r="T3511">
        <f>MAX(T3510,R3511)</f>
        <v/>
      </c>
      <c r="U3511">
        <f>R3511/T3511-1</f>
        <v/>
      </c>
      <c r="V3511" t="n">
        <v>8.973230792837796</v>
      </c>
      <c r="W3511" s="5">
        <f>R3511-V3511</f>
        <v/>
      </c>
    </row>
    <row r="3512">
      <c r="A3512" s="3" t="n">
        <v>43613</v>
      </c>
      <c r="B3512">
        <f>Prices!B3512</f>
        <v/>
      </c>
      <c r="C3512">
        <f>Prices!C3512</f>
        <v/>
      </c>
      <c r="D3512">
        <f>Prices!D3512</f>
        <v/>
      </c>
      <c r="E3512">
        <f>Prices!E3512</f>
        <v/>
      </c>
      <c r="F3512">
        <f>Prices!F3512</f>
        <v/>
      </c>
      <c r="G3512">
        <f>IF(AND(3510&gt;=16,TEXT(A3512,"yyyy-mm")&lt;&gt;TEXT(A3513,"yyyy-mm")),1,0)</f>
        <v/>
      </c>
      <c r="H3512">
        <f>IF(OR(H3511=1,G3512=1),1,0)</f>
        <v/>
      </c>
      <c r="I3512">
        <f>IF(H3511=0,1,SUMPRODUCT(J3511:N3511,B3512:F3512)+O3511*(1+0.00023125256064071564))</f>
        <v/>
      </c>
      <c r="J3512">
        <f>IF(G3512=1,0.2*R3512/B3512,J3511)</f>
        <v/>
      </c>
      <c r="K3512">
        <f>IF(G3512=1,0.2*R3512/C3512,K3511)</f>
        <v/>
      </c>
      <c r="L3512">
        <f>IF(G3512=1,0.2*R3512/D3512,L3511)</f>
        <v/>
      </c>
      <c r="M3512">
        <f>IF(G3512=1,0.2*R3512/E3512,M3511)</f>
        <v/>
      </c>
      <c r="N3512">
        <f>IF(G3512=1,0.2*R3512/F3512,N3511)</f>
        <v/>
      </c>
      <c r="O3512">
        <f>IF(G3512=1,R3512*(1-1.0),IF(H3511=0,1,O3511*(1+0.00023125256064071564)))</f>
        <v/>
      </c>
      <c r="P3512">
        <f>IF(G3512=1,IF(H3511=0,1,ABS(0.2-J3511*B3512/I3512)+ABS(0.2-K3511*C3512/I3512)+ABS(0.2-L3511*D3512/I3512)+ABS(0.2-M3511*E3512/I3512)+ABS(0.2-N3511*F3512/I3512)),0)</f>
        <v/>
      </c>
      <c r="Q3512">
        <f>P3512*0.0015</f>
        <v/>
      </c>
      <c r="R3512">
        <f>I3512*(1-Q3512)</f>
        <v/>
      </c>
      <c r="S3512">
        <f>R3512/R3511-1</f>
        <v/>
      </c>
      <c r="T3512">
        <f>MAX(T3511,R3512)</f>
        <v/>
      </c>
      <c r="U3512">
        <f>R3512/T3512-1</f>
        <v/>
      </c>
      <c r="V3512" t="n">
        <v>8.990311100879477</v>
      </c>
      <c r="W3512" s="5">
        <f>R3512-V3512</f>
        <v/>
      </c>
    </row>
    <row r="3513">
      <c r="A3513" s="3" t="n">
        <v>43614</v>
      </c>
      <c r="B3513">
        <f>Prices!B3513</f>
        <v/>
      </c>
      <c r="C3513">
        <f>Prices!C3513</f>
        <v/>
      </c>
      <c r="D3513">
        <f>Prices!D3513</f>
        <v/>
      </c>
      <c r="E3513">
        <f>Prices!E3513</f>
        <v/>
      </c>
      <c r="F3513">
        <f>Prices!F3513</f>
        <v/>
      </c>
      <c r="G3513">
        <f>IF(AND(3511&gt;=16,TEXT(A3513,"yyyy-mm")&lt;&gt;TEXT(A3514,"yyyy-mm")),1,0)</f>
        <v/>
      </c>
      <c r="H3513">
        <f>IF(OR(H3512=1,G3513=1),1,0)</f>
        <v/>
      </c>
      <c r="I3513">
        <f>IF(H3512=0,1,SUMPRODUCT(J3512:N3512,B3513:F3513)+O3512*(1+0.00023125256064071564))</f>
        <v/>
      </c>
      <c r="J3513">
        <f>IF(G3513=1,0.2*R3513/B3513,J3512)</f>
        <v/>
      </c>
      <c r="K3513">
        <f>IF(G3513=1,0.2*R3513/C3513,K3512)</f>
        <v/>
      </c>
      <c r="L3513">
        <f>IF(G3513=1,0.2*R3513/D3513,L3512)</f>
        <v/>
      </c>
      <c r="M3513">
        <f>IF(G3513=1,0.2*R3513/E3513,M3512)</f>
        <v/>
      </c>
      <c r="N3513">
        <f>IF(G3513=1,0.2*R3513/F3513,N3512)</f>
        <v/>
      </c>
      <c r="O3513">
        <f>IF(G3513=1,R3513*(1-1.0),IF(H3512=0,1,O3512*(1+0.00023125256064071564)))</f>
        <v/>
      </c>
      <c r="P3513">
        <f>IF(G3513=1,IF(H3512=0,1,ABS(0.2-J3512*B3513/I3513)+ABS(0.2-K3512*C3513/I3513)+ABS(0.2-L3512*D3513/I3513)+ABS(0.2-M3512*E3513/I3513)+ABS(0.2-N3512*F3513/I3513)),0)</f>
        <v/>
      </c>
      <c r="Q3513">
        <f>P3513*0.0015</f>
        <v/>
      </c>
      <c r="R3513">
        <f>I3513*(1-Q3513)</f>
        <v/>
      </c>
      <c r="S3513">
        <f>R3513/R3512-1</f>
        <v/>
      </c>
      <c r="T3513">
        <f>MAX(T3512,R3513)</f>
        <v/>
      </c>
      <c r="U3513">
        <f>R3513/T3513-1</f>
        <v/>
      </c>
      <c r="V3513" t="n">
        <v>8.958068585220571</v>
      </c>
      <c r="W3513" s="5">
        <f>R3513-V3513</f>
        <v/>
      </c>
    </row>
    <row r="3514">
      <c r="A3514" s="3" t="n">
        <v>43615</v>
      </c>
      <c r="B3514">
        <f>Prices!B3514</f>
        <v/>
      </c>
      <c r="C3514">
        <f>Prices!C3514</f>
        <v/>
      </c>
      <c r="D3514">
        <f>Prices!D3514</f>
        <v/>
      </c>
      <c r="E3514">
        <f>Prices!E3514</f>
        <v/>
      </c>
      <c r="F3514">
        <f>Prices!F3514</f>
        <v/>
      </c>
      <c r="G3514">
        <f>IF(AND(3512&gt;=16,TEXT(A3514,"yyyy-mm")&lt;&gt;TEXT(A3515,"yyyy-mm")),1,0)</f>
        <v/>
      </c>
      <c r="H3514">
        <f>IF(OR(H3513=1,G3514=1),1,0)</f>
        <v/>
      </c>
      <c r="I3514">
        <f>IF(H3513=0,1,SUMPRODUCT(J3513:N3513,B3514:F3514)+O3513*(1+0.00023125256064071564))</f>
        <v/>
      </c>
      <c r="J3514">
        <f>IF(G3514=1,0.2*R3514/B3514,J3513)</f>
        <v/>
      </c>
      <c r="K3514">
        <f>IF(G3514=1,0.2*R3514/C3514,K3513)</f>
        <v/>
      </c>
      <c r="L3514">
        <f>IF(G3514=1,0.2*R3514/D3514,L3513)</f>
        <v/>
      </c>
      <c r="M3514">
        <f>IF(G3514=1,0.2*R3514/E3514,M3513)</f>
        <v/>
      </c>
      <c r="N3514">
        <f>IF(G3514=1,0.2*R3514/F3514,N3513)</f>
        <v/>
      </c>
      <c r="O3514">
        <f>IF(G3514=1,R3514*(1-1.0),IF(H3513=0,1,O3513*(1+0.00023125256064071564)))</f>
        <v/>
      </c>
      <c r="P3514">
        <f>IF(G3514=1,IF(H3513=0,1,ABS(0.2-J3513*B3514/I3514)+ABS(0.2-K3513*C3514/I3514)+ABS(0.2-L3513*D3514/I3514)+ABS(0.2-M3513*E3514/I3514)+ABS(0.2-N3513*F3514/I3514)),0)</f>
        <v/>
      </c>
      <c r="Q3514">
        <f>P3514*0.0015</f>
        <v/>
      </c>
      <c r="R3514">
        <f>I3514*(1-Q3514)</f>
        <v/>
      </c>
      <c r="S3514">
        <f>R3514/R3513-1</f>
        <v/>
      </c>
      <c r="T3514">
        <f>MAX(T3513,R3514)</f>
        <v/>
      </c>
      <c r="U3514">
        <f>R3514/T3514-1</f>
        <v/>
      </c>
      <c r="V3514" t="n">
        <v>9.007534950709104</v>
      </c>
      <c r="W3514" s="5">
        <f>R3514-V3514</f>
        <v/>
      </c>
    </row>
    <row r="3515">
      <c r="A3515" s="3" t="n">
        <v>43616</v>
      </c>
      <c r="B3515">
        <f>Prices!B3515</f>
        <v/>
      </c>
      <c r="C3515">
        <f>Prices!C3515</f>
        <v/>
      </c>
      <c r="D3515">
        <f>Prices!D3515</f>
        <v/>
      </c>
      <c r="E3515">
        <f>Prices!E3515</f>
        <v/>
      </c>
      <c r="F3515">
        <f>Prices!F3515</f>
        <v/>
      </c>
      <c r="G3515">
        <f>IF(AND(3513&gt;=16,TEXT(A3515,"yyyy-mm")&lt;&gt;TEXT(A3516,"yyyy-mm")),1,0)</f>
        <v/>
      </c>
      <c r="H3515">
        <f>IF(OR(H3514=1,G3515=1),1,0)</f>
        <v/>
      </c>
      <c r="I3515">
        <f>IF(H3514=0,1,SUMPRODUCT(J3514:N3514,B3515:F3515)+O3514*(1+0.00023125256064071564))</f>
        <v/>
      </c>
      <c r="J3515">
        <f>IF(G3515=1,0.2*R3515/B3515,J3514)</f>
        <v/>
      </c>
      <c r="K3515">
        <f>IF(G3515=1,0.2*R3515/C3515,K3514)</f>
        <v/>
      </c>
      <c r="L3515">
        <f>IF(G3515=1,0.2*R3515/D3515,L3514)</f>
        <v/>
      </c>
      <c r="M3515">
        <f>IF(G3515=1,0.2*R3515/E3515,M3514)</f>
        <v/>
      </c>
      <c r="N3515">
        <f>IF(G3515=1,0.2*R3515/F3515,N3514)</f>
        <v/>
      </c>
      <c r="O3515">
        <f>IF(G3515=1,R3515*(1-1.0),IF(H3514=0,1,O3514*(1+0.00023125256064071564)))</f>
        <v/>
      </c>
      <c r="P3515">
        <f>IF(G3515=1,IF(H3514=0,1,ABS(0.2-J3514*B3515/I3515)+ABS(0.2-K3514*C3515/I3515)+ABS(0.2-L3514*D3515/I3515)+ABS(0.2-M3514*E3515/I3515)+ABS(0.2-N3514*F3515/I3515)),0)</f>
        <v/>
      </c>
      <c r="Q3515">
        <f>P3515*0.0015</f>
        <v/>
      </c>
      <c r="R3515">
        <f>I3515*(1-Q3515)</f>
        <v/>
      </c>
      <c r="S3515">
        <f>R3515/R3514-1</f>
        <v/>
      </c>
      <c r="T3515">
        <f>MAX(T3514,R3515)</f>
        <v/>
      </c>
      <c r="U3515">
        <f>R3515/T3515-1</f>
        <v/>
      </c>
      <c r="V3515" t="n">
        <v>9.022264162456514</v>
      </c>
      <c r="W3515" s="5">
        <f>R3515-V3515</f>
        <v/>
      </c>
    </row>
    <row r="3516">
      <c r="A3516" s="3" t="n">
        <v>43619</v>
      </c>
      <c r="B3516">
        <f>Prices!B3516</f>
        <v/>
      </c>
      <c r="C3516">
        <f>Prices!C3516</f>
        <v/>
      </c>
      <c r="D3516">
        <f>Prices!D3516</f>
        <v/>
      </c>
      <c r="E3516">
        <f>Prices!E3516</f>
        <v/>
      </c>
      <c r="F3516">
        <f>Prices!F3516</f>
        <v/>
      </c>
      <c r="G3516">
        <f>IF(AND(3514&gt;=16,TEXT(A3516,"yyyy-mm")&lt;&gt;TEXT(A3517,"yyyy-mm")),1,0)</f>
        <v/>
      </c>
      <c r="H3516">
        <f>IF(OR(H3515=1,G3516=1),1,0)</f>
        <v/>
      </c>
      <c r="I3516">
        <f>IF(H3515=0,1,SUMPRODUCT(J3515:N3515,B3516:F3516)+O3515*(1+0.00023125256064071564))</f>
        <v/>
      </c>
      <c r="J3516">
        <f>IF(G3516=1,0.2*R3516/B3516,J3515)</f>
        <v/>
      </c>
      <c r="K3516">
        <f>IF(G3516=1,0.2*R3516/C3516,K3515)</f>
        <v/>
      </c>
      <c r="L3516">
        <f>IF(G3516=1,0.2*R3516/D3516,L3515)</f>
        <v/>
      </c>
      <c r="M3516">
        <f>IF(G3516=1,0.2*R3516/E3516,M3515)</f>
        <v/>
      </c>
      <c r="N3516">
        <f>IF(G3516=1,0.2*R3516/F3516,N3515)</f>
        <v/>
      </c>
      <c r="O3516">
        <f>IF(G3516=1,R3516*(1-1.0),IF(H3515=0,1,O3515*(1+0.00023125256064071564)))</f>
        <v/>
      </c>
      <c r="P3516">
        <f>IF(G3516=1,IF(H3515=0,1,ABS(0.2-J3515*B3516/I3516)+ABS(0.2-K3515*C3516/I3516)+ABS(0.2-L3515*D3516/I3516)+ABS(0.2-M3515*E3516/I3516)+ABS(0.2-N3515*F3516/I3516)),0)</f>
        <v/>
      </c>
      <c r="Q3516">
        <f>P3516*0.0015</f>
        <v/>
      </c>
      <c r="R3516">
        <f>I3516*(1-Q3516)</f>
        <v/>
      </c>
      <c r="S3516">
        <f>R3516/R3515-1</f>
        <v/>
      </c>
      <c r="T3516">
        <f>MAX(T3515,R3516)</f>
        <v/>
      </c>
      <c r="U3516">
        <f>R3516/T3516-1</f>
        <v/>
      </c>
      <c r="V3516" t="n">
        <v>9.143929260911941</v>
      </c>
      <c r="W3516" s="5">
        <f>R3516-V3516</f>
        <v/>
      </c>
    </row>
    <row r="3517">
      <c r="A3517" s="3" t="n">
        <v>43620</v>
      </c>
      <c r="B3517">
        <f>Prices!B3517</f>
        <v/>
      </c>
      <c r="C3517">
        <f>Prices!C3517</f>
        <v/>
      </c>
      <c r="D3517">
        <f>Prices!D3517</f>
        <v/>
      </c>
      <c r="E3517">
        <f>Prices!E3517</f>
        <v/>
      </c>
      <c r="F3517">
        <f>Prices!F3517</f>
        <v/>
      </c>
      <c r="G3517">
        <f>IF(AND(3515&gt;=16,TEXT(A3517,"yyyy-mm")&lt;&gt;TEXT(A3518,"yyyy-mm")),1,0)</f>
        <v/>
      </c>
      <c r="H3517">
        <f>IF(OR(H3516=1,G3517=1),1,0)</f>
        <v/>
      </c>
      <c r="I3517">
        <f>IF(H3516=0,1,SUMPRODUCT(J3516:N3516,B3517:F3517)+O3516*(1+0.00023125256064071564))</f>
        <v/>
      </c>
      <c r="J3517">
        <f>IF(G3517=1,0.2*R3517/B3517,J3516)</f>
        <v/>
      </c>
      <c r="K3517">
        <f>IF(G3517=1,0.2*R3517/C3517,K3516)</f>
        <v/>
      </c>
      <c r="L3517">
        <f>IF(G3517=1,0.2*R3517/D3517,L3516)</f>
        <v/>
      </c>
      <c r="M3517">
        <f>IF(G3517=1,0.2*R3517/E3517,M3516)</f>
        <v/>
      </c>
      <c r="N3517">
        <f>IF(G3517=1,0.2*R3517/F3517,N3516)</f>
        <v/>
      </c>
      <c r="O3517">
        <f>IF(G3517=1,R3517*(1-1.0),IF(H3516=0,1,O3516*(1+0.00023125256064071564)))</f>
        <v/>
      </c>
      <c r="P3517">
        <f>IF(G3517=1,IF(H3516=0,1,ABS(0.2-J3516*B3517/I3517)+ABS(0.2-K3516*C3517/I3517)+ABS(0.2-L3516*D3517/I3517)+ABS(0.2-M3516*E3517/I3517)+ABS(0.2-N3516*F3517/I3517)),0)</f>
        <v/>
      </c>
      <c r="Q3517">
        <f>P3517*0.0015</f>
        <v/>
      </c>
      <c r="R3517">
        <f>I3517*(1-Q3517)</f>
        <v/>
      </c>
      <c r="S3517">
        <f>R3517/R3516-1</f>
        <v/>
      </c>
      <c r="T3517">
        <f>MAX(T3516,R3517)</f>
        <v/>
      </c>
      <c r="U3517">
        <f>R3517/T3517-1</f>
        <v/>
      </c>
      <c r="V3517" t="n">
        <v>9.085934048350955</v>
      </c>
      <c r="W3517" s="5">
        <f>R3517-V3517</f>
        <v/>
      </c>
    </row>
    <row r="3518">
      <c r="A3518" s="3" t="n">
        <v>43622</v>
      </c>
      <c r="B3518">
        <f>Prices!B3518</f>
        <v/>
      </c>
      <c r="C3518">
        <f>Prices!C3518</f>
        <v/>
      </c>
      <c r="D3518">
        <f>Prices!D3518</f>
        <v/>
      </c>
      <c r="E3518">
        <f>Prices!E3518</f>
        <v/>
      </c>
      <c r="F3518">
        <f>Prices!F3518</f>
        <v/>
      </c>
      <c r="G3518">
        <f>IF(AND(3516&gt;=16,TEXT(A3518,"yyyy-mm")&lt;&gt;TEXT(A3519,"yyyy-mm")),1,0)</f>
        <v/>
      </c>
      <c r="H3518">
        <f>IF(OR(H3517=1,G3518=1),1,0)</f>
        <v/>
      </c>
      <c r="I3518">
        <f>IF(H3517=0,1,SUMPRODUCT(J3517:N3517,B3518:F3518)+O3517*(1+0.00023125256064071564))</f>
        <v/>
      </c>
      <c r="J3518">
        <f>IF(G3518=1,0.2*R3518/B3518,J3517)</f>
        <v/>
      </c>
      <c r="K3518">
        <f>IF(G3518=1,0.2*R3518/C3518,K3517)</f>
        <v/>
      </c>
      <c r="L3518">
        <f>IF(G3518=1,0.2*R3518/D3518,L3517)</f>
        <v/>
      </c>
      <c r="M3518">
        <f>IF(G3518=1,0.2*R3518/E3518,M3517)</f>
        <v/>
      </c>
      <c r="N3518">
        <f>IF(G3518=1,0.2*R3518/F3518,N3517)</f>
        <v/>
      </c>
      <c r="O3518">
        <f>IF(G3518=1,R3518*(1-1.0),IF(H3517=0,1,O3517*(1+0.00023125256064071564)))</f>
        <v/>
      </c>
      <c r="P3518">
        <f>IF(G3518=1,IF(H3517=0,1,ABS(0.2-J3517*B3518/I3518)+ABS(0.2-K3517*C3518/I3518)+ABS(0.2-L3517*D3518/I3518)+ABS(0.2-M3517*E3518/I3518)+ABS(0.2-N3517*F3518/I3518)),0)</f>
        <v/>
      </c>
      <c r="Q3518">
        <f>P3518*0.0015</f>
        <v/>
      </c>
      <c r="R3518">
        <f>I3518*(1-Q3518)</f>
        <v/>
      </c>
      <c r="S3518">
        <f>R3518/R3517-1</f>
        <v/>
      </c>
      <c r="T3518">
        <f>MAX(T3517,R3518)</f>
        <v/>
      </c>
      <c r="U3518">
        <f>R3518/T3518-1</f>
        <v/>
      </c>
      <c r="V3518" t="n">
        <v>8.987177993180978</v>
      </c>
      <c r="W3518" s="5">
        <f>R3518-V3518</f>
        <v/>
      </c>
    </row>
    <row r="3519">
      <c r="A3519" s="3" t="n">
        <v>43623</v>
      </c>
      <c r="B3519">
        <f>Prices!B3519</f>
        <v/>
      </c>
      <c r="C3519">
        <f>Prices!C3519</f>
        <v/>
      </c>
      <c r="D3519">
        <f>Prices!D3519</f>
        <v/>
      </c>
      <c r="E3519">
        <f>Prices!E3519</f>
        <v/>
      </c>
      <c r="F3519">
        <f>Prices!F3519</f>
        <v/>
      </c>
      <c r="G3519">
        <f>IF(AND(3517&gt;=16,TEXT(A3519,"yyyy-mm")&lt;&gt;TEXT(A3520,"yyyy-mm")),1,0)</f>
        <v/>
      </c>
      <c r="H3519">
        <f>IF(OR(H3518=1,G3519=1),1,0)</f>
        <v/>
      </c>
      <c r="I3519">
        <f>IF(H3518=0,1,SUMPRODUCT(J3518:N3518,B3519:F3519)+O3518*(1+0.00023125256064071564))</f>
        <v/>
      </c>
      <c r="J3519">
        <f>IF(G3519=1,0.2*R3519/B3519,J3518)</f>
        <v/>
      </c>
      <c r="K3519">
        <f>IF(G3519=1,0.2*R3519/C3519,K3518)</f>
        <v/>
      </c>
      <c r="L3519">
        <f>IF(G3519=1,0.2*R3519/D3519,L3518)</f>
        <v/>
      </c>
      <c r="M3519">
        <f>IF(G3519=1,0.2*R3519/E3519,M3518)</f>
        <v/>
      </c>
      <c r="N3519">
        <f>IF(G3519=1,0.2*R3519/F3519,N3518)</f>
        <v/>
      </c>
      <c r="O3519">
        <f>IF(G3519=1,R3519*(1-1.0),IF(H3518=0,1,O3518*(1+0.00023125256064071564)))</f>
        <v/>
      </c>
      <c r="P3519">
        <f>IF(G3519=1,IF(H3518=0,1,ABS(0.2-J3518*B3519/I3519)+ABS(0.2-K3518*C3519/I3519)+ABS(0.2-L3518*D3519/I3519)+ABS(0.2-M3518*E3519/I3519)+ABS(0.2-N3518*F3519/I3519)),0)</f>
        <v/>
      </c>
      <c r="Q3519">
        <f>P3519*0.0015</f>
        <v/>
      </c>
      <c r="R3519">
        <f>I3519*(1-Q3519)</f>
        <v/>
      </c>
      <c r="S3519">
        <f>R3519/R3518-1</f>
        <v/>
      </c>
      <c r="T3519">
        <f>MAX(T3518,R3519)</f>
        <v/>
      </c>
      <c r="U3519">
        <f>R3519/T3519-1</f>
        <v/>
      </c>
      <c r="V3519" t="n">
        <v>8.984583380476487</v>
      </c>
      <c r="W3519" s="5">
        <f>R3519-V3519</f>
        <v/>
      </c>
    </row>
    <row r="3520">
      <c r="A3520" s="3" t="n">
        <v>43626</v>
      </c>
      <c r="B3520">
        <f>Prices!B3520</f>
        <v/>
      </c>
      <c r="C3520">
        <f>Prices!C3520</f>
        <v/>
      </c>
      <c r="D3520">
        <f>Prices!D3520</f>
        <v/>
      </c>
      <c r="E3520">
        <f>Prices!E3520</f>
        <v/>
      </c>
      <c r="F3520">
        <f>Prices!F3520</f>
        <v/>
      </c>
      <c r="G3520">
        <f>IF(AND(3518&gt;=16,TEXT(A3520,"yyyy-mm")&lt;&gt;TEXT(A3521,"yyyy-mm")),1,0)</f>
        <v/>
      </c>
      <c r="H3520">
        <f>IF(OR(H3519=1,G3520=1),1,0)</f>
        <v/>
      </c>
      <c r="I3520">
        <f>IF(H3519=0,1,SUMPRODUCT(J3519:N3519,B3520:F3520)+O3519*(1+0.00023125256064071564))</f>
        <v/>
      </c>
      <c r="J3520">
        <f>IF(G3520=1,0.2*R3520/B3520,J3519)</f>
        <v/>
      </c>
      <c r="K3520">
        <f>IF(G3520=1,0.2*R3520/C3520,K3519)</f>
        <v/>
      </c>
      <c r="L3520">
        <f>IF(G3520=1,0.2*R3520/D3520,L3519)</f>
        <v/>
      </c>
      <c r="M3520">
        <f>IF(G3520=1,0.2*R3520/E3520,M3519)</f>
        <v/>
      </c>
      <c r="N3520">
        <f>IF(G3520=1,0.2*R3520/F3520,N3519)</f>
        <v/>
      </c>
      <c r="O3520">
        <f>IF(G3520=1,R3520*(1-1.0),IF(H3519=0,1,O3519*(1+0.00023125256064071564)))</f>
        <v/>
      </c>
      <c r="P3520">
        <f>IF(G3520=1,IF(H3519=0,1,ABS(0.2-J3519*B3520/I3520)+ABS(0.2-K3519*C3520/I3520)+ABS(0.2-L3519*D3520/I3520)+ABS(0.2-M3519*E3520/I3520)+ABS(0.2-N3519*F3520/I3520)),0)</f>
        <v/>
      </c>
      <c r="Q3520">
        <f>P3520*0.0015</f>
        <v/>
      </c>
      <c r="R3520">
        <f>I3520*(1-Q3520)</f>
        <v/>
      </c>
      <c r="S3520">
        <f>R3520/R3519-1</f>
        <v/>
      </c>
      <c r="T3520">
        <f>MAX(T3519,R3520)</f>
        <v/>
      </c>
      <c r="U3520">
        <f>R3520/T3520-1</f>
        <v/>
      </c>
      <c r="V3520" t="n">
        <v>9.018794180700132</v>
      </c>
      <c r="W3520" s="5">
        <f>R3520-V3520</f>
        <v/>
      </c>
    </row>
    <row r="3521">
      <c r="A3521" s="3" t="n">
        <v>43627</v>
      </c>
      <c r="B3521">
        <f>Prices!B3521</f>
        <v/>
      </c>
      <c r="C3521">
        <f>Prices!C3521</f>
        <v/>
      </c>
      <c r="D3521">
        <f>Prices!D3521</f>
        <v/>
      </c>
      <c r="E3521">
        <f>Prices!E3521</f>
        <v/>
      </c>
      <c r="F3521">
        <f>Prices!F3521</f>
        <v/>
      </c>
      <c r="G3521">
        <f>IF(AND(3519&gt;=16,TEXT(A3521,"yyyy-mm")&lt;&gt;TEXT(A3522,"yyyy-mm")),1,0)</f>
        <v/>
      </c>
      <c r="H3521">
        <f>IF(OR(H3520=1,G3521=1),1,0)</f>
        <v/>
      </c>
      <c r="I3521">
        <f>IF(H3520=0,1,SUMPRODUCT(J3520:N3520,B3521:F3521)+O3520*(1+0.00023125256064071564))</f>
        <v/>
      </c>
      <c r="J3521">
        <f>IF(G3521=1,0.2*R3521/B3521,J3520)</f>
        <v/>
      </c>
      <c r="K3521">
        <f>IF(G3521=1,0.2*R3521/C3521,K3520)</f>
        <v/>
      </c>
      <c r="L3521">
        <f>IF(G3521=1,0.2*R3521/D3521,L3520)</f>
        <v/>
      </c>
      <c r="M3521">
        <f>IF(G3521=1,0.2*R3521/E3521,M3520)</f>
        <v/>
      </c>
      <c r="N3521">
        <f>IF(G3521=1,0.2*R3521/F3521,N3520)</f>
        <v/>
      </c>
      <c r="O3521">
        <f>IF(G3521=1,R3521*(1-1.0),IF(H3520=0,1,O3520*(1+0.00023125256064071564)))</f>
        <v/>
      </c>
      <c r="P3521">
        <f>IF(G3521=1,IF(H3520=0,1,ABS(0.2-J3520*B3521/I3521)+ABS(0.2-K3520*C3521/I3521)+ABS(0.2-L3520*D3521/I3521)+ABS(0.2-M3520*E3521/I3521)+ABS(0.2-N3520*F3521/I3521)),0)</f>
        <v/>
      </c>
      <c r="Q3521">
        <f>P3521*0.0015</f>
        <v/>
      </c>
      <c r="R3521">
        <f>I3521*(1-Q3521)</f>
        <v/>
      </c>
      <c r="S3521">
        <f>R3521/R3520-1</f>
        <v/>
      </c>
      <c r="T3521">
        <f>MAX(T3520,R3521)</f>
        <v/>
      </c>
      <c r="U3521">
        <f>R3521/T3521-1</f>
        <v/>
      </c>
      <c r="V3521" t="n">
        <v>9.052758420413255</v>
      </c>
      <c r="W3521" s="5">
        <f>R3521-V3521</f>
        <v/>
      </c>
    </row>
    <row r="3522">
      <c r="A3522" s="3" t="n">
        <v>43628</v>
      </c>
      <c r="B3522">
        <f>Prices!B3522</f>
        <v/>
      </c>
      <c r="C3522">
        <f>Prices!C3522</f>
        <v/>
      </c>
      <c r="D3522">
        <f>Prices!D3522</f>
        <v/>
      </c>
      <c r="E3522">
        <f>Prices!E3522</f>
        <v/>
      </c>
      <c r="F3522">
        <f>Prices!F3522</f>
        <v/>
      </c>
      <c r="G3522">
        <f>IF(AND(3520&gt;=16,TEXT(A3522,"yyyy-mm")&lt;&gt;TEXT(A3523,"yyyy-mm")),1,0)</f>
        <v/>
      </c>
      <c r="H3522">
        <f>IF(OR(H3521=1,G3522=1),1,0)</f>
        <v/>
      </c>
      <c r="I3522">
        <f>IF(H3521=0,1,SUMPRODUCT(J3521:N3521,B3522:F3522)+O3521*(1+0.00023125256064071564))</f>
        <v/>
      </c>
      <c r="J3522">
        <f>IF(G3522=1,0.2*R3522/B3522,J3521)</f>
        <v/>
      </c>
      <c r="K3522">
        <f>IF(G3522=1,0.2*R3522/C3522,K3521)</f>
        <v/>
      </c>
      <c r="L3522">
        <f>IF(G3522=1,0.2*R3522/D3522,L3521)</f>
        <v/>
      </c>
      <c r="M3522">
        <f>IF(G3522=1,0.2*R3522/E3522,M3521)</f>
        <v/>
      </c>
      <c r="N3522">
        <f>IF(G3522=1,0.2*R3522/F3522,N3521)</f>
        <v/>
      </c>
      <c r="O3522">
        <f>IF(G3522=1,R3522*(1-1.0),IF(H3521=0,1,O3521*(1+0.00023125256064071564)))</f>
        <v/>
      </c>
      <c r="P3522">
        <f>IF(G3522=1,IF(H3521=0,1,ABS(0.2-J3521*B3522/I3522)+ABS(0.2-K3521*C3522/I3522)+ABS(0.2-L3521*D3522/I3522)+ABS(0.2-M3521*E3522/I3522)+ABS(0.2-N3521*F3522/I3522)),0)</f>
        <v/>
      </c>
      <c r="Q3522">
        <f>P3522*0.0015</f>
        <v/>
      </c>
      <c r="R3522">
        <f>I3522*(1-Q3522)</f>
        <v/>
      </c>
      <c r="S3522">
        <f>R3522/R3521-1</f>
        <v/>
      </c>
      <c r="T3522">
        <f>MAX(T3521,R3522)</f>
        <v/>
      </c>
      <c r="U3522">
        <f>R3522/T3522-1</f>
        <v/>
      </c>
      <c r="V3522" t="n">
        <v>9.006948920721577</v>
      </c>
      <c r="W3522" s="5">
        <f>R3522-V3522</f>
        <v/>
      </c>
    </row>
    <row r="3523">
      <c r="A3523" s="3" t="n">
        <v>43629</v>
      </c>
      <c r="B3523">
        <f>Prices!B3523</f>
        <v/>
      </c>
      <c r="C3523">
        <f>Prices!C3523</f>
        <v/>
      </c>
      <c r="D3523">
        <f>Prices!D3523</f>
        <v/>
      </c>
      <c r="E3523">
        <f>Prices!E3523</f>
        <v/>
      </c>
      <c r="F3523">
        <f>Prices!F3523</f>
        <v/>
      </c>
      <c r="G3523">
        <f>IF(AND(3521&gt;=16,TEXT(A3523,"yyyy-mm")&lt;&gt;TEXT(A3524,"yyyy-mm")),1,0)</f>
        <v/>
      </c>
      <c r="H3523">
        <f>IF(OR(H3522=1,G3523=1),1,0)</f>
        <v/>
      </c>
      <c r="I3523">
        <f>IF(H3522=0,1,SUMPRODUCT(J3522:N3522,B3523:F3523)+O3522*(1+0.00023125256064071564))</f>
        <v/>
      </c>
      <c r="J3523">
        <f>IF(G3523=1,0.2*R3523/B3523,J3522)</f>
        <v/>
      </c>
      <c r="K3523">
        <f>IF(G3523=1,0.2*R3523/C3523,K3522)</f>
        <v/>
      </c>
      <c r="L3523">
        <f>IF(G3523=1,0.2*R3523/D3523,L3522)</f>
        <v/>
      </c>
      <c r="M3523">
        <f>IF(G3523=1,0.2*R3523/E3523,M3522)</f>
        <v/>
      </c>
      <c r="N3523">
        <f>IF(G3523=1,0.2*R3523/F3523,N3522)</f>
        <v/>
      </c>
      <c r="O3523">
        <f>IF(G3523=1,R3523*(1-1.0),IF(H3522=0,1,O3522*(1+0.00023125256064071564)))</f>
        <v/>
      </c>
      <c r="P3523">
        <f>IF(G3523=1,IF(H3522=0,1,ABS(0.2-J3522*B3523/I3523)+ABS(0.2-K3522*C3523/I3523)+ABS(0.2-L3522*D3523/I3523)+ABS(0.2-M3522*E3523/I3523)+ABS(0.2-N3522*F3523/I3523)),0)</f>
        <v/>
      </c>
      <c r="Q3523">
        <f>P3523*0.0015</f>
        <v/>
      </c>
      <c r="R3523">
        <f>I3523*(1-Q3523)</f>
        <v/>
      </c>
      <c r="S3523">
        <f>R3523/R3522-1</f>
        <v/>
      </c>
      <c r="T3523">
        <f>MAX(T3522,R3523)</f>
        <v/>
      </c>
      <c r="U3523">
        <f>R3523/T3523-1</f>
        <v/>
      </c>
      <c r="V3523" t="n">
        <v>8.993223951466797</v>
      </c>
      <c r="W3523" s="5">
        <f>R3523-V3523</f>
        <v/>
      </c>
    </row>
    <row r="3524">
      <c r="A3524" s="3" t="n">
        <v>43630</v>
      </c>
      <c r="B3524">
        <f>Prices!B3524</f>
        <v/>
      </c>
      <c r="C3524">
        <f>Prices!C3524</f>
        <v/>
      </c>
      <c r="D3524">
        <f>Prices!D3524</f>
        <v/>
      </c>
      <c r="E3524">
        <f>Prices!E3524</f>
        <v/>
      </c>
      <c r="F3524">
        <f>Prices!F3524</f>
        <v/>
      </c>
      <c r="G3524">
        <f>IF(AND(3522&gt;=16,TEXT(A3524,"yyyy-mm")&lt;&gt;TEXT(A3525,"yyyy-mm")),1,0)</f>
        <v/>
      </c>
      <c r="H3524">
        <f>IF(OR(H3523=1,G3524=1),1,0)</f>
        <v/>
      </c>
      <c r="I3524">
        <f>IF(H3523=0,1,SUMPRODUCT(J3523:N3523,B3524:F3524)+O3523*(1+0.00023125256064071564))</f>
        <v/>
      </c>
      <c r="J3524">
        <f>IF(G3524=1,0.2*R3524/B3524,J3523)</f>
        <v/>
      </c>
      <c r="K3524">
        <f>IF(G3524=1,0.2*R3524/C3524,K3523)</f>
        <v/>
      </c>
      <c r="L3524">
        <f>IF(G3524=1,0.2*R3524/D3524,L3523)</f>
        <v/>
      </c>
      <c r="M3524">
        <f>IF(G3524=1,0.2*R3524/E3524,M3523)</f>
        <v/>
      </c>
      <c r="N3524">
        <f>IF(G3524=1,0.2*R3524/F3524,N3523)</f>
        <v/>
      </c>
      <c r="O3524">
        <f>IF(G3524=1,R3524*(1-1.0),IF(H3523=0,1,O3523*(1+0.00023125256064071564)))</f>
        <v/>
      </c>
      <c r="P3524">
        <f>IF(G3524=1,IF(H3523=0,1,ABS(0.2-J3523*B3524/I3524)+ABS(0.2-K3523*C3524/I3524)+ABS(0.2-L3523*D3524/I3524)+ABS(0.2-M3523*E3524/I3524)+ABS(0.2-N3523*F3524/I3524)),0)</f>
        <v/>
      </c>
      <c r="Q3524">
        <f>P3524*0.0015</f>
        <v/>
      </c>
      <c r="R3524">
        <f>I3524*(1-Q3524)</f>
        <v/>
      </c>
      <c r="S3524">
        <f>R3524/R3523-1</f>
        <v/>
      </c>
      <c r="T3524">
        <f>MAX(T3523,R3524)</f>
        <v/>
      </c>
      <c r="U3524">
        <f>R3524/T3524-1</f>
        <v/>
      </c>
      <c r="V3524" t="n">
        <v>8.922386353377403</v>
      </c>
      <c r="W3524" s="5">
        <f>R3524-V3524</f>
        <v/>
      </c>
    </row>
    <row r="3525">
      <c r="A3525" s="3" t="n">
        <v>43633</v>
      </c>
      <c r="B3525">
        <f>Prices!B3525</f>
        <v/>
      </c>
      <c r="C3525">
        <f>Prices!C3525</f>
        <v/>
      </c>
      <c r="D3525">
        <f>Prices!D3525</f>
        <v/>
      </c>
      <c r="E3525">
        <f>Prices!E3525</f>
        <v/>
      </c>
      <c r="F3525">
        <f>Prices!F3525</f>
        <v/>
      </c>
      <c r="G3525">
        <f>IF(AND(3523&gt;=16,TEXT(A3525,"yyyy-mm")&lt;&gt;TEXT(A3526,"yyyy-mm")),1,0)</f>
        <v/>
      </c>
      <c r="H3525">
        <f>IF(OR(H3524=1,G3525=1),1,0)</f>
        <v/>
      </c>
      <c r="I3525">
        <f>IF(H3524=0,1,SUMPRODUCT(J3524:N3524,B3525:F3525)+O3524*(1+0.00023125256064071564))</f>
        <v/>
      </c>
      <c r="J3525">
        <f>IF(G3525=1,0.2*R3525/B3525,J3524)</f>
        <v/>
      </c>
      <c r="K3525">
        <f>IF(G3525=1,0.2*R3525/C3525,K3524)</f>
        <v/>
      </c>
      <c r="L3525">
        <f>IF(G3525=1,0.2*R3525/D3525,L3524)</f>
        <v/>
      </c>
      <c r="M3525">
        <f>IF(G3525=1,0.2*R3525/E3525,M3524)</f>
        <v/>
      </c>
      <c r="N3525">
        <f>IF(G3525=1,0.2*R3525/F3525,N3524)</f>
        <v/>
      </c>
      <c r="O3525">
        <f>IF(G3525=1,R3525*(1-1.0),IF(H3524=0,1,O3524*(1+0.00023125256064071564)))</f>
        <v/>
      </c>
      <c r="P3525">
        <f>IF(G3525=1,IF(H3524=0,1,ABS(0.2-J3524*B3525/I3525)+ABS(0.2-K3524*C3525/I3525)+ABS(0.2-L3524*D3525/I3525)+ABS(0.2-M3524*E3525/I3525)+ABS(0.2-N3524*F3525/I3525)),0)</f>
        <v/>
      </c>
      <c r="Q3525">
        <f>P3525*0.0015</f>
        <v/>
      </c>
      <c r="R3525">
        <f>I3525*(1-Q3525)</f>
        <v/>
      </c>
      <c r="S3525">
        <f>R3525/R3524-1</f>
        <v/>
      </c>
      <c r="T3525">
        <f>MAX(T3524,R3525)</f>
        <v/>
      </c>
      <c r="U3525">
        <f>R3525/T3525-1</f>
        <v/>
      </c>
      <c r="V3525" t="n">
        <v>8.810854331637582</v>
      </c>
      <c r="W3525" s="5">
        <f>R3525-V3525</f>
        <v/>
      </c>
    </row>
    <row r="3526">
      <c r="A3526" s="3" t="n">
        <v>43634</v>
      </c>
      <c r="B3526">
        <f>Prices!B3526</f>
        <v/>
      </c>
      <c r="C3526">
        <f>Prices!C3526</f>
        <v/>
      </c>
      <c r="D3526">
        <f>Prices!D3526</f>
        <v/>
      </c>
      <c r="E3526">
        <f>Prices!E3526</f>
        <v/>
      </c>
      <c r="F3526">
        <f>Prices!F3526</f>
        <v/>
      </c>
      <c r="G3526">
        <f>IF(AND(3524&gt;=16,TEXT(A3526,"yyyy-mm")&lt;&gt;TEXT(A3527,"yyyy-mm")),1,0)</f>
        <v/>
      </c>
      <c r="H3526">
        <f>IF(OR(H3525=1,G3526=1),1,0)</f>
        <v/>
      </c>
      <c r="I3526">
        <f>IF(H3525=0,1,SUMPRODUCT(J3525:N3525,B3526:F3526)+O3525*(1+0.00023125256064071564))</f>
        <v/>
      </c>
      <c r="J3526">
        <f>IF(G3526=1,0.2*R3526/B3526,J3525)</f>
        <v/>
      </c>
      <c r="K3526">
        <f>IF(G3526=1,0.2*R3526/C3526,K3525)</f>
        <v/>
      </c>
      <c r="L3526">
        <f>IF(G3526=1,0.2*R3526/D3526,L3525)</f>
        <v/>
      </c>
      <c r="M3526">
        <f>IF(G3526=1,0.2*R3526/E3526,M3525)</f>
        <v/>
      </c>
      <c r="N3526">
        <f>IF(G3526=1,0.2*R3526/F3526,N3525)</f>
        <v/>
      </c>
      <c r="O3526">
        <f>IF(G3526=1,R3526*(1-1.0),IF(H3525=0,1,O3525*(1+0.00023125256064071564)))</f>
        <v/>
      </c>
      <c r="P3526">
        <f>IF(G3526=1,IF(H3525=0,1,ABS(0.2-J3525*B3526/I3526)+ABS(0.2-K3525*C3526/I3526)+ABS(0.2-L3525*D3526/I3526)+ABS(0.2-M3525*E3526/I3526)+ABS(0.2-N3525*F3526/I3526)),0)</f>
        <v/>
      </c>
      <c r="Q3526">
        <f>P3526*0.0015</f>
        <v/>
      </c>
      <c r="R3526">
        <f>I3526*(1-Q3526)</f>
        <v/>
      </c>
      <c r="S3526">
        <f>R3526/R3525-1</f>
        <v/>
      </c>
      <c r="T3526">
        <f>MAX(T3525,R3526)</f>
        <v/>
      </c>
      <c r="U3526">
        <f>R3526/T3526-1</f>
        <v/>
      </c>
      <c r="V3526" t="n">
        <v>8.817955160008305</v>
      </c>
      <c r="W3526" s="5">
        <f>R3526-V3526</f>
        <v/>
      </c>
    </row>
    <row r="3527">
      <c r="A3527" s="3" t="n">
        <v>43635</v>
      </c>
      <c r="B3527">
        <f>Prices!B3527</f>
        <v/>
      </c>
      <c r="C3527">
        <f>Prices!C3527</f>
        <v/>
      </c>
      <c r="D3527">
        <f>Prices!D3527</f>
        <v/>
      </c>
      <c r="E3527">
        <f>Prices!E3527</f>
        <v/>
      </c>
      <c r="F3527">
        <f>Prices!F3527</f>
        <v/>
      </c>
      <c r="G3527">
        <f>IF(AND(3525&gt;=16,TEXT(A3527,"yyyy-mm")&lt;&gt;TEXT(A3528,"yyyy-mm")),1,0)</f>
        <v/>
      </c>
      <c r="H3527">
        <f>IF(OR(H3526=1,G3527=1),1,0)</f>
        <v/>
      </c>
      <c r="I3527">
        <f>IF(H3526=0,1,SUMPRODUCT(J3526:N3526,B3527:F3527)+O3526*(1+0.00023125256064071564))</f>
        <v/>
      </c>
      <c r="J3527">
        <f>IF(G3527=1,0.2*R3527/B3527,J3526)</f>
        <v/>
      </c>
      <c r="K3527">
        <f>IF(G3527=1,0.2*R3527/C3527,K3526)</f>
        <v/>
      </c>
      <c r="L3527">
        <f>IF(G3527=1,0.2*R3527/D3527,L3526)</f>
        <v/>
      </c>
      <c r="M3527">
        <f>IF(G3527=1,0.2*R3527/E3527,M3526)</f>
        <v/>
      </c>
      <c r="N3527">
        <f>IF(G3527=1,0.2*R3527/F3527,N3526)</f>
        <v/>
      </c>
      <c r="O3527">
        <f>IF(G3527=1,R3527*(1-1.0),IF(H3526=0,1,O3526*(1+0.00023125256064071564)))</f>
        <v/>
      </c>
      <c r="P3527">
        <f>IF(G3527=1,IF(H3526=0,1,ABS(0.2-J3526*B3527/I3527)+ABS(0.2-K3526*C3527/I3527)+ABS(0.2-L3526*D3527/I3527)+ABS(0.2-M3526*E3527/I3527)+ABS(0.2-N3526*F3527/I3527)),0)</f>
        <v/>
      </c>
      <c r="Q3527">
        <f>P3527*0.0015</f>
        <v/>
      </c>
      <c r="R3527">
        <f>I3527*(1-Q3527)</f>
        <v/>
      </c>
      <c r="S3527">
        <f>R3527/R3526-1</f>
        <v/>
      </c>
      <c r="T3527">
        <f>MAX(T3526,R3527)</f>
        <v/>
      </c>
      <c r="U3527">
        <f>R3527/T3527-1</f>
        <v/>
      </c>
      <c r="V3527" t="n">
        <v>8.77456141355904</v>
      </c>
      <c r="W3527" s="5">
        <f>R3527-V3527</f>
        <v/>
      </c>
    </row>
    <row r="3528">
      <c r="A3528" s="3" t="n">
        <v>43636</v>
      </c>
      <c r="B3528">
        <f>Prices!B3528</f>
        <v/>
      </c>
      <c r="C3528">
        <f>Prices!C3528</f>
        <v/>
      </c>
      <c r="D3528">
        <f>Prices!D3528</f>
        <v/>
      </c>
      <c r="E3528">
        <f>Prices!E3528</f>
        <v/>
      </c>
      <c r="F3528">
        <f>Prices!F3528</f>
        <v/>
      </c>
      <c r="G3528">
        <f>IF(AND(3526&gt;=16,TEXT(A3528,"yyyy-mm")&lt;&gt;TEXT(A3529,"yyyy-mm")),1,0)</f>
        <v/>
      </c>
      <c r="H3528">
        <f>IF(OR(H3527=1,G3528=1),1,0)</f>
        <v/>
      </c>
      <c r="I3528">
        <f>IF(H3527=0,1,SUMPRODUCT(J3527:N3527,B3528:F3528)+O3527*(1+0.00023125256064071564))</f>
        <v/>
      </c>
      <c r="J3528">
        <f>IF(G3528=1,0.2*R3528/B3528,J3527)</f>
        <v/>
      </c>
      <c r="K3528">
        <f>IF(G3528=1,0.2*R3528/C3528,K3527)</f>
        <v/>
      </c>
      <c r="L3528">
        <f>IF(G3528=1,0.2*R3528/D3528,L3527)</f>
        <v/>
      </c>
      <c r="M3528">
        <f>IF(G3528=1,0.2*R3528/E3528,M3527)</f>
        <v/>
      </c>
      <c r="N3528">
        <f>IF(G3528=1,0.2*R3528/F3528,N3527)</f>
        <v/>
      </c>
      <c r="O3528">
        <f>IF(G3528=1,R3528*(1-1.0),IF(H3527=0,1,O3527*(1+0.00023125256064071564)))</f>
        <v/>
      </c>
      <c r="P3528">
        <f>IF(G3528=1,IF(H3527=0,1,ABS(0.2-J3527*B3528/I3528)+ABS(0.2-K3527*C3528/I3528)+ABS(0.2-L3527*D3528/I3528)+ABS(0.2-M3527*E3528/I3528)+ABS(0.2-N3527*F3528/I3528)),0)</f>
        <v/>
      </c>
      <c r="Q3528">
        <f>P3528*0.0015</f>
        <v/>
      </c>
      <c r="R3528">
        <f>I3528*(1-Q3528)</f>
        <v/>
      </c>
      <c r="S3528">
        <f>R3528/R3527-1</f>
        <v/>
      </c>
      <c r="T3528">
        <f>MAX(T3527,R3528)</f>
        <v/>
      </c>
      <c r="U3528">
        <f>R3528/T3528-1</f>
        <v/>
      </c>
      <c r="V3528" t="n">
        <v>8.866708944645602</v>
      </c>
      <c r="W3528" s="5">
        <f>R3528-V3528</f>
        <v/>
      </c>
    </row>
    <row r="3529">
      <c r="A3529" s="3" t="n">
        <v>43637</v>
      </c>
      <c r="B3529">
        <f>Prices!B3529</f>
        <v/>
      </c>
      <c r="C3529">
        <f>Prices!C3529</f>
        <v/>
      </c>
      <c r="D3529">
        <f>Prices!D3529</f>
        <v/>
      </c>
      <c r="E3529">
        <f>Prices!E3529</f>
        <v/>
      </c>
      <c r="F3529">
        <f>Prices!F3529</f>
        <v/>
      </c>
      <c r="G3529">
        <f>IF(AND(3527&gt;=16,TEXT(A3529,"yyyy-mm")&lt;&gt;TEXT(A3530,"yyyy-mm")),1,0)</f>
        <v/>
      </c>
      <c r="H3529">
        <f>IF(OR(H3528=1,G3529=1),1,0)</f>
        <v/>
      </c>
      <c r="I3529">
        <f>IF(H3528=0,1,SUMPRODUCT(J3528:N3528,B3529:F3529)+O3528*(1+0.00023125256064071564))</f>
        <v/>
      </c>
      <c r="J3529">
        <f>IF(G3529=1,0.2*R3529/B3529,J3528)</f>
        <v/>
      </c>
      <c r="K3529">
        <f>IF(G3529=1,0.2*R3529/C3529,K3528)</f>
        <v/>
      </c>
      <c r="L3529">
        <f>IF(G3529=1,0.2*R3529/D3529,L3528)</f>
        <v/>
      </c>
      <c r="M3529">
        <f>IF(G3529=1,0.2*R3529/E3529,M3528)</f>
        <v/>
      </c>
      <c r="N3529">
        <f>IF(G3529=1,0.2*R3529/F3529,N3528)</f>
        <v/>
      </c>
      <c r="O3529">
        <f>IF(G3529=1,R3529*(1-1.0),IF(H3528=0,1,O3528*(1+0.00023125256064071564)))</f>
        <v/>
      </c>
      <c r="P3529">
        <f>IF(G3529=1,IF(H3528=0,1,ABS(0.2-J3528*B3529/I3529)+ABS(0.2-K3528*C3529/I3529)+ABS(0.2-L3528*D3529/I3529)+ABS(0.2-M3528*E3529/I3529)+ABS(0.2-N3528*F3529/I3529)),0)</f>
        <v/>
      </c>
      <c r="Q3529">
        <f>P3529*0.0015</f>
        <v/>
      </c>
      <c r="R3529">
        <f>I3529*(1-Q3529)</f>
        <v/>
      </c>
      <c r="S3529">
        <f>R3529/R3528-1</f>
        <v/>
      </c>
      <c r="T3529">
        <f>MAX(T3528,R3529)</f>
        <v/>
      </c>
      <c r="U3529">
        <f>R3529/T3529-1</f>
        <v/>
      </c>
      <c r="V3529" t="n">
        <v>8.824197704250677</v>
      </c>
      <c r="W3529" s="5">
        <f>R3529-V3529</f>
        <v/>
      </c>
    </row>
    <row r="3530">
      <c r="A3530" s="3" t="n">
        <v>43640</v>
      </c>
      <c r="B3530">
        <f>Prices!B3530</f>
        <v/>
      </c>
      <c r="C3530">
        <f>Prices!C3530</f>
        <v/>
      </c>
      <c r="D3530">
        <f>Prices!D3530</f>
        <v/>
      </c>
      <c r="E3530">
        <f>Prices!E3530</f>
        <v/>
      </c>
      <c r="F3530">
        <f>Prices!F3530</f>
        <v/>
      </c>
      <c r="G3530">
        <f>IF(AND(3528&gt;=16,TEXT(A3530,"yyyy-mm")&lt;&gt;TEXT(A3531,"yyyy-mm")),1,0)</f>
        <v/>
      </c>
      <c r="H3530">
        <f>IF(OR(H3529=1,G3530=1),1,0)</f>
        <v/>
      </c>
      <c r="I3530">
        <f>IF(H3529=0,1,SUMPRODUCT(J3529:N3529,B3530:F3530)+O3529*(1+0.00023125256064071564))</f>
        <v/>
      </c>
      <c r="J3530">
        <f>IF(G3530=1,0.2*R3530/B3530,J3529)</f>
        <v/>
      </c>
      <c r="K3530">
        <f>IF(G3530=1,0.2*R3530/C3530,K3529)</f>
        <v/>
      </c>
      <c r="L3530">
        <f>IF(G3530=1,0.2*R3530/D3530,L3529)</f>
        <v/>
      </c>
      <c r="M3530">
        <f>IF(G3530=1,0.2*R3530/E3530,M3529)</f>
        <v/>
      </c>
      <c r="N3530">
        <f>IF(G3530=1,0.2*R3530/F3530,N3529)</f>
        <v/>
      </c>
      <c r="O3530">
        <f>IF(G3530=1,R3530*(1-1.0),IF(H3529=0,1,O3529*(1+0.00023125256064071564)))</f>
        <v/>
      </c>
      <c r="P3530">
        <f>IF(G3530=1,IF(H3529=0,1,ABS(0.2-J3529*B3530/I3530)+ABS(0.2-K3529*C3530/I3530)+ABS(0.2-L3529*D3530/I3530)+ABS(0.2-M3529*E3530/I3530)+ABS(0.2-N3529*F3530/I3530)),0)</f>
        <v/>
      </c>
      <c r="Q3530">
        <f>P3530*0.0015</f>
        <v/>
      </c>
      <c r="R3530">
        <f>I3530*(1-Q3530)</f>
        <v/>
      </c>
      <c r="S3530">
        <f>R3530/R3529-1</f>
        <v/>
      </c>
      <c r="T3530">
        <f>MAX(T3529,R3530)</f>
        <v/>
      </c>
      <c r="U3530">
        <f>R3530/T3530-1</f>
        <v/>
      </c>
      <c r="V3530" t="n">
        <v>8.809104272661097</v>
      </c>
      <c r="W3530" s="5">
        <f>R3530-V3530</f>
        <v/>
      </c>
    </row>
    <row r="3531">
      <c r="A3531" s="3" t="n">
        <v>43641</v>
      </c>
      <c r="B3531">
        <f>Prices!B3531</f>
        <v/>
      </c>
      <c r="C3531">
        <f>Prices!C3531</f>
        <v/>
      </c>
      <c r="D3531">
        <f>Prices!D3531</f>
        <v/>
      </c>
      <c r="E3531">
        <f>Prices!E3531</f>
        <v/>
      </c>
      <c r="F3531">
        <f>Prices!F3531</f>
        <v/>
      </c>
      <c r="G3531">
        <f>IF(AND(3529&gt;=16,TEXT(A3531,"yyyy-mm")&lt;&gt;TEXT(A3532,"yyyy-mm")),1,0)</f>
        <v/>
      </c>
      <c r="H3531">
        <f>IF(OR(H3530=1,G3531=1),1,0)</f>
        <v/>
      </c>
      <c r="I3531">
        <f>IF(H3530=0,1,SUMPRODUCT(J3530:N3530,B3531:F3531)+O3530*(1+0.00023125256064071564))</f>
        <v/>
      </c>
      <c r="J3531">
        <f>IF(G3531=1,0.2*R3531/B3531,J3530)</f>
        <v/>
      </c>
      <c r="K3531">
        <f>IF(G3531=1,0.2*R3531/C3531,K3530)</f>
        <v/>
      </c>
      <c r="L3531">
        <f>IF(G3531=1,0.2*R3531/D3531,L3530)</f>
        <v/>
      </c>
      <c r="M3531">
        <f>IF(G3531=1,0.2*R3531/E3531,M3530)</f>
        <v/>
      </c>
      <c r="N3531">
        <f>IF(G3531=1,0.2*R3531/F3531,N3530)</f>
        <v/>
      </c>
      <c r="O3531">
        <f>IF(G3531=1,R3531*(1-1.0),IF(H3530=0,1,O3530*(1+0.00023125256064071564)))</f>
        <v/>
      </c>
      <c r="P3531">
        <f>IF(G3531=1,IF(H3530=0,1,ABS(0.2-J3530*B3531/I3531)+ABS(0.2-K3530*C3531/I3531)+ABS(0.2-L3530*D3531/I3531)+ABS(0.2-M3530*E3531/I3531)+ABS(0.2-N3530*F3531/I3531)),0)</f>
        <v/>
      </c>
      <c r="Q3531">
        <f>P3531*0.0015</f>
        <v/>
      </c>
      <c r="R3531">
        <f>I3531*(1-Q3531)</f>
        <v/>
      </c>
      <c r="S3531">
        <f>R3531/R3530-1</f>
        <v/>
      </c>
      <c r="T3531">
        <f>MAX(T3530,R3531)</f>
        <v/>
      </c>
      <c r="U3531">
        <f>R3531/T3531-1</f>
        <v/>
      </c>
      <c r="V3531" t="n">
        <v>8.866082708075719</v>
      </c>
      <c r="W3531" s="5">
        <f>R3531-V3531</f>
        <v/>
      </c>
    </row>
    <row r="3532">
      <c r="A3532" s="3" t="n">
        <v>43642</v>
      </c>
      <c r="B3532">
        <f>Prices!B3532</f>
        <v/>
      </c>
      <c r="C3532">
        <f>Prices!C3532</f>
        <v/>
      </c>
      <c r="D3532">
        <f>Prices!D3532</f>
        <v/>
      </c>
      <c r="E3532">
        <f>Prices!E3532</f>
        <v/>
      </c>
      <c r="F3532">
        <f>Prices!F3532</f>
        <v/>
      </c>
      <c r="G3532">
        <f>IF(AND(3530&gt;=16,TEXT(A3532,"yyyy-mm")&lt;&gt;TEXT(A3533,"yyyy-mm")),1,0)</f>
        <v/>
      </c>
      <c r="H3532">
        <f>IF(OR(H3531=1,G3532=1),1,0)</f>
        <v/>
      </c>
      <c r="I3532">
        <f>IF(H3531=0,1,SUMPRODUCT(J3531:N3531,B3532:F3532)+O3531*(1+0.00023125256064071564))</f>
        <v/>
      </c>
      <c r="J3532">
        <f>IF(G3532=1,0.2*R3532/B3532,J3531)</f>
        <v/>
      </c>
      <c r="K3532">
        <f>IF(G3532=1,0.2*R3532/C3532,K3531)</f>
        <v/>
      </c>
      <c r="L3532">
        <f>IF(G3532=1,0.2*R3532/D3532,L3531)</f>
        <v/>
      </c>
      <c r="M3532">
        <f>IF(G3532=1,0.2*R3532/E3532,M3531)</f>
        <v/>
      </c>
      <c r="N3532">
        <f>IF(G3532=1,0.2*R3532/F3532,N3531)</f>
        <v/>
      </c>
      <c r="O3532">
        <f>IF(G3532=1,R3532*(1-1.0),IF(H3531=0,1,O3531*(1+0.00023125256064071564)))</f>
        <v/>
      </c>
      <c r="P3532">
        <f>IF(G3532=1,IF(H3531=0,1,ABS(0.2-J3531*B3532/I3532)+ABS(0.2-K3531*C3532/I3532)+ABS(0.2-L3531*D3532/I3532)+ABS(0.2-M3531*E3532/I3532)+ABS(0.2-N3531*F3532/I3532)),0)</f>
        <v/>
      </c>
      <c r="Q3532">
        <f>P3532*0.0015</f>
        <v/>
      </c>
      <c r="R3532">
        <f>I3532*(1-Q3532)</f>
        <v/>
      </c>
      <c r="S3532">
        <f>R3532/R3531-1</f>
        <v/>
      </c>
      <c r="T3532">
        <f>MAX(T3531,R3532)</f>
        <v/>
      </c>
      <c r="U3532">
        <f>R3532/T3532-1</f>
        <v/>
      </c>
      <c r="V3532" t="n">
        <v>8.896912178603955</v>
      </c>
      <c r="W3532" s="5">
        <f>R3532-V3532</f>
        <v/>
      </c>
    </row>
    <row r="3533">
      <c r="A3533" s="3" t="n">
        <v>43643</v>
      </c>
      <c r="B3533">
        <f>Prices!B3533</f>
        <v/>
      </c>
      <c r="C3533">
        <f>Prices!C3533</f>
        <v/>
      </c>
      <c r="D3533">
        <f>Prices!D3533</f>
        <v/>
      </c>
      <c r="E3533">
        <f>Prices!E3533</f>
        <v/>
      </c>
      <c r="F3533">
        <f>Prices!F3533</f>
        <v/>
      </c>
      <c r="G3533">
        <f>IF(AND(3531&gt;=16,TEXT(A3533,"yyyy-mm")&lt;&gt;TEXT(A3534,"yyyy-mm")),1,0)</f>
        <v/>
      </c>
      <c r="H3533">
        <f>IF(OR(H3532=1,G3533=1),1,0)</f>
        <v/>
      </c>
      <c r="I3533">
        <f>IF(H3532=0,1,SUMPRODUCT(J3532:N3532,B3533:F3533)+O3532*(1+0.00023125256064071564))</f>
        <v/>
      </c>
      <c r="J3533">
        <f>IF(G3533=1,0.2*R3533/B3533,J3532)</f>
        <v/>
      </c>
      <c r="K3533">
        <f>IF(G3533=1,0.2*R3533/C3533,K3532)</f>
        <v/>
      </c>
      <c r="L3533">
        <f>IF(G3533=1,0.2*R3533/D3533,L3532)</f>
        <v/>
      </c>
      <c r="M3533">
        <f>IF(G3533=1,0.2*R3533/E3533,M3532)</f>
        <v/>
      </c>
      <c r="N3533">
        <f>IF(G3533=1,0.2*R3533/F3533,N3532)</f>
        <v/>
      </c>
      <c r="O3533">
        <f>IF(G3533=1,R3533*(1-1.0),IF(H3532=0,1,O3532*(1+0.00023125256064071564)))</f>
        <v/>
      </c>
      <c r="P3533">
        <f>IF(G3533=1,IF(H3532=0,1,ABS(0.2-J3532*B3533/I3533)+ABS(0.2-K3532*C3533/I3533)+ABS(0.2-L3532*D3533/I3533)+ABS(0.2-M3532*E3533/I3533)+ABS(0.2-N3532*F3533/I3533)),0)</f>
        <v/>
      </c>
      <c r="Q3533">
        <f>P3533*0.0015</f>
        <v/>
      </c>
      <c r="R3533">
        <f>I3533*(1-Q3533)</f>
        <v/>
      </c>
      <c r="S3533">
        <f>R3533/R3532-1</f>
        <v/>
      </c>
      <c r="T3533">
        <f>MAX(T3532,R3533)</f>
        <v/>
      </c>
      <c r="U3533">
        <f>R3533/T3533-1</f>
        <v/>
      </c>
      <c r="V3533" t="n">
        <v>8.898560514715061</v>
      </c>
      <c r="W3533" s="5">
        <f>R3533-V3533</f>
        <v/>
      </c>
    </row>
    <row r="3534">
      <c r="A3534" s="3" t="n">
        <v>43644</v>
      </c>
      <c r="B3534">
        <f>Prices!B3534</f>
        <v/>
      </c>
      <c r="C3534">
        <f>Prices!C3534</f>
        <v/>
      </c>
      <c r="D3534">
        <f>Prices!D3534</f>
        <v/>
      </c>
      <c r="E3534">
        <f>Prices!E3534</f>
        <v/>
      </c>
      <c r="F3534">
        <f>Prices!F3534</f>
        <v/>
      </c>
      <c r="G3534">
        <f>IF(AND(3532&gt;=16,TEXT(A3534,"yyyy-mm")&lt;&gt;TEXT(A3535,"yyyy-mm")),1,0)</f>
        <v/>
      </c>
      <c r="H3534">
        <f>IF(OR(H3533=1,G3534=1),1,0)</f>
        <v/>
      </c>
      <c r="I3534">
        <f>IF(H3533=0,1,SUMPRODUCT(J3533:N3533,B3534:F3534)+O3533*(1+0.00023125256064071564))</f>
        <v/>
      </c>
      <c r="J3534">
        <f>IF(G3534=1,0.2*R3534/B3534,J3533)</f>
        <v/>
      </c>
      <c r="K3534">
        <f>IF(G3534=1,0.2*R3534/C3534,K3533)</f>
        <v/>
      </c>
      <c r="L3534">
        <f>IF(G3534=1,0.2*R3534/D3534,L3533)</f>
        <v/>
      </c>
      <c r="M3534">
        <f>IF(G3534=1,0.2*R3534/E3534,M3533)</f>
        <v/>
      </c>
      <c r="N3534">
        <f>IF(G3534=1,0.2*R3534/F3534,N3533)</f>
        <v/>
      </c>
      <c r="O3534">
        <f>IF(G3534=1,R3534*(1-1.0),IF(H3533=0,1,O3533*(1+0.00023125256064071564)))</f>
        <v/>
      </c>
      <c r="P3534">
        <f>IF(G3534=1,IF(H3533=0,1,ABS(0.2-J3533*B3534/I3534)+ABS(0.2-K3533*C3534/I3534)+ABS(0.2-L3533*D3534/I3534)+ABS(0.2-M3533*E3534/I3534)+ABS(0.2-N3533*F3534/I3534)),0)</f>
        <v/>
      </c>
      <c r="Q3534">
        <f>P3534*0.0015</f>
        <v/>
      </c>
      <c r="R3534">
        <f>I3534*(1-Q3534)</f>
        <v/>
      </c>
      <c r="S3534">
        <f>R3534/R3533-1</f>
        <v/>
      </c>
      <c r="T3534">
        <f>MAX(T3533,R3534)</f>
        <v/>
      </c>
      <c r="U3534">
        <f>R3534/T3534-1</f>
        <v/>
      </c>
      <c r="V3534" t="n">
        <v>8.873443860073628</v>
      </c>
      <c r="W3534" s="5">
        <f>R3534-V3534</f>
        <v/>
      </c>
    </row>
    <row r="3535">
      <c r="A3535" s="3" t="n">
        <v>43647</v>
      </c>
      <c r="B3535">
        <f>Prices!B3535</f>
        <v/>
      </c>
      <c r="C3535">
        <f>Prices!C3535</f>
        <v/>
      </c>
      <c r="D3535">
        <f>Prices!D3535</f>
        <v/>
      </c>
      <c r="E3535">
        <f>Prices!E3535</f>
        <v/>
      </c>
      <c r="F3535">
        <f>Prices!F3535</f>
        <v/>
      </c>
      <c r="G3535">
        <f>IF(AND(3533&gt;=16,TEXT(A3535,"yyyy-mm")&lt;&gt;TEXT(A3536,"yyyy-mm")),1,0)</f>
        <v/>
      </c>
      <c r="H3535">
        <f>IF(OR(H3534=1,G3535=1),1,0)</f>
        <v/>
      </c>
      <c r="I3535">
        <f>IF(H3534=0,1,SUMPRODUCT(J3534:N3534,B3535:F3535)+O3534*(1+0.00023125256064071564))</f>
        <v/>
      </c>
      <c r="J3535">
        <f>IF(G3535=1,0.2*R3535/B3535,J3534)</f>
        <v/>
      </c>
      <c r="K3535">
        <f>IF(G3535=1,0.2*R3535/C3535,K3534)</f>
        <v/>
      </c>
      <c r="L3535">
        <f>IF(G3535=1,0.2*R3535/D3535,L3534)</f>
        <v/>
      </c>
      <c r="M3535">
        <f>IF(G3535=1,0.2*R3535/E3535,M3534)</f>
        <v/>
      </c>
      <c r="N3535">
        <f>IF(G3535=1,0.2*R3535/F3535,N3534)</f>
        <v/>
      </c>
      <c r="O3535">
        <f>IF(G3535=1,R3535*(1-1.0),IF(H3534=0,1,O3534*(1+0.00023125256064071564)))</f>
        <v/>
      </c>
      <c r="P3535">
        <f>IF(G3535=1,IF(H3534=0,1,ABS(0.2-J3534*B3535/I3535)+ABS(0.2-K3534*C3535/I3535)+ABS(0.2-L3534*D3535/I3535)+ABS(0.2-M3534*E3535/I3535)+ABS(0.2-N3534*F3535/I3535)),0)</f>
        <v/>
      </c>
      <c r="Q3535">
        <f>P3535*0.0015</f>
        <v/>
      </c>
      <c r="R3535">
        <f>I3535*(1-Q3535)</f>
        <v/>
      </c>
      <c r="S3535">
        <f>R3535/R3534-1</f>
        <v/>
      </c>
      <c r="T3535">
        <f>MAX(T3534,R3535)</f>
        <v/>
      </c>
      <c r="U3535">
        <f>R3535/T3535-1</f>
        <v/>
      </c>
      <c r="V3535" t="n">
        <v>8.909037436823613</v>
      </c>
      <c r="W3535" s="5">
        <f>R3535-V3535</f>
        <v/>
      </c>
    </row>
    <row r="3536">
      <c r="A3536" s="3" t="n">
        <v>43648</v>
      </c>
      <c r="B3536">
        <f>Prices!B3536</f>
        <v/>
      </c>
      <c r="C3536">
        <f>Prices!C3536</f>
        <v/>
      </c>
      <c r="D3536">
        <f>Prices!D3536</f>
        <v/>
      </c>
      <c r="E3536">
        <f>Prices!E3536</f>
        <v/>
      </c>
      <c r="F3536">
        <f>Prices!F3536</f>
        <v/>
      </c>
      <c r="G3536">
        <f>IF(AND(3534&gt;=16,TEXT(A3536,"yyyy-mm")&lt;&gt;TEXT(A3537,"yyyy-mm")),1,0)</f>
        <v/>
      </c>
      <c r="H3536">
        <f>IF(OR(H3535=1,G3536=1),1,0)</f>
        <v/>
      </c>
      <c r="I3536">
        <f>IF(H3535=0,1,SUMPRODUCT(J3535:N3535,B3536:F3536)+O3535*(1+0.00023125256064071564))</f>
        <v/>
      </c>
      <c r="J3536">
        <f>IF(G3536=1,0.2*R3536/B3536,J3535)</f>
        <v/>
      </c>
      <c r="K3536">
        <f>IF(G3536=1,0.2*R3536/C3536,K3535)</f>
        <v/>
      </c>
      <c r="L3536">
        <f>IF(G3536=1,0.2*R3536/D3536,L3535)</f>
        <v/>
      </c>
      <c r="M3536">
        <f>IF(G3536=1,0.2*R3536/E3536,M3535)</f>
        <v/>
      </c>
      <c r="N3536">
        <f>IF(G3536=1,0.2*R3536/F3536,N3535)</f>
        <v/>
      </c>
      <c r="O3536">
        <f>IF(G3536=1,R3536*(1-1.0),IF(H3535=0,1,O3535*(1+0.00023125256064071564)))</f>
        <v/>
      </c>
      <c r="P3536">
        <f>IF(G3536=1,IF(H3535=0,1,ABS(0.2-J3535*B3536/I3536)+ABS(0.2-K3535*C3536/I3536)+ABS(0.2-L3535*D3536/I3536)+ABS(0.2-M3535*E3536/I3536)+ABS(0.2-N3535*F3536/I3536)),0)</f>
        <v/>
      </c>
      <c r="Q3536">
        <f>P3536*0.0015</f>
        <v/>
      </c>
      <c r="R3536">
        <f>I3536*(1-Q3536)</f>
        <v/>
      </c>
      <c r="S3536">
        <f>R3536/R3535-1</f>
        <v/>
      </c>
      <c r="T3536">
        <f>MAX(T3535,R3536)</f>
        <v/>
      </c>
      <c r="U3536">
        <f>R3536/T3536-1</f>
        <v/>
      </c>
      <c r="V3536" t="n">
        <v>8.967351761081884</v>
      </c>
      <c r="W3536" s="5">
        <f>R3536-V3536</f>
        <v/>
      </c>
    </row>
    <row r="3537">
      <c r="A3537" s="3" t="n">
        <v>43649</v>
      </c>
      <c r="B3537">
        <f>Prices!B3537</f>
        <v/>
      </c>
      <c r="C3537">
        <f>Prices!C3537</f>
        <v/>
      </c>
      <c r="D3537">
        <f>Prices!D3537</f>
        <v/>
      </c>
      <c r="E3537">
        <f>Prices!E3537</f>
        <v/>
      </c>
      <c r="F3537">
        <f>Prices!F3537</f>
        <v/>
      </c>
      <c r="G3537">
        <f>IF(AND(3535&gt;=16,TEXT(A3537,"yyyy-mm")&lt;&gt;TEXT(A3538,"yyyy-mm")),1,0)</f>
        <v/>
      </c>
      <c r="H3537">
        <f>IF(OR(H3536=1,G3537=1),1,0)</f>
        <v/>
      </c>
      <c r="I3537">
        <f>IF(H3536=0,1,SUMPRODUCT(J3536:N3536,B3537:F3537)+O3536*(1+0.00023125256064071564))</f>
        <v/>
      </c>
      <c r="J3537">
        <f>IF(G3537=1,0.2*R3537/B3537,J3536)</f>
        <v/>
      </c>
      <c r="K3537">
        <f>IF(G3537=1,0.2*R3537/C3537,K3536)</f>
        <v/>
      </c>
      <c r="L3537">
        <f>IF(G3537=1,0.2*R3537/D3537,L3536)</f>
        <v/>
      </c>
      <c r="M3537">
        <f>IF(G3537=1,0.2*R3537/E3537,M3536)</f>
        <v/>
      </c>
      <c r="N3537">
        <f>IF(G3537=1,0.2*R3537/F3537,N3536)</f>
        <v/>
      </c>
      <c r="O3537">
        <f>IF(G3537=1,R3537*(1-1.0),IF(H3536=0,1,O3536*(1+0.00023125256064071564)))</f>
        <v/>
      </c>
      <c r="P3537">
        <f>IF(G3537=1,IF(H3536=0,1,ABS(0.2-J3536*B3537/I3537)+ABS(0.2-K3536*C3537/I3537)+ABS(0.2-L3536*D3537/I3537)+ABS(0.2-M3536*E3537/I3537)+ABS(0.2-N3536*F3537/I3537)),0)</f>
        <v/>
      </c>
      <c r="Q3537">
        <f>P3537*0.0015</f>
        <v/>
      </c>
      <c r="R3537">
        <f>I3537*(1-Q3537)</f>
        <v/>
      </c>
      <c r="S3537">
        <f>R3537/R3536-1</f>
        <v/>
      </c>
      <c r="T3537">
        <f>MAX(T3536,R3537)</f>
        <v/>
      </c>
      <c r="U3537">
        <f>R3537/T3537-1</f>
        <v/>
      </c>
      <c r="V3537" t="n">
        <v>8.981924325341543</v>
      </c>
      <c r="W3537" s="5">
        <f>R3537-V3537</f>
        <v/>
      </c>
    </row>
    <row r="3538">
      <c r="A3538" s="3" t="n">
        <v>43650</v>
      </c>
      <c r="B3538">
        <f>Prices!B3538</f>
        <v/>
      </c>
      <c r="C3538">
        <f>Prices!C3538</f>
        <v/>
      </c>
      <c r="D3538">
        <f>Prices!D3538</f>
        <v/>
      </c>
      <c r="E3538">
        <f>Prices!E3538</f>
        <v/>
      </c>
      <c r="F3538">
        <f>Prices!F3538</f>
        <v/>
      </c>
      <c r="G3538">
        <f>IF(AND(3536&gt;=16,TEXT(A3538,"yyyy-mm")&lt;&gt;TEXT(A3539,"yyyy-mm")),1,0)</f>
        <v/>
      </c>
      <c r="H3538">
        <f>IF(OR(H3537=1,G3538=1),1,0)</f>
        <v/>
      </c>
      <c r="I3538">
        <f>IF(H3537=0,1,SUMPRODUCT(J3537:N3537,B3538:F3538)+O3537*(1+0.00023125256064071564))</f>
        <v/>
      </c>
      <c r="J3538">
        <f>IF(G3538=1,0.2*R3538/B3538,J3537)</f>
        <v/>
      </c>
      <c r="K3538">
        <f>IF(G3538=1,0.2*R3538/C3538,K3537)</f>
        <v/>
      </c>
      <c r="L3538">
        <f>IF(G3538=1,0.2*R3538/D3538,L3537)</f>
        <v/>
      </c>
      <c r="M3538">
        <f>IF(G3538=1,0.2*R3538/E3538,M3537)</f>
        <v/>
      </c>
      <c r="N3538">
        <f>IF(G3538=1,0.2*R3538/F3538,N3537)</f>
        <v/>
      </c>
      <c r="O3538">
        <f>IF(G3538=1,R3538*(1-1.0),IF(H3537=0,1,O3537*(1+0.00023125256064071564)))</f>
        <v/>
      </c>
      <c r="P3538">
        <f>IF(G3538=1,IF(H3537=0,1,ABS(0.2-J3537*B3538/I3538)+ABS(0.2-K3537*C3538/I3538)+ABS(0.2-L3537*D3538/I3538)+ABS(0.2-M3537*E3538/I3538)+ABS(0.2-N3537*F3538/I3538)),0)</f>
        <v/>
      </c>
      <c r="Q3538">
        <f>P3538*0.0015</f>
        <v/>
      </c>
      <c r="R3538">
        <f>I3538*(1-Q3538)</f>
        <v/>
      </c>
      <c r="S3538">
        <f>R3538/R3537-1</f>
        <v/>
      </c>
      <c r="T3538">
        <f>MAX(T3537,R3538)</f>
        <v/>
      </c>
      <c r="U3538">
        <f>R3538/T3538-1</f>
        <v/>
      </c>
      <c r="V3538" t="n">
        <v>9.000584057488023</v>
      </c>
      <c r="W3538" s="5">
        <f>R3538-V3538</f>
        <v/>
      </c>
    </row>
    <row r="3539">
      <c r="A3539" s="3" t="n">
        <v>43651</v>
      </c>
      <c r="B3539">
        <f>Prices!B3539</f>
        <v/>
      </c>
      <c r="C3539">
        <f>Prices!C3539</f>
        <v/>
      </c>
      <c r="D3539">
        <f>Prices!D3539</f>
        <v/>
      </c>
      <c r="E3539">
        <f>Prices!E3539</f>
        <v/>
      </c>
      <c r="F3539">
        <f>Prices!F3539</f>
        <v/>
      </c>
      <c r="G3539">
        <f>IF(AND(3537&gt;=16,TEXT(A3539,"yyyy-mm")&lt;&gt;TEXT(A3540,"yyyy-mm")),1,0)</f>
        <v/>
      </c>
      <c r="H3539">
        <f>IF(OR(H3538=1,G3539=1),1,0)</f>
        <v/>
      </c>
      <c r="I3539">
        <f>IF(H3538=0,1,SUMPRODUCT(J3538:N3538,B3539:F3539)+O3538*(1+0.00023125256064071564))</f>
        <v/>
      </c>
      <c r="J3539">
        <f>IF(G3539=1,0.2*R3539/B3539,J3538)</f>
        <v/>
      </c>
      <c r="K3539">
        <f>IF(G3539=1,0.2*R3539/C3539,K3538)</f>
        <v/>
      </c>
      <c r="L3539">
        <f>IF(G3539=1,0.2*R3539/D3539,L3538)</f>
        <v/>
      </c>
      <c r="M3539">
        <f>IF(G3539=1,0.2*R3539/E3539,M3538)</f>
        <v/>
      </c>
      <c r="N3539">
        <f>IF(G3539=1,0.2*R3539/F3539,N3538)</f>
        <v/>
      </c>
      <c r="O3539">
        <f>IF(G3539=1,R3539*(1-1.0),IF(H3538=0,1,O3538*(1+0.00023125256064071564)))</f>
        <v/>
      </c>
      <c r="P3539">
        <f>IF(G3539=1,IF(H3538=0,1,ABS(0.2-J3538*B3539/I3539)+ABS(0.2-K3538*C3539/I3539)+ABS(0.2-L3538*D3539/I3539)+ABS(0.2-M3538*E3539/I3539)+ABS(0.2-N3538*F3539/I3539)),0)</f>
        <v/>
      </c>
      <c r="Q3539">
        <f>P3539*0.0015</f>
        <v/>
      </c>
      <c r="R3539">
        <f>I3539*(1-Q3539)</f>
        <v/>
      </c>
      <c r="S3539">
        <f>R3539/R3538-1</f>
        <v/>
      </c>
      <c r="T3539">
        <f>MAX(T3538,R3539)</f>
        <v/>
      </c>
      <c r="U3539">
        <f>R3539/T3539-1</f>
        <v/>
      </c>
      <c r="V3539" t="n">
        <v>8.862015156238893</v>
      </c>
      <c r="W3539" s="5">
        <f>R3539-V3539</f>
        <v/>
      </c>
    </row>
    <row r="3540">
      <c r="A3540" s="3" t="n">
        <v>43654</v>
      </c>
      <c r="B3540">
        <f>Prices!B3540</f>
        <v/>
      </c>
      <c r="C3540">
        <f>Prices!C3540</f>
        <v/>
      </c>
      <c r="D3540">
        <f>Prices!D3540</f>
        <v/>
      </c>
      <c r="E3540">
        <f>Prices!E3540</f>
        <v/>
      </c>
      <c r="F3540">
        <f>Prices!F3540</f>
        <v/>
      </c>
      <c r="G3540">
        <f>IF(AND(3538&gt;=16,TEXT(A3540,"yyyy-mm")&lt;&gt;TEXT(A3541,"yyyy-mm")),1,0)</f>
        <v/>
      </c>
      <c r="H3540">
        <f>IF(OR(H3539=1,G3540=1),1,0)</f>
        <v/>
      </c>
      <c r="I3540">
        <f>IF(H3539=0,1,SUMPRODUCT(J3539:N3539,B3540:F3540)+O3539*(1+0.00023125256064071564))</f>
        <v/>
      </c>
      <c r="J3540">
        <f>IF(G3540=1,0.2*R3540/B3540,J3539)</f>
        <v/>
      </c>
      <c r="K3540">
        <f>IF(G3540=1,0.2*R3540/C3540,K3539)</f>
        <v/>
      </c>
      <c r="L3540">
        <f>IF(G3540=1,0.2*R3540/D3540,L3539)</f>
        <v/>
      </c>
      <c r="M3540">
        <f>IF(G3540=1,0.2*R3540/E3540,M3539)</f>
        <v/>
      </c>
      <c r="N3540">
        <f>IF(G3540=1,0.2*R3540/F3540,N3539)</f>
        <v/>
      </c>
      <c r="O3540">
        <f>IF(G3540=1,R3540*(1-1.0),IF(H3539=0,1,O3539*(1+0.00023125256064071564)))</f>
        <v/>
      </c>
      <c r="P3540">
        <f>IF(G3540=1,IF(H3539=0,1,ABS(0.2-J3539*B3540/I3540)+ABS(0.2-K3539*C3540/I3540)+ABS(0.2-L3539*D3540/I3540)+ABS(0.2-M3539*E3540/I3540)+ABS(0.2-N3539*F3540/I3540)),0)</f>
        <v/>
      </c>
      <c r="Q3540">
        <f>P3540*0.0015</f>
        <v/>
      </c>
      <c r="R3540">
        <f>I3540*(1-Q3540)</f>
        <v/>
      </c>
      <c r="S3540">
        <f>R3540/R3539-1</f>
        <v/>
      </c>
      <c r="T3540">
        <f>MAX(T3539,R3540)</f>
        <v/>
      </c>
      <c r="U3540">
        <f>R3540/T3540-1</f>
        <v/>
      </c>
      <c r="V3540" t="n">
        <v>8.645786675461693</v>
      </c>
      <c r="W3540" s="5">
        <f>R3540-V3540</f>
        <v/>
      </c>
    </row>
    <row r="3541">
      <c r="A3541" s="3" t="n">
        <v>43655</v>
      </c>
      <c r="B3541">
        <f>Prices!B3541</f>
        <v/>
      </c>
      <c r="C3541">
        <f>Prices!C3541</f>
        <v/>
      </c>
      <c r="D3541">
        <f>Prices!D3541</f>
        <v/>
      </c>
      <c r="E3541">
        <f>Prices!E3541</f>
        <v/>
      </c>
      <c r="F3541">
        <f>Prices!F3541</f>
        <v/>
      </c>
      <c r="G3541">
        <f>IF(AND(3539&gt;=16,TEXT(A3541,"yyyy-mm")&lt;&gt;TEXT(A3542,"yyyy-mm")),1,0)</f>
        <v/>
      </c>
      <c r="H3541">
        <f>IF(OR(H3540=1,G3541=1),1,0)</f>
        <v/>
      </c>
      <c r="I3541">
        <f>IF(H3540=0,1,SUMPRODUCT(J3540:N3540,B3541:F3541)+O3540*(1+0.00023125256064071564))</f>
        <v/>
      </c>
      <c r="J3541">
        <f>IF(G3541=1,0.2*R3541/B3541,J3540)</f>
        <v/>
      </c>
      <c r="K3541">
        <f>IF(G3541=1,0.2*R3541/C3541,K3540)</f>
        <v/>
      </c>
      <c r="L3541">
        <f>IF(G3541=1,0.2*R3541/D3541,L3540)</f>
        <v/>
      </c>
      <c r="M3541">
        <f>IF(G3541=1,0.2*R3541/E3541,M3540)</f>
        <v/>
      </c>
      <c r="N3541">
        <f>IF(G3541=1,0.2*R3541/F3541,N3540)</f>
        <v/>
      </c>
      <c r="O3541">
        <f>IF(G3541=1,R3541*(1-1.0),IF(H3540=0,1,O3540*(1+0.00023125256064071564)))</f>
        <v/>
      </c>
      <c r="P3541">
        <f>IF(G3541=1,IF(H3540=0,1,ABS(0.2-J3540*B3541/I3541)+ABS(0.2-K3540*C3541/I3541)+ABS(0.2-L3540*D3541/I3541)+ABS(0.2-M3540*E3541/I3541)+ABS(0.2-N3540*F3541/I3541)),0)</f>
        <v/>
      </c>
      <c r="Q3541">
        <f>P3541*0.0015</f>
        <v/>
      </c>
      <c r="R3541">
        <f>I3541*(1-Q3541)</f>
        <v/>
      </c>
      <c r="S3541">
        <f>R3541/R3540-1</f>
        <v/>
      </c>
      <c r="T3541">
        <f>MAX(T3540,R3541)</f>
        <v/>
      </c>
      <c r="U3541">
        <f>R3541/T3541-1</f>
        <v/>
      </c>
      <c r="V3541" t="n">
        <v>8.649092358587122</v>
      </c>
      <c r="W3541" s="5">
        <f>R3541-V3541</f>
        <v/>
      </c>
    </row>
    <row r="3542">
      <c r="A3542" s="3" t="n">
        <v>43656</v>
      </c>
      <c r="B3542">
        <f>Prices!B3542</f>
        <v/>
      </c>
      <c r="C3542">
        <f>Prices!C3542</f>
        <v/>
      </c>
      <c r="D3542">
        <f>Prices!D3542</f>
        <v/>
      </c>
      <c r="E3542">
        <f>Prices!E3542</f>
        <v/>
      </c>
      <c r="F3542">
        <f>Prices!F3542</f>
        <v/>
      </c>
      <c r="G3542">
        <f>IF(AND(3540&gt;=16,TEXT(A3542,"yyyy-mm")&lt;&gt;TEXT(A3543,"yyyy-mm")),1,0)</f>
        <v/>
      </c>
      <c r="H3542">
        <f>IF(OR(H3541=1,G3542=1),1,0)</f>
        <v/>
      </c>
      <c r="I3542">
        <f>IF(H3541=0,1,SUMPRODUCT(J3541:N3541,B3542:F3542)+O3541*(1+0.00023125256064071564))</f>
        <v/>
      </c>
      <c r="J3542">
        <f>IF(G3542=1,0.2*R3542/B3542,J3541)</f>
        <v/>
      </c>
      <c r="K3542">
        <f>IF(G3542=1,0.2*R3542/C3542,K3541)</f>
        <v/>
      </c>
      <c r="L3542">
        <f>IF(G3542=1,0.2*R3542/D3542,L3541)</f>
        <v/>
      </c>
      <c r="M3542">
        <f>IF(G3542=1,0.2*R3542/E3542,M3541)</f>
        <v/>
      </c>
      <c r="N3542">
        <f>IF(G3542=1,0.2*R3542/F3542,N3541)</f>
        <v/>
      </c>
      <c r="O3542">
        <f>IF(G3542=1,R3542*(1-1.0),IF(H3541=0,1,O3541*(1+0.00023125256064071564)))</f>
        <v/>
      </c>
      <c r="P3542">
        <f>IF(G3542=1,IF(H3541=0,1,ABS(0.2-J3541*B3542/I3542)+ABS(0.2-K3541*C3542/I3542)+ABS(0.2-L3541*D3542/I3542)+ABS(0.2-M3541*E3542/I3542)+ABS(0.2-N3541*F3542/I3542)),0)</f>
        <v/>
      </c>
      <c r="Q3542">
        <f>P3542*0.0015</f>
        <v/>
      </c>
      <c r="R3542">
        <f>I3542*(1-Q3542)</f>
        <v/>
      </c>
      <c r="S3542">
        <f>R3542/R3541-1</f>
        <v/>
      </c>
      <c r="T3542">
        <f>MAX(T3541,R3542)</f>
        <v/>
      </c>
      <c r="U3542">
        <f>R3542/T3542-1</f>
        <v/>
      </c>
      <c r="V3542" t="n">
        <v>8.564685382928573</v>
      </c>
      <c r="W3542" s="5">
        <f>R3542-V3542</f>
        <v/>
      </c>
    </row>
    <row r="3543">
      <c r="A3543" s="3" t="n">
        <v>43657</v>
      </c>
      <c r="B3543">
        <f>Prices!B3543</f>
        <v/>
      </c>
      <c r="C3543">
        <f>Prices!C3543</f>
        <v/>
      </c>
      <c r="D3543">
        <f>Prices!D3543</f>
        <v/>
      </c>
      <c r="E3543">
        <f>Prices!E3543</f>
        <v/>
      </c>
      <c r="F3543">
        <f>Prices!F3543</f>
        <v/>
      </c>
      <c r="G3543">
        <f>IF(AND(3541&gt;=16,TEXT(A3543,"yyyy-mm")&lt;&gt;TEXT(A3544,"yyyy-mm")),1,0)</f>
        <v/>
      </c>
      <c r="H3543">
        <f>IF(OR(H3542=1,G3543=1),1,0)</f>
        <v/>
      </c>
      <c r="I3543">
        <f>IF(H3542=0,1,SUMPRODUCT(J3542:N3542,B3543:F3543)+O3542*(1+0.00023125256064071564))</f>
        <v/>
      </c>
      <c r="J3543">
        <f>IF(G3543=1,0.2*R3543/B3543,J3542)</f>
        <v/>
      </c>
      <c r="K3543">
        <f>IF(G3543=1,0.2*R3543/C3543,K3542)</f>
        <v/>
      </c>
      <c r="L3543">
        <f>IF(G3543=1,0.2*R3543/D3543,L3542)</f>
        <v/>
      </c>
      <c r="M3543">
        <f>IF(G3543=1,0.2*R3543/E3543,M3542)</f>
        <v/>
      </c>
      <c r="N3543">
        <f>IF(G3543=1,0.2*R3543/F3543,N3542)</f>
        <v/>
      </c>
      <c r="O3543">
        <f>IF(G3543=1,R3543*(1-1.0),IF(H3542=0,1,O3542*(1+0.00023125256064071564)))</f>
        <v/>
      </c>
      <c r="P3543">
        <f>IF(G3543=1,IF(H3542=0,1,ABS(0.2-J3542*B3543/I3543)+ABS(0.2-K3542*C3543/I3543)+ABS(0.2-L3542*D3543/I3543)+ABS(0.2-M3542*E3543/I3543)+ABS(0.2-N3542*F3543/I3543)),0)</f>
        <v/>
      </c>
      <c r="Q3543">
        <f>P3543*0.0015</f>
        <v/>
      </c>
      <c r="R3543">
        <f>I3543*(1-Q3543)</f>
        <v/>
      </c>
      <c r="S3543">
        <f>R3543/R3542-1</f>
        <v/>
      </c>
      <c r="T3543">
        <f>MAX(T3542,R3543)</f>
        <v/>
      </c>
      <c r="U3543">
        <f>R3543/T3543-1</f>
        <v/>
      </c>
      <c r="V3543" t="n">
        <v>8.608126914437316</v>
      </c>
      <c r="W3543" s="5">
        <f>R3543-V3543</f>
        <v/>
      </c>
    </row>
    <row r="3544">
      <c r="A3544" s="3" t="n">
        <v>43658</v>
      </c>
      <c r="B3544">
        <f>Prices!B3544</f>
        <v/>
      </c>
      <c r="C3544">
        <f>Prices!C3544</f>
        <v/>
      </c>
      <c r="D3544">
        <f>Prices!D3544</f>
        <v/>
      </c>
      <c r="E3544">
        <f>Prices!E3544</f>
        <v/>
      </c>
      <c r="F3544">
        <f>Prices!F3544</f>
        <v/>
      </c>
      <c r="G3544">
        <f>IF(AND(3542&gt;=16,TEXT(A3544,"yyyy-mm")&lt;&gt;TEXT(A3545,"yyyy-mm")),1,0)</f>
        <v/>
      </c>
      <c r="H3544">
        <f>IF(OR(H3543=1,G3544=1),1,0)</f>
        <v/>
      </c>
      <c r="I3544">
        <f>IF(H3543=0,1,SUMPRODUCT(J3543:N3543,B3544:F3544)+O3543*(1+0.00023125256064071564))</f>
        <v/>
      </c>
      <c r="J3544">
        <f>IF(G3544=1,0.2*R3544/B3544,J3543)</f>
        <v/>
      </c>
      <c r="K3544">
        <f>IF(G3544=1,0.2*R3544/C3544,K3543)</f>
        <v/>
      </c>
      <c r="L3544">
        <f>IF(G3544=1,0.2*R3544/D3544,L3543)</f>
        <v/>
      </c>
      <c r="M3544">
        <f>IF(G3544=1,0.2*R3544/E3544,M3543)</f>
        <v/>
      </c>
      <c r="N3544">
        <f>IF(G3544=1,0.2*R3544/F3544,N3543)</f>
        <v/>
      </c>
      <c r="O3544">
        <f>IF(G3544=1,R3544*(1-1.0),IF(H3543=0,1,O3543*(1+0.00023125256064071564)))</f>
        <v/>
      </c>
      <c r="P3544">
        <f>IF(G3544=1,IF(H3543=0,1,ABS(0.2-J3543*B3544/I3544)+ABS(0.2-K3543*C3544/I3544)+ABS(0.2-L3543*D3544/I3544)+ABS(0.2-M3543*E3544/I3544)+ABS(0.2-N3543*F3544/I3544)),0)</f>
        <v/>
      </c>
      <c r="Q3544">
        <f>P3544*0.0015</f>
        <v/>
      </c>
      <c r="R3544">
        <f>I3544*(1-Q3544)</f>
        <v/>
      </c>
      <c r="S3544">
        <f>R3544/R3543-1</f>
        <v/>
      </c>
      <c r="T3544">
        <f>MAX(T3543,R3544)</f>
        <v/>
      </c>
      <c r="U3544">
        <f>R3544/T3544-1</f>
        <v/>
      </c>
      <c r="V3544" t="n">
        <v>8.607533229900522</v>
      </c>
      <c r="W3544" s="5">
        <f>R3544-V3544</f>
        <v/>
      </c>
    </row>
    <row r="3545">
      <c r="A3545" s="3" t="n">
        <v>43661</v>
      </c>
      <c r="B3545">
        <f>Prices!B3545</f>
        <v/>
      </c>
      <c r="C3545">
        <f>Prices!C3545</f>
        <v/>
      </c>
      <c r="D3545">
        <f>Prices!D3545</f>
        <v/>
      </c>
      <c r="E3545">
        <f>Prices!E3545</f>
        <v/>
      </c>
      <c r="F3545">
        <f>Prices!F3545</f>
        <v/>
      </c>
      <c r="G3545">
        <f>IF(AND(3543&gt;=16,TEXT(A3545,"yyyy-mm")&lt;&gt;TEXT(A3546,"yyyy-mm")),1,0)</f>
        <v/>
      </c>
      <c r="H3545">
        <f>IF(OR(H3544=1,G3545=1),1,0)</f>
        <v/>
      </c>
      <c r="I3545">
        <f>IF(H3544=0,1,SUMPRODUCT(J3544:N3544,B3545:F3545)+O3544*(1+0.00023125256064071564))</f>
        <v/>
      </c>
      <c r="J3545">
        <f>IF(G3545=1,0.2*R3545/B3545,J3544)</f>
        <v/>
      </c>
      <c r="K3545">
        <f>IF(G3545=1,0.2*R3545/C3545,K3544)</f>
        <v/>
      </c>
      <c r="L3545">
        <f>IF(G3545=1,0.2*R3545/D3545,L3544)</f>
        <v/>
      </c>
      <c r="M3545">
        <f>IF(G3545=1,0.2*R3545/E3545,M3544)</f>
        <v/>
      </c>
      <c r="N3545">
        <f>IF(G3545=1,0.2*R3545/F3545,N3544)</f>
        <v/>
      </c>
      <c r="O3545">
        <f>IF(G3545=1,R3545*(1-1.0),IF(H3544=0,1,O3544*(1+0.00023125256064071564)))</f>
        <v/>
      </c>
      <c r="P3545">
        <f>IF(G3545=1,IF(H3544=0,1,ABS(0.2-J3544*B3545/I3545)+ABS(0.2-K3544*C3545/I3545)+ABS(0.2-L3544*D3545/I3545)+ABS(0.2-M3544*E3545/I3545)+ABS(0.2-N3544*F3545/I3545)),0)</f>
        <v/>
      </c>
      <c r="Q3545">
        <f>P3545*0.0015</f>
        <v/>
      </c>
      <c r="R3545">
        <f>I3545*(1-Q3545)</f>
        <v/>
      </c>
      <c r="S3545">
        <f>R3545/R3544-1</f>
        <v/>
      </c>
      <c r="T3545">
        <f>MAX(T3544,R3545)</f>
        <v/>
      </c>
      <c r="U3545">
        <f>R3545/T3545-1</f>
        <v/>
      </c>
      <c r="V3545" t="n">
        <v>8.606503779379752</v>
      </c>
      <c r="W3545" s="5">
        <f>R3545-V3545</f>
        <v/>
      </c>
    </row>
    <row r="3546">
      <c r="A3546" s="3" t="n">
        <v>43662</v>
      </c>
      <c r="B3546">
        <f>Prices!B3546</f>
        <v/>
      </c>
      <c r="C3546">
        <f>Prices!C3546</f>
        <v/>
      </c>
      <c r="D3546">
        <f>Prices!D3546</f>
        <v/>
      </c>
      <c r="E3546">
        <f>Prices!E3546</f>
        <v/>
      </c>
      <c r="F3546">
        <f>Prices!F3546</f>
        <v/>
      </c>
      <c r="G3546">
        <f>IF(AND(3544&gt;=16,TEXT(A3546,"yyyy-mm")&lt;&gt;TEXT(A3547,"yyyy-mm")),1,0)</f>
        <v/>
      </c>
      <c r="H3546">
        <f>IF(OR(H3545=1,G3546=1),1,0)</f>
        <v/>
      </c>
      <c r="I3546">
        <f>IF(H3545=0,1,SUMPRODUCT(J3545:N3545,B3546:F3546)+O3545*(1+0.00023125256064071564))</f>
        <v/>
      </c>
      <c r="J3546">
        <f>IF(G3546=1,0.2*R3546/B3546,J3545)</f>
        <v/>
      </c>
      <c r="K3546">
        <f>IF(G3546=1,0.2*R3546/C3546,K3545)</f>
        <v/>
      </c>
      <c r="L3546">
        <f>IF(G3546=1,0.2*R3546/D3546,L3545)</f>
        <v/>
      </c>
      <c r="M3546">
        <f>IF(G3546=1,0.2*R3546/E3546,M3545)</f>
        <v/>
      </c>
      <c r="N3546">
        <f>IF(G3546=1,0.2*R3546/F3546,N3545)</f>
        <v/>
      </c>
      <c r="O3546">
        <f>IF(G3546=1,R3546*(1-1.0),IF(H3545=0,1,O3545*(1+0.00023125256064071564)))</f>
        <v/>
      </c>
      <c r="P3546">
        <f>IF(G3546=1,IF(H3545=0,1,ABS(0.2-J3545*B3546/I3546)+ABS(0.2-K3545*C3546/I3546)+ABS(0.2-L3545*D3546/I3546)+ABS(0.2-M3545*E3546/I3546)+ABS(0.2-N3545*F3546/I3546)),0)</f>
        <v/>
      </c>
      <c r="Q3546">
        <f>P3546*0.0015</f>
        <v/>
      </c>
      <c r="R3546">
        <f>I3546*(1-Q3546)</f>
        <v/>
      </c>
      <c r="S3546">
        <f>R3546/R3545-1</f>
        <v/>
      </c>
      <c r="T3546">
        <f>MAX(T3545,R3546)</f>
        <v/>
      </c>
      <c r="U3546">
        <f>R3546/T3546-1</f>
        <v/>
      </c>
      <c r="V3546" t="n">
        <v>8.679914215194444</v>
      </c>
      <c r="W3546" s="5">
        <f>R3546-V3546</f>
        <v/>
      </c>
    </row>
    <row r="3547">
      <c r="A3547" s="3" t="n">
        <v>43663</v>
      </c>
      <c r="B3547">
        <f>Prices!B3547</f>
        <v/>
      </c>
      <c r="C3547">
        <f>Prices!C3547</f>
        <v/>
      </c>
      <c r="D3547">
        <f>Prices!D3547</f>
        <v/>
      </c>
      <c r="E3547">
        <f>Prices!E3547</f>
        <v/>
      </c>
      <c r="F3547">
        <f>Prices!F3547</f>
        <v/>
      </c>
      <c r="G3547">
        <f>IF(AND(3545&gt;=16,TEXT(A3547,"yyyy-mm")&lt;&gt;TEXT(A3548,"yyyy-mm")),1,0)</f>
        <v/>
      </c>
      <c r="H3547">
        <f>IF(OR(H3546=1,G3547=1),1,0)</f>
        <v/>
      </c>
      <c r="I3547">
        <f>IF(H3546=0,1,SUMPRODUCT(J3546:N3546,B3547:F3547)+O3546*(1+0.00023125256064071564))</f>
        <v/>
      </c>
      <c r="J3547">
        <f>IF(G3547=1,0.2*R3547/B3547,J3546)</f>
        <v/>
      </c>
      <c r="K3547">
        <f>IF(G3547=1,0.2*R3547/C3547,K3546)</f>
        <v/>
      </c>
      <c r="L3547">
        <f>IF(G3547=1,0.2*R3547/D3547,L3546)</f>
        <v/>
      </c>
      <c r="M3547">
        <f>IF(G3547=1,0.2*R3547/E3547,M3546)</f>
        <v/>
      </c>
      <c r="N3547">
        <f>IF(G3547=1,0.2*R3547/F3547,N3546)</f>
        <v/>
      </c>
      <c r="O3547">
        <f>IF(G3547=1,R3547*(1-1.0),IF(H3546=0,1,O3546*(1+0.00023125256064071564)))</f>
        <v/>
      </c>
      <c r="P3547">
        <f>IF(G3547=1,IF(H3546=0,1,ABS(0.2-J3546*B3547/I3547)+ABS(0.2-K3546*C3547/I3547)+ABS(0.2-L3546*D3547/I3547)+ABS(0.2-M3546*E3547/I3547)+ABS(0.2-N3546*F3547/I3547)),0)</f>
        <v/>
      </c>
      <c r="Q3547">
        <f>P3547*0.0015</f>
        <v/>
      </c>
      <c r="R3547">
        <f>I3547*(1-Q3547)</f>
        <v/>
      </c>
      <c r="S3547">
        <f>R3547/R3546-1</f>
        <v/>
      </c>
      <c r="T3547">
        <f>MAX(T3546,R3547)</f>
        <v/>
      </c>
      <c r="U3547">
        <f>R3547/T3547-1</f>
        <v/>
      </c>
      <c r="V3547" t="n">
        <v>8.695351705547319</v>
      </c>
      <c r="W3547" s="5">
        <f>R3547-V3547</f>
        <v/>
      </c>
    </row>
    <row r="3548">
      <c r="A3548" s="3" t="n">
        <v>43664</v>
      </c>
      <c r="B3548">
        <f>Prices!B3548</f>
        <v/>
      </c>
      <c r="C3548">
        <f>Prices!C3548</f>
        <v/>
      </c>
      <c r="D3548">
        <f>Prices!D3548</f>
        <v/>
      </c>
      <c r="E3548">
        <f>Prices!E3548</f>
        <v/>
      </c>
      <c r="F3548">
        <f>Prices!F3548</f>
        <v/>
      </c>
      <c r="G3548">
        <f>IF(AND(3546&gt;=16,TEXT(A3548,"yyyy-mm")&lt;&gt;TEXT(A3549,"yyyy-mm")),1,0)</f>
        <v/>
      </c>
      <c r="H3548">
        <f>IF(OR(H3547=1,G3548=1),1,0)</f>
        <v/>
      </c>
      <c r="I3548">
        <f>IF(H3547=0,1,SUMPRODUCT(J3547:N3547,B3548:F3548)+O3547*(1+0.00023125256064071564))</f>
        <v/>
      </c>
      <c r="J3548">
        <f>IF(G3548=1,0.2*R3548/B3548,J3547)</f>
        <v/>
      </c>
      <c r="K3548">
        <f>IF(G3548=1,0.2*R3548/C3548,K3547)</f>
        <v/>
      </c>
      <c r="L3548">
        <f>IF(G3548=1,0.2*R3548/D3548,L3547)</f>
        <v/>
      </c>
      <c r="M3548">
        <f>IF(G3548=1,0.2*R3548/E3548,M3547)</f>
        <v/>
      </c>
      <c r="N3548">
        <f>IF(G3548=1,0.2*R3548/F3548,N3547)</f>
        <v/>
      </c>
      <c r="O3548">
        <f>IF(G3548=1,R3548*(1-1.0),IF(H3547=0,1,O3547*(1+0.00023125256064071564)))</f>
        <v/>
      </c>
      <c r="P3548">
        <f>IF(G3548=1,IF(H3547=0,1,ABS(0.2-J3547*B3548/I3548)+ABS(0.2-K3547*C3548/I3548)+ABS(0.2-L3547*D3548/I3548)+ABS(0.2-M3547*E3548/I3548)+ABS(0.2-N3547*F3548/I3548)),0)</f>
        <v/>
      </c>
      <c r="Q3548">
        <f>P3548*0.0015</f>
        <v/>
      </c>
      <c r="R3548">
        <f>I3548*(1-Q3548)</f>
        <v/>
      </c>
      <c r="S3548">
        <f>R3548/R3547-1</f>
        <v/>
      </c>
      <c r="T3548">
        <f>MAX(T3547,R3548)</f>
        <v/>
      </c>
      <c r="U3548">
        <f>R3548/T3548-1</f>
        <v/>
      </c>
      <c r="V3548" t="n">
        <v>8.600112390727659</v>
      </c>
      <c r="W3548" s="5">
        <f>R3548-V3548</f>
        <v/>
      </c>
    </row>
    <row r="3549">
      <c r="A3549" s="3" t="n">
        <v>43665</v>
      </c>
      <c r="B3549">
        <f>Prices!B3549</f>
        <v/>
      </c>
      <c r="C3549">
        <f>Prices!C3549</f>
        <v/>
      </c>
      <c r="D3549">
        <f>Prices!D3549</f>
        <v/>
      </c>
      <c r="E3549">
        <f>Prices!E3549</f>
        <v/>
      </c>
      <c r="F3549">
        <f>Prices!F3549</f>
        <v/>
      </c>
      <c r="G3549">
        <f>IF(AND(3547&gt;=16,TEXT(A3549,"yyyy-mm")&lt;&gt;TEXT(A3550,"yyyy-mm")),1,0)</f>
        <v/>
      </c>
      <c r="H3549">
        <f>IF(OR(H3548=1,G3549=1),1,0)</f>
        <v/>
      </c>
      <c r="I3549">
        <f>IF(H3548=0,1,SUMPRODUCT(J3548:N3548,B3549:F3549)+O3548*(1+0.00023125256064071564))</f>
        <v/>
      </c>
      <c r="J3549">
        <f>IF(G3549=1,0.2*R3549/B3549,J3548)</f>
        <v/>
      </c>
      <c r="K3549">
        <f>IF(G3549=1,0.2*R3549/C3549,K3548)</f>
        <v/>
      </c>
      <c r="L3549">
        <f>IF(G3549=1,0.2*R3549/D3549,L3548)</f>
        <v/>
      </c>
      <c r="M3549">
        <f>IF(G3549=1,0.2*R3549/E3549,M3548)</f>
        <v/>
      </c>
      <c r="N3549">
        <f>IF(G3549=1,0.2*R3549/F3549,N3548)</f>
        <v/>
      </c>
      <c r="O3549">
        <f>IF(G3549=1,R3549*(1-1.0),IF(H3548=0,1,O3548*(1+0.00023125256064071564)))</f>
        <v/>
      </c>
      <c r="P3549">
        <f>IF(G3549=1,IF(H3548=0,1,ABS(0.2-J3548*B3549/I3549)+ABS(0.2-K3548*C3549/I3549)+ABS(0.2-L3548*D3549/I3549)+ABS(0.2-M3548*E3549/I3549)+ABS(0.2-N3548*F3549/I3549)),0)</f>
        <v/>
      </c>
      <c r="Q3549">
        <f>P3549*0.0015</f>
        <v/>
      </c>
      <c r="R3549">
        <f>I3549*(1-Q3549)</f>
        <v/>
      </c>
      <c r="S3549">
        <f>R3549/R3548-1</f>
        <v/>
      </c>
      <c r="T3549">
        <f>MAX(T3548,R3549)</f>
        <v/>
      </c>
      <c r="U3549">
        <f>R3549/T3549-1</f>
        <v/>
      </c>
      <c r="V3549" t="n">
        <v>8.464044415873936</v>
      </c>
      <c r="W3549" s="5">
        <f>R3549-V3549</f>
        <v/>
      </c>
    </row>
    <row r="3550">
      <c r="A3550" s="3" t="n">
        <v>43668</v>
      </c>
      <c r="B3550">
        <f>Prices!B3550</f>
        <v/>
      </c>
      <c r="C3550">
        <f>Prices!C3550</f>
        <v/>
      </c>
      <c r="D3550">
        <f>Prices!D3550</f>
        <v/>
      </c>
      <c r="E3550">
        <f>Prices!E3550</f>
        <v/>
      </c>
      <c r="F3550">
        <f>Prices!F3550</f>
        <v/>
      </c>
      <c r="G3550">
        <f>IF(AND(3548&gt;=16,TEXT(A3550,"yyyy-mm")&lt;&gt;TEXT(A3551,"yyyy-mm")),1,0)</f>
        <v/>
      </c>
      <c r="H3550">
        <f>IF(OR(H3549=1,G3550=1),1,0)</f>
        <v/>
      </c>
      <c r="I3550">
        <f>IF(H3549=0,1,SUMPRODUCT(J3549:N3549,B3550:F3550)+O3549*(1+0.00023125256064071564))</f>
        <v/>
      </c>
      <c r="J3550">
        <f>IF(G3550=1,0.2*R3550/B3550,J3549)</f>
        <v/>
      </c>
      <c r="K3550">
        <f>IF(G3550=1,0.2*R3550/C3550,K3549)</f>
        <v/>
      </c>
      <c r="L3550">
        <f>IF(G3550=1,0.2*R3550/D3550,L3549)</f>
        <v/>
      </c>
      <c r="M3550">
        <f>IF(G3550=1,0.2*R3550/E3550,M3549)</f>
        <v/>
      </c>
      <c r="N3550">
        <f>IF(G3550=1,0.2*R3550/F3550,N3549)</f>
        <v/>
      </c>
      <c r="O3550">
        <f>IF(G3550=1,R3550*(1-1.0),IF(H3549=0,1,O3549*(1+0.00023125256064071564)))</f>
        <v/>
      </c>
      <c r="P3550">
        <f>IF(G3550=1,IF(H3549=0,1,ABS(0.2-J3549*B3550/I3550)+ABS(0.2-K3549*C3550/I3550)+ABS(0.2-L3549*D3550/I3550)+ABS(0.2-M3549*E3550/I3550)+ABS(0.2-N3549*F3550/I3550)),0)</f>
        <v/>
      </c>
      <c r="Q3550">
        <f>P3550*0.0015</f>
        <v/>
      </c>
      <c r="R3550">
        <f>I3550*(1-Q3550)</f>
        <v/>
      </c>
      <c r="S3550">
        <f>R3550/R3549-1</f>
        <v/>
      </c>
      <c r="T3550">
        <f>MAX(T3549,R3550)</f>
        <v/>
      </c>
      <c r="U3550">
        <f>R3550/T3550-1</f>
        <v/>
      </c>
      <c r="V3550" t="n">
        <v>8.439836979834631</v>
      </c>
      <c r="W3550" s="5">
        <f>R3550-V3550</f>
        <v/>
      </c>
    </row>
    <row r="3551">
      <c r="A3551" s="3" t="n">
        <v>43669</v>
      </c>
      <c r="B3551">
        <f>Prices!B3551</f>
        <v/>
      </c>
      <c r="C3551">
        <f>Prices!C3551</f>
        <v/>
      </c>
      <c r="D3551">
        <f>Prices!D3551</f>
        <v/>
      </c>
      <c r="E3551">
        <f>Prices!E3551</f>
        <v/>
      </c>
      <c r="F3551">
        <f>Prices!F3551</f>
        <v/>
      </c>
      <c r="G3551">
        <f>IF(AND(3549&gt;=16,TEXT(A3551,"yyyy-mm")&lt;&gt;TEXT(A3552,"yyyy-mm")),1,0)</f>
        <v/>
      </c>
      <c r="H3551">
        <f>IF(OR(H3550=1,G3551=1),1,0)</f>
        <v/>
      </c>
      <c r="I3551">
        <f>IF(H3550=0,1,SUMPRODUCT(J3550:N3550,B3551:F3551)+O3550*(1+0.00023125256064071564))</f>
        <v/>
      </c>
      <c r="J3551">
        <f>IF(G3551=1,0.2*R3551/B3551,J3550)</f>
        <v/>
      </c>
      <c r="K3551">
        <f>IF(G3551=1,0.2*R3551/C3551,K3550)</f>
        <v/>
      </c>
      <c r="L3551">
        <f>IF(G3551=1,0.2*R3551/D3551,L3550)</f>
        <v/>
      </c>
      <c r="M3551">
        <f>IF(G3551=1,0.2*R3551/E3551,M3550)</f>
        <v/>
      </c>
      <c r="N3551">
        <f>IF(G3551=1,0.2*R3551/F3551,N3550)</f>
        <v/>
      </c>
      <c r="O3551">
        <f>IF(G3551=1,R3551*(1-1.0),IF(H3550=0,1,O3550*(1+0.00023125256064071564)))</f>
        <v/>
      </c>
      <c r="P3551">
        <f>IF(G3551=1,IF(H3550=0,1,ABS(0.2-J3550*B3551/I3551)+ABS(0.2-K3550*C3551/I3551)+ABS(0.2-L3550*D3551/I3551)+ABS(0.2-M3550*E3551/I3551)+ABS(0.2-N3550*F3551/I3551)),0)</f>
        <v/>
      </c>
      <c r="Q3551">
        <f>P3551*0.0015</f>
        <v/>
      </c>
      <c r="R3551">
        <f>I3551*(1-Q3551)</f>
        <v/>
      </c>
      <c r="S3551">
        <f>R3551/R3550-1</f>
        <v/>
      </c>
      <c r="T3551">
        <f>MAX(T3550,R3551)</f>
        <v/>
      </c>
      <c r="U3551">
        <f>R3551/T3551-1</f>
        <v/>
      </c>
      <c r="V3551" t="n">
        <v>8.443263484294508</v>
      </c>
      <c r="W3551" s="5">
        <f>R3551-V3551</f>
        <v/>
      </c>
    </row>
    <row r="3552">
      <c r="A3552" s="3" t="n">
        <v>43670</v>
      </c>
      <c r="B3552">
        <f>Prices!B3552</f>
        <v/>
      </c>
      <c r="C3552">
        <f>Prices!C3552</f>
        <v/>
      </c>
      <c r="D3552">
        <f>Prices!D3552</f>
        <v/>
      </c>
      <c r="E3552">
        <f>Prices!E3552</f>
        <v/>
      </c>
      <c r="F3552">
        <f>Prices!F3552</f>
        <v/>
      </c>
      <c r="G3552">
        <f>IF(AND(3550&gt;=16,TEXT(A3552,"yyyy-mm")&lt;&gt;TEXT(A3553,"yyyy-mm")),1,0)</f>
        <v/>
      </c>
      <c r="H3552">
        <f>IF(OR(H3551=1,G3552=1),1,0)</f>
        <v/>
      </c>
      <c r="I3552">
        <f>IF(H3551=0,1,SUMPRODUCT(J3551:N3551,B3552:F3552)+O3551*(1+0.00023125256064071564))</f>
        <v/>
      </c>
      <c r="J3552">
        <f>IF(G3552=1,0.2*R3552/B3552,J3551)</f>
        <v/>
      </c>
      <c r="K3552">
        <f>IF(G3552=1,0.2*R3552/C3552,K3551)</f>
        <v/>
      </c>
      <c r="L3552">
        <f>IF(G3552=1,0.2*R3552/D3552,L3551)</f>
        <v/>
      </c>
      <c r="M3552">
        <f>IF(G3552=1,0.2*R3552/E3552,M3551)</f>
        <v/>
      </c>
      <c r="N3552">
        <f>IF(G3552=1,0.2*R3552/F3552,N3551)</f>
        <v/>
      </c>
      <c r="O3552">
        <f>IF(G3552=1,R3552*(1-1.0),IF(H3551=0,1,O3551*(1+0.00023125256064071564)))</f>
        <v/>
      </c>
      <c r="P3552">
        <f>IF(G3552=1,IF(H3551=0,1,ABS(0.2-J3551*B3552/I3552)+ABS(0.2-K3551*C3552/I3552)+ABS(0.2-L3551*D3552/I3552)+ABS(0.2-M3551*E3552/I3552)+ABS(0.2-N3551*F3552/I3552)),0)</f>
        <v/>
      </c>
      <c r="Q3552">
        <f>P3552*0.0015</f>
        <v/>
      </c>
      <c r="R3552">
        <f>I3552*(1-Q3552)</f>
        <v/>
      </c>
      <c r="S3552">
        <f>R3552/R3551-1</f>
        <v/>
      </c>
      <c r="T3552">
        <f>MAX(T3551,R3552)</f>
        <v/>
      </c>
      <c r="U3552">
        <f>R3552/T3552-1</f>
        <v/>
      </c>
      <c r="V3552" t="n">
        <v>8.352343325321838</v>
      </c>
      <c r="W3552" s="5">
        <f>R3552-V3552</f>
        <v/>
      </c>
    </row>
    <row r="3553">
      <c r="A3553" s="3" t="n">
        <v>43671</v>
      </c>
      <c r="B3553">
        <f>Prices!B3553</f>
        <v/>
      </c>
      <c r="C3553">
        <f>Prices!C3553</f>
        <v/>
      </c>
      <c r="D3553">
        <f>Prices!D3553</f>
        <v/>
      </c>
      <c r="E3553">
        <f>Prices!E3553</f>
        <v/>
      </c>
      <c r="F3553">
        <f>Prices!F3553</f>
        <v/>
      </c>
      <c r="G3553">
        <f>IF(AND(3551&gt;=16,TEXT(A3553,"yyyy-mm")&lt;&gt;TEXT(A3554,"yyyy-mm")),1,0)</f>
        <v/>
      </c>
      <c r="H3553">
        <f>IF(OR(H3552=1,G3553=1),1,0)</f>
        <v/>
      </c>
      <c r="I3553">
        <f>IF(H3552=0,1,SUMPRODUCT(J3552:N3552,B3553:F3553)+O3552*(1+0.00023125256064071564))</f>
        <v/>
      </c>
      <c r="J3553">
        <f>IF(G3553=1,0.2*R3553/B3553,J3552)</f>
        <v/>
      </c>
      <c r="K3553">
        <f>IF(G3553=1,0.2*R3553/C3553,K3552)</f>
        <v/>
      </c>
      <c r="L3553">
        <f>IF(G3553=1,0.2*R3553/D3553,L3552)</f>
        <v/>
      </c>
      <c r="M3553">
        <f>IF(G3553=1,0.2*R3553/E3553,M3552)</f>
        <v/>
      </c>
      <c r="N3553">
        <f>IF(G3553=1,0.2*R3553/F3553,N3552)</f>
        <v/>
      </c>
      <c r="O3553">
        <f>IF(G3553=1,R3553*(1-1.0),IF(H3552=0,1,O3552*(1+0.00023125256064071564)))</f>
        <v/>
      </c>
      <c r="P3553">
        <f>IF(G3553=1,IF(H3552=0,1,ABS(0.2-J3552*B3553/I3553)+ABS(0.2-K3552*C3553/I3553)+ABS(0.2-L3552*D3553/I3553)+ABS(0.2-M3552*E3553/I3553)+ABS(0.2-N3552*F3553/I3553)),0)</f>
        <v/>
      </c>
      <c r="Q3553">
        <f>P3553*0.0015</f>
        <v/>
      </c>
      <c r="R3553">
        <f>I3553*(1-Q3553)</f>
        <v/>
      </c>
      <c r="S3553">
        <f>R3553/R3552-1</f>
        <v/>
      </c>
      <c r="T3553">
        <f>MAX(T3552,R3553)</f>
        <v/>
      </c>
      <c r="U3553">
        <f>R3553/T3553-1</f>
        <v/>
      </c>
      <c r="V3553" t="n">
        <v>8.354500699734755</v>
      </c>
      <c r="W3553" s="5">
        <f>R3553-V3553</f>
        <v/>
      </c>
    </row>
    <row r="3554">
      <c r="A3554" s="3" t="n">
        <v>43672</v>
      </c>
      <c r="B3554">
        <f>Prices!B3554</f>
        <v/>
      </c>
      <c r="C3554">
        <f>Prices!C3554</f>
        <v/>
      </c>
      <c r="D3554">
        <f>Prices!D3554</f>
        <v/>
      </c>
      <c r="E3554">
        <f>Prices!E3554</f>
        <v/>
      </c>
      <c r="F3554">
        <f>Prices!F3554</f>
        <v/>
      </c>
      <c r="G3554">
        <f>IF(AND(3552&gt;=16,TEXT(A3554,"yyyy-mm")&lt;&gt;TEXT(A3555,"yyyy-mm")),1,0)</f>
        <v/>
      </c>
      <c r="H3554">
        <f>IF(OR(H3553=1,G3554=1),1,0)</f>
        <v/>
      </c>
      <c r="I3554">
        <f>IF(H3553=0,1,SUMPRODUCT(J3553:N3553,B3554:F3554)+O3553*(1+0.00023125256064071564))</f>
        <v/>
      </c>
      <c r="J3554">
        <f>IF(G3554=1,0.2*R3554/B3554,J3553)</f>
        <v/>
      </c>
      <c r="K3554">
        <f>IF(G3554=1,0.2*R3554/C3554,K3553)</f>
        <v/>
      </c>
      <c r="L3554">
        <f>IF(G3554=1,0.2*R3554/D3554,L3553)</f>
        <v/>
      </c>
      <c r="M3554">
        <f>IF(G3554=1,0.2*R3554/E3554,M3553)</f>
        <v/>
      </c>
      <c r="N3554">
        <f>IF(G3554=1,0.2*R3554/F3554,N3553)</f>
        <v/>
      </c>
      <c r="O3554">
        <f>IF(G3554=1,R3554*(1-1.0),IF(H3553=0,1,O3553*(1+0.00023125256064071564)))</f>
        <v/>
      </c>
      <c r="P3554">
        <f>IF(G3554=1,IF(H3553=0,1,ABS(0.2-J3553*B3554/I3554)+ABS(0.2-K3553*C3554/I3554)+ABS(0.2-L3553*D3554/I3554)+ABS(0.2-M3553*E3554/I3554)+ABS(0.2-N3553*F3554/I3554)),0)</f>
        <v/>
      </c>
      <c r="Q3554">
        <f>P3554*0.0015</f>
        <v/>
      </c>
      <c r="R3554">
        <f>I3554*(1-Q3554)</f>
        <v/>
      </c>
      <c r="S3554">
        <f>R3554/R3553-1</f>
        <v/>
      </c>
      <c r="T3554">
        <f>MAX(T3553,R3554)</f>
        <v/>
      </c>
      <c r="U3554">
        <f>R3554/T3554-1</f>
        <v/>
      </c>
      <c r="V3554" t="n">
        <v>8.403012750166406</v>
      </c>
      <c r="W3554" s="5">
        <f>R3554-V3554</f>
        <v/>
      </c>
    </row>
    <row r="3555">
      <c r="A3555" s="3" t="n">
        <v>43675</v>
      </c>
      <c r="B3555">
        <f>Prices!B3555</f>
        <v/>
      </c>
      <c r="C3555">
        <f>Prices!C3555</f>
        <v/>
      </c>
      <c r="D3555">
        <f>Prices!D3555</f>
        <v/>
      </c>
      <c r="E3555">
        <f>Prices!E3555</f>
        <v/>
      </c>
      <c r="F3555">
        <f>Prices!F3555</f>
        <v/>
      </c>
      <c r="G3555">
        <f>IF(AND(3553&gt;=16,TEXT(A3555,"yyyy-mm")&lt;&gt;TEXT(A3556,"yyyy-mm")),1,0)</f>
        <v/>
      </c>
      <c r="H3555">
        <f>IF(OR(H3554=1,G3555=1),1,0)</f>
        <v/>
      </c>
      <c r="I3555">
        <f>IF(H3554=0,1,SUMPRODUCT(J3554:N3554,B3555:F3555)+O3554*(1+0.00023125256064071564))</f>
        <v/>
      </c>
      <c r="J3555">
        <f>IF(G3555=1,0.2*R3555/B3555,J3554)</f>
        <v/>
      </c>
      <c r="K3555">
        <f>IF(G3555=1,0.2*R3555/C3555,K3554)</f>
        <v/>
      </c>
      <c r="L3555">
        <f>IF(G3555=1,0.2*R3555/D3555,L3554)</f>
        <v/>
      </c>
      <c r="M3555">
        <f>IF(G3555=1,0.2*R3555/E3555,M3554)</f>
        <v/>
      </c>
      <c r="N3555">
        <f>IF(G3555=1,0.2*R3555/F3555,N3554)</f>
        <v/>
      </c>
      <c r="O3555">
        <f>IF(G3555=1,R3555*(1-1.0),IF(H3554=0,1,O3554*(1+0.00023125256064071564)))</f>
        <v/>
      </c>
      <c r="P3555">
        <f>IF(G3555=1,IF(H3554=0,1,ABS(0.2-J3554*B3555/I3555)+ABS(0.2-K3554*C3555/I3555)+ABS(0.2-L3554*D3555/I3555)+ABS(0.2-M3554*E3555/I3555)+ABS(0.2-N3554*F3555/I3555)),0)</f>
        <v/>
      </c>
      <c r="Q3555">
        <f>P3555*0.0015</f>
        <v/>
      </c>
      <c r="R3555">
        <f>I3555*(1-Q3555)</f>
        <v/>
      </c>
      <c r="S3555">
        <f>R3555/R3554-1</f>
        <v/>
      </c>
      <c r="T3555">
        <f>MAX(T3554,R3555)</f>
        <v/>
      </c>
      <c r="U3555">
        <f>R3555/T3555-1</f>
        <v/>
      </c>
      <c r="V3555" t="n">
        <v>8.312056468535417</v>
      </c>
      <c r="W3555" s="5">
        <f>R3555-V3555</f>
        <v/>
      </c>
    </row>
    <row r="3556">
      <c r="A3556" s="3" t="n">
        <v>43676</v>
      </c>
      <c r="B3556">
        <f>Prices!B3556</f>
        <v/>
      </c>
      <c r="C3556">
        <f>Prices!C3556</f>
        <v/>
      </c>
      <c r="D3556">
        <f>Prices!D3556</f>
        <v/>
      </c>
      <c r="E3556">
        <f>Prices!E3556</f>
        <v/>
      </c>
      <c r="F3556">
        <f>Prices!F3556</f>
        <v/>
      </c>
      <c r="G3556">
        <f>IF(AND(3554&gt;=16,TEXT(A3556,"yyyy-mm")&lt;&gt;TEXT(A3557,"yyyy-mm")),1,0)</f>
        <v/>
      </c>
      <c r="H3556">
        <f>IF(OR(H3555=1,G3556=1),1,0)</f>
        <v/>
      </c>
      <c r="I3556">
        <f>IF(H3555=0,1,SUMPRODUCT(J3555:N3555,B3556:F3556)+O3555*(1+0.00023125256064071564))</f>
        <v/>
      </c>
      <c r="J3556">
        <f>IF(G3556=1,0.2*R3556/B3556,J3555)</f>
        <v/>
      </c>
      <c r="K3556">
        <f>IF(G3556=1,0.2*R3556/C3556,K3555)</f>
        <v/>
      </c>
      <c r="L3556">
        <f>IF(G3556=1,0.2*R3556/D3556,L3555)</f>
        <v/>
      </c>
      <c r="M3556">
        <f>IF(G3556=1,0.2*R3556/E3556,M3555)</f>
        <v/>
      </c>
      <c r="N3556">
        <f>IF(G3556=1,0.2*R3556/F3556,N3555)</f>
        <v/>
      </c>
      <c r="O3556">
        <f>IF(G3556=1,R3556*(1-1.0),IF(H3555=0,1,O3555*(1+0.00023125256064071564)))</f>
        <v/>
      </c>
      <c r="P3556">
        <f>IF(G3556=1,IF(H3555=0,1,ABS(0.2-J3555*B3556/I3556)+ABS(0.2-K3555*C3556/I3556)+ABS(0.2-L3555*D3556/I3556)+ABS(0.2-M3555*E3556/I3556)+ABS(0.2-N3555*F3556/I3556)),0)</f>
        <v/>
      </c>
      <c r="Q3556">
        <f>P3556*0.0015</f>
        <v/>
      </c>
      <c r="R3556">
        <f>I3556*(1-Q3556)</f>
        <v/>
      </c>
      <c r="S3556">
        <f>R3556/R3555-1</f>
        <v/>
      </c>
      <c r="T3556">
        <f>MAX(T3555,R3556)</f>
        <v/>
      </c>
      <c r="U3556">
        <f>R3556/T3556-1</f>
        <v/>
      </c>
      <c r="V3556" t="n">
        <v>8.192806768888119</v>
      </c>
      <c r="W3556" s="5">
        <f>R3556-V3556</f>
        <v/>
      </c>
    </row>
    <row r="3557">
      <c r="A3557" s="3" t="n">
        <v>43677</v>
      </c>
      <c r="B3557">
        <f>Prices!B3557</f>
        <v/>
      </c>
      <c r="C3557">
        <f>Prices!C3557</f>
        <v/>
      </c>
      <c r="D3557">
        <f>Prices!D3557</f>
        <v/>
      </c>
      <c r="E3557">
        <f>Prices!E3557</f>
        <v/>
      </c>
      <c r="F3557">
        <f>Prices!F3557</f>
        <v/>
      </c>
      <c r="G3557">
        <f>IF(AND(3555&gt;=16,TEXT(A3557,"yyyy-mm")&lt;&gt;TEXT(A3558,"yyyy-mm")),1,0)</f>
        <v/>
      </c>
      <c r="H3557">
        <f>IF(OR(H3556=1,G3557=1),1,0)</f>
        <v/>
      </c>
      <c r="I3557">
        <f>IF(H3556=0,1,SUMPRODUCT(J3556:N3556,B3557:F3557)+O3556*(1+0.00023125256064071564))</f>
        <v/>
      </c>
      <c r="J3557">
        <f>IF(G3557=1,0.2*R3557/B3557,J3556)</f>
        <v/>
      </c>
      <c r="K3557">
        <f>IF(G3557=1,0.2*R3557/C3557,K3556)</f>
        <v/>
      </c>
      <c r="L3557">
        <f>IF(G3557=1,0.2*R3557/D3557,L3556)</f>
        <v/>
      </c>
      <c r="M3557">
        <f>IF(G3557=1,0.2*R3557/E3557,M3556)</f>
        <v/>
      </c>
      <c r="N3557">
        <f>IF(G3557=1,0.2*R3557/F3557,N3556)</f>
        <v/>
      </c>
      <c r="O3557">
        <f>IF(G3557=1,R3557*(1-1.0),IF(H3556=0,1,O3556*(1+0.00023125256064071564)))</f>
        <v/>
      </c>
      <c r="P3557">
        <f>IF(G3557=1,IF(H3556=0,1,ABS(0.2-J3556*B3557/I3557)+ABS(0.2-K3556*C3557/I3557)+ABS(0.2-L3556*D3557/I3557)+ABS(0.2-M3556*E3557/I3557)+ABS(0.2-N3556*F3557/I3557)),0)</f>
        <v/>
      </c>
      <c r="Q3557">
        <f>P3557*0.0015</f>
        <v/>
      </c>
      <c r="R3557">
        <f>I3557*(1-Q3557)</f>
        <v/>
      </c>
      <c r="S3557">
        <f>R3557/R3556-1</f>
        <v/>
      </c>
      <c r="T3557">
        <f>MAX(T3556,R3557)</f>
        <v/>
      </c>
      <c r="U3557">
        <f>R3557/T3557-1</f>
        <v/>
      </c>
      <c r="V3557" t="n">
        <v>8.248163322961476</v>
      </c>
      <c r="W3557" s="5">
        <f>R3557-V3557</f>
        <v/>
      </c>
    </row>
    <row r="3558">
      <c r="A3558" s="3" t="n">
        <v>43678</v>
      </c>
      <c r="B3558">
        <f>Prices!B3558</f>
        <v/>
      </c>
      <c r="C3558">
        <f>Prices!C3558</f>
        <v/>
      </c>
      <c r="D3558">
        <f>Prices!D3558</f>
        <v/>
      </c>
      <c r="E3558">
        <f>Prices!E3558</f>
        <v/>
      </c>
      <c r="F3558">
        <f>Prices!F3558</f>
        <v/>
      </c>
      <c r="G3558">
        <f>IF(AND(3556&gt;=16,TEXT(A3558,"yyyy-mm")&lt;&gt;TEXT(A3559,"yyyy-mm")),1,0)</f>
        <v/>
      </c>
      <c r="H3558">
        <f>IF(OR(H3557=1,G3558=1),1,0)</f>
        <v/>
      </c>
      <c r="I3558">
        <f>IF(H3557=0,1,SUMPRODUCT(J3557:N3557,B3558:F3558)+O3557*(1+0.00023125256064071564))</f>
        <v/>
      </c>
      <c r="J3558">
        <f>IF(G3558=1,0.2*R3558/B3558,J3557)</f>
        <v/>
      </c>
      <c r="K3558">
        <f>IF(G3558=1,0.2*R3558/C3558,K3557)</f>
        <v/>
      </c>
      <c r="L3558">
        <f>IF(G3558=1,0.2*R3558/D3558,L3557)</f>
        <v/>
      </c>
      <c r="M3558">
        <f>IF(G3558=1,0.2*R3558/E3558,M3557)</f>
        <v/>
      </c>
      <c r="N3558">
        <f>IF(G3558=1,0.2*R3558/F3558,N3557)</f>
        <v/>
      </c>
      <c r="O3558">
        <f>IF(G3558=1,R3558*(1-1.0),IF(H3557=0,1,O3557*(1+0.00023125256064071564)))</f>
        <v/>
      </c>
      <c r="P3558">
        <f>IF(G3558=1,IF(H3557=0,1,ABS(0.2-J3557*B3558/I3558)+ABS(0.2-K3557*C3558/I3558)+ABS(0.2-L3557*D3558/I3558)+ABS(0.2-M3557*E3558/I3558)+ABS(0.2-N3557*F3558/I3558)),0)</f>
        <v/>
      </c>
      <c r="Q3558">
        <f>P3558*0.0015</f>
        <v/>
      </c>
      <c r="R3558">
        <f>I3558*(1-Q3558)</f>
        <v/>
      </c>
      <c r="S3558">
        <f>R3558/R3557-1</f>
        <v/>
      </c>
      <c r="T3558">
        <f>MAX(T3557,R3558)</f>
        <v/>
      </c>
      <c r="U3558">
        <f>R3558/T3558-1</f>
        <v/>
      </c>
      <c r="V3558" t="n">
        <v>8.148675836763653</v>
      </c>
      <c r="W3558" s="5">
        <f>R3558-V3558</f>
        <v/>
      </c>
    </row>
    <row r="3559">
      <c r="A3559" s="3" t="n">
        <v>43679</v>
      </c>
      <c r="B3559">
        <f>Prices!B3559</f>
        <v/>
      </c>
      <c r="C3559">
        <f>Prices!C3559</f>
        <v/>
      </c>
      <c r="D3559">
        <f>Prices!D3559</f>
        <v/>
      </c>
      <c r="E3559">
        <f>Prices!E3559</f>
        <v/>
      </c>
      <c r="F3559">
        <f>Prices!F3559</f>
        <v/>
      </c>
      <c r="G3559">
        <f>IF(AND(3557&gt;=16,TEXT(A3559,"yyyy-mm")&lt;&gt;TEXT(A3560,"yyyy-mm")),1,0)</f>
        <v/>
      </c>
      <c r="H3559">
        <f>IF(OR(H3558=1,G3559=1),1,0)</f>
        <v/>
      </c>
      <c r="I3559">
        <f>IF(H3558=0,1,SUMPRODUCT(J3558:N3558,B3559:F3559)+O3558*(1+0.00023125256064071564))</f>
        <v/>
      </c>
      <c r="J3559">
        <f>IF(G3559=1,0.2*R3559/B3559,J3558)</f>
        <v/>
      </c>
      <c r="K3559">
        <f>IF(G3559=1,0.2*R3559/C3559,K3558)</f>
        <v/>
      </c>
      <c r="L3559">
        <f>IF(G3559=1,0.2*R3559/D3559,L3558)</f>
        <v/>
      </c>
      <c r="M3559">
        <f>IF(G3559=1,0.2*R3559/E3559,M3558)</f>
        <v/>
      </c>
      <c r="N3559">
        <f>IF(G3559=1,0.2*R3559/F3559,N3558)</f>
        <v/>
      </c>
      <c r="O3559">
        <f>IF(G3559=1,R3559*(1-1.0),IF(H3558=0,1,O3558*(1+0.00023125256064071564)))</f>
        <v/>
      </c>
      <c r="P3559">
        <f>IF(G3559=1,IF(H3558=0,1,ABS(0.2-J3558*B3559/I3559)+ABS(0.2-K3558*C3559/I3559)+ABS(0.2-L3558*D3559/I3559)+ABS(0.2-M3558*E3559/I3559)+ABS(0.2-N3558*F3559/I3559)),0)</f>
        <v/>
      </c>
      <c r="Q3559">
        <f>P3559*0.0015</f>
        <v/>
      </c>
      <c r="R3559">
        <f>I3559*(1-Q3559)</f>
        <v/>
      </c>
      <c r="S3559">
        <f>R3559/R3558-1</f>
        <v/>
      </c>
      <c r="T3559">
        <f>MAX(T3558,R3559)</f>
        <v/>
      </c>
      <c r="U3559">
        <f>R3559/T3559-1</f>
        <v/>
      </c>
      <c r="V3559" t="n">
        <v>8.133969389461868</v>
      </c>
      <c r="W3559" s="5">
        <f>R3559-V3559</f>
        <v/>
      </c>
    </row>
    <row r="3560">
      <c r="A3560" s="3" t="n">
        <v>43682</v>
      </c>
      <c r="B3560">
        <f>Prices!B3560</f>
        <v/>
      </c>
      <c r="C3560">
        <f>Prices!C3560</f>
        <v/>
      </c>
      <c r="D3560">
        <f>Prices!D3560</f>
        <v/>
      </c>
      <c r="E3560">
        <f>Prices!E3560</f>
        <v/>
      </c>
      <c r="F3560">
        <f>Prices!F3560</f>
        <v/>
      </c>
      <c r="G3560">
        <f>IF(AND(3558&gt;=16,TEXT(A3560,"yyyy-mm")&lt;&gt;TEXT(A3561,"yyyy-mm")),1,0)</f>
        <v/>
      </c>
      <c r="H3560">
        <f>IF(OR(H3559=1,G3560=1),1,0)</f>
        <v/>
      </c>
      <c r="I3560">
        <f>IF(H3559=0,1,SUMPRODUCT(J3559:N3559,B3560:F3560)+O3559*(1+0.00023125256064071564))</f>
        <v/>
      </c>
      <c r="J3560">
        <f>IF(G3560=1,0.2*R3560/B3560,J3559)</f>
        <v/>
      </c>
      <c r="K3560">
        <f>IF(G3560=1,0.2*R3560/C3560,K3559)</f>
        <v/>
      </c>
      <c r="L3560">
        <f>IF(G3560=1,0.2*R3560/D3560,L3559)</f>
        <v/>
      </c>
      <c r="M3560">
        <f>IF(G3560=1,0.2*R3560/E3560,M3559)</f>
        <v/>
      </c>
      <c r="N3560">
        <f>IF(G3560=1,0.2*R3560/F3560,N3559)</f>
        <v/>
      </c>
      <c r="O3560">
        <f>IF(G3560=1,R3560*(1-1.0),IF(H3559=0,1,O3559*(1+0.00023125256064071564)))</f>
        <v/>
      </c>
      <c r="P3560">
        <f>IF(G3560=1,IF(H3559=0,1,ABS(0.2-J3559*B3560/I3560)+ABS(0.2-K3559*C3560/I3560)+ABS(0.2-L3559*D3560/I3560)+ABS(0.2-M3559*E3560/I3560)+ABS(0.2-N3559*F3560/I3560)),0)</f>
        <v/>
      </c>
      <c r="Q3560">
        <f>P3560*0.0015</f>
        <v/>
      </c>
      <c r="R3560">
        <f>I3560*(1-Q3560)</f>
        <v/>
      </c>
      <c r="S3560">
        <f>R3560/R3559-1</f>
        <v/>
      </c>
      <c r="T3560">
        <f>MAX(T3559,R3560)</f>
        <v/>
      </c>
      <c r="U3560">
        <f>R3560/T3560-1</f>
        <v/>
      </c>
      <c r="V3560" t="n">
        <v>8.026958623983949</v>
      </c>
      <c r="W3560" s="5">
        <f>R3560-V3560</f>
        <v/>
      </c>
    </row>
    <row r="3561">
      <c r="A3561" s="3" t="n">
        <v>43683</v>
      </c>
      <c r="B3561">
        <f>Prices!B3561</f>
        <v/>
      </c>
      <c r="C3561">
        <f>Prices!C3561</f>
        <v/>
      </c>
      <c r="D3561">
        <f>Prices!D3561</f>
        <v/>
      </c>
      <c r="E3561">
        <f>Prices!E3561</f>
        <v/>
      </c>
      <c r="F3561">
        <f>Prices!F3561</f>
        <v/>
      </c>
      <c r="G3561">
        <f>IF(AND(3559&gt;=16,TEXT(A3561,"yyyy-mm")&lt;&gt;TEXT(A3562,"yyyy-mm")),1,0)</f>
        <v/>
      </c>
      <c r="H3561">
        <f>IF(OR(H3560=1,G3561=1),1,0)</f>
        <v/>
      </c>
      <c r="I3561">
        <f>IF(H3560=0,1,SUMPRODUCT(J3560:N3560,B3561:F3561)+O3560*(1+0.00023125256064071564))</f>
        <v/>
      </c>
      <c r="J3561">
        <f>IF(G3561=1,0.2*R3561/B3561,J3560)</f>
        <v/>
      </c>
      <c r="K3561">
        <f>IF(G3561=1,0.2*R3561/C3561,K3560)</f>
        <v/>
      </c>
      <c r="L3561">
        <f>IF(G3561=1,0.2*R3561/D3561,L3560)</f>
        <v/>
      </c>
      <c r="M3561">
        <f>IF(G3561=1,0.2*R3561/E3561,M3560)</f>
        <v/>
      </c>
      <c r="N3561">
        <f>IF(G3561=1,0.2*R3561/F3561,N3560)</f>
        <v/>
      </c>
      <c r="O3561">
        <f>IF(G3561=1,R3561*(1-1.0),IF(H3560=0,1,O3560*(1+0.00023125256064071564)))</f>
        <v/>
      </c>
      <c r="P3561">
        <f>IF(G3561=1,IF(H3560=0,1,ABS(0.2-J3560*B3561/I3561)+ABS(0.2-K3560*C3561/I3561)+ABS(0.2-L3560*D3561/I3561)+ABS(0.2-M3560*E3561/I3561)+ABS(0.2-N3560*F3561/I3561)),0)</f>
        <v/>
      </c>
      <c r="Q3561">
        <f>P3561*0.0015</f>
        <v/>
      </c>
      <c r="R3561">
        <f>I3561*(1-Q3561)</f>
        <v/>
      </c>
      <c r="S3561">
        <f>R3561/R3560-1</f>
        <v/>
      </c>
      <c r="T3561">
        <f>MAX(T3560,R3561)</f>
        <v/>
      </c>
      <c r="U3561">
        <f>R3561/T3561-1</f>
        <v/>
      </c>
      <c r="V3561" t="n">
        <v>8.143162617090107</v>
      </c>
      <c r="W3561" s="5">
        <f>R3561-V3561</f>
        <v/>
      </c>
    </row>
    <row r="3562">
      <c r="A3562" s="3" t="n">
        <v>43684</v>
      </c>
      <c r="B3562">
        <f>Prices!B3562</f>
        <v/>
      </c>
      <c r="C3562">
        <f>Prices!C3562</f>
        <v/>
      </c>
      <c r="D3562">
        <f>Prices!D3562</f>
        <v/>
      </c>
      <c r="E3562">
        <f>Prices!E3562</f>
        <v/>
      </c>
      <c r="F3562">
        <f>Prices!F3562</f>
        <v/>
      </c>
      <c r="G3562">
        <f>IF(AND(3560&gt;=16,TEXT(A3562,"yyyy-mm")&lt;&gt;TEXT(A3563,"yyyy-mm")),1,0)</f>
        <v/>
      </c>
      <c r="H3562">
        <f>IF(OR(H3561=1,G3562=1),1,0)</f>
        <v/>
      </c>
      <c r="I3562">
        <f>IF(H3561=0,1,SUMPRODUCT(J3561:N3561,B3562:F3562)+O3561*(1+0.00023125256064071564))</f>
        <v/>
      </c>
      <c r="J3562">
        <f>IF(G3562=1,0.2*R3562/B3562,J3561)</f>
        <v/>
      </c>
      <c r="K3562">
        <f>IF(G3562=1,0.2*R3562/C3562,K3561)</f>
        <v/>
      </c>
      <c r="L3562">
        <f>IF(G3562=1,0.2*R3562/D3562,L3561)</f>
        <v/>
      </c>
      <c r="M3562">
        <f>IF(G3562=1,0.2*R3562/E3562,M3561)</f>
        <v/>
      </c>
      <c r="N3562">
        <f>IF(G3562=1,0.2*R3562/F3562,N3561)</f>
        <v/>
      </c>
      <c r="O3562">
        <f>IF(G3562=1,R3562*(1-1.0),IF(H3561=0,1,O3561*(1+0.00023125256064071564)))</f>
        <v/>
      </c>
      <c r="P3562">
        <f>IF(G3562=1,IF(H3561=0,1,ABS(0.2-J3561*B3562/I3562)+ABS(0.2-K3561*C3562/I3562)+ABS(0.2-L3561*D3562/I3562)+ABS(0.2-M3561*E3562/I3562)+ABS(0.2-N3561*F3562/I3562)),0)</f>
        <v/>
      </c>
      <c r="Q3562">
        <f>P3562*0.0015</f>
        <v/>
      </c>
      <c r="R3562">
        <f>I3562*(1-Q3562)</f>
        <v/>
      </c>
      <c r="S3562">
        <f>R3562/R3561-1</f>
        <v/>
      </c>
      <c r="T3562">
        <f>MAX(T3561,R3562)</f>
        <v/>
      </c>
      <c r="U3562">
        <f>R3562/T3562-1</f>
        <v/>
      </c>
      <c r="V3562" t="n">
        <v>8.073479871262245</v>
      </c>
      <c r="W3562" s="5">
        <f>R3562-V3562</f>
        <v/>
      </c>
    </row>
    <row r="3563">
      <c r="A3563" s="3" t="n">
        <v>43685</v>
      </c>
      <c r="B3563">
        <f>Prices!B3563</f>
        <v/>
      </c>
      <c r="C3563">
        <f>Prices!C3563</f>
        <v/>
      </c>
      <c r="D3563">
        <f>Prices!D3563</f>
        <v/>
      </c>
      <c r="E3563">
        <f>Prices!E3563</f>
        <v/>
      </c>
      <c r="F3563">
        <f>Prices!F3563</f>
        <v/>
      </c>
      <c r="G3563">
        <f>IF(AND(3561&gt;=16,TEXT(A3563,"yyyy-mm")&lt;&gt;TEXT(A3564,"yyyy-mm")),1,0)</f>
        <v/>
      </c>
      <c r="H3563">
        <f>IF(OR(H3562=1,G3563=1),1,0)</f>
        <v/>
      </c>
      <c r="I3563">
        <f>IF(H3562=0,1,SUMPRODUCT(J3562:N3562,B3563:F3563)+O3562*(1+0.00023125256064071564))</f>
        <v/>
      </c>
      <c r="J3563">
        <f>IF(G3563=1,0.2*R3563/B3563,J3562)</f>
        <v/>
      </c>
      <c r="K3563">
        <f>IF(G3563=1,0.2*R3563/C3563,K3562)</f>
        <v/>
      </c>
      <c r="L3563">
        <f>IF(G3563=1,0.2*R3563/D3563,L3562)</f>
        <v/>
      </c>
      <c r="M3563">
        <f>IF(G3563=1,0.2*R3563/E3563,M3562)</f>
        <v/>
      </c>
      <c r="N3563">
        <f>IF(G3563=1,0.2*R3563/F3563,N3562)</f>
        <v/>
      </c>
      <c r="O3563">
        <f>IF(G3563=1,R3563*(1-1.0),IF(H3562=0,1,O3562*(1+0.00023125256064071564)))</f>
        <v/>
      </c>
      <c r="P3563">
        <f>IF(G3563=1,IF(H3562=0,1,ABS(0.2-J3562*B3563/I3563)+ABS(0.2-K3562*C3563/I3563)+ABS(0.2-L3562*D3563/I3563)+ABS(0.2-M3562*E3563/I3563)+ABS(0.2-N3562*F3563/I3563)),0)</f>
        <v/>
      </c>
      <c r="Q3563">
        <f>P3563*0.0015</f>
        <v/>
      </c>
      <c r="R3563">
        <f>I3563*(1-Q3563)</f>
        <v/>
      </c>
      <c r="S3563">
        <f>R3563/R3562-1</f>
        <v/>
      </c>
      <c r="T3563">
        <f>MAX(T3562,R3563)</f>
        <v/>
      </c>
      <c r="U3563">
        <f>R3563/T3563-1</f>
        <v/>
      </c>
      <c r="V3563" t="n">
        <v>8.186332899769786</v>
      </c>
      <c r="W3563" s="5">
        <f>R3563-V3563</f>
        <v/>
      </c>
    </row>
    <row r="3564">
      <c r="A3564" s="3" t="n">
        <v>43686</v>
      </c>
      <c r="B3564">
        <f>Prices!B3564</f>
        <v/>
      </c>
      <c r="C3564">
        <f>Prices!C3564</f>
        <v/>
      </c>
      <c r="D3564">
        <f>Prices!D3564</f>
        <v/>
      </c>
      <c r="E3564">
        <f>Prices!E3564</f>
        <v/>
      </c>
      <c r="F3564">
        <f>Prices!F3564</f>
        <v/>
      </c>
      <c r="G3564">
        <f>IF(AND(3562&gt;=16,TEXT(A3564,"yyyy-mm")&lt;&gt;TEXT(A3565,"yyyy-mm")),1,0)</f>
        <v/>
      </c>
      <c r="H3564">
        <f>IF(OR(H3563=1,G3564=1),1,0)</f>
        <v/>
      </c>
      <c r="I3564">
        <f>IF(H3563=0,1,SUMPRODUCT(J3563:N3563,B3564:F3564)+O3563*(1+0.00023125256064071564))</f>
        <v/>
      </c>
      <c r="J3564">
        <f>IF(G3564=1,0.2*R3564/B3564,J3563)</f>
        <v/>
      </c>
      <c r="K3564">
        <f>IF(G3564=1,0.2*R3564/C3564,K3563)</f>
        <v/>
      </c>
      <c r="L3564">
        <f>IF(G3564=1,0.2*R3564/D3564,L3563)</f>
        <v/>
      </c>
      <c r="M3564">
        <f>IF(G3564=1,0.2*R3564/E3564,M3563)</f>
        <v/>
      </c>
      <c r="N3564">
        <f>IF(G3564=1,0.2*R3564/F3564,N3563)</f>
        <v/>
      </c>
      <c r="O3564">
        <f>IF(G3564=1,R3564*(1-1.0),IF(H3563=0,1,O3563*(1+0.00023125256064071564)))</f>
        <v/>
      </c>
      <c r="P3564">
        <f>IF(G3564=1,IF(H3563=0,1,ABS(0.2-J3563*B3564/I3564)+ABS(0.2-K3563*C3564/I3564)+ABS(0.2-L3563*D3564/I3564)+ABS(0.2-M3563*E3564/I3564)+ABS(0.2-N3563*F3564/I3564)),0)</f>
        <v/>
      </c>
      <c r="Q3564">
        <f>P3564*0.0015</f>
        <v/>
      </c>
      <c r="R3564">
        <f>I3564*(1-Q3564)</f>
        <v/>
      </c>
      <c r="S3564">
        <f>R3564/R3563-1</f>
        <v/>
      </c>
      <c r="T3564">
        <f>MAX(T3563,R3564)</f>
        <v/>
      </c>
      <c r="U3564">
        <f>R3564/T3564-1</f>
        <v/>
      </c>
      <c r="V3564" t="n">
        <v>8.234469160299135</v>
      </c>
      <c r="W3564" s="5">
        <f>R3564-V3564</f>
        <v/>
      </c>
    </row>
    <row r="3565">
      <c r="A3565" s="3" t="n">
        <v>43690</v>
      </c>
      <c r="B3565">
        <f>Prices!B3565</f>
        <v/>
      </c>
      <c r="C3565">
        <f>Prices!C3565</f>
        <v/>
      </c>
      <c r="D3565">
        <f>Prices!D3565</f>
        <v/>
      </c>
      <c r="E3565">
        <f>Prices!E3565</f>
        <v/>
      </c>
      <c r="F3565">
        <f>Prices!F3565</f>
        <v/>
      </c>
      <c r="G3565">
        <f>IF(AND(3563&gt;=16,TEXT(A3565,"yyyy-mm")&lt;&gt;TEXT(A3566,"yyyy-mm")),1,0)</f>
        <v/>
      </c>
      <c r="H3565">
        <f>IF(OR(H3564=1,G3565=1),1,0)</f>
        <v/>
      </c>
      <c r="I3565">
        <f>IF(H3564=0,1,SUMPRODUCT(J3564:N3564,B3565:F3565)+O3564*(1+0.00023125256064071564))</f>
        <v/>
      </c>
      <c r="J3565">
        <f>IF(G3565=1,0.2*R3565/B3565,J3564)</f>
        <v/>
      </c>
      <c r="K3565">
        <f>IF(G3565=1,0.2*R3565/C3565,K3564)</f>
        <v/>
      </c>
      <c r="L3565">
        <f>IF(G3565=1,0.2*R3565/D3565,L3564)</f>
        <v/>
      </c>
      <c r="M3565">
        <f>IF(G3565=1,0.2*R3565/E3565,M3564)</f>
        <v/>
      </c>
      <c r="N3565">
        <f>IF(G3565=1,0.2*R3565/F3565,N3564)</f>
        <v/>
      </c>
      <c r="O3565">
        <f>IF(G3565=1,R3565*(1-1.0),IF(H3564=0,1,O3564*(1+0.00023125256064071564)))</f>
        <v/>
      </c>
      <c r="P3565">
        <f>IF(G3565=1,IF(H3564=0,1,ABS(0.2-J3564*B3565/I3565)+ABS(0.2-K3564*C3565/I3565)+ABS(0.2-L3564*D3565/I3565)+ABS(0.2-M3564*E3565/I3565)+ABS(0.2-N3564*F3565/I3565)),0)</f>
        <v/>
      </c>
      <c r="Q3565">
        <f>P3565*0.0015</f>
        <v/>
      </c>
      <c r="R3565">
        <f>I3565*(1-Q3565)</f>
        <v/>
      </c>
      <c r="S3565">
        <f>R3565/R3564-1</f>
        <v/>
      </c>
      <c r="T3565">
        <f>MAX(T3564,R3565)</f>
        <v/>
      </c>
      <c r="U3565">
        <f>R3565/T3565-1</f>
        <v/>
      </c>
      <c r="V3565" t="n">
        <v>8.075836617265063</v>
      </c>
      <c r="W3565" s="5">
        <f>R3565-V3565</f>
        <v/>
      </c>
    </row>
    <row r="3566">
      <c r="A3566" s="3" t="n">
        <v>43691</v>
      </c>
      <c r="B3566">
        <f>Prices!B3566</f>
        <v/>
      </c>
      <c r="C3566">
        <f>Prices!C3566</f>
        <v/>
      </c>
      <c r="D3566">
        <f>Prices!D3566</f>
        <v/>
      </c>
      <c r="E3566">
        <f>Prices!E3566</f>
        <v/>
      </c>
      <c r="F3566">
        <f>Prices!F3566</f>
        <v/>
      </c>
      <c r="G3566">
        <f>IF(AND(3564&gt;=16,TEXT(A3566,"yyyy-mm")&lt;&gt;TEXT(A3567,"yyyy-mm")),1,0)</f>
        <v/>
      </c>
      <c r="H3566">
        <f>IF(OR(H3565=1,G3566=1),1,0)</f>
        <v/>
      </c>
      <c r="I3566">
        <f>IF(H3565=0,1,SUMPRODUCT(J3565:N3565,B3566:F3566)+O3565*(1+0.00023125256064071564))</f>
        <v/>
      </c>
      <c r="J3566">
        <f>IF(G3566=1,0.2*R3566/B3566,J3565)</f>
        <v/>
      </c>
      <c r="K3566">
        <f>IF(G3566=1,0.2*R3566/C3566,K3565)</f>
        <v/>
      </c>
      <c r="L3566">
        <f>IF(G3566=1,0.2*R3566/D3566,L3565)</f>
        <v/>
      </c>
      <c r="M3566">
        <f>IF(G3566=1,0.2*R3566/E3566,M3565)</f>
        <v/>
      </c>
      <c r="N3566">
        <f>IF(G3566=1,0.2*R3566/F3566,N3565)</f>
        <v/>
      </c>
      <c r="O3566">
        <f>IF(G3566=1,R3566*(1-1.0),IF(H3565=0,1,O3565*(1+0.00023125256064071564)))</f>
        <v/>
      </c>
      <c r="P3566">
        <f>IF(G3566=1,IF(H3565=0,1,ABS(0.2-J3565*B3566/I3566)+ABS(0.2-K3565*C3566/I3566)+ABS(0.2-L3565*D3566/I3566)+ABS(0.2-M3565*E3566/I3566)+ABS(0.2-N3565*F3566/I3566)),0)</f>
        <v/>
      </c>
      <c r="Q3566">
        <f>P3566*0.0015</f>
        <v/>
      </c>
      <c r="R3566">
        <f>I3566*(1-Q3566)</f>
        <v/>
      </c>
      <c r="S3566">
        <f>R3566/R3565-1</f>
        <v/>
      </c>
      <c r="T3566">
        <f>MAX(T3565,R3566)</f>
        <v/>
      </c>
      <c r="U3566">
        <f>R3566/T3566-1</f>
        <v/>
      </c>
      <c r="V3566" t="n">
        <v>8.139534771921364</v>
      </c>
      <c r="W3566" s="5">
        <f>R3566-V3566</f>
        <v/>
      </c>
    </row>
    <row r="3567">
      <c r="A3567" s="3" t="n">
        <v>43693</v>
      </c>
      <c r="B3567">
        <f>Prices!B3567</f>
        <v/>
      </c>
      <c r="C3567">
        <f>Prices!C3567</f>
        <v/>
      </c>
      <c r="D3567">
        <f>Prices!D3567</f>
        <v/>
      </c>
      <c r="E3567">
        <f>Prices!E3567</f>
        <v/>
      </c>
      <c r="F3567">
        <f>Prices!F3567</f>
        <v/>
      </c>
      <c r="G3567">
        <f>IF(AND(3565&gt;=16,TEXT(A3567,"yyyy-mm")&lt;&gt;TEXT(A3568,"yyyy-mm")),1,0)</f>
        <v/>
      </c>
      <c r="H3567">
        <f>IF(OR(H3566=1,G3567=1),1,0)</f>
        <v/>
      </c>
      <c r="I3567">
        <f>IF(H3566=0,1,SUMPRODUCT(J3566:N3566,B3567:F3567)+O3566*(1+0.00023125256064071564))</f>
        <v/>
      </c>
      <c r="J3567">
        <f>IF(G3567=1,0.2*R3567/B3567,J3566)</f>
        <v/>
      </c>
      <c r="K3567">
        <f>IF(G3567=1,0.2*R3567/C3567,K3566)</f>
        <v/>
      </c>
      <c r="L3567">
        <f>IF(G3567=1,0.2*R3567/D3567,L3566)</f>
        <v/>
      </c>
      <c r="M3567">
        <f>IF(G3567=1,0.2*R3567/E3567,M3566)</f>
        <v/>
      </c>
      <c r="N3567">
        <f>IF(G3567=1,0.2*R3567/F3567,N3566)</f>
        <v/>
      </c>
      <c r="O3567">
        <f>IF(G3567=1,R3567*(1-1.0),IF(H3566=0,1,O3566*(1+0.00023125256064071564)))</f>
        <v/>
      </c>
      <c r="P3567">
        <f>IF(G3567=1,IF(H3566=0,1,ABS(0.2-J3566*B3567/I3567)+ABS(0.2-K3566*C3567/I3567)+ABS(0.2-L3566*D3567/I3567)+ABS(0.2-M3566*E3567/I3567)+ABS(0.2-N3566*F3567/I3567)),0)</f>
        <v/>
      </c>
      <c r="Q3567">
        <f>P3567*0.0015</f>
        <v/>
      </c>
      <c r="R3567">
        <f>I3567*(1-Q3567)</f>
        <v/>
      </c>
      <c r="S3567">
        <f>R3567/R3566-1</f>
        <v/>
      </c>
      <c r="T3567">
        <f>MAX(T3566,R3567)</f>
        <v/>
      </c>
      <c r="U3567">
        <f>R3567/T3567-1</f>
        <v/>
      </c>
      <c r="V3567" t="n">
        <v>8.164326621195265</v>
      </c>
      <c r="W3567" s="5">
        <f>R3567-V3567</f>
        <v/>
      </c>
    </row>
    <row r="3568">
      <c r="A3568" s="3" t="n">
        <v>43696</v>
      </c>
      <c r="B3568">
        <f>Prices!B3568</f>
        <v/>
      </c>
      <c r="C3568">
        <f>Prices!C3568</f>
        <v/>
      </c>
      <c r="D3568">
        <f>Prices!D3568</f>
        <v/>
      </c>
      <c r="E3568">
        <f>Prices!E3568</f>
        <v/>
      </c>
      <c r="F3568">
        <f>Prices!F3568</f>
        <v/>
      </c>
      <c r="G3568">
        <f>IF(AND(3566&gt;=16,TEXT(A3568,"yyyy-mm")&lt;&gt;TEXT(A3569,"yyyy-mm")),1,0)</f>
        <v/>
      </c>
      <c r="H3568">
        <f>IF(OR(H3567=1,G3568=1),1,0)</f>
        <v/>
      </c>
      <c r="I3568">
        <f>IF(H3567=0,1,SUMPRODUCT(J3567:N3567,B3568:F3568)+O3567*(1+0.00023125256064071564))</f>
        <v/>
      </c>
      <c r="J3568">
        <f>IF(G3568=1,0.2*R3568/B3568,J3567)</f>
        <v/>
      </c>
      <c r="K3568">
        <f>IF(G3568=1,0.2*R3568/C3568,K3567)</f>
        <v/>
      </c>
      <c r="L3568">
        <f>IF(G3568=1,0.2*R3568/D3568,L3567)</f>
        <v/>
      </c>
      <c r="M3568">
        <f>IF(G3568=1,0.2*R3568/E3568,M3567)</f>
        <v/>
      </c>
      <c r="N3568">
        <f>IF(G3568=1,0.2*R3568/F3568,N3567)</f>
        <v/>
      </c>
      <c r="O3568">
        <f>IF(G3568=1,R3568*(1-1.0),IF(H3567=0,1,O3567*(1+0.00023125256064071564)))</f>
        <v/>
      </c>
      <c r="P3568">
        <f>IF(G3568=1,IF(H3567=0,1,ABS(0.2-J3567*B3568/I3568)+ABS(0.2-K3567*C3568/I3568)+ABS(0.2-L3567*D3568/I3568)+ABS(0.2-M3567*E3568/I3568)+ABS(0.2-N3567*F3568/I3568)),0)</f>
        <v/>
      </c>
      <c r="Q3568">
        <f>P3568*0.0015</f>
        <v/>
      </c>
      <c r="R3568">
        <f>I3568*(1-Q3568)</f>
        <v/>
      </c>
      <c r="S3568">
        <f>R3568/R3567-1</f>
        <v/>
      </c>
      <c r="T3568">
        <f>MAX(T3567,R3568)</f>
        <v/>
      </c>
      <c r="U3568">
        <f>R3568/T3568-1</f>
        <v/>
      </c>
      <c r="V3568" t="n">
        <v>8.169438195947873</v>
      </c>
      <c r="W3568" s="5">
        <f>R3568-V3568</f>
        <v/>
      </c>
    </row>
    <row r="3569">
      <c r="A3569" s="3" t="n">
        <v>43697</v>
      </c>
      <c r="B3569">
        <f>Prices!B3569</f>
        <v/>
      </c>
      <c r="C3569">
        <f>Prices!C3569</f>
        <v/>
      </c>
      <c r="D3569">
        <f>Prices!D3569</f>
        <v/>
      </c>
      <c r="E3569">
        <f>Prices!E3569</f>
        <v/>
      </c>
      <c r="F3569">
        <f>Prices!F3569</f>
        <v/>
      </c>
      <c r="G3569">
        <f>IF(AND(3567&gt;=16,TEXT(A3569,"yyyy-mm")&lt;&gt;TEXT(A3570,"yyyy-mm")),1,0)</f>
        <v/>
      </c>
      <c r="H3569">
        <f>IF(OR(H3568=1,G3569=1),1,0)</f>
        <v/>
      </c>
      <c r="I3569">
        <f>IF(H3568=0,1,SUMPRODUCT(J3568:N3568,B3569:F3569)+O3568*(1+0.00023125256064071564))</f>
        <v/>
      </c>
      <c r="J3569">
        <f>IF(G3569=1,0.2*R3569/B3569,J3568)</f>
        <v/>
      </c>
      <c r="K3569">
        <f>IF(G3569=1,0.2*R3569/C3569,K3568)</f>
        <v/>
      </c>
      <c r="L3569">
        <f>IF(G3569=1,0.2*R3569/D3569,L3568)</f>
        <v/>
      </c>
      <c r="M3569">
        <f>IF(G3569=1,0.2*R3569/E3569,M3568)</f>
        <v/>
      </c>
      <c r="N3569">
        <f>IF(G3569=1,0.2*R3569/F3569,N3568)</f>
        <v/>
      </c>
      <c r="O3569">
        <f>IF(G3569=1,R3569*(1-1.0),IF(H3568=0,1,O3568*(1+0.00023125256064071564)))</f>
        <v/>
      </c>
      <c r="P3569">
        <f>IF(G3569=1,IF(H3568=0,1,ABS(0.2-J3568*B3569/I3569)+ABS(0.2-K3568*C3569/I3569)+ABS(0.2-L3568*D3569/I3569)+ABS(0.2-M3568*E3569/I3569)+ABS(0.2-N3568*F3569/I3569)),0)</f>
        <v/>
      </c>
      <c r="Q3569">
        <f>P3569*0.0015</f>
        <v/>
      </c>
      <c r="R3569">
        <f>I3569*(1-Q3569)</f>
        <v/>
      </c>
      <c r="S3569">
        <f>R3569/R3568-1</f>
        <v/>
      </c>
      <c r="T3569">
        <f>MAX(T3568,R3569)</f>
        <v/>
      </c>
      <c r="U3569">
        <f>R3569/T3569-1</f>
        <v/>
      </c>
      <c r="V3569" t="n">
        <v>8.134436107736517</v>
      </c>
      <c r="W3569" s="5">
        <f>R3569-V3569</f>
        <v/>
      </c>
    </row>
    <row r="3570">
      <c r="A3570" s="3" t="n">
        <v>43698</v>
      </c>
      <c r="B3570">
        <f>Prices!B3570</f>
        <v/>
      </c>
      <c r="C3570">
        <f>Prices!C3570</f>
        <v/>
      </c>
      <c r="D3570">
        <f>Prices!D3570</f>
        <v/>
      </c>
      <c r="E3570">
        <f>Prices!E3570</f>
        <v/>
      </c>
      <c r="F3570">
        <f>Prices!F3570</f>
        <v/>
      </c>
      <c r="G3570">
        <f>IF(AND(3568&gt;=16,TEXT(A3570,"yyyy-mm")&lt;&gt;TEXT(A3571,"yyyy-mm")),1,0)</f>
        <v/>
      </c>
      <c r="H3570">
        <f>IF(OR(H3569=1,G3570=1),1,0)</f>
        <v/>
      </c>
      <c r="I3570">
        <f>IF(H3569=0,1,SUMPRODUCT(J3569:N3569,B3570:F3570)+O3569*(1+0.00023125256064071564))</f>
        <v/>
      </c>
      <c r="J3570">
        <f>IF(G3570=1,0.2*R3570/B3570,J3569)</f>
        <v/>
      </c>
      <c r="K3570">
        <f>IF(G3570=1,0.2*R3570/C3570,K3569)</f>
        <v/>
      </c>
      <c r="L3570">
        <f>IF(G3570=1,0.2*R3570/D3570,L3569)</f>
        <v/>
      </c>
      <c r="M3570">
        <f>IF(G3570=1,0.2*R3570/E3570,M3569)</f>
        <v/>
      </c>
      <c r="N3570">
        <f>IF(G3570=1,0.2*R3570/F3570,N3569)</f>
        <v/>
      </c>
      <c r="O3570">
        <f>IF(G3570=1,R3570*(1-1.0),IF(H3569=0,1,O3569*(1+0.00023125256064071564)))</f>
        <v/>
      </c>
      <c r="P3570">
        <f>IF(G3570=1,IF(H3569=0,1,ABS(0.2-J3569*B3570/I3570)+ABS(0.2-K3569*C3570/I3570)+ABS(0.2-L3569*D3570/I3570)+ABS(0.2-M3569*E3570/I3570)+ABS(0.2-N3569*F3570/I3570)),0)</f>
        <v/>
      </c>
      <c r="Q3570">
        <f>P3570*0.0015</f>
        <v/>
      </c>
      <c r="R3570">
        <f>I3570*(1-Q3570)</f>
        <v/>
      </c>
      <c r="S3570">
        <f>R3570/R3569-1</f>
        <v/>
      </c>
      <c r="T3570">
        <f>MAX(T3569,R3570)</f>
        <v/>
      </c>
      <c r="U3570">
        <f>R3570/T3570-1</f>
        <v/>
      </c>
      <c r="V3570" t="n">
        <v>8.018804632057067</v>
      </c>
      <c r="W3570" s="5">
        <f>R3570-V3570</f>
        <v/>
      </c>
    </row>
    <row r="3571">
      <c r="A3571" s="3" t="n">
        <v>43699</v>
      </c>
      <c r="B3571">
        <f>Prices!B3571</f>
        <v/>
      </c>
      <c r="C3571">
        <f>Prices!C3571</f>
        <v/>
      </c>
      <c r="D3571">
        <f>Prices!D3571</f>
        <v/>
      </c>
      <c r="E3571">
        <f>Prices!E3571</f>
        <v/>
      </c>
      <c r="F3571">
        <f>Prices!F3571</f>
        <v/>
      </c>
      <c r="G3571">
        <f>IF(AND(3569&gt;=16,TEXT(A3571,"yyyy-mm")&lt;&gt;TEXT(A3572,"yyyy-mm")),1,0)</f>
        <v/>
      </c>
      <c r="H3571">
        <f>IF(OR(H3570=1,G3571=1),1,0)</f>
        <v/>
      </c>
      <c r="I3571">
        <f>IF(H3570=0,1,SUMPRODUCT(J3570:N3570,B3571:F3571)+O3570*(1+0.00023125256064071564))</f>
        <v/>
      </c>
      <c r="J3571">
        <f>IF(G3571=1,0.2*R3571/B3571,J3570)</f>
        <v/>
      </c>
      <c r="K3571">
        <f>IF(G3571=1,0.2*R3571/C3571,K3570)</f>
        <v/>
      </c>
      <c r="L3571">
        <f>IF(G3571=1,0.2*R3571/D3571,L3570)</f>
        <v/>
      </c>
      <c r="M3571">
        <f>IF(G3571=1,0.2*R3571/E3571,M3570)</f>
        <v/>
      </c>
      <c r="N3571">
        <f>IF(G3571=1,0.2*R3571/F3571,N3570)</f>
        <v/>
      </c>
      <c r="O3571">
        <f>IF(G3571=1,R3571*(1-1.0),IF(H3570=0,1,O3570*(1+0.00023125256064071564)))</f>
        <v/>
      </c>
      <c r="P3571">
        <f>IF(G3571=1,IF(H3570=0,1,ABS(0.2-J3570*B3571/I3571)+ABS(0.2-K3570*C3571/I3571)+ABS(0.2-L3570*D3571/I3571)+ABS(0.2-M3570*E3571/I3571)+ABS(0.2-N3570*F3571/I3571)),0)</f>
        <v/>
      </c>
      <c r="Q3571">
        <f>P3571*0.0015</f>
        <v/>
      </c>
      <c r="R3571">
        <f>I3571*(1-Q3571)</f>
        <v/>
      </c>
      <c r="S3571">
        <f>R3571/R3570-1</f>
        <v/>
      </c>
      <c r="T3571">
        <f>MAX(T3570,R3571)</f>
        <v/>
      </c>
      <c r="U3571">
        <f>R3571/T3571-1</f>
        <v/>
      </c>
      <c r="V3571" t="n">
        <v>7.888559784707564</v>
      </c>
      <c r="W3571" s="5">
        <f>R3571-V3571</f>
        <v/>
      </c>
    </row>
    <row r="3572">
      <c r="A3572" s="3" t="n">
        <v>43700</v>
      </c>
      <c r="B3572">
        <f>Prices!B3572</f>
        <v/>
      </c>
      <c r="C3572">
        <f>Prices!C3572</f>
        <v/>
      </c>
      <c r="D3572">
        <f>Prices!D3572</f>
        <v/>
      </c>
      <c r="E3572">
        <f>Prices!E3572</f>
        <v/>
      </c>
      <c r="F3572">
        <f>Prices!F3572</f>
        <v/>
      </c>
      <c r="G3572">
        <f>IF(AND(3570&gt;=16,TEXT(A3572,"yyyy-mm")&lt;&gt;TEXT(A3573,"yyyy-mm")),1,0)</f>
        <v/>
      </c>
      <c r="H3572">
        <f>IF(OR(H3571=1,G3572=1),1,0)</f>
        <v/>
      </c>
      <c r="I3572">
        <f>IF(H3571=0,1,SUMPRODUCT(J3571:N3571,B3572:F3572)+O3571*(1+0.00023125256064071564))</f>
        <v/>
      </c>
      <c r="J3572">
        <f>IF(G3572=1,0.2*R3572/B3572,J3571)</f>
        <v/>
      </c>
      <c r="K3572">
        <f>IF(G3572=1,0.2*R3572/C3572,K3571)</f>
        <v/>
      </c>
      <c r="L3572">
        <f>IF(G3572=1,0.2*R3572/D3572,L3571)</f>
        <v/>
      </c>
      <c r="M3572">
        <f>IF(G3572=1,0.2*R3572/E3572,M3571)</f>
        <v/>
      </c>
      <c r="N3572">
        <f>IF(G3572=1,0.2*R3572/F3572,N3571)</f>
        <v/>
      </c>
      <c r="O3572">
        <f>IF(G3572=1,R3572*(1-1.0),IF(H3571=0,1,O3571*(1+0.00023125256064071564)))</f>
        <v/>
      </c>
      <c r="P3572">
        <f>IF(G3572=1,IF(H3571=0,1,ABS(0.2-J3571*B3572/I3572)+ABS(0.2-K3571*C3572/I3572)+ABS(0.2-L3571*D3572/I3572)+ABS(0.2-M3571*E3572/I3572)+ABS(0.2-N3571*F3572/I3572)),0)</f>
        <v/>
      </c>
      <c r="Q3572">
        <f>P3572*0.0015</f>
        <v/>
      </c>
      <c r="R3572">
        <f>I3572*(1-Q3572)</f>
        <v/>
      </c>
      <c r="S3572">
        <f>R3572/R3571-1</f>
        <v/>
      </c>
      <c r="T3572">
        <f>MAX(T3571,R3572)</f>
        <v/>
      </c>
      <c r="U3572">
        <f>R3572/T3572-1</f>
        <v/>
      </c>
      <c r="V3572" t="n">
        <v>7.978679143651192</v>
      </c>
      <c r="W3572" s="5">
        <f>R3572-V3572</f>
        <v/>
      </c>
    </row>
    <row r="3573">
      <c r="A3573" s="3" t="n">
        <v>43703</v>
      </c>
      <c r="B3573">
        <f>Prices!B3573</f>
        <v/>
      </c>
      <c r="C3573">
        <f>Prices!C3573</f>
        <v/>
      </c>
      <c r="D3573">
        <f>Prices!D3573</f>
        <v/>
      </c>
      <c r="E3573">
        <f>Prices!E3573</f>
        <v/>
      </c>
      <c r="F3573">
        <f>Prices!F3573</f>
        <v/>
      </c>
      <c r="G3573">
        <f>IF(AND(3571&gt;=16,TEXT(A3573,"yyyy-mm")&lt;&gt;TEXT(A3574,"yyyy-mm")),1,0)</f>
        <v/>
      </c>
      <c r="H3573">
        <f>IF(OR(H3572=1,G3573=1),1,0)</f>
        <v/>
      </c>
      <c r="I3573">
        <f>IF(H3572=0,1,SUMPRODUCT(J3572:N3572,B3573:F3573)+O3572*(1+0.00023125256064071564))</f>
        <v/>
      </c>
      <c r="J3573">
        <f>IF(G3573=1,0.2*R3573/B3573,J3572)</f>
        <v/>
      </c>
      <c r="K3573">
        <f>IF(G3573=1,0.2*R3573/C3573,K3572)</f>
        <v/>
      </c>
      <c r="L3573">
        <f>IF(G3573=1,0.2*R3573/D3573,L3572)</f>
        <v/>
      </c>
      <c r="M3573">
        <f>IF(G3573=1,0.2*R3573/E3573,M3572)</f>
        <v/>
      </c>
      <c r="N3573">
        <f>IF(G3573=1,0.2*R3573/F3573,N3572)</f>
        <v/>
      </c>
      <c r="O3573">
        <f>IF(G3573=1,R3573*(1-1.0),IF(H3572=0,1,O3572*(1+0.00023125256064071564)))</f>
        <v/>
      </c>
      <c r="P3573">
        <f>IF(G3573=1,IF(H3572=0,1,ABS(0.2-J3572*B3573/I3573)+ABS(0.2-K3572*C3573/I3573)+ABS(0.2-L3572*D3573/I3573)+ABS(0.2-M3572*E3573/I3573)+ABS(0.2-N3572*F3573/I3573)),0)</f>
        <v/>
      </c>
      <c r="Q3573">
        <f>P3573*0.0015</f>
        <v/>
      </c>
      <c r="R3573">
        <f>I3573*(1-Q3573)</f>
        <v/>
      </c>
      <c r="S3573">
        <f>R3573/R3572-1</f>
        <v/>
      </c>
      <c r="T3573">
        <f>MAX(T3572,R3573)</f>
        <v/>
      </c>
      <c r="U3573">
        <f>R3573/T3573-1</f>
        <v/>
      </c>
      <c r="V3573" t="n">
        <v>8.105971454791247</v>
      </c>
      <c r="W3573" s="5">
        <f>R3573-V3573</f>
        <v/>
      </c>
    </row>
    <row r="3574">
      <c r="A3574" s="3" t="n">
        <v>43704</v>
      </c>
      <c r="B3574">
        <f>Prices!B3574</f>
        <v/>
      </c>
      <c r="C3574">
        <f>Prices!C3574</f>
        <v/>
      </c>
      <c r="D3574">
        <f>Prices!D3574</f>
        <v/>
      </c>
      <c r="E3574">
        <f>Prices!E3574</f>
        <v/>
      </c>
      <c r="F3574">
        <f>Prices!F3574</f>
        <v/>
      </c>
      <c r="G3574">
        <f>IF(AND(3572&gt;=16,TEXT(A3574,"yyyy-mm")&lt;&gt;TEXT(A3575,"yyyy-mm")),1,0)</f>
        <v/>
      </c>
      <c r="H3574">
        <f>IF(OR(H3573=1,G3574=1),1,0)</f>
        <v/>
      </c>
      <c r="I3574">
        <f>IF(H3573=0,1,SUMPRODUCT(J3573:N3573,B3574:F3574)+O3573*(1+0.00023125256064071564))</f>
        <v/>
      </c>
      <c r="J3574">
        <f>IF(G3574=1,0.2*R3574/B3574,J3573)</f>
        <v/>
      </c>
      <c r="K3574">
        <f>IF(G3574=1,0.2*R3574/C3574,K3573)</f>
        <v/>
      </c>
      <c r="L3574">
        <f>IF(G3574=1,0.2*R3574/D3574,L3573)</f>
        <v/>
      </c>
      <c r="M3574">
        <f>IF(G3574=1,0.2*R3574/E3574,M3573)</f>
        <v/>
      </c>
      <c r="N3574">
        <f>IF(G3574=1,0.2*R3574/F3574,N3573)</f>
        <v/>
      </c>
      <c r="O3574">
        <f>IF(G3574=1,R3574*(1-1.0),IF(H3573=0,1,O3573*(1+0.00023125256064071564)))</f>
        <v/>
      </c>
      <c r="P3574">
        <f>IF(G3574=1,IF(H3573=0,1,ABS(0.2-J3573*B3574/I3574)+ABS(0.2-K3573*C3574/I3574)+ABS(0.2-L3573*D3574/I3574)+ABS(0.2-M3573*E3574/I3574)+ABS(0.2-N3573*F3574/I3574)),0)</f>
        <v/>
      </c>
      <c r="Q3574">
        <f>P3574*0.0015</f>
        <v/>
      </c>
      <c r="R3574">
        <f>I3574*(1-Q3574)</f>
        <v/>
      </c>
      <c r="S3574">
        <f>R3574/R3573-1</f>
        <v/>
      </c>
      <c r="T3574">
        <f>MAX(T3573,R3574)</f>
        <v/>
      </c>
      <c r="U3574">
        <f>R3574/T3574-1</f>
        <v/>
      </c>
      <c r="V3574" t="n">
        <v>8.163181198276186</v>
      </c>
      <c r="W3574" s="5">
        <f>R3574-V3574</f>
        <v/>
      </c>
    </row>
    <row r="3575">
      <c r="A3575" s="3" t="n">
        <v>43705</v>
      </c>
      <c r="B3575">
        <f>Prices!B3575</f>
        <v/>
      </c>
      <c r="C3575">
        <f>Prices!C3575</f>
        <v/>
      </c>
      <c r="D3575">
        <f>Prices!D3575</f>
        <v/>
      </c>
      <c r="E3575">
        <f>Prices!E3575</f>
        <v/>
      </c>
      <c r="F3575">
        <f>Prices!F3575</f>
        <v/>
      </c>
      <c r="G3575">
        <f>IF(AND(3573&gt;=16,TEXT(A3575,"yyyy-mm")&lt;&gt;TEXT(A3576,"yyyy-mm")),1,0)</f>
        <v/>
      </c>
      <c r="H3575">
        <f>IF(OR(H3574=1,G3575=1),1,0)</f>
        <v/>
      </c>
      <c r="I3575">
        <f>IF(H3574=0,1,SUMPRODUCT(J3574:N3574,B3575:F3575)+O3574*(1+0.00023125256064071564))</f>
        <v/>
      </c>
      <c r="J3575">
        <f>IF(G3575=1,0.2*R3575/B3575,J3574)</f>
        <v/>
      </c>
      <c r="K3575">
        <f>IF(G3575=1,0.2*R3575/C3575,K3574)</f>
        <v/>
      </c>
      <c r="L3575">
        <f>IF(G3575=1,0.2*R3575/D3575,L3574)</f>
        <v/>
      </c>
      <c r="M3575">
        <f>IF(G3575=1,0.2*R3575/E3575,M3574)</f>
        <v/>
      </c>
      <c r="N3575">
        <f>IF(G3575=1,0.2*R3575/F3575,N3574)</f>
        <v/>
      </c>
      <c r="O3575">
        <f>IF(G3575=1,R3575*(1-1.0),IF(H3574=0,1,O3574*(1+0.00023125256064071564)))</f>
        <v/>
      </c>
      <c r="P3575">
        <f>IF(G3575=1,IF(H3574=0,1,ABS(0.2-J3574*B3575/I3575)+ABS(0.2-K3574*C3575/I3575)+ABS(0.2-L3574*D3575/I3575)+ABS(0.2-M3574*E3575/I3575)+ABS(0.2-N3574*F3575/I3575)),0)</f>
        <v/>
      </c>
      <c r="Q3575">
        <f>P3575*0.0015</f>
        <v/>
      </c>
      <c r="R3575">
        <f>I3575*(1-Q3575)</f>
        <v/>
      </c>
      <c r="S3575">
        <f>R3575/R3574-1</f>
        <v/>
      </c>
      <c r="T3575">
        <f>MAX(T3574,R3575)</f>
        <v/>
      </c>
      <c r="U3575">
        <f>R3575/T3575-1</f>
        <v/>
      </c>
      <c r="V3575" t="n">
        <v>8.104629895120997</v>
      </c>
      <c r="W3575" s="5">
        <f>R3575-V3575</f>
        <v/>
      </c>
    </row>
    <row r="3576">
      <c r="A3576" s="3" t="n">
        <v>43706</v>
      </c>
      <c r="B3576">
        <f>Prices!B3576</f>
        <v/>
      </c>
      <c r="C3576">
        <f>Prices!C3576</f>
        <v/>
      </c>
      <c r="D3576">
        <f>Prices!D3576</f>
        <v/>
      </c>
      <c r="E3576">
        <f>Prices!E3576</f>
        <v/>
      </c>
      <c r="F3576">
        <f>Prices!F3576</f>
        <v/>
      </c>
      <c r="G3576">
        <f>IF(AND(3574&gt;=16,TEXT(A3576,"yyyy-mm")&lt;&gt;TEXT(A3577,"yyyy-mm")),1,0)</f>
        <v/>
      </c>
      <c r="H3576">
        <f>IF(OR(H3575=1,G3576=1),1,0)</f>
        <v/>
      </c>
      <c r="I3576">
        <f>IF(H3575=0,1,SUMPRODUCT(J3575:N3575,B3576:F3576)+O3575*(1+0.00023125256064071564))</f>
        <v/>
      </c>
      <c r="J3576">
        <f>IF(G3576=1,0.2*R3576/B3576,J3575)</f>
        <v/>
      </c>
      <c r="K3576">
        <f>IF(G3576=1,0.2*R3576/C3576,K3575)</f>
        <v/>
      </c>
      <c r="L3576">
        <f>IF(G3576=1,0.2*R3576/D3576,L3575)</f>
        <v/>
      </c>
      <c r="M3576">
        <f>IF(G3576=1,0.2*R3576/E3576,M3575)</f>
        <v/>
      </c>
      <c r="N3576">
        <f>IF(G3576=1,0.2*R3576/F3576,N3575)</f>
        <v/>
      </c>
      <c r="O3576">
        <f>IF(G3576=1,R3576*(1-1.0),IF(H3575=0,1,O3575*(1+0.00023125256064071564)))</f>
        <v/>
      </c>
      <c r="P3576">
        <f>IF(G3576=1,IF(H3575=0,1,ABS(0.2-J3575*B3576/I3576)+ABS(0.2-K3575*C3576/I3576)+ABS(0.2-L3575*D3576/I3576)+ABS(0.2-M3575*E3576/I3576)+ABS(0.2-N3575*F3576/I3576)),0)</f>
        <v/>
      </c>
      <c r="Q3576">
        <f>P3576*0.0015</f>
        <v/>
      </c>
      <c r="R3576">
        <f>I3576*(1-Q3576)</f>
        <v/>
      </c>
      <c r="S3576">
        <f>R3576/R3575-1</f>
        <v/>
      </c>
      <c r="T3576">
        <f>MAX(T3575,R3576)</f>
        <v/>
      </c>
      <c r="U3576">
        <f>R3576/T3576-1</f>
        <v/>
      </c>
      <c r="V3576" t="n">
        <v>8.067419502999801</v>
      </c>
      <c r="W3576" s="5">
        <f>R3576-V3576</f>
        <v/>
      </c>
    </row>
    <row r="3577">
      <c r="A3577" s="3" t="n">
        <v>43707</v>
      </c>
      <c r="B3577">
        <f>Prices!B3577</f>
        <v/>
      </c>
      <c r="C3577">
        <f>Prices!C3577</f>
        <v/>
      </c>
      <c r="D3577">
        <f>Prices!D3577</f>
        <v/>
      </c>
      <c r="E3577">
        <f>Prices!E3577</f>
        <v/>
      </c>
      <c r="F3577">
        <f>Prices!F3577</f>
        <v/>
      </c>
      <c r="G3577">
        <f>IF(AND(3575&gt;=16,TEXT(A3577,"yyyy-mm")&lt;&gt;TEXT(A3578,"yyyy-mm")),1,0)</f>
        <v/>
      </c>
      <c r="H3577">
        <f>IF(OR(H3576=1,G3577=1),1,0)</f>
        <v/>
      </c>
      <c r="I3577">
        <f>IF(H3576=0,1,SUMPRODUCT(J3576:N3576,B3577:F3577)+O3576*(1+0.00023125256064071564))</f>
        <v/>
      </c>
      <c r="J3577">
        <f>IF(G3577=1,0.2*R3577/B3577,J3576)</f>
        <v/>
      </c>
      <c r="K3577">
        <f>IF(G3577=1,0.2*R3577/C3577,K3576)</f>
        <v/>
      </c>
      <c r="L3577">
        <f>IF(G3577=1,0.2*R3577/D3577,L3576)</f>
        <v/>
      </c>
      <c r="M3577">
        <f>IF(G3577=1,0.2*R3577/E3577,M3576)</f>
        <v/>
      </c>
      <c r="N3577">
        <f>IF(G3577=1,0.2*R3577/F3577,N3576)</f>
        <v/>
      </c>
      <c r="O3577">
        <f>IF(G3577=1,R3577*(1-1.0),IF(H3576=0,1,O3576*(1+0.00023125256064071564)))</f>
        <v/>
      </c>
      <c r="P3577">
        <f>IF(G3577=1,IF(H3576=0,1,ABS(0.2-J3576*B3577/I3577)+ABS(0.2-K3576*C3577/I3577)+ABS(0.2-L3576*D3577/I3577)+ABS(0.2-M3576*E3577/I3577)+ABS(0.2-N3576*F3577/I3577)),0)</f>
        <v/>
      </c>
      <c r="Q3577">
        <f>P3577*0.0015</f>
        <v/>
      </c>
      <c r="R3577">
        <f>I3577*(1-Q3577)</f>
        <v/>
      </c>
      <c r="S3577">
        <f>R3577/R3576-1</f>
        <v/>
      </c>
      <c r="T3577">
        <f>MAX(T3576,R3577)</f>
        <v/>
      </c>
      <c r="U3577">
        <f>R3577/T3577-1</f>
        <v/>
      </c>
      <c r="V3577" t="n">
        <v>8.144743869403881</v>
      </c>
      <c r="W3577" s="5">
        <f>R3577-V3577</f>
        <v/>
      </c>
    </row>
    <row r="3578">
      <c r="A3578" s="3" t="n">
        <v>43711</v>
      </c>
      <c r="B3578">
        <f>Prices!B3578</f>
        <v/>
      </c>
      <c r="C3578">
        <f>Prices!C3578</f>
        <v/>
      </c>
      <c r="D3578">
        <f>Prices!D3578</f>
        <v/>
      </c>
      <c r="E3578">
        <f>Prices!E3578</f>
        <v/>
      </c>
      <c r="F3578">
        <f>Prices!F3578</f>
        <v/>
      </c>
      <c r="G3578">
        <f>IF(AND(3576&gt;=16,TEXT(A3578,"yyyy-mm")&lt;&gt;TEXT(A3579,"yyyy-mm")),1,0)</f>
        <v/>
      </c>
      <c r="H3578">
        <f>IF(OR(H3577=1,G3578=1),1,0)</f>
        <v/>
      </c>
      <c r="I3578">
        <f>IF(H3577=0,1,SUMPRODUCT(J3577:N3577,B3578:F3578)+O3577*(1+0.00023125256064071564))</f>
        <v/>
      </c>
      <c r="J3578">
        <f>IF(G3578=1,0.2*R3578/B3578,J3577)</f>
        <v/>
      </c>
      <c r="K3578">
        <f>IF(G3578=1,0.2*R3578/C3578,K3577)</f>
        <v/>
      </c>
      <c r="L3578">
        <f>IF(G3578=1,0.2*R3578/D3578,L3577)</f>
        <v/>
      </c>
      <c r="M3578">
        <f>IF(G3578=1,0.2*R3578/E3578,M3577)</f>
        <v/>
      </c>
      <c r="N3578">
        <f>IF(G3578=1,0.2*R3578/F3578,N3577)</f>
        <v/>
      </c>
      <c r="O3578">
        <f>IF(G3578=1,R3578*(1-1.0),IF(H3577=0,1,O3577*(1+0.00023125256064071564)))</f>
        <v/>
      </c>
      <c r="P3578">
        <f>IF(G3578=1,IF(H3577=0,1,ABS(0.2-J3577*B3578/I3578)+ABS(0.2-K3577*C3578/I3578)+ABS(0.2-L3577*D3578/I3578)+ABS(0.2-M3577*E3578/I3578)+ABS(0.2-N3577*F3578/I3578)),0)</f>
        <v/>
      </c>
      <c r="Q3578">
        <f>P3578*0.0015</f>
        <v/>
      </c>
      <c r="R3578">
        <f>I3578*(1-Q3578)</f>
        <v/>
      </c>
      <c r="S3578">
        <f>R3578/R3577-1</f>
        <v/>
      </c>
      <c r="T3578">
        <f>MAX(T3577,R3578)</f>
        <v/>
      </c>
      <c r="U3578">
        <f>R3578/T3578-1</f>
        <v/>
      </c>
      <c r="V3578" t="n">
        <v>7.998925455710125</v>
      </c>
      <c r="W3578" s="5">
        <f>R3578-V3578</f>
        <v/>
      </c>
    </row>
    <row r="3579">
      <c r="A3579" s="3" t="n">
        <v>43712</v>
      </c>
      <c r="B3579">
        <f>Prices!B3579</f>
        <v/>
      </c>
      <c r="C3579">
        <f>Prices!C3579</f>
        <v/>
      </c>
      <c r="D3579">
        <f>Prices!D3579</f>
        <v/>
      </c>
      <c r="E3579">
        <f>Prices!E3579</f>
        <v/>
      </c>
      <c r="F3579">
        <f>Prices!F3579</f>
        <v/>
      </c>
      <c r="G3579">
        <f>IF(AND(3577&gt;=16,TEXT(A3579,"yyyy-mm")&lt;&gt;TEXT(A3580,"yyyy-mm")),1,0)</f>
        <v/>
      </c>
      <c r="H3579">
        <f>IF(OR(H3578=1,G3579=1),1,0)</f>
        <v/>
      </c>
      <c r="I3579">
        <f>IF(H3578=0,1,SUMPRODUCT(J3578:N3578,B3579:F3579)+O3578*(1+0.00023125256064071564))</f>
        <v/>
      </c>
      <c r="J3579">
        <f>IF(G3579=1,0.2*R3579/B3579,J3578)</f>
        <v/>
      </c>
      <c r="K3579">
        <f>IF(G3579=1,0.2*R3579/C3579,K3578)</f>
        <v/>
      </c>
      <c r="L3579">
        <f>IF(G3579=1,0.2*R3579/D3579,L3578)</f>
        <v/>
      </c>
      <c r="M3579">
        <f>IF(G3579=1,0.2*R3579/E3579,M3578)</f>
        <v/>
      </c>
      <c r="N3579">
        <f>IF(G3579=1,0.2*R3579/F3579,N3578)</f>
        <v/>
      </c>
      <c r="O3579">
        <f>IF(G3579=1,R3579*(1-1.0),IF(H3578=0,1,O3578*(1+0.00023125256064071564)))</f>
        <v/>
      </c>
      <c r="P3579">
        <f>IF(G3579=1,IF(H3578=0,1,ABS(0.2-J3578*B3579/I3579)+ABS(0.2-K3578*C3579/I3579)+ABS(0.2-L3578*D3579/I3579)+ABS(0.2-M3578*E3579/I3579)+ABS(0.2-N3578*F3579/I3579)),0)</f>
        <v/>
      </c>
      <c r="Q3579">
        <f>P3579*0.0015</f>
        <v/>
      </c>
      <c r="R3579">
        <f>I3579*(1-Q3579)</f>
        <v/>
      </c>
      <c r="S3579">
        <f>R3579/R3578-1</f>
        <v/>
      </c>
      <c r="T3579">
        <f>MAX(T3578,R3579)</f>
        <v/>
      </c>
      <c r="U3579">
        <f>R3579/T3579-1</f>
        <v/>
      </c>
      <c r="V3579" t="n">
        <v>8.019349337405185</v>
      </c>
      <c r="W3579" s="5">
        <f>R3579-V3579</f>
        <v/>
      </c>
    </row>
    <row r="3580">
      <c r="A3580" s="3" t="n">
        <v>43713</v>
      </c>
      <c r="B3580">
        <f>Prices!B3580</f>
        <v/>
      </c>
      <c r="C3580">
        <f>Prices!C3580</f>
        <v/>
      </c>
      <c r="D3580">
        <f>Prices!D3580</f>
        <v/>
      </c>
      <c r="E3580">
        <f>Prices!E3580</f>
        <v/>
      </c>
      <c r="F3580">
        <f>Prices!F3580</f>
        <v/>
      </c>
      <c r="G3580">
        <f>IF(AND(3578&gt;=16,TEXT(A3580,"yyyy-mm")&lt;&gt;TEXT(A3581,"yyyy-mm")),1,0)</f>
        <v/>
      </c>
      <c r="H3580">
        <f>IF(OR(H3579=1,G3580=1),1,0)</f>
        <v/>
      </c>
      <c r="I3580">
        <f>IF(H3579=0,1,SUMPRODUCT(J3579:N3579,B3580:F3580)+O3579*(1+0.00023125256064071564))</f>
        <v/>
      </c>
      <c r="J3580">
        <f>IF(G3580=1,0.2*R3580/B3580,J3579)</f>
        <v/>
      </c>
      <c r="K3580">
        <f>IF(G3580=1,0.2*R3580/C3580,K3579)</f>
        <v/>
      </c>
      <c r="L3580">
        <f>IF(G3580=1,0.2*R3580/D3580,L3579)</f>
        <v/>
      </c>
      <c r="M3580">
        <f>IF(G3580=1,0.2*R3580/E3580,M3579)</f>
        <v/>
      </c>
      <c r="N3580">
        <f>IF(G3580=1,0.2*R3580/F3580,N3579)</f>
        <v/>
      </c>
      <c r="O3580">
        <f>IF(G3580=1,R3580*(1-1.0),IF(H3579=0,1,O3579*(1+0.00023125256064071564)))</f>
        <v/>
      </c>
      <c r="P3580">
        <f>IF(G3580=1,IF(H3579=0,1,ABS(0.2-J3579*B3580/I3580)+ABS(0.2-K3579*C3580/I3580)+ABS(0.2-L3579*D3580/I3580)+ABS(0.2-M3579*E3580/I3580)+ABS(0.2-N3579*F3580/I3580)),0)</f>
        <v/>
      </c>
      <c r="Q3580">
        <f>P3580*0.0015</f>
        <v/>
      </c>
      <c r="R3580">
        <f>I3580*(1-Q3580)</f>
        <v/>
      </c>
      <c r="S3580">
        <f>R3580/R3579-1</f>
        <v/>
      </c>
      <c r="T3580">
        <f>MAX(T3579,R3580)</f>
        <v/>
      </c>
      <c r="U3580">
        <f>R3580/T3580-1</f>
        <v/>
      </c>
      <c r="V3580" t="n">
        <v>8.073272943314427</v>
      </c>
      <c r="W3580" s="5">
        <f>R3580-V3580</f>
        <v/>
      </c>
    </row>
    <row r="3581">
      <c r="A3581" s="3" t="n">
        <v>43714</v>
      </c>
      <c r="B3581">
        <f>Prices!B3581</f>
        <v/>
      </c>
      <c r="C3581">
        <f>Prices!C3581</f>
        <v/>
      </c>
      <c r="D3581">
        <f>Prices!D3581</f>
        <v/>
      </c>
      <c r="E3581">
        <f>Prices!E3581</f>
        <v/>
      </c>
      <c r="F3581">
        <f>Prices!F3581</f>
        <v/>
      </c>
      <c r="G3581">
        <f>IF(AND(3579&gt;=16,TEXT(A3581,"yyyy-mm")&lt;&gt;TEXT(A3582,"yyyy-mm")),1,0)</f>
        <v/>
      </c>
      <c r="H3581">
        <f>IF(OR(H3580=1,G3581=1),1,0)</f>
        <v/>
      </c>
      <c r="I3581">
        <f>IF(H3580=0,1,SUMPRODUCT(J3580:N3580,B3581:F3581)+O3580*(1+0.00023125256064071564))</f>
        <v/>
      </c>
      <c r="J3581">
        <f>IF(G3581=1,0.2*R3581/B3581,J3580)</f>
        <v/>
      </c>
      <c r="K3581">
        <f>IF(G3581=1,0.2*R3581/C3581,K3580)</f>
        <v/>
      </c>
      <c r="L3581">
        <f>IF(G3581=1,0.2*R3581/D3581,L3580)</f>
        <v/>
      </c>
      <c r="M3581">
        <f>IF(G3581=1,0.2*R3581/E3581,M3580)</f>
        <v/>
      </c>
      <c r="N3581">
        <f>IF(G3581=1,0.2*R3581/F3581,N3580)</f>
        <v/>
      </c>
      <c r="O3581">
        <f>IF(G3581=1,R3581*(1-1.0),IF(H3580=0,1,O3580*(1+0.00023125256064071564)))</f>
        <v/>
      </c>
      <c r="P3581">
        <f>IF(G3581=1,IF(H3580=0,1,ABS(0.2-J3580*B3581/I3581)+ABS(0.2-K3580*C3581/I3581)+ABS(0.2-L3580*D3581/I3581)+ABS(0.2-M3580*E3581/I3581)+ABS(0.2-N3580*F3581/I3581)),0)</f>
        <v/>
      </c>
      <c r="Q3581">
        <f>P3581*0.0015</f>
        <v/>
      </c>
      <c r="R3581">
        <f>I3581*(1-Q3581)</f>
        <v/>
      </c>
      <c r="S3581">
        <f>R3581/R3580-1</f>
        <v/>
      </c>
      <c r="T3581">
        <f>MAX(T3580,R3581)</f>
        <v/>
      </c>
      <c r="U3581">
        <f>R3581/T3581-1</f>
        <v/>
      </c>
      <c r="V3581" t="n">
        <v>8.145021440282081</v>
      </c>
      <c r="W3581" s="5">
        <f>R3581-V3581</f>
        <v/>
      </c>
    </row>
    <row r="3582">
      <c r="A3582" s="3" t="n">
        <v>43717</v>
      </c>
      <c r="B3582">
        <f>Prices!B3582</f>
        <v/>
      </c>
      <c r="C3582">
        <f>Prices!C3582</f>
        <v/>
      </c>
      <c r="D3582">
        <f>Prices!D3582</f>
        <v/>
      </c>
      <c r="E3582">
        <f>Prices!E3582</f>
        <v/>
      </c>
      <c r="F3582">
        <f>Prices!F3582</f>
        <v/>
      </c>
      <c r="G3582">
        <f>IF(AND(3580&gt;=16,TEXT(A3582,"yyyy-mm")&lt;&gt;TEXT(A3583,"yyyy-mm")),1,0)</f>
        <v/>
      </c>
      <c r="H3582">
        <f>IF(OR(H3581=1,G3582=1),1,0)</f>
        <v/>
      </c>
      <c r="I3582">
        <f>IF(H3581=0,1,SUMPRODUCT(J3581:N3581,B3582:F3582)+O3581*(1+0.00023125256064071564))</f>
        <v/>
      </c>
      <c r="J3582">
        <f>IF(G3582=1,0.2*R3582/B3582,J3581)</f>
        <v/>
      </c>
      <c r="K3582">
        <f>IF(G3582=1,0.2*R3582/C3582,K3581)</f>
        <v/>
      </c>
      <c r="L3582">
        <f>IF(G3582=1,0.2*R3582/D3582,L3581)</f>
        <v/>
      </c>
      <c r="M3582">
        <f>IF(G3582=1,0.2*R3582/E3582,M3581)</f>
        <v/>
      </c>
      <c r="N3582">
        <f>IF(G3582=1,0.2*R3582/F3582,N3581)</f>
        <v/>
      </c>
      <c r="O3582">
        <f>IF(G3582=1,R3582*(1-1.0),IF(H3581=0,1,O3581*(1+0.00023125256064071564)))</f>
        <v/>
      </c>
      <c r="P3582">
        <f>IF(G3582=1,IF(H3581=0,1,ABS(0.2-J3581*B3582/I3582)+ABS(0.2-K3581*C3582/I3582)+ABS(0.2-L3581*D3582/I3582)+ABS(0.2-M3581*E3582/I3582)+ABS(0.2-N3581*F3582/I3582)),0)</f>
        <v/>
      </c>
      <c r="Q3582">
        <f>P3582*0.0015</f>
        <v/>
      </c>
      <c r="R3582">
        <f>I3582*(1-Q3582)</f>
        <v/>
      </c>
      <c r="S3582">
        <f>R3582/R3581-1</f>
        <v/>
      </c>
      <c r="T3582">
        <f>MAX(T3581,R3582)</f>
        <v/>
      </c>
      <c r="U3582">
        <f>R3582/T3582-1</f>
        <v/>
      </c>
      <c r="V3582" t="n">
        <v>8.201497892165809</v>
      </c>
      <c r="W3582" s="5">
        <f>R3582-V3582</f>
        <v/>
      </c>
    </row>
    <row r="3583">
      <c r="A3583" s="3" t="n">
        <v>43719</v>
      </c>
      <c r="B3583">
        <f>Prices!B3583</f>
        <v/>
      </c>
      <c r="C3583">
        <f>Prices!C3583</f>
        <v/>
      </c>
      <c r="D3583">
        <f>Prices!D3583</f>
        <v/>
      </c>
      <c r="E3583">
        <f>Prices!E3583</f>
        <v/>
      </c>
      <c r="F3583">
        <f>Prices!F3583</f>
        <v/>
      </c>
      <c r="G3583">
        <f>IF(AND(3581&gt;=16,TEXT(A3583,"yyyy-mm")&lt;&gt;TEXT(A3584,"yyyy-mm")),1,0)</f>
        <v/>
      </c>
      <c r="H3583">
        <f>IF(OR(H3582=1,G3583=1),1,0)</f>
        <v/>
      </c>
      <c r="I3583">
        <f>IF(H3582=0,1,SUMPRODUCT(J3582:N3582,B3583:F3583)+O3582*(1+0.00023125256064071564))</f>
        <v/>
      </c>
      <c r="J3583">
        <f>IF(G3583=1,0.2*R3583/B3583,J3582)</f>
        <v/>
      </c>
      <c r="K3583">
        <f>IF(G3583=1,0.2*R3583/C3583,K3582)</f>
        <v/>
      </c>
      <c r="L3583">
        <f>IF(G3583=1,0.2*R3583/D3583,L3582)</f>
        <v/>
      </c>
      <c r="M3583">
        <f>IF(G3583=1,0.2*R3583/E3583,M3582)</f>
        <v/>
      </c>
      <c r="N3583">
        <f>IF(G3583=1,0.2*R3583/F3583,N3582)</f>
        <v/>
      </c>
      <c r="O3583">
        <f>IF(G3583=1,R3583*(1-1.0),IF(H3582=0,1,O3582*(1+0.00023125256064071564)))</f>
        <v/>
      </c>
      <c r="P3583">
        <f>IF(G3583=1,IF(H3582=0,1,ABS(0.2-J3582*B3583/I3583)+ABS(0.2-K3582*C3583/I3583)+ABS(0.2-L3582*D3583/I3583)+ABS(0.2-M3582*E3583/I3583)+ABS(0.2-N3582*F3583/I3583)),0)</f>
        <v/>
      </c>
      <c r="Q3583">
        <f>P3583*0.0015</f>
        <v/>
      </c>
      <c r="R3583">
        <f>I3583*(1-Q3583)</f>
        <v/>
      </c>
      <c r="S3583">
        <f>R3583/R3582-1</f>
        <v/>
      </c>
      <c r="T3583">
        <f>MAX(T3582,R3583)</f>
        <v/>
      </c>
      <c r="U3583">
        <f>R3583/T3583-1</f>
        <v/>
      </c>
      <c r="V3583" t="n">
        <v>8.229838758303469</v>
      </c>
      <c r="W3583" s="5">
        <f>R3583-V3583</f>
        <v/>
      </c>
    </row>
    <row r="3584">
      <c r="A3584" s="3" t="n">
        <v>43720</v>
      </c>
      <c r="B3584">
        <f>Prices!B3584</f>
        <v/>
      </c>
      <c r="C3584">
        <f>Prices!C3584</f>
        <v/>
      </c>
      <c r="D3584">
        <f>Prices!D3584</f>
        <v/>
      </c>
      <c r="E3584">
        <f>Prices!E3584</f>
        <v/>
      </c>
      <c r="F3584">
        <f>Prices!F3584</f>
        <v/>
      </c>
      <c r="G3584">
        <f>IF(AND(3582&gt;=16,TEXT(A3584,"yyyy-mm")&lt;&gt;TEXT(A3585,"yyyy-mm")),1,0)</f>
        <v/>
      </c>
      <c r="H3584">
        <f>IF(OR(H3583=1,G3584=1),1,0)</f>
        <v/>
      </c>
      <c r="I3584">
        <f>IF(H3583=0,1,SUMPRODUCT(J3583:N3583,B3584:F3584)+O3583*(1+0.00023125256064071564))</f>
        <v/>
      </c>
      <c r="J3584">
        <f>IF(G3584=1,0.2*R3584/B3584,J3583)</f>
        <v/>
      </c>
      <c r="K3584">
        <f>IF(G3584=1,0.2*R3584/C3584,K3583)</f>
        <v/>
      </c>
      <c r="L3584">
        <f>IF(G3584=1,0.2*R3584/D3584,L3583)</f>
        <v/>
      </c>
      <c r="M3584">
        <f>IF(G3584=1,0.2*R3584/E3584,M3583)</f>
        <v/>
      </c>
      <c r="N3584">
        <f>IF(G3584=1,0.2*R3584/F3584,N3583)</f>
        <v/>
      </c>
      <c r="O3584">
        <f>IF(G3584=1,R3584*(1-1.0),IF(H3583=0,1,O3583*(1+0.00023125256064071564)))</f>
        <v/>
      </c>
      <c r="P3584">
        <f>IF(G3584=1,IF(H3583=0,1,ABS(0.2-J3583*B3584/I3584)+ABS(0.2-K3583*C3584/I3584)+ABS(0.2-L3583*D3584/I3584)+ABS(0.2-M3583*E3584/I3584)+ABS(0.2-N3583*F3584/I3584)),0)</f>
        <v/>
      </c>
      <c r="Q3584">
        <f>P3584*0.0015</f>
        <v/>
      </c>
      <c r="R3584">
        <f>I3584*(1-Q3584)</f>
        <v/>
      </c>
      <c r="S3584">
        <f>R3584/R3583-1</f>
        <v/>
      </c>
      <c r="T3584">
        <f>MAX(T3583,R3584)</f>
        <v/>
      </c>
      <c r="U3584">
        <f>R3584/T3584-1</f>
        <v/>
      </c>
      <c r="V3584" t="n">
        <v>8.197098966703686</v>
      </c>
      <c r="W3584" s="5">
        <f>R3584-V3584</f>
        <v/>
      </c>
    </row>
    <row r="3585">
      <c r="A3585" s="3" t="n">
        <v>43721</v>
      </c>
      <c r="B3585">
        <f>Prices!B3585</f>
        <v/>
      </c>
      <c r="C3585">
        <f>Prices!C3585</f>
        <v/>
      </c>
      <c r="D3585">
        <f>Prices!D3585</f>
        <v/>
      </c>
      <c r="E3585">
        <f>Prices!E3585</f>
        <v/>
      </c>
      <c r="F3585">
        <f>Prices!F3585</f>
        <v/>
      </c>
      <c r="G3585">
        <f>IF(AND(3583&gt;=16,TEXT(A3585,"yyyy-mm")&lt;&gt;TEXT(A3586,"yyyy-mm")),1,0)</f>
        <v/>
      </c>
      <c r="H3585">
        <f>IF(OR(H3584=1,G3585=1),1,0)</f>
        <v/>
      </c>
      <c r="I3585">
        <f>IF(H3584=0,1,SUMPRODUCT(J3584:N3584,B3585:F3585)+O3584*(1+0.00023125256064071564))</f>
        <v/>
      </c>
      <c r="J3585">
        <f>IF(G3585=1,0.2*R3585/B3585,J3584)</f>
        <v/>
      </c>
      <c r="K3585">
        <f>IF(G3585=1,0.2*R3585/C3585,K3584)</f>
        <v/>
      </c>
      <c r="L3585">
        <f>IF(G3585=1,0.2*R3585/D3585,L3584)</f>
        <v/>
      </c>
      <c r="M3585">
        <f>IF(G3585=1,0.2*R3585/E3585,M3584)</f>
        <v/>
      </c>
      <c r="N3585">
        <f>IF(G3585=1,0.2*R3585/F3585,N3584)</f>
        <v/>
      </c>
      <c r="O3585">
        <f>IF(G3585=1,R3585*(1-1.0),IF(H3584=0,1,O3584*(1+0.00023125256064071564)))</f>
        <v/>
      </c>
      <c r="P3585">
        <f>IF(G3585=1,IF(H3584=0,1,ABS(0.2-J3584*B3585/I3585)+ABS(0.2-K3584*C3585/I3585)+ABS(0.2-L3584*D3585/I3585)+ABS(0.2-M3584*E3585/I3585)+ABS(0.2-N3584*F3585/I3585)),0)</f>
        <v/>
      </c>
      <c r="Q3585">
        <f>P3585*0.0015</f>
        <v/>
      </c>
      <c r="R3585">
        <f>I3585*(1-Q3585)</f>
        <v/>
      </c>
      <c r="S3585">
        <f>R3585/R3584-1</f>
        <v/>
      </c>
      <c r="T3585">
        <f>MAX(T3584,R3585)</f>
        <v/>
      </c>
      <c r="U3585">
        <f>R3585/T3585-1</f>
        <v/>
      </c>
      <c r="V3585" t="n">
        <v>8.27145606369146</v>
      </c>
      <c r="W3585" s="5">
        <f>R3585-V3585</f>
        <v/>
      </c>
    </row>
    <row r="3586">
      <c r="A3586" s="3" t="n">
        <v>43724</v>
      </c>
      <c r="B3586">
        <f>Prices!B3586</f>
        <v/>
      </c>
      <c r="C3586">
        <f>Prices!C3586</f>
        <v/>
      </c>
      <c r="D3586">
        <f>Prices!D3586</f>
        <v/>
      </c>
      <c r="E3586">
        <f>Prices!E3586</f>
        <v/>
      </c>
      <c r="F3586">
        <f>Prices!F3586</f>
        <v/>
      </c>
      <c r="G3586">
        <f>IF(AND(3584&gt;=16,TEXT(A3586,"yyyy-mm")&lt;&gt;TEXT(A3587,"yyyy-mm")),1,0)</f>
        <v/>
      </c>
      <c r="H3586">
        <f>IF(OR(H3585=1,G3586=1),1,0)</f>
        <v/>
      </c>
      <c r="I3586">
        <f>IF(H3585=0,1,SUMPRODUCT(J3585:N3585,B3586:F3586)+O3585*(1+0.00023125256064071564))</f>
        <v/>
      </c>
      <c r="J3586">
        <f>IF(G3586=1,0.2*R3586/B3586,J3585)</f>
        <v/>
      </c>
      <c r="K3586">
        <f>IF(G3586=1,0.2*R3586/C3586,K3585)</f>
        <v/>
      </c>
      <c r="L3586">
        <f>IF(G3586=1,0.2*R3586/D3586,L3585)</f>
        <v/>
      </c>
      <c r="M3586">
        <f>IF(G3586=1,0.2*R3586/E3586,M3585)</f>
        <v/>
      </c>
      <c r="N3586">
        <f>IF(G3586=1,0.2*R3586/F3586,N3585)</f>
        <v/>
      </c>
      <c r="O3586">
        <f>IF(G3586=1,R3586*(1-1.0),IF(H3585=0,1,O3585*(1+0.00023125256064071564)))</f>
        <v/>
      </c>
      <c r="P3586">
        <f>IF(G3586=1,IF(H3585=0,1,ABS(0.2-J3585*B3586/I3586)+ABS(0.2-K3585*C3586/I3586)+ABS(0.2-L3585*D3586/I3586)+ABS(0.2-M3585*E3586/I3586)+ABS(0.2-N3585*F3586/I3586)),0)</f>
        <v/>
      </c>
      <c r="Q3586">
        <f>P3586*0.0015</f>
        <v/>
      </c>
      <c r="R3586">
        <f>I3586*(1-Q3586)</f>
        <v/>
      </c>
      <c r="S3586">
        <f>R3586/R3585-1</f>
        <v/>
      </c>
      <c r="T3586">
        <f>MAX(T3585,R3586)</f>
        <v/>
      </c>
      <c r="U3586">
        <f>R3586/T3586-1</f>
        <v/>
      </c>
      <c r="V3586" t="n">
        <v>8.256301587619902</v>
      </c>
      <c r="W3586" s="5">
        <f>R3586-V3586</f>
        <v/>
      </c>
    </row>
    <row r="3587">
      <c r="A3587" s="3" t="n">
        <v>43725</v>
      </c>
      <c r="B3587">
        <f>Prices!B3587</f>
        <v/>
      </c>
      <c r="C3587">
        <f>Prices!C3587</f>
        <v/>
      </c>
      <c r="D3587">
        <f>Prices!D3587</f>
        <v/>
      </c>
      <c r="E3587">
        <f>Prices!E3587</f>
        <v/>
      </c>
      <c r="F3587">
        <f>Prices!F3587</f>
        <v/>
      </c>
      <c r="G3587">
        <f>IF(AND(3585&gt;=16,TEXT(A3587,"yyyy-mm")&lt;&gt;TEXT(A3588,"yyyy-mm")),1,0)</f>
        <v/>
      </c>
      <c r="H3587">
        <f>IF(OR(H3586=1,G3587=1),1,0)</f>
        <v/>
      </c>
      <c r="I3587">
        <f>IF(H3586=0,1,SUMPRODUCT(J3586:N3586,B3587:F3587)+O3586*(1+0.00023125256064071564))</f>
        <v/>
      </c>
      <c r="J3587">
        <f>IF(G3587=1,0.2*R3587/B3587,J3586)</f>
        <v/>
      </c>
      <c r="K3587">
        <f>IF(G3587=1,0.2*R3587/C3587,K3586)</f>
        <v/>
      </c>
      <c r="L3587">
        <f>IF(G3587=1,0.2*R3587/D3587,L3586)</f>
        <v/>
      </c>
      <c r="M3587">
        <f>IF(G3587=1,0.2*R3587/E3587,M3586)</f>
        <v/>
      </c>
      <c r="N3587">
        <f>IF(G3587=1,0.2*R3587/F3587,N3586)</f>
        <v/>
      </c>
      <c r="O3587">
        <f>IF(G3587=1,R3587*(1-1.0),IF(H3586=0,1,O3586*(1+0.00023125256064071564)))</f>
        <v/>
      </c>
      <c r="P3587">
        <f>IF(G3587=1,IF(H3586=0,1,ABS(0.2-J3586*B3587/I3587)+ABS(0.2-K3586*C3587/I3587)+ABS(0.2-L3586*D3587/I3587)+ABS(0.2-M3586*E3587/I3587)+ABS(0.2-N3586*F3587/I3587)),0)</f>
        <v/>
      </c>
      <c r="Q3587">
        <f>P3587*0.0015</f>
        <v/>
      </c>
      <c r="R3587">
        <f>I3587*(1-Q3587)</f>
        <v/>
      </c>
      <c r="S3587">
        <f>R3587/R3586-1</f>
        <v/>
      </c>
      <c r="T3587">
        <f>MAX(T3586,R3587)</f>
        <v/>
      </c>
      <c r="U3587">
        <f>R3587/T3587-1</f>
        <v/>
      </c>
      <c r="V3587" t="n">
        <v>8.122340278272734</v>
      </c>
      <c r="W3587" s="5">
        <f>R3587-V3587</f>
        <v/>
      </c>
    </row>
    <row r="3588">
      <c r="A3588" s="3" t="n">
        <v>43726</v>
      </c>
      <c r="B3588">
        <f>Prices!B3588</f>
        <v/>
      </c>
      <c r="C3588">
        <f>Prices!C3588</f>
        <v/>
      </c>
      <c r="D3588">
        <f>Prices!D3588</f>
        <v/>
      </c>
      <c r="E3588">
        <f>Prices!E3588</f>
        <v/>
      </c>
      <c r="F3588">
        <f>Prices!F3588</f>
        <v/>
      </c>
      <c r="G3588">
        <f>IF(AND(3586&gt;=16,TEXT(A3588,"yyyy-mm")&lt;&gt;TEXT(A3589,"yyyy-mm")),1,0)</f>
        <v/>
      </c>
      <c r="H3588">
        <f>IF(OR(H3587=1,G3588=1),1,0)</f>
        <v/>
      </c>
      <c r="I3588">
        <f>IF(H3587=0,1,SUMPRODUCT(J3587:N3587,B3588:F3588)+O3587*(1+0.00023125256064071564))</f>
        <v/>
      </c>
      <c r="J3588">
        <f>IF(G3588=1,0.2*R3588/B3588,J3587)</f>
        <v/>
      </c>
      <c r="K3588">
        <f>IF(G3588=1,0.2*R3588/C3588,K3587)</f>
        <v/>
      </c>
      <c r="L3588">
        <f>IF(G3588=1,0.2*R3588/D3588,L3587)</f>
        <v/>
      </c>
      <c r="M3588">
        <f>IF(G3588=1,0.2*R3588/E3588,M3587)</f>
        <v/>
      </c>
      <c r="N3588">
        <f>IF(G3588=1,0.2*R3588/F3588,N3587)</f>
        <v/>
      </c>
      <c r="O3588">
        <f>IF(G3588=1,R3588*(1-1.0),IF(H3587=0,1,O3587*(1+0.00023125256064071564)))</f>
        <v/>
      </c>
      <c r="P3588">
        <f>IF(G3588=1,IF(H3587=0,1,ABS(0.2-J3587*B3588/I3588)+ABS(0.2-K3587*C3588/I3588)+ABS(0.2-L3587*D3588/I3588)+ABS(0.2-M3587*E3588/I3588)+ABS(0.2-N3587*F3588/I3588)),0)</f>
        <v/>
      </c>
      <c r="Q3588">
        <f>P3588*0.0015</f>
        <v/>
      </c>
      <c r="R3588">
        <f>I3588*(1-Q3588)</f>
        <v/>
      </c>
      <c r="S3588">
        <f>R3588/R3587-1</f>
        <v/>
      </c>
      <c r="T3588">
        <f>MAX(T3587,R3588)</f>
        <v/>
      </c>
      <c r="U3588">
        <f>R3588/T3588-1</f>
        <v/>
      </c>
      <c r="V3588" t="n">
        <v>8.150614426932828</v>
      </c>
      <c r="W3588" s="5">
        <f>R3588-V3588</f>
        <v/>
      </c>
    </row>
    <row r="3589">
      <c r="A3589" s="3" t="n">
        <v>43727</v>
      </c>
      <c r="B3589">
        <f>Prices!B3589</f>
        <v/>
      </c>
      <c r="C3589">
        <f>Prices!C3589</f>
        <v/>
      </c>
      <c r="D3589">
        <f>Prices!D3589</f>
        <v/>
      </c>
      <c r="E3589">
        <f>Prices!E3589</f>
        <v/>
      </c>
      <c r="F3589">
        <f>Prices!F3589</f>
        <v/>
      </c>
      <c r="G3589">
        <f>IF(AND(3587&gt;=16,TEXT(A3589,"yyyy-mm")&lt;&gt;TEXT(A3590,"yyyy-mm")),1,0)</f>
        <v/>
      </c>
      <c r="H3589">
        <f>IF(OR(H3588=1,G3589=1),1,0)</f>
        <v/>
      </c>
      <c r="I3589">
        <f>IF(H3588=0,1,SUMPRODUCT(J3588:N3588,B3589:F3589)+O3588*(1+0.00023125256064071564))</f>
        <v/>
      </c>
      <c r="J3589">
        <f>IF(G3589=1,0.2*R3589/B3589,J3588)</f>
        <v/>
      </c>
      <c r="K3589">
        <f>IF(G3589=1,0.2*R3589/C3589,K3588)</f>
        <v/>
      </c>
      <c r="L3589">
        <f>IF(G3589=1,0.2*R3589/D3589,L3588)</f>
        <v/>
      </c>
      <c r="M3589">
        <f>IF(G3589=1,0.2*R3589/E3589,M3588)</f>
        <v/>
      </c>
      <c r="N3589">
        <f>IF(G3589=1,0.2*R3589/F3589,N3588)</f>
        <v/>
      </c>
      <c r="O3589">
        <f>IF(G3589=1,R3589*(1-1.0),IF(H3588=0,1,O3588*(1+0.00023125256064071564)))</f>
        <v/>
      </c>
      <c r="P3589">
        <f>IF(G3589=1,IF(H3588=0,1,ABS(0.2-J3588*B3589/I3589)+ABS(0.2-K3588*C3589/I3589)+ABS(0.2-L3588*D3589/I3589)+ABS(0.2-M3588*E3589/I3589)+ABS(0.2-N3588*F3589/I3589)),0)</f>
        <v/>
      </c>
      <c r="Q3589">
        <f>P3589*0.0015</f>
        <v/>
      </c>
      <c r="R3589">
        <f>I3589*(1-Q3589)</f>
        <v/>
      </c>
      <c r="S3589">
        <f>R3589/R3588-1</f>
        <v/>
      </c>
      <c r="T3589">
        <f>MAX(T3588,R3589)</f>
        <v/>
      </c>
      <c r="U3589">
        <f>R3589/T3589-1</f>
        <v/>
      </c>
      <c r="V3589" t="n">
        <v>8.042030810711363</v>
      </c>
      <c r="W3589" s="5">
        <f>R3589-V3589</f>
        <v/>
      </c>
    </row>
    <row r="3590">
      <c r="A3590" s="3" t="n">
        <v>43728</v>
      </c>
      <c r="B3590">
        <f>Prices!B3590</f>
        <v/>
      </c>
      <c r="C3590">
        <f>Prices!C3590</f>
        <v/>
      </c>
      <c r="D3590">
        <f>Prices!D3590</f>
        <v/>
      </c>
      <c r="E3590">
        <f>Prices!E3590</f>
        <v/>
      </c>
      <c r="F3590">
        <f>Prices!F3590</f>
        <v/>
      </c>
      <c r="G3590">
        <f>IF(AND(3588&gt;=16,TEXT(A3590,"yyyy-mm")&lt;&gt;TEXT(A3591,"yyyy-mm")),1,0)</f>
        <v/>
      </c>
      <c r="H3590">
        <f>IF(OR(H3589=1,G3590=1),1,0)</f>
        <v/>
      </c>
      <c r="I3590">
        <f>IF(H3589=0,1,SUMPRODUCT(J3589:N3589,B3590:F3590)+O3589*(1+0.00023125256064071564))</f>
        <v/>
      </c>
      <c r="J3590">
        <f>IF(G3590=1,0.2*R3590/B3590,J3589)</f>
        <v/>
      </c>
      <c r="K3590">
        <f>IF(G3590=1,0.2*R3590/C3590,K3589)</f>
        <v/>
      </c>
      <c r="L3590">
        <f>IF(G3590=1,0.2*R3590/D3590,L3589)</f>
        <v/>
      </c>
      <c r="M3590">
        <f>IF(G3590=1,0.2*R3590/E3590,M3589)</f>
        <v/>
      </c>
      <c r="N3590">
        <f>IF(G3590=1,0.2*R3590/F3590,N3589)</f>
        <v/>
      </c>
      <c r="O3590">
        <f>IF(G3590=1,R3590*(1-1.0),IF(H3589=0,1,O3589*(1+0.00023125256064071564)))</f>
        <v/>
      </c>
      <c r="P3590">
        <f>IF(G3590=1,IF(H3589=0,1,ABS(0.2-J3589*B3590/I3590)+ABS(0.2-K3589*C3590/I3590)+ABS(0.2-L3589*D3590/I3590)+ABS(0.2-M3589*E3590/I3590)+ABS(0.2-N3589*F3590/I3590)),0)</f>
        <v/>
      </c>
      <c r="Q3590">
        <f>P3590*0.0015</f>
        <v/>
      </c>
      <c r="R3590">
        <f>I3590*(1-Q3590)</f>
        <v/>
      </c>
      <c r="S3590">
        <f>R3590/R3589-1</f>
        <v/>
      </c>
      <c r="T3590">
        <f>MAX(T3589,R3590)</f>
        <v/>
      </c>
      <c r="U3590">
        <f>R3590/T3590-1</f>
        <v/>
      </c>
      <c r="V3590" t="n">
        <v>8.426470542606976</v>
      </c>
      <c r="W3590" s="5">
        <f>R3590-V3590</f>
        <v/>
      </c>
    </row>
    <row r="3591">
      <c r="A3591" s="3" t="n">
        <v>43731</v>
      </c>
      <c r="B3591">
        <f>Prices!B3591</f>
        <v/>
      </c>
      <c r="C3591">
        <f>Prices!C3591</f>
        <v/>
      </c>
      <c r="D3591">
        <f>Prices!D3591</f>
        <v/>
      </c>
      <c r="E3591">
        <f>Prices!E3591</f>
        <v/>
      </c>
      <c r="F3591">
        <f>Prices!F3591</f>
        <v/>
      </c>
      <c r="G3591">
        <f>IF(AND(3589&gt;=16,TEXT(A3591,"yyyy-mm")&lt;&gt;TEXT(A3592,"yyyy-mm")),1,0)</f>
        <v/>
      </c>
      <c r="H3591">
        <f>IF(OR(H3590=1,G3591=1),1,0)</f>
        <v/>
      </c>
      <c r="I3591">
        <f>IF(H3590=0,1,SUMPRODUCT(J3590:N3590,B3591:F3591)+O3590*(1+0.00023125256064071564))</f>
        <v/>
      </c>
      <c r="J3591">
        <f>IF(G3591=1,0.2*R3591/B3591,J3590)</f>
        <v/>
      </c>
      <c r="K3591">
        <f>IF(G3591=1,0.2*R3591/C3591,K3590)</f>
        <v/>
      </c>
      <c r="L3591">
        <f>IF(G3591=1,0.2*R3591/D3591,L3590)</f>
        <v/>
      </c>
      <c r="M3591">
        <f>IF(G3591=1,0.2*R3591/E3591,M3590)</f>
        <v/>
      </c>
      <c r="N3591">
        <f>IF(G3591=1,0.2*R3591/F3591,N3590)</f>
        <v/>
      </c>
      <c r="O3591">
        <f>IF(G3591=1,R3591*(1-1.0),IF(H3590=0,1,O3590*(1+0.00023125256064071564)))</f>
        <v/>
      </c>
      <c r="P3591">
        <f>IF(G3591=1,IF(H3590=0,1,ABS(0.2-J3590*B3591/I3591)+ABS(0.2-K3590*C3591/I3591)+ABS(0.2-L3590*D3591/I3591)+ABS(0.2-M3590*E3591/I3591)+ABS(0.2-N3590*F3591/I3591)),0)</f>
        <v/>
      </c>
      <c r="Q3591">
        <f>P3591*0.0015</f>
        <v/>
      </c>
      <c r="R3591">
        <f>I3591*(1-Q3591)</f>
        <v/>
      </c>
      <c r="S3591">
        <f>R3591/R3590-1</f>
        <v/>
      </c>
      <c r="T3591">
        <f>MAX(T3590,R3591)</f>
        <v/>
      </c>
      <c r="U3591">
        <f>R3591/T3591-1</f>
        <v/>
      </c>
      <c r="V3591" t="n">
        <v>8.616977250680872</v>
      </c>
      <c r="W3591" s="5">
        <f>R3591-V3591</f>
        <v/>
      </c>
    </row>
    <row r="3592">
      <c r="A3592" s="3" t="n">
        <v>43732</v>
      </c>
      <c r="B3592">
        <f>Prices!B3592</f>
        <v/>
      </c>
      <c r="C3592">
        <f>Prices!C3592</f>
        <v/>
      </c>
      <c r="D3592">
        <f>Prices!D3592</f>
        <v/>
      </c>
      <c r="E3592">
        <f>Prices!E3592</f>
        <v/>
      </c>
      <c r="F3592">
        <f>Prices!F3592</f>
        <v/>
      </c>
      <c r="G3592">
        <f>IF(AND(3590&gt;=16,TEXT(A3592,"yyyy-mm")&lt;&gt;TEXT(A3593,"yyyy-mm")),1,0)</f>
        <v/>
      </c>
      <c r="H3592">
        <f>IF(OR(H3591=1,G3592=1),1,0)</f>
        <v/>
      </c>
      <c r="I3592">
        <f>IF(H3591=0,1,SUMPRODUCT(J3591:N3591,B3592:F3592)+O3591*(1+0.00023125256064071564))</f>
        <v/>
      </c>
      <c r="J3592">
        <f>IF(G3592=1,0.2*R3592/B3592,J3591)</f>
        <v/>
      </c>
      <c r="K3592">
        <f>IF(G3592=1,0.2*R3592/C3592,K3591)</f>
        <v/>
      </c>
      <c r="L3592">
        <f>IF(G3592=1,0.2*R3592/D3592,L3591)</f>
        <v/>
      </c>
      <c r="M3592">
        <f>IF(G3592=1,0.2*R3592/E3592,M3591)</f>
        <v/>
      </c>
      <c r="N3592">
        <f>IF(G3592=1,0.2*R3592/F3592,N3591)</f>
        <v/>
      </c>
      <c r="O3592">
        <f>IF(G3592=1,R3592*(1-1.0),IF(H3591=0,1,O3591*(1+0.00023125256064071564)))</f>
        <v/>
      </c>
      <c r="P3592">
        <f>IF(G3592=1,IF(H3591=0,1,ABS(0.2-J3591*B3592/I3592)+ABS(0.2-K3591*C3592/I3592)+ABS(0.2-L3591*D3592/I3592)+ABS(0.2-M3591*E3592/I3592)+ABS(0.2-N3591*F3592/I3592)),0)</f>
        <v/>
      </c>
      <c r="Q3592">
        <f>P3592*0.0015</f>
        <v/>
      </c>
      <c r="R3592">
        <f>I3592*(1-Q3592)</f>
        <v/>
      </c>
      <c r="S3592">
        <f>R3592/R3591-1</f>
        <v/>
      </c>
      <c r="T3592">
        <f>MAX(T3591,R3592)</f>
        <v/>
      </c>
      <c r="U3592">
        <f>R3592/T3592-1</f>
        <v/>
      </c>
      <c r="V3592" t="n">
        <v>8.615852131272037</v>
      </c>
      <c r="W3592" s="5">
        <f>R3592-V3592</f>
        <v/>
      </c>
    </row>
    <row r="3593">
      <c r="A3593" s="3" t="n">
        <v>43733</v>
      </c>
      <c r="B3593">
        <f>Prices!B3593</f>
        <v/>
      </c>
      <c r="C3593">
        <f>Prices!C3593</f>
        <v/>
      </c>
      <c r="D3593">
        <f>Prices!D3593</f>
        <v/>
      </c>
      <c r="E3593">
        <f>Prices!E3593</f>
        <v/>
      </c>
      <c r="F3593">
        <f>Prices!F3593</f>
        <v/>
      </c>
      <c r="G3593">
        <f>IF(AND(3591&gt;=16,TEXT(A3593,"yyyy-mm")&lt;&gt;TEXT(A3594,"yyyy-mm")),1,0)</f>
        <v/>
      </c>
      <c r="H3593">
        <f>IF(OR(H3592=1,G3593=1),1,0)</f>
        <v/>
      </c>
      <c r="I3593">
        <f>IF(H3592=0,1,SUMPRODUCT(J3592:N3592,B3593:F3593)+O3592*(1+0.00023125256064071564))</f>
        <v/>
      </c>
      <c r="J3593">
        <f>IF(G3593=1,0.2*R3593/B3593,J3592)</f>
        <v/>
      </c>
      <c r="K3593">
        <f>IF(G3593=1,0.2*R3593/C3593,K3592)</f>
        <v/>
      </c>
      <c r="L3593">
        <f>IF(G3593=1,0.2*R3593/D3593,L3592)</f>
        <v/>
      </c>
      <c r="M3593">
        <f>IF(G3593=1,0.2*R3593/E3593,M3592)</f>
        <v/>
      </c>
      <c r="N3593">
        <f>IF(G3593=1,0.2*R3593/F3593,N3592)</f>
        <v/>
      </c>
      <c r="O3593">
        <f>IF(G3593=1,R3593*(1-1.0),IF(H3592=0,1,O3592*(1+0.00023125256064071564)))</f>
        <v/>
      </c>
      <c r="P3593">
        <f>IF(G3593=1,IF(H3592=0,1,ABS(0.2-J3592*B3593/I3593)+ABS(0.2-K3592*C3593/I3593)+ABS(0.2-L3592*D3593/I3593)+ABS(0.2-M3592*E3593/I3593)+ABS(0.2-N3592*F3593/I3593)),0)</f>
        <v/>
      </c>
      <c r="Q3593">
        <f>P3593*0.0015</f>
        <v/>
      </c>
      <c r="R3593">
        <f>I3593*(1-Q3593)</f>
        <v/>
      </c>
      <c r="S3593">
        <f>R3593/R3592-1</f>
        <v/>
      </c>
      <c r="T3593">
        <f>MAX(T3592,R3593)</f>
        <v/>
      </c>
      <c r="U3593">
        <f>R3593/T3593-1</f>
        <v/>
      </c>
      <c r="V3593" t="n">
        <v>8.501181220887011</v>
      </c>
      <c r="W3593" s="5">
        <f>R3593-V3593</f>
        <v/>
      </c>
    </row>
    <row r="3594">
      <c r="A3594" s="3" t="n">
        <v>43734</v>
      </c>
      <c r="B3594">
        <f>Prices!B3594</f>
        <v/>
      </c>
      <c r="C3594">
        <f>Prices!C3594</f>
        <v/>
      </c>
      <c r="D3594">
        <f>Prices!D3594</f>
        <v/>
      </c>
      <c r="E3594">
        <f>Prices!E3594</f>
        <v/>
      </c>
      <c r="F3594">
        <f>Prices!F3594</f>
        <v/>
      </c>
      <c r="G3594">
        <f>IF(AND(3592&gt;=16,TEXT(A3594,"yyyy-mm")&lt;&gt;TEXT(A3595,"yyyy-mm")),1,0)</f>
        <v/>
      </c>
      <c r="H3594">
        <f>IF(OR(H3593=1,G3594=1),1,0)</f>
        <v/>
      </c>
      <c r="I3594">
        <f>IF(H3593=0,1,SUMPRODUCT(J3593:N3593,B3594:F3594)+O3593*(1+0.00023125256064071564))</f>
        <v/>
      </c>
      <c r="J3594">
        <f>IF(G3594=1,0.2*R3594/B3594,J3593)</f>
        <v/>
      </c>
      <c r="K3594">
        <f>IF(G3594=1,0.2*R3594/C3594,K3593)</f>
        <v/>
      </c>
      <c r="L3594">
        <f>IF(G3594=1,0.2*R3594/D3594,L3593)</f>
        <v/>
      </c>
      <c r="M3594">
        <f>IF(G3594=1,0.2*R3594/E3594,M3593)</f>
        <v/>
      </c>
      <c r="N3594">
        <f>IF(G3594=1,0.2*R3594/F3594,N3593)</f>
        <v/>
      </c>
      <c r="O3594">
        <f>IF(G3594=1,R3594*(1-1.0),IF(H3593=0,1,O3593*(1+0.00023125256064071564)))</f>
        <v/>
      </c>
      <c r="P3594">
        <f>IF(G3594=1,IF(H3593=0,1,ABS(0.2-J3593*B3594/I3594)+ABS(0.2-K3593*C3594/I3594)+ABS(0.2-L3593*D3594/I3594)+ABS(0.2-M3593*E3594/I3594)+ABS(0.2-N3593*F3594/I3594)),0)</f>
        <v/>
      </c>
      <c r="Q3594">
        <f>P3594*0.0015</f>
        <v/>
      </c>
      <c r="R3594">
        <f>I3594*(1-Q3594)</f>
        <v/>
      </c>
      <c r="S3594">
        <f>R3594/R3593-1</f>
        <v/>
      </c>
      <c r="T3594">
        <f>MAX(T3593,R3594)</f>
        <v/>
      </c>
      <c r="U3594">
        <f>R3594/T3594-1</f>
        <v/>
      </c>
      <c r="V3594" t="n">
        <v>8.581396592905884</v>
      </c>
      <c r="W3594" s="5">
        <f>R3594-V3594</f>
        <v/>
      </c>
    </row>
    <row r="3595">
      <c r="A3595" s="3" t="n">
        <v>43735</v>
      </c>
      <c r="B3595">
        <f>Prices!B3595</f>
        <v/>
      </c>
      <c r="C3595">
        <f>Prices!C3595</f>
        <v/>
      </c>
      <c r="D3595">
        <f>Prices!D3595</f>
        <v/>
      </c>
      <c r="E3595">
        <f>Prices!E3595</f>
        <v/>
      </c>
      <c r="F3595">
        <f>Prices!F3595</f>
        <v/>
      </c>
      <c r="G3595">
        <f>IF(AND(3593&gt;=16,TEXT(A3595,"yyyy-mm")&lt;&gt;TEXT(A3596,"yyyy-mm")),1,0)</f>
        <v/>
      </c>
      <c r="H3595">
        <f>IF(OR(H3594=1,G3595=1),1,0)</f>
        <v/>
      </c>
      <c r="I3595">
        <f>IF(H3594=0,1,SUMPRODUCT(J3594:N3594,B3595:F3595)+O3594*(1+0.00023125256064071564))</f>
        <v/>
      </c>
      <c r="J3595">
        <f>IF(G3595=1,0.2*R3595/B3595,J3594)</f>
        <v/>
      </c>
      <c r="K3595">
        <f>IF(G3595=1,0.2*R3595/C3595,K3594)</f>
        <v/>
      </c>
      <c r="L3595">
        <f>IF(G3595=1,0.2*R3595/D3595,L3594)</f>
        <v/>
      </c>
      <c r="M3595">
        <f>IF(G3595=1,0.2*R3595/E3595,M3594)</f>
        <v/>
      </c>
      <c r="N3595">
        <f>IF(G3595=1,0.2*R3595/F3595,N3594)</f>
        <v/>
      </c>
      <c r="O3595">
        <f>IF(G3595=1,R3595*(1-1.0),IF(H3594=0,1,O3594*(1+0.00023125256064071564)))</f>
        <v/>
      </c>
      <c r="P3595">
        <f>IF(G3595=1,IF(H3594=0,1,ABS(0.2-J3594*B3595/I3595)+ABS(0.2-K3594*C3595/I3595)+ABS(0.2-L3594*D3595/I3595)+ABS(0.2-M3594*E3595/I3595)+ABS(0.2-N3594*F3595/I3595)),0)</f>
        <v/>
      </c>
      <c r="Q3595">
        <f>P3595*0.0015</f>
        <v/>
      </c>
      <c r="R3595">
        <f>I3595*(1-Q3595)</f>
        <v/>
      </c>
      <c r="S3595">
        <f>R3595/R3594-1</f>
        <v/>
      </c>
      <c r="T3595">
        <f>MAX(T3594,R3595)</f>
        <v/>
      </c>
      <c r="U3595">
        <f>R3595/T3595-1</f>
        <v/>
      </c>
      <c r="V3595" t="n">
        <v>8.530859591733526</v>
      </c>
      <c r="W3595" s="5">
        <f>R3595-V3595</f>
        <v/>
      </c>
    </row>
    <row r="3596">
      <c r="A3596" s="3" t="n">
        <v>43738</v>
      </c>
      <c r="B3596">
        <f>Prices!B3596</f>
        <v/>
      </c>
      <c r="C3596">
        <f>Prices!C3596</f>
        <v/>
      </c>
      <c r="D3596">
        <f>Prices!D3596</f>
        <v/>
      </c>
      <c r="E3596">
        <f>Prices!E3596</f>
        <v/>
      </c>
      <c r="F3596">
        <f>Prices!F3596</f>
        <v/>
      </c>
      <c r="G3596">
        <f>IF(AND(3594&gt;=16,TEXT(A3596,"yyyy-mm")&lt;&gt;TEXT(A3597,"yyyy-mm")),1,0)</f>
        <v/>
      </c>
      <c r="H3596">
        <f>IF(OR(H3595=1,G3596=1),1,0)</f>
        <v/>
      </c>
      <c r="I3596">
        <f>IF(H3595=0,1,SUMPRODUCT(J3595:N3595,B3596:F3596)+O3595*(1+0.00023125256064071564))</f>
        <v/>
      </c>
      <c r="J3596">
        <f>IF(G3596=1,0.2*R3596/B3596,J3595)</f>
        <v/>
      </c>
      <c r="K3596">
        <f>IF(G3596=1,0.2*R3596/C3596,K3595)</f>
        <v/>
      </c>
      <c r="L3596">
        <f>IF(G3596=1,0.2*R3596/D3596,L3595)</f>
        <v/>
      </c>
      <c r="M3596">
        <f>IF(G3596=1,0.2*R3596/E3596,M3595)</f>
        <v/>
      </c>
      <c r="N3596">
        <f>IF(G3596=1,0.2*R3596/F3596,N3595)</f>
        <v/>
      </c>
      <c r="O3596">
        <f>IF(G3596=1,R3596*(1-1.0),IF(H3595=0,1,O3595*(1+0.00023125256064071564)))</f>
        <v/>
      </c>
      <c r="P3596">
        <f>IF(G3596=1,IF(H3595=0,1,ABS(0.2-J3595*B3596/I3596)+ABS(0.2-K3595*C3596/I3596)+ABS(0.2-L3595*D3596/I3596)+ABS(0.2-M3595*E3596/I3596)+ABS(0.2-N3595*F3596/I3596)),0)</f>
        <v/>
      </c>
      <c r="Q3596">
        <f>P3596*0.0015</f>
        <v/>
      </c>
      <c r="R3596">
        <f>I3596*(1-Q3596)</f>
        <v/>
      </c>
      <c r="S3596">
        <f>R3596/R3595-1</f>
        <v/>
      </c>
      <c r="T3596">
        <f>MAX(T3595,R3596)</f>
        <v/>
      </c>
      <c r="U3596">
        <f>R3596/T3596-1</f>
        <v/>
      </c>
      <c r="V3596" t="n">
        <v>8.458762294275994</v>
      </c>
      <c r="W3596" s="5">
        <f>R3596-V3596</f>
        <v/>
      </c>
    </row>
    <row r="3597">
      <c r="A3597" s="3" t="n">
        <v>43739</v>
      </c>
      <c r="B3597">
        <f>Prices!B3597</f>
        <v/>
      </c>
      <c r="C3597">
        <f>Prices!C3597</f>
        <v/>
      </c>
      <c r="D3597">
        <f>Prices!D3597</f>
        <v/>
      </c>
      <c r="E3597">
        <f>Prices!E3597</f>
        <v/>
      </c>
      <c r="F3597">
        <f>Prices!F3597</f>
        <v/>
      </c>
      <c r="G3597">
        <f>IF(AND(3595&gt;=16,TEXT(A3597,"yyyy-mm")&lt;&gt;TEXT(A3598,"yyyy-mm")),1,0)</f>
        <v/>
      </c>
      <c r="H3597">
        <f>IF(OR(H3596=1,G3597=1),1,0)</f>
        <v/>
      </c>
      <c r="I3597">
        <f>IF(H3596=0,1,SUMPRODUCT(J3596:N3596,B3597:F3597)+O3596*(1+0.00023125256064071564))</f>
        <v/>
      </c>
      <c r="J3597">
        <f>IF(G3597=1,0.2*R3597/B3597,J3596)</f>
        <v/>
      </c>
      <c r="K3597">
        <f>IF(G3597=1,0.2*R3597/C3597,K3596)</f>
        <v/>
      </c>
      <c r="L3597">
        <f>IF(G3597=1,0.2*R3597/D3597,L3596)</f>
        <v/>
      </c>
      <c r="M3597">
        <f>IF(G3597=1,0.2*R3597/E3597,M3596)</f>
        <v/>
      </c>
      <c r="N3597">
        <f>IF(G3597=1,0.2*R3597/F3597,N3596)</f>
        <v/>
      </c>
      <c r="O3597">
        <f>IF(G3597=1,R3597*(1-1.0),IF(H3596=0,1,O3596*(1+0.00023125256064071564)))</f>
        <v/>
      </c>
      <c r="P3597">
        <f>IF(G3597=1,IF(H3596=0,1,ABS(0.2-J3596*B3597/I3597)+ABS(0.2-K3596*C3597/I3597)+ABS(0.2-L3596*D3597/I3597)+ABS(0.2-M3596*E3597/I3597)+ABS(0.2-N3596*F3597/I3597)),0)</f>
        <v/>
      </c>
      <c r="Q3597">
        <f>P3597*0.0015</f>
        <v/>
      </c>
      <c r="R3597">
        <f>I3597*(1-Q3597)</f>
        <v/>
      </c>
      <c r="S3597">
        <f>R3597/R3596-1</f>
        <v/>
      </c>
      <c r="T3597">
        <f>MAX(T3596,R3597)</f>
        <v/>
      </c>
      <c r="U3597">
        <f>R3597/T3597-1</f>
        <v/>
      </c>
      <c r="V3597" t="n">
        <v>8.350366744273488</v>
      </c>
      <c r="W3597" s="5">
        <f>R3597-V3597</f>
        <v/>
      </c>
    </row>
    <row r="3598">
      <c r="A3598" s="3" t="n">
        <v>43741</v>
      </c>
      <c r="B3598">
        <f>Prices!B3598</f>
        <v/>
      </c>
      <c r="C3598">
        <f>Prices!C3598</f>
        <v/>
      </c>
      <c r="D3598">
        <f>Prices!D3598</f>
        <v/>
      </c>
      <c r="E3598">
        <f>Prices!E3598</f>
        <v/>
      </c>
      <c r="F3598">
        <f>Prices!F3598</f>
        <v/>
      </c>
      <c r="G3598">
        <f>IF(AND(3596&gt;=16,TEXT(A3598,"yyyy-mm")&lt;&gt;TEXT(A3599,"yyyy-mm")),1,0)</f>
        <v/>
      </c>
      <c r="H3598">
        <f>IF(OR(H3597=1,G3598=1),1,0)</f>
        <v/>
      </c>
      <c r="I3598">
        <f>IF(H3597=0,1,SUMPRODUCT(J3597:N3597,B3598:F3598)+O3597*(1+0.00023125256064071564))</f>
        <v/>
      </c>
      <c r="J3598">
        <f>IF(G3598=1,0.2*R3598/B3598,J3597)</f>
        <v/>
      </c>
      <c r="K3598">
        <f>IF(G3598=1,0.2*R3598/C3598,K3597)</f>
        <v/>
      </c>
      <c r="L3598">
        <f>IF(G3598=1,0.2*R3598/D3598,L3597)</f>
        <v/>
      </c>
      <c r="M3598">
        <f>IF(G3598=1,0.2*R3598/E3598,M3597)</f>
        <v/>
      </c>
      <c r="N3598">
        <f>IF(G3598=1,0.2*R3598/F3598,N3597)</f>
        <v/>
      </c>
      <c r="O3598">
        <f>IF(G3598=1,R3598*(1-1.0),IF(H3597=0,1,O3597*(1+0.00023125256064071564)))</f>
        <v/>
      </c>
      <c r="P3598">
        <f>IF(G3598=1,IF(H3597=0,1,ABS(0.2-J3597*B3598/I3598)+ABS(0.2-K3597*C3598/I3598)+ABS(0.2-L3597*D3598/I3598)+ABS(0.2-M3597*E3598/I3598)+ABS(0.2-N3597*F3598/I3598)),0)</f>
        <v/>
      </c>
      <c r="Q3598">
        <f>P3598*0.0015</f>
        <v/>
      </c>
      <c r="R3598">
        <f>I3598*(1-Q3598)</f>
        <v/>
      </c>
      <c r="S3598">
        <f>R3598/R3597-1</f>
        <v/>
      </c>
      <c r="T3598">
        <f>MAX(T3597,R3598)</f>
        <v/>
      </c>
      <c r="U3598">
        <f>R3598/T3598-1</f>
        <v/>
      </c>
      <c r="V3598" t="n">
        <v>8.325592160578751</v>
      </c>
      <c r="W3598" s="5">
        <f>R3598-V3598</f>
        <v/>
      </c>
    </row>
    <row r="3599">
      <c r="A3599" s="3" t="n">
        <v>43742</v>
      </c>
      <c r="B3599">
        <f>Prices!B3599</f>
        <v/>
      </c>
      <c r="C3599">
        <f>Prices!C3599</f>
        <v/>
      </c>
      <c r="D3599">
        <f>Prices!D3599</f>
        <v/>
      </c>
      <c r="E3599">
        <f>Prices!E3599</f>
        <v/>
      </c>
      <c r="F3599">
        <f>Prices!F3599</f>
        <v/>
      </c>
      <c r="G3599">
        <f>IF(AND(3597&gt;=16,TEXT(A3599,"yyyy-mm")&lt;&gt;TEXT(A3600,"yyyy-mm")),1,0)</f>
        <v/>
      </c>
      <c r="H3599">
        <f>IF(OR(H3598=1,G3599=1),1,0)</f>
        <v/>
      </c>
      <c r="I3599">
        <f>IF(H3598=0,1,SUMPRODUCT(J3598:N3598,B3599:F3599)+O3598*(1+0.00023125256064071564))</f>
        <v/>
      </c>
      <c r="J3599">
        <f>IF(G3599=1,0.2*R3599/B3599,J3598)</f>
        <v/>
      </c>
      <c r="K3599">
        <f>IF(G3599=1,0.2*R3599/C3599,K3598)</f>
        <v/>
      </c>
      <c r="L3599">
        <f>IF(G3599=1,0.2*R3599/D3599,L3598)</f>
        <v/>
      </c>
      <c r="M3599">
        <f>IF(G3599=1,0.2*R3599/E3599,M3598)</f>
        <v/>
      </c>
      <c r="N3599">
        <f>IF(G3599=1,0.2*R3599/F3599,N3598)</f>
        <v/>
      </c>
      <c r="O3599">
        <f>IF(G3599=1,R3599*(1-1.0),IF(H3598=0,1,O3598*(1+0.00023125256064071564)))</f>
        <v/>
      </c>
      <c r="P3599">
        <f>IF(G3599=1,IF(H3598=0,1,ABS(0.2-J3598*B3599/I3599)+ABS(0.2-K3598*C3599/I3599)+ABS(0.2-L3598*D3599/I3599)+ABS(0.2-M3598*E3599/I3599)+ABS(0.2-N3598*F3599/I3599)),0)</f>
        <v/>
      </c>
      <c r="Q3599">
        <f>P3599*0.0015</f>
        <v/>
      </c>
      <c r="R3599">
        <f>I3599*(1-Q3599)</f>
        <v/>
      </c>
      <c r="S3599">
        <f>R3599/R3598-1</f>
        <v/>
      </c>
      <c r="T3599">
        <f>MAX(T3598,R3599)</f>
        <v/>
      </c>
      <c r="U3599">
        <f>R3599/T3599-1</f>
        <v/>
      </c>
      <c r="V3599" t="n">
        <v>8.240440279417106</v>
      </c>
      <c r="W3599" s="5">
        <f>R3599-V3599</f>
        <v/>
      </c>
    </row>
    <row r="3600">
      <c r="A3600" s="3" t="n">
        <v>43745</v>
      </c>
      <c r="B3600">
        <f>Prices!B3600</f>
        <v/>
      </c>
      <c r="C3600">
        <f>Prices!C3600</f>
        <v/>
      </c>
      <c r="D3600">
        <f>Prices!D3600</f>
        <v/>
      </c>
      <c r="E3600">
        <f>Prices!E3600</f>
        <v/>
      </c>
      <c r="F3600">
        <f>Prices!F3600</f>
        <v/>
      </c>
      <c r="G3600">
        <f>IF(AND(3598&gt;=16,TEXT(A3600,"yyyy-mm")&lt;&gt;TEXT(A3601,"yyyy-mm")),1,0)</f>
        <v/>
      </c>
      <c r="H3600">
        <f>IF(OR(H3599=1,G3600=1),1,0)</f>
        <v/>
      </c>
      <c r="I3600">
        <f>IF(H3599=0,1,SUMPRODUCT(J3599:N3599,B3600:F3600)+O3599*(1+0.00023125256064071564))</f>
        <v/>
      </c>
      <c r="J3600">
        <f>IF(G3600=1,0.2*R3600/B3600,J3599)</f>
        <v/>
      </c>
      <c r="K3600">
        <f>IF(G3600=1,0.2*R3600/C3600,K3599)</f>
        <v/>
      </c>
      <c r="L3600">
        <f>IF(G3600=1,0.2*R3600/D3600,L3599)</f>
        <v/>
      </c>
      <c r="M3600">
        <f>IF(G3600=1,0.2*R3600/E3600,M3599)</f>
        <v/>
      </c>
      <c r="N3600">
        <f>IF(G3600=1,0.2*R3600/F3600,N3599)</f>
        <v/>
      </c>
      <c r="O3600">
        <f>IF(G3600=1,R3600*(1-1.0),IF(H3599=0,1,O3599*(1+0.00023125256064071564)))</f>
        <v/>
      </c>
      <c r="P3600">
        <f>IF(G3600=1,IF(H3599=0,1,ABS(0.2-J3599*B3600/I3600)+ABS(0.2-K3599*C3600/I3600)+ABS(0.2-L3599*D3600/I3600)+ABS(0.2-M3599*E3600/I3600)+ABS(0.2-N3599*F3600/I3600)),0)</f>
        <v/>
      </c>
      <c r="Q3600">
        <f>P3600*0.0015</f>
        <v/>
      </c>
      <c r="R3600">
        <f>I3600*(1-Q3600)</f>
        <v/>
      </c>
      <c r="S3600">
        <f>R3600/R3599-1</f>
        <v/>
      </c>
      <c r="T3600">
        <f>MAX(T3599,R3600)</f>
        <v/>
      </c>
      <c r="U3600">
        <f>R3600/T3600-1</f>
        <v/>
      </c>
      <c r="V3600" t="n">
        <v>8.193562273060655</v>
      </c>
      <c r="W3600" s="5">
        <f>R3600-V3600</f>
        <v/>
      </c>
    </row>
    <row r="3601">
      <c r="A3601" s="3" t="n">
        <v>43747</v>
      </c>
      <c r="B3601">
        <f>Prices!B3601</f>
        <v/>
      </c>
      <c r="C3601">
        <f>Prices!C3601</f>
        <v/>
      </c>
      <c r="D3601">
        <f>Prices!D3601</f>
        <v/>
      </c>
      <c r="E3601">
        <f>Prices!E3601</f>
        <v/>
      </c>
      <c r="F3601">
        <f>Prices!F3601</f>
        <v/>
      </c>
      <c r="G3601">
        <f>IF(AND(3599&gt;=16,TEXT(A3601,"yyyy-mm")&lt;&gt;TEXT(A3602,"yyyy-mm")),1,0)</f>
        <v/>
      </c>
      <c r="H3601">
        <f>IF(OR(H3600=1,G3601=1),1,0)</f>
        <v/>
      </c>
      <c r="I3601">
        <f>IF(H3600=0,1,SUMPRODUCT(J3600:N3600,B3601:F3601)+O3600*(1+0.00023125256064071564))</f>
        <v/>
      </c>
      <c r="J3601">
        <f>IF(G3601=1,0.2*R3601/B3601,J3600)</f>
        <v/>
      </c>
      <c r="K3601">
        <f>IF(G3601=1,0.2*R3601/C3601,K3600)</f>
        <v/>
      </c>
      <c r="L3601">
        <f>IF(G3601=1,0.2*R3601/D3601,L3600)</f>
        <v/>
      </c>
      <c r="M3601">
        <f>IF(G3601=1,0.2*R3601/E3601,M3600)</f>
        <v/>
      </c>
      <c r="N3601">
        <f>IF(G3601=1,0.2*R3601/F3601,N3600)</f>
        <v/>
      </c>
      <c r="O3601">
        <f>IF(G3601=1,R3601*(1-1.0),IF(H3600=0,1,O3600*(1+0.00023125256064071564)))</f>
        <v/>
      </c>
      <c r="P3601">
        <f>IF(G3601=1,IF(H3600=0,1,ABS(0.2-J3600*B3601/I3601)+ABS(0.2-K3600*C3601/I3601)+ABS(0.2-L3600*D3601/I3601)+ABS(0.2-M3600*E3601/I3601)+ABS(0.2-N3600*F3601/I3601)),0)</f>
        <v/>
      </c>
      <c r="Q3601">
        <f>P3601*0.0015</f>
        <v/>
      </c>
      <c r="R3601">
        <f>I3601*(1-Q3601)</f>
        <v/>
      </c>
      <c r="S3601">
        <f>R3601/R3600-1</f>
        <v/>
      </c>
      <c r="T3601">
        <f>MAX(T3600,R3601)</f>
        <v/>
      </c>
      <c r="U3601">
        <f>R3601/T3601-1</f>
        <v/>
      </c>
      <c r="V3601" t="n">
        <v>8.293589982733591</v>
      </c>
      <c r="W3601" s="5">
        <f>R3601-V3601</f>
        <v/>
      </c>
    </row>
    <row r="3602">
      <c r="A3602" s="3" t="n">
        <v>43748</v>
      </c>
      <c r="B3602">
        <f>Prices!B3602</f>
        <v/>
      </c>
      <c r="C3602">
        <f>Prices!C3602</f>
        <v/>
      </c>
      <c r="D3602">
        <f>Prices!D3602</f>
        <v/>
      </c>
      <c r="E3602">
        <f>Prices!E3602</f>
        <v/>
      </c>
      <c r="F3602">
        <f>Prices!F3602</f>
        <v/>
      </c>
      <c r="G3602">
        <f>IF(AND(3600&gt;=16,TEXT(A3602,"yyyy-mm")&lt;&gt;TEXT(A3603,"yyyy-mm")),1,0)</f>
        <v/>
      </c>
      <c r="H3602">
        <f>IF(OR(H3601=1,G3602=1),1,0)</f>
        <v/>
      </c>
      <c r="I3602">
        <f>IF(H3601=0,1,SUMPRODUCT(J3601:N3601,B3602:F3602)+O3601*(1+0.00023125256064071564))</f>
        <v/>
      </c>
      <c r="J3602">
        <f>IF(G3602=1,0.2*R3602/B3602,J3601)</f>
        <v/>
      </c>
      <c r="K3602">
        <f>IF(G3602=1,0.2*R3602/C3602,K3601)</f>
        <v/>
      </c>
      <c r="L3602">
        <f>IF(G3602=1,0.2*R3602/D3602,L3601)</f>
        <v/>
      </c>
      <c r="M3602">
        <f>IF(G3602=1,0.2*R3602/E3602,M3601)</f>
        <v/>
      </c>
      <c r="N3602">
        <f>IF(G3602=1,0.2*R3602/F3602,N3601)</f>
        <v/>
      </c>
      <c r="O3602">
        <f>IF(G3602=1,R3602*(1-1.0),IF(H3601=0,1,O3601*(1+0.00023125256064071564)))</f>
        <v/>
      </c>
      <c r="P3602">
        <f>IF(G3602=1,IF(H3601=0,1,ABS(0.2-J3601*B3602/I3602)+ABS(0.2-K3601*C3602/I3602)+ABS(0.2-L3601*D3602/I3602)+ABS(0.2-M3601*E3602/I3602)+ABS(0.2-N3601*F3602/I3602)),0)</f>
        <v/>
      </c>
      <c r="Q3602">
        <f>P3602*0.0015</f>
        <v/>
      </c>
      <c r="R3602">
        <f>I3602*(1-Q3602)</f>
        <v/>
      </c>
      <c r="S3602">
        <f>R3602/R3601-1</f>
        <v/>
      </c>
      <c r="T3602">
        <f>MAX(T3601,R3602)</f>
        <v/>
      </c>
      <c r="U3602">
        <f>R3602/T3602-1</f>
        <v/>
      </c>
      <c r="V3602" t="n">
        <v>8.234641846048794</v>
      </c>
      <c r="W3602" s="5">
        <f>R3602-V3602</f>
        <v/>
      </c>
    </row>
    <row r="3603">
      <c r="A3603" s="3" t="n">
        <v>43749</v>
      </c>
      <c r="B3603">
        <f>Prices!B3603</f>
        <v/>
      </c>
      <c r="C3603">
        <f>Prices!C3603</f>
        <v/>
      </c>
      <c r="D3603">
        <f>Prices!D3603</f>
        <v/>
      </c>
      <c r="E3603">
        <f>Prices!E3603</f>
        <v/>
      </c>
      <c r="F3603">
        <f>Prices!F3603</f>
        <v/>
      </c>
      <c r="G3603">
        <f>IF(AND(3601&gt;=16,TEXT(A3603,"yyyy-mm")&lt;&gt;TEXT(A3604,"yyyy-mm")),1,0)</f>
        <v/>
      </c>
      <c r="H3603">
        <f>IF(OR(H3602=1,G3603=1),1,0)</f>
        <v/>
      </c>
      <c r="I3603">
        <f>IF(H3602=0,1,SUMPRODUCT(J3602:N3602,B3603:F3603)+O3602*(1+0.00023125256064071564))</f>
        <v/>
      </c>
      <c r="J3603">
        <f>IF(G3603=1,0.2*R3603/B3603,J3602)</f>
        <v/>
      </c>
      <c r="K3603">
        <f>IF(G3603=1,0.2*R3603/C3603,K3602)</f>
        <v/>
      </c>
      <c r="L3603">
        <f>IF(G3603=1,0.2*R3603/D3603,L3602)</f>
        <v/>
      </c>
      <c r="M3603">
        <f>IF(G3603=1,0.2*R3603/E3603,M3602)</f>
        <v/>
      </c>
      <c r="N3603">
        <f>IF(G3603=1,0.2*R3603/F3603,N3602)</f>
        <v/>
      </c>
      <c r="O3603">
        <f>IF(G3603=1,R3603*(1-1.0),IF(H3602=0,1,O3602*(1+0.00023125256064071564)))</f>
        <v/>
      </c>
      <c r="P3603">
        <f>IF(G3603=1,IF(H3602=0,1,ABS(0.2-J3602*B3603/I3603)+ABS(0.2-K3602*C3603/I3603)+ABS(0.2-L3602*D3603/I3603)+ABS(0.2-M3602*E3603/I3603)+ABS(0.2-N3602*F3603/I3603)),0)</f>
        <v/>
      </c>
      <c r="Q3603">
        <f>P3603*0.0015</f>
        <v/>
      </c>
      <c r="R3603">
        <f>I3603*(1-Q3603)</f>
        <v/>
      </c>
      <c r="S3603">
        <f>R3603/R3602-1</f>
        <v/>
      </c>
      <c r="T3603">
        <f>MAX(T3602,R3603)</f>
        <v/>
      </c>
      <c r="U3603">
        <f>R3603/T3603-1</f>
        <v/>
      </c>
      <c r="V3603" t="n">
        <v>8.283672046709574</v>
      </c>
      <c r="W3603" s="5">
        <f>R3603-V3603</f>
        <v/>
      </c>
    </row>
    <row r="3604">
      <c r="A3604" s="3" t="n">
        <v>43752</v>
      </c>
      <c r="B3604">
        <f>Prices!B3604</f>
        <v/>
      </c>
      <c r="C3604">
        <f>Prices!C3604</f>
        <v/>
      </c>
      <c r="D3604">
        <f>Prices!D3604</f>
        <v/>
      </c>
      <c r="E3604">
        <f>Prices!E3604</f>
        <v/>
      </c>
      <c r="F3604">
        <f>Prices!F3604</f>
        <v/>
      </c>
      <c r="G3604">
        <f>IF(AND(3602&gt;=16,TEXT(A3604,"yyyy-mm")&lt;&gt;TEXT(A3605,"yyyy-mm")),1,0)</f>
        <v/>
      </c>
      <c r="H3604">
        <f>IF(OR(H3603=1,G3604=1),1,0)</f>
        <v/>
      </c>
      <c r="I3604">
        <f>IF(H3603=0,1,SUMPRODUCT(J3603:N3603,B3604:F3604)+O3603*(1+0.00023125256064071564))</f>
        <v/>
      </c>
      <c r="J3604">
        <f>IF(G3604=1,0.2*R3604/B3604,J3603)</f>
        <v/>
      </c>
      <c r="K3604">
        <f>IF(G3604=1,0.2*R3604/C3604,K3603)</f>
        <v/>
      </c>
      <c r="L3604">
        <f>IF(G3604=1,0.2*R3604/D3604,L3603)</f>
        <v/>
      </c>
      <c r="M3604">
        <f>IF(G3604=1,0.2*R3604/E3604,M3603)</f>
        <v/>
      </c>
      <c r="N3604">
        <f>IF(G3604=1,0.2*R3604/F3604,N3603)</f>
        <v/>
      </c>
      <c r="O3604">
        <f>IF(G3604=1,R3604*(1-1.0),IF(H3603=0,1,O3603*(1+0.00023125256064071564)))</f>
        <v/>
      </c>
      <c r="P3604">
        <f>IF(G3604=1,IF(H3603=0,1,ABS(0.2-J3603*B3604/I3604)+ABS(0.2-K3603*C3604/I3604)+ABS(0.2-L3603*D3604/I3604)+ABS(0.2-M3603*E3604/I3604)+ABS(0.2-N3603*F3604/I3604)),0)</f>
        <v/>
      </c>
      <c r="Q3604">
        <f>P3604*0.0015</f>
        <v/>
      </c>
      <c r="R3604">
        <f>I3604*(1-Q3604)</f>
        <v/>
      </c>
      <c r="S3604">
        <f>R3604/R3603-1</f>
        <v/>
      </c>
      <c r="T3604">
        <f>MAX(T3603,R3604)</f>
        <v/>
      </c>
      <c r="U3604">
        <f>R3604/T3604-1</f>
        <v/>
      </c>
      <c r="V3604" t="n">
        <v>8.309283690567437</v>
      </c>
      <c r="W3604" s="5">
        <f>R3604-V3604</f>
        <v/>
      </c>
    </row>
    <row r="3605">
      <c r="A3605" s="3" t="n">
        <v>43753</v>
      </c>
      <c r="B3605">
        <f>Prices!B3605</f>
        <v/>
      </c>
      <c r="C3605">
        <f>Prices!C3605</f>
        <v/>
      </c>
      <c r="D3605">
        <f>Prices!D3605</f>
        <v/>
      </c>
      <c r="E3605">
        <f>Prices!E3605</f>
        <v/>
      </c>
      <c r="F3605">
        <f>Prices!F3605</f>
        <v/>
      </c>
      <c r="G3605">
        <f>IF(AND(3603&gt;=16,TEXT(A3605,"yyyy-mm")&lt;&gt;TEXT(A3606,"yyyy-mm")),1,0)</f>
        <v/>
      </c>
      <c r="H3605">
        <f>IF(OR(H3604=1,G3605=1),1,0)</f>
        <v/>
      </c>
      <c r="I3605">
        <f>IF(H3604=0,1,SUMPRODUCT(J3604:N3604,B3605:F3605)+O3604*(1+0.00023125256064071564))</f>
        <v/>
      </c>
      <c r="J3605">
        <f>IF(G3605=1,0.2*R3605/B3605,J3604)</f>
        <v/>
      </c>
      <c r="K3605">
        <f>IF(G3605=1,0.2*R3605/C3605,K3604)</f>
        <v/>
      </c>
      <c r="L3605">
        <f>IF(G3605=1,0.2*R3605/D3605,L3604)</f>
        <v/>
      </c>
      <c r="M3605">
        <f>IF(G3605=1,0.2*R3605/E3605,M3604)</f>
        <v/>
      </c>
      <c r="N3605">
        <f>IF(G3605=1,0.2*R3605/F3605,N3604)</f>
        <v/>
      </c>
      <c r="O3605">
        <f>IF(G3605=1,R3605*(1-1.0),IF(H3604=0,1,O3604*(1+0.00023125256064071564)))</f>
        <v/>
      </c>
      <c r="P3605">
        <f>IF(G3605=1,IF(H3604=0,1,ABS(0.2-J3604*B3605/I3605)+ABS(0.2-K3604*C3605/I3605)+ABS(0.2-L3604*D3605/I3605)+ABS(0.2-M3604*E3605/I3605)+ABS(0.2-N3604*F3605/I3605)),0)</f>
        <v/>
      </c>
      <c r="Q3605">
        <f>P3605*0.0015</f>
        <v/>
      </c>
      <c r="R3605">
        <f>I3605*(1-Q3605)</f>
        <v/>
      </c>
      <c r="S3605">
        <f>R3605/R3604-1</f>
        <v/>
      </c>
      <c r="T3605">
        <f>MAX(T3604,R3605)</f>
        <v/>
      </c>
      <c r="U3605">
        <f>R3605/T3605-1</f>
        <v/>
      </c>
      <c r="V3605" t="n">
        <v>8.348566458262498</v>
      </c>
      <c r="W3605" s="5">
        <f>R3605-V3605</f>
        <v/>
      </c>
    </row>
    <row r="3606">
      <c r="A3606" s="3" t="n">
        <v>43754</v>
      </c>
      <c r="B3606">
        <f>Prices!B3606</f>
        <v/>
      </c>
      <c r="C3606">
        <f>Prices!C3606</f>
        <v/>
      </c>
      <c r="D3606">
        <f>Prices!D3606</f>
        <v/>
      </c>
      <c r="E3606">
        <f>Prices!E3606</f>
        <v/>
      </c>
      <c r="F3606">
        <f>Prices!F3606</f>
        <v/>
      </c>
      <c r="G3606">
        <f>IF(AND(3604&gt;=16,TEXT(A3606,"yyyy-mm")&lt;&gt;TEXT(A3607,"yyyy-mm")),1,0)</f>
        <v/>
      </c>
      <c r="H3606">
        <f>IF(OR(H3605=1,G3606=1),1,0)</f>
        <v/>
      </c>
      <c r="I3606">
        <f>IF(H3605=0,1,SUMPRODUCT(J3605:N3605,B3606:F3606)+O3605*(1+0.00023125256064071564))</f>
        <v/>
      </c>
      <c r="J3606">
        <f>IF(G3606=1,0.2*R3606/B3606,J3605)</f>
        <v/>
      </c>
      <c r="K3606">
        <f>IF(G3606=1,0.2*R3606/C3606,K3605)</f>
        <v/>
      </c>
      <c r="L3606">
        <f>IF(G3606=1,0.2*R3606/D3606,L3605)</f>
        <v/>
      </c>
      <c r="M3606">
        <f>IF(G3606=1,0.2*R3606/E3606,M3605)</f>
        <v/>
      </c>
      <c r="N3606">
        <f>IF(G3606=1,0.2*R3606/F3606,N3605)</f>
        <v/>
      </c>
      <c r="O3606">
        <f>IF(G3606=1,R3606*(1-1.0),IF(H3605=0,1,O3605*(1+0.00023125256064071564)))</f>
        <v/>
      </c>
      <c r="P3606">
        <f>IF(G3606=1,IF(H3605=0,1,ABS(0.2-J3605*B3606/I3606)+ABS(0.2-K3605*C3606/I3606)+ABS(0.2-L3605*D3606/I3606)+ABS(0.2-M3605*E3606/I3606)+ABS(0.2-N3605*F3606/I3606)),0)</f>
        <v/>
      </c>
      <c r="Q3606">
        <f>P3606*0.0015</f>
        <v/>
      </c>
      <c r="R3606">
        <f>I3606*(1-Q3606)</f>
        <v/>
      </c>
      <c r="S3606">
        <f>R3606/R3605-1</f>
        <v/>
      </c>
      <c r="T3606">
        <f>MAX(T3605,R3606)</f>
        <v/>
      </c>
      <c r="U3606">
        <f>R3606/T3606-1</f>
        <v/>
      </c>
      <c r="V3606" t="n">
        <v>8.355365740645944</v>
      </c>
      <c r="W3606" s="5">
        <f>R3606-V3606</f>
        <v/>
      </c>
    </row>
    <row r="3607">
      <c r="A3607" s="3" t="n">
        <v>43755</v>
      </c>
      <c r="B3607">
        <f>Prices!B3607</f>
        <v/>
      </c>
      <c r="C3607">
        <f>Prices!C3607</f>
        <v/>
      </c>
      <c r="D3607">
        <f>Prices!D3607</f>
        <v/>
      </c>
      <c r="E3607">
        <f>Prices!E3607</f>
        <v/>
      </c>
      <c r="F3607">
        <f>Prices!F3607</f>
        <v/>
      </c>
      <c r="G3607">
        <f>IF(AND(3605&gt;=16,TEXT(A3607,"yyyy-mm")&lt;&gt;TEXT(A3608,"yyyy-mm")),1,0)</f>
        <v/>
      </c>
      <c r="H3607">
        <f>IF(OR(H3606=1,G3607=1),1,0)</f>
        <v/>
      </c>
      <c r="I3607">
        <f>IF(H3606=0,1,SUMPRODUCT(J3606:N3606,B3607:F3607)+O3606*(1+0.00023125256064071564))</f>
        <v/>
      </c>
      <c r="J3607">
        <f>IF(G3607=1,0.2*R3607/B3607,J3606)</f>
        <v/>
      </c>
      <c r="K3607">
        <f>IF(G3607=1,0.2*R3607/C3607,K3606)</f>
        <v/>
      </c>
      <c r="L3607">
        <f>IF(G3607=1,0.2*R3607/D3607,L3606)</f>
        <v/>
      </c>
      <c r="M3607">
        <f>IF(G3607=1,0.2*R3607/E3607,M3606)</f>
        <v/>
      </c>
      <c r="N3607">
        <f>IF(G3607=1,0.2*R3607/F3607,N3606)</f>
        <v/>
      </c>
      <c r="O3607">
        <f>IF(G3607=1,R3607*(1-1.0),IF(H3606=0,1,O3606*(1+0.00023125256064071564)))</f>
        <v/>
      </c>
      <c r="P3607">
        <f>IF(G3607=1,IF(H3606=0,1,ABS(0.2-J3606*B3607/I3607)+ABS(0.2-K3606*C3607/I3607)+ABS(0.2-L3606*D3607/I3607)+ABS(0.2-M3606*E3607/I3607)+ABS(0.2-N3606*F3607/I3607)),0)</f>
        <v/>
      </c>
      <c r="Q3607">
        <f>P3607*0.0015</f>
        <v/>
      </c>
      <c r="R3607">
        <f>I3607*(1-Q3607)</f>
        <v/>
      </c>
      <c r="S3607">
        <f>R3607/R3606-1</f>
        <v/>
      </c>
      <c r="T3607">
        <f>MAX(T3606,R3607)</f>
        <v/>
      </c>
      <c r="U3607">
        <f>R3607/T3607-1</f>
        <v/>
      </c>
      <c r="V3607" t="n">
        <v>8.45454464538761</v>
      </c>
      <c r="W3607" s="5">
        <f>R3607-V3607</f>
        <v/>
      </c>
    </row>
    <row r="3608">
      <c r="A3608" s="3" t="n">
        <v>43756</v>
      </c>
      <c r="B3608">
        <f>Prices!B3608</f>
        <v/>
      </c>
      <c r="C3608">
        <f>Prices!C3608</f>
        <v/>
      </c>
      <c r="D3608">
        <f>Prices!D3608</f>
        <v/>
      </c>
      <c r="E3608">
        <f>Prices!E3608</f>
        <v/>
      </c>
      <c r="F3608">
        <f>Prices!F3608</f>
        <v/>
      </c>
      <c r="G3608">
        <f>IF(AND(3606&gt;=16,TEXT(A3608,"yyyy-mm")&lt;&gt;TEXT(A3609,"yyyy-mm")),1,0)</f>
        <v/>
      </c>
      <c r="H3608">
        <f>IF(OR(H3607=1,G3608=1),1,0)</f>
        <v/>
      </c>
      <c r="I3608">
        <f>IF(H3607=0,1,SUMPRODUCT(J3607:N3607,B3608:F3608)+O3607*(1+0.00023125256064071564))</f>
        <v/>
      </c>
      <c r="J3608">
        <f>IF(G3608=1,0.2*R3608/B3608,J3607)</f>
        <v/>
      </c>
      <c r="K3608">
        <f>IF(G3608=1,0.2*R3608/C3608,K3607)</f>
        <v/>
      </c>
      <c r="L3608">
        <f>IF(G3608=1,0.2*R3608/D3608,L3607)</f>
        <v/>
      </c>
      <c r="M3608">
        <f>IF(G3608=1,0.2*R3608/E3608,M3607)</f>
        <v/>
      </c>
      <c r="N3608">
        <f>IF(G3608=1,0.2*R3608/F3608,N3607)</f>
        <v/>
      </c>
      <c r="O3608">
        <f>IF(G3608=1,R3608*(1-1.0),IF(H3607=0,1,O3607*(1+0.00023125256064071564)))</f>
        <v/>
      </c>
      <c r="P3608">
        <f>IF(G3608=1,IF(H3607=0,1,ABS(0.2-J3607*B3608/I3608)+ABS(0.2-K3607*C3608/I3608)+ABS(0.2-L3607*D3608/I3608)+ABS(0.2-M3607*E3608/I3608)+ABS(0.2-N3607*F3608/I3608)),0)</f>
        <v/>
      </c>
      <c r="Q3608">
        <f>P3608*0.0015</f>
        <v/>
      </c>
      <c r="R3608">
        <f>I3608*(1-Q3608)</f>
        <v/>
      </c>
      <c r="S3608">
        <f>R3608/R3607-1</f>
        <v/>
      </c>
      <c r="T3608">
        <f>MAX(T3607,R3608)</f>
        <v/>
      </c>
      <c r="U3608">
        <f>R3608/T3608-1</f>
        <v/>
      </c>
      <c r="V3608" t="n">
        <v>8.568180998826469</v>
      </c>
      <c r="W3608" s="5">
        <f>R3608-V3608</f>
        <v/>
      </c>
    </row>
    <row r="3609">
      <c r="A3609" s="3" t="n">
        <v>43760</v>
      </c>
      <c r="B3609">
        <f>Prices!B3609</f>
        <v/>
      </c>
      <c r="C3609">
        <f>Prices!C3609</f>
        <v/>
      </c>
      <c r="D3609">
        <f>Prices!D3609</f>
        <v/>
      </c>
      <c r="E3609">
        <f>Prices!E3609</f>
        <v/>
      </c>
      <c r="F3609">
        <f>Prices!F3609</f>
        <v/>
      </c>
      <c r="G3609">
        <f>IF(AND(3607&gt;=16,TEXT(A3609,"yyyy-mm")&lt;&gt;TEXT(A3610,"yyyy-mm")),1,0)</f>
        <v/>
      </c>
      <c r="H3609">
        <f>IF(OR(H3608=1,G3609=1),1,0)</f>
        <v/>
      </c>
      <c r="I3609">
        <f>IF(H3608=0,1,SUMPRODUCT(J3608:N3608,B3609:F3609)+O3608*(1+0.00023125256064071564))</f>
        <v/>
      </c>
      <c r="J3609">
        <f>IF(G3609=1,0.2*R3609/B3609,J3608)</f>
        <v/>
      </c>
      <c r="K3609">
        <f>IF(G3609=1,0.2*R3609/C3609,K3608)</f>
        <v/>
      </c>
      <c r="L3609">
        <f>IF(G3609=1,0.2*R3609/D3609,L3608)</f>
        <v/>
      </c>
      <c r="M3609">
        <f>IF(G3609=1,0.2*R3609/E3609,M3608)</f>
        <v/>
      </c>
      <c r="N3609">
        <f>IF(G3609=1,0.2*R3609/F3609,N3608)</f>
        <v/>
      </c>
      <c r="O3609">
        <f>IF(G3609=1,R3609*(1-1.0),IF(H3608=0,1,O3608*(1+0.00023125256064071564)))</f>
        <v/>
      </c>
      <c r="P3609">
        <f>IF(G3609=1,IF(H3608=0,1,ABS(0.2-J3608*B3609/I3609)+ABS(0.2-K3608*C3609/I3609)+ABS(0.2-L3608*D3609/I3609)+ABS(0.2-M3608*E3609/I3609)+ABS(0.2-N3608*F3609/I3609)),0)</f>
        <v/>
      </c>
      <c r="Q3609">
        <f>P3609*0.0015</f>
        <v/>
      </c>
      <c r="R3609">
        <f>I3609*(1-Q3609)</f>
        <v/>
      </c>
      <c r="S3609">
        <f>R3609/R3608-1</f>
        <v/>
      </c>
      <c r="T3609">
        <f>MAX(T3608,R3609)</f>
        <v/>
      </c>
      <c r="U3609">
        <f>R3609/T3609-1</f>
        <v/>
      </c>
      <c r="V3609" t="n">
        <v>8.552253636188292</v>
      </c>
      <c r="W3609" s="5">
        <f>R3609-V3609</f>
        <v/>
      </c>
    </row>
    <row r="3610">
      <c r="A3610" s="3" t="n">
        <v>43761</v>
      </c>
      <c r="B3610">
        <f>Prices!B3610</f>
        <v/>
      </c>
      <c r="C3610">
        <f>Prices!C3610</f>
        <v/>
      </c>
      <c r="D3610">
        <f>Prices!D3610</f>
        <v/>
      </c>
      <c r="E3610">
        <f>Prices!E3610</f>
        <v/>
      </c>
      <c r="F3610">
        <f>Prices!F3610</f>
        <v/>
      </c>
      <c r="G3610">
        <f>IF(AND(3608&gt;=16,TEXT(A3610,"yyyy-mm")&lt;&gt;TEXT(A3611,"yyyy-mm")),1,0)</f>
        <v/>
      </c>
      <c r="H3610">
        <f>IF(OR(H3609=1,G3610=1),1,0)</f>
        <v/>
      </c>
      <c r="I3610">
        <f>IF(H3609=0,1,SUMPRODUCT(J3609:N3609,B3610:F3610)+O3609*(1+0.00023125256064071564))</f>
        <v/>
      </c>
      <c r="J3610">
        <f>IF(G3610=1,0.2*R3610/B3610,J3609)</f>
        <v/>
      </c>
      <c r="K3610">
        <f>IF(G3610=1,0.2*R3610/C3610,K3609)</f>
        <v/>
      </c>
      <c r="L3610">
        <f>IF(G3610=1,0.2*R3610/D3610,L3609)</f>
        <v/>
      </c>
      <c r="M3610">
        <f>IF(G3610=1,0.2*R3610/E3610,M3609)</f>
        <v/>
      </c>
      <c r="N3610">
        <f>IF(G3610=1,0.2*R3610/F3610,N3609)</f>
        <v/>
      </c>
      <c r="O3610">
        <f>IF(G3610=1,R3610*(1-1.0),IF(H3609=0,1,O3609*(1+0.00023125256064071564)))</f>
        <v/>
      </c>
      <c r="P3610">
        <f>IF(G3610=1,IF(H3609=0,1,ABS(0.2-J3609*B3610/I3610)+ABS(0.2-K3609*C3610/I3610)+ABS(0.2-L3609*D3610/I3610)+ABS(0.2-M3609*E3610/I3610)+ABS(0.2-N3609*F3610/I3610)),0)</f>
        <v/>
      </c>
      <c r="Q3610">
        <f>P3610*0.0015</f>
        <v/>
      </c>
      <c r="R3610">
        <f>I3610*(1-Q3610)</f>
        <v/>
      </c>
      <c r="S3610">
        <f>R3610/R3609-1</f>
        <v/>
      </c>
      <c r="T3610">
        <f>MAX(T3609,R3610)</f>
        <v/>
      </c>
      <c r="U3610">
        <f>R3610/T3610-1</f>
        <v/>
      </c>
      <c r="V3610" t="n">
        <v>8.575037803727927</v>
      </c>
      <c r="W3610" s="5">
        <f>R3610-V3610</f>
        <v/>
      </c>
    </row>
    <row r="3611">
      <c r="A3611" s="3" t="n">
        <v>43762</v>
      </c>
      <c r="B3611">
        <f>Prices!B3611</f>
        <v/>
      </c>
      <c r="C3611">
        <f>Prices!C3611</f>
        <v/>
      </c>
      <c r="D3611">
        <f>Prices!D3611</f>
        <v/>
      </c>
      <c r="E3611">
        <f>Prices!E3611</f>
        <v/>
      </c>
      <c r="F3611">
        <f>Prices!F3611</f>
        <v/>
      </c>
      <c r="G3611">
        <f>IF(AND(3609&gt;=16,TEXT(A3611,"yyyy-mm")&lt;&gt;TEXT(A3612,"yyyy-mm")),1,0)</f>
        <v/>
      </c>
      <c r="H3611">
        <f>IF(OR(H3610=1,G3611=1),1,0)</f>
        <v/>
      </c>
      <c r="I3611">
        <f>IF(H3610=0,1,SUMPRODUCT(J3610:N3610,B3611:F3611)+O3610*(1+0.00023125256064071564))</f>
        <v/>
      </c>
      <c r="J3611">
        <f>IF(G3611=1,0.2*R3611/B3611,J3610)</f>
        <v/>
      </c>
      <c r="K3611">
        <f>IF(G3611=1,0.2*R3611/C3611,K3610)</f>
        <v/>
      </c>
      <c r="L3611">
        <f>IF(G3611=1,0.2*R3611/D3611,L3610)</f>
        <v/>
      </c>
      <c r="M3611">
        <f>IF(G3611=1,0.2*R3611/E3611,M3610)</f>
        <v/>
      </c>
      <c r="N3611">
        <f>IF(G3611=1,0.2*R3611/F3611,N3610)</f>
        <v/>
      </c>
      <c r="O3611">
        <f>IF(G3611=1,R3611*(1-1.0),IF(H3610=0,1,O3610*(1+0.00023125256064071564)))</f>
        <v/>
      </c>
      <c r="P3611">
        <f>IF(G3611=1,IF(H3610=0,1,ABS(0.2-J3610*B3611/I3611)+ABS(0.2-K3610*C3611/I3611)+ABS(0.2-L3610*D3611/I3611)+ABS(0.2-M3610*E3611/I3611)+ABS(0.2-N3610*F3611/I3611)),0)</f>
        <v/>
      </c>
      <c r="Q3611">
        <f>P3611*0.0015</f>
        <v/>
      </c>
      <c r="R3611">
        <f>I3611*(1-Q3611)</f>
        <v/>
      </c>
      <c r="S3611">
        <f>R3611/R3610-1</f>
        <v/>
      </c>
      <c r="T3611">
        <f>MAX(T3610,R3611)</f>
        <v/>
      </c>
      <c r="U3611">
        <f>R3611/T3611-1</f>
        <v/>
      </c>
      <c r="V3611" t="n">
        <v>8.573187200975422</v>
      </c>
      <c r="W3611" s="5">
        <f>R3611-V3611</f>
        <v/>
      </c>
    </row>
    <row r="3612">
      <c r="A3612" s="3" t="n">
        <v>43763</v>
      </c>
      <c r="B3612">
        <f>Prices!B3612</f>
        <v/>
      </c>
      <c r="C3612">
        <f>Prices!C3612</f>
        <v/>
      </c>
      <c r="D3612">
        <f>Prices!D3612</f>
        <v/>
      </c>
      <c r="E3612">
        <f>Prices!E3612</f>
        <v/>
      </c>
      <c r="F3612">
        <f>Prices!F3612</f>
        <v/>
      </c>
      <c r="G3612">
        <f>IF(AND(3610&gt;=16,TEXT(A3612,"yyyy-mm")&lt;&gt;TEXT(A3613,"yyyy-mm")),1,0)</f>
        <v/>
      </c>
      <c r="H3612">
        <f>IF(OR(H3611=1,G3612=1),1,0)</f>
        <v/>
      </c>
      <c r="I3612">
        <f>IF(H3611=0,1,SUMPRODUCT(J3611:N3611,B3612:F3612)+O3611*(1+0.00023125256064071564))</f>
        <v/>
      </c>
      <c r="J3612">
        <f>IF(G3612=1,0.2*R3612/B3612,J3611)</f>
        <v/>
      </c>
      <c r="K3612">
        <f>IF(G3612=1,0.2*R3612/C3612,K3611)</f>
        <v/>
      </c>
      <c r="L3612">
        <f>IF(G3612=1,0.2*R3612/D3612,L3611)</f>
        <v/>
      </c>
      <c r="M3612">
        <f>IF(G3612=1,0.2*R3612/E3612,M3611)</f>
        <v/>
      </c>
      <c r="N3612">
        <f>IF(G3612=1,0.2*R3612/F3612,N3611)</f>
        <v/>
      </c>
      <c r="O3612">
        <f>IF(G3612=1,R3612*(1-1.0),IF(H3611=0,1,O3611*(1+0.00023125256064071564)))</f>
        <v/>
      </c>
      <c r="P3612">
        <f>IF(G3612=1,IF(H3611=0,1,ABS(0.2-J3611*B3612/I3612)+ABS(0.2-K3611*C3612/I3612)+ABS(0.2-L3611*D3612/I3612)+ABS(0.2-M3611*E3612/I3612)+ABS(0.2-N3611*F3612/I3612)),0)</f>
        <v/>
      </c>
      <c r="Q3612">
        <f>P3612*0.0015</f>
        <v/>
      </c>
      <c r="R3612">
        <f>I3612*(1-Q3612)</f>
        <v/>
      </c>
      <c r="S3612">
        <f>R3612/R3611-1</f>
        <v/>
      </c>
      <c r="T3612">
        <f>MAX(T3611,R3612)</f>
        <v/>
      </c>
      <c r="U3612">
        <f>R3612/T3612-1</f>
        <v/>
      </c>
      <c r="V3612" t="n">
        <v>8.537859228214788</v>
      </c>
      <c r="W3612" s="5">
        <f>R3612-V3612</f>
        <v/>
      </c>
    </row>
    <row r="3613">
      <c r="A3613" s="3" t="n">
        <v>43765</v>
      </c>
      <c r="B3613">
        <f>Prices!B3613</f>
        <v/>
      </c>
      <c r="C3613">
        <f>Prices!C3613</f>
        <v/>
      </c>
      <c r="D3613">
        <f>Prices!D3613</f>
        <v/>
      </c>
      <c r="E3613">
        <f>Prices!E3613</f>
        <v/>
      </c>
      <c r="F3613">
        <f>Prices!F3613</f>
        <v/>
      </c>
      <c r="G3613">
        <f>IF(AND(3611&gt;=16,TEXT(A3613,"yyyy-mm")&lt;&gt;TEXT(A3614,"yyyy-mm")),1,0)</f>
        <v/>
      </c>
      <c r="H3613">
        <f>IF(OR(H3612=1,G3613=1),1,0)</f>
        <v/>
      </c>
      <c r="I3613">
        <f>IF(H3612=0,1,SUMPRODUCT(J3612:N3612,B3613:F3613)+O3612*(1+0.00023125256064071564))</f>
        <v/>
      </c>
      <c r="J3613">
        <f>IF(G3613=1,0.2*R3613/B3613,J3612)</f>
        <v/>
      </c>
      <c r="K3613">
        <f>IF(G3613=1,0.2*R3613/C3613,K3612)</f>
        <v/>
      </c>
      <c r="L3613">
        <f>IF(G3613=1,0.2*R3613/D3613,L3612)</f>
        <v/>
      </c>
      <c r="M3613">
        <f>IF(G3613=1,0.2*R3613/E3613,M3612)</f>
        <v/>
      </c>
      <c r="N3613">
        <f>IF(G3613=1,0.2*R3613/F3613,N3612)</f>
        <v/>
      </c>
      <c r="O3613">
        <f>IF(G3613=1,R3613*(1-1.0),IF(H3612=0,1,O3612*(1+0.00023125256064071564)))</f>
        <v/>
      </c>
      <c r="P3613">
        <f>IF(G3613=1,IF(H3612=0,1,ABS(0.2-J3612*B3613/I3613)+ABS(0.2-K3612*C3613/I3613)+ABS(0.2-L3612*D3613/I3613)+ABS(0.2-M3612*E3613/I3613)+ABS(0.2-N3612*F3613/I3613)),0)</f>
        <v/>
      </c>
      <c r="Q3613">
        <f>P3613*0.0015</f>
        <v/>
      </c>
      <c r="R3613">
        <f>I3613*(1-Q3613)</f>
        <v/>
      </c>
      <c r="S3613">
        <f>R3613/R3612-1</f>
        <v/>
      </c>
      <c r="T3613">
        <f>MAX(T3612,R3613)</f>
        <v/>
      </c>
      <c r="U3613">
        <f>R3613/T3613-1</f>
        <v/>
      </c>
      <c r="V3613" t="n">
        <v>8.58781097679179</v>
      </c>
      <c r="W3613" s="5">
        <f>R3613-V3613</f>
        <v/>
      </c>
    </row>
    <row r="3614">
      <c r="A3614" s="3" t="n">
        <v>43767</v>
      </c>
      <c r="B3614">
        <f>Prices!B3614</f>
        <v/>
      </c>
      <c r="C3614">
        <f>Prices!C3614</f>
        <v/>
      </c>
      <c r="D3614">
        <f>Prices!D3614</f>
        <v/>
      </c>
      <c r="E3614">
        <f>Prices!E3614</f>
        <v/>
      </c>
      <c r="F3614">
        <f>Prices!F3614</f>
        <v/>
      </c>
      <c r="G3614">
        <f>IF(AND(3612&gt;=16,TEXT(A3614,"yyyy-mm")&lt;&gt;TEXT(A3615,"yyyy-mm")),1,0)</f>
        <v/>
      </c>
      <c r="H3614">
        <f>IF(OR(H3613=1,G3614=1),1,0)</f>
        <v/>
      </c>
      <c r="I3614">
        <f>IF(H3613=0,1,SUMPRODUCT(J3613:N3613,B3614:F3614)+O3613*(1+0.00023125256064071564))</f>
        <v/>
      </c>
      <c r="J3614">
        <f>IF(G3614=1,0.2*R3614/B3614,J3613)</f>
        <v/>
      </c>
      <c r="K3614">
        <f>IF(G3614=1,0.2*R3614/C3614,K3613)</f>
        <v/>
      </c>
      <c r="L3614">
        <f>IF(G3614=1,0.2*R3614/D3614,L3613)</f>
        <v/>
      </c>
      <c r="M3614">
        <f>IF(G3614=1,0.2*R3614/E3614,M3613)</f>
        <v/>
      </c>
      <c r="N3614">
        <f>IF(G3614=1,0.2*R3614/F3614,N3613)</f>
        <v/>
      </c>
      <c r="O3614">
        <f>IF(G3614=1,R3614*(1-1.0),IF(H3613=0,1,O3613*(1+0.00023125256064071564)))</f>
        <v/>
      </c>
      <c r="P3614">
        <f>IF(G3614=1,IF(H3613=0,1,ABS(0.2-J3613*B3614/I3614)+ABS(0.2-K3613*C3614/I3614)+ABS(0.2-L3613*D3614/I3614)+ABS(0.2-M3613*E3614/I3614)+ABS(0.2-N3613*F3614/I3614)),0)</f>
        <v/>
      </c>
      <c r="Q3614">
        <f>P3614*0.0015</f>
        <v/>
      </c>
      <c r="R3614">
        <f>I3614*(1-Q3614)</f>
        <v/>
      </c>
      <c r="S3614">
        <f>R3614/R3613-1</f>
        <v/>
      </c>
      <c r="T3614">
        <f>MAX(T3613,R3614)</f>
        <v/>
      </c>
      <c r="U3614">
        <f>R3614/T3614-1</f>
        <v/>
      </c>
      <c r="V3614" t="n">
        <v>8.708896060302328</v>
      </c>
      <c r="W3614" s="5">
        <f>R3614-V3614</f>
        <v/>
      </c>
    </row>
    <row r="3615">
      <c r="A3615" s="3" t="n">
        <v>43768</v>
      </c>
      <c r="B3615">
        <f>Prices!B3615</f>
        <v/>
      </c>
      <c r="C3615">
        <f>Prices!C3615</f>
        <v/>
      </c>
      <c r="D3615">
        <f>Prices!D3615</f>
        <v/>
      </c>
      <c r="E3615">
        <f>Prices!E3615</f>
        <v/>
      </c>
      <c r="F3615">
        <f>Prices!F3615</f>
        <v/>
      </c>
      <c r="G3615">
        <f>IF(AND(3613&gt;=16,TEXT(A3615,"yyyy-mm")&lt;&gt;TEXT(A3616,"yyyy-mm")),1,0)</f>
        <v/>
      </c>
      <c r="H3615">
        <f>IF(OR(H3614=1,G3615=1),1,0)</f>
        <v/>
      </c>
      <c r="I3615">
        <f>IF(H3614=0,1,SUMPRODUCT(J3614:N3614,B3615:F3615)+O3614*(1+0.00023125256064071564))</f>
        <v/>
      </c>
      <c r="J3615">
        <f>IF(G3615=1,0.2*R3615/B3615,J3614)</f>
        <v/>
      </c>
      <c r="K3615">
        <f>IF(G3615=1,0.2*R3615/C3615,K3614)</f>
        <v/>
      </c>
      <c r="L3615">
        <f>IF(G3615=1,0.2*R3615/D3615,L3614)</f>
        <v/>
      </c>
      <c r="M3615">
        <f>IF(G3615=1,0.2*R3615/E3615,M3614)</f>
        <v/>
      </c>
      <c r="N3615">
        <f>IF(G3615=1,0.2*R3615/F3615,N3614)</f>
        <v/>
      </c>
      <c r="O3615">
        <f>IF(G3615=1,R3615*(1-1.0),IF(H3614=0,1,O3614*(1+0.00023125256064071564)))</f>
        <v/>
      </c>
      <c r="P3615">
        <f>IF(G3615=1,IF(H3614=0,1,ABS(0.2-J3614*B3615/I3615)+ABS(0.2-K3614*C3615/I3615)+ABS(0.2-L3614*D3615/I3615)+ABS(0.2-M3614*E3615/I3615)+ABS(0.2-N3614*F3615/I3615)),0)</f>
        <v/>
      </c>
      <c r="Q3615">
        <f>P3615*0.0015</f>
        <v/>
      </c>
      <c r="R3615">
        <f>I3615*(1-Q3615)</f>
        <v/>
      </c>
      <c r="S3615">
        <f>R3615/R3614-1</f>
        <v/>
      </c>
      <c r="T3615">
        <f>MAX(T3614,R3615)</f>
        <v/>
      </c>
      <c r="U3615">
        <f>R3615/T3615-1</f>
        <v/>
      </c>
      <c r="V3615" t="n">
        <v>8.741866229038196</v>
      </c>
      <c r="W3615" s="5">
        <f>R3615-V3615</f>
        <v/>
      </c>
    </row>
    <row r="3616">
      <c r="A3616" s="3" t="n">
        <v>43769</v>
      </c>
      <c r="B3616">
        <f>Prices!B3616</f>
        <v/>
      </c>
      <c r="C3616">
        <f>Prices!C3616</f>
        <v/>
      </c>
      <c r="D3616">
        <f>Prices!D3616</f>
        <v/>
      </c>
      <c r="E3616">
        <f>Prices!E3616</f>
        <v/>
      </c>
      <c r="F3616">
        <f>Prices!F3616</f>
        <v/>
      </c>
      <c r="G3616">
        <f>IF(AND(3614&gt;=16,TEXT(A3616,"yyyy-mm")&lt;&gt;TEXT(A3617,"yyyy-mm")),1,0)</f>
        <v/>
      </c>
      <c r="H3616">
        <f>IF(OR(H3615=1,G3616=1),1,0)</f>
        <v/>
      </c>
      <c r="I3616">
        <f>IF(H3615=0,1,SUMPRODUCT(J3615:N3615,B3616:F3616)+O3615*(1+0.00023125256064071564))</f>
        <v/>
      </c>
      <c r="J3616">
        <f>IF(G3616=1,0.2*R3616/B3616,J3615)</f>
        <v/>
      </c>
      <c r="K3616">
        <f>IF(G3616=1,0.2*R3616/C3616,K3615)</f>
        <v/>
      </c>
      <c r="L3616">
        <f>IF(G3616=1,0.2*R3616/D3616,L3615)</f>
        <v/>
      </c>
      <c r="M3616">
        <f>IF(G3616=1,0.2*R3616/E3616,M3615)</f>
        <v/>
      </c>
      <c r="N3616">
        <f>IF(G3616=1,0.2*R3616/F3616,N3615)</f>
        <v/>
      </c>
      <c r="O3616">
        <f>IF(G3616=1,R3616*(1-1.0),IF(H3615=0,1,O3615*(1+0.00023125256064071564)))</f>
        <v/>
      </c>
      <c r="P3616">
        <f>IF(G3616=1,IF(H3615=0,1,ABS(0.2-J3615*B3616/I3616)+ABS(0.2-K3615*C3616/I3616)+ABS(0.2-L3615*D3616/I3616)+ABS(0.2-M3615*E3616/I3616)+ABS(0.2-N3615*F3616/I3616)),0)</f>
        <v/>
      </c>
      <c r="Q3616">
        <f>P3616*0.0015</f>
        <v/>
      </c>
      <c r="R3616">
        <f>I3616*(1-Q3616)</f>
        <v/>
      </c>
      <c r="S3616">
        <f>R3616/R3615-1</f>
        <v/>
      </c>
      <c r="T3616">
        <f>MAX(T3615,R3616)</f>
        <v/>
      </c>
      <c r="U3616">
        <f>R3616/T3616-1</f>
        <v/>
      </c>
      <c r="V3616" t="n">
        <v>8.803268483755751</v>
      </c>
      <c r="W3616" s="5">
        <f>R3616-V3616</f>
        <v/>
      </c>
    </row>
    <row r="3617">
      <c r="A3617" s="3" t="n">
        <v>43770</v>
      </c>
      <c r="B3617">
        <f>Prices!B3617</f>
        <v/>
      </c>
      <c r="C3617">
        <f>Prices!C3617</f>
        <v/>
      </c>
      <c r="D3617">
        <f>Prices!D3617</f>
        <v/>
      </c>
      <c r="E3617">
        <f>Prices!E3617</f>
        <v/>
      </c>
      <c r="F3617">
        <f>Prices!F3617</f>
        <v/>
      </c>
      <c r="G3617">
        <f>IF(AND(3615&gt;=16,TEXT(A3617,"yyyy-mm")&lt;&gt;TEXT(A3618,"yyyy-mm")),1,0)</f>
        <v/>
      </c>
      <c r="H3617">
        <f>IF(OR(H3616=1,G3617=1),1,0)</f>
        <v/>
      </c>
      <c r="I3617">
        <f>IF(H3616=0,1,SUMPRODUCT(J3616:N3616,B3617:F3617)+O3616*(1+0.00023125256064071564))</f>
        <v/>
      </c>
      <c r="J3617">
        <f>IF(G3617=1,0.2*R3617/B3617,J3616)</f>
        <v/>
      </c>
      <c r="K3617">
        <f>IF(G3617=1,0.2*R3617/C3617,K3616)</f>
        <v/>
      </c>
      <c r="L3617">
        <f>IF(G3617=1,0.2*R3617/D3617,L3616)</f>
        <v/>
      </c>
      <c r="M3617">
        <f>IF(G3617=1,0.2*R3617/E3617,M3616)</f>
        <v/>
      </c>
      <c r="N3617">
        <f>IF(G3617=1,0.2*R3617/F3617,N3616)</f>
        <v/>
      </c>
      <c r="O3617">
        <f>IF(G3617=1,R3617*(1-1.0),IF(H3616=0,1,O3616*(1+0.00023125256064071564)))</f>
        <v/>
      </c>
      <c r="P3617">
        <f>IF(G3617=1,IF(H3616=0,1,ABS(0.2-J3616*B3617/I3617)+ABS(0.2-K3616*C3617/I3617)+ABS(0.2-L3616*D3617/I3617)+ABS(0.2-M3616*E3617/I3617)+ABS(0.2-N3616*F3617/I3617)),0)</f>
        <v/>
      </c>
      <c r="Q3617">
        <f>P3617*0.0015</f>
        <v/>
      </c>
      <c r="R3617">
        <f>I3617*(1-Q3617)</f>
        <v/>
      </c>
      <c r="S3617">
        <f>R3617/R3616-1</f>
        <v/>
      </c>
      <c r="T3617">
        <f>MAX(T3616,R3617)</f>
        <v/>
      </c>
      <c r="U3617">
        <f>R3617/T3617-1</f>
        <v/>
      </c>
      <c r="V3617" t="n">
        <v>8.814661966190743</v>
      </c>
      <c r="W3617" s="5">
        <f>R3617-V3617</f>
        <v/>
      </c>
    </row>
    <row r="3618">
      <c r="A3618" s="3" t="n">
        <v>43773</v>
      </c>
      <c r="B3618">
        <f>Prices!B3618</f>
        <v/>
      </c>
      <c r="C3618">
        <f>Prices!C3618</f>
        <v/>
      </c>
      <c r="D3618">
        <f>Prices!D3618</f>
        <v/>
      </c>
      <c r="E3618">
        <f>Prices!E3618</f>
        <v/>
      </c>
      <c r="F3618">
        <f>Prices!F3618</f>
        <v/>
      </c>
      <c r="G3618">
        <f>IF(AND(3616&gt;=16,TEXT(A3618,"yyyy-mm")&lt;&gt;TEXT(A3619,"yyyy-mm")),1,0)</f>
        <v/>
      </c>
      <c r="H3618">
        <f>IF(OR(H3617=1,G3618=1),1,0)</f>
        <v/>
      </c>
      <c r="I3618">
        <f>IF(H3617=0,1,SUMPRODUCT(J3617:N3617,B3618:F3618)+O3617*(1+0.00023125256064071564))</f>
        <v/>
      </c>
      <c r="J3618">
        <f>IF(G3618=1,0.2*R3618/B3618,J3617)</f>
        <v/>
      </c>
      <c r="K3618">
        <f>IF(G3618=1,0.2*R3618/C3618,K3617)</f>
        <v/>
      </c>
      <c r="L3618">
        <f>IF(G3618=1,0.2*R3618/D3618,L3617)</f>
        <v/>
      </c>
      <c r="M3618">
        <f>IF(G3618=1,0.2*R3618/E3618,M3617)</f>
        <v/>
      </c>
      <c r="N3618">
        <f>IF(G3618=1,0.2*R3618/F3618,N3617)</f>
        <v/>
      </c>
      <c r="O3618">
        <f>IF(G3618=1,R3618*(1-1.0),IF(H3617=0,1,O3617*(1+0.00023125256064071564)))</f>
        <v/>
      </c>
      <c r="P3618">
        <f>IF(G3618=1,IF(H3617=0,1,ABS(0.2-J3617*B3618/I3618)+ABS(0.2-K3617*C3618/I3618)+ABS(0.2-L3617*D3618/I3618)+ABS(0.2-M3617*E3618/I3618)+ABS(0.2-N3617*F3618/I3618)),0)</f>
        <v/>
      </c>
      <c r="Q3618">
        <f>P3618*0.0015</f>
        <v/>
      </c>
      <c r="R3618">
        <f>I3618*(1-Q3618)</f>
        <v/>
      </c>
      <c r="S3618">
        <f>R3618/R3617-1</f>
        <v/>
      </c>
      <c r="T3618">
        <f>MAX(T3617,R3618)</f>
        <v/>
      </c>
      <c r="U3618">
        <f>R3618/T3618-1</f>
        <v/>
      </c>
      <c r="V3618" t="n">
        <v>8.838138915594142</v>
      </c>
      <c r="W3618" s="5">
        <f>R3618-V3618</f>
        <v/>
      </c>
    </row>
    <row r="3619">
      <c r="A3619" s="3" t="n">
        <v>43774</v>
      </c>
      <c r="B3619">
        <f>Prices!B3619</f>
        <v/>
      </c>
      <c r="C3619">
        <f>Prices!C3619</f>
        <v/>
      </c>
      <c r="D3619">
        <f>Prices!D3619</f>
        <v/>
      </c>
      <c r="E3619">
        <f>Prices!E3619</f>
        <v/>
      </c>
      <c r="F3619">
        <f>Prices!F3619</f>
        <v/>
      </c>
      <c r="G3619">
        <f>IF(AND(3617&gt;=16,TEXT(A3619,"yyyy-mm")&lt;&gt;TEXT(A3620,"yyyy-mm")),1,0)</f>
        <v/>
      </c>
      <c r="H3619">
        <f>IF(OR(H3618=1,G3619=1),1,0)</f>
        <v/>
      </c>
      <c r="I3619">
        <f>IF(H3618=0,1,SUMPRODUCT(J3618:N3618,B3619:F3619)+O3618*(1+0.00023125256064071564))</f>
        <v/>
      </c>
      <c r="J3619">
        <f>IF(G3619=1,0.2*R3619/B3619,J3618)</f>
        <v/>
      </c>
      <c r="K3619">
        <f>IF(G3619=1,0.2*R3619/C3619,K3618)</f>
        <v/>
      </c>
      <c r="L3619">
        <f>IF(G3619=1,0.2*R3619/D3619,L3618)</f>
        <v/>
      </c>
      <c r="M3619">
        <f>IF(G3619=1,0.2*R3619/E3619,M3618)</f>
        <v/>
      </c>
      <c r="N3619">
        <f>IF(G3619=1,0.2*R3619/F3619,N3618)</f>
        <v/>
      </c>
      <c r="O3619">
        <f>IF(G3619=1,R3619*(1-1.0),IF(H3618=0,1,O3618*(1+0.00023125256064071564)))</f>
        <v/>
      </c>
      <c r="P3619">
        <f>IF(G3619=1,IF(H3618=0,1,ABS(0.2-J3618*B3619/I3619)+ABS(0.2-K3618*C3619/I3619)+ABS(0.2-L3618*D3619/I3619)+ABS(0.2-M3618*E3619/I3619)+ABS(0.2-N3618*F3619/I3619)),0)</f>
        <v/>
      </c>
      <c r="Q3619">
        <f>P3619*0.0015</f>
        <v/>
      </c>
      <c r="R3619">
        <f>I3619*(1-Q3619)</f>
        <v/>
      </c>
      <c r="S3619">
        <f>R3619/R3618-1</f>
        <v/>
      </c>
      <c r="T3619">
        <f>MAX(T3618,R3619)</f>
        <v/>
      </c>
      <c r="U3619">
        <f>R3619/T3619-1</f>
        <v/>
      </c>
      <c r="V3619" t="n">
        <v>8.806525441986469</v>
      </c>
      <c r="W3619" s="5">
        <f>R3619-V3619</f>
        <v/>
      </c>
    </row>
    <row r="3620">
      <c r="A3620" s="3" t="n">
        <v>43775</v>
      </c>
      <c r="B3620">
        <f>Prices!B3620</f>
        <v/>
      </c>
      <c r="C3620">
        <f>Prices!C3620</f>
        <v/>
      </c>
      <c r="D3620">
        <f>Prices!D3620</f>
        <v/>
      </c>
      <c r="E3620">
        <f>Prices!E3620</f>
        <v/>
      </c>
      <c r="F3620">
        <f>Prices!F3620</f>
        <v/>
      </c>
      <c r="G3620">
        <f>IF(AND(3618&gt;=16,TEXT(A3620,"yyyy-mm")&lt;&gt;TEXT(A3621,"yyyy-mm")),1,0)</f>
        <v/>
      </c>
      <c r="H3620">
        <f>IF(OR(H3619=1,G3620=1),1,0)</f>
        <v/>
      </c>
      <c r="I3620">
        <f>IF(H3619=0,1,SUMPRODUCT(J3619:N3619,B3620:F3620)+O3619*(1+0.00023125256064071564))</f>
        <v/>
      </c>
      <c r="J3620">
        <f>IF(G3620=1,0.2*R3620/B3620,J3619)</f>
        <v/>
      </c>
      <c r="K3620">
        <f>IF(G3620=1,0.2*R3620/C3620,K3619)</f>
        <v/>
      </c>
      <c r="L3620">
        <f>IF(G3620=1,0.2*R3620/D3620,L3619)</f>
        <v/>
      </c>
      <c r="M3620">
        <f>IF(G3620=1,0.2*R3620/E3620,M3619)</f>
        <v/>
      </c>
      <c r="N3620">
        <f>IF(G3620=1,0.2*R3620/F3620,N3619)</f>
        <v/>
      </c>
      <c r="O3620">
        <f>IF(G3620=1,R3620*(1-1.0),IF(H3619=0,1,O3619*(1+0.00023125256064071564)))</f>
        <v/>
      </c>
      <c r="P3620">
        <f>IF(G3620=1,IF(H3619=0,1,ABS(0.2-J3619*B3620/I3620)+ABS(0.2-K3619*C3620/I3620)+ABS(0.2-L3619*D3620/I3620)+ABS(0.2-M3619*E3620/I3620)+ABS(0.2-N3619*F3620/I3620)),0)</f>
        <v/>
      </c>
      <c r="Q3620">
        <f>P3620*0.0015</f>
        <v/>
      </c>
      <c r="R3620">
        <f>I3620*(1-Q3620)</f>
        <v/>
      </c>
      <c r="S3620">
        <f>R3620/R3619-1</f>
        <v/>
      </c>
      <c r="T3620">
        <f>MAX(T3619,R3620)</f>
        <v/>
      </c>
      <c r="U3620">
        <f>R3620/T3620-1</f>
        <v/>
      </c>
      <c r="V3620" t="n">
        <v>8.812063258996478</v>
      </c>
      <c r="W3620" s="5">
        <f>R3620-V3620</f>
        <v/>
      </c>
    </row>
    <row r="3621">
      <c r="A3621" s="3" t="n">
        <v>43776</v>
      </c>
      <c r="B3621">
        <f>Prices!B3621</f>
        <v/>
      </c>
      <c r="C3621">
        <f>Prices!C3621</f>
        <v/>
      </c>
      <c r="D3621">
        <f>Prices!D3621</f>
        <v/>
      </c>
      <c r="E3621">
        <f>Prices!E3621</f>
        <v/>
      </c>
      <c r="F3621">
        <f>Prices!F3621</f>
        <v/>
      </c>
      <c r="G3621">
        <f>IF(AND(3619&gt;=16,TEXT(A3621,"yyyy-mm")&lt;&gt;TEXT(A3622,"yyyy-mm")),1,0)</f>
        <v/>
      </c>
      <c r="H3621">
        <f>IF(OR(H3620=1,G3621=1),1,0)</f>
        <v/>
      </c>
      <c r="I3621">
        <f>IF(H3620=0,1,SUMPRODUCT(J3620:N3620,B3621:F3621)+O3620*(1+0.00023125256064071564))</f>
        <v/>
      </c>
      <c r="J3621">
        <f>IF(G3621=1,0.2*R3621/B3621,J3620)</f>
        <v/>
      </c>
      <c r="K3621">
        <f>IF(G3621=1,0.2*R3621/C3621,K3620)</f>
        <v/>
      </c>
      <c r="L3621">
        <f>IF(G3621=1,0.2*R3621/D3621,L3620)</f>
        <v/>
      </c>
      <c r="M3621">
        <f>IF(G3621=1,0.2*R3621/E3621,M3620)</f>
        <v/>
      </c>
      <c r="N3621">
        <f>IF(G3621=1,0.2*R3621/F3621,N3620)</f>
        <v/>
      </c>
      <c r="O3621">
        <f>IF(G3621=1,R3621*(1-1.0),IF(H3620=0,1,O3620*(1+0.00023125256064071564)))</f>
        <v/>
      </c>
      <c r="P3621">
        <f>IF(G3621=1,IF(H3620=0,1,ABS(0.2-J3620*B3621/I3621)+ABS(0.2-K3620*C3621/I3621)+ABS(0.2-L3620*D3621/I3621)+ABS(0.2-M3620*E3621/I3621)+ABS(0.2-N3620*F3621/I3621)),0)</f>
        <v/>
      </c>
      <c r="Q3621">
        <f>P3621*0.0015</f>
        <v/>
      </c>
      <c r="R3621">
        <f>I3621*(1-Q3621)</f>
        <v/>
      </c>
      <c r="S3621">
        <f>R3621/R3620-1</f>
        <v/>
      </c>
      <c r="T3621">
        <f>MAX(T3620,R3621)</f>
        <v/>
      </c>
      <c r="U3621">
        <f>R3621/T3621-1</f>
        <v/>
      </c>
      <c r="V3621" t="n">
        <v>8.854566735580391</v>
      </c>
      <c r="W3621" s="5">
        <f>R3621-V3621</f>
        <v/>
      </c>
    </row>
    <row r="3622">
      <c r="A3622" s="3" t="n">
        <v>43777</v>
      </c>
      <c r="B3622">
        <f>Prices!B3622</f>
        <v/>
      </c>
      <c r="C3622">
        <f>Prices!C3622</f>
        <v/>
      </c>
      <c r="D3622">
        <f>Prices!D3622</f>
        <v/>
      </c>
      <c r="E3622">
        <f>Prices!E3622</f>
        <v/>
      </c>
      <c r="F3622">
        <f>Prices!F3622</f>
        <v/>
      </c>
      <c r="G3622">
        <f>IF(AND(3620&gt;=16,TEXT(A3622,"yyyy-mm")&lt;&gt;TEXT(A3623,"yyyy-mm")),1,0)</f>
        <v/>
      </c>
      <c r="H3622">
        <f>IF(OR(H3621=1,G3622=1),1,0)</f>
        <v/>
      </c>
      <c r="I3622">
        <f>IF(H3621=0,1,SUMPRODUCT(J3621:N3621,B3622:F3622)+O3621*(1+0.00023125256064071564))</f>
        <v/>
      </c>
      <c r="J3622">
        <f>IF(G3622=1,0.2*R3622/B3622,J3621)</f>
        <v/>
      </c>
      <c r="K3622">
        <f>IF(G3622=1,0.2*R3622/C3622,K3621)</f>
        <v/>
      </c>
      <c r="L3622">
        <f>IF(G3622=1,0.2*R3622/D3622,L3621)</f>
        <v/>
      </c>
      <c r="M3622">
        <f>IF(G3622=1,0.2*R3622/E3622,M3621)</f>
        <v/>
      </c>
      <c r="N3622">
        <f>IF(G3622=1,0.2*R3622/F3622,N3621)</f>
        <v/>
      </c>
      <c r="O3622">
        <f>IF(G3622=1,R3622*(1-1.0),IF(H3621=0,1,O3621*(1+0.00023125256064071564)))</f>
        <v/>
      </c>
      <c r="P3622">
        <f>IF(G3622=1,IF(H3621=0,1,ABS(0.2-J3621*B3622/I3622)+ABS(0.2-K3621*C3622/I3622)+ABS(0.2-L3621*D3622/I3622)+ABS(0.2-M3621*E3622/I3622)+ABS(0.2-N3621*F3622/I3622)),0)</f>
        <v/>
      </c>
      <c r="Q3622">
        <f>P3622*0.0015</f>
        <v/>
      </c>
      <c r="R3622">
        <f>I3622*(1-Q3622)</f>
        <v/>
      </c>
      <c r="S3622">
        <f>R3622/R3621-1</f>
        <v/>
      </c>
      <c r="T3622">
        <f>MAX(T3621,R3622)</f>
        <v/>
      </c>
      <c r="U3622">
        <f>R3622/T3622-1</f>
        <v/>
      </c>
      <c r="V3622" t="n">
        <v>8.768731424466813</v>
      </c>
      <c r="W3622" s="5">
        <f>R3622-V3622</f>
        <v/>
      </c>
    </row>
    <row r="3623">
      <c r="A3623" s="3" t="n">
        <v>43780</v>
      </c>
      <c r="B3623">
        <f>Prices!B3623</f>
        <v/>
      </c>
      <c r="C3623">
        <f>Prices!C3623</f>
        <v/>
      </c>
      <c r="D3623">
        <f>Prices!D3623</f>
        <v/>
      </c>
      <c r="E3623">
        <f>Prices!E3623</f>
        <v/>
      </c>
      <c r="F3623">
        <f>Prices!F3623</f>
        <v/>
      </c>
      <c r="G3623">
        <f>IF(AND(3621&gt;=16,TEXT(A3623,"yyyy-mm")&lt;&gt;TEXT(A3624,"yyyy-mm")),1,0)</f>
        <v/>
      </c>
      <c r="H3623">
        <f>IF(OR(H3622=1,G3623=1),1,0)</f>
        <v/>
      </c>
      <c r="I3623">
        <f>IF(H3622=0,1,SUMPRODUCT(J3622:N3622,B3623:F3623)+O3622*(1+0.00023125256064071564))</f>
        <v/>
      </c>
      <c r="J3623">
        <f>IF(G3623=1,0.2*R3623/B3623,J3622)</f>
        <v/>
      </c>
      <c r="K3623">
        <f>IF(G3623=1,0.2*R3623/C3623,K3622)</f>
        <v/>
      </c>
      <c r="L3623">
        <f>IF(G3623=1,0.2*R3623/D3623,L3622)</f>
        <v/>
      </c>
      <c r="M3623">
        <f>IF(G3623=1,0.2*R3623/E3623,M3622)</f>
        <v/>
      </c>
      <c r="N3623">
        <f>IF(G3623=1,0.2*R3623/F3623,N3622)</f>
        <v/>
      </c>
      <c r="O3623">
        <f>IF(G3623=1,R3623*(1-1.0),IF(H3622=0,1,O3622*(1+0.00023125256064071564)))</f>
        <v/>
      </c>
      <c r="P3623">
        <f>IF(G3623=1,IF(H3622=0,1,ABS(0.2-J3622*B3623/I3623)+ABS(0.2-K3622*C3623/I3623)+ABS(0.2-L3622*D3623/I3623)+ABS(0.2-M3622*E3623/I3623)+ABS(0.2-N3622*F3623/I3623)),0)</f>
        <v/>
      </c>
      <c r="Q3623">
        <f>P3623*0.0015</f>
        <v/>
      </c>
      <c r="R3623">
        <f>I3623*(1-Q3623)</f>
        <v/>
      </c>
      <c r="S3623">
        <f>R3623/R3622-1</f>
        <v/>
      </c>
      <c r="T3623">
        <f>MAX(T3622,R3623)</f>
        <v/>
      </c>
      <c r="U3623">
        <f>R3623/T3623-1</f>
        <v/>
      </c>
      <c r="V3623" t="n">
        <v>8.774052840277946</v>
      </c>
      <c r="W3623" s="5">
        <f>R3623-V3623</f>
        <v/>
      </c>
    </row>
    <row r="3624">
      <c r="A3624" s="3" t="n">
        <v>43782</v>
      </c>
      <c r="B3624">
        <f>Prices!B3624</f>
        <v/>
      </c>
      <c r="C3624">
        <f>Prices!C3624</f>
        <v/>
      </c>
      <c r="D3624">
        <f>Prices!D3624</f>
        <v/>
      </c>
      <c r="E3624">
        <f>Prices!E3624</f>
        <v/>
      </c>
      <c r="F3624">
        <f>Prices!F3624</f>
        <v/>
      </c>
      <c r="G3624">
        <f>IF(AND(3622&gt;=16,TEXT(A3624,"yyyy-mm")&lt;&gt;TEXT(A3625,"yyyy-mm")),1,0)</f>
        <v/>
      </c>
      <c r="H3624">
        <f>IF(OR(H3623=1,G3624=1),1,0)</f>
        <v/>
      </c>
      <c r="I3624">
        <f>IF(H3623=0,1,SUMPRODUCT(J3623:N3623,B3624:F3624)+O3623*(1+0.00023125256064071564))</f>
        <v/>
      </c>
      <c r="J3624">
        <f>IF(G3624=1,0.2*R3624/B3624,J3623)</f>
        <v/>
      </c>
      <c r="K3624">
        <f>IF(G3624=1,0.2*R3624/C3624,K3623)</f>
        <v/>
      </c>
      <c r="L3624">
        <f>IF(G3624=1,0.2*R3624/D3624,L3623)</f>
        <v/>
      </c>
      <c r="M3624">
        <f>IF(G3624=1,0.2*R3624/E3624,M3623)</f>
        <v/>
      </c>
      <c r="N3624">
        <f>IF(G3624=1,0.2*R3624/F3624,N3623)</f>
        <v/>
      </c>
      <c r="O3624">
        <f>IF(G3624=1,R3624*(1-1.0),IF(H3623=0,1,O3623*(1+0.00023125256064071564)))</f>
        <v/>
      </c>
      <c r="P3624">
        <f>IF(G3624=1,IF(H3623=0,1,ABS(0.2-J3623*B3624/I3624)+ABS(0.2-K3623*C3624/I3624)+ABS(0.2-L3623*D3624/I3624)+ABS(0.2-M3623*E3624/I3624)+ABS(0.2-N3623*F3624/I3624)),0)</f>
        <v/>
      </c>
      <c r="Q3624">
        <f>P3624*0.0015</f>
        <v/>
      </c>
      <c r="R3624">
        <f>I3624*(1-Q3624)</f>
        <v/>
      </c>
      <c r="S3624">
        <f>R3624/R3623-1</f>
        <v/>
      </c>
      <c r="T3624">
        <f>MAX(T3623,R3624)</f>
        <v/>
      </c>
      <c r="U3624">
        <f>R3624/T3624-1</f>
        <v/>
      </c>
      <c r="V3624" t="n">
        <v>8.694561640193452</v>
      </c>
      <c r="W3624" s="5">
        <f>R3624-V3624</f>
        <v/>
      </c>
    </row>
    <row r="3625">
      <c r="A3625" s="3" t="n">
        <v>43783</v>
      </c>
      <c r="B3625">
        <f>Prices!B3625</f>
        <v/>
      </c>
      <c r="C3625">
        <f>Prices!C3625</f>
        <v/>
      </c>
      <c r="D3625">
        <f>Prices!D3625</f>
        <v/>
      </c>
      <c r="E3625">
        <f>Prices!E3625</f>
        <v/>
      </c>
      <c r="F3625">
        <f>Prices!F3625</f>
        <v/>
      </c>
      <c r="G3625">
        <f>IF(AND(3623&gt;=16,TEXT(A3625,"yyyy-mm")&lt;&gt;TEXT(A3626,"yyyy-mm")),1,0)</f>
        <v/>
      </c>
      <c r="H3625">
        <f>IF(OR(H3624=1,G3625=1),1,0)</f>
        <v/>
      </c>
      <c r="I3625">
        <f>IF(H3624=0,1,SUMPRODUCT(J3624:N3624,B3625:F3625)+O3624*(1+0.00023125256064071564))</f>
        <v/>
      </c>
      <c r="J3625">
        <f>IF(G3625=1,0.2*R3625/B3625,J3624)</f>
        <v/>
      </c>
      <c r="K3625">
        <f>IF(G3625=1,0.2*R3625/C3625,K3624)</f>
        <v/>
      </c>
      <c r="L3625">
        <f>IF(G3625=1,0.2*R3625/D3625,L3624)</f>
        <v/>
      </c>
      <c r="M3625">
        <f>IF(G3625=1,0.2*R3625/E3625,M3624)</f>
        <v/>
      </c>
      <c r="N3625">
        <f>IF(G3625=1,0.2*R3625/F3625,N3624)</f>
        <v/>
      </c>
      <c r="O3625">
        <f>IF(G3625=1,R3625*(1-1.0),IF(H3624=0,1,O3624*(1+0.00023125256064071564)))</f>
        <v/>
      </c>
      <c r="P3625">
        <f>IF(G3625=1,IF(H3624=0,1,ABS(0.2-J3624*B3625/I3625)+ABS(0.2-K3624*C3625/I3625)+ABS(0.2-L3624*D3625/I3625)+ABS(0.2-M3624*E3625/I3625)+ABS(0.2-N3624*F3625/I3625)),0)</f>
        <v/>
      </c>
      <c r="Q3625">
        <f>P3625*0.0015</f>
        <v/>
      </c>
      <c r="R3625">
        <f>I3625*(1-Q3625)</f>
        <v/>
      </c>
      <c r="S3625">
        <f>R3625/R3624-1</f>
        <v/>
      </c>
      <c r="T3625">
        <f>MAX(T3624,R3625)</f>
        <v/>
      </c>
      <c r="U3625">
        <f>R3625/T3625-1</f>
        <v/>
      </c>
      <c r="V3625" t="n">
        <v>8.700798789339048</v>
      </c>
      <c r="W3625" s="5">
        <f>R3625-V3625</f>
        <v/>
      </c>
    </row>
    <row r="3626">
      <c r="A3626" s="3" t="n">
        <v>43784</v>
      </c>
      <c r="B3626">
        <f>Prices!B3626</f>
        <v/>
      </c>
      <c r="C3626">
        <f>Prices!C3626</f>
        <v/>
      </c>
      <c r="D3626">
        <f>Prices!D3626</f>
        <v/>
      </c>
      <c r="E3626">
        <f>Prices!E3626</f>
        <v/>
      </c>
      <c r="F3626">
        <f>Prices!F3626</f>
        <v/>
      </c>
      <c r="G3626">
        <f>IF(AND(3624&gt;=16,TEXT(A3626,"yyyy-mm")&lt;&gt;TEXT(A3627,"yyyy-mm")),1,0)</f>
        <v/>
      </c>
      <c r="H3626">
        <f>IF(OR(H3625=1,G3626=1),1,0)</f>
        <v/>
      </c>
      <c r="I3626">
        <f>IF(H3625=0,1,SUMPRODUCT(J3625:N3625,B3626:F3626)+O3625*(1+0.00023125256064071564))</f>
        <v/>
      </c>
      <c r="J3626">
        <f>IF(G3626=1,0.2*R3626/B3626,J3625)</f>
        <v/>
      </c>
      <c r="K3626">
        <f>IF(G3626=1,0.2*R3626/C3626,K3625)</f>
        <v/>
      </c>
      <c r="L3626">
        <f>IF(G3626=1,0.2*R3626/D3626,L3625)</f>
        <v/>
      </c>
      <c r="M3626">
        <f>IF(G3626=1,0.2*R3626/E3626,M3625)</f>
        <v/>
      </c>
      <c r="N3626">
        <f>IF(G3626=1,0.2*R3626/F3626,N3625)</f>
        <v/>
      </c>
      <c r="O3626">
        <f>IF(G3626=1,R3626*(1-1.0),IF(H3625=0,1,O3625*(1+0.00023125256064071564)))</f>
        <v/>
      </c>
      <c r="P3626">
        <f>IF(G3626=1,IF(H3625=0,1,ABS(0.2-J3625*B3626/I3626)+ABS(0.2-K3625*C3626/I3626)+ABS(0.2-L3625*D3626/I3626)+ABS(0.2-M3625*E3626/I3626)+ABS(0.2-N3625*F3626/I3626)),0)</f>
        <v/>
      </c>
      <c r="Q3626">
        <f>P3626*0.0015</f>
        <v/>
      </c>
      <c r="R3626">
        <f>I3626*(1-Q3626)</f>
        <v/>
      </c>
      <c r="S3626">
        <f>R3626/R3625-1</f>
        <v/>
      </c>
      <c r="T3626">
        <f>MAX(T3625,R3626)</f>
        <v/>
      </c>
      <c r="U3626">
        <f>R3626/T3626-1</f>
        <v/>
      </c>
      <c r="V3626" t="n">
        <v>8.682728130294967</v>
      </c>
      <c r="W3626" s="5">
        <f>R3626-V3626</f>
        <v/>
      </c>
    </row>
    <row r="3627">
      <c r="A3627" s="3" t="n">
        <v>43787</v>
      </c>
      <c r="B3627">
        <f>Prices!B3627</f>
        <v/>
      </c>
      <c r="C3627">
        <f>Prices!C3627</f>
        <v/>
      </c>
      <c r="D3627">
        <f>Prices!D3627</f>
        <v/>
      </c>
      <c r="E3627">
        <f>Prices!E3627</f>
        <v/>
      </c>
      <c r="F3627">
        <f>Prices!F3627</f>
        <v/>
      </c>
      <c r="G3627">
        <f>IF(AND(3625&gt;=16,TEXT(A3627,"yyyy-mm")&lt;&gt;TEXT(A3628,"yyyy-mm")),1,0)</f>
        <v/>
      </c>
      <c r="H3627">
        <f>IF(OR(H3626=1,G3627=1),1,0)</f>
        <v/>
      </c>
      <c r="I3627">
        <f>IF(H3626=0,1,SUMPRODUCT(J3626:N3626,B3627:F3627)+O3626*(1+0.00023125256064071564))</f>
        <v/>
      </c>
      <c r="J3627">
        <f>IF(G3627=1,0.2*R3627/B3627,J3626)</f>
        <v/>
      </c>
      <c r="K3627">
        <f>IF(G3627=1,0.2*R3627/C3627,K3626)</f>
        <v/>
      </c>
      <c r="L3627">
        <f>IF(G3627=1,0.2*R3627/D3627,L3626)</f>
        <v/>
      </c>
      <c r="M3627">
        <f>IF(G3627=1,0.2*R3627/E3627,M3626)</f>
        <v/>
      </c>
      <c r="N3627">
        <f>IF(G3627=1,0.2*R3627/F3627,N3626)</f>
        <v/>
      </c>
      <c r="O3627">
        <f>IF(G3627=1,R3627*(1-1.0),IF(H3626=0,1,O3626*(1+0.00023125256064071564)))</f>
        <v/>
      </c>
      <c r="P3627">
        <f>IF(G3627=1,IF(H3626=0,1,ABS(0.2-J3626*B3627/I3627)+ABS(0.2-K3626*C3627/I3627)+ABS(0.2-L3626*D3627/I3627)+ABS(0.2-M3626*E3627/I3627)+ABS(0.2-N3626*F3627/I3627)),0)</f>
        <v/>
      </c>
      <c r="Q3627">
        <f>P3627*0.0015</f>
        <v/>
      </c>
      <c r="R3627">
        <f>I3627*(1-Q3627)</f>
        <v/>
      </c>
      <c r="S3627">
        <f>R3627/R3626-1</f>
        <v/>
      </c>
      <c r="T3627">
        <f>MAX(T3626,R3627)</f>
        <v/>
      </c>
      <c r="U3627">
        <f>R3627/T3627-1</f>
        <v/>
      </c>
      <c r="V3627" t="n">
        <v>8.699518037171869</v>
      </c>
      <c r="W3627" s="5">
        <f>R3627-V3627</f>
        <v/>
      </c>
    </row>
    <row r="3628">
      <c r="A3628" s="3" t="n">
        <v>43788</v>
      </c>
      <c r="B3628">
        <f>Prices!B3628</f>
        <v/>
      </c>
      <c r="C3628">
        <f>Prices!C3628</f>
        <v/>
      </c>
      <c r="D3628">
        <f>Prices!D3628</f>
        <v/>
      </c>
      <c r="E3628">
        <f>Prices!E3628</f>
        <v/>
      </c>
      <c r="F3628">
        <f>Prices!F3628</f>
        <v/>
      </c>
      <c r="G3628">
        <f>IF(AND(3626&gt;=16,TEXT(A3628,"yyyy-mm")&lt;&gt;TEXT(A3629,"yyyy-mm")),1,0)</f>
        <v/>
      </c>
      <c r="H3628">
        <f>IF(OR(H3627=1,G3628=1),1,0)</f>
        <v/>
      </c>
      <c r="I3628">
        <f>IF(H3627=0,1,SUMPRODUCT(J3627:N3627,B3628:F3628)+O3627*(1+0.00023125256064071564))</f>
        <v/>
      </c>
      <c r="J3628">
        <f>IF(G3628=1,0.2*R3628/B3628,J3627)</f>
        <v/>
      </c>
      <c r="K3628">
        <f>IF(G3628=1,0.2*R3628/C3628,K3627)</f>
        <v/>
      </c>
      <c r="L3628">
        <f>IF(G3628=1,0.2*R3628/D3628,L3627)</f>
        <v/>
      </c>
      <c r="M3628">
        <f>IF(G3628=1,0.2*R3628/E3628,M3627)</f>
        <v/>
      </c>
      <c r="N3628">
        <f>IF(G3628=1,0.2*R3628/F3628,N3627)</f>
        <v/>
      </c>
      <c r="O3628">
        <f>IF(G3628=1,R3628*(1-1.0),IF(H3627=0,1,O3627*(1+0.00023125256064071564)))</f>
        <v/>
      </c>
      <c r="P3628">
        <f>IF(G3628=1,IF(H3627=0,1,ABS(0.2-J3627*B3628/I3628)+ABS(0.2-K3627*C3628/I3628)+ABS(0.2-L3627*D3628/I3628)+ABS(0.2-M3627*E3628/I3628)+ABS(0.2-N3627*F3628/I3628)),0)</f>
        <v/>
      </c>
      <c r="Q3628">
        <f>P3628*0.0015</f>
        <v/>
      </c>
      <c r="R3628">
        <f>I3628*(1-Q3628)</f>
        <v/>
      </c>
      <c r="S3628">
        <f>R3628/R3627-1</f>
        <v/>
      </c>
      <c r="T3628">
        <f>MAX(T3627,R3628)</f>
        <v/>
      </c>
      <c r="U3628">
        <f>R3628/T3628-1</f>
        <v/>
      </c>
      <c r="V3628" t="n">
        <v>8.707483880426741</v>
      </c>
      <c r="W3628" s="5">
        <f>R3628-V3628</f>
        <v/>
      </c>
    </row>
    <row r="3629">
      <c r="A3629" s="3" t="n">
        <v>43789</v>
      </c>
      <c r="B3629">
        <f>Prices!B3629</f>
        <v/>
      </c>
      <c r="C3629">
        <f>Prices!C3629</f>
        <v/>
      </c>
      <c r="D3629">
        <f>Prices!D3629</f>
        <v/>
      </c>
      <c r="E3629">
        <f>Prices!E3629</f>
        <v/>
      </c>
      <c r="F3629">
        <f>Prices!F3629</f>
        <v/>
      </c>
      <c r="G3629">
        <f>IF(AND(3627&gt;=16,TEXT(A3629,"yyyy-mm")&lt;&gt;TEXT(A3630,"yyyy-mm")),1,0)</f>
        <v/>
      </c>
      <c r="H3629">
        <f>IF(OR(H3628=1,G3629=1),1,0)</f>
        <v/>
      </c>
      <c r="I3629">
        <f>IF(H3628=0,1,SUMPRODUCT(J3628:N3628,B3629:F3629)+O3628*(1+0.00023125256064071564))</f>
        <v/>
      </c>
      <c r="J3629">
        <f>IF(G3629=1,0.2*R3629/B3629,J3628)</f>
        <v/>
      </c>
      <c r="K3629">
        <f>IF(G3629=1,0.2*R3629/C3629,K3628)</f>
        <v/>
      </c>
      <c r="L3629">
        <f>IF(G3629=1,0.2*R3629/D3629,L3628)</f>
        <v/>
      </c>
      <c r="M3629">
        <f>IF(G3629=1,0.2*R3629/E3629,M3628)</f>
        <v/>
      </c>
      <c r="N3629">
        <f>IF(G3629=1,0.2*R3629/F3629,N3628)</f>
        <v/>
      </c>
      <c r="O3629">
        <f>IF(G3629=1,R3629*(1-1.0),IF(H3628=0,1,O3628*(1+0.00023125256064071564)))</f>
        <v/>
      </c>
      <c r="P3629">
        <f>IF(G3629=1,IF(H3628=0,1,ABS(0.2-J3628*B3629/I3629)+ABS(0.2-K3628*C3629/I3629)+ABS(0.2-L3628*D3629/I3629)+ABS(0.2-M3628*E3629/I3629)+ABS(0.2-N3628*F3629/I3629)),0)</f>
        <v/>
      </c>
      <c r="Q3629">
        <f>P3629*0.0015</f>
        <v/>
      </c>
      <c r="R3629">
        <f>I3629*(1-Q3629)</f>
        <v/>
      </c>
      <c r="S3629">
        <f>R3629/R3628-1</f>
        <v/>
      </c>
      <c r="T3629">
        <f>MAX(T3628,R3629)</f>
        <v/>
      </c>
      <c r="U3629">
        <f>R3629/T3629-1</f>
        <v/>
      </c>
      <c r="V3629" t="n">
        <v>8.724553432580564</v>
      </c>
      <c r="W3629" s="5">
        <f>R3629-V3629</f>
        <v/>
      </c>
    </row>
    <row r="3630">
      <c r="A3630" s="3" t="n">
        <v>43790</v>
      </c>
      <c r="B3630">
        <f>Prices!B3630</f>
        <v/>
      </c>
      <c r="C3630">
        <f>Prices!C3630</f>
        <v/>
      </c>
      <c r="D3630">
        <f>Prices!D3630</f>
        <v/>
      </c>
      <c r="E3630">
        <f>Prices!E3630</f>
        <v/>
      </c>
      <c r="F3630">
        <f>Prices!F3630</f>
        <v/>
      </c>
      <c r="G3630">
        <f>IF(AND(3628&gt;=16,TEXT(A3630,"yyyy-mm")&lt;&gt;TEXT(A3631,"yyyy-mm")),1,0)</f>
        <v/>
      </c>
      <c r="H3630">
        <f>IF(OR(H3629=1,G3630=1),1,0)</f>
        <v/>
      </c>
      <c r="I3630">
        <f>IF(H3629=0,1,SUMPRODUCT(J3629:N3629,B3630:F3630)+O3629*(1+0.00023125256064071564))</f>
        <v/>
      </c>
      <c r="J3630">
        <f>IF(G3630=1,0.2*R3630/B3630,J3629)</f>
        <v/>
      </c>
      <c r="K3630">
        <f>IF(G3630=1,0.2*R3630/C3630,K3629)</f>
        <v/>
      </c>
      <c r="L3630">
        <f>IF(G3630=1,0.2*R3630/D3630,L3629)</f>
        <v/>
      </c>
      <c r="M3630">
        <f>IF(G3630=1,0.2*R3630/E3630,M3629)</f>
        <v/>
      </c>
      <c r="N3630">
        <f>IF(G3630=1,0.2*R3630/F3630,N3629)</f>
        <v/>
      </c>
      <c r="O3630">
        <f>IF(G3630=1,R3630*(1-1.0),IF(H3629=0,1,O3629*(1+0.00023125256064071564)))</f>
        <v/>
      </c>
      <c r="P3630">
        <f>IF(G3630=1,IF(H3629=0,1,ABS(0.2-J3629*B3630/I3630)+ABS(0.2-K3629*C3630/I3630)+ABS(0.2-L3629*D3630/I3630)+ABS(0.2-M3629*E3630/I3630)+ABS(0.2-N3629*F3630/I3630)),0)</f>
        <v/>
      </c>
      <c r="Q3630">
        <f>P3630*0.0015</f>
        <v/>
      </c>
      <c r="R3630">
        <f>I3630*(1-Q3630)</f>
        <v/>
      </c>
      <c r="S3630">
        <f>R3630/R3629-1</f>
        <v/>
      </c>
      <c r="T3630">
        <f>MAX(T3629,R3630)</f>
        <v/>
      </c>
      <c r="U3630">
        <f>R3630/T3630-1</f>
        <v/>
      </c>
      <c r="V3630" t="n">
        <v>8.663074999656649</v>
      </c>
      <c r="W3630" s="5">
        <f>R3630-V3630</f>
        <v/>
      </c>
    </row>
    <row r="3631">
      <c r="A3631" s="3" t="n">
        <v>43791</v>
      </c>
      <c r="B3631">
        <f>Prices!B3631</f>
        <v/>
      </c>
      <c r="C3631">
        <f>Prices!C3631</f>
        <v/>
      </c>
      <c r="D3631">
        <f>Prices!D3631</f>
        <v/>
      </c>
      <c r="E3631">
        <f>Prices!E3631</f>
        <v/>
      </c>
      <c r="F3631">
        <f>Prices!F3631</f>
        <v/>
      </c>
      <c r="G3631">
        <f>IF(AND(3629&gt;=16,TEXT(A3631,"yyyy-mm")&lt;&gt;TEXT(A3632,"yyyy-mm")),1,0)</f>
        <v/>
      </c>
      <c r="H3631">
        <f>IF(OR(H3630=1,G3631=1),1,0)</f>
        <v/>
      </c>
      <c r="I3631">
        <f>IF(H3630=0,1,SUMPRODUCT(J3630:N3630,B3631:F3631)+O3630*(1+0.00023125256064071564))</f>
        <v/>
      </c>
      <c r="J3631">
        <f>IF(G3631=1,0.2*R3631/B3631,J3630)</f>
        <v/>
      </c>
      <c r="K3631">
        <f>IF(G3631=1,0.2*R3631/C3631,K3630)</f>
        <v/>
      </c>
      <c r="L3631">
        <f>IF(G3631=1,0.2*R3631/D3631,L3630)</f>
        <v/>
      </c>
      <c r="M3631">
        <f>IF(G3631=1,0.2*R3631/E3631,M3630)</f>
        <v/>
      </c>
      <c r="N3631">
        <f>IF(G3631=1,0.2*R3631/F3631,N3630)</f>
        <v/>
      </c>
      <c r="O3631">
        <f>IF(G3631=1,R3631*(1-1.0),IF(H3630=0,1,O3630*(1+0.00023125256064071564)))</f>
        <v/>
      </c>
      <c r="P3631">
        <f>IF(G3631=1,IF(H3630=0,1,ABS(0.2-J3630*B3631/I3631)+ABS(0.2-K3630*C3631/I3631)+ABS(0.2-L3630*D3631/I3631)+ABS(0.2-M3630*E3631/I3631)+ABS(0.2-N3630*F3631/I3631)),0)</f>
        <v/>
      </c>
      <c r="Q3631">
        <f>P3631*0.0015</f>
        <v/>
      </c>
      <c r="R3631">
        <f>I3631*(1-Q3631)</f>
        <v/>
      </c>
      <c r="S3631">
        <f>R3631/R3630-1</f>
        <v/>
      </c>
      <c r="T3631">
        <f>MAX(T3630,R3631)</f>
        <v/>
      </c>
      <c r="U3631">
        <f>R3631/T3631-1</f>
        <v/>
      </c>
      <c r="V3631" t="n">
        <v>8.636341693053559</v>
      </c>
      <c r="W3631" s="5">
        <f>R3631-V3631</f>
        <v/>
      </c>
    </row>
    <row r="3632">
      <c r="A3632" s="3" t="n">
        <v>43794</v>
      </c>
      <c r="B3632">
        <f>Prices!B3632</f>
        <v/>
      </c>
      <c r="C3632">
        <f>Prices!C3632</f>
        <v/>
      </c>
      <c r="D3632">
        <f>Prices!D3632</f>
        <v/>
      </c>
      <c r="E3632">
        <f>Prices!E3632</f>
        <v/>
      </c>
      <c r="F3632">
        <f>Prices!F3632</f>
        <v/>
      </c>
      <c r="G3632">
        <f>IF(AND(3630&gt;=16,TEXT(A3632,"yyyy-mm")&lt;&gt;TEXT(A3633,"yyyy-mm")),1,0)</f>
        <v/>
      </c>
      <c r="H3632">
        <f>IF(OR(H3631=1,G3632=1),1,0)</f>
        <v/>
      </c>
      <c r="I3632">
        <f>IF(H3631=0,1,SUMPRODUCT(J3631:N3631,B3632:F3632)+O3631*(1+0.00023125256064071564))</f>
        <v/>
      </c>
      <c r="J3632">
        <f>IF(G3632=1,0.2*R3632/B3632,J3631)</f>
        <v/>
      </c>
      <c r="K3632">
        <f>IF(G3632=1,0.2*R3632/C3632,K3631)</f>
        <v/>
      </c>
      <c r="L3632">
        <f>IF(G3632=1,0.2*R3632/D3632,L3631)</f>
        <v/>
      </c>
      <c r="M3632">
        <f>IF(G3632=1,0.2*R3632/E3632,M3631)</f>
        <v/>
      </c>
      <c r="N3632">
        <f>IF(G3632=1,0.2*R3632/F3632,N3631)</f>
        <v/>
      </c>
      <c r="O3632">
        <f>IF(G3632=1,R3632*(1-1.0),IF(H3631=0,1,O3631*(1+0.00023125256064071564)))</f>
        <v/>
      </c>
      <c r="P3632">
        <f>IF(G3632=1,IF(H3631=0,1,ABS(0.2-J3631*B3632/I3632)+ABS(0.2-K3631*C3632/I3632)+ABS(0.2-L3631*D3632/I3632)+ABS(0.2-M3631*E3632/I3632)+ABS(0.2-N3631*F3632/I3632)),0)</f>
        <v/>
      </c>
      <c r="Q3632">
        <f>P3632*0.0015</f>
        <v/>
      </c>
      <c r="R3632">
        <f>I3632*(1-Q3632)</f>
        <v/>
      </c>
      <c r="S3632">
        <f>R3632/R3631-1</f>
        <v/>
      </c>
      <c r="T3632">
        <f>MAX(T3631,R3632)</f>
        <v/>
      </c>
      <c r="U3632">
        <f>R3632/T3632-1</f>
        <v/>
      </c>
      <c r="V3632" t="n">
        <v>8.735406567387844</v>
      </c>
      <c r="W3632" s="5">
        <f>R3632-V3632</f>
        <v/>
      </c>
    </row>
    <row r="3633">
      <c r="A3633" s="3" t="n">
        <v>43795</v>
      </c>
      <c r="B3633">
        <f>Prices!B3633</f>
        <v/>
      </c>
      <c r="C3633">
        <f>Prices!C3633</f>
        <v/>
      </c>
      <c r="D3633">
        <f>Prices!D3633</f>
        <v/>
      </c>
      <c r="E3633">
        <f>Prices!E3633</f>
        <v/>
      </c>
      <c r="F3633">
        <f>Prices!F3633</f>
        <v/>
      </c>
      <c r="G3633">
        <f>IF(AND(3631&gt;=16,TEXT(A3633,"yyyy-mm")&lt;&gt;TEXT(A3634,"yyyy-mm")),1,0)</f>
        <v/>
      </c>
      <c r="H3633">
        <f>IF(OR(H3632=1,G3633=1),1,0)</f>
        <v/>
      </c>
      <c r="I3633">
        <f>IF(H3632=0,1,SUMPRODUCT(J3632:N3632,B3633:F3633)+O3632*(1+0.00023125256064071564))</f>
        <v/>
      </c>
      <c r="J3633">
        <f>IF(G3633=1,0.2*R3633/B3633,J3632)</f>
        <v/>
      </c>
      <c r="K3633">
        <f>IF(G3633=1,0.2*R3633/C3633,K3632)</f>
        <v/>
      </c>
      <c r="L3633">
        <f>IF(G3633=1,0.2*R3633/D3633,L3632)</f>
        <v/>
      </c>
      <c r="M3633">
        <f>IF(G3633=1,0.2*R3633/E3633,M3632)</f>
        <v/>
      </c>
      <c r="N3633">
        <f>IF(G3633=1,0.2*R3633/F3633,N3632)</f>
        <v/>
      </c>
      <c r="O3633">
        <f>IF(G3633=1,R3633*(1-1.0),IF(H3632=0,1,O3632*(1+0.00023125256064071564)))</f>
        <v/>
      </c>
      <c r="P3633">
        <f>IF(G3633=1,IF(H3632=0,1,ABS(0.2-J3632*B3633/I3633)+ABS(0.2-K3632*C3633/I3633)+ABS(0.2-L3632*D3633/I3633)+ABS(0.2-M3632*E3633/I3633)+ABS(0.2-N3632*F3633/I3633)),0)</f>
        <v/>
      </c>
      <c r="Q3633">
        <f>P3633*0.0015</f>
        <v/>
      </c>
      <c r="R3633">
        <f>I3633*(1-Q3633)</f>
        <v/>
      </c>
      <c r="S3633">
        <f>R3633/R3632-1</f>
        <v/>
      </c>
      <c r="T3633">
        <f>MAX(T3632,R3633)</f>
        <v/>
      </c>
      <c r="U3633">
        <f>R3633/T3633-1</f>
        <v/>
      </c>
      <c r="V3633" t="n">
        <v>8.667596109014141</v>
      </c>
      <c r="W3633" s="5">
        <f>R3633-V3633</f>
        <v/>
      </c>
    </row>
    <row r="3634">
      <c r="A3634" s="3" t="n">
        <v>43796</v>
      </c>
      <c r="B3634">
        <f>Prices!B3634</f>
        <v/>
      </c>
      <c r="C3634">
        <f>Prices!C3634</f>
        <v/>
      </c>
      <c r="D3634">
        <f>Prices!D3634</f>
        <v/>
      </c>
      <c r="E3634">
        <f>Prices!E3634</f>
        <v/>
      </c>
      <c r="F3634">
        <f>Prices!F3634</f>
        <v/>
      </c>
      <c r="G3634">
        <f>IF(AND(3632&gt;=16,TEXT(A3634,"yyyy-mm")&lt;&gt;TEXT(A3635,"yyyy-mm")),1,0)</f>
        <v/>
      </c>
      <c r="H3634">
        <f>IF(OR(H3633=1,G3634=1),1,0)</f>
        <v/>
      </c>
      <c r="I3634">
        <f>IF(H3633=0,1,SUMPRODUCT(J3633:N3633,B3634:F3634)+O3633*(1+0.00023125256064071564))</f>
        <v/>
      </c>
      <c r="J3634">
        <f>IF(G3634=1,0.2*R3634/B3634,J3633)</f>
        <v/>
      </c>
      <c r="K3634">
        <f>IF(G3634=1,0.2*R3634/C3634,K3633)</f>
        <v/>
      </c>
      <c r="L3634">
        <f>IF(G3634=1,0.2*R3634/D3634,L3633)</f>
        <v/>
      </c>
      <c r="M3634">
        <f>IF(G3634=1,0.2*R3634/E3634,M3633)</f>
        <v/>
      </c>
      <c r="N3634">
        <f>IF(G3634=1,0.2*R3634/F3634,N3633)</f>
        <v/>
      </c>
      <c r="O3634">
        <f>IF(G3634=1,R3634*(1-1.0),IF(H3633=0,1,O3633*(1+0.00023125256064071564)))</f>
        <v/>
      </c>
      <c r="P3634">
        <f>IF(G3634=1,IF(H3633=0,1,ABS(0.2-J3633*B3634/I3634)+ABS(0.2-K3633*C3634/I3634)+ABS(0.2-L3633*D3634/I3634)+ABS(0.2-M3633*E3634/I3634)+ABS(0.2-N3633*F3634/I3634)),0)</f>
        <v/>
      </c>
      <c r="Q3634">
        <f>P3634*0.0015</f>
        <v/>
      </c>
      <c r="R3634">
        <f>I3634*(1-Q3634)</f>
        <v/>
      </c>
      <c r="S3634">
        <f>R3634/R3633-1</f>
        <v/>
      </c>
      <c r="T3634">
        <f>MAX(T3633,R3634)</f>
        <v/>
      </c>
      <c r="U3634">
        <f>R3634/T3634-1</f>
        <v/>
      </c>
      <c r="V3634" t="n">
        <v>8.71938482129411</v>
      </c>
      <c r="W3634" s="5">
        <f>R3634-V3634</f>
        <v/>
      </c>
    </row>
    <row r="3635">
      <c r="A3635" s="3" t="n">
        <v>43797</v>
      </c>
      <c r="B3635">
        <f>Prices!B3635</f>
        <v/>
      </c>
      <c r="C3635">
        <f>Prices!C3635</f>
        <v/>
      </c>
      <c r="D3635">
        <f>Prices!D3635</f>
        <v/>
      </c>
      <c r="E3635">
        <f>Prices!E3635</f>
        <v/>
      </c>
      <c r="F3635">
        <f>Prices!F3635</f>
        <v/>
      </c>
      <c r="G3635">
        <f>IF(AND(3633&gt;=16,TEXT(A3635,"yyyy-mm")&lt;&gt;TEXT(A3636,"yyyy-mm")),1,0)</f>
        <v/>
      </c>
      <c r="H3635">
        <f>IF(OR(H3634=1,G3635=1),1,0)</f>
        <v/>
      </c>
      <c r="I3635">
        <f>IF(H3634=0,1,SUMPRODUCT(J3634:N3634,B3635:F3635)+O3634*(1+0.00023125256064071564))</f>
        <v/>
      </c>
      <c r="J3635">
        <f>IF(G3635=1,0.2*R3635/B3635,J3634)</f>
        <v/>
      </c>
      <c r="K3635">
        <f>IF(G3635=1,0.2*R3635/C3635,K3634)</f>
        <v/>
      </c>
      <c r="L3635">
        <f>IF(G3635=1,0.2*R3635/D3635,L3634)</f>
        <v/>
      </c>
      <c r="M3635">
        <f>IF(G3635=1,0.2*R3635/E3635,M3634)</f>
        <v/>
      </c>
      <c r="N3635">
        <f>IF(G3635=1,0.2*R3635/F3635,N3634)</f>
        <v/>
      </c>
      <c r="O3635">
        <f>IF(G3635=1,R3635*(1-1.0),IF(H3634=0,1,O3634*(1+0.00023125256064071564)))</f>
        <v/>
      </c>
      <c r="P3635">
        <f>IF(G3635=1,IF(H3634=0,1,ABS(0.2-J3634*B3635/I3635)+ABS(0.2-K3634*C3635/I3635)+ABS(0.2-L3634*D3635/I3635)+ABS(0.2-M3634*E3635/I3635)+ABS(0.2-N3634*F3635/I3635)),0)</f>
        <v/>
      </c>
      <c r="Q3635">
        <f>P3635*0.0015</f>
        <v/>
      </c>
      <c r="R3635">
        <f>I3635*(1-Q3635)</f>
        <v/>
      </c>
      <c r="S3635">
        <f>R3635/R3634-1</f>
        <v/>
      </c>
      <c r="T3635">
        <f>MAX(T3634,R3635)</f>
        <v/>
      </c>
      <c r="U3635">
        <f>R3635/T3635-1</f>
        <v/>
      </c>
      <c r="V3635" t="n">
        <v>8.782942331549362</v>
      </c>
      <c r="W3635" s="5">
        <f>R3635-V3635</f>
        <v/>
      </c>
    </row>
    <row r="3636">
      <c r="A3636" s="3" t="n">
        <v>43798</v>
      </c>
      <c r="B3636">
        <f>Prices!B3636</f>
        <v/>
      </c>
      <c r="C3636">
        <f>Prices!C3636</f>
        <v/>
      </c>
      <c r="D3636">
        <f>Prices!D3636</f>
        <v/>
      </c>
      <c r="E3636">
        <f>Prices!E3636</f>
        <v/>
      </c>
      <c r="F3636">
        <f>Prices!F3636</f>
        <v/>
      </c>
      <c r="G3636">
        <f>IF(AND(3634&gt;=16,TEXT(A3636,"yyyy-mm")&lt;&gt;TEXT(A3637,"yyyy-mm")),1,0)</f>
        <v/>
      </c>
      <c r="H3636">
        <f>IF(OR(H3635=1,G3636=1),1,0)</f>
        <v/>
      </c>
      <c r="I3636">
        <f>IF(H3635=0,1,SUMPRODUCT(J3635:N3635,B3636:F3636)+O3635*(1+0.00023125256064071564))</f>
        <v/>
      </c>
      <c r="J3636">
        <f>IF(G3636=1,0.2*R3636/B3636,J3635)</f>
        <v/>
      </c>
      <c r="K3636">
        <f>IF(G3636=1,0.2*R3636/C3636,K3635)</f>
        <v/>
      </c>
      <c r="L3636">
        <f>IF(G3636=1,0.2*R3636/D3636,L3635)</f>
        <v/>
      </c>
      <c r="M3636">
        <f>IF(G3636=1,0.2*R3636/E3636,M3635)</f>
        <v/>
      </c>
      <c r="N3636">
        <f>IF(G3636=1,0.2*R3636/F3636,N3635)</f>
        <v/>
      </c>
      <c r="O3636">
        <f>IF(G3636=1,R3636*(1-1.0),IF(H3635=0,1,O3635*(1+0.00023125256064071564)))</f>
        <v/>
      </c>
      <c r="P3636">
        <f>IF(G3636=1,IF(H3635=0,1,ABS(0.2-J3635*B3636/I3636)+ABS(0.2-K3635*C3636/I3636)+ABS(0.2-L3635*D3636/I3636)+ABS(0.2-M3635*E3636/I3636)+ABS(0.2-N3635*F3636/I3636)),0)</f>
        <v/>
      </c>
      <c r="Q3636">
        <f>P3636*0.0015</f>
        <v/>
      </c>
      <c r="R3636">
        <f>I3636*(1-Q3636)</f>
        <v/>
      </c>
      <c r="S3636">
        <f>R3636/R3635-1</f>
        <v/>
      </c>
      <c r="T3636">
        <f>MAX(T3635,R3636)</f>
        <v/>
      </c>
      <c r="U3636">
        <f>R3636/T3636-1</f>
        <v/>
      </c>
      <c r="V3636" t="n">
        <v>8.727475583518917</v>
      </c>
      <c r="W3636" s="5">
        <f>R3636-V3636</f>
        <v/>
      </c>
    </row>
    <row r="3637">
      <c r="A3637" s="3" t="n">
        <v>43801</v>
      </c>
      <c r="B3637">
        <f>Prices!B3637</f>
        <v/>
      </c>
      <c r="C3637">
        <f>Prices!C3637</f>
        <v/>
      </c>
      <c r="D3637">
        <f>Prices!D3637</f>
        <v/>
      </c>
      <c r="E3637">
        <f>Prices!E3637</f>
        <v/>
      </c>
      <c r="F3637">
        <f>Prices!F3637</f>
        <v/>
      </c>
      <c r="G3637">
        <f>IF(AND(3635&gt;=16,TEXT(A3637,"yyyy-mm")&lt;&gt;TEXT(A3638,"yyyy-mm")),1,0)</f>
        <v/>
      </c>
      <c r="H3637">
        <f>IF(OR(H3636=1,G3637=1),1,0)</f>
        <v/>
      </c>
      <c r="I3637">
        <f>IF(H3636=0,1,SUMPRODUCT(J3636:N3636,B3637:F3637)+O3636*(1+0.00023125256064071564))</f>
        <v/>
      </c>
      <c r="J3637">
        <f>IF(G3637=1,0.2*R3637/B3637,J3636)</f>
        <v/>
      </c>
      <c r="K3637">
        <f>IF(G3637=1,0.2*R3637/C3637,K3636)</f>
        <v/>
      </c>
      <c r="L3637">
        <f>IF(G3637=1,0.2*R3637/D3637,L3636)</f>
        <v/>
      </c>
      <c r="M3637">
        <f>IF(G3637=1,0.2*R3637/E3637,M3636)</f>
        <v/>
      </c>
      <c r="N3637">
        <f>IF(G3637=1,0.2*R3637/F3637,N3636)</f>
        <v/>
      </c>
      <c r="O3637">
        <f>IF(G3637=1,R3637*(1-1.0),IF(H3636=0,1,O3636*(1+0.00023125256064071564)))</f>
        <v/>
      </c>
      <c r="P3637">
        <f>IF(G3637=1,IF(H3636=0,1,ABS(0.2-J3636*B3637/I3637)+ABS(0.2-K3636*C3637/I3637)+ABS(0.2-L3636*D3637/I3637)+ABS(0.2-M3636*E3637/I3637)+ABS(0.2-N3636*F3637/I3637)),0)</f>
        <v/>
      </c>
      <c r="Q3637">
        <f>P3637*0.0015</f>
        <v/>
      </c>
      <c r="R3637">
        <f>I3637*(1-Q3637)</f>
        <v/>
      </c>
      <c r="S3637">
        <f>R3637/R3636-1</f>
        <v/>
      </c>
      <c r="T3637">
        <f>MAX(T3636,R3637)</f>
        <v/>
      </c>
      <c r="U3637">
        <f>R3637/T3637-1</f>
        <v/>
      </c>
      <c r="V3637" t="n">
        <v>8.689053938074801</v>
      </c>
      <c r="W3637" s="5">
        <f>R3637-V3637</f>
        <v/>
      </c>
    </row>
    <row r="3638">
      <c r="A3638" s="3" t="n">
        <v>43802</v>
      </c>
      <c r="B3638">
        <f>Prices!B3638</f>
        <v/>
      </c>
      <c r="C3638">
        <f>Prices!C3638</f>
        <v/>
      </c>
      <c r="D3638">
        <f>Prices!D3638</f>
        <v/>
      </c>
      <c r="E3638">
        <f>Prices!E3638</f>
        <v/>
      </c>
      <c r="F3638">
        <f>Prices!F3638</f>
        <v/>
      </c>
      <c r="G3638">
        <f>IF(AND(3636&gt;=16,TEXT(A3638,"yyyy-mm")&lt;&gt;TEXT(A3639,"yyyy-mm")),1,0)</f>
        <v/>
      </c>
      <c r="H3638">
        <f>IF(OR(H3637=1,G3638=1),1,0)</f>
        <v/>
      </c>
      <c r="I3638">
        <f>IF(H3637=0,1,SUMPRODUCT(J3637:N3637,B3638:F3638)+O3637*(1+0.00023125256064071564))</f>
        <v/>
      </c>
      <c r="J3638">
        <f>IF(G3638=1,0.2*R3638/B3638,J3637)</f>
        <v/>
      </c>
      <c r="K3638">
        <f>IF(G3638=1,0.2*R3638/C3638,K3637)</f>
        <v/>
      </c>
      <c r="L3638">
        <f>IF(G3638=1,0.2*R3638/D3638,L3637)</f>
        <v/>
      </c>
      <c r="M3638">
        <f>IF(G3638=1,0.2*R3638/E3638,M3637)</f>
        <v/>
      </c>
      <c r="N3638">
        <f>IF(G3638=1,0.2*R3638/F3638,N3637)</f>
        <v/>
      </c>
      <c r="O3638">
        <f>IF(G3638=1,R3638*(1-1.0),IF(H3637=0,1,O3637*(1+0.00023125256064071564)))</f>
        <v/>
      </c>
      <c r="P3638">
        <f>IF(G3638=1,IF(H3637=0,1,ABS(0.2-J3637*B3638/I3638)+ABS(0.2-K3637*C3638/I3638)+ABS(0.2-L3637*D3638/I3638)+ABS(0.2-M3637*E3638/I3638)+ABS(0.2-N3637*F3638/I3638)),0)</f>
        <v/>
      </c>
      <c r="Q3638">
        <f>P3638*0.0015</f>
        <v/>
      </c>
      <c r="R3638">
        <f>I3638*(1-Q3638)</f>
        <v/>
      </c>
      <c r="S3638">
        <f>R3638/R3637-1</f>
        <v/>
      </c>
      <c r="T3638">
        <f>MAX(T3637,R3638)</f>
        <v/>
      </c>
      <c r="U3638">
        <f>R3638/T3638-1</f>
        <v/>
      </c>
      <c r="V3638" t="n">
        <v>8.643585112907676</v>
      </c>
      <c r="W3638" s="5">
        <f>R3638-V3638</f>
        <v/>
      </c>
    </row>
    <row r="3639">
      <c r="A3639" s="3" t="n">
        <v>43803</v>
      </c>
      <c r="B3639">
        <f>Prices!B3639</f>
        <v/>
      </c>
      <c r="C3639">
        <f>Prices!C3639</f>
        <v/>
      </c>
      <c r="D3639">
        <f>Prices!D3639</f>
        <v/>
      </c>
      <c r="E3639">
        <f>Prices!E3639</f>
        <v/>
      </c>
      <c r="F3639">
        <f>Prices!F3639</f>
        <v/>
      </c>
      <c r="G3639">
        <f>IF(AND(3637&gt;=16,TEXT(A3639,"yyyy-mm")&lt;&gt;TEXT(A3640,"yyyy-mm")),1,0)</f>
        <v/>
      </c>
      <c r="H3639">
        <f>IF(OR(H3638=1,G3639=1),1,0)</f>
        <v/>
      </c>
      <c r="I3639">
        <f>IF(H3638=0,1,SUMPRODUCT(J3638:N3638,B3639:F3639)+O3638*(1+0.00023125256064071564))</f>
        <v/>
      </c>
      <c r="J3639">
        <f>IF(G3639=1,0.2*R3639/B3639,J3638)</f>
        <v/>
      </c>
      <c r="K3639">
        <f>IF(G3639=1,0.2*R3639/C3639,K3638)</f>
        <v/>
      </c>
      <c r="L3639">
        <f>IF(G3639=1,0.2*R3639/D3639,L3638)</f>
        <v/>
      </c>
      <c r="M3639">
        <f>IF(G3639=1,0.2*R3639/E3639,M3638)</f>
        <v/>
      </c>
      <c r="N3639">
        <f>IF(G3639=1,0.2*R3639/F3639,N3638)</f>
        <v/>
      </c>
      <c r="O3639">
        <f>IF(G3639=1,R3639*(1-1.0),IF(H3638=0,1,O3638*(1+0.00023125256064071564)))</f>
        <v/>
      </c>
      <c r="P3639">
        <f>IF(G3639=1,IF(H3638=0,1,ABS(0.2-J3638*B3639/I3639)+ABS(0.2-K3638*C3639/I3639)+ABS(0.2-L3638*D3639/I3639)+ABS(0.2-M3638*E3639/I3639)+ABS(0.2-N3638*F3639/I3639)),0)</f>
        <v/>
      </c>
      <c r="Q3639">
        <f>P3639*0.0015</f>
        <v/>
      </c>
      <c r="R3639">
        <f>I3639*(1-Q3639)</f>
        <v/>
      </c>
      <c r="S3639">
        <f>R3639/R3638-1</f>
        <v/>
      </c>
      <c r="T3639">
        <f>MAX(T3638,R3639)</f>
        <v/>
      </c>
      <c r="U3639">
        <f>R3639/T3639-1</f>
        <v/>
      </c>
      <c r="V3639" t="n">
        <v>8.68742194100416</v>
      </c>
      <c r="W3639" s="5">
        <f>R3639-V3639</f>
        <v/>
      </c>
    </row>
    <row r="3640">
      <c r="A3640" s="3" t="n">
        <v>43804</v>
      </c>
      <c r="B3640">
        <f>Prices!B3640</f>
        <v/>
      </c>
      <c r="C3640">
        <f>Prices!C3640</f>
        <v/>
      </c>
      <c r="D3640">
        <f>Prices!D3640</f>
        <v/>
      </c>
      <c r="E3640">
        <f>Prices!E3640</f>
        <v/>
      </c>
      <c r="F3640">
        <f>Prices!F3640</f>
        <v/>
      </c>
      <c r="G3640">
        <f>IF(AND(3638&gt;=16,TEXT(A3640,"yyyy-mm")&lt;&gt;TEXT(A3641,"yyyy-mm")),1,0)</f>
        <v/>
      </c>
      <c r="H3640">
        <f>IF(OR(H3639=1,G3640=1),1,0)</f>
        <v/>
      </c>
      <c r="I3640">
        <f>IF(H3639=0,1,SUMPRODUCT(J3639:N3639,B3640:F3640)+O3639*(1+0.00023125256064071564))</f>
        <v/>
      </c>
      <c r="J3640">
        <f>IF(G3640=1,0.2*R3640/B3640,J3639)</f>
        <v/>
      </c>
      <c r="K3640">
        <f>IF(G3640=1,0.2*R3640/C3640,K3639)</f>
        <v/>
      </c>
      <c r="L3640">
        <f>IF(G3640=1,0.2*R3640/D3640,L3639)</f>
        <v/>
      </c>
      <c r="M3640">
        <f>IF(G3640=1,0.2*R3640/E3640,M3639)</f>
        <v/>
      </c>
      <c r="N3640">
        <f>IF(G3640=1,0.2*R3640/F3640,N3639)</f>
        <v/>
      </c>
      <c r="O3640">
        <f>IF(G3640=1,R3640*(1-1.0),IF(H3639=0,1,O3639*(1+0.00023125256064071564)))</f>
        <v/>
      </c>
      <c r="P3640">
        <f>IF(G3640=1,IF(H3639=0,1,ABS(0.2-J3639*B3640/I3640)+ABS(0.2-K3639*C3640/I3640)+ABS(0.2-L3639*D3640/I3640)+ABS(0.2-M3639*E3640/I3640)+ABS(0.2-N3639*F3640/I3640)),0)</f>
        <v/>
      </c>
      <c r="Q3640">
        <f>P3640*0.0015</f>
        <v/>
      </c>
      <c r="R3640">
        <f>I3640*(1-Q3640)</f>
        <v/>
      </c>
      <c r="S3640">
        <f>R3640/R3639-1</f>
        <v/>
      </c>
      <c r="T3640">
        <f>MAX(T3639,R3640)</f>
        <v/>
      </c>
      <c r="U3640">
        <f>R3640/T3640-1</f>
        <v/>
      </c>
      <c r="V3640" t="n">
        <v>8.666926154738915</v>
      </c>
      <c r="W3640" s="5">
        <f>R3640-V3640</f>
        <v/>
      </c>
    </row>
    <row r="3641">
      <c r="A3641" s="3" t="n">
        <v>43805</v>
      </c>
      <c r="B3641">
        <f>Prices!B3641</f>
        <v/>
      </c>
      <c r="C3641">
        <f>Prices!C3641</f>
        <v/>
      </c>
      <c r="D3641">
        <f>Prices!D3641</f>
        <v/>
      </c>
      <c r="E3641">
        <f>Prices!E3641</f>
        <v/>
      </c>
      <c r="F3641">
        <f>Prices!F3641</f>
        <v/>
      </c>
      <c r="G3641">
        <f>IF(AND(3639&gt;=16,TEXT(A3641,"yyyy-mm")&lt;&gt;TEXT(A3642,"yyyy-mm")),1,0)</f>
        <v/>
      </c>
      <c r="H3641">
        <f>IF(OR(H3640=1,G3641=1),1,0)</f>
        <v/>
      </c>
      <c r="I3641">
        <f>IF(H3640=0,1,SUMPRODUCT(J3640:N3640,B3641:F3641)+O3640*(1+0.00023125256064071564))</f>
        <v/>
      </c>
      <c r="J3641">
        <f>IF(G3641=1,0.2*R3641/B3641,J3640)</f>
        <v/>
      </c>
      <c r="K3641">
        <f>IF(G3641=1,0.2*R3641/C3641,K3640)</f>
        <v/>
      </c>
      <c r="L3641">
        <f>IF(G3641=1,0.2*R3641/D3641,L3640)</f>
        <v/>
      </c>
      <c r="M3641">
        <f>IF(G3641=1,0.2*R3641/E3641,M3640)</f>
        <v/>
      </c>
      <c r="N3641">
        <f>IF(G3641=1,0.2*R3641/F3641,N3640)</f>
        <v/>
      </c>
      <c r="O3641">
        <f>IF(G3641=1,R3641*(1-1.0),IF(H3640=0,1,O3640*(1+0.00023125256064071564)))</f>
        <v/>
      </c>
      <c r="P3641">
        <f>IF(G3641=1,IF(H3640=0,1,ABS(0.2-J3640*B3641/I3641)+ABS(0.2-K3640*C3641/I3641)+ABS(0.2-L3640*D3641/I3641)+ABS(0.2-M3640*E3641/I3641)+ABS(0.2-N3640*F3641/I3641)),0)</f>
        <v/>
      </c>
      <c r="Q3641">
        <f>P3641*0.0015</f>
        <v/>
      </c>
      <c r="R3641">
        <f>I3641*(1-Q3641)</f>
        <v/>
      </c>
      <c r="S3641">
        <f>R3641/R3640-1</f>
        <v/>
      </c>
      <c r="T3641">
        <f>MAX(T3640,R3641)</f>
        <v/>
      </c>
      <c r="U3641">
        <f>R3641/T3641-1</f>
        <v/>
      </c>
      <c r="V3641" t="n">
        <v>8.586015743499452</v>
      </c>
      <c r="W3641" s="5">
        <f>R3641-V3641</f>
        <v/>
      </c>
    </row>
    <row r="3642">
      <c r="A3642" s="3" t="n">
        <v>43808</v>
      </c>
      <c r="B3642">
        <f>Prices!B3642</f>
        <v/>
      </c>
      <c r="C3642">
        <f>Prices!C3642</f>
        <v/>
      </c>
      <c r="D3642">
        <f>Prices!D3642</f>
        <v/>
      </c>
      <c r="E3642">
        <f>Prices!E3642</f>
        <v/>
      </c>
      <c r="F3642">
        <f>Prices!F3642</f>
        <v/>
      </c>
      <c r="G3642">
        <f>IF(AND(3640&gt;=16,TEXT(A3642,"yyyy-mm")&lt;&gt;TEXT(A3643,"yyyy-mm")),1,0)</f>
        <v/>
      </c>
      <c r="H3642">
        <f>IF(OR(H3641=1,G3642=1),1,0)</f>
        <v/>
      </c>
      <c r="I3642">
        <f>IF(H3641=0,1,SUMPRODUCT(J3641:N3641,B3642:F3642)+O3641*(1+0.00023125256064071564))</f>
        <v/>
      </c>
      <c r="J3642">
        <f>IF(G3642=1,0.2*R3642/B3642,J3641)</f>
        <v/>
      </c>
      <c r="K3642">
        <f>IF(G3642=1,0.2*R3642/C3642,K3641)</f>
        <v/>
      </c>
      <c r="L3642">
        <f>IF(G3642=1,0.2*R3642/D3642,L3641)</f>
        <v/>
      </c>
      <c r="M3642">
        <f>IF(G3642=1,0.2*R3642/E3642,M3641)</f>
        <v/>
      </c>
      <c r="N3642">
        <f>IF(G3642=1,0.2*R3642/F3642,N3641)</f>
        <v/>
      </c>
      <c r="O3642">
        <f>IF(G3642=1,R3642*(1-1.0),IF(H3641=0,1,O3641*(1+0.00023125256064071564)))</f>
        <v/>
      </c>
      <c r="P3642">
        <f>IF(G3642=1,IF(H3641=0,1,ABS(0.2-J3641*B3642/I3642)+ABS(0.2-K3641*C3642/I3642)+ABS(0.2-L3641*D3642/I3642)+ABS(0.2-M3641*E3642/I3642)+ABS(0.2-N3641*F3642/I3642)),0)</f>
        <v/>
      </c>
      <c r="Q3642">
        <f>P3642*0.0015</f>
        <v/>
      </c>
      <c r="R3642">
        <f>I3642*(1-Q3642)</f>
        <v/>
      </c>
      <c r="S3642">
        <f>R3642/R3641-1</f>
        <v/>
      </c>
      <c r="T3642">
        <f>MAX(T3641,R3642)</f>
        <v/>
      </c>
      <c r="U3642">
        <f>R3642/T3642-1</f>
        <v/>
      </c>
      <c r="V3642" t="n">
        <v>8.574026009971186</v>
      </c>
      <c r="W3642" s="5">
        <f>R3642-V3642</f>
        <v/>
      </c>
    </row>
    <row r="3643">
      <c r="A3643" s="3" t="n">
        <v>43809</v>
      </c>
      <c r="B3643">
        <f>Prices!B3643</f>
        <v/>
      </c>
      <c r="C3643">
        <f>Prices!C3643</f>
        <v/>
      </c>
      <c r="D3643">
        <f>Prices!D3643</f>
        <v/>
      </c>
      <c r="E3643">
        <f>Prices!E3643</f>
        <v/>
      </c>
      <c r="F3643">
        <f>Prices!F3643</f>
        <v/>
      </c>
      <c r="G3643">
        <f>IF(AND(3641&gt;=16,TEXT(A3643,"yyyy-mm")&lt;&gt;TEXT(A3644,"yyyy-mm")),1,0)</f>
        <v/>
      </c>
      <c r="H3643">
        <f>IF(OR(H3642=1,G3643=1),1,0)</f>
        <v/>
      </c>
      <c r="I3643">
        <f>IF(H3642=0,1,SUMPRODUCT(J3642:N3642,B3643:F3643)+O3642*(1+0.00023125256064071564))</f>
        <v/>
      </c>
      <c r="J3643">
        <f>IF(G3643=1,0.2*R3643/B3643,J3642)</f>
        <v/>
      </c>
      <c r="K3643">
        <f>IF(G3643=1,0.2*R3643/C3643,K3642)</f>
        <v/>
      </c>
      <c r="L3643">
        <f>IF(G3643=1,0.2*R3643/D3643,L3642)</f>
        <v/>
      </c>
      <c r="M3643">
        <f>IF(G3643=1,0.2*R3643/E3643,M3642)</f>
        <v/>
      </c>
      <c r="N3643">
        <f>IF(G3643=1,0.2*R3643/F3643,N3642)</f>
        <v/>
      </c>
      <c r="O3643">
        <f>IF(G3643=1,R3643*(1-1.0),IF(H3642=0,1,O3642*(1+0.00023125256064071564)))</f>
        <v/>
      </c>
      <c r="P3643">
        <f>IF(G3643=1,IF(H3642=0,1,ABS(0.2-J3642*B3643/I3643)+ABS(0.2-K3642*C3643/I3643)+ABS(0.2-L3642*D3643/I3643)+ABS(0.2-M3642*E3643/I3643)+ABS(0.2-N3642*F3643/I3643)),0)</f>
        <v/>
      </c>
      <c r="Q3643">
        <f>P3643*0.0015</f>
        <v/>
      </c>
      <c r="R3643">
        <f>I3643*(1-Q3643)</f>
        <v/>
      </c>
      <c r="S3643">
        <f>R3643/R3642-1</f>
        <v/>
      </c>
      <c r="T3643">
        <f>MAX(T3642,R3643)</f>
        <v/>
      </c>
      <c r="U3643">
        <f>R3643/T3643-1</f>
        <v/>
      </c>
      <c r="V3643" t="n">
        <v>8.50612500144676</v>
      </c>
      <c r="W3643" s="5">
        <f>R3643-V3643</f>
        <v/>
      </c>
    </row>
    <row r="3644">
      <c r="A3644" s="3" t="n">
        <v>43810</v>
      </c>
      <c r="B3644">
        <f>Prices!B3644</f>
        <v/>
      </c>
      <c r="C3644">
        <f>Prices!C3644</f>
        <v/>
      </c>
      <c r="D3644">
        <f>Prices!D3644</f>
        <v/>
      </c>
      <c r="E3644">
        <f>Prices!E3644</f>
        <v/>
      </c>
      <c r="F3644">
        <f>Prices!F3644</f>
        <v/>
      </c>
      <c r="G3644">
        <f>IF(AND(3642&gt;=16,TEXT(A3644,"yyyy-mm")&lt;&gt;TEXT(A3645,"yyyy-mm")),1,0)</f>
        <v/>
      </c>
      <c r="H3644">
        <f>IF(OR(H3643=1,G3644=1),1,0)</f>
        <v/>
      </c>
      <c r="I3644">
        <f>IF(H3643=0,1,SUMPRODUCT(J3643:N3643,B3644:F3644)+O3643*(1+0.00023125256064071564))</f>
        <v/>
      </c>
      <c r="J3644">
        <f>IF(G3644=1,0.2*R3644/B3644,J3643)</f>
        <v/>
      </c>
      <c r="K3644">
        <f>IF(G3644=1,0.2*R3644/C3644,K3643)</f>
        <v/>
      </c>
      <c r="L3644">
        <f>IF(G3644=1,0.2*R3644/D3644,L3643)</f>
        <v/>
      </c>
      <c r="M3644">
        <f>IF(G3644=1,0.2*R3644/E3644,M3643)</f>
        <v/>
      </c>
      <c r="N3644">
        <f>IF(G3644=1,0.2*R3644/F3644,N3643)</f>
        <v/>
      </c>
      <c r="O3644">
        <f>IF(G3644=1,R3644*(1-1.0),IF(H3643=0,1,O3643*(1+0.00023125256064071564)))</f>
        <v/>
      </c>
      <c r="P3644">
        <f>IF(G3644=1,IF(H3643=0,1,ABS(0.2-J3643*B3644/I3644)+ABS(0.2-K3643*C3644/I3644)+ABS(0.2-L3643*D3644/I3644)+ABS(0.2-M3643*E3644/I3644)+ABS(0.2-N3643*F3644/I3644)),0)</f>
        <v/>
      </c>
      <c r="Q3644">
        <f>P3644*0.0015</f>
        <v/>
      </c>
      <c r="R3644">
        <f>I3644*(1-Q3644)</f>
        <v/>
      </c>
      <c r="S3644">
        <f>R3644/R3643-1</f>
        <v/>
      </c>
      <c r="T3644">
        <f>MAX(T3643,R3644)</f>
        <v/>
      </c>
      <c r="U3644">
        <f>R3644/T3644-1</f>
        <v/>
      </c>
      <c r="V3644" t="n">
        <v>8.563561436936396</v>
      </c>
      <c r="W3644" s="5">
        <f>R3644-V3644</f>
        <v/>
      </c>
    </row>
    <row r="3645">
      <c r="A3645" s="3" t="n">
        <v>43811</v>
      </c>
      <c r="B3645">
        <f>Prices!B3645</f>
        <v/>
      </c>
      <c r="C3645">
        <f>Prices!C3645</f>
        <v/>
      </c>
      <c r="D3645">
        <f>Prices!D3645</f>
        <v/>
      </c>
      <c r="E3645">
        <f>Prices!E3645</f>
        <v/>
      </c>
      <c r="F3645">
        <f>Prices!F3645</f>
        <v/>
      </c>
      <c r="G3645">
        <f>IF(AND(3643&gt;=16,TEXT(A3645,"yyyy-mm")&lt;&gt;TEXT(A3646,"yyyy-mm")),1,0)</f>
        <v/>
      </c>
      <c r="H3645">
        <f>IF(OR(H3644=1,G3645=1),1,0)</f>
        <v/>
      </c>
      <c r="I3645">
        <f>IF(H3644=0,1,SUMPRODUCT(J3644:N3644,B3645:F3645)+O3644*(1+0.00023125256064071564))</f>
        <v/>
      </c>
      <c r="J3645">
        <f>IF(G3645=1,0.2*R3645/B3645,J3644)</f>
        <v/>
      </c>
      <c r="K3645">
        <f>IF(G3645=1,0.2*R3645/C3645,K3644)</f>
        <v/>
      </c>
      <c r="L3645">
        <f>IF(G3645=1,0.2*R3645/D3645,L3644)</f>
        <v/>
      </c>
      <c r="M3645">
        <f>IF(G3645=1,0.2*R3645/E3645,M3644)</f>
        <v/>
      </c>
      <c r="N3645">
        <f>IF(G3645=1,0.2*R3645/F3645,N3644)</f>
        <v/>
      </c>
      <c r="O3645">
        <f>IF(G3645=1,R3645*(1-1.0),IF(H3644=0,1,O3644*(1+0.00023125256064071564)))</f>
        <v/>
      </c>
      <c r="P3645">
        <f>IF(G3645=1,IF(H3644=0,1,ABS(0.2-J3644*B3645/I3645)+ABS(0.2-K3644*C3645/I3645)+ABS(0.2-L3644*D3645/I3645)+ABS(0.2-M3644*E3645/I3645)+ABS(0.2-N3644*F3645/I3645)),0)</f>
        <v/>
      </c>
      <c r="Q3645">
        <f>P3645*0.0015</f>
        <v/>
      </c>
      <c r="R3645">
        <f>I3645*(1-Q3645)</f>
        <v/>
      </c>
      <c r="S3645">
        <f>R3645/R3644-1</f>
        <v/>
      </c>
      <c r="T3645">
        <f>MAX(T3644,R3645)</f>
        <v/>
      </c>
      <c r="U3645">
        <f>R3645/T3645-1</f>
        <v/>
      </c>
      <c r="V3645" t="n">
        <v>8.620613469798959</v>
      </c>
      <c r="W3645" s="5">
        <f>R3645-V3645</f>
        <v/>
      </c>
    </row>
    <row r="3646">
      <c r="A3646" s="3" t="n">
        <v>43812</v>
      </c>
      <c r="B3646">
        <f>Prices!B3646</f>
        <v/>
      </c>
      <c r="C3646">
        <f>Prices!C3646</f>
        <v/>
      </c>
      <c r="D3646">
        <f>Prices!D3646</f>
        <v/>
      </c>
      <c r="E3646">
        <f>Prices!E3646</f>
        <v/>
      </c>
      <c r="F3646">
        <f>Prices!F3646</f>
        <v/>
      </c>
      <c r="G3646">
        <f>IF(AND(3644&gt;=16,TEXT(A3646,"yyyy-mm")&lt;&gt;TEXT(A3647,"yyyy-mm")),1,0)</f>
        <v/>
      </c>
      <c r="H3646">
        <f>IF(OR(H3645=1,G3646=1),1,0)</f>
        <v/>
      </c>
      <c r="I3646">
        <f>IF(H3645=0,1,SUMPRODUCT(J3645:N3645,B3646:F3646)+O3645*(1+0.00023125256064071564))</f>
        <v/>
      </c>
      <c r="J3646">
        <f>IF(G3646=1,0.2*R3646/B3646,J3645)</f>
        <v/>
      </c>
      <c r="K3646">
        <f>IF(G3646=1,0.2*R3646/C3646,K3645)</f>
        <v/>
      </c>
      <c r="L3646">
        <f>IF(G3646=1,0.2*R3646/D3646,L3645)</f>
        <v/>
      </c>
      <c r="M3646">
        <f>IF(G3646=1,0.2*R3646/E3646,M3645)</f>
        <v/>
      </c>
      <c r="N3646">
        <f>IF(G3646=1,0.2*R3646/F3646,N3645)</f>
        <v/>
      </c>
      <c r="O3646">
        <f>IF(G3646=1,R3646*(1-1.0),IF(H3645=0,1,O3645*(1+0.00023125256064071564)))</f>
        <v/>
      </c>
      <c r="P3646">
        <f>IF(G3646=1,IF(H3645=0,1,ABS(0.2-J3645*B3646/I3646)+ABS(0.2-K3645*C3646/I3646)+ABS(0.2-L3645*D3646/I3646)+ABS(0.2-M3645*E3646/I3646)+ABS(0.2-N3645*F3646/I3646)),0)</f>
        <v/>
      </c>
      <c r="Q3646">
        <f>P3646*0.0015</f>
        <v/>
      </c>
      <c r="R3646">
        <f>I3646*(1-Q3646)</f>
        <v/>
      </c>
      <c r="S3646">
        <f>R3646/R3645-1</f>
        <v/>
      </c>
      <c r="T3646">
        <f>MAX(T3645,R3646)</f>
        <v/>
      </c>
      <c r="U3646">
        <f>R3646/T3646-1</f>
        <v/>
      </c>
      <c r="V3646" t="n">
        <v>8.701632304727891</v>
      </c>
      <c r="W3646" s="5">
        <f>R3646-V3646</f>
        <v/>
      </c>
    </row>
    <row r="3647">
      <c r="A3647" s="3" t="n">
        <v>43815</v>
      </c>
      <c r="B3647">
        <f>Prices!B3647</f>
        <v/>
      </c>
      <c r="C3647">
        <f>Prices!C3647</f>
        <v/>
      </c>
      <c r="D3647">
        <f>Prices!D3647</f>
        <v/>
      </c>
      <c r="E3647">
        <f>Prices!E3647</f>
        <v/>
      </c>
      <c r="F3647">
        <f>Prices!F3647</f>
        <v/>
      </c>
      <c r="G3647">
        <f>IF(AND(3645&gt;=16,TEXT(A3647,"yyyy-mm")&lt;&gt;TEXT(A3648,"yyyy-mm")),1,0)</f>
        <v/>
      </c>
      <c r="H3647">
        <f>IF(OR(H3646=1,G3647=1),1,0)</f>
        <v/>
      </c>
      <c r="I3647">
        <f>IF(H3646=0,1,SUMPRODUCT(J3646:N3646,B3647:F3647)+O3646*(1+0.00023125256064071564))</f>
        <v/>
      </c>
      <c r="J3647">
        <f>IF(G3647=1,0.2*R3647/B3647,J3646)</f>
        <v/>
      </c>
      <c r="K3647">
        <f>IF(G3647=1,0.2*R3647/C3647,K3646)</f>
        <v/>
      </c>
      <c r="L3647">
        <f>IF(G3647=1,0.2*R3647/D3647,L3646)</f>
        <v/>
      </c>
      <c r="M3647">
        <f>IF(G3647=1,0.2*R3647/E3647,M3646)</f>
        <v/>
      </c>
      <c r="N3647">
        <f>IF(G3647=1,0.2*R3647/F3647,N3646)</f>
        <v/>
      </c>
      <c r="O3647">
        <f>IF(G3647=1,R3647*(1-1.0),IF(H3646=0,1,O3646*(1+0.00023125256064071564)))</f>
        <v/>
      </c>
      <c r="P3647">
        <f>IF(G3647=1,IF(H3646=0,1,ABS(0.2-J3646*B3647/I3647)+ABS(0.2-K3646*C3647/I3647)+ABS(0.2-L3646*D3647/I3647)+ABS(0.2-M3646*E3647/I3647)+ABS(0.2-N3646*F3647/I3647)),0)</f>
        <v/>
      </c>
      <c r="Q3647">
        <f>P3647*0.0015</f>
        <v/>
      </c>
      <c r="R3647">
        <f>I3647*(1-Q3647)</f>
        <v/>
      </c>
      <c r="S3647">
        <f>R3647/R3646-1</f>
        <v/>
      </c>
      <c r="T3647">
        <f>MAX(T3646,R3647)</f>
        <v/>
      </c>
      <c r="U3647">
        <f>R3647/T3647-1</f>
        <v/>
      </c>
      <c r="V3647" t="n">
        <v>8.67155685102645</v>
      </c>
      <c r="W3647" s="5">
        <f>R3647-V3647</f>
        <v/>
      </c>
    </row>
    <row r="3648">
      <c r="A3648" s="3" t="n">
        <v>43816</v>
      </c>
      <c r="B3648">
        <f>Prices!B3648</f>
        <v/>
      </c>
      <c r="C3648">
        <f>Prices!C3648</f>
        <v/>
      </c>
      <c r="D3648">
        <f>Prices!D3648</f>
        <v/>
      </c>
      <c r="E3648">
        <f>Prices!E3648</f>
        <v/>
      </c>
      <c r="F3648">
        <f>Prices!F3648</f>
        <v/>
      </c>
      <c r="G3648">
        <f>IF(AND(3646&gt;=16,TEXT(A3648,"yyyy-mm")&lt;&gt;TEXT(A3649,"yyyy-mm")),1,0)</f>
        <v/>
      </c>
      <c r="H3648">
        <f>IF(OR(H3647=1,G3648=1),1,0)</f>
        <v/>
      </c>
      <c r="I3648">
        <f>IF(H3647=0,1,SUMPRODUCT(J3647:N3647,B3648:F3648)+O3647*(1+0.00023125256064071564))</f>
        <v/>
      </c>
      <c r="J3648">
        <f>IF(G3648=1,0.2*R3648/B3648,J3647)</f>
        <v/>
      </c>
      <c r="K3648">
        <f>IF(G3648=1,0.2*R3648/C3648,K3647)</f>
        <v/>
      </c>
      <c r="L3648">
        <f>IF(G3648=1,0.2*R3648/D3648,L3647)</f>
        <v/>
      </c>
      <c r="M3648">
        <f>IF(G3648=1,0.2*R3648/E3648,M3647)</f>
        <v/>
      </c>
      <c r="N3648">
        <f>IF(G3648=1,0.2*R3648/F3648,N3647)</f>
        <v/>
      </c>
      <c r="O3648">
        <f>IF(G3648=1,R3648*(1-1.0),IF(H3647=0,1,O3647*(1+0.00023125256064071564)))</f>
        <v/>
      </c>
      <c r="P3648">
        <f>IF(G3648=1,IF(H3647=0,1,ABS(0.2-J3647*B3648/I3648)+ABS(0.2-K3647*C3648/I3648)+ABS(0.2-L3647*D3648/I3648)+ABS(0.2-M3647*E3648/I3648)+ABS(0.2-N3647*F3648/I3648)),0)</f>
        <v/>
      </c>
      <c r="Q3648">
        <f>P3648*0.0015</f>
        <v/>
      </c>
      <c r="R3648">
        <f>I3648*(1-Q3648)</f>
        <v/>
      </c>
      <c r="S3648">
        <f>R3648/R3647-1</f>
        <v/>
      </c>
      <c r="T3648">
        <f>MAX(T3647,R3648)</f>
        <v/>
      </c>
      <c r="U3648">
        <f>R3648/T3648-1</f>
        <v/>
      </c>
      <c r="V3648" t="n">
        <v>8.73640978487386</v>
      </c>
      <c r="W3648" s="5">
        <f>R3648-V3648</f>
        <v/>
      </c>
    </row>
    <row r="3649">
      <c r="A3649" s="3" t="n">
        <v>43817</v>
      </c>
      <c r="B3649">
        <f>Prices!B3649</f>
        <v/>
      </c>
      <c r="C3649">
        <f>Prices!C3649</f>
        <v/>
      </c>
      <c r="D3649">
        <f>Prices!D3649</f>
        <v/>
      </c>
      <c r="E3649">
        <f>Prices!E3649</f>
        <v/>
      </c>
      <c r="F3649">
        <f>Prices!F3649</f>
        <v/>
      </c>
      <c r="G3649">
        <f>IF(AND(3647&gt;=16,TEXT(A3649,"yyyy-mm")&lt;&gt;TEXT(A3650,"yyyy-mm")),1,0)</f>
        <v/>
      </c>
      <c r="H3649">
        <f>IF(OR(H3648=1,G3649=1),1,0)</f>
        <v/>
      </c>
      <c r="I3649">
        <f>IF(H3648=0,1,SUMPRODUCT(J3648:N3648,B3649:F3649)+O3648*(1+0.00023125256064071564))</f>
        <v/>
      </c>
      <c r="J3649">
        <f>IF(G3649=1,0.2*R3649/B3649,J3648)</f>
        <v/>
      </c>
      <c r="K3649">
        <f>IF(G3649=1,0.2*R3649/C3649,K3648)</f>
        <v/>
      </c>
      <c r="L3649">
        <f>IF(G3649=1,0.2*R3649/D3649,L3648)</f>
        <v/>
      </c>
      <c r="M3649">
        <f>IF(G3649=1,0.2*R3649/E3649,M3648)</f>
        <v/>
      </c>
      <c r="N3649">
        <f>IF(G3649=1,0.2*R3649/F3649,N3648)</f>
        <v/>
      </c>
      <c r="O3649">
        <f>IF(G3649=1,R3649*(1-1.0),IF(H3648=0,1,O3648*(1+0.00023125256064071564)))</f>
        <v/>
      </c>
      <c r="P3649">
        <f>IF(G3649=1,IF(H3648=0,1,ABS(0.2-J3648*B3649/I3649)+ABS(0.2-K3648*C3649/I3649)+ABS(0.2-L3648*D3649/I3649)+ABS(0.2-M3648*E3649/I3649)+ABS(0.2-N3648*F3649/I3649)),0)</f>
        <v/>
      </c>
      <c r="Q3649">
        <f>P3649*0.0015</f>
        <v/>
      </c>
      <c r="R3649">
        <f>I3649*(1-Q3649)</f>
        <v/>
      </c>
      <c r="S3649">
        <f>R3649/R3648-1</f>
        <v/>
      </c>
      <c r="T3649">
        <f>MAX(T3648,R3649)</f>
        <v/>
      </c>
      <c r="U3649">
        <f>R3649/T3649-1</f>
        <v/>
      </c>
      <c r="V3649" t="n">
        <v>8.74237173090024</v>
      </c>
      <c r="W3649" s="5">
        <f>R3649-V3649</f>
        <v/>
      </c>
    </row>
    <row r="3650">
      <c r="A3650" s="3" t="n">
        <v>43818</v>
      </c>
      <c r="B3650">
        <f>Prices!B3650</f>
        <v/>
      </c>
      <c r="C3650">
        <f>Prices!C3650</f>
        <v/>
      </c>
      <c r="D3650">
        <f>Prices!D3650</f>
        <v/>
      </c>
      <c r="E3650">
        <f>Prices!E3650</f>
        <v/>
      </c>
      <c r="F3650">
        <f>Prices!F3650</f>
        <v/>
      </c>
      <c r="G3650">
        <f>IF(AND(3648&gt;=16,TEXT(A3650,"yyyy-mm")&lt;&gt;TEXT(A3651,"yyyy-mm")),1,0)</f>
        <v/>
      </c>
      <c r="H3650">
        <f>IF(OR(H3649=1,G3650=1),1,0)</f>
        <v/>
      </c>
      <c r="I3650">
        <f>IF(H3649=0,1,SUMPRODUCT(J3649:N3649,B3650:F3650)+O3649*(1+0.00023125256064071564))</f>
        <v/>
      </c>
      <c r="J3650">
        <f>IF(G3650=1,0.2*R3650/B3650,J3649)</f>
        <v/>
      </c>
      <c r="K3650">
        <f>IF(G3650=1,0.2*R3650/C3650,K3649)</f>
        <v/>
      </c>
      <c r="L3650">
        <f>IF(G3650=1,0.2*R3650/D3650,L3649)</f>
        <v/>
      </c>
      <c r="M3650">
        <f>IF(G3650=1,0.2*R3650/E3650,M3649)</f>
        <v/>
      </c>
      <c r="N3650">
        <f>IF(G3650=1,0.2*R3650/F3650,N3649)</f>
        <v/>
      </c>
      <c r="O3650">
        <f>IF(G3650=1,R3650*(1-1.0),IF(H3649=0,1,O3649*(1+0.00023125256064071564)))</f>
        <v/>
      </c>
      <c r="P3650">
        <f>IF(G3650=1,IF(H3649=0,1,ABS(0.2-J3649*B3650/I3650)+ABS(0.2-K3649*C3650/I3650)+ABS(0.2-L3649*D3650/I3650)+ABS(0.2-M3649*E3650/I3650)+ABS(0.2-N3649*F3650/I3650)),0)</f>
        <v/>
      </c>
      <c r="Q3650">
        <f>P3650*0.0015</f>
        <v/>
      </c>
      <c r="R3650">
        <f>I3650*(1-Q3650)</f>
        <v/>
      </c>
      <c r="S3650">
        <f>R3650/R3649-1</f>
        <v/>
      </c>
      <c r="T3650">
        <f>MAX(T3649,R3650)</f>
        <v/>
      </c>
      <c r="U3650">
        <f>R3650/T3650-1</f>
        <v/>
      </c>
      <c r="V3650" t="n">
        <v>8.761350066791088</v>
      </c>
      <c r="W3650" s="5">
        <f>R3650-V3650</f>
        <v/>
      </c>
    </row>
    <row r="3651">
      <c r="A3651" s="3" t="n">
        <v>43819</v>
      </c>
      <c r="B3651">
        <f>Prices!B3651</f>
        <v/>
      </c>
      <c r="C3651">
        <f>Prices!C3651</f>
        <v/>
      </c>
      <c r="D3651">
        <f>Prices!D3651</f>
        <v/>
      </c>
      <c r="E3651">
        <f>Prices!E3651</f>
        <v/>
      </c>
      <c r="F3651">
        <f>Prices!F3651</f>
        <v/>
      </c>
      <c r="G3651">
        <f>IF(AND(3649&gt;=16,TEXT(A3651,"yyyy-mm")&lt;&gt;TEXT(A3652,"yyyy-mm")),1,0)</f>
        <v/>
      </c>
      <c r="H3651">
        <f>IF(OR(H3650=1,G3651=1),1,0)</f>
        <v/>
      </c>
      <c r="I3651">
        <f>IF(H3650=0,1,SUMPRODUCT(J3650:N3650,B3651:F3651)+O3650*(1+0.00023125256064071564))</f>
        <v/>
      </c>
      <c r="J3651">
        <f>IF(G3651=1,0.2*R3651/B3651,J3650)</f>
        <v/>
      </c>
      <c r="K3651">
        <f>IF(G3651=1,0.2*R3651/C3651,K3650)</f>
        <v/>
      </c>
      <c r="L3651">
        <f>IF(G3651=1,0.2*R3651/D3651,L3650)</f>
        <v/>
      </c>
      <c r="M3651">
        <f>IF(G3651=1,0.2*R3651/E3651,M3650)</f>
        <v/>
      </c>
      <c r="N3651">
        <f>IF(G3651=1,0.2*R3651/F3651,N3650)</f>
        <v/>
      </c>
      <c r="O3651">
        <f>IF(G3651=1,R3651*(1-1.0),IF(H3650=0,1,O3650*(1+0.00023125256064071564)))</f>
        <v/>
      </c>
      <c r="P3651">
        <f>IF(G3651=1,IF(H3650=0,1,ABS(0.2-J3650*B3651/I3651)+ABS(0.2-K3650*C3651/I3651)+ABS(0.2-L3650*D3651/I3651)+ABS(0.2-M3650*E3651/I3651)+ABS(0.2-N3650*F3651/I3651)),0)</f>
        <v/>
      </c>
      <c r="Q3651">
        <f>P3651*0.0015</f>
        <v/>
      </c>
      <c r="R3651">
        <f>I3651*(1-Q3651)</f>
        <v/>
      </c>
      <c r="S3651">
        <f>R3651/R3650-1</f>
        <v/>
      </c>
      <c r="T3651">
        <f>MAX(T3650,R3651)</f>
        <v/>
      </c>
      <c r="U3651">
        <f>R3651/T3651-1</f>
        <v/>
      </c>
      <c r="V3651" t="n">
        <v>8.784489217410043</v>
      </c>
      <c r="W3651" s="5">
        <f>R3651-V3651</f>
        <v/>
      </c>
    </row>
    <row r="3652">
      <c r="A3652" s="3" t="n">
        <v>43822</v>
      </c>
      <c r="B3652">
        <f>Prices!B3652</f>
        <v/>
      </c>
      <c r="C3652">
        <f>Prices!C3652</f>
        <v/>
      </c>
      <c r="D3652">
        <f>Prices!D3652</f>
        <v/>
      </c>
      <c r="E3652">
        <f>Prices!E3652</f>
        <v/>
      </c>
      <c r="F3652">
        <f>Prices!F3652</f>
        <v/>
      </c>
      <c r="G3652">
        <f>IF(AND(3650&gt;=16,TEXT(A3652,"yyyy-mm")&lt;&gt;TEXT(A3653,"yyyy-mm")),1,0)</f>
        <v/>
      </c>
      <c r="H3652">
        <f>IF(OR(H3651=1,G3652=1),1,0)</f>
        <v/>
      </c>
      <c r="I3652">
        <f>IF(H3651=0,1,SUMPRODUCT(J3651:N3651,B3652:F3652)+O3651*(1+0.00023125256064071564))</f>
        <v/>
      </c>
      <c r="J3652">
        <f>IF(G3652=1,0.2*R3652/B3652,J3651)</f>
        <v/>
      </c>
      <c r="K3652">
        <f>IF(G3652=1,0.2*R3652/C3652,K3651)</f>
        <v/>
      </c>
      <c r="L3652">
        <f>IF(G3652=1,0.2*R3652/D3652,L3651)</f>
        <v/>
      </c>
      <c r="M3652">
        <f>IF(G3652=1,0.2*R3652/E3652,M3651)</f>
        <v/>
      </c>
      <c r="N3652">
        <f>IF(G3652=1,0.2*R3652/F3652,N3651)</f>
        <v/>
      </c>
      <c r="O3652">
        <f>IF(G3652=1,R3652*(1-1.0),IF(H3651=0,1,O3651*(1+0.00023125256064071564)))</f>
        <v/>
      </c>
      <c r="P3652">
        <f>IF(G3652=1,IF(H3651=0,1,ABS(0.2-J3651*B3652/I3652)+ABS(0.2-K3651*C3652/I3652)+ABS(0.2-L3651*D3652/I3652)+ABS(0.2-M3651*E3652/I3652)+ABS(0.2-N3651*F3652/I3652)),0)</f>
        <v/>
      </c>
      <c r="Q3652">
        <f>P3652*0.0015</f>
        <v/>
      </c>
      <c r="R3652">
        <f>I3652*(1-Q3652)</f>
        <v/>
      </c>
      <c r="S3652">
        <f>R3652/R3651-1</f>
        <v/>
      </c>
      <c r="T3652">
        <f>MAX(T3651,R3652)</f>
        <v/>
      </c>
      <c r="U3652">
        <f>R3652/T3652-1</f>
        <v/>
      </c>
      <c r="V3652" t="n">
        <v>8.776200525979544</v>
      </c>
      <c r="W3652" s="5">
        <f>R3652-V3652</f>
        <v/>
      </c>
    </row>
    <row r="3653">
      <c r="A3653" s="3" t="n">
        <v>43823</v>
      </c>
      <c r="B3653">
        <f>Prices!B3653</f>
        <v/>
      </c>
      <c r="C3653">
        <f>Prices!C3653</f>
        <v/>
      </c>
      <c r="D3653">
        <f>Prices!D3653</f>
        <v/>
      </c>
      <c r="E3653">
        <f>Prices!E3653</f>
        <v/>
      </c>
      <c r="F3653">
        <f>Prices!F3653</f>
        <v/>
      </c>
      <c r="G3653">
        <f>IF(AND(3651&gt;=16,TEXT(A3653,"yyyy-mm")&lt;&gt;TEXT(A3654,"yyyy-mm")),1,0)</f>
        <v/>
      </c>
      <c r="H3653">
        <f>IF(OR(H3652=1,G3653=1),1,0)</f>
        <v/>
      </c>
      <c r="I3653">
        <f>IF(H3652=0,1,SUMPRODUCT(J3652:N3652,B3653:F3653)+O3652*(1+0.00023125256064071564))</f>
        <v/>
      </c>
      <c r="J3653">
        <f>IF(G3653=1,0.2*R3653/B3653,J3652)</f>
        <v/>
      </c>
      <c r="K3653">
        <f>IF(G3653=1,0.2*R3653/C3653,K3652)</f>
        <v/>
      </c>
      <c r="L3653">
        <f>IF(G3653=1,0.2*R3653/D3653,L3652)</f>
        <v/>
      </c>
      <c r="M3653">
        <f>IF(G3653=1,0.2*R3653/E3653,M3652)</f>
        <v/>
      </c>
      <c r="N3653">
        <f>IF(G3653=1,0.2*R3653/F3653,N3652)</f>
        <v/>
      </c>
      <c r="O3653">
        <f>IF(G3653=1,R3653*(1-1.0),IF(H3652=0,1,O3652*(1+0.00023125256064071564)))</f>
        <v/>
      </c>
      <c r="P3653">
        <f>IF(G3653=1,IF(H3652=0,1,ABS(0.2-J3652*B3653/I3653)+ABS(0.2-K3652*C3653/I3653)+ABS(0.2-L3652*D3653/I3653)+ABS(0.2-M3652*E3653/I3653)+ABS(0.2-N3652*F3653/I3653)),0)</f>
        <v/>
      </c>
      <c r="Q3653">
        <f>P3653*0.0015</f>
        <v/>
      </c>
      <c r="R3653">
        <f>I3653*(1-Q3653)</f>
        <v/>
      </c>
      <c r="S3653">
        <f>R3653/R3652-1</f>
        <v/>
      </c>
      <c r="T3653">
        <f>MAX(T3652,R3653)</f>
        <v/>
      </c>
      <c r="U3653">
        <f>R3653/T3653-1</f>
        <v/>
      </c>
      <c r="V3653" t="n">
        <v>8.762903957700445</v>
      </c>
      <c r="W3653" s="5">
        <f>R3653-V3653</f>
        <v/>
      </c>
    </row>
    <row r="3654">
      <c r="A3654" s="3" t="n">
        <v>43825</v>
      </c>
      <c r="B3654">
        <f>Prices!B3654</f>
        <v/>
      </c>
      <c r="C3654">
        <f>Prices!C3654</f>
        <v/>
      </c>
      <c r="D3654">
        <f>Prices!D3654</f>
        <v/>
      </c>
      <c r="E3654">
        <f>Prices!E3654</f>
        <v/>
      </c>
      <c r="F3654">
        <f>Prices!F3654</f>
        <v/>
      </c>
      <c r="G3654">
        <f>IF(AND(3652&gt;=16,TEXT(A3654,"yyyy-mm")&lt;&gt;TEXT(A3655,"yyyy-mm")),1,0)</f>
        <v/>
      </c>
      <c r="H3654">
        <f>IF(OR(H3653=1,G3654=1),1,0)</f>
        <v/>
      </c>
      <c r="I3654">
        <f>IF(H3653=0,1,SUMPRODUCT(J3653:N3653,B3654:F3654)+O3653*(1+0.00023125256064071564))</f>
        <v/>
      </c>
      <c r="J3654">
        <f>IF(G3654=1,0.2*R3654/B3654,J3653)</f>
        <v/>
      </c>
      <c r="K3654">
        <f>IF(G3654=1,0.2*R3654/C3654,K3653)</f>
        <v/>
      </c>
      <c r="L3654">
        <f>IF(G3654=1,0.2*R3654/D3654,L3653)</f>
        <v/>
      </c>
      <c r="M3654">
        <f>IF(G3654=1,0.2*R3654/E3654,M3653)</f>
        <v/>
      </c>
      <c r="N3654">
        <f>IF(G3654=1,0.2*R3654/F3654,N3653)</f>
        <v/>
      </c>
      <c r="O3654">
        <f>IF(G3654=1,R3654*(1-1.0),IF(H3653=0,1,O3653*(1+0.00023125256064071564)))</f>
        <v/>
      </c>
      <c r="P3654">
        <f>IF(G3654=1,IF(H3653=0,1,ABS(0.2-J3653*B3654/I3654)+ABS(0.2-K3653*C3654/I3654)+ABS(0.2-L3653*D3654/I3654)+ABS(0.2-M3653*E3654/I3654)+ABS(0.2-N3653*F3654/I3654)),0)</f>
        <v/>
      </c>
      <c r="Q3654">
        <f>P3654*0.0015</f>
        <v/>
      </c>
      <c r="R3654">
        <f>I3654*(1-Q3654)</f>
        <v/>
      </c>
      <c r="S3654">
        <f>R3654/R3653-1</f>
        <v/>
      </c>
      <c r="T3654">
        <f>MAX(T3653,R3654)</f>
        <v/>
      </c>
      <c r="U3654">
        <f>R3654/T3654-1</f>
        <v/>
      </c>
      <c r="V3654" t="n">
        <v>8.745832307842894</v>
      </c>
      <c r="W3654" s="5">
        <f>R3654-V3654</f>
        <v/>
      </c>
    </row>
    <row r="3655">
      <c r="A3655" s="3" t="n">
        <v>43826</v>
      </c>
      <c r="B3655">
        <f>Prices!B3655</f>
        <v/>
      </c>
      <c r="C3655">
        <f>Prices!C3655</f>
        <v/>
      </c>
      <c r="D3655">
        <f>Prices!D3655</f>
        <v/>
      </c>
      <c r="E3655">
        <f>Prices!E3655</f>
        <v/>
      </c>
      <c r="F3655">
        <f>Prices!F3655</f>
        <v/>
      </c>
      <c r="G3655">
        <f>IF(AND(3653&gt;=16,TEXT(A3655,"yyyy-mm")&lt;&gt;TEXT(A3656,"yyyy-mm")),1,0)</f>
        <v/>
      </c>
      <c r="H3655">
        <f>IF(OR(H3654=1,G3655=1),1,0)</f>
        <v/>
      </c>
      <c r="I3655">
        <f>IF(H3654=0,1,SUMPRODUCT(J3654:N3654,B3655:F3655)+O3654*(1+0.00023125256064071564))</f>
        <v/>
      </c>
      <c r="J3655">
        <f>IF(G3655=1,0.2*R3655/B3655,J3654)</f>
        <v/>
      </c>
      <c r="K3655">
        <f>IF(G3655=1,0.2*R3655/C3655,K3654)</f>
        <v/>
      </c>
      <c r="L3655">
        <f>IF(G3655=1,0.2*R3655/D3655,L3654)</f>
        <v/>
      </c>
      <c r="M3655">
        <f>IF(G3655=1,0.2*R3655/E3655,M3654)</f>
        <v/>
      </c>
      <c r="N3655">
        <f>IF(G3655=1,0.2*R3655/F3655,N3654)</f>
        <v/>
      </c>
      <c r="O3655">
        <f>IF(G3655=1,R3655*(1-1.0),IF(H3654=0,1,O3654*(1+0.00023125256064071564)))</f>
        <v/>
      </c>
      <c r="P3655">
        <f>IF(G3655=1,IF(H3654=0,1,ABS(0.2-J3654*B3655/I3655)+ABS(0.2-K3654*C3655/I3655)+ABS(0.2-L3654*D3655/I3655)+ABS(0.2-M3654*E3655/I3655)+ABS(0.2-N3654*F3655/I3655)),0)</f>
        <v/>
      </c>
      <c r="Q3655">
        <f>P3655*0.0015</f>
        <v/>
      </c>
      <c r="R3655">
        <f>I3655*(1-Q3655)</f>
        <v/>
      </c>
      <c r="S3655">
        <f>R3655/R3654-1</f>
        <v/>
      </c>
      <c r="T3655">
        <f>MAX(T3654,R3655)</f>
        <v/>
      </c>
      <c r="U3655">
        <f>R3655/T3655-1</f>
        <v/>
      </c>
      <c r="V3655" t="n">
        <v>8.806447935992221</v>
      </c>
      <c r="W3655" s="5">
        <f>R3655-V3655</f>
        <v/>
      </c>
    </row>
    <row r="3656">
      <c r="A3656" s="3" t="n">
        <v>43829</v>
      </c>
      <c r="B3656">
        <f>Prices!B3656</f>
        <v/>
      </c>
      <c r="C3656">
        <f>Prices!C3656</f>
        <v/>
      </c>
      <c r="D3656">
        <f>Prices!D3656</f>
        <v/>
      </c>
      <c r="E3656">
        <f>Prices!E3656</f>
        <v/>
      </c>
      <c r="F3656">
        <f>Prices!F3656</f>
        <v/>
      </c>
      <c r="G3656">
        <f>IF(AND(3654&gt;=16,TEXT(A3656,"yyyy-mm")&lt;&gt;TEXT(A3657,"yyyy-mm")),1,0)</f>
        <v/>
      </c>
      <c r="H3656">
        <f>IF(OR(H3655=1,G3656=1),1,0)</f>
        <v/>
      </c>
      <c r="I3656">
        <f>IF(H3655=0,1,SUMPRODUCT(J3655:N3655,B3656:F3656)+O3655*(1+0.00023125256064071564))</f>
        <v/>
      </c>
      <c r="J3656">
        <f>IF(G3656=1,0.2*R3656/B3656,J3655)</f>
        <v/>
      </c>
      <c r="K3656">
        <f>IF(G3656=1,0.2*R3656/C3656,K3655)</f>
        <v/>
      </c>
      <c r="L3656">
        <f>IF(G3656=1,0.2*R3656/D3656,L3655)</f>
        <v/>
      </c>
      <c r="M3656">
        <f>IF(G3656=1,0.2*R3656/E3656,M3655)</f>
        <v/>
      </c>
      <c r="N3656">
        <f>IF(G3656=1,0.2*R3656/F3656,N3655)</f>
        <v/>
      </c>
      <c r="O3656">
        <f>IF(G3656=1,R3656*(1-1.0),IF(H3655=0,1,O3655*(1+0.00023125256064071564)))</f>
        <v/>
      </c>
      <c r="P3656">
        <f>IF(G3656=1,IF(H3655=0,1,ABS(0.2-J3655*B3656/I3656)+ABS(0.2-K3655*C3656/I3656)+ABS(0.2-L3655*D3656/I3656)+ABS(0.2-M3655*E3656/I3656)+ABS(0.2-N3655*F3656/I3656)),0)</f>
        <v/>
      </c>
      <c r="Q3656">
        <f>P3656*0.0015</f>
        <v/>
      </c>
      <c r="R3656">
        <f>I3656*(1-Q3656)</f>
        <v/>
      </c>
      <c r="S3656">
        <f>R3656/R3655-1</f>
        <v/>
      </c>
      <c r="T3656">
        <f>MAX(T3655,R3656)</f>
        <v/>
      </c>
      <c r="U3656">
        <f>R3656/T3656-1</f>
        <v/>
      </c>
      <c r="V3656" t="n">
        <v>8.832746900865081</v>
      </c>
      <c r="W3656" s="5">
        <f>R3656-V3656</f>
        <v/>
      </c>
    </row>
    <row r="3657">
      <c r="A3657" s="3" t="n">
        <v>43830</v>
      </c>
      <c r="B3657">
        <f>Prices!B3657</f>
        <v/>
      </c>
      <c r="C3657">
        <f>Prices!C3657</f>
        <v/>
      </c>
      <c r="D3657">
        <f>Prices!D3657</f>
        <v/>
      </c>
      <c r="E3657">
        <f>Prices!E3657</f>
        <v/>
      </c>
      <c r="F3657">
        <f>Prices!F3657</f>
        <v/>
      </c>
      <c r="G3657">
        <f>IF(AND(3655&gt;=16,TEXT(A3657,"yyyy-mm")&lt;&gt;TEXT(A3658,"yyyy-mm")),1,0)</f>
        <v/>
      </c>
      <c r="H3657">
        <f>IF(OR(H3656=1,G3657=1),1,0)</f>
        <v/>
      </c>
      <c r="I3657">
        <f>IF(H3656=0,1,SUMPRODUCT(J3656:N3656,B3657:F3657)+O3656*(1+0.00023125256064071564))</f>
        <v/>
      </c>
      <c r="J3657">
        <f>IF(G3657=1,0.2*R3657/B3657,J3656)</f>
        <v/>
      </c>
      <c r="K3657">
        <f>IF(G3657=1,0.2*R3657/C3657,K3656)</f>
        <v/>
      </c>
      <c r="L3657">
        <f>IF(G3657=1,0.2*R3657/D3657,L3656)</f>
        <v/>
      </c>
      <c r="M3657">
        <f>IF(G3657=1,0.2*R3657/E3657,M3656)</f>
        <v/>
      </c>
      <c r="N3657">
        <f>IF(G3657=1,0.2*R3657/F3657,N3656)</f>
        <v/>
      </c>
      <c r="O3657">
        <f>IF(G3657=1,R3657*(1-1.0),IF(H3656=0,1,O3656*(1+0.00023125256064071564)))</f>
        <v/>
      </c>
      <c r="P3657">
        <f>IF(G3657=1,IF(H3656=0,1,ABS(0.2-J3656*B3657/I3657)+ABS(0.2-K3656*C3657/I3657)+ABS(0.2-L3656*D3657/I3657)+ABS(0.2-M3656*E3657/I3657)+ABS(0.2-N3656*F3657/I3657)),0)</f>
        <v/>
      </c>
      <c r="Q3657">
        <f>P3657*0.0015</f>
        <v/>
      </c>
      <c r="R3657">
        <f>I3657*(1-Q3657)</f>
        <v/>
      </c>
      <c r="S3657">
        <f>R3657/R3656-1</f>
        <v/>
      </c>
      <c r="T3657">
        <f>MAX(T3656,R3657)</f>
        <v/>
      </c>
      <c r="U3657">
        <f>R3657/T3657-1</f>
        <v/>
      </c>
      <c r="V3657" t="n">
        <v>8.819521844070566</v>
      </c>
      <c r="W3657" s="5">
        <f>R3657-V3657</f>
        <v/>
      </c>
    </row>
    <row r="3658">
      <c r="A3658" s="3" t="n">
        <v>43831</v>
      </c>
      <c r="B3658">
        <f>Prices!B3658</f>
        <v/>
      </c>
      <c r="C3658">
        <f>Prices!C3658</f>
        <v/>
      </c>
      <c r="D3658">
        <f>Prices!D3658</f>
        <v/>
      </c>
      <c r="E3658">
        <f>Prices!E3658</f>
        <v/>
      </c>
      <c r="F3658">
        <f>Prices!F3658</f>
        <v/>
      </c>
      <c r="G3658">
        <f>IF(AND(3656&gt;=16,TEXT(A3658,"yyyy-mm")&lt;&gt;TEXT(A3659,"yyyy-mm")),1,0)</f>
        <v/>
      </c>
      <c r="H3658">
        <f>IF(OR(H3657=1,G3658=1),1,0)</f>
        <v/>
      </c>
      <c r="I3658">
        <f>IF(H3657=0,1,SUMPRODUCT(J3657:N3657,B3658:F3658)+O3657*(1+0.00023125256064071564))</f>
        <v/>
      </c>
      <c r="J3658">
        <f>IF(G3658=1,0.2*R3658/B3658,J3657)</f>
        <v/>
      </c>
      <c r="K3658">
        <f>IF(G3658=1,0.2*R3658/C3658,K3657)</f>
        <v/>
      </c>
      <c r="L3658">
        <f>IF(G3658=1,0.2*R3658/D3658,L3657)</f>
        <v/>
      </c>
      <c r="M3658">
        <f>IF(G3658=1,0.2*R3658/E3658,M3657)</f>
        <v/>
      </c>
      <c r="N3658">
        <f>IF(G3658=1,0.2*R3658/F3658,N3657)</f>
        <v/>
      </c>
      <c r="O3658">
        <f>IF(G3658=1,R3658*(1-1.0),IF(H3657=0,1,O3657*(1+0.00023125256064071564)))</f>
        <v/>
      </c>
      <c r="P3658">
        <f>IF(G3658=1,IF(H3657=0,1,ABS(0.2-J3657*B3658/I3658)+ABS(0.2-K3657*C3658/I3658)+ABS(0.2-L3657*D3658/I3658)+ABS(0.2-M3657*E3658/I3658)+ABS(0.2-N3657*F3658/I3658)),0)</f>
        <v/>
      </c>
      <c r="Q3658">
        <f>P3658*0.0015</f>
        <v/>
      </c>
      <c r="R3658">
        <f>I3658*(1-Q3658)</f>
        <v/>
      </c>
      <c r="S3658">
        <f>R3658/R3657-1</f>
        <v/>
      </c>
      <c r="T3658">
        <f>MAX(T3657,R3658)</f>
        <v/>
      </c>
      <c r="U3658">
        <f>R3658/T3658-1</f>
        <v/>
      </c>
      <c r="V3658" t="n">
        <v>8.854356152007304</v>
      </c>
      <c r="W3658" s="5">
        <f>R3658-V3658</f>
        <v/>
      </c>
    </row>
    <row r="3659">
      <c r="A3659" s="3" t="n">
        <v>43832</v>
      </c>
      <c r="B3659">
        <f>Prices!B3659</f>
        <v/>
      </c>
      <c r="C3659">
        <f>Prices!C3659</f>
        <v/>
      </c>
      <c r="D3659">
        <f>Prices!D3659</f>
        <v/>
      </c>
      <c r="E3659">
        <f>Prices!E3659</f>
        <v/>
      </c>
      <c r="F3659">
        <f>Prices!F3659</f>
        <v/>
      </c>
      <c r="G3659">
        <f>IF(AND(3657&gt;=16,TEXT(A3659,"yyyy-mm")&lt;&gt;TEXT(A3660,"yyyy-mm")),1,0)</f>
        <v/>
      </c>
      <c r="H3659">
        <f>IF(OR(H3658=1,G3659=1),1,0)</f>
        <v/>
      </c>
      <c r="I3659">
        <f>IF(H3658=0,1,SUMPRODUCT(J3658:N3658,B3659:F3659)+O3658*(1+0.00023125256064071564))</f>
        <v/>
      </c>
      <c r="J3659">
        <f>IF(G3659=1,0.2*R3659/B3659,J3658)</f>
        <v/>
      </c>
      <c r="K3659">
        <f>IF(G3659=1,0.2*R3659/C3659,K3658)</f>
        <v/>
      </c>
      <c r="L3659">
        <f>IF(G3659=1,0.2*R3659/D3659,L3658)</f>
        <v/>
      </c>
      <c r="M3659">
        <f>IF(G3659=1,0.2*R3659/E3659,M3658)</f>
        <v/>
      </c>
      <c r="N3659">
        <f>IF(G3659=1,0.2*R3659/F3659,N3658)</f>
        <v/>
      </c>
      <c r="O3659">
        <f>IF(G3659=1,R3659*(1-1.0),IF(H3658=0,1,O3658*(1+0.00023125256064071564)))</f>
        <v/>
      </c>
      <c r="P3659">
        <f>IF(G3659=1,IF(H3658=0,1,ABS(0.2-J3658*B3659/I3659)+ABS(0.2-K3658*C3659/I3659)+ABS(0.2-L3658*D3659/I3659)+ABS(0.2-M3658*E3659/I3659)+ABS(0.2-N3658*F3659/I3659)),0)</f>
        <v/>
      </c>
      <c r="Q3659">
        <f>P3659*0.0015</f>
        <v/>
      </c>
      <c r="R3659">
        <f>I3659*(1-Q3659)</f>
        <v/>
      </c>
      <c r="S3659">
        <f>R3659/R3658-1</f>
        <v/>
      </c>
      <c r="T3659">
        <f>MAX(T3658,R3659)</f>
        <v/>
      </c>
      <c r="U3659">
        <f>R3659/T3659-1</f>
        <v/>
      </c>
      <c r="V3659" t="n">
        <v>8.909960619999284</v>
      </c>
      <c r="W3659" s="5">
        <f>R3659-V3659</f>
        <v/>
      </c>
    </row>
    <row r="3660">
      <c r="A3660" s="3" t="n">
        <v>43833</v>
      </c>
      <c r="B3660">
        <f>Prices!B3660</f>
        <v/>
      </c>
      <c r="C3660">
        <f>Prices!C3660</f>
        <v/>
      </c>
      <c r="D3660">
        <f>Prices!D3660</f>
        <v/>
      </c>
      <c r="E3660">
        <f>Prices!E3660</f>
        <v/>
      </c>
      <c r="F3660">
        <f>Prices!F3660</f>
        <v/>
      </c>
      <c r="G3660">
        <f>IF(AND(3658&gt;=16,TEXT(A3660,"yyyy-mm")&lt;&gt;TEXT(A3661,"yyyy-mm")),1,0)</f>
        <v/>
      </c>
      <c r="H3660">
        <f>IF(OR(H3659=1,G3660=1),1,0)</f>
        <v/>
      </c>
      <c r="I3660">
        <f>IF(H3659=0,1,SUMPRODUCT(J3659:N3659,B3660:F3660)+O3659*(1+0.00023125256064071564))</f>
        <v/>
      </c>
      <c r="J3660">
        <f>IF(G3660=1,0.2*R3660/B3660,J3659)</f>
        <v/>
      </c>
      <c r="K3660">
        <f>IF(G3660=1,0.2*R3660/C3660,K3659)</f>
        <v/>
      </c>
      <c r="L3660">
        <f>IF(G3660=1,0.2*R3660/D3660,L3659)</f>
        <v/>
      </c>
      <c r="M3660">
        <f>IF(G3660=1,0.2*R3660/E3660,M3659)</f>
        <v/>
      </c>
      <c r="N3660">
        <f>IF(G3660=1,0.2*R3660/F3660,N3659)</f>
        <v/>
      </c>
      <c r="O3660">
        <f>IF(G3660=1,R3660*(1-1.0),IF(H3659=0,1,O3659*(1+0.00023125256064071564)))</f>
        <v/>
      </c>
      <c r="P3660">
        <f>IF(G3660=1,IF(H3659=0,1,ABS(0.2-J3659*B3660/I3660)+ABS(0.2-K3659*C3660/I3660)+ABS(0.2-L3659*D3660/I3660)+ABS(0.2-M3659*E3660/I3660)+ABS(0.2-N3659*F3660/I3660)),0)</f>
        <v/>
      </c>
      <c r="Q3660">
        <f>P3660*0.0015</f>
        <v/>
      </c>
      <c r="R3660">
        <f>I3660*(1-Q3660)</f>
        <v/>
      </c>
      <c r="S3660">
        <f>R3660/R3659-1</f>
        <v/>
      </c>
      <c r="T3660">
        <f>MAX(T3659,R3660)</f>
        <v/>
      </c>
      <c r="U3660">
        <f>R3660/T3660-1</f>
        <v/>
      </c>
      <c r="V3660" t="n">
        <v>8.89939393785599</v>
      </c>
      <c r="W3660" s="5">
        <f>R3660-V3660</f>
        <v/>
      </c>
    </row>
    <row r="3661">
      <c r="A3661" s="3" t="n">
        <v>43836</v>
      </c>
      <c r="B3661">
        <f>Prices!B3661</f>
        <v/>
      </c>
      <c r="C3661">
        <f>Prices!C3661</f>
        <v/>
      </c>
      <c r="D3661">
        <f>Prices!D3661</f>
        <v/>
      </c>
      <c r="E3661">
        <f>Prices!E3661</f>
        <v/>
      </c>
      <c r="F3661">
        <f>Prices!F3661</f>
        <v/>
      </c>
      <c r="G3661">
        <f>IF(AND(3659&gt;=16,TEXT(A3661,"yyyy-mm")&lt;&gt;TEXT(A3662,"yyyy-mm")),1,0)</f>
        <v/>
      </c>
      <c r="H3661">
        <f>IF(OR(H3660=1,G3661=1),1,0)</f>
        <v/>
      </c>
      <c r="I3661">
        <f>IF(H3660=0,1,SUMPRODUCT(J3660:N3660,B3661:F3661)+O3660*(1+0.00023125256064071564))</f>
        <v/>
      </c>
      <c r="J3661">
        <f>IF(G3661=1,0.2*R3661/B3661,J3660)</f>
        <v/>
      </c>
      <c r="K3661">
        <f>IF(G3661=1,0.2*R3661/C3661,K3660)</f>
        <v/>
      </c>
      <c r="L3661">
        <f>IF(G3661=1,0.2*R3661/D3661,L3660)</f>
        <v/>
      </c>
      <c r="M3661">
        <f>IF(G3661=1,0.2*R3661/E3661,M3660)</f>
        <v/>
      </c>
      <c r="N3661">
        <f>IF(G3661=1,0.2*R3661/F3661,N3660)</f>
        <v/>
      </c>
      <c r="O3661">
        <f>IF(G3661=1,R3661*(1-1.0),IF(H3660=0,1,O3660*(1+0.00023125256064071564)))</f>
        <v/>
      </c>
      <c r="P3661">
        <f>IF(G3661=1,IF(H3660=0,1,ABS(0.2-J3660*B3661/I3661)+ABS(0.2-K3660*C3661/I3661)+ABS(0.2-L3660*D3661/I3661)+ABS(0.2-M3660*E3661/I3661)+ABS(0.2-N3660*F3661/I3661)),0)</f>
        <v/>
      </c>
      <c r="Q3661">
        <f>P3661*0.0015</f>
        <v/>
      </c>
      <c r="R3661">
        <f>I3661*(1-Q3661)</f>
        <v/>
      </c>
      <c r="S3661">
        <f>R3661/R3660-1</f>
        <v/>
      </c>
      <c r="T3661">
        <f>MAX(T3660,R3661)</f>
        <v/>
      </c>
      <c r="U3661">
        <f>R3661/T3661-1</f>
        <v/>
      </c>
      <c r="V3661" t="n">
        <v>8.728975693780427</v>
      </c>
      <c r="W3661" s="5">
        <f>R3661-V3661</f>
        <v/>
      </c>
    </row>
    <row r="3662">
      <c r="A3662" s="3" t="n">
        <v>43837</v>
      </c>
      <c r="B3662">
        <f>Prices!B3662</f>
        <v/>
      </c>
      <c r="C3662">
        <f>Prices!C3662</f>
        <v/>
      </c>
      <c r="D3662">
        <f>Prices!D3662</f>
        <v/>
      </c>
      <c r="E3662">
        <f>Prices!E3662</f>
        <v/>
      </c>
      <c r="F3662">
        <f>Prices!F3662</f>
        <v/>
      </c>
      <c r="G3662">
        <f>IF(AND(3660&gt;=16,TEXT(A3662,"yyyy-mm")&lt;&gt;TEXT(A3663,"yyyy-mm")),1,0)</f>
        <v/>
      </c>
      <c r="H3662">
        <f>IF(OR(H3661=1,G3662=1),1,0)</f>
        <v/>
      </c>
      <c r="I3662">
        <f>IF(H3661=0,1,SUMPRODUCT(J3661:N3661,B3662:F3662)+O3661*(1+0.00023125256064071564))</f>
        <v/>
      </c>
      <c r="J3662">
        <f>IF(G3662=1,0.2*R3662/B3662,J3661)</f>
        <v/>
      </c>
      <c r="K3662">
        <f>IF(G3662=1,0.2*R3662/C3662,K3661)</f>
        <v/>
      </c>
      <c r="L3662">
        <f>IF(G3662=1,0.2*R3662/D3662,L3661)</f>
        <v/>
      </c>
      <c r="M3662">
        <f>IF(G3662=1,0.2*R3662/E3662,M3661)</f>
        <v/>
      </c>
      <c r="N3662">
        <f>IF(G3662=1,0.2*R3662/F3662,N3661)</f>
        <v/>
      </c>
      <c r="O3662">
        <f>IF(G3662=1,R3662*(1-1.0),IF(H3661=0,1,O3661*(1+0.00023125256064071564)))</f>
        <v/>
      </c>
      <c r="P3662">
        <f>IF(G3662=1,IF(H3661=0,1,ABS(0.2-J3661*B3662/I3662)+ABS(0.2-K3661*C3662/I3662)+ABS(0.2-L3661*D3662/I3662)+ABS(0.2-M3661*E3662/I3662)+ABS(0.2-N3661*F3662/I3662)),0)</f>
        <v/>
      </c>
      <c r="Q3662">
        <f>P3662*0.0015</f>
        <v/>
      </c>
      <c r="R3662">
        <f>I3662*(1-Q3662)</f>
        <v/>
      </c>
      <c r="S3662">
        <f>R3662/R3661-1</f>
        <v/>
      </c>
      <c r="T3662">
        <f>MAX(T3661,R3662)</f>
        <v/>
      </c>
      <c r="U3662">
        <f>R3662/T3662-1</f>
        <v/>
      </c>
      <c r="V3662" t="n">
        <v>8.786225023555801</v>
      </c>
      <c r="W3662" s="5">
        <f>R3662-V3662</f>
        <v/>
      </c>
    </row>
    <row r="3663">
      <c r="A3663" s="3" t="n">
        <v>43838</v>
      </c>
      <c r="B3663">
        <f>Prices!B3663</f>
        <v/>
      </c>
      <c r="C3663">
        <f>Prices!C3663</f>
        <v/>
      </c>
      <c r="D3663">
        <f>Prices!D3663</f>
        <v/>
      </c>
      <c r="E3663">
        <f>Prices!E3663</f>
        <v/>
      </c>
      <c r="F3663">
        <f>Prices!F3663</f>
        <v/>
      </c>
      <c r="G3663">
        <f>IF(AND(3661&gt;=16,TEXT(A3663,"yyyy-mm")&lt;&gt;TEXT(A3664,"yyyy-mm")),1,0)</f>
        <v/>
      </c>
      <c r="H3663">
        <f>IF(OR(H3662=1,G3663=1),1,0)</f>
        <v/>
      </c>
      <c r="I3663">
        <f>IF(H3662=0,1,SUMPRODUCT(J3662:N3662,B3663:F3663)+O3662*(1+0.00023125256064071564))</f>
        <v/>
      </c>
      <c r="J3663">
        <f>IF(G3663=1,0.2*R3663/B3663,J3662)</f>
        <v/>
      </c>
      <c r="K3663">
        <f>IF(G3663=1,0.2*R3663/C3663,K3662)</f>
        <v/>
      </c>
      <c r="L3663">
        <f>IF(G3663=1,0.2*R3663/D3663,L3662)</f>
        <v/>
      </c>
      <c r="M3663">
        <f>IF(G3663=1,0.2*R3663/E3663,M3662)</f>
        <v/>
      </c>
      <c r="N3663">
        <f>IF(G3663=1,0.2*R3663/F3663,N3662)</f>
        <v/>
      </c>
      <c r="O3663">
        <f>IF(G3663=1,R3663*(1-1.0),IF(H3662=0,1,O3662*(1+0.00023125256064071564)))</f>
        <v/>
      </c>
      <c r="P3663">
        <f>IF(G3663=1,IF(H3662=0,1,ABS(0.2-J3662*B3663/I3663)+ABS(0.2-K3662*C3663/I3663)+ABS(0.2-L3662*D3663/I3663)+ABS(0.2-M3662*E3663/I3663)+ABS(0.2-N3662*F3663/I3663)),0)</f>
        <v/>
      </c>
      <c r="Q3663">
        <f>P3663*0.0015</f>
        <v/>
      </c>
      <c r="R3663">
        <f>I3663*(1-Q3663)</f>
        <v/>
      </c>
      <c r="S3663">
        <f>R3663/R3662-1</f>
        <v/>
      </c>
      <c r="T3663">
        <f>MAX(T3662,R3663)</f>
        <v/>
      </c>
      <c r="U3663">
        <f>R3663/T3663-1</f>
        <v/>
      </c>
      <c r="V3663" t="n">
        <v>8.787775773515527</v>
      </c>
      <c r="W3663" s="5">
        <f>R3663-V3663</f>
        <v/>
      </c>
    </row>
    <row r="3664">
      <c r="A3664" s="3" t="n">
        <v>43839</v>
      </c>
      <c r="B3664">
        <f>Prices!B3664</f>
        <v/>
      </c>
      <c r="C3664">
        <f>Prices!C3664</f>
        <v/>
      </c>
      <c r="D3664">
        <f>Prices!D3664</f>
        <v/>
      </c>
      <c r="E3664">
        <f>Prices!E3664</f>
        <v/>
      </c>
      <c r="F3664">
        <f>Prices!F3664</f>
        <v/>
      </c>
      <c r="G3664">
        <f>IF(AND(3662&gt;=16,TEXT(A3664,"yyyy-mm")&lt;&gt;TEXT(A3665,"yyyy-mm")),1,0)</f>
        <v/>
      </c>
      <c r="H3664">
        <f>IF(OR(H3663=1,G3664=1),1,0)</f>
        <v/>
      </c>
      <c r="I3664">
        <f>IF(H3663=0,1,SUMPRODUCT(J3663:N3663,B3664:F3664)+O3663*(1+0.00023125256064071564))</f>
        <v/>
      </c>
      <c r="J3664">
        <f>IF(G3664=1,0.2*R3664/B3664,J3663)</f>
        <v/>
      </c>
      <c r="K3664">
        <f>IF(G3664=1,0.2*R3664/C3664,K3663)</f>
        <v/>
      </c>
      <c r="L3664">
        <f>IF(G3664=1,0.2*R3664/D3664,L3663)</f>
        <v/>
      </c>
      <c r="M3664">
        <f>IF(G3664=1,0.2*R3664/E3664,M3663)</f>
        <v/>
      </c>
      <c r="N3664">
        <f>IF(G3664=1,0.2*R3664/F3664,N3663)</f>
        <v/>
      </c>
      <c r="O3664">
        <f>IF(G3664=1,R3664*(1-1.0),IF(H3663=0,1,O3663*(1+0.00023125256064071564)))</f>
        <v/>
      </c>
      <c r="P3664">
        <f>IF(G3664=1,IF(H3663=0,1,ABS(0.2-J3663*B3664/I3664)+ABS(0.2-K3663*C3664/I3664)+ABS(0.2-L3663*D3664/I3664)+ABS(0.2-M3663*E3664/I3664)+ABS(0.2-N3663*F3664/I3664)),0)</f>
        <v/>
      </c>
      <c r="Q3664">
        <f>P3664*0.0015</f>
        <v/>
      </c>
      <c r="R3664">
        <f>I3664*(1-Q3664)</f>
        <v/>
      </c>
      <c r="S3664">
        <f>R3664/R3663-1</f>
        <v/>
      </c>
      <c r="T3664">
        <f>MAX(T3663,R3664)</f>
        <v/>
      </c>
      <c r="U3664">
        <f>R3664/T3664-1</f>
        <v/>
      </c>
      <c r="V3664" t="n">
        <v>8.91075436002388</v>
      </c>
      <c r="W3664" s="5">
        <f>R3664-V3664</f>
        <v/>
      </c>
    </row>
    <row r="3665">
      <c r="A3665" s="3" t="n">
        <v>43840</v>
      </c>
      <c r="B3665">
        <f>Prices!B3665</f>
        <v/>
      </c>
      <c r="C3665">
        <f>Prices!C3665</f>
        <v/>
      </c>
      <c r="D3665">
        <f>Prices!D3665</f>
        <v/>
      </c>
      <c r="E3665">
        <f>Prices!E3665</f>
        <v/>
      </c>
      <c r="F3665">
        <f>Prices!F3665</f>
        <v/>
      </c>
      <c r="G3665">
        <f>IF(AND(3663&gt;=16,TEXT(A3665,"yyyy-mm")&lt;&gt;TEXT(A3666,"yyyy-mm")),1,0)</f>
        <v/>
      </c>
      <c r="H3665">
        <f>IF(OR(H3664=1,G3665=1),1,0)</f>
        <v/>
      </c>
      <c r="I3665">
        <f>IF(H3664=0,1,SUMPRODUCT(J3664:N3664,B3665:F3665)+O3664*(1+0.00023125256064071564))</f>
        <v/>
      </c>
      <c r="J3665">
        <f>IF(G3665=1,0.2*R3665/B3665,J3664)</f>
        <v/>
      </c>
      <c r="K3665">
        <f>IF(G3665=1,0.2*R3665/C3665,K3664)</f>
        <v/>
      </c>
      <c r="L3665">
        <f>IF(G3665=1,0.2*R3665/D3665,L3664)</f>
        <v/>
      </c>
      <c r="M3665">
        <f>IF(G3665=1,0.2*R3665/E3665,M3664)</f>
        <v/>
      </c>
      <c r="N3665">
        <f>IF(G3665=1,0.2*R3665/F3665,N3664)</f>
        <v/>
      </c>
      <c r="O3665">
        <f>IF(G3665=1,R3665*(1-1.0),IF(H3664=0,1,O3664*(1+0.00023125256064071564)))</f>
        <v/>
      </c>
      <c r="P3665">
        <f>IF(G3665=1,IF(H3664=0,1,ABS(0.2-J3664*B3665/I3665)+ABS(0.2-K3664*C3665/I3665)+ABS(0.2-L3664*D3665/I3665)+ABS(0.2-M3664*E3665/I3665)+ABS(0.2-N3664*F3665/I3665)),0)</f>
        <v/>
      </c>
      <c r="Q3665">
        <f>P3665*0.0015</f>
        <v/>
      </c>
      <c r="R3665">
        <f>I3665*(1-Q3665)</f>
        <v/>
      </c>
      <c r="S3665">
        <f>R3665/R3664-1</f>
        <v/>
      </c>
      <c r="T3665">
        <f>MAX(T3664,R3665)</f>
        <v/>
      </c>
      <c r="U3665">
        <f>R3665/T3665-1</f>
        <v/>
      </c>
      <c r="V3665" t="n">
        <v>8.931125767779987</v>
      </c>
      <c r="W3665" s="5">
        <f>R3665-V3665</f>
        <v/>
      </c>
    </row>
    <row r="3666">
      <c r="A3666" s="3" t="n">
        <v>43843</v>
      </c>
      <c r="B3666">
        <f>Prices!B3666</f>
        <v/>
      </c>
      <c r="C3666">
        <f>Prices!C3666</f>
        <v/>
      </c>
      <c r="D3666">
        <f>Prices!D3666</f>
        <v/>
      </c>
      <c r="E3666">
        <f>Prices!E3666</f>
        <v/>
      </c>
      <c r="F3666">
        <f>Prices!F3666</f>
        <v/>
      </c>
      <c r="G3666">
        <f>IF(AND(3664&gt;=16,TEXT(A3666,"yyyy-mm")&lt;&gt;TEXT(A3667,"yyyy-mm")),1,0)</f>
        <v/>
      </c>
      <c r="H3666">
        <f>IF(OR(H3665=1,G3666=1),1,0)</f>
        <v/>
      </c>
      <c r="I3666">
        <f>IF(H3665=0,1,SUMPRODUCT(J3665:N3665,B3666:F3666)+O3665*(1+0.00023125256064071564))</f>
        <v/>
      </c>
      <c r="J3666">
        <f>IF(G3666=1,0.2*R3666/B3666,J3665)</f>
        <v/>
      </c>
      <c r="K3666">
        <f>IF(G3666=1,0.2*R3666/C3666,K3665)</f>
        <v/>
      </c>
      <c r="L3666">
        <f>IF(G3666=1,0.2*R3666/D3666,L3665)</f>
        <v/>
      </c>
      <c r="M3666">
        <f>IF(G3666=1,0.2*R3666/E3666,M3665)</f>
        <v/>
      </c>
      <c r="N3666">
        <f>IF(G3666=1,0.2*R3666/F3666,N3665)</f>
        <v/>
      </c>
      <c r="O3666">
        <f>IF(G3666=1,R3666*(1-1.0),IF(H3665=0,1,O3665*(1+0.00023125256064071564)))</f>
        <v/>
      </c>
      <c r="P3666">
        <f>IF(G3666=1,IF(H3665=0,1,ABS(0.2-J3665*B3666/I3666)+ABS(0.2-K3665*C3666/I3666)+ABS(0.2-L3665*D3666/I3666)+ABS(0.2-M3665*E3666/I3666)+ABS(0.2-N3665*F3666/I3666)),0)</f>
        <v/>
      </c>
      <c r="Q3666">
        <f>P3666*0.0015</f>
        <v/>
      </c>
      <c r="R3666">
        <f>I3666*(1-Q3666)</f>
        <v/>
      </c>
      <c r="S3666">
        <f>R3666/R3665-1</f>
        <v/>
      </c>
      <c r="T3666">
        <f>MAX(T3665,R3666)</f>
        <v/>
      </c>
      <c r="U3666">
        <f>R3666/T3666-1</f>
        <v/>
      </c>
      <c r="V3666" t="n">
        <v>8.984473802154934</v>
      </c>
      <c r="W3666" s="5">
        <f>R3666-V3666</f>
        <v/>
      </c>
    </row>
    <row r="3667">
      <c r="A3667" s="3" t="n">
        <v>43844</v>
      </c>
      <c r="B3667">
        <f>Prices!B3667</f>
        <v/>
      </c>
      <c r="C3667">
        <f>Prices!C3667</f>
        <v/>
      </c>
      <c r="D3667">
        <f>Prices!D3667</f>
        <v/>
      </c>
      <c r="E3667">
        <f>Prices!E3667</f>
        <v/>
      </c>
      <c r="F3667">
        <f>Prices!F3667</f>
        <v/>
      </c>
      <c r="G3667">
        <f>IF(AND(3665&gt;=16,TEXT(A3667,"yyyy-mm")&lt;&gt;TEXT(A3668,"yyyy-mm")),1,0)</f>
        <v/>
      </c>
      <c r="H3667">
        <f>IF(OR(H3666=1,G3667=1),1,0)</f>
        <v/>
      </c>
      <c r="I3667">
        <f>IF(H3666=0,1,SUMPRODUCT(J3666:N3666,B3667:F3667)+O3666*(1+0.00023125256064071564))</f>
        <v/>
      </c>
      <c r="J3667">
        <f>IF(G3667=1,0.2*R3667/B3667,J3666)</f>
        <v/>
      </c>
      <c r="K3667">
        <f>IF(G3667=1,0.2*R3667/C3667,K3666)</f>
        <v/>
      </c>
      <c r="L3667">
        <f>IF(G3667=1,0.2*R3667/D3667,L3666)</f>
        <v/>
      </c>
      <c r="M3667">
        <f>IF(G3667=1,0.2*R3667/E3667,M3666)</f>
        <v/>
      </c>
      <c r="N3667">
        <f>IF(G3667=1,0.2*R3667/F3667,N3666)</f>
        <v/>
      </c>
      <c r="O3667">
        <f>IF(G3667=1,R3667*(1-1.0),IF(H3666=0,1,O3666*(1+0.00023125256064071564)))</f>
        <v/>
      </c>
      <c r="P3667">
        <f>IF(G3667=1,IF(H3666=0,1,ABS(0.2-J3666*B3667/I3667)+ABS(0.2-K3666*C3667/I3667)+ABS(0.2-L3666*D3667/I3667)+ABS(0.2-M3666*E3667/I3667)+ABS(0.2-N3666*F3667/I3667)),0)</f>
        <v/>
      </c>
      <c r="Q3667">
        <f>P3667*0.0015</f>
        <v/>
      </c>
      <c r="R3667">
        <f>I3667*(1-Q3667)</f>
        <v/>
      </c>
      <c r="S3667">
        <f>R3667/R3666-1</f>
        <v/>
      </c>
      <c r="T3667">
        <f>MAX(T3666,R3667)</f>
        <v/>
      </c>
      <c r="U3667">
        <f>R3667/T3667-1</f>
        <v/>
      </c>
      <c r="V3667" t="n">
        <v>9.026724827384013</v>
      </c>
      <c r="W3667" s="5">
        <f>R3667-V3667</f>
        <v/>
      </c>
    </row>
    <row r="3668">
      <c r="A3668" s="3" t="n">
        <v>43845</v>
      </c>
      <c r="B3668">
        <f>Prices!B3668</f>
        <v/>
      </c>
      <c r="C3668">
        <f>Prices!C3668</f>
        <v/>
      </c>
      <c r="D3668">
        <f>Prices!D3668</f>
        <v/>
      </c>
      <c r="E3668">
        <f>Prices!E3668</f>
        <v/>
      </c>
      <c r="F3668">
        <f>Prices!F3668</f>
        <v/>
      </c>
      <c r="G3668">
        <f>IF(AND(3666&gt;=16,TEXT(A3668,"yyyy-mm")&lt;&gt;TEXT(A3669,"yyyy-mm")),1,0)</f>
        <v/>
      </c>
      <c r="H3668">
        <f>IF(OR(H3667=1,G3668=1),1,0)</f>
        <v/>
      </c>
      <c r="I3668">
        <f>IF(H3667=0,1,SUMPRODUCT(J3667:N3667,B3668:F3668)+O3667*(1+0.00023125256064071564))</f>
        <v/>
      </c>
      <c r="J3668">
        <f>IF(G3668=1,0.2*R3668/B3668,J3667)</f>
        <v/>
      </c>
      <c r="K3668">
        <f>IF(G3668=1,0.2*R3668/C3668,K3667)</f>
        <v/>
      </c>
      <c r="L3668">
        <f>IF(G3668=1,0.2*R3668/D3668,L3667)</f>
        <v/>
      </c>
      <c r="M3668">
        <f>IF(G3668=1,0.2*R3668/E3668,M3667)</f>
        <v/>
      </c>
      <c r="N3668">
        <f>IF(G3668=1,0.2*R3668/F3668,N3667)</f>
        <v/>
      </c>
      <c r="O3668">
        <f>IF(G3668=1,R3668*(1-1.0),IF(H3667=0,1,O3667*(1+0.00023125256064071564)))</f>
        <v/>
      </c>
      <c r="P3668">
        <f>IF(G3668=1,IF(H3667=0,1,ABS(0.2-J3667*B3668/I3668)+ABS(0.2-K3667*C3668/I3668)+ABS(0.2-L3667*D3668/I3668)+ABS(0.2-M3667*E3668/I3668)+ABS(0.2-N3667*F3668/I3668)),0)</f>
        <v/>
      </c>
      <c r="Q3668">
        <f>P3668*0.0015</f>
        <v/>
      </c>
      <c r="R3668">
        <f>I3668*(1-Q3668)</f>
        <v/>
      </c>
      <c r="S3668">
        <f>R3668/R3667-1</f>
        <v/>
      </c>
      <c r="T3668">
        <f>MAX(T3667,R3668)</f>
        <v/>
      </c>
      <c r="U3668">
        <f>R3668/T3668-1</f>
        <v/>
      </c>
      <c r="V3668" t="n">
        <v>9.067513724091706</v>
      </c>
      <c r="W3668" s="5">
        <f>R3668-V3668</f>
        <v/>
      </c>
    </row>
    <row r="3669">
      <c r="A3669" s="3" t="n">
        <v>43846</v>
      </c>
      <c r="B3669">
        <f>Prices!B3669</f>
        <v/>
      </c>
      <c r="C3669">
        <f>Prices!C3669</f>
        <v/>
      </c>
      <c r="D3669">
        <f>Prices!D3669</f>
        <v/>
      </c>
      <c r="E3669">
        <f>Prices!E3669</f>
        <v/>
      </c>
      <c r="F3669">
        <f>Prices!F3669</f>
        <v/>
      </c>
      <c r="G3669">
        <f>IF(AND(3667&gt;=16,TEXT(A3669,"yyyy-mm")&lt;&gt;TEXT(A3670,"yyyy-mm")),1,0)</f>
        <v/>
      </c>
      <c r="H3669">
        <f>IF(OR(H3668=1,G3669=1),1,0)</f>
        <v/>
      </c>
      <c r="I3669">
        <f>IF(H3668=0,1,SUMPRODUCT(J3668:N3668,B3669:F3669)+O3668*(1+0.00023125256064071564))</f>
        <v/>
      </c>
      <c r="J3669">
        <f>IF(G3669=1,0.2*R3669/B3669,J3668)</f>
        <v/>
      </c>
      <c r="K3669">
        <f>IF(G3669=1,0.2*R3669/C3669,K3668)</f>
        <v/>
      </c>
      <c r="L3669">
        <f>IF(G3669=1,0.2*R3669/D3669,L3668)</f>
        <v/>
      </c>
      <c r="M3669">
        <f>IF(G3669=1,0.2*R3669/E3669,M3668)</f>
        <v/>
      </c>
      <c r="N3669">
        <f>IF(G3669=1,0.2*R3669/F3669,N3668)</f>
        <v/>
      </c>
      <c r="O3669">
        <f>IF(G3669=1,R3669*(1-1.0),IF(H3668=0,1,O3668*(1+0.00023125256064071564)))</f>
        <v/>
      </c>
      <c r="P3669">
        <f>IF(G3669=1,IF(H3668=0,1,ABS(0.2-J3668*B3669/I3669)+ABS(0.2-K3668*C3669/I3669)+ABS(0.2-L3668*D3669/I3669)+ABS(0.2-M3668*E3669/I3669)+ABS(0.2-N3668*F3669/I3669)),0)</f>
        <v/>
      </c>
      <c r="Q3669">
        <f>P3669*0.0015</f>
        <v/>
      </c>
      <c r="R3669">
        <f>I3669*(1-Q3669)</f>
        <v/>
      </c>
      <c r="S3669">
        <f>R3669/R3668-1</f>
        <v/>
      </c>
      <c r="T3669">
        <f>MAX(T3668,R3669)</f>
        <v/>
      </c>
      <c r="U3669">
        <f>R3669/T3669-1</f>
        <v/>
      </c>
      <c r="V3669" t="n">
        <v>9.090700989936135</v>
      </c>
      <c r="W3669" s="5">
        <f>R3669-V3669</f>
        <v/>
      </c>
    </row>
    <row r="3670">
      <c r="A3670" s="3" t="n">
        <v>43847</v>
      </c>
      <c r="B3670">
        <f>Prices!B3670</f>
        <v/>
      </c>
      <c r="C3670">
        <f>Prices!C3670</f>
        <v/>
      </c>
      <c r="D3670">
        <f>Prices!D3670</f>
        <v/>
      </c>
      <c r="E3670">
        <f>Prices!E3670</f>
        <v/>
      </c>
      <c r="F3670">
        <f>Prices!F3670</f>
        <v/>
      </c>
      <c r="G3670">
        <f>IF(AND(3668&gt;=16,TEXT(A3670,"yyyy-mm")&lt;&gt;TEXT(A3671,"yyyy-mm")),1,0)</f>
        <v/>
      </c>
      <c r="H3670">
        <f>IF(OR(H3669=1,G3670=1),1,0)</f>
        <v/>
      </c>
      <c r="I3670">
        <f>IF(H3669=0,1,SUMPRODUCT(J3669:N3669,B3670:F3670)+O3669*(1+0.00023125256064071564))</f>
        <v/>
      </c>
      <c r="J3670">
        <f>IF(G3670=1,0.2*R3670/B3670,J3669)</f>
        <v/>
      </c>
      <c r="K3670">
        <f>IF(G3670=1,0.2*R3670/C3670,K3669)</f>
        <v/>
      </c>
      <c r="L3670">
        <f>IF(G3670=1,0.2*R3670/D3670,L3669)</f>
        <v/>
      </c>
      <c r="M3670">
        <f>IF(G3670=1,0.2*R3670/E3670,M3669)</f>
        <v/>
      </c>
      <c r="N3670">
        <f>IF(G3670=1,0.2*R3670/F3670,N3669)</f>
        <v/>
      </c>
      <c r="O3670">
        <f>IF(G3670=1,R3670*(1-1.0),IF(H3669=0,1,O3669*(1+0.00023125256064071564)))</f>
        <v/>
      </c>
      <c r="P3670">
        <f>IF(G3670=1,IF(H3669=0,1,ABS(0.2-J3669*B3670/I3670)+ABS(0.2-K3669*C3670/I3670)+ABS(0.2-L3669*D3670/I3670)+ABS(0.2-M3669*E3670/I3670)+ABS(0.2-N3669*F3670/I3670)),0)</f>
        <v/>
      </c>
      <c r="Q3670">
        <f>P3670*0.0015</f>
        <v/>
      </c>
      <c r="R3670">
        <f>I3670*(1-Q3670)</f>
        <v/>
      </c>
      <c r="S3670">
        <f>R3670/R3669-1</f>
        <v/>
      </c>
      <c r="T3670">
        <f>MAX(T3669,R3670)</f>
        <v/>
      </c>
      <c r="U3670">
        <f>R3670/T3670-1</f>
        <v/>
      </c>
      <c r="V3670" t="n">
        <v>9.100635996207492</v>
      </c>
      <c r="W3670" s="5">
        <f>R3670-V3670</f>
        <v/>
      </c>
    </row>
    <row r="3671">
      <c r="A3671" s="3" t="n">
        <v>43850</v>
      </c>
      <c r="B3671">
        <f>Prices!B3671</f>
        <v/>
      </c>
      <c r="C3671">
        <f>Prices!C3671</f>
        <v/>
      </c>
      <c r="D3671">
        <f>Prices!D3671</f>
        <v/>
      </c>
      <c r="E3671">
        <f>Prices!E3671</f>
        <v/>
      </c>
      <c r="F3671">
        <f>Prices!F3671</f>
        <v/>
      </c>
      <c r="G3671">
        <f>IF(AND(3669&gt;=16,TEXT(A3671,"yyyy-mm")&lt;&gt;TEXT(A3672,"yyyy-mm")),1,0)</f>
        <v/>
      </c>
      <c r="H3671">
        <f>IF(OR(H3670=1,G3671=1),1,0)</f>
        <v/>
      </c>
      <c r="I3671">
        <f>IF(H3670=0,1,SUMPRODUCT(J3670:N3670,B3671:F3671)+O3670*(1+0.00023125256064071564))</f>
        <v/>
      </c>
      <c r="J3671">
        <f>IF(G3671=1,0.2*R3671/B3671,J3670)</f>
        <v/>
      </c>
      <c r="K3671">
        <f>IF(G3671=1,0.2*R3671/C3671,K3670)</f>
        <v/>
      </c>
      <c r="L3671">
        <f>IF(G3671=1,0.2*R3671/D3671,L3670)</f>
        <v/>
      </c>
      <c r="M3671">
        <f>IF(G3671=1,0.2*R3671/E3671,M3670)</f>
        <v/>
      </c>
      <c r="N3671">
        <f>IF(G3671=1,0.2*R3671/F3671,N3670)</f>
        <v/>
      </c>
      <c r="O3671">
        <f>IF(G3671=1,R3671*(1-1.0),IF(H3670=0,1,O3670*(1+0.00023125256064071564)))</f>
        <v/>
      </c>
      <c r="P3671">
        <f>IF(G3671=1,IF(H3670=0,1,ABS(0.2-J3670*B3671/I3671)+ABS(0.2-K3670*C3671/I3671)+ABS(0.2-L3670*D3671/I3671)+ABS(0.2-M3670*E3671/I3671)+ABS(0.2-N3670*F3671/I3671)),0)</f>
        <v/>
      </c>
      <c r="Q3671">
        <f>P3671*0.0015</f>
        <v/>
      </c>
      <c r="R3671">
        <f>I3671*(1-Q3671)</f>
        <v/>
      </c>
      <c r="S3671">
        <f>R3671/R3670-1</f>
        <v/>
      </c>
      <c r="T3671">
        <f>MAX(T3670,R3671)</f>
        <v/>
      </c>
      <c r="U3671">
        <f>R3671/T3671-1</f>
        <v/>
      </c>
      <c r="V3671" t="n">
        <v>9.042170710431748</v>
      </c>
      <c r="W3671" s="5">
        <f>R3671-V3671</f>
        <v/>
      </c>
    </row>
    <row r="3672">
      <c r="A3672" s="3" t="n">
        <v>43851</v>
      </c>
      <c r="B3672">
        <f>Prices!B3672</f>
        <v/>
      </c>
      <c r="C3672">
        <f>Prices!C3672</f>
        <v/>
      </c>
      <c r="D3672">
        <f>Prices!D3672</f>
        <v/>
      </c>
      <c r="E3672">
        <f>Prices!E3672</f>
        <v/>
      </c>
      <c r="F3672">
        <f>Prices!F3672</f>
        <v/>
      </c>
      <c r="G3672">
        <f>IF(AND(3670&gt;=16,TEXT(A3672,"yyyy-mm")&lt;&gt;TEXT(A3673,"yyyy-mm")),1,0)</f>
        <v/>
      </c>
      <c r="H3672">
        <f>IF(OR(H3671=1,G3672=1),1,0)</f>
        <v/>
      </c>
      <c r="I3672">
        <f>IF(H3671=0,1,SUMPRODUCT(J3671:N3671,B3672:F3672)+O3671*(1+0.00023125256064071564))</f>
        <v/>
      </c>
      <c r="J3672">
        <f>IF(G3672=1,0.2*R3672/B3672,J3671)</f>
        <v/>
      </c>
      <c r="K3672">
        <f>IF(G3672=1,0.2*R3672/C3672,K3671)</f>
        <v/>
      </c>
      <c r="L3672">
        <f>IF(G3672=1,0.2*R3672/D3672,L3671)</f>
        <v/>
      </c>
      <c r="M3672">
        <f>IF(G3672=1,0.2*R3672/E3672,M3671)</f>
        <v/>
      </c>
      <c r="N3672">
        <f>IF(G3672=1,0.2*R3672/F3672,N3671)</f>
        <v/>
      </c>
      <c r="O3672">
        <f>IF(G3672=1,R3672*(1-1.0),IF(H3671=0,1,O3671*(1+0.00023125256064071564)))</f>
        <v/>
      </c>
      <c r="P3672">
        <f>IF(G3672=1,IF(H3671=0,1,ABS(0.2-J3671*B3672/I3672)+ABS(0.2-K3671*C3672/I3672)+ABS(0.2-L3671*D3672/I3672)+ABS(0.2-M3671*E3672/I3672)+ABS(0.2-N3671*F3672/I3672)),0)</f>
        <v/>
      </c>
      <c r="Q3672">
        <f>P3672*0.0015</f>
        <v/>
      </c>
      <c r="R3672">
        <f>I3672*(1-Q3672)</f>
        <v/>
      </c>
      <c r="S3672">
        <f>R3672/R3671-1</f>
        <v/>
      </c>
      <c r="T3672">
        <f>MAX(T3671,R3672)</f>
        <v/>
      </c>
      <c r="U3672">
        <f>R3672/T3672-1</f>
        <v/>
      </c>
      <c r="V3672" t="n">
        <v>9.001418421758016</v>
      </c>
      <c r="W3672" s="5">
        <f>R3672-V3672</f>
        <v/>
      </c>
    </row>
    <row r="3673">
      <c r="A3673" s="3" t="n">
        <v>43852</v>
      </c>
      <c r="B3673">
        <f>Prices!B3673</f>
        <v/>
      </c>
      <c r="C3673">
        <f>Prices!C3673</f>
        <v/>
      </c>
      <c r="D3673">
        <f>Prices!D3673</f>
        <v/>
      </c>
      <c r="E3673">
        <f>Prices!E3673</f>
        <v/>
      </c>
      <c r="F3673">
        <f>Prices!F3673</f>
        <v/>
      </c>
      <c r="G3673">
        <f>IF(AND(3671&gt;=16,TEXT(A3673,"yyyy-mm")&lt;&gt;TEXT(A3674,"yyyy-mm")),1,0)</f>
        <v/>
      </c>
      <c r="H3673">
        <f>IF(OR(H3672=1,G3673=1),1,0)</f>
        <v/>
      </c>
      <c r="I3673">
        <f>IF(H3672=0,1,SUMPRODUCT(J3672:N3672,B3673:F3673)+O3672*(1+0.00023125256064071564))</f>
        <v/>
      </c>
      <c r="J3673">
        <f>IF(G3673=1,0.2*R3673/B3673,J3672)</f>
        <v/>
      </c>
      <c r="K3673">
        <f>IF(G3673=1,0.2*R3673/C3673,K3672)</f>
        <v/>
      </c>
      <c r="L3673">
        <f>IF(G3673=1,0.2*R3673/D3673,L3672)</f>
        <v/>
      </c>
      <c r="M3673">
        <f>IF(G3673=1,0.2*R3673/E3673,M3672)</f>
        <v/>
      </c>
      <c r="N3673">
        <f>IF(G3673=1,0.2*R3673/F3673,N3672)</f>
        <v/>
      </c>
      <c r="O3673">
        <f>IF(G3673=1,R3673*(1-1.0),IF(H3672=0,1,O3672*(1+0.00023125256064071564)))</f>
        <v/>
      </c>
      <c r="P3673">
        <f>IF(G3673=1,IF(H3672=0,1,ABS(0.2-J3672*B3673/I3673)+ABS(0.2-K3672*C3673/I3673)+ABS(0.2-L3672*D3673/I3673)+ABS(0.2-M3672*E3673/I3673)+ABS(0.2-N3672*F3673/I3673)),0)</f>
        <v/>
      </c>
      <c r="Q3673">
        <f>P3673*0.0015</f>
        <v/>
      </c>
      <c r="R3673">
        <f>I3673*(1-Q3673)</f>
        <v/>
      </c>
      <c r="S3673">
        <f>R3673/R3672-1</f>
        <v/>
      </c>
      <c r="T3673">
        <f>MAX(T3672,R3673)</f>
        <v/>
      </c>
      <c r="U3673">
        <f>R3673/T3673-1</f>
        <v/>
      </c>
      <c r="V3673" t="n">
        <v>8.972538160522609</v>
      </c>
      <c r="W3673" s="5">
        <f>R3673-V3673</f>
        <v/>
      </c>
    </row>
    <row r="3674">
      <c r="A3674" s="3" t="n">
        <v>43853</v>
      </c>
      <c r="B3674">
        <f>Prices!B3674</f>
        <v/>
      </c>
      <c r="C3674">
        <f>Prices!C3674</f>
        <v/>
      </c>
      <c r="D3674">
        <f>Prices!D3674</f>
        <v/>
      </c>
      <c r="E3674">
        <f>Prices!E3674</f>
        <v/>
      </c>
      <c r="F3674">
        <f>Prices!F3674</f>
        <v/>
      </c>
      <c r="G3674">
        <f>IF(AND(3672&gt;=16,TEXT(A3674,"yyyy-mm")&lt;&gt;TEXT(A3675,"yyyy-mm")),1,0)</f>
        <v/>
      </c>
      <c r="H3674">
        <f>IF(OR(H3673=1,G3674=1),1,0)</f>
        <v/>
      </c>
      <c r="I3674">
        <f>IF(H3673=0,1,SUMPRODUCT(J3673:N3673,B3674:F3674)+O3673*(1+0.00023125256064071564))</f>
        <v/>
      </c>
      <c r="J3674">
        <f>IF(G3674=1,0.2*R3674/B3674,J3673)</f>
        <v/>
      </c>
      <c r="K3674">
        <f>IF(G3674=1,0.2*R3674/C3674,K3673)</f>
        <v/>
      </c>
      <c r="L3674">
        <f>IF(G3674=1,0.2*R3674/D3674,L3673)</f>
        <v/>
      </c>
      <c r="M3674">
        <f>IF(G3674=1,0.2*R3674/E3674,M3673)</f>
        <v/>
      </c>
      <c r="N3674">
        <f>IF(G3674=1,0.2*R3674/F3674,N3673)</f>
        <v/>
      </c>
      <c r="O3674">
        <f>IF(G3674=1,R3674*(1-1.0),IF(H3673=0,1,O3673*(1+0.00023125256064071564)))</f>
        <v/>
      </c>
      <c r="P3674">
        <f>IF(G3674=1,IF(H3673=0,1,ABS(0.2-J3673*B3674/I3674)+ABS(0.2-K3673*C3674/I3674)+ABS(0.2-L3673*D3674/I3674)+ABS(0.2-M3673*E3674/I3674)+ABS(0.2-N3673*F3674/I3674)),0)</f>
        <v/>
      </c>
      <c r="Q3674">
        <f>P3674*0.0015</f>
        <v/>
      </c>
      <c r="R3674">
        <f>I3674*(1-Q3674)</f>
        <v/>
      </c>
      <c r="S3674">
        <f>R3674/R3673-1</f>
        <v/>
      </c>
      <c r="T3674">
        <f>MAX(T3673,R3674)</f>
        <v/>
      </c>
      <c r="U3674">
        <f>R3674/T3674-1</f>
        <v/>
      </c>
      <c r="V3674" t="n">
        <v>9.066452780068945</v>
      </c>
      <c r="W3674" s="5">
        <f>R3674-V3674</f>
        <v/>
      </c>
    </row>
    <row r="3675">
      <c r="A3675" s="3" t="n">
        <v>43854</v>
      </c>
      <c r="B3675">
        <f>Prices!B3675</f>
        <v/>
      </c>
      <c r="C3675">
        <f>Prices!C3675</f>
        <v/>
      </c>
      <c r="D3675">
        <f>Prices!D3675</f>
        <v/>
      </c>
      <c r="E3675">
        <f>Prices!E3675</f>
        <v/>
      </c>
      <c r="F3675">
        <f>Prices!F3675</f>
        <v/>
      </c>
      <c r="G3675">
        <f>IF(AND(3673&gt;=16,TEXT(A3675,"yyyy-mm")&lt;&gt;TEXT(A3676,"yyyy-mm")),1,0)</f>
        <v/>
      </c>
      <c r="H3675">
        <f>IF(OR(H3674=1,G3675=1),1,0)</f>
        <v/>
      </c>
      <c r="I3675">
        <f>IF(H3674=0,1,SUMPRODUCT(J3674:N3674,B3675:F3675)+O3674*(1+0.00023125256064071564))</f>
        <v/>
      </c>
      <c r="J3675">
        <f>IF(G3675=1,0.2*R3675/B3675,J3674)</f>
        <v/>
      </c>
      <c r="K3675">
        <f>IF(G3675=1,0.2*R3675/C3675,K3674)</f>
        <v/>
      </c>
      <c r="L3675">
        <f>IF(G3675=1,0.2*R3675/D3675,L3674)</f>
        <v/>
      </c>
      <c r="M3675">
        <f>IF(G3675=1,0.2*R3675/E3675,M3674)</f>
        <v/>
      </c>
      <c r="N3675">
        <f>IF(G3675=1,0.2*R3675/F3675,N3674)</f>
        <v/>
      </c>
      <c r="O3675">
        <f>IF(G3675=1,R3675*(1-1.0),IF(H3674=0,1,O3674*(1+0.00023125256064071564)))</f>
        <v/>
      </c>
      <c r="P3675">
        <f>IF(G3675=1,IF(H3674=0,1,ABS(0.2-J3674*B3675/I3675)+ABS(0.2-K3674*C3675/I3675)+ABS(0.2-L3674*D3675/I3675)+ABS(0.2-M3674*E3675/I3675)+ABS(0.2-N3674*F3675/I3675)),0)</f>
        <v/>
      </c>
      <c r="Q3675">
        <f>P3675*0.0015</f>
        <v/>
      </c>
      <c r="R3675">
        <f>I3675*(1-Q3675)</f>
        <v/>
      </c>
      <c r="S3675">
        <f>R3675/R3674-1</f>
        <v/>
      </c>
      <c r="T3675">
        <f>MAX(T3674,R3675)</f>
        <v/>
      </c>
      <c r="U3675">
        <f>R3675/T3675-1</f>
        <v/>
      </c>
      <c r="V3675" t="n">
        <v>9.142826765442081</v>
      </c>
      <c r="W3675" s="5">
        <f>R3675-V3675</f>
        <v/>
      </c>
    </row>
    <row r="3676">
      <c r="A3676" s="3" t="n">
        <v>43857</v>
      </c>
      <c r="B3676">
        <f>Prices!B3676</f>
        <v/>
      </c>
      <c r="C3676">
        <f>Prices!C3676</f>
        <v/>
      </c>
      <c r="D3676">
        <f>Prices!D3676</f>
        <v/>
      </c>
      <c r="E3676">
        <f>Prices!E3676</f>
        <v/>
      </c>
      <c r="F3676">
        <f>Prices!F3676</f>
        <v/>
      </c>
      <c r="G3676">
        <f>IF(AND(3674&gt;=16,TEXT(A3676,"yyyy-mm")&lt;&gt;TEXT(A3677,"yyyy-mm")),1,0)</f>
        <v/>
      </c>
      <c r="H3676">
        <f>IF(OR(H3675=1,G3676=1),1,0)</f>
        <v/>
      </c>
      <c r="I3676">
        <f>IF(H3675=0,1,SUMPRODUCT(J3675:N3675,B3676:F3676)+O3675*(1+0.00023125256064071564))</f>
        <v/>
      </c>
      <c r="J3676">
        <f>IF(G3676=1,0.2*R3676/B3676,J3675)</f>
        <v/>
      </c>
      <c r="K3676">
        <f>IF(G3676=1,0.2*R3676/C3676,K3675)</f>
        <v/>
      </c>
      <c r="L3676">
        <f>IF(G3676=1,0.2*R3676/D3676,L3675)</f>
        <v/>
      </c>
      <c r="M3676">
        <f>IF(G3676=1,0.2*R3676/E3676,M3675)</f>
        <v/>
      </c>
      <c r="N3676">
        <f>IF(G3676=1,0.2*R3676/F3676,N3675)</f>
        <v/>
      </c>
      <c r="O3676">
        <f>IF(G3676=1,R3676*(1-1.0),IF(H3675=0,1,O3675*(1+0.00023125256064071564)))</f>
        <v/>
      </c>
      <c r="P3676">
        <f>IF(G3676=1,IF(H3675=0,1,ABS(0.2-J3675*B3676/I3676)+ABS(0.2-K3675*C3676/I3676)+ABS(0.2-L3675*D3676/I3676)+ABS(0.2-M3675*E3676/I3676)+ABS(0.2-N3675*F3676/I3676)),0)</f>
        <v/>
      </c>
      <c r="Q3676">
        <f>P3676*0.0015</f>
        <v/>
      </c>
      <c r="R3676">
        <f>I3676*(1-Q3676)</f>
        <v/>
      </c>
      <c r="S3676">
        <f>R3676/R3675-1</f>
        <v/>
      </c>
      <c r="T3676">
        <f>MAX(T3675,R3676)</f>
        <v/>
      </c>
      <c r="U3676">
        <f>R3676/T3676-1</f>
        <v/>
      </c>
      <c r="V3676" t="n">
        <v>9.103811555726137</v>
      </c>
      <c r="W3676" s="5">
        <f>R3676-V3676</f>
        <v/>
      </c>
    </row>
    <row r="3677">
      <c r="A3677" s="3" t="n">
        <v>43858</v>
      </c>
      <c r="B3677">
        <f>Prices!B3677</f>
        <v/>
      </c>
      <c r="C3677">
        <f>Prices!C3677</f>
        <v/>
      </c>
      <c r="D3677">
        <f>Prices!D3677</f>
        <v/>
      </c>
      <c r="E3677">
        <f>Prices!E3677</f>
        <v/>
      </c>
      <c r="F3677">
        <f>Prices!F3677</f>
        <v/>
      </c>
      <c r="G3677">
        <f>IF(AND(3675&gt;=16,TEXT(A3677,"yyyy-mm")&lt;&gt;TEXT(A3678,"yyyy-mm")),1,0)</f>
        <v/>
      </c>
      <c r="H3677">
        <f>IF(OR(H3676=1,G3677=1),1,0)</f>
        <v/>
      </c>
      <c r="I3677">
        <f>IF(H3676=0,1,SUMPRODUCT(J3676:N3676,B3677:F3677)+O3676*(1+0.00023125256064071564))</f>
        <v/>
      </c>
      <c r="J3677">
        <f>IF(G3677=1,0.2*R3677/B3677,J3676)</f>
        <v/>
      </c>
      <c r="K3677">
        <f>IF(G3677=1,0.2*R3677/C3677,K3676)</f>
        <v/>
      </c>
      <c r="L3677">
        <f>IF(G3677=1,0.2*R3677/D3677,L3676)</f>
        <v/>
      </c>
      <c r="M3677">
        <f>IF(G3677=1,0.2*R3677/E3677,M3676)</f>
        <v/>
      </c>
      <c r="N3677">
        <f>IF(G3677=1,0.2*R3677/F3677,N3676)</f>
        <v/>
      </c>
      <c r="O3677">
        <f>IF(G3677=1,R3677*(1-1.0),IF(H3676=0,1,O3676*(1+0.00023125256064071564)))</f>
        <v/>
      </c>
      <c r="P3677">
        <f>IF(G3677=1,IF(H3676=0,1,ABS(0.2-J3676*B3677/I3677)+ABS(0.2-K3676*C3677/I3677)+ABS(0.2-L3676*D3677/I3677)+ABS(0.2-M3676*E3677/I3677)+ABS(0.2-N3676*F3677/I3677)),0)</f>
        <v/>
      </c>
      <c r="Q3677">
        <f>P3677*0.0015</f>
        <v/>
      </c>
      <c r="R3677">
        <f>I3677*(1-Q3677)</f>
        <v/>
      </c>
      <c r="S3677">
        <f>R3677/R3676-1</f>
        <v/>
      </c>
      <c r="T3677">
        <f>MAX(T3676,R3677)</f>
        <v/>
      </c>
      <c r="U3677">
        <f>R3677/T3677-1</f>
        <v/>
      </c>
      <c r="V3677" t="n">
        <v>9.07563620231277</v>
      </c>
      <c r="W3677" s="5">
        <f>R3677-V3677</f>
        <v/>
      </c>
    </row>
    <row r="3678">
      <c r="A3678" s="3" t="n">
        <v>43859</v>
      </c>
      <c r="B3678">
        <f>Prices!B3678</f>
        <v/>
      </c>
      <c r="C3678">
        <f>Prices!C3678</f>
        <v/>
      </c>
      <c r="D3678">
        <f>Prices!D3678</f>
        <v/>
      </c>
      <c r="E3678">
        <f>Prices!E3678</f>
        <v/>
      </c>
      <c r="F3678">
        <f>Prices!F3678</f>
        <v/>
      </c>
      <c r="G3678">
        <f>IF(AND(3676&gt;=16,TEXT(A3678,"yyyy-mm")&lt;&gt;TEXT(A3679,"yyyy-mm")),1,0)</f>
        <v/>
      </c>
      <c r="H3678">
        <f>IF(OR(H3677=1,G3678=1),1,0)</f>
        <v/>
      </c>
      <c r="I3678">
        <f>IF(H3677=0,1,SUMPRODUCT(J3677:N3677,B3678:F3678)+O3677*(1+0.00023125256064071564))</f>
        <v/>
      </c>
      <c r="J3678">
        <f>IF(G3678=1,0.2*R3678/B3678,J3677)</f>
        <v/>
      </c>
      <c r="K3678">
        <f>IF(G3678=1,0.2*R3678/C3678,K3677)</f>
        <v/>
      </c>
      <c r="L3678">
        <f>IF(G3678=1,0.2*R3678/D3678,L3677)</f>
        <v/>
      </c>
      <c r="M3678">
        <f>IF(G3678=1,0.2*R3678/E3678,M3677)</f>
        <v/>
      </c>
      <c r="N3678">
        <f>IF(G3678=1,0.2*R3678/F3678,N3677)</f>
        <v/>
      </c>
      <c r="O3678">
        <f>IF(G3678=1,R3678*(1-1.0),IF(H3677=0,1,O3677*(1+0.00023125256064071564)))</f>
        <v/>
      </c>
      <c r="P3678">
        <f>IF(G3678=1,IF(H3677=0,1,ABS(0.2-J3677*B3678/I3678)+ABS(0.2-K3677*C3678/I3678)+ABS(0.2-L3677*D3678/I3678)+ABS(0.2-M3677*E3678/I3678)+ABS(0.2-N3677*F3678/I3678)),0)</f>
        <v/>
      </c>
      <c r="Q3678">
        <f>P3678*0.0015</f>
        <v/>
      </c>
      <c r="R3678">
        <f>I3678*(1-Q3678)</f>
        <v/>
      </c>
      <c r="S3678">
        <f>R3678/R3677-1</f>
        <v/>
      </c>
      <c r="T3678">
        <f>MAX(T3677,R3678)</f>
        <v/>
      </c>
      <c r="U3678">
        <f>R3678/T3678-1</f>
        <v/>
      </c>
      <c r="V3678" t="n">
        <v>9.128967969135934</v>
      </c>
      <c r="W3678" s="5">
        <f>R3678-V3678</f>
        <v/>
      </c>
    </row>
    <row r="3679">
      <c r="A3679" s="3" t="n">
        <v>43860</v>
      </c>
      <c r="B3679">
        <f>Prices!B3679</f>
        <v/>
      </c>
      <c r="C3679">
        <f>Prices!C3679</f>
        <v/>
      </c>
      <c r="D3679">
        <f>Prices!D3679</f>
        <v/>
      </c>
      <c r="E3679">
        <f>Prices!E3679</f>
        <v/>
      </c>
      <c r="F3679">
        <f>Prices!F3679</f>
        <v/>
      </c>
      <c r="G3679">
        <f>IF(AND(3677&gt;=16,TEXT(A3679,"yyyy-mm")&lt;&gt;TEXT(A3680,"yyyy-mm")),1,0)</f>
        <v/>
      </c>
      <c r="H3679">
        <f>IF(OR(H3678=1,G3679=1),1,0)</f>
        <v/>
      </c>
      <c r="I3679">
        <f>IF(H3678=0,1,SUMPRODUCT(J3678:N3678,B3679:F3679)+O3678*(1+0.00023125256064071564))</f>
        <v/>
      </c>
      <c r="J3679">
        <f>IF(G3679=1,0.2*R3679/B3679,J3678)</f>
        <v/>
      </c>
      <c r="K3679">
        <f>IF(G3679=1,0.2*R3679/C3679,K3678)</f>
        <v/>
      </c>
      <c r="L3679">
        <f>IF(G3679=1,0.2*R3679/D3679,L3678)</f>
        <v/>
      </c>
      <c r="M3679">
        <f>IF(G3679=1,0.2*R3679/E3679,M3678)</f>
        <v/>
      </c>
      <c r="N3679">
        <f>IF(G3679=1,0.2*R3679/F3679,N3678)</f>
        <v/>
      </c>
      <c r="O3679">
        <f>IF(G3679=1,R3679*(1-1.0),IF(H3678=0,1,O3678*(1+0.00023125256064071564)))</f>
        <v/>
      </c>
      <c r="P3679">
        <f>IF(G3679=1,IF(H3678=0,1,ABS(0.2-J3678*B3679/I3679)+ABS(0.2-K3678*C3679/I3679)+ABS(0.2-L3678*D3679/I3679)+ABS(0.2-M3678*E3679/I3679)+ABS(0.2-N3678*F3679/I3679)),0)</f>
        <v/>
      </c>
      <c r="Q3679">
        <f>P3679*0.0015</f>
        <v/>
      </c>
      <c r="R3679">
        <f>I3679*(1-Q3679)</f>
        <v/>
      </c>
      <c r="S3679">
        <f>R3679/R3678-1</f>
        <v/>
      </c>
      <c r="T3679">
        <f>MAX(T3678,R3679)</f>
        <v/>
      </c>
      <c r="U3679">
        <f>R3679/T3679-1</f>
        <v/>
      </c>
      <c r="V3679" t="n">
        <v>9.037294526881304</v>
      </c>
      <c r="W3679" s="5">
        <f>R3679-V3679</f>
        <v/>
      </c>
    </row>
    <row r="3680">
      <c r="A3680" s="3" t="n">
        <v>43861</v>
      </c>
      <c r="B3680">
        <f>Prices!B3680</f>
        <v/>
      </c>
      <c r="C3680">
        <f>Prices!C3680</f>
        <v/>
      </c>
      <c r="D3680">
        <f>Prices!D3680</f>
        <v/>
      </c>
      <c r="E3680">
        <f>Prices!E3680</f>
        <v/>
      </c>
      <c r="F3680">
        <f>Prices!F3680</f>
        <v/>
      </c>
      <c r="G3680">
        <f>IF(AND(3678&gt;=16,TEXT(A3680,"yyyy-mm")&lt;&gt;TEXT(A3681,"yyyy-mm")),1,0)</f>
        <v/>
      </c>
      <c r="H3680">
        <f>IF(OR(H3679=1,G3680=1),1,0)</f>
        <v/>
      </c>
      <c r="I3680">
        <f>IF(H3679=0,1,SUMPRODUCT(J3679:N3679,B3680:F3680)+O3679*(1+0.00023125256064071564))</f>
        <v/>
      </c>
      <c r="J3680">
        <f>IF(G3680=1,0.2*R3680/B3680,J3679)</f>
        <v/>
      </c>
      <c r="K3680">
        <f>IF(G3680=1,0.2*R3680/C3680,K3679)</f>
        <v/>
      </c>
      <c r="L3680">
        <f>IF(G3680=1,0.2*R3680/D3680,L3679)</f>
        <v/>
      </c>
      <c r="M3680">
        <f>IF(G3680=1,0.2*R3680/E3680,M3679)</f>
        <v/>
      </c>
      <c r="N3680">
        <f>IF(G3680=1,0.2*R3680/F3680,N3679)</f>
        <v/>
      </c>
      <c r="O3680">
        <f>IF(G3680=1,R3680*(1-1.0),IF(H3679=0,1,O3679*(1+0.00023125256064071564)))</f>
        <v/>
      </c>
      <c r="P3680">
        <f>IF(G3680=1,IF(H3679=0,1,ABS(0.2-J3679*B3680/I3680)+ABS(0.2-K3679*C3680/I3680)+ABS(0.2-L3679*D3680/I3680)+ABS(0.2-M3679*E3680/I3680)+ABS(0.2-N3679*F3680/I3680)),0)</f>
        <v/>
      </c>
      <c r="Q3680">
        <f>P3680*0.0015</f>
        <v/>
      </c>
      <c r="R3680">
        <f>I3680*(1-Q3680)</f>
        <v/>
      </c>
      <c r="S3680">
        <f>R3680/R3679-1</f>
        <v/>
      </c>
      <c r="T3680">
        <f>MAX(T3679,R3680)</f>
        <v/>
      </c>
      <c r="U3680">
        <f>R3680/T3680-1</f>
        <v/>
      </c>
      <c r="V3680" t="n">
        <v>8.9810231508787</v>
      </c>
      <c r="W3680" s="5">
        <f>R3680-V3680</f>
        <v/>
      </c>
    </row>
    <row r="3681">
      <c r="A3681" s="3" t="n">
        <v>43862</v>
      </c>
      <c r="B3681">
        <f>Prices!B3681</f>
        <v/>
      </c>
      <c r="C3681">
        <f>Prices!C3681</f>
        <v/>
      </c>
      <c r="D3681">
        <f>Prices!D3681</f>
        <v/>
      </c>
      <c r="E3681">
        <f>Prices!E3681</f>
        <v/>
      </c>
      <c r="F3681">
        <f>Prices!F3681</f>
        <v/>
      </c>
      <c r="G3681">
        <f>IF(AND(3679&gt;=16,TEXT(A3681,"yyyy-mm")&lt;&gt;TEXT(A3682,"yyyy-mm")),1,0)</f>
        <v/>
      </c>
      <c r="H3681">
        <f>IF(OR(H3680=1,G3681=1),1,0)</f>
        <v/>
      </c>
      <c r="I3681">
        <f>IF(H3680=0,1,SUMPRODUCT(J3680:N3680,B3681:F3681)+O3680*(1+0.00023125256064071564))</f>
        <v/>
      </c>
      <c r="J3681">
        <f>IF(G3681=1,0.2*R3681/B3681,J3680)</f>
        <v/>
      </c>
      <c r="K3681">
        <f>IF(G3681=1,0.2*R3681/C3681,K3680)</f>
        <v/>
      </c>
      <c r="L3681">
        <f>IF(G3681=1,0.2*R3681/D3681,L3680)</f>
        <v/>
      </c>
      <c r="M3681">
        <f>IF(G3681=1,0.2*R3681/E3681,M3680)</f>
        <v/>
      </c>
      <c r="N3681">
        <f>IF(G3681=1,0.2*R3681/F3681,N3680)</f>
        <v/>
      </c>
      <c r="O3681">
        <f>IF(G3681=1,R3681*(1-1.0),IF(H3680=0,1,O3680*(1+0.00023125256064071564)))</f>
        <v/>
      </c>
      <c r="P3681">
        <f>IF(G3681=1,IF(H3680=0,1,ABS(0.2-J3680*B3681/I3681)+ABS(0.2-K3680*C3681/I3681)+ABS(0.2-L3680*D3681/I3681)+ABS(0.2-M3680*E3681/I3681)+ABS(0.2-N3680*F3681/I3681)),0)</f>
        <v/>
      </c>
      <c r="Q3681">
        <f>P3681*0.0015</f>
        <v/>
      </c>
      <c r="R3681">
        <f>I3681*(1-Q3681)</f>
        <v/>
      </c>
      <c r="S3681">
        <f>R3681/R3680-1</f>
        <v/>
      </c>
      <c r="T3681">
        <f>MAX(T3680,R3681)</f>
        <v/>
      </c>
      <c r="U3681">
        <f>R3681/T3681-1</f>
        <v/>
      </c>
      <c r="V3681" t="n">
        <v>8.748120911131917</v>
      </c>
      <c r="W3681" s="5">
        <f>R3681-V3681</f>
        <v/>
      </c>
    </row>
    <row r="3682">
      <c r="A3682" s="3" t="n">
        <v>43864</v>
      </c>
      <c r="B3682">
        <f>Prices!B3682</f>
        <v/>
      </c>
      <c r="C3682">
        <f>Prices!C3682</f>
        <v/>
      </c>
      <c r="D3682">
        <f>Prices!D3682</f>
        <v/>
      </c>
      <c r="E3682">
        <f>Prices!E3682</f>
        <v/>
      </c>
      <c r="F3682">
        <f>Prices!F3682</f>
        <v/>
      </c>
      <c r="G3682">
        <f>IF(AND(3680&gt;=16,TEXT(A3682,"yyyy-mm")&lt;&gt;TEXT(A3683,"yyyy-mm")),1,0)</f>
        <v/>
      </c>
      <c r="H3682">
        <f>IF(OR(H3681=1,G3682=1),1,0)</f>
        <v/>
      </c>
      <c r="I3682">
        <f>IF(H3681=0,1,SUMPRODUCT(J3681:N3681,B3682:F3682)+O3681*(1+0.00023125256064071564))</f>
        <v/>
      </c>
      <c r="J3682">
        <f>IF(G3682=1,0.2*R3682/B3682,J3681)</f>
        <v/>
      </c>
      <c r="K3682">
        <f>IF(G3682=1,0.2*R3682/C3682,K3681)</f>
        <v/>
      </c>
      <c r="L3682">
        <f>IF(G3682=1,0.2*R3682/D3682,L3681)</f>
        <v/>
      </c>
      <c r="M3682">
        <f>IF(G3682=1,0.2*R3682/E3682,M3681)</f>
        <v/>
      </c>
      <c r="N3682">
        <f>IF(G3682=1,0.2*R3682/F3682,N3681)</f>
        <v/>
      </c>
      <c r="O3682">
        <f>IF(G3682=1,R3682*(1-1.0),IF(H3681=0,1,O3681*(1+0.00023125256064071564)))</f>
        <v/>
      </c>
      <c r="P3682">
        <f>IF(G3682=1,IF(H3681=0,1,ABS(0.2-J3681*B3682/I3682)+ABS(0.2-K3681*C3682/I3682)+ABS(0.2-L3681*D3682/I3682)+ABS(0.2-M3681*E3682/I3682)+ABS(0.2-N3681*F3682/I3682)),0)</f>
        <v/>
      </c>
      <c r="Q3682">
        <f>P3682*0.0015</f>
        <v/>
      </c>
      <c r="R3682">
        <f>I3682*(1-Q3682)</f>
        <v/>
      </c>
      <c r="S3682">
        <f>R3682/R3681-1</f>
        <v/>
      </c>
      <c r="T3682">
        <f>MAX(T3681,R3682)</f>
        <v/>
      </c>
      <c r="U3682">
        <f>R3682/T3682-1</f>
        <v/>
      </c>
      <c r="V3682" t="n">
        <v>8.826707575996645</v>
      </c>
      <c r="W3682" s="5">
        <f>R3682-V3682</f>
        <v/>
      </c>
    </row>
    <row r="3683">
      <c r="A3683" s="3" t="n">
        <v>43865</v>
      </c>
      <c r="B3683">
        <f>Prices!B3683</f>
        <v/>
      </c>
      <c r="C3683">
        <f>Prices!C3683</f>
        <v/>
      </c>
      <c r="D3683">
        <f>Prices!D3683</f>
        <v/>
      </c>
      <c r="E3683">
        <f>Prices!E3683</f>
        <v/>
      </c>
      <c r="F3683">
        <f>Prices!F3683</f>
        <v/>
      </c>
      <c r="G3683">
        <f>IF(AND(3681&gt;=16,TEXT(A3683,"yyyy-mm")&lt;&gt;TEXT(A3684,"yyyy-mm")),1,0)</f>
        <v/>
      </c>
      <c r="H3683">
        <f>IF(OR(H3682=1,G3683=1),1,0)</f>
        <v/>
      </c>
      <c r="I3683">
        <f>IF(H3682=0,1,SUMPRODUCT(J3682:N3682,B3683:F3683)+O3682*(1+0.00023125256064071564))</f>
        <v/>
      </c>
      <c r="J3683">
        <f>IF(G3683=1,0.2*R3683/B3683,J3682)</f>
        <v/>
      </c>
      <c r="K3683">
        <f>IF(G3683=1,0.2*R3683/C3683,K3682)</f>
        <v/>
      </c>
      <c r="L3683">
        <f>IF(G3683=1,0.2*R3683/D3683,L3682)</f>
        <v/>
      </c>
      <c r="M3683">
        <f>IF(G3683=1,0.2*R3683/E3683,M3682)</f>
        <v/>
      </c>
      <c r="N3683">
        <f>IF(G3683=1,0.2*R3683/F3683,N3682)</f>
        <v/>
      </c>
      <c r="O3683">
        <f>IF(G3683=1,R3683*(1-1.0),IF(H3682=0,1,O3682*(1+0.00023125256064071564)))</f>
        <v/>
      </c>
      <c r="P3683">
        <f>IF(G3683=1,IF(H3682=0,1,ABS(0.2-J3682*B3683/I3683)+ABS(0.2-K3682*C3683/I3683)+ABS(0.2-L3682*D3683/I3683)+ABS(0.2-M3682*E3683/I3683)+ABS(0.2-N3682*F3683/I3683)),0)</f>
        <v/>
      </c>
      <c r="Q3683">
        <f>P3683*0.0015</f>
        <v/>
      </c>
      <c r="R3683">
        <f>I3683*(1-Q3683)</f>
        <v/>
      </c>
      <c r="S3683">
        <f>R3683/R3682-1</f>
        <v/>
      </c>
      <c r="T3683">
        <f>MAX(T3682,R3683)</f>
        <v/>
      </c>
      <c r="U3683">
        <f>R3683/T3683-1</f>
        <v/>
      </c>
      <c r="V3683" t="n">
        <v>8.985869179392118</v>
      </c>
      <c r="W3683" s="5">
        <f>R3683-V3683</f>
        <v/>
      </c>
    </row>
    <row r="3684">
      <c r="A3684" s="3" t="n">
        <v>43866</v>
      </c>
      <c r="B3684">
        <f>Prices!B3684</f>
        <v/>
      </c>
      <c r="C3684">
        <f>Prices!C3684</f>
        <v/>
      </c>
      <c r="D3684">
        <f>Prices!D3684</f>
        <v/>
      </c>
      <c r="E3684">
        <f>Prices!E3684</f>
        <v/>
      </c>
      <c r="F3684">
        <f>Prices!F3684</f>
        <v/>
      </c>
      <c r="G3684">
        <f>IF(AND(3682&gt;=16,TEXT(A3684,"yyyy-mm")&lt;&gt;TEXT(A3685,"yyyy-mm")),1,0)</f>
        <v/>
      </c>
      <c r="H3684">
        <f>IF(OR(H3683=1,G3684=1),1,0)</f>
        <v/>
      </c>
      <c r="I3684">
        <f>IF(H3683=0,1,SUMPRODUCT(J3683:N3683,B3684:F3684)+O3683*(1+0.00023125256064071564))</f>
        <v/>
      </c>
      <c r="J3684">
        <f>IF(G3684=1,0.2*R3684/B3684,J3683)</f>
        <v/>
      </c>
      <c r="K3684">
        <f>IF(G3684=1,0.2*R3684/C3684,K3683)</f>
        <v/>
      </c>
      <c r="L3684">
        <f>IF(G3684=1,0.2*R3684/D3684,L3683)</f>
        <v/>
      </c>
      <c r="M3684">
        <f>IF(G3684=1,0.2*R3684/E3684,M3683)</f>
        <v/>
      </c>
      <c r="N3684">
        <f>IF(G3684=1,0.2*R3684/F3684,N3683)</f>
        <v/>
      </c>
      <c r="O3684">
        <f>IF(G3684=1,R3684*(1-1.0),IF(H3683=0,1,O3683*(1+0.00023125256064071564)))</f>
        <v/>
      </c>
      <c r="P3684">
        <f>IF(G3684=1,IF(H3683=0,1,ABS(0.2-J3683*B3684/I3684)+ABS(0.2-K3683*C3684/I3684)+ABS(0.2-L3683*D3684/I3684)+ABS(0.2-M3683*E3684/I3684)+ABS(0.2-N3683*F3684/I3684)),0)</f>
        <v/>
      </c>
      <c r="Q3684">
        <f>P3684*0.0015</f>
        <v/>
      </c>
      <c r="R3684">
        <f>I3684*(1-Q3684)</f>
        <v/>
      </c>
      <c r="S3684">
        <f>R3684/R3683-1</f>
        <v/>
      </c>
      <c r="T3684">
        <f>MAX(T3683,R3684)</f>
        <v/>
      </c>
      <c r="U3684">
        <f>R3684/T3684-1</f>
        <v/>
      </c>
      <c r="V3684" t="n">
        <v>9.062549921806129</v>
      </c>
      <c r="W3684" s="5">
        <f>R3684-V3684</f>
        <v/>
      </c>
    </row>
    <row r="3685">
      <c r="A3685" s="3" t="n">
        <v>43867</v>
      </c>
      <c r="B3685">
        <f>Prices!B3685</f>
        <v/>
      </c>
      <c r="C3685">
        <f>Prices!C3685</f>
        <v/>
      </c>
      <c r="D3685">
        <f>Prices!D3685</f>
        <v/>
      </c>
      <c r="E3685">
        <f>Prices!E3685</f>
        <v/>
      </c>
      <c r="F3685">
        <f>Prices!F3685</f>
        <v/>
      </c>
      <c r="G3685">
        <f>IF(AND(3683&gt;=16,TEXT(A3685,"yyyy-mm")&lt;&gt;TEXT(A3686,"yyyy-mm")),1,0)</f>
        <v/>
      </c>
      <c r="H3685">
        <f>IF(OR(H3684=1,G3685=1),1,0)</f>
        <v/>
      </c>
      <c r="I3685">
        <f>IF(H3684=0,1,SUMPRODUCT(J3684:N3684,B3685:F3685)+O3684*(1+0.00023125256064071564))</f>
        <v/>
      </c>
      <c r="J3685">
        <f>IF(G3685=1,0.2*R3685/B3685,J3684)</f>
        <v/>
      </c>
      <c r="K3685">
        <f>IF(G3685=1,0.2*R3685/C3685,K3684)</f>
        <v/>
      </c>
      <c r="L3685">
        <f>IF(G3685=1,0.2*R3685/D3685,L3684)</f>
        <v/>
      </c>
      <c r="M3685">
        <f>IF(G3685=1,0.2*R3685/E3685,M3684)</f>
        <v/>
      </c>
      <c r="N3685">
        <f>IF(G3685=1,0.2*R3685/F3685,N3684)</f>
        <v/>
      </c>
      <c r="O3685">
        <f>IF(G3685=1,R3685*(1-1.0),IF(H3684=0,1,O3684*(1+0.00023125256064071564)))</f>
        <v/>
      </c>
      <c r="P3685">
        <f>IF(G3685=1,IF(H3684=0,1,ABS(0.2-J3684*B3685/I3685)+ABS(0.2-K3684*C3685/I3685)+ABS(0.2-L3684*D3685/I3685)+ABS(0.2-M3684*E3685/I3685)+ABS(0.2-N3684*F3685/I3685)),0)</f>
        <v/>
      </c>
      <c r="Q3685">
        <f>P3685*0.0015</f>
        <v/>
      </c>
      <c r="R3685">
        <f>I3685*(1-Q3685)</f>
        <v/>
      </c>
      <c r="S3685">
        <f>R3685/R3684-1</f>
        <v/>
      </c>
      <c r="T3685">
        <f>MAX(T3684,R3685)</f>
        <v/>
      </c>
      <c r="U3685">
        <f>R3685/T3685-1</f>
        <v/>
      </c>
      <c r="V3685" t="n">
        <v>9.133612047062464</v>
      </c>
      <c r="W3685" s="5">
        <f>R3685-V3685</f>
        <v/>
      </c>
    </row>
    <row r="3686">
      <c r="A3686" s="3" t="n">
        <v>43868</v>
      </c>
      <c r="B3686">
        <f>Prices!B3686</f>
        <v/>
      </c>
      <c r="C3686">
        <f>Prices!C3686</f>
        <v/>
      </c>
      <c r="D3686">
        <f>Prices!D3686</f>
        <v/>
      </c>
      <c r="E3686">
        <f>Prices!E3686</f>
        <v/>
      </c>
      <c r="F3686">
        <f>Prices!F3686</f>
        <v/>
      </c>
      <c r="G3686">
        <f>IF(AND(3684&gt;=16,TEXT(A3686,"yyyy-mm")&lt;&gt;TEXT(A3687,"yyyy-mm")),1,0)</f>
        <v/>
      </c>
      <c r="H3686">
        <f>IF(OR(H3685=1,G3686=1),1,0)</f>
        <v/>
      </c>
      <c r="I3686">
        <f>IF(H3685=0,1,SUMPRODUCT(J3685:N3685,B3686:F3686)+O3685*(1+0.00023125256064071564))</f>
        <v/>
      </c>
      <c r="J3686">
        <f>IF(G3686=1,0.2*R3686/B3686,J3685)</f>
        <v/>
      </c>
      <c r="K3686">
        <f>IF(G3686=1,0.2*R3686/C3686,K3685)</f>
        <v/>
      </c>
      <c r="L3686">
        <f>IF(G3686=1,0.2*R3686/D3686,L3685)</f>
        <v/>
      </c>
      <c r="M3686">
        <f>IF(G3686=1,0.2*R3686/E3686,M3685)</f>
        <v/>
      </c>
      <c r="N3686">
        <f>IF(G3686=1,0.2*R3686/F3686,N3685)</f>
        <v/>
      </c>
      <c r="O3686">
        <f>IF(G3686=1,R3686*(1-1.0),IF(H3685=0,1,O3685*(1+0.00023125256064071564)))</f>
        <v/>
      </c>
      <c r="P3686">
        <f>IF(G3686=1,IF(H3685=0,1,ABS(0.2-J3685*B3686/I3686)+ABS(0.2-K3685*C3686/I3686)+ABS(0.2-L3685*D3686/I3686)+ABS(0.2-M3685*E3686/I3686)+ABS(0.2-N3685*F3686/I3686)),0)</f>
        <v/>
      </c>
      <c r="Q3686">
        <f>P3686*0.0015</f>
        <v/>
      </c>
      <c r="R3686">
        <f>I3686*(1-Q3686)</f>
        <v/>
      </c>
      <c r="S3686">
        <f>R3686/R3685-1</f>
        <v/>
      </c>
      <c r="T3686">
        <f>MAX(T3685,R3686)</f>
        <v/>
      </c>
      <c r="U3686">
        <f>R3686/T3686-1</f>
        <v/>
      </c>
      <c r="V3686" t="n">
        <v>9.184549772595942</v>
      </c>
      <c r="W3686" s="5">
        <f>R3686-V3686</f>
        <v/>
      </c>
    </row>
    <row r="3687">
      <c r="A3687" s="3" t="n">
        <v>43871</v>
      </c>
      <c r="B3687">
        <f>Prices!B3687</f>
        <v/>
      </c>
      <c r="C3687">
        <f>Prices!C3687</f>
        <v/>
      </c>
      <c r="D3687">
        <f>Prices!D3687</f>
        <v/>
      </c>
      <c r="E3687">
        <f>Prices!E3687</f>
        <v/>
      </c>
      <c r="F3687">
        <f>Prices!F3687</f>
        <v/>
      </c>
      <c r="G3687">
        <f>IF(AND(3685&gt;=16,TEXT(A3687,"yyyy-mm")&lt;&gt;TEXT(A3688,"yyyy-mm")),1,0)</f>
        <v/>
      </c>
      <c r="H3687">
        <f>IF(OR(H3686=1,G3687=1),1,0)</f>
        <v/>
      </c>
      <c r="I3687">
        <f>IF(H3686=0,1,SUMPRODUCT(J3686:N3686,B3687:F3687)+O3686*(1+0.00023125256064071564))</f>
        <v/>
      </c>
      <c r="J3687">
        <f>IF(G3687=1,0.2*R3687/B3687,J3686)</f>
        <v/>
      </c>
      <c r="K3687">
        <f>IF(G3687=1,0.2*R3687/C3687,K3686)</f>
        <v/>
      </c>
      <c r="L3687">
        <f>IF(G3687=1,0.2*R3687/D3687,L3686)</f>
        <v/>
      </c>
      <c r="M3687">
        <f>IF(G3687=1,0.2*R3687/E3687,M3686)</f>
        <v/>
      </c>
      <c r="N3687">
        <f>IF(G3687=1,0.2*R3687/F3687,N3686)</f>
        <v/>
      </c>
      <c r="O3687">
        <f>IF(G3687=1,R3687*(1-1.0),IF(H3686=0,1,O3686*(1+0.00023125256064071564)))</f>
        <v/>
      </c>
      <c r="P3687">
        <f>IF(G3687=1,IF(H3686=0,1,ABS(0.2-J3686*B3687/I3687)+ABS(0.2-K3686*C3687/I3687)+ABS(0.2-L3686*D3687/I3687)+ABS(0.2-M3686*E3687/I3687)+ABS(0.2-N3686*F3687/I3687)),0)</f>
        <v/>
      </c>
      <c r="Q3687">
        <f>P3687*0.0015</f>
        <v/>
      </c>
      <c r="R3687">
        <f>I3687*(1-Q3687)</f>
        <v/>
      </c>
      <c r="S3687">
        <f>R3687/R3686-1</f>
        <v/>
      </c>
      <c r="T3687">
        <f>MAX(T3686,R3687)</f>
        <v/>
      </c>
      <c r="U3687">
        <f>R3687/T3687-1</f>
        <v/>
      </c>
      <c r="V3687" t="n">
        <v>9.129603281086053</v>
      </c>
      <c r="W3687" s="5">
        <f>R3687-V3687</f>
        <v/>
      </c>
    </row>
    <row r="3688">
      <c r="A3688" s="3" t="n">
        <v>43872</v>
      </c>
      <c r="B3688">
        <f>Prices!B3688</f>
        <v/>
      </c>
      <c r="C3688">
        <f>Prices!C3688</f>
        <v/>
      </c>
      <c r="D3688">
        <f>Prices!D3688</f>
        <v/>
      </c>
      <c r="E3688">
        <f>Prices!E3688</f>
        <v/>
      </c>
      <c r="F3688">
        <f>Prices!F3688</f>
        <v/>
      </c>
      <c r="G3688">
        <f>IF(AND(3686&gt;=16,TEXT(A3688,"yyyy-mm")&lt;&gt;TEXT(A3689,"yyyy-mm")),1,0)</f>
        <v/>
      </c>
      <c r="H3688">
        <f>IF(OR(H3687=1,G3688=1),1,0)</f>
        <v/>
      </c>
      <c r="I3688">
        <f>IF(H3687=0,1,SUMPRODUCT(J3687:N3687,B3688:F3688)+O3687*(1+0.00023125256064071564))</f>
        <v/>
      </c>
      <c r="J3688">
        <f>IF(G3688=1,0.2*R3688/B3688,J3687)</f>
        <v/>
      </c>
      <c r="K3688">
        <f>IF(G3688=1,0.2*R3688/C3688,K3687)</f>
        <v/>
      </c>
      <c r="L3688">
        <f>IF(G3688=1,0.2*R3688/D3688,L3687)</f>
        <v/>
      </c>
      <c r="M3688">
        <f>IF(G3688=1,0.2*R3688/E3688,M3687)</f>
        <v/>
      </c>
      <c r="N3688">
        <f>IF(G3688=1,0.2*R3688/F3688,N3687)</f>
        <v/>
      </c>
      <c r="O3688">
        <f>IF(G3688=1,R3688*(1-1.0),IF(H3687=0,1,O3687*(1+0.00023125256064071564)))</f>
        <v/>
      </c>
      <c r="P3688">
        <f>IF(G3688=1,IF(H3687=0,1,ABS(0.2-J3687*B3688/I3688)+ABS(0.2-K3687*C3688/I3688)+ABS(0.2-L3687*D3688/I3688)+ABS(0.2-M3687*E3688/I3688)+ABS(0.2-N3687*F3688/I3688)),0)</f>
        <v/>
      </c>
      <c r="Q3688">
        <f>P3688*0.0015</f>
        <v/>
      </c>
      <c r="R3688">
        <f>I3688*(1-Q3688)</f>
        <v/>
      </c>
      <c r="S3688">
        <f>R3688/R3687-1</f>
        <v/>
      </c>
      <c r="T3688">
        <f>MAX(T3687,R3688)</f>
        <v/>
      </c>
      <c r="U3688">
        <f>R3688/T3688-1</f>
        <v/>
      </c>
      <c r="V3688" t="n">
        <v>9.149244385523223</v>
      </c>
      <c r="W3688" s="5">
        <f>R3688-V3688</f>
        <v/>
      </c>
    </row>
    <row r="3689">
      <c r="A3689" s="3" t="n">
        <v>43873</v>
      </c>
      <c r="B3689">
        <f>Prices!B3689</f>
        <v/>
      </c>
      <c r="C3689">
        <f>Prices!C3689</f>
        <v/>
      </c>
      <c r="D3689">
        <f>Prices!D3689</f>
        <v/>
      </c>
      <c r="E3689">
        <f>Prices!E3689</f>
        <v/>
      </c>
      <c r="F3689">
        <f>Prices!F3689</f>
        <v/>
      </c>
      <c r="G3689">
        <f>IF(AND(3687&gt;=16,TEXT(A3689,"yyyy-mm")&lt;&gt;TEXT(A3690,"yyyy-mm")),1,0)</f>
        <v/>
      </c>
      <c r="H3689">
        <f>IF(OR(H3688=1,G3689=1),1,0)</f>
        <v/>
      </c>
      <c r="I3689">
        <f>IF(H3688=0,1,SUMPRODUCT(J3688:N3688,B3689:F3689)+O3688*(1+0.00023125256064071564))</f>
        <v/>
      </c>
      <c r="J3689">
        <f>IF(G3689=1,0.2*R3689/B3689,J3688)</f>
        <v/>
      </c>
      <c r="K3689">
        <f>IF(G3689=1,0.2*R3689/C3689,K3688)</f>
        <v/>
      </c>
      <c r="L3689">
        <f>IF(G3689=1,0.2*R3689/D3689,L3688)</f>
        <v/>
      </c>
      <c r="M3689">
        <f>IF(G3689=1,0.2*R3689/E3689,M3688)</f>
        <v/>
      </c>
      <c r="N3689">
        <f>IF(G3689=1,0.2*R3689/F3689,N3688)</f>
        <v/>
      </c>
      <c r="O3689">
        <f>IF(G3689=1,R3689*(1-1.0),IF(H3688=0,1,O3688*(1+0.00023125256064071564)))</f>
        <v/>
      </c>
      <c r="P3689">
        <f>IF(G3689=1,IF(H3688=0,1,ABS(0.2-J3688*B3689/I3689)+ABS(0.2-K3688*C3689/I3689)+ABS(0.2-L3688*D3689/I3689)+ABS(0.2-M3688*E3689/I3689)+ABS(0.2-N3688*F3689/I3689)),0)</f>
        <v/>
      </c>
      <c r="Q3689">
        <f>P3689*0.0015</f>
        <v/>
      </c>
      <c r="R3689">
        <f>I3689*(1-Q3689)</f>
        <v/>
      </c>
      <c r="S3689">
        <f>R3689/R3688-1</f>
        <v/>
      </c>
      <c r="T3689">
        <f>MAX(T3688,R3689)</f>
        <v/>
      </c>
      <c r="U3689">
        <f>R3689/T3689-1</f>
        <v/>
      </c>
      <c r="V3689" t="n">
        <v>9.165176987041976</v>
      </c>
      <c r="W3689" s="5">
        <f>R3689-V3689</f>
        <v/>
      </c>
    </row>
    <row r="3690">
      <c r="A3690" s="3" t="n">
        <v>43874</v>
      </c>
      <c r="B3690">
        <f>Prices!B3690</f>
        <v/>
      </c>
      <c r="C3690">
        <f>Prices!C3690</f>
        <v/>
      </c>
      <c r="D3690">
        <f>Prices!D3690</f>
        <v/>
      </c>
      <c r="E3690">
        <f>Prices!E3690</f>
        <v/>
      </c>
      <c r="F3690">
        <f>Prices!F3690</f>
        <v/>
      </c>
      <c r="G3690">
        <f>IF(AND(3688&gt;=16,TEXT(A3690,"yyyy-mm")&lt;&gt;TEXT(A3691,"yyyy-mm")),1,0)</f>
        <v/>
      </c>
      <c r="H3690">
        <f>IF(OR(H3689=1,G3690=1),1,0)</f>
        <v/>
      </c>
      <c r="I3690">
        <f>IF(H3689=0,1,SUMPRODUCT(J3689:N3689,B3690:F3690)+O3689*(1+0.00023125256064071564))</f>
        <v/>
      </c>
      <c r="J3690">
        <f>IF(G3690=1,0.2*R3690/B3690,J3689)</f>
        <v/>
      </c>
      <c r="K3690">
        <f>IF(G3690=1,0.2*R3690/C3690,K3689)</f>
        <v/>
      </c>
      <c r="L3690">
        <f>IF(G3690=1,0.2*R3690/D3690,L3689)</f>
        <v/>
      </c>
      <c r="M3690">
        <f>IF(G3690=1,0.2*R3690/E3690,M3689)</f>
        <v/>
      </c>
      <c r="N3690">
        <f>IF(G3690=1,0.2*R3690/F3690,N3689)</f>
        <v/>
      </c>
      <c r="O3690">
        <f>IF(G3690=1,R3690*(1-1.0),IF(H3689=0,1,O3689*(1+0.00023125256064071564)))</f>
        <v/>
      </c>
      <c r="P3690">
        <f>IF(G3690=1,IF(H3689=0,1,ABS(0.2-J3689*B3690/I3690)+ABS(0.2-K3689*C3690/I3690)+ABS(0.2-L3689*D3690/I3690)+ABS(0.2-M3689*E3690/I3690)+ABS(0.2-N3689*F3690/I3690)),0)</f>
        <v/>
      </c>
      <c r="Q3690">
        <f>P3690*0.0015</f>
        <v/>
      </c>
      <c r="R3690">
        <f>I3690*(1-Q3690)</f>
        <v/>
      </c>
      <c r="S3690">
        <f>R3690/R3689-1</f>
        <v/>
      </c>
      <c r="T3690">
        <f>MAX(T3689,R3690)</f>
        <v/>
      </c>
      <c r="U3690">
        <f>R3690/T3690-1</f>
        <v/>
      </c>
      <c r="V3690" t="n">
        <v>9.135226328762794</v>
      </c>
      <c r="W3690" s="5">
        <f>R3690-V3690</f>
        <v/>
      </c>
    </row>
    <row r="3691">
      <c r="A3691" s="3" t="n">
        <v>43875</v>
      </c>
      <c r="B3691">
        <f>Prices!B3691</f>
        <v/>
      </c>
      <c r="C3691">
        <f>Prices!C3691</f>
        <v/>
      </c>
      <c r="D3691">
        <f>Prices!D3691</f>
        <v/>
      </c>
      <c r="E3691">
        <f>Prices!E3691</f>
        <v/>
      </c>
      <c r="F3691">
        <f>Prices!F3691</f>
        <v/>
      </c>
      <c r="G3691">
        <f>IF(AND(3689&gt;=16,TEXT(A3691,"yyyy-mm")&lt;&gt;TEXT(A3692,"yyyy-mm")),1,0)</f>
        <v/>
      </c>
      <c r="H3691">
        <f>IF(OR(H3690=1,G3691=1),1,0)</f>
        <v/>
      </c>
      <c r="I3691">
        <f>IF(H3690=0,1,SUMPRODUCT(J3690:N3690,B3691:F3691)+O3690*(1+0.00023125256064071564))</f>
        <v/>
      </c>
      <c r="J3691">
        <f>IF(G3691=1,0.2*R3691/B3691,J3690)</f>
        <v/>
      </c>
      <c r="K3691">
        <f>IF(G3691=1,0.2*R3691/C3691,K3690)</f>
        <v/>
      </c>
      <c r="L3691">
        <f>IF(G3691=1,0.2*R3691/D3691,L3690)</f>
        <v/>
      </c>
      <c r="M3691">
        <f>IF(G3691=1,0.2*R3691/E3691,M3690)</f>
        <v/>
      </c>
      <c r="N3691">
        <f>IF(G3691=1,0.2*R3691/F3691,N3690)</f>
        <v/>
      </c>
      <c r="O3691">
        <f>IF(G3691=1,R3691*(1-1.0),IF(H3690=0,1,O3690*(1+0.00023125256064071564)))</f>
        <v/>
      </c>
      <c r="P3691">
        <f>IF(G3691=1,IF(H3690=0,1,ABS(0.2-J3690*B3691/I3691)+ABS(0.2-K3690*C3691/I3691)+ABS(0.2-L3690*D3691/I3691)+ABS(0.2-M3690*E3691/I3691)+ABS(0.2-N3690*F3691/I3691)),0)</f>
        <v/>
      </c>
      <c r="Q3691">
        <f>P3691*0.0015</f>
        <v/>
      </c>
      <c r="R3691">
        <f>I3691*(1-Q3691)</f>
        <v/>
      </c>
      <c r="S3691">
        <f>R3691/R3690-1</f>
        <v/>
      </c>
      <c r="T3691">
        <f>MAX(T3690,R3691)</f>
        <v/>
      </c>
      <c r="U3691">
        <f>R3691/T3691-1</f>
        <v/>
      </c>
      <c r="V3691" t="n">
        <v>9.097218471217937</v>
      </c>
      <c r="W3691" s="5">
        <f>R3691-V3691</f>
        <v/>
      </c>
    </row>
    <row r="3692">
      <c r="A3692" s="3" t="n">
        <v>43878</v>
      </c>
      <c r="B3692">
        <f>Prices!B3692</f>
        <v/>
      </c>
      <c r="C3692">
        <f>Prices!C3692</f>
        <v/>
      </c>
      <c r="D3692">
        <f>Prices!D3692</f>
        <v/>
      </c>
      <c r="E3692">
        <f>Prices!E3692</f>
        <v/>
      </c>
      <c r="F3692">
        <f>Prices!F3692</f>
        <v/>
      </c>
      <c r="G3692">
        <f>IF(AND(3690&gt;=16,TEXT(A3692,"yyyy-mm")&lt;&gt;TEXT(A3693,"yyyy-mm")),1,0)</f>
        <v/>
      </c>
      <c r="H3692">
        <f>IF(OR(H3691=1,G3692=1),1,0)</f>
        <v/>
      </c>
      <c r="I3692">
        <f>IF(H3691=0,1,SUMPRODUCT(J3691:N3691,B3692:F3692)+O3691*(1+0.00023125256064071564))</f>
        <v/>
      </c>
      <c r="J3692">
        <f>IF(G3692=1,0.2*R3692/B3692,J3691)</f>
        <v/>
      </c>
      <c r="K3692">
        <f>IF(G3692=1,0.2*R3692/C3692,K3691)</f>
        <v/>
      </c>
      <c r="L3692">
        <f>IF(G3692=1,0.2*R3692/D3692,L3691)</f>
        <v/>
      </c>
      <c r="M3692">
        <f>IF(G3692=1,0.2*R3692/E3692,M3691)</f>
        <v/>
      </c>
      <c r="N3692">
        <f>IF(G3692=1,0.2*R3692/F3692,N3691)</f>
        <v/>
      </c>
      <c r="O3692">
        <f>IF(G3692=1,R3692*(1-1.0),IF(H3691=0,1,O3691*(1+0.00023125256064071564)))</f>
        <v/>
      </c>
      <c r="P3692">
        <f>IF(G3692=1,IF(H3691=0,1,ABS(0.2-J3691*B3692/I3692)+ABS(0.2-K3691*C3692/I3692)+ABS(0.2-L3691*D3692/I3692)+ABS(0.2-M3691*E3692/I3692)+ABS(0.2-N3691*F3692/I3692)),0)</f>
        <v/>
      </c>
      <c r="Q3692">
        <f>P3692*0.0015</f>
        <v/>
      </c>
      <c r="R3692">
        <f>I3692*(1-Q3692)</f>
        <v/>
      </c>
      <c r="S3692">
        <f>R3692/R3691-1</f>
        <v/>
      </c>
      <c r="T3692">
        <f>MAX(T3691,R3692)</f>
        <v/>
      </c>
      <c r="U3692">
        <f>R3692/T3692-1</f>
        <v/>
      </c>
      <c r="V3692" t="n">
        <v>9.005457364472232</v>
      </c>
      <c r="W3692" s="5">
        <f>R3692-V3692</f>
        <v/>
      </c>
    </row>
    <row r="3693">
      <c r="A3693" s="3" t="n">
        <v>43879</v>
      </c>
      <c r="B3693">
        <f>Prices!B3693</f>
        <v/>
      </c>
      <c r="C3693">
        <f>Prices!C3693</f>
        <v/>
      </c>
      <c r="D3693">
        <f>Prices!D3693</f>
        <v/>
      </c>
      <c r="E3693">
        <f>Prices!E3693</f>
        <v/>
      </c>
      <c r="F3693">
        <f>Prices!F3693</f>
        <v/>
      </c>
      <c r="G3693">
        <f>IF(AND(3691&gt;=16,TEXT(A3693,"yyyy-mm")&lt;&gt;TEXT(A3694,"yyyy-mm")),1,0)</f>
        <v/>
      </c>
      <c r="H3693">
        <f>IF(OR(H3692=1,G3693=1),1,0)</f>
        <v/>
      </c>
      <c r="I3693">
        <f>IF(H3692=0,1,SUMPRODUCT(J3692:N3692,B3693:F3693)+O3692*(1+0.00023125256064071564))</f>
        <v/>
      </c>
      <c r="J3693">
        <f>IF(G3693=1,0.2*R3693/B3693,J3692)</f>
        <v/>
      </c>
      <c r="K3693">
        <f>IF(G3693=1,0.2*R3693/C3693,K3692)</f>
        <v/>
      </c>
      <c r="L3693">
        <f>IF(G3693=1,0.2*R3693/D3693,L3692)</f>
        <v/>
      </c>
      <c r="M3693">
        <f>IF(G3693=1,0.2*R3693/E3693,M3692)</f>
        <v/>
      </c>
      <c r="N3693">
        <f>IF(G3693=1,0.2*R3693/F3693,N3692)</f>
        <v/>
      </c>
      <c r="O3693">
        <f>IF(G3693=1,R3693*(1-1.0),IF(H3692=0,1,O3692*(1+0.00023125256064071564)))</f>
        <v/>
      </c>
      <c r="P3693">
        <f>IF(G3693=1,IF(H3692=0,1,ABS(0.2-J3692*B3693/I3693)+ABS(0.2-K3692*C3693/I3693)+ABS(0.2-L3692*D3693/I3693)+ABS(0.2-M3692*E3693/I3693)+ABS(0.2-N3692*F3693/I3693)),0)</f>
        <v/>
      </c>
      <c r="Q3693">
        <f>P3693*0.0015</f>
        <v/>
      </c>
      <c r="R3693">
        <f>I3693*(1-Q3693)</f>
        <v/>
      </c>
      <c r="S3693">
        <f>R3693/R3692-1</f>
        <v/>
      </c>
      <c r="T3693">
        <f>MAX(T3692,R3693)</f>
        <v/>
      </c>
      <c r="U3693">
        <f>R3693/T3693-1</f>
        <v/>
      </c>
      <c r="V3693" t="n">
        <v>8.969980523509243</v>
      </c>
      <c r="W3693" s="5">
        <f>R3693-V3693</f>
        <v/>
      </c>
    </row>
    <row r="3694">
      <c r="A3694" s="3" t="n">
        <v>43880</v>
      </c>
      <c r="B3694">
        <f>Prices!B3694</f>
        <v/>
      </c>
      <c r="C3694">
        <f>Prices!C3694</f>
        <v/>
      </c>
      <c r="D3694">
        <f>Prices!D3694</f>
        <v/>
      </c>
      <c r="E3694">
        <f>Prices!E3694</f>
        <v/>
      </c>
      <c r="F3694">
        <f>Prices!F3694</f>
        <v/>
      </c>
      <c r="G3694">
        <f>IF(AND(3692&gt;=16,TEXT(A3694,"yyyy-mm")&lt;&gt;TEXT(A3695,"yyyy-mm")),1,0)</f>
        <v/>
      </c>
      <c r="H3694">
        <f>IF(OR(H3693=1,G3694=1),1,0)</f>
        <v/>
      </c>
      <c r="I3694">
        <f>IF(H3693=0,1,SUMPRODUCT(J3693:N3693,B3694:F3694)+O3693*(1+0.00023125256064071564))</f>
        <v/>
      </c>
      <c r="J3694">
        <f>IF(G3694=1,0.2*R3694/B3694,J3693)</f>
        <v/>
      </c>
      <c r="K3694">
        <f>IF(G3694=1,0.2*R3694/C3694,K3693)</f>
        <v/>
      </c>
      <c r="L3694">
        <f>IF(G3694=1,0.2*R3694/D3694,L3693)</f>
        <v/>
      </c>
      <c r="M3694">
        <f>IF(G3694=1,0.2*R3694/E3694,M3693)</f>
        <v/>
      </c>
      <c r="N3694">
        <f>IF(G3694=1,0.2*R3694/F3694,N3693)</f>
        <v/>
      </c>
      <c r="O3694">
        <f>IF(G3694=1,R3694*(1-1.0),IF(H3693=0,1,O3693*(1+0.00023125256064071564)))</f>
        <v/>
      </c>
      <c r="P3694">
        <f>IF(G3694=1,IF(H3693=0,1,ABS(0.2-J3693*B3694/I3694)+ABS(0.2-K3693*C3694/I3694)+ABS(0.2-L3693*D3694/I3694)+ABS(0.2-M3693*E3694/I3694)+ABS(0.2-N3693*F3694/I3694)),0)</f>
        <v/>
      </c>
      <c r="Q3694">
        <f>P3694*0.0015</f>
        <v/>
      </c>
      <c r="R3694">
        <f>I3694*(1-Q3694)</f>
        <v/>
      </c>
      <c r="S3694">
        <f>R3694/R3693-1</f>
        <v/>
      </c>
      <c r="T3694">
        <f>MAX(T3693,R3694)</f>
        <v/>
      </c>
      <c r="U3694">
        <f>R3694/T3694-1</f>
        <v/>
      </c>
      <c r="V3694" t="n">
        <v>9.114720809327171</v>
      </c>
      <c r="W3694" s="5">
        <f>R3694-V3694</f>
        <v/>
      </c>
    </row>
    <row r="3695">
      <c r="A3695" s="3" t="n">
        <v>43881</v>
      </c>
      <c r="B3695">
        <f>Prices!B3695</f>
        <v/>
      </c>
      <c r="C3695">
        <f>Prices!C3695</f>
        <v/>
      </c>
      <c r="D3695">
        <f>Prices!D3695</f>
        <v/>
      </c>
      <c r="E3695">
        <f>Prices!E3695</f>
        <v/>
      </c>
      <c r="F3695">
        <f>Prices!F3695</f>
        <v/>
      </c>
      <c r="G3695">
        <f>IF(AND(3693&gt;=16,TEXT(A3695,"yyyy-mm")&lt;&gt;TEXT(A3696,"yyyy-mm")),1,0)</f>
        <v/>
      </c>
      <c r="H3695">
        <f>IF(OR(H3694=1,G3695=1),1,0)</f>
        <v/>
      </c>
      <c r="I3695">
        <f>IF(H3694=0,1,SUMPRODUCT(J3694:N3694,B3695:F3695)+O3694*(1+0.00023125256064071564))</f>
        <v/>
      </c>
      <c r="J3695">
        <f>IF(G3695=1,0.2*R3695/B3695,J3694)</f>
        <v/>
      </c>
      <c r="K3695">
        <f>IF(G3695=1,0.2*R3695/C3695,K3694)</f>
        <v/>
      </c>
      <c r="L3695">
        <f>IF(G3695=1,0.2*R3695/D3695,L3694)</f>
        <v/>
      </c>
      <c r="M3695">
        <f>IF(G3695=1,0.2*R3695/E3695,M3694)</f>
        <v/>
      </c>
      <c r="N3695">
        <f>IF(G3695=1,0.2*R3695/F3695,N3694)</f>
        <v/>
      </c>
      <c r="O3695">
        <f>IF(G3695=1,R3695*(1-1.0),IF(H3694=0,1,O3694*(1+0.00023125256064071564)))</f>
        <v/>
      </c>
      <c r="P3695">
        <f>IF(G3695=1,IF(H3694=0,1,ABS(0.2-J3694*B3695/I3695)+ABS(0.2-K3694*C3695/I3695)+ABS(0.2-L3694*D3695/I3695)+ABS(0.2-M3694*E3695/I3695)+ABS(0.2-N3694*F3695/I3695)),0)</f>
        <v/>
      </c>
      <c r="Q3695">
        <f>P3695*0.0015</f>
        <v/>
      </c>
      <c r="R3695">
        <f>I3695*(1-Q3695)</f>
        <v/>
      </c>
      <c r="S3695">
        <f>R3695/R3694-1</f>
        <v/>
      </c>
      <c r="T3695">
        <f>MAX(T3694,R3695)</f>
        <v/>
      </c>
      <c r="U3695">
        <f>R3695/T3695-1</f>
        <v/>
      </c>
      <c r="V3695" t="n">
        <v>9.114973717326011</v>
      </c>
      <c r="W3695" s="5">
        <f>R3695-V3695</f>
        <v/>
      </c>
    </row>
    <row r="3696">
      <c r="A3696" s="3" t="n">
        <v>43885</v>
      </c>
      <c r="B3696">
        <f>Prices!B3696</f>
        <v/>
      </c>
      <c r="C3696">
        <f>Prices!C3696</f>
        <v/>
      </c>
      <c r="D3696">
        <f>Prices!D3696</f>
        <v/>
      </c>
      <c r="E3696">
        <f>Prices!E3696</f>
        <v/>
      </c>
      <c r="F3696">
        <f>Prices!F3696</f>
        <v/>
      </c>
      <c r="G3696">
        <f>IF(AND(3694&gt;=16,TEXT(A3696,"yyyy-mm")&lt;&gt;TEXT(A3697,"yyyy-mm")),1,0)</f>
        <v/>
      </c>
      <c r="H3696">
        <f>IF(OR(H3695=1,G3696=1),1,0)</f>
        <v/>
      </c>
      <c r="I3696">
        <f>IF(H3695=0,1,SUMPRODUCT(J3695:N3695,B3696:F3696)+O3695*(1+0.00023125256064071564))</f>
        <v/>
      </c>
      <c r="J3696">
        <f>IF(G3696=1,0.2*R3696/B3696,J3695)</f>
        <v/>
      </c>
      <c r="K3696">
        <f>IF(G3696=1,0.2*R3696/C3696,K3695)</f>
        <v/>
      </c>
      <c r="L3696">
        <f>IF(G3696=1,0.2*R3696/D3696,L3695)</f>
        <v/>
      </c>
      <c r="M3696">
        <f>IF(G3696=1,0.2*R3696/E3696,M3695)</f>
        <v/>
      </c>
      <c r="N3696">
        <f>IF(G3696=1,0.2*R3696/F3696,N3695)</f>
        <v/>
      </c>
      <c r="O3696">
        <f>IF(G3696=1,R3696*(1-1.0),IF(H3695=0,1,O3695*(1+0.00023125256064071564)))</f>
        <v/>
      </c>
      <c r="P3696">
        <f>IF(G3696=1,IF(H3695=0,1,ABS(0.2-J3695*B3696/I3696)+ABS(0.2-K3695*C3696/I3696)+ABS(0.2-L3695*D3696/I3696)+ABS(0.2-M3695*E3696/I3696)+ABS(0.2-N3695*F3696/I3696)),0)</f>
        <v/>
      </c>
      <c r="Q3696">
        <f>P3696*0.0015</f>
        <v/>
      </c>
      <c r="R3696">
        <f>I3696*(1-Q3696)</f>
        <v/>
      </c>
      <c r="S3696">
        <f>R3696/R3695-1</f>
        <v/>
      </c>
      <c r="T3696">
        <f>MAX(T3695,R3696)</f>
        <v/>
      </c>
      <c r="U3696">
        <f>R3696/T3696-1</f>
        <v/>
      </c>
      <c r="V3696" t="n">
        <v>8.934081230520263</v>
      </c>
      <c r="W3696" s="5">
        <f>R3696-V3696</f>
        <v/>
      </c>
    </row>
    <row r="3697">
      <c r="A3697" s="3" t="n">
        <v>43886</v>
      </c>
      <c r="B3697">
        <f>Prices!B3697</f>
        <v/>
      </c>
      <c r="C3697">
        <f>Prices!C3697</f>
        <v/>
      </c>
      <c r="D3697">
        <f>Prices!D3697</f>
        <v/>
      </c>
      <c r="E3697">
        <f>Prices!E3697</f>
        <v/>
      </c>
      <c r="F3697">
        <f>Prices!F3697</f>
        <v/>
      </c>
      <c r="G3697">
        <f>IF(AND(3695&gt;=16,TEXT(A3697,"yyyy-mm")&lt;&gt;TEXT(A3698,"yyyy-mm")),1,0)</f>
        <v/>
      </c>
      <c r="H3697">
        <f>IF(OR(H3696=1,G3697=1),1,0)</f>
        <v/>
      </c>
      <c r="I3697">
        <f>IF(H3696=0,1,SUMPRODUCT(J3696:N3696,B3697:F3697)+O3696*(1+0.00023125256064071564))</f>
        <v/>
      </c>
      <c r="J3697">
        <f>IF(G3697=1,0.2*R3697/B3697,J3696)</f>
        <v/>
      </c>
      <c r="K3697">
        <f>IF(G3697=1,0.2*R3697/C3697,K3696)</f>
        <v/>
      </c>
      <c r="L3697">
        <f>IF(G3697=1,0.2*R3697/D3697,L3696)</f>
        <v/>
      </c>
      <c r="M3697">
        <f>IF(G3697=1,0.2*R3697/E3697,M3696)</f>
        <v/>
      </c>
      <c r="N3697">
        <f>IF(G3697=1,0.2*R3697/F3697,N3696)</f>
        <v/>
      </c>
      <c r="O3697">
        <f>IF(G3697=1,R3697*(1-1.0),IF(H3696=0,1,O3696*(1+0.00023125256064071564)))</f>
        <v/>
      </c>
      <c r="P3697">
        <f>IF(G3697=1,IF(H3696=0,1,ABS(0.2-J3696*B3697/I3697)+ABS(0.2-K3696*C3697/I3697)+ABS(0.2-L3696*D3697/I3697)+ABS(0.2-M3696*E3697/I3697)+ABS(0.2-N3696*F3697/I3697)),0)</f>
        <v/>
      </c>
      <c r="Q3697">
        <f>P3697*0.0015</f>
        <v/>
      </c>
      <c r="R3697">
        <f>I3697*(1-Q3697)</f>
        <v/>
      </c>
      <c r="S3697">
        <f>R3697/R3696-1</f>
        <v/>
      </c>
      <c r="T3697">
        <f>MAX(T3696,R3697)</f>
        <v/>
      </c>
      <c r="U3697">
        <f>R3697/T3697-1</f>
        <v/>
      </c>
      <c r="V3697" t="n">
        <v>8.898060583575015</v>
      </c>
      <c r="W3697" s="5">
        <f>R3697-V3697</f>
        <v/>
      </c>
    </row>
    <row r="3698">
      <c r="A3698" s="3" t="n">
        <v>43887</v>
      </c>
      <c r="B3698">
        <f>Prices!B3698</f>
        <v/>
      </c>
      <c r="C3698">
        <f>Prices!C3698</f>
        <v/>
      </c>
      <c r="D3698">
        <f>Prices!D3698</f>
        <v/>
      </c>
      <c r="E3698">
        <f>Prices!E3698</f>
        <v/>
      </c>
      <c r="F3698">
        <f>Prices!F3698</f>
        <v/>
      </c>
      <c r="G3698">
        <f>IF(AND(3696&gt;=16,TEXT(A3698,"yyyy-mm")&lt;&gt;TEXT(A3699,"yyyy-mm")),1,0)</f>
        <v/>
      </c>
      <c r="H3698">
        <f>IF(OR(H3697=1,G3698=1),1,0)</f>
        <v/>
      </c>
      <c r="I3698">
        <f>IF(H3697=0,1,SUMPRODUCT(J3697:N3697,B3698:F3698)+O3697*(1+0.00023125256064071564))</f>
        <v/>
      </c>
      <c r="J3698">
        <f>IF(G3698=1,0.2*R3698/B3698,J3697)</f>
        <v/>
      </c>
      <c r="K3698">
        <f>IF(G3698=1,0.2*R3698/C3698,K3697)</f>
        <v/>
      </c>
      <c r="L3698">
        <f>IF(G3698=1,0.2*R3698/D3698,L3697)</f>
        <v/>
      </c>
      <c r="M3698">
        <f>IF(G3698=1,0.2*R3698/E3698,M3697)</f>
        <v/>
      </c>
      <c r="N3698">
        <f>IF(G3698=1,0.2*R3698/F3698,N3697)</f>
        <v/>
      </c>
      <c r="O3698">
        <f>IF(G3698=1,R3698*(1-1.0),IF(H3697=0,1,O3697*(1+0.00023125256064071564)))</f>
        <v/>
      </c>
      <c r="P3698">
        <f>IF(G3698=1,IF(H3697=0,1,ABS(0.2-J3697*B3698/I3698)+ABS(0.2-K3697*C3698/I3698)+ABS(0.2-L3697*D3698/I3698)+ABS(0.2-M3697*E3698/I3698)+ABS(0.2-N3697*F3698/I3698)),0)</f>
        <v/>
      </c>
      <c r="Q3698">
        <f>P3698*0.0015</f>
        <v/>
      </c>
      <c r="R3698">
        <f>I3698*(1-Q3698)</f>
        <v/>
      </c>
      <c r="S3698">
        <f>R3698/R3697-1</f>
        <v/>
      </c>
      <c r="T3698">
        <f>MAX(T3697,R3698)</f>
        <v/>
      </c>
      <c r="U3698">
        <f>R3698/T3698-1</f>
        <v/>
      </c>
      <c r="V3698" t="n">
        <v>8.813605247890573</v>
      </c>
      <c r="W3698" s="5">
        <f>R3698-V3698</f>
        <v/>
      </c>
    </row>
    <row r="3699">
      <c r="A3699" s="3" t="n">
        <v>43888</v>
      </c>
      <c r="B3699">
        <f>Prices!B3699</f>
        <v/>
      </c>
      <c r="C3699">
        <f>Prices!C3699</f>
        <v/>
      </c>
      <c r="D3699">
        <f>Prices!D3699</f>
        <v/>
      </c>
      <c r="E3699">
        <f>Prices!E3699</f>
        <v/>
      </c>
      <c r="F3699">
        <f>Prices!F3699</f>
        <v/>
      </c>
      <c r="G3699">
        <f>IF(AND(3697&gt;=16,TEXT(A3699,"yyyy-mm")&lt;&gt;TEXT(A3700,"yyyy-mm")),1,0)</f>
        <v/>
      </c>
      <c r="H3699">
        <f>IF(OR(H3698=1,G3699=1),1,0)</f>
        <v/>
      </c>
      <c r="I3699">
        <f>IF(H3698=0,1,SUMPRODUCT(J3698:N3698,B3699:F3699)+O3698*(1+0.00023125256064071564))</f>
        <v/>
      </c>
      <c r="J3699">
        <f>IF(G3699=1,0.2*R3699/B3699,J3698)</f>
        <v/>
      </c>
      <c r="K3699">
        <f>IF(G3699=1,0.2*R3699/C3699,K3698)</f>
        <v/>
      </c>
      <c r="L3699">
        <f>IF(G3699=1,0.2*R3699/D3699,L3698)</f>
        <v/>
      </c>
      <c r="M3699">
        <f>IF(G3699=1,0.2*R3699/E3699,M3698)</f>
        <v/>
      </c>
      <c r="N3699">
        <f>IF(G3699=1,0.2*R3699/F3699,N3698)</f>
        <v/>
      </c>
      <c r="O3699">
        <f>IF(G3699=1,R3699*(1-1.0),IF(H3698=0,1,O3698*(1+0.00023125256064071564)))</f>
        <v/>
      </c>
      <c r="P3699">
        <f>IF(G3699=1,IF(H3698=0,1,ABS(0.2-J3698*B3699/I3699)+ABS(0.2-K3698*C3699/I3699)+ABS(0.2-L3698*D3699/I3699)+ABS(0.2-M3698*E3699/I3699)+ABS(0.2-N3698*F3699/I3699)),0)</f>
        <v/>
      </c>
      <c r="Q3699">
        <f>P3699*0.0015</f>
        <v/>
      </c>
      <c r="R3699">
        <f>I3699*(1-Q3699)</f>
        <v/>
      </c>
      <c r="S3699">
        <f>R3699/R3698-1</f>
        <v/>
      </c>
      <c r="T3699">
        <f>MAX(T3698,R3699)</f>
        <v/>
      </c>
      <c r="U3699">
        <f>R3699/T3699-1</f>
        <v/>
      </c>
      <c r="V3699" t="n">
        <v>8.765125451388295</v>
      </c>
      <c r="W3699" s="5">
        <f>R3699-V3699</f>
        <v/>
      </c>
    </row>
    <row r="3700">
      <c r="A3700" s="3" t="n">
        <v>43889</v>
      </c>
      <c r="B3700">
        <f>Prices!B3700</f>
        <v/>
      </c>
      <c r="C3700">
        <f>Prices!C3700</f>
        <v/>
      </c>
      <c r="D3700">
        <f>Prices!D3700</f>
        <v/>
      </c>
      <c r="E3700">
        <f>Prices!E3700</f>
        <v/>
      </c>
      <c r="F3700">
        <f>Prices!F3700</f>
        <v/>
      </c>
      <c r="G3700">
        <f>IF(AND(3698&gt;=16,TEXT(A3700,"yyyy-mm")&lt;&gt;TEXT(A3701,"yyyy-mm")),1,0)</f>
        <v/>
      </c>
      <c r="H3700">
        <f>IF(OR(H3699=1,G3700=1),1,0)</f>
        <v/>
      </c>
      <c r="I3700">
        <f>IF(H3699=0,1,SUMPRODUCT(J3699:N3699,B3700:F3700)+O3699*(1+0.00023125256064071564))</f>
        <v/>
      </c>
      <c r="J3700">
        <f>IF(G3700=1,0.2*R3700/B3700,J3699)</f>
        <v/>
      </c>
      <c r="K3700">
        <f>IF(G3700=1,0.2*R3700/C3700,K3699)</f>
        <v/>
      </c>
      <c r="L3700">
        <f>IF(G3700=1,0.2*R3700/D3700,L3699)</f>
        <v/>
      </c>
      <c r="M3700">
        <f>IF(G3700=1,0.2*R3700/E3700,M3699)</f>
        <v/>
      </c>
      <c r="N3700">
        <f>IF(G3700=1,0.2*R3700/F3700,N3699)</f>
        <v/>
      </c>
      <c r="O3700">
        <f>IF(G3700=1,R3700*(1-1.0),IF(H3699=0,1,O3699*(1+0.00023125256064071564)))</f>
        <v/>
      </c>
      <c r="P3700">
        <f>IF(G3700=1,IF(H3699=0,1,ABS(0.2-J3699*B3700/I3700)+ABS(0.2-K3699*C3700/I3700)+ABS(0.2-L3699*D3700/I3700)+ABS(0.2-M3699*E3700/I3700)+ABS(0.2-N3699*F3700/I3700)),0)</f>
        <v/>
      </c>
      <c r="Q3700">
        <f>P3700*0.0015</f>
        <v/>
      </c>
      <c r="R3700">
        <f>I3700*(1-Q3700)</f>
        <v/>
      </c>
      <c r="S3700">
        <f>R3700/R3699-1</f>
        <v/>
      </c>
      <c r="T3700">
        <f>MAX(T3699,R3700)</f>
        <v/>
      </c>
      <c r="U3700">
        <f>R3700/T3700-1</f>
        <v/>
      </c>
      <c r="V3700" t="n">
        <v>8.450651061770554</v>
      </c>
      <c r="W3700" s="5">
        <f>R3700-V3700</f>
        <v/>
      </c>
    </row>
    <row r="3701">
      <c r="A3701" s="3" t="n">
        <v>43892</v>
      </c>
      <c r="B3701">
        <f>Prices!B3701</f>
        <v/>
      </c>
      <c r="C3701">
        <f>Prices!C3701</f>
        <v/>
      </c>
      <c r="D3701">
        <f>Prices!D3701</f>
        <v/>
      </c>
      <c r="E3701">
        <f>Prices!E3701</f>
        <v/>
      </c>
      <c r="F3701">
        <f>Prices!F3701</f>
        <v/>
      </c>
      <c r="G3701">
        <f>IF(AND(3699&gt;=16,TEXT(A3701,"yyyy-mm")&lt;&gt;TEXT(A3702,"yyyy-mm")),1,0)</f>
        <v/>
      </c>
      <c r="H3701">
        <f>IF(OR(H3700=1,G3701=1),1,0)</f>
        <v/>
      </c>
      <c r="I3701">
        <f>IF(H3700=0,1,SUMPRODUCT(J3700:N3700,B3701:F3701)+O3700*(1+0.00023125256064071564))</f>
        <v/>
      </c>
      <c r="J3701">
        <f>IF(G3701=1,0.2*R3701/B3701,J3700)</f>
        <v/>
      </c>
      <c r="K3701">
        <f>IF(G3701=1,0.2*R3701/C3701,K3700)</f>
        <v/>
      </c>
      <c r="L3701">
        <f>IF(G3701=1,0.2*R3701/D3701,L3700)</f>
        <v/>
      </c>
      <c r="M3701">
        <f>IF(G3701=1,0.2*R3701/E3701,M3700)</f>
        <v/>
      </c>
      <c r="N3701">
        <f>IF(G3701=1,0.2*R3701/F3701,N3700)</f>
        <v/>
      </c>
      <c r="O3701">
        <f>IF(G3701=1,R3701*(1-1.0),IF(H3700=0,1,O3700*(1+0.00023125256064071564)))</f>
        <v/>
      </c>
      <c r="P3701">
        <f>IF(G3701=1,IF(H3700=0,1,ABS(0.2-J3700*B3701/I3701)+ABS(0.2-K3700*C3701/I3701)+ABS(0.2-L3700*D3701/I3701)+ABS(0.2-M3700*E3701/I3701)+ABS(0.2-N3700*F3701/I3701)),0)</f>
        <v/>
      </c>
      <c r="Q3701">
        <f>P3701*0.0015</f>
        <v/>
      </c>
      <c r="R3701">
        <f>I3701*(1-Q3701)</f>
        <v/>
      </c>
      <c r="S3701">
        <f>R3701/R3700-1</f>
        <v/>
      </c>
      <c r="T3701">
        <f>MAX(T3700,R3701)</f>
        <v/>
      </c>
      <c r="U3701">
        <f>R3701/T3701-1</f>
        <v/>
      </c>
      <c r="V3701" t="n">
        <v>8.391909256892829</v>
      </c>
      <c r="W3701" s="5">
        <f>R3701-V3701</f>
        <v/>
      </c>
    </row>
    <row r="3702">
      <c r="A3702" s="3" t="n">
        <v>43893</v>
      </c>
      <c r="B3702">
        <f>Prices!B3702</f>
        <v/>
      </c>
      <c r="C3702">
        <f>Prices!C3702</f>
        <v/>
      </c>
      <c r="D3702">
        <f>Prices!D3702</f>
        <v/>
      </c>
      <c r="E3702">
        <f>Prices!E3702</f>
        <v/>
      </c>
      <c r="F3702">
        <f>Prices!F3702</f>
        <v/>
      </c>
      <c r="G3702">
        <f>IF(AND(3700&gt;=16,TEXT(A3702,"yyyy-mm")&lt;&gt;TEXT(A3703,"yyyy-mm")),1,0)</f>
        <v/>
      </c>
      <c r="H3702">
        <f>IF(OR(H3701=1,G3702=1),1,0)</f>
        <v/>
      </c>
      <c r="I3702">
        <f>IF(H3701=0,1,SUMPRODUCT(J3701:N3701,B3702:F3702)+O3701*(1+0.00023125256064071564))</f>
        <v/>
      </c>
      <c r="J3702">
        <f>IF(G3702=1,0.2*R3702/B3702,J3701)</f>
        <v/>
      </c>
      <c r="K3702">
        <f>IF(G3702=1,0.2*R3702/C3702,K3701)</f>
        <v/>
      </c>
      <c r="L3702">
        <f>IF(G3702=1,0.2*R3702/D3702,L3701)</f>
        <v/>
      </c>
      <c r="M3702">
        <f>IF(G3702=1,0.2*R3702/E3702,M3701)</f>
        <v/>
      </c>
      <c r="N3702">
        <f>IF(G3702=1,0.2*R3702/F3702,N3701)</f>
        <v/>
      </c>
      <c r="O3702">
        <f>IF(G3702=1,R3702*(1-1.0),IF(H3701=0,1,O3701*(1+0.00023125256064071564)))</f>
        <v/>
      </c>
      <c r="P3702">
        <f>IF(G3702=1,IF(H3701=0,1,ABS(0.2-J3701*B3702/I3702)+ABS(0.2-K3701*C3702/I3702)+ABS(0.2-L3701*D3702/I3702)+ABS(0.2-M3701*E3702/I3702)+ABS(0.2-N3701*F3702/I3702)),0)</f>
        <v/>
      </c>
      <c r="Q3702">
        <f>P3702*0.0015</f>
        <v/>
      </c>
      <c r="R3702">
        <f>I3702*(1-Q3702)</f>
        <v/>
      </c>
      <c r="S3702">
        <f>R3702/R3701-1</f>
        <v/>
      </c>
      <c r="T3702">
        <f>MAX(T3701,R3702)</f>
        <v/>
      </c>
      <c r="U3702">
        <f>R3702/T3702-1</f>
        <v/>
      </c>
      <c r="V3702" t="n">
        <v>8.558225485378042</v>
      </c>
      <c r="W3702" s="5">
        <f>R3702-V3702</f>
        <v/>
      </c>
    </row>
    <row r="3703">
      <c r="A3703" s="3" t="n">
        <v>43894</v>
      </c>
      <c r="B3703">
        <f>Prices!B3703</f>
        <v/>
      </c>
      <c r="C3703">
        <f>Prices!C3703</f>
        <v/>
      </c>
      <c r="D3703">
        <f>Prices!D3703</f>
        <v/>
      </c>
      <c r="E3703">
        <f>Prices!E3703</f>
        <v/>
      </c>
      <c r="F3703">
        <f>Prices!F3703</f>
        <v/>
      </c>
      <c r="G3703">
        <f>IF(AND(3701&gt;=16,TEXT(A3703,"yyyy-mm")&lt;&gt;TEXT(A3704,"yyyy-mm")),1,0)</f>
        <v/>
      </c>
      <c r="H3703">
        <f>IF(OR(H3702=1,G3703=1),1,0)</f>
        <v/>
      </c>
      <c r="I3703">
        <f>IF(H3702=0,1,SUMPRODUCT(J3702:N3702,B3703:F3703)+O3702*(1+0.00023125256064071564))</f>
        <v/>
      </c>
      <c r="J3703">
        <f>IF(G3703=1,0.2*R3703/B3703,J3702)</f>
        <v/>
      </c>
      <c r="K3703">
        <f>IF(G3703=1,0.2*R3703/C3703,K3702)</f>
        <v/>
      </c>
      <c r="L3703">
        <f>IF(G3703=1,0.2*R3703/D3703,L3702)</f>
        <v/>
      </c>
      <c r="M3703">
        <f>IF(G3703=1,0.2*R3703/E3703,M3702)</f>
        <v/>
      </c>
      <c r="N3703">
        <f>IF(G3703=1,0.2*R3703/F3703,N3702)</f>
        <v/>
      </c>
      <c r="O3703">
        <f>IF(G3703=1,R3703*(1-1.0),IF(H3702=0,1,O3702*(1+0.00023125256064071564)))</f>
        <v/>
      </c>
      <c r="P3703">
        <f>IF(G3703=1,IF(H3702=0,1,ABS(0.2-J3702*B3703/I3703)+ABS(0.2-K3702*C3703/I3703)+ABS(0.2-L3702*D3703/I3703)+ABS(0.2-M3702*E3703/I3703)+ABS(0.2-N3702*F3703/I3703)),0)</f>
        <v/>
      </c>
      <c r="Q3703">
        <f>P3703*0.0015</f>
        <v/>
      </c>
      <c r="R3703">
        <f>I3703*(1-Q3703)</f>
        <v/>
      </c>
      <c r="S3703">
        <f>R3703/R3702-1</f>
        <v/>
      </c>
      <c r="T3703">
        <f>MAX(T3702,R3703)</f>
        <v/>
      </c>
      <c r="U3703">
        <f>R3703/T3703-1</f>
        <v/>
      </c>
      <c r="V3703" t="n">
        <v>8.488786249437522</v>
      </c>
      <c r="W3703" s="5">
        <f>R3703-V3703</f>
        <v/>
      </c>
    </row>
    <row r="3704">
      <c r="A3704" s="3" t="n">
        <v>43895</v>
      </c>
      <c r="B3704">
        <f>Prices!B3704</f>
        <v/>
      </c>
      <c r="C3704">
        <f>Prices!C3704</f>
        <v/>
      </c>
      <c r="D3704">
        <f>Prices!D3704</f>
        <v/>
      </c>
      <c r="E3704">
        <f>Prices!E3704</f>
        <v/>
      </c>
      <c r="F3704">
        <f>Prices!F3704</f>
        <v/>
      </c>
      <c r="G3704">
        <f>IF(AND(3702&gt;=16,TEXT(A3704,"yyyy-mm")&lt;&gt;TEXT(A3705,"yyyy-mm")),1,0)</f>
        <v/>
      </c>
      <c r="H3704">
        <f>IF(OR(H3703=1,G3704=1),1,0)</f>
        <v/>
      </c>
      <c r="I3704">
        <f>IF(H3703=0,1,SUMPRODUCT(J3703:N3703,B3704:F3704)+O3703*(1+0.00023125256064071564))</f>
        <v/>
      </c>
      <c r="J3704">
        <f>IF(G3704=1,0.2*R3704/B3704,J3703)</f>
        <v/>
      </c>
      <c r="K3704">
        <f>IF(G3704=1,0.2*R3704/C3704,K3703)</f>
        <v/>
      </c>
      <c r="L3704">
        <f>IF(G3704=1,0.2*R3704/D3704,L3703)</f>
        <v/>
      </c>
      <c r="M3704">
        <f>IF(G3704=1,0.2*R3704/E3704,M3703)</f>
        <v/>
      </c>
      <c r="N3704">
        <f>IF(G3704=1,0.2*R3704/F3704,N3703)</f>
        <v/>
      </c>
      <c r="O3704">
        <f>IF(G3704=1,R3704*(1-1.0),IF(H3703=0,1,O3703*(1+0.00023125256064071564)))</f>
        <v/>
      </c>
      <c r="P3704">
        <f>IF(G3704=1,IF(H3703=0,1,ABS(0.2-J3703*B3704/I3704)+ABS(0.2-K3703*C3704/I3704)+ABS(0.2-L3703*D3704/I3704)+ABS(0.2-M3703*E3704/I3704)+ABS(0.2-N3703*F3704/I3704)),0)</f>
        <v/>
      </c>
      <c r="Q3704">
        <f>P3704*0.0015</f>
        <v/>
      </c>
      <c r="R3704">
        <f>I3704*(1-Q3704)</f>
        <v/>
      </c>
      <c r="S3704">
        <f>R3704/R3703-1</f>
        <v/>
      </c>
      <c r="T3704">
        <f>MAX(T3703,R3704)</f>
        <v/>
      </c>
      <c r="U3704">
        <f>R3704/T3704-1</f>
        <v/>
      </c>
      <c r="V3704" t="n">
        <v>8.526726255378497</v>
      </c>
      <c r="W3704" s="5">
        <f>R3704-V3704</f>
        <v/>
      </c>
    </row>
    <row r="3705">
      <c r="A3705" s="3" t="n">
        <v>43896</v>
      </c>
      <c r="B3705">
        <f>Prices!B3705</f>
        <v/>
      </c>
      <c r="C3705">
        <f>Prices!C3705</f>
        <v/>
      </c>
      <c r="D3705">
        <f>Prices!D3705</f>
        <v/>
      </c>
      <c r="E3705">
        <f>Prices!E3705</f>
        <v/>
      </c>
      <c r="F3705">
        <f>Prices!F3705</f>
        <v/>
      </c>
      <c r="G3705">
        <f>IF(AND(3703&gt;=16,TEXT(A3705,"yyyy-mm")&lt;&gt;TEXT(A3706,"yyyy-mm")),1,0)</f>
        <v/>
      </c>
      <c r="H3705">
        <f>IF(OR(H3704=1,G3705=1),1,0)</f>
        <v/>
      </c>
      <c r="I3705">
        <f>IF(H3704=0,1,SUMPRODUCT(J3704:N3704,B3705:F3705)+O3704*(1+0.00023125256064071564))</f>
        <v/>
      </c>
      <c r="J3705">
        <f>IF(G3705=1,0.2*R3705/B3705,J3704)</f>
        <v/>
      </c>
      <c r="K3705">
        <f>IF(G3705=1,0.2*R3705/C3705,K3704)</f>
        <v/>
      </c>
      <c r="L3705">
        <f>IF(G3705=1,0.2*R3705/D3705,L3704)</f>
        <v/>
      </c>
      <c r="M3705">
        <f>IF(G3705=1,0.2*R3705/E3705,M3704)</f>
        <v/>
      </c>
      <c r="N3705">
        <f>IF(G3705=1,0.2*R3705/F3705,N3704)</f>
        <v/>
      </c>
      <c r="O3705">
        <f>IF(G3705=1,R3705*(1-1.0),IF(H3704=0,1,O3704*(1+0.00023125256064071564)))</f>
        <v/>
      </c>
      <c r="P3705">
        <f>IF(G3705=1,IF(H3704=0,1,ABS(0.2-J3704*B3705/I3705)+ABS(0.2-K3704*C3705/I3705)+ABS(0.2-L3704*D3705/I3705)+ABS(0.2-M3704*E3705/I3705)+ABS(0.2-N3704*F3705/I3705)),0)</f>
        <v/>
      </c>
      <c r="Q3705">
        <f>P3705*0.0015</f>
        <v/>
      </c>
      <c r="R3705">
        <f>I3705*(1-Q3705)</f>
        <v/>
      </c>
      <c r="S3705">
        <f>R3705/R3704-1</f>
        <v/>
      </c>
      <c r="T3705">
        <f>MAX(T3704,R3705)</f>
        <v/>
      </c>
      <c r="U3705">
        <f>R3705/T3705-1</f>
        <v/>
      </c>
      <c r="V3705" t="n">
        <v>8.315407560949208</v>
      </c>
      <c r="W3705" s="5">
        <f>R3705-V3705</f>
        <v/>
      </c>
    </row>
    <row r="3706">
      <c r="A3706" s="3" t="n">
        <v>43899</v>
      </c>
      <c r="B3706">
        <f>Prices!B3706</f>
        <v/>
      </c>
      <c r="C3706">
        <f>Prices!C3706</f>
        <v/>
      </c>
      <c r="D3706">
        <f>Prices!D3706</f>
        <v/>
      </c>
      <c r="E3706">
        <f>Prices!E3706</f>
        <v/>
      </c>
      <c r="F3706">
        <f>Prices!F3706</f>
        <v/>
      </c>
      <c r="G3706">
        <f>IF(AND(3704&gt;=16,TEXT(A3706,"yyyy-mm")&lt;&gt;TEXT(A3707,"yyyy-mm")),1,0)</f>
        <v/>
      </c>
      <c r="H3706">
        <f>IF(OR(H3705=1,G3706=1),1,0)</f>
        <v/>
      </c>
      <c r="I3706">
        <f>IF(H3705=0,1,SUMPRODUCT(J3705:N3705,B3706:F3706)+O3705*(1+0.00023125256064071564))</f>
        <v/>
      </c>
      <c r="J3706">
        <f>IF(G3706=1,0.2*R3706/B3706,J3705)</f>
        <v/>
      </c>
      <c r="K3706">
        <f>IF(G3706=1,0.2*R3706/C3706,K3705)</f>
        <v/>
      </c>
      <c r="L3706">
        <f>IF(G3706=1,0.2*R3706/D3706,L3705)</f>
        <v/>
      </c>
      <c r="M3706">
        <f>IF(G3706=1,0.2*R3706/E3706,M3705)</f>
        <v/>
      </c>
      <c r="N3706">
        <f>IF(G3706=1,0.2*R3706/F3706,N3705)</f>
        <v/>
      </c>
      <c r="O3706">
        <f>IF(G3706=1,R3706*(1-1.0),IF(H3705=0,1,O3705*(1+0.00023125256064071564)))</f>
        <v/>
      </c>
      <c r="P3706">
        <f>IF(G3706=1,IF(H3705=0,1,ABS(0.2-J3705*B3706/I3706)+ABS(0.2-K3705*C3706/I3706)+ABS(0.2-L3705*D3706/I3706)+ABS(0.2-M3705*E3706/I3706)+ABS(0.2-N3705*F3706/I3706)),0)</f>
        <v/>
      </c>
      <c r="Q3706">
        <f>P3706*0.0015</f>
        <v/>
      </c>
      <c r="R3706">
        <f>I3706*(1-Q3706)</f>
        <v/>
      </c>
      <c r="S3706">
        <f>R3706/R3705-1</f>
        <v/>
      </c>
      <c r="T3706">
        <f>MAX(T3705,R3706)</f>
        <v/>
      </c>
      <c r="U3706">
        <f>R3706/T3706-1</f>
        <v/>
      </c>
      <c r="V3706" t="n">
        <v>7.961009548055587</v>
      </c>
      <c r="W3706" s="5">
        <f>R3706-V3706</f>
        <v/>
      </c>
    </row>
    <row r="3707">
      <c r="A3707" s="3" t="n">
        <v>43901</v>
      </c>
      <c r="B3707">
        <f>Prices!B3707</f>
        <v/>
      </c>
      <c r="C3707">
        <f>Prices!C3707</f>
        <v/>
      </c>
      <c r="D3707">
        <f>Prices!D3707</f>
        <v/>
      </c>
      <c r="E3707">
        <f>Prices!E3707</f>
        <v/>
      </c>
      <c r="F3707">
        <f>Prices!F3707</f>
        <v/>
      </c>
      <c r="G3707">
        <f>IF(AND(3705&gt;=16,TEXT(A3707,"yyyy-mm")&lt;&gt;TEXT(A3708,"yyyy-mm")),1,0)</f>
        <v/>
      </c>
      <c r="H3707">
        <f>IF(OR(H3706=1,G3707=1),1,0)</f>
        <v/>
      </c>
      <c r="I3707">
        <f>IF(H3706=0,1,SUMPRODUCT(J3706:N3706,B3707:F3707)+O3706*(1+0.00023125256064071564))</f>
        <v/>
      </c>
      <c r="J3707">
        <f>IF(G3707=1,0.2*R3707/B3707,J3706)</f>
        <v/>
      </c>
      <c r="K3707">
        <f>IF(G3707=1,0.2*R3707/C3707,K3706)</f>
        <v/>
      </c>
      <c r="L3707">
        <f>IF(G3707=1,0.2*R3707/D3707,L3706)</f>
        <v/>
      </c>
      <c r="M3707">
        <f>IF(G3707=1,0.2*R3707/E3707,M3706)</f>
        <v/>
      </c>
      <c r="N3707">
        <f>IF(G3707=1,0.2*R3707/F3707,N3706)</f>
        <v/>
      </c>
      <c r="O3707">
        <f>IF(G3707=1,R3707*(1-1.0),IF(H3706=0,1,O3706*(1+0.00023125256064071564)))</f>
        <v/>
      </c>
      <c r="P3707">
        <f>IF(G3707=1,IF(H3706=0,1,ABS(0.2-J3706*B3707/I3707)+ABS(0.2-K3706*C3707/I3707)+ABS(0.2-L3706*D3707/I3707)+ABS(0.2-M3706*E3707/I3707)+ABS(0.2-N3706*F3707/I3707)),0)</f>
        <v/>
      </c>
      <c r="Q3707">
        <f>P3707*0.0015</f>
        <v/>
      </c>
      <c r="R3707">
        <f>I3707*(1-Q3707)</f>
        <v/>
      </c>
      <c r="S3707">
        <f>R3707/R3706-1</f>
        <v/>
      </c>
      <c r="T3707">
        <f>MAX(T3706,R3707)</f>
        <v/>
      </c>
      <c r="U3707">
        <f>R3707/T3707-1</f>
        <v/>
      </c>
      <c r="V3707" t="n">
        <v>7.949195048905958</v>
      </c>
      <c r="W3707" s="5">
        <f>R3707-V3707</f>
        <v/>
      </c>
    </row>
    <row r="3708">
      <c r="A3708" s="3" t="n">
        <v>43902</v>
      </c>
      <c r="B3708">
        <f>Prices!B3708</f>
        <v/>
      </c>
      <c r="C3708">
        <f>Prices!C3708</f>
        <v/>
      </c>
      <c r="D3708">
        <f>Prices!D3708</f>
        <v/>
      </c>
      <c r="E3708">
        <f>Prices!E3708</f>
        <v/>
      </c>
      <c r="F3708">
        <f>Prices!F3708</f>
        <v/>
      </c>
      <c r="G3708">
        <f>IF(AND(3706&gt;=16,TEXT(A3708,"yyyy-mm")&lt;&gt;TEXT(A3709,"yyyy-mm")),1,0)</f>
        <v/>
      </c>
      <c r="H3708">
        <f>IF(OR(H3707=1,G3708=1),1,0)</f>
        <v/>
      </c>
      <c r="I3708">
        <f>IF(H3707=0,1,SUMPRODUCT(J3707:N3707,B3708:F3708)+O3707*(1+0.00023125256064071564))</f>
        <v/>
      </c>
      <c r="J3708">
        <f>IF(G3708=1,0.2*R3708/B3708,J3707)</f>
        <v/>
      </c>
      <c r="K3708">
        <f>IF(G3708=1,0.2*R3708/C3708,K3707)</f>
        <v/>
      </c>
      <c r="L3708">
        <f>IF(G3708=1,0.2*R3708/D3708,L3707)</f>
        <v/>
      </c>
      <c r="M3708">
        <f>IF(G3708=1,0.2*R3708/E3708,M3707)</f>
        <v/>
      </c>
      <c r="N3708">
        <f>IF(G3708=1,0.2*R3708/F3708,N3707)</f>
        <v/>
      </c>
      <c r="O3708">
        <f>IF(G3708=1,R3708*(1-1.0),IF(H3707=0,1,O3707*(1+0.00023125256064071564)))</f>
        <v/>
      </c>
      <c r="P3708">
        <f>IF(G3708=1,IF(H3707=0,1,ABS(0.2-J3707*B3708/I3708)+ABS(0.2-K3707*C3708/I3708)+ABS(0.2-L3707*D3708/I3708)+ABS(0.2-M3707*E3708/I3708)+ABS(0.2-N3707*F3708/I3708)),0)</f>
        <v/>
      </c>
      <c r="Q3708">
        <f>P3708*0.0015</f>
        <v/>
      </c>
      <c r="R3708">
        <f>I3708*(1-Q3708)</f>
        <v/>
      </c>
      <c r="S3708">
        <f>R3708/R3707-1</f>
        <v/>
      </c>
      <c r="T3708">
        <f>MAX(T3707,R3708)</f>
        <v/>
      </c>
      <c r="U3708">
        <f>R3708/T3708-1</f>
        <v/>
      </c>
      <c r="V3708" t="n">
        <v>7.314901304470429</v>
      </c>
      <c r="W3708" s="5">
        <f>R3708-V3708</f>
        <v/>
      </c>
    </row>
    <row r="3709">
      <c r="A3709" s="3" t="n">
        <v>43903</v>
      </c>
      <c r="B3709">
        <f>Prices!B3709</f>
        <v/>
      </c>
      <c r="C3709">
        <f>Prices!C3709</f>
        <v/>
      </c>
      <c r="D3709">
        <f>Prices!D3709</f>
        <v/>
      </c>
      <c r="E3709">
        <f>Prices!E3709</f>
        <v/>
      </c>
      <c r="F3709">
        <f>Prices!F3709</f>
        <v/>
      </c>
      <c r="G3709">
        <f>IF(AND(3707&gt;=16,TEXT(A3709,"yyyy-mm")&lt;&gt;TEXT(A3710,"yyyy-mm")),1,0)</f>
        <v/>
      </c>
      <c r="H3709">
        <f>IF(OR(H3708=1,G3709=1),1,0)</f>
        <v/>
      </c>
      <c r="I3709">
        <f>IF(H3708=0,1,SUMPRODUCT(J3708:N3708,B3709:F3709)+O3708*(1+0.00023125256064071564))</f>
        <v/>
      </c>
      <c r="J3709">
        <f>IF(G3709=1,0.2*R3709/B3709,J3708)</f>
        <v/>
      </c>
      <c r="K3709">
        <f>IF(G3709=1,0.2*R3709/C3709,K3708)</f>
        <v/>
      </c>
      <c r="L3709">
        <f>IF(G3709=1,0.2*R3709/D3709,L3708)</f>
        <v/>
      </c>
      <c r="M3709">
        <f>IF(G3709=1,0.2*R3709/E3709,M3708)</f>
        <v/>
      </c>
      <c r="N3709">
        <f>IF(G3709=1,0.2*R3709/F3709,N3708)</f>
        <v/>
      </c>
      <c r="O3709">
        <f>IF(G3709=1,R3709*(1-1.0),IF(H3708=0,1,O3708*(1+0.00023125256064071564)))</f>
        <v/>
      </c>
      <c r="P3709">
        <f>IF(G3709=1,IF(H3708=0,1,ABS(0.2-J3708*B3709/I3709)+ABS(0.2-K3708*C3709/I3709)+ABS(0.2-L3708*D3709/I3709)+ABS(0.2-M3708*E3709/I3709)+ABS(0.2-N3708*F3709/I3709)),0)</f>
        <v/>
      </c>
      <c r="Q3709">
        <f>P3709*0.0015</f>
        <v/>
      </c>
      <c r="R3709">
        <f>I3709*(1-Q3709)</f>
        <v/>
      </c>
      <c r="S3709">
        <f>R3709/R3708-1</f>
        <v/>
      </c>
      <c r="T3709">
        <f>MAX(T3708,R3709)</f>
        <v/>
      </c>
      <c r="U3709">
        <f>R3709/T3709-1</f>
        <v/>
      </c>
      <c r="V3709" t="n">
        <v>7.495395041825257</v>
      </c>
      <c r="W3709" s="5">
        <f>R3709-V3709</f>
        <v/>
      </c>
    </row>
    <row r="3710">
      <c r="A3710" s="3" t="n">
        <v>43906</v>
      </c>
      <c r="B3710">
        <f>Prices!B3710</f>
        <v/>
      </c>
      <c r="C3710">
        <f>Prices!C3710</f>
        <v/>
      </c>
      <c r="D3710">
        <f>Prices!D3710</f>
        <v/>
      </c>
      <c r="E3710">
        <f>Prices!E3710</f>
        <v/>
      </c>
      <c r="F3710">
        <f>Prices!F3710</f>
        <v/>
      </c>
      <c r="G3710">
        <f>IF(AND(3708&gt;=16,TEXT(A3710,"yyyy-mm")&lt;&gt;TEXT(A3711,"yyyy-mm")),1,0)</f>
        <v/>
      </c>
      <c r="H3710">
        <f>IF(OR(H3709=1,G3710=1),1,0)</f>
        <v/>
      </c>
      <c r="I3710">
        <f>IF(H3709=0,1,SUMPRODUCT(J3709:N3709,B3710:F3710)+O3709*(1+0.00023125256064071564))</f>
        <v/>
      </c>
      <c r="J3710">
        <f>IF(G3710=1,0.2*R3710/B3710,J3709)</f>
        <v/>
      </c>
      <c r="K3710">
        <f>IF(G3710=1,0.2*R3710/C3710,K3709)</f>
        <v/>
      </c>
      <c r="L3710">
        <f>IF(G3710=1,0.2*R3710/D3710,L3709)</f>
        <v/>
      </c>
      <c r="M3710">
        <f>IF(G3710=1,0.2*R3710/E3710,M3709)</f>
        <v/>
      </c>
      <c r="N3710">
        <f>IF(G3710=1,0.2*R3710/F3710,N3709)</f>
        <v/>
      </c>
      <c r="O3710">
        <f>IF(G3710=1,R3710*(1-1.0),IF(H3709=0,1,O3709*(1+0.00023125256064071564)))</f>
        <v/>
      </c>
      <c r="P3710">
        <f>IF(G3710=1,IF(H3709=0,1,ABS(0.2-J3709*B3710/I3710)+ABS(0.2-K3709*C3710/I3710)+ABS(0.2-L3709*D3710/I3710)+ABS(0.2-M3709*E3710/I3710)+ABS(0.2-N3709*F3710/I3710)),0)</f>
        <v/>
      </c>
      <c r="Q3710">
        <f>P3710*0.0015</f>
        <v/>
      </c>
      <c r="R3710">
        <f>I3710*(1-Q3710)</f>
        <v/>
      </c>
      <c r="S3710">
        <f>R3710/R3709-1</f>
        <v/>
      </c>
      <c r="T3710">
        <f>MAX(T3709,R3710)</f>
        <v/>
      </c>
      <c r="U3710">
        <f>R3710/T3710-1</f>
        <v/>
      </c>
      <c r="V3710" t="n">
        <v>7.085821945414112</v>
      </c>
      <c r="W3710" s="5">
        <f>R3710-V3710</f>
        <v/>
      </c>
    </row>
    <row r="3711">
      <c r="A3711" s="3" t="n">
        <v>43907</v>
      </c>
      <c r="B3711">
        <f>Prices!B3711</f>
        <v/>
      </c>
      <c r="C3711">
        <f>Prices!C3711</f>
        <v/>
      </c>
      <c r="D3711">
        <f>Prices!D3711</f>
        <v/>
      </c>
      <c r="E3711">
        <f>Prices!E3711</f>
        <v/>
      </c>
      <c r="F3711">
        <f>Prices!F3711</f>
        <v/>
      </c>
      <c r="G3711">
        <f>IF(AND(3709&gt;=16,TEXT(A3711,"yyyy-mm")&lt;&gt;TEXT(A3712,"yyyy-mm")),1,0)</f>
        <v/>
      </c>
      <c r="H3711">
        <f>IF(OR(H3710=1,G3711=1),1,0)</f>
        <v/>
      </c>
      <c r="I3711">
        <f>IF(H3710=0,1,SUMPRODUCT(J3710:N3710,B3711:F3711)+O3710*(1+0.00023125256064071564))</f>
        <v/>
      </c>
      <c r="J3711">
        <f>IF(G3711=1,0.2*R3711/B3711,J3710)</f>
        <v/>
      </c>
      <c r="K3711">
        <f>IF(G3711=1,0.2*R3711/C3711,K3710)</f>
        <v/>
      </c>
      <c r="L3711">
        <f>IF(G3711=1,0.2*R3711/D3711,L3710)</f>
        <v/>
      </c>
      <c r="M3711">
        <f>IF(G3711=1,0.2*R3711/E3711,M3710)</f>
        <v/>
      </c>
      <c r="N3711">
        <f>IF(G3711=1,0.2*R3711/F3711,N3710)</f>
        <v/>
      </c>
      <c r="O3711">
        <f>IF(G3711=1,R3711*(1-1.0),IF(H3710=0,1,O3710*(1+0.00023125256064071564)))</f>
        <v/>
      </c>
      <c r="P3711">
        <f>IF(G3711=1,IF(H3710=0,1,ABS(0.2-J3710*B3711/I3711)+ABS(0.2-K3710*C3711/I3711)+ABS(0.2-L3710*D3711/I3711)+ABS(0.2-M3710*E3711/I3711)+ABS(0.2-N3710*F3711/I3711)),0)</f>
        <v/>
      </c>
      <c r="Q3711">
        <f>P3711*0.0015</f>
        <v/>
      </c>
      <c r="R3711">
        <f>I3711*(1-Q3711)</f>
        <v/>
      </c>
      <c r="S3711">
        <f>R3711/R3710-1</f>
        <v/>
      </c>
      <c r="T3711">
        <f>MAX(T3710,R3711)</f>
        <v/>
      </c>
      <c r="U3711">
        <f>R3711/T3711-1</f>
        <v/>
      </c>
      <c r="V3711" t="n">
        <v>7.011681002860439</v>
      </c>
      <c r="W3711" s="5">
        <f>R3711-V3711</f>
        <v/>
      </c>
    </row>
    <row r="3712">
      <c r="A3712" s="3" t="n">
        <v>43908</v>
      </c>
      <c r="B3712">
        <f>Prices!B3712</f>
        <v/>
      </c>
      <c r="C3712">
        <f>Prices!C3712</f>
        <v/>
      </c>
      <c r="D3712">
        <f>Prices!D3712</f>
        <v/>
      </c>
      <c r="E3712">
        <f>Prices!E3712</f>
        <v/>
      </c>
      <c r="F3712">
        <f>Prices!F3712</f>
        <v/>
      </c>
      <c r="G3712">
        <f>IF(AND(3710&gt;=16,TEXT(A3712,"yyyy-mm")&lt;&gt;TEXT(A3713,"yyyy-mm")),1,0)</f>
        <v/>
      </c>
      <c r="H3712">
        <f>IF(OR(H3711=1,G3712=1),1,0)</f>
        <v/>
      </c>
      <c r="I3712">
        <f>IF(H3711=0,1,SUMPRODUCT(J3711:N3711,B3712:F3712)+O3711*(1+0.00023125256064071564))</f>
        <v/>
      </c>
      <c r="J3712">
        <f>IF(G3712=1,0.2*R3712/B3712,J3711)</f>
        <v/>
      </c>
      <c r="K3712">
        <f>IF(G3712=1,0.2*R3712/C3712,K3711)</f>
        <v/>
      </c>
      <c r="L3712">
        <f>IF(G3712=1,0.2*R3712/D3712,L3711)</f>
        <v/>
      </c>
      <c r="M3712">
        <f>IF(G3712=1,0.2*R3712/E3712,M3711)</f>
        <v/>
      </c>
      <c r="N3712">
        <f>IF(G3712=1,0.2*R3712/F3712,N3711)</f>
        <v/>
      </c>
      <c r="O3712">
        <f>IF(G3712=1,R3712*(1-1.0),IF(H3711=0,1,O3711*(1+0.00023125256064071564)))</f>
        <v/>
      </c>
      <c r="P3712">
        <f>IF(G3712=1,IF(H3711=0,1,ABS(0.2-J3711*B3712/I3712)+ABS(0.2-K3711*C3712/I3712)+ABS(0.2-L3711*D3712/I3712)+ABS(0.2-M3711*E3712/I3712)+ABS(0.2-N3711*F3712/I3712)),0)</f>
        <v/>
      </c>
      <c r="Q3712">
        <f>P3712*0.0015</f>
        <v/>
      </c>
      <c r="R3712">
        <f>I3712*(1-Q3712)</f>
        <v/>
      </c>
      <c r="S3712">
        <f>R3712/R3711-1</f>
        <v/>
      </c>
      <c r="T3712">
        <f>MAX(T3711,R3712)</f>
        <v/>
      </c>
      <c r="U3712">
        <f>R3712/T3712-1</f>
        <v/>
      </c>
      <c r="V3712" t="n">
        <v>6.652391354178617</v>
      </c>
      <c r="W3712" s="5">
        <f>R3712-V3712</f>
        <v/>
      </c>
    </row>
    <row r="3713">
      <c r="A3713" s="3" t="n">
        <v>43909</v>
      </c>
      <c r="B3713">
        <f>Prices!B3713</f>
        <v/>
      </c>
      <c r="C3713">
        <f>Prices!C3713</f>
        <v/>
      </c>
      <c r="D3713">
        <f>Prices!D3713</f>
        <v/>
      </c>
      <c r="E3713">
        <f>Prices!E3713</f>
        <v/>
      </c>
      <c r="F3713">
        <f>Prices!F3713</f>
        <v/>
      </c>
      <c r="G3713">
        <f>IF(AND(3711&gt;=16,TEXT(A3713,"yyyy-mm")&lt;&gt;TEXT(A3714,"yyyy-mm")),1,0)</f>
        <v/>
      </c>
      <c r="H3713">
        <f>IF(OR(H3712=1,G3713=1),1,0)</f>
        <v/>
      </c>
      <c r="I3713">
        <f>IF(H3712=0,1,SUMPRODUCT(J3712:N3712,B3713:F3713)+O3712*(1+0.00023125256064071564))</f>
        <v/>
      </c>
      <c r="J3713">
        <f>IF(G3713=1,0.2*R3713/B3713,J3712)</f>
        <v/>
      </c>
      <c r="K3713">
        <f>IF(G3713=1,0.2*R3713/C3713,K3712)</f>
        <v/>
      </c>
      <c r="L3713">
        <f>IF(G3713=1,0.2*R3713/D3713,L3712)</f>
        <v/>
      </c>
      <c r="M3713">
        <f>IF(G3713=1,0.2*R3713/E3713,M3712)</f>
        <v/>
      </c>
      <c r="N3713">
        <f>IF(G3713=1,0.2*R3713/F3713,N3712)</f>
        <v/>
      </c>
      <c r="O3713">
        <f>IF(G3713=1,R3713*(1-1.0),IF(H3712=0,1,O3712*(1+0.00023125256064071564)))</f>
        <v/>
      </c>
      <c r="P3713">
        <f>IF(G3713=1,IF(H3712=0,1,ABS(0.2-J3712*B3713/I3713)+ABS(0.2-K3712*C3713/I3713)+ABS(0.2-L3712*D3713/I3713)+ABS(0.2-M3712*E3713/I3713)+ABS(0.2-N3712*F3713/I3713)),0)</f>
        <v/>
      </c>
      <c r="Q3713">
        <f>P3713*0.0015</f>
        <v/>
      </c>
      <c r="R3713">
        <f>I3713*(1-Q3713)</f>
        <v/>
      </c>
      <c r="S3713">
        <f>R3713/R3712-1</f>
        <v/>
      </c>
      <c r="T3713">
        <f>MAX(T3712,R3713)</f>
        <v/>
      </c>
      <c r="U3713">
        <f>R3713/T3713-1</f>
        <v/>
      </c>
      <c r="V3713" t="n">
        <v>6.395919273055076</v>
      </c>
      <c r="W3713" s="5">
        <f>R3713-V3713</f>
        <v/>
      </c>
    </row>
    <row r="3714">
      <c r="A3714" s="3" t="n">
        <v>43910</v>
      </c>
      <c r="B3714">
        <f>Prices!B3714</f>
        <v/>
      </c>
      <c r="C3714">
        <f>Prices!C3714</f>
        <v/>
      </c>
      <c r="D3714">
        <f>Prices!D3714</f>
        <v/>
      </c>
      <c r="E3714">
        <f>Prices!E3714</f>
        <v/>
      </c>
      <c r="F3714">
        <f>Prices!F3714</f>
        <v/>
      </c>
      <c r="G3714">
        <f>IF(AND(3712&gt;=16,TEXT(A3714,"yyyy-mm")&lt;&gt;TEXT(A3715,"yyyy-mm")),1,0)</f>
        <v/>
      </c>
      <c r="H3714">
        <f>IF(OR(H3713=1,G3714=1),1,0)</f>
        <v/>
      </c>
      <c r="I3714">
        <f>IF(H3713=0,1,SUMPRODUCT(J3713:N3713,B3714:F3714)+O3713*(1+0.00023125256064071564))</f>
        <v/>
      </c>
      <c r="J3714">
        <f>IF(G3714=1,0.2*R3714/B3714,J3713)</f>
        <v/>
      </c>
      <c r="K3714">
        <f>IF(G3714=1,0.2*R3714/C3714,K3713)</f>
        <v/>
      </c>
      <c r="L3714">
        <f>IF(G3714=1,0.2*R3714/D3714,L3713)</f>
        <v/>
      </c>
      <c r="M3714">
        <f>IF(G3714=1,0.2*R3714/E3714,M3713)</f>
        <v/>
      </c>
      <c r="N3714">
        <f>IF(G3714=1,0.2*R3714/F3714,N3713)</f>
        <v/>
      </c>
      <c r="O3714">
        <f>IF(G3714=1,R3714*(1-1.0),IF(H3713=0,1,O3713*(1+0.00023125256064071564)))</f>
        <v/>
      </c>
      <c r="P3714">
        <f>IF(G3714=1,IF(H3713=0,1,ABS(0.2-J3713*B3714/I3714)+ABS(0.2-K3713*C3714/I3714)+ABS(0.2-L3713*D3714/I3714)+ABS(0.2-M3713*E3714/I3714)+ABS(0.2-N3713*F3714/I3714)),0)</f>
        <v/>
      </c>
      <c r="Q3714">
        <f>P3714*0.0015</f>
        <v/>
      </c>
      <c r="R3714">
        <f>I3714*(1-Q3714)</f>
        <v/>
      </c>
      <c r="S3714">
        <f>R3714/R3713-1</f>
        <v/>
      </c>
      <c r="T3714">
        <f>MAX(T3713,R3714)</f>
        <v/>
      </c>
      <c r="U3714">
        <f>R3714/T3714-1</f>
        <v/>
      </c>
      <c r="V3714" t="n">
        <v>6.769229713462417</v>
      </c>
      <c r="W3714" s="5">
        <f>R3714-V3714</f>
        <v/>
      </c>
    </row>
    <row r="3715">
      <c r="A3715" s="3" t="n">
        <v>43913</v>
      </c>
      <c r="B3715">
        <f>Prices!B3715</f>
        <v/>
      </c>
      <c r="C3715">
        <f>Prices!C3715</f>
        <v/>
      </c>
      <c r="D3715">
        <f>Prices!D3715</f>
        <v/>
      </c>
      <c r="E3715">
        <f>Prices!E3715</f>
        <v/>
      </c>
      <c r="F3715">
        <f>Prices!F3715</f>
        <v/>
      </c>
      <c r="G3715">
        <f>IF(AND(3713&gt;=16,TEXT(A3715,"yyyy-mm")&lt;&gt;TEXT(A3716,"yyyy-mm")),1,0)</f>
        <v/>
      </c>
      <c r="H3715">
        <f>IF(OR(H3714=1,G3715=1),1,0)</f>
        <v/>
      </c>
      <c r="I3715">
        <f>IF(H3714=0,1,SUMPRODUCT(J3714:N3714,B3715:F3715)+O3714*(1+0.00023125256064071564))</f>
        <v/>
      </c>
      <c r="J3715">
        <f>IF(G3715=1,0.2*R3715/B3715,J3714)</f>
        <v/>
      </c>
      <c r="K3715">
        <f>IF(G3715=1,0.2*R3715/C3715,K3714)</f>
        <v/>
      </c>
      <c r="L3715">
        <f>IF(G3715=1,0.2*R3715/D3715,L3714)</f>
        <v/>
      </c>
      <c r="M3715">
        <f>IF(G3715=1,0.2*R3715/E3715,M3714)</f>
        <v/>
      </c>
      <c r="N3715">
        <f>IF(G3715=1,0.2*R3715/F3715,N3714)</f>
        <v/>
      </c>
      <c r="O3715">
        <f>IF(G3715=1,R3715*(1-1.0),IF(H3714=0,1,O3714*(1+0.00023125256064071564)))</f>
        <v/>
      </c>
      <c r="P3715">
        <f>IF(G3715=1,IF(H3714=0,1,ABS(0.2-J3714*B3715/I3715)+ABS(0.2-K3714*C3715/I3715)+ABS(0.2-L3714*D3715/I3715)+ABS(0.2-M3714*E3715/I3715)+ABS(0.2-N3714*F3715/I3715)),0)</f>
        <v/>
      </c>
      <c r="Q3715">
        <f>P3715*0.0015</f>
        <v/>
      </c>
      <c r="R3715">
        <f>I3715*(1-Q3715)</f>
        <v/>
      </c>
      <c r="S3715">
        <f>R3715/R3714-1</f>
        <v/>
      </c>
      <c r="T3715">
        <f>MAX(T3714,R3715)</f>
        <v/>
      </c>
      <c r="U3715">
        <f>R3715/T3715-1</f>
        <v/>
      </c>
      <c r="V3715" t="n">
        <v>5.958136229059227</v>
      </c>
      <c r="W3715" s="5">
        <f>R3715-V3715</f>
        <v/>
      </c>
    </row>
    <row r="3716">
      <c r="A3716" s="3" t="n">
        <v>43914</v>
      </c>
      <c r="B3716">
        <f>Prices!B3716</f>
        <v/>
      </c>
      <c r="C3716">
        <f>Prices!C3716</f>
        <v/>
      </c>
      <c r="D3716">
        <f>Prices!D3716</f>
        <v/>
      </c>
      <c r="E3716">
        <f>Prices!E3716</f>
        <v/>
      </c>
      <c r="F3716">
        <f>Prices!F3716</f>
        <v/>
      </c>
      <c r="G3716">
        <f>IF(AND(3714&gt;=16,TEXT(A3716,"yyyy-mm")&lt;&gt;TEXT(A3717,"yyyy-mm")),1,0)</f>
        <v/>
      </c>
      <c r="H3716">
        <f>IF(OR(H3715=1,G3716=1),1,0)</f>
        <v/>
      </c>
      <c r="I3716">
        <f>IF(H3715=0,1,SUMPRODUCT(J3715:N3715,B3716:F3716)+O3715*(1+0.00023125256064071564))</f>
        <v/>
      </c>
      <c r="J3716">
        <f>IF(G3716=1,0.2*R3716/B3716,J3715)</f>
        <v/>
      </c>
      <c r="K3716">
        <f>IF(G3716=1,0.2*R3716/C3716,K3715)</f>
        <v/>
      </c>
      <c r="L3716">
        <f>IF(G3716=1,0.2*R3716/D3716,L3715)</f>
        <v/>
      </c>
      <c r="M3716">
        <f>IF(G3716=1,0.2*R3716/E3716,M3715)</f>
        <v/>
      </c>
      <c r="N3716">
        <f>IF(G3716=1,0.2*R3716/F3716,N3715)</f>
        <v/>
      </c>
      <c r="O3716">
        <f>IF(G3716=1,R3716*(1-1.0),IF(H3715=0,1,O3715*(1+0.00023125256064071564)))</f>
        <v/>
      </c>
      <c r="P3716">
        <f>IF(G3716=1,IF(H3715=0,1,ABS(0.2-J3715*B3716/I3716)+ABS(0.2-K3715*C3716/I3716)+ABS(0.2-L3715*D3716/I3716)+ABS(0.2-M3715*E3716/I3716)+ABS(0.2-N3715*F3716/I3716)),0)</f>
        <v/>
      </c>
      <c r="Q3716">
        <f>P3716*0.0015</f>
        <v/>
      </c>
      <c r="R3716">
        <f>I3716*(1-Q3716)</f>
        <v/>
      </c>
      <c r="S3716">
        <f>R3716/R3715-1</f>
        <v/>
      </c>
      <c r="T3716">
        <f>MAX(T3715,R3716)</f>
        <v/>
      </c>
      <c r="U3716">
        <f>R3716/T3716-1</f>
        <v/>
      </c>
      <c r="V3716" t="n">
        <v>6.05380927693435</v>
      </c>
      <c r="W3716" s="5">
        <f>R3716-V3716</f>
        <v/>
      </c>
    </row>
    <row r="3717">
      <c r="A3717" s="3" t="n">
        <v>43915</v>
      </c>
      <c r="B3717">
        <f>Prices!B3717</f>
        <v/>
      </c>
      <c r="C3717">
        <f>Prices!C3717</f>
        <v/>
      </c>
      <c r="D3717">
        <f>Prices!D3717</f>
        <v/>
      </c>
      <c r="E3717">
        <f>Prices!E3717</f>
        <v/>
      </c>
      <c r="F3717">
        <f>Prices!F3717</f>
        <v/>
      </c>
      <c r="G3717">
        <f>IF(AND(3715&gt;=16,TEXT(A3717,"yyyy-mm")&lt;&gt;TEXT(A3718,"yyyy-mm")),1,0)</f>
        <v/>
      </c>
      <c r="H3717">
        <f>IF(OR(H3716=1,G3717=1),1,0)</f>
        <v/>
      </c>
      <c r="I3717">
        <f>IF(H3716=0,1,SUMPRODUCT(J3716:N3716,B3717:F3717)+O3716*(1+0.00023125256064071564))</f>
        <v/>
      </c>
      <c r="J3717">
        <f>IF(G3717=1,0.2*R3717/B3717,J3716)</f>
        <v/>
      </c>
      <c r="K3717">
        <f>IF(G3717=1,0.2*R3717/C3717,K3716)</f>
        <v/>
      </c>
      <c r="L3717">
        <f>IF(G3717=1,0.2*R3717/D3717,L3716)</f>
        <v/>
      </c>
      <c r="M3717">
        <f>IF(G3717=1,0.2*R3717/E3717,M3716)</f>
        <v/>
      </c>
      <c r="N3717">
        <f>IF(G3717=1,0.2*R3717/F3717,N3716)</f>
        <v/>
      </c>
      <c r="O3717">
        <f>IF(G3717=1,R3717*(1-1.0),IF(H3716=0,1,O3716*(1+0.00023125256064071564)))</f>
        <v/>
      </c>
      <c r="P3717">
        <f>IF(G3717=1,IF(H3716=0,1,ABS(0.2-J3716*B3717/I3717)+ABS(0.2-K3716*C3717/I3717)+ABS(0.2-L3716*D3717/I3717)+ABS(0.2-M3716*E3717/I3717)+ABS(0.2-N3716*F3717/I3717)),0)</f>
        <v/>
      </c>
      <c r="Q3717">
        <f>P3717*0.0015</f>
        <v/>
      </c>
      <c r="R3717">
        <f>I3717*(1-Q3717)</f>
        <v/>
      </c>
      <c r="S3717">
        <f>R3717/R3716-1</f>
        <v/>
      </c>
      <c r="T3717">
        <f>MAX(T3716,R3717)</f>
        <v/>
      </c>
      <c r="U3717">
        <f>R3717/T3717-1</f>
        <v/>
      </c>
      <c r="V3717" t="n">
        <v>6.326861249965892</v>
      </c>
      <c r="W3717" s="5">
        <f>R3717-V3717</f>
        <v/>
      </c>
    </row>
    <row r="3718">
      <c r="A3718" s="3" t="n">
        <v>43916</v>
      </c>
      <c r="B3718">
        <f>Prices!B3718</f>
        <v/>
      </c>
      <c r="C3718">
        <f>Prices!C3718</f>
        <v/>
      </c>
      <c r="D3718">
        <f>Prices!D3718</f>
        <v/>
      </c>
      <c r="E3718">
        <f>Prices!E3718</f>
        <v/>
      </c>
      <c r="F3718">
        <f>Prices!F3718</f>
        <v/>
      </c>
      <c r="G3718">
        <f>IF(AND(3716&gt;=16,TEXT(A3718,"yyyy-mm")&lt;&gt;TEXT(A3719,"yyyy-mm")),1,0)</f>
        <v/>
      </c>
      <c r="H3718">
        <f>IF(OR(H3717=1,G3718=1),1,0)</f>
        <v/>
      </c>
      <c r="I3718">
        <f>IF(H3717=0,1,SUMPRODUCT(J3717:N3717,B3718:F3718)+O3717*(1+0.00023125256064071564))</f>
        <v/>
      </c>
      <c r="J3718">
        <f>IF(G3718=1,0.2*R3718/B3718,J3717)</f>
        <v/>
      </c>
      <c r="K3718">
        <f>IF(G3718=1,0.2*R3718/C3718,K3717)</f>
        <v/>
      </c>
      <c r="L3718">
        <f>IF(G3718=1,0.2*R3718/D3718,L3717)</f>
        <v/>
      </c>
      <c r="M3718">
        <f>IF(G3718=1,0.2*R3718/E3718,M3717)</f>
        <v/>
      </c>
      <c r="N3718">
        <f>IF(G3718=1,0.2*R3718/F3718,N3717)</f>
        <v/>
      </c>
      <c r="O3718">
        <f>IF(G3718=1,R3718*(1-1.0),IF(H3717=0,1,O3717*(1+0.00023125256064071564)))</f>
        <v/>
      </c>
      <c r="P3718">
        <f>IF(G3718=1,IF(H3717=0,1,ABS(0.2-J3717*B3718/I3718)+ABS(0.2-K3717*C3718/I3718)+ABS(0.2-L3717*D3718/I3718)+ABS(0.2-M3717*E3718/I3718)+ABS(0.2-N3717*F3718/I3718)),0)</f>
        <v/>
      </c>
      <c r="Q3718">
        <f>P3718*0.0015</f>
        <v/>
      </c>
      <c r="R3718">
        <f>I3718*(1-Q3718)</f>
        <v/>
      </c>
      <c r="S3718">
        <f>R3718/R3717-1</f>
        <v/>
      </c>
      <c r="T3718">
        <f>MAX(T3717,R3718)</f>
        <v/>
      </c>
      <c r="U3718">
        <f>R3718/T3718-1</f>
        <v/>
      </c>
      <c r="V3718" t="n">
        <v>6.560501526566107</v>
      </c>
      <c r="W3718" s="5">
        <f>R3718-V3718</f>
        <v/>
      </c>
    </row>
    <row r="3719">
      <c r="A3719" s="3" t="n">
        <v>43917</v>
      </c>
      <c r="B3719">
        <f>Prices!B3719</f>
        <v/>
      </c>
      <c r="C3719">
        <f>Prices!C3719</f>
        <v/>
      </c>
      <c r="D3719">
        <f>Prices!D3719</f>
        <v/>
      </c>
      <c r="E3719">
        <f>Prices!E3719</f>
        <v/>
      </c>
      <c r="F3719">
        <f>Prices!F3719</f>
        <v/>
      </c>
      <c r="G3719">
        <f>IF(AND(3717&gt;=16,TEXT(A3719,"yyyy-mm")&lt;&gt;TEXT(A3720,"yyyy-mm")),1,0)</f>
        <v/>
      </c>
      <c r="H3719">
        <f>IF(OR(H3718=1,G3719=1),1,0)</f>
        <v/>
      </c>
      <c r="I3719">
        <f>IF(H3718=0,1,SUMPRODUCT(J3718:N3718,B3719:F3719)+O3718*(1+0.00023125256064071564))</f>
        <v/>
      </c>
      <c r="J3719">
        <f>IF(G3719=1,0.2*R3719/B3719,J3718)</f>
        <v/>
      </c>
      <c r="K3719">
        <f>IF(G3719=1,0.2*R3719/C3719,K3718)</f>
        <v/>
      </c>
      <c r="L3719">
        <f>IF(G3719=1,0.2*R3719/D3719,L3718)</f>
        <v/>
      </c>
      <c r="M3719">
        <f>IF(G3719=1,0.2*R3719/E3719,M3718)</f>
        <v/>
      </c>
      <c r="N3719">
        <f>IF(G3719=1,0.2*R3719/F3719,N3718)</f>
        <v/>
      </c>
      <c r="O3719">
        <f>IF(G3719=1,R3719*(1-1.0),IF(H3718=0,1,O3718*(1+0.00023125256064071564)))</f>
        <v/>
      </c>
      <c r="P3719">
        <f>IF(G3719=1,IF(H3718=0,1,ABS(0.2-J3718*B3719/I3719)+ABS(0.2-K3718*C3719/I3719)+ABS(0.2-L3718*D3719/I3719)+ABS(0.2-M3718*E3719/I3719)+ABS(0.2-N3718*F3719/I3719)),0)</f>
        <v/>
      </c>
      <c r="Q3719">
        <f>P3719*0.0015</f>
        <v/>
      </c>
      <c r="R3719">
        <f>I3719*(1-Q3719)</f>
        <v/>
      </c>
      <c r="S3719">
        <f>R3719/R3718-1</f>
        <v/>
      </c>
      <c r="T3719">
        <f>MAX(T3718,R3719)</f>
        <v/>
      </c>
      <c r="U3719">
        <f>R3719/T3719-1</f>
        <v/>
      </c>
      <c r="V3719" t="n">
        <v>6.509046011107501</v>
      </c>
      <c r="W3719" s="5">
        <f>R3719-V3719</f>
        <v/>
      </c>
    </row>
    <row r="3720">
      <c r="A3720" s="3" t="n">
        <v>43920</v>
      </c>
      <c r="B3720">
        <f>Prices!B3720</f>
        <v/>
      </c>
      <c r="C3720">
        <f>Prices!C3720</f>
        <v/>
      </c>
      <c r="D3720">
        <f>Prices!D3720</f>
        <v/>
      </c>
      <c r="E3720">
        <f>Prices!E3720</f>
        <v/>
      </c>
      <c r="F3720">
        <f>Prices!F3720</f>
        <v/>
      </c>
      <c r="G3720">
        <f>IF(AND(3718&gt;=16,TEXT(A3720,"yyyy-mm")&lt;&gt;TEXT(A3721,"yyyy-mm")),1,0)</f>
        <v/>
      </c>
      <c r="H3720">
        <f>IF(OR(H3719=1,G3720=1),1,0)</f>
        <v/>
      </c>
      <c r="I3720">
        <f>IF(H3719=0,1,SUMPRODUCT(J3719:N3719,B3720:F3720)+O3719*(1+0.00023125256064071564))</f>
        <v/>
      </c>
      <c r="J3720">
        <f>IF(G3720=1,0.2*R3720/B3720,J3719)</f>
        <v/>
      </c>
      <c r="K3720">
        <f>IF(G3720=1,0.2*R3720/C3720,K3719)</f>
        <v/>
      </c>
      <c r="L3720">
        <f>IF(G3720=1,0.2*R3720/D3720,L3719)</f>
        <v/>
      </c>
      <c r="M3720">
        <f>IF(G3720=1,0.2*R3720/E3720,M3719)</f>
        <v/>
      </c>
      <c r="N3720">
        <f>IF(G3720=1,0.2*R3720/F3720,N3719)</f>
        <v/>
      </c>
      <c r="O3720">
        <f>IF(G3720=1,R3720*(1-1.0),IF(H3719=0,1,O3719*(1+0.00023125256064071564)))</f>
        <v/>
      </c>
      <c r="P3720">
        <f>IF(G3720=1,IF(H3719=0,1,ABS(0.2-J3719*B3720/I3720)+ABS(0.2-K3719*C3720/I3720)+ABS(0.2-L3719*D3720/I3720)+ABS(0.2-M3719*E3720/I3720)+ABS(0.2-N3719*F3720/I3720)),0)</f>
        <v/>
      </c>
      <c r="Q3720">
        <f>P3720*0.0015</f>
        <v/>
      </c>
      <c r="R3720">
        <f>I3720*(1-Q3720)</f>
        <v/>
      </c>
      <c r="S3720">
        <f>R3720/R3719-1</f>
        <v/>
      </c>
      <c r="T3720">
        <f>MAX(T3719,R3720)</f>
        <v/>
      </c>
      <c r="U3720">
        <f>R3720/T3720-1</f>
        <v/>
      </c>
      <c r="V3720" t="n">
        <v>6.413190086076248</v>
      </c>
      <c r="W3720" s="5">
        <f>R3720-V3720</f>
        <v/>
      </c>
    </row>
    <row r="3721">
      <c r="A3721" s="3" t="n">
        <v>43921</v>
      </c>
      <c r="B3721">
        <f>Prices!B3721</f>
        <v/>
      </c>
      <c r="C3721">
        <f>Prices!C3721</f>
        <v/>
      </c>
      <c r="D3721">
        <f>Prices!D3721</f>
        <v/>
      </c>
      <c r="E3721">
        <f>Prices!E3721</f>
        <v/>
      </c>
      <c r="F3721">
        <f>Prices!F3721</f>
        <v/>
      </c>
      <c r="G3721">
        <f>IF(AND(3719&gt;=16,TEXT(A3721,"yyyy-mm")&lt;&gt;TEXT(A3722,"yyyy-mm")),1,0)</f>
        <v/>
      </c>
      <c r="H3721">
        <f>IF(OR(H3720=1,G3721=1),1,0)</f>
        <v/>
      </c>
      <c r="I3721">
        <f>IF(H3720=0,1,SUMPRODUCT(J3720:N3720,B3721:F3721)+O3720*(1+0.00023125256064071564))</f>
        <v/>
      </c>
      <c r="J3721">
        <f>IF(G3721=1,0.2*R3721/B3721,J3720)</f>
        <v/>
      </c>
      <c r="K3721">
        <f>IF(G3721=1,0.2*R3721/C3721,K3720)</f>
        <v/>
      </c>
      <c r="L3721">
        <f>IF(G3721=1,0.2*R3721/D3721,L3720)</f>
        <v/>
      </c>
      <c r="M3721">
        <f>IF(G3721=1,0.2*R3721/E3721,M3720)</f>
        <v/>
      </c>
      <c r="N3721">
        <f>IF(G3721=1,0.2*R3721/F3721,N3720)</f>
        <v/>
      </c>
      <c r="O3721">
        <f>IF(G3721=1,R3721*(1-1.0),IF(H3720=0,1,O3720*(1+0.00023125256064071564)))</f>
        <v/>
      </c>
      <c r="P3721">
        <f>IF(G3721=1,IF(H3720=0,1,ABS(0.2-J3720*B3721/I3721)+ABS(0.2-K3720*C3721/I3721)+ABS(0.2-L3720*D3721/I3721)+ABS(0.2-M3720*E3721/I3721)+ABS(0.2-N3720*F3721/I3721)),0)</f>
        <v/>
      </c>
      <c r="Q3721">
        <f>P3721*0.0015</f>
        <v/>
      </c>
      <c r="R3721">
        <f>I3721*(1-Q3721)</f>
        <v/>
      </c>
      <c r="S3721">
        <f>R3721/R3720-1</f>
        <v/>
      </c>
      <c r="T3721">
        <f>MAX(T3720,R3721)</f>
        <v/>
      </c>
      <c r="U3721">
        <f>R3721/T3721-1</f>
        <v/>
      </c>
      <c r="V3721" t="n">
        <v>6.675341107826805</v>
      </c>
      <c r="W3721" s="5">
        <f>R3721-V3721</f>
        <v/>
      </c>
    </row>
    <row r="3722">
      <c r="A3722" s="3" t="n">
        <v>43922</v>
      </c>
      <c r="B3722">
        <f>Prices!B3722</f>
        <v/>
      </c>
      <c r="C3722">
        <f>Prices!C3722</f>
        <v/>
      </c>
      <c r="D3722">
        <f>Prices!D3722</f>
        <v/>
      </c>
      <c r="E3722">
        <f>Prices!E3722</f>
        <v/>
      </c>
      <c r="F3722">
        <f>Prices!F3722</f>
        <v/>
      </c>
      <c r="G3722">
        <f>IF(AND(3720&gt;=16,TEXT(A3722,"yyyy-mm")&lt;&gt;TEXT(A3723,"yyyy-mm")),1,0)</f>
        <v/>
      </c>
      <c r="H3722">
        <f>IF(OR(H3721=1,G3722=1),1,0)</f>
        <v/>
      </c>
      <c r="I3722">
        <f>IF(H3721=0,1,SUMPRODUCT(J3721:N3721,B3722:F3722)+O3721*(1+0.00023125256064071564))</f>
        <v/>
      </c>
      <c r="J3722">
        <f>IF(G3722=1,0.2*R3722/B3722,J3721)</f>
        <v/>
      </c>
      <c r="K3722">
        <f>IF(G3722=1,0.2*R3722/C3722,K3721)</f>
        <v/>
      </c>
      <c r="L3722">
        <f>IF(G3722=1,0.2*R3722/D3722,L3721)</f>
        <v/>
      </c>
      <c r="M3722">
        <f>IF(G3722=1,0.2*R3722/E3722,M3721)</f>
        <v/>
      </c>
      <c r="N3722">
        <f>IF(G3722=1,0.2*R3722/F3722,N3721)</f>
        <v/>
      </c>
      <c r="O3722">
        <f>IF(G3722=1,R3722*(1-1.0),IF(H3721=0,1,O3721*(1+0.00023125256064071564)))</f>
        <v/>
      </c>
      <c r="P3722">
        <f>IF(G3722=1,IF(H3721=0,1,ABS(0.2-J3721*B3722/I3722)+ABS(0.2-K3721*C3722/I3722)+ABS(0.2-L3721*D3722/I3722)+ABS(0.2-M3721*E3722/I3722)+ABS(0.2-N3721*F3722/I3722)),0)</f>
        <v/>
      </c>
      <c r="Q3722">
        <f>P3722*0.0015</f>
        <v/>
      </c>
      <c r="R3722">
        <f>I3722*(1-Q3722)</f>
        <v/>
      </c>
      <c r="S3722">
        <f>R3722/R3721-1</f>
        <v/>
      </c>
      <c r="T3722">
        <f>MAX(T3721,R3722)</f>
        <v/>
      </c>
      <c r="U3722">
        <f>R3722/T3722-1</f>
        <v/>
      </c>
      <c r="V3722" t="n">
        <v>6.527107564221247</v>
      </c>
      <c r="W3722" s="5">
        <f>R3722-V3722</f>
        <v/>
      </c>
    </row>
    <row r="3723">
      <c r="A3723" s="3" t="n">
        <v>43924</v>
      </c>
      <c r="B3723">
        <f>Prices!B3723</f>
        <v/>
      </c>
      <c r="C3723">
        <f>Prices!C3723</f>
        <v/>
      </c>
      <c r="D3723">
        <f>Prices!D3723</f>
        <v/>
      </c>
      <c r="E3723">
        <f>Prices!E3723</f>
        <v/>
      </c>
      <c r="F3723">
        <f>Prices!F3723</f>
        <v/>
      </c>
      <c r="G3723">
        <f>IF(AND(3721&gt;=16,TEXT(A3723,"yyyy-mm")&lt;&gt;TEXT(A3724,"yyyy-mm")),1,0)</f>
        <v/>
      </c>
      <c r="H3723">
        <f>IF(OR(H3722=1,G3723=1),1,0)</f>
        <v/>
      </c>
      <c r="I3723">
        <f>IF(H3722=0,1,SUMPRODUCT(J3722:N3722,B3723:F3723)+O3722*(1+0.00023125256064071564))</f>
        <v/>
      </c>
      <c r="J3723">
        <f>IF(G3723=1,0.2*R3723/B3723,J3722)</f>
        <v/>
      </c>
      <c r="K3723">
        <f>IF(G3723=1,0.2*R3723/C3723,K3722)</f>
        <v/>
      </c>
      <c r="L3723">
        <f>IF(G3723=1,0.2*R3723/D3723,L3722)</f>
        <v/>
      </c>
      <c r="M3723">
        <f>IF(G3723=1,0.2*R3723/E3723,M3722)</f>
        <v/>
      </c>
      <c r="N3723">
        <f>IF(G3723=1,0.2*R3723/F3723,N3722)</f>
        <v/>
      </c>
      <c r="O3723">
        <f>IF(G3723=1,R3723*(1-1.0),IF(H3722=0,1,O3722*(1+0.00023125256064071564)))</f>
        <v/>
      </c>
      <c r="P3723">
        <f>IF(G3723=1,IF(H3722=0,1,ABS(0.2-J3722*B3723/I3723)+ABS(0.2-K3722*C3723/I3723)+ABS(0.2-L3722*D3723/I3723)+ABS(0.2-M3722*E3723/I3723)+ABS(0.2-N3722*F3723/I3723)),0)</f>
        <v/>
      </c>
      <c r="Q3723">
        <f>P3723*0.0015</f>
        <v/>
      </c>
      <c r="R3723">
        <f>I3723*(1-Q3723)</f>
        <v/>
      </c>
      <c r="S3723">
        <f>R3723/R3722-1</f>
        <v/>
      </c>
      <c r="T3723">
        <f>MAX(T3722,R3723)</f>
        <v/>
      </c>
      <c r="U3723">
        <f>R3723/T3723-1</f>
        <v/>
      </c>
      <c r="V3723" t="n">
        <v>6.464344590181564</v>
      </c>
      <c r="W3723" s="5">
        <f>R3723-V3723</f>
        <v/>
      </c>
    </row>
    <row r="3724">
      <c r="A3724" s="3" t="n">
        <v>43928</v>
      </c>
      <c r="B3724">
        <f>Prices!B3724</f>
        <v/>
      </c>
      <c r="C3724">
        <f>Prices!C3724</f>
        <v/>
      </c>
      <c r="D3724">
        <f>Prices!D3724</f>
        <v/>
      </c>
      <c r="E3724">
        <f>Prices!E3724</f>
        <v/>
      </c>
      <c r="F3724">
        <f>Prices!F3724</f>
        <v/>
      </c>
      <c r="G3724">
        <f>IF(AND(3722&gt;=16,TEXT(A3724,"yyyy-mm")&lt;&gt;TEXT(A3725,"yyyy-mm")),1,0)</f>
        <v/>
      </c>
      <c r="H3724">
        <f>IF(OR(H3723=1,G3724=1),1,0)</f>
        <v/>
      </c>
      <c r="I3724">
        <f>IF(H3723=0,1,SUMPRODUCT(J3723:N3723,B3724:F3724)+O3723*(1+0.00023125256064071564))</f>
        <v/>
      </c>
      <c r="J3724">
        <f>IF(G3724=1,0.2*R3724/B3724,J3723)</f>
        <v/>
      </c>
      <c r="K3724">
        <f>IF(G3724=1,0.2*R3724/C3724,K3723)</f>
        <v/>
      </c>
      <c r="L3724">
        <f>IF(G3724=1,0.2*R3724/D3724,L3723)</f>
        <v/>
      </c>
      <c r="M3724">
        <f>IF(G3724=1,0.2*R3724/E3724,M3723)</f>
        <v/>
      </c>
      <c r="N3724">
        <f>IF(G3724=1,0.2*R3724/F3724,N3723)</f>
        <v/>
      </c>
      <c r="O3724">
        <f>IF(G3724=1,R3724*(1-1.0),IF(H3723=0,1,O3723*(1+0.00023125256064071564)))</f>
        <v/>
      </c>
      <c r="P3724">
        <f>IF(G3724=1,IF(H3723=0,1,ABS(0.2-J3723*B3724/I3724)+ABS(0.2-K3723*C3724/I3724)+ABS(0.2-L3723*D3724/I3724)+ABS(0.2-M3723*E3724/I3724)+ABS(0.2-N3723*F3724/I3724)),0)</f>
        <v/>
      </c>
      <c r="Q3724">
        <f>P3724*0.0015</f>
        <v/>
      </c>
      <c r="R3724">
        <f>I3724*(1-Q3724)</f>
        <v/>
      </c>
      <c r="S3724">
        <f>R3724/R3723-1</f>
        <v/>
      </c>
      <c r="T3724">
        <f>MAX(T3723,R3724)</f>
        <v/>
      </c>
      <c r="U3724">
        <f>R3724/T3724-1</f>
        <v/>
      </c>
      <c r="V3724" t="n">
        <v>6.905007887970153</v>
      </c>
      <c r="W3724" s="5">
        <f>R3724-V3724</f>
        <v/>
      </c>
    </row>
    <row r="3725">
      <c r="A3725" s="3" t="n">
        <v>43929</v>
      </c>
      <c r="B3725">
        <f>Prices!B3725</f>
        <v/>
      </c>
      <c r="C3725">
        <f>Prices!C3725</f>
        <v/>
      </c>
      <c r="D3725">
        <f>Prices!D3725</f>
        <v/>
      </c>
      <c r="E3725">
        <f>Prices!E3725</f>
        <v/>
      </c>
      <c r="F3725">
        <f>Prices!F3725</f>
        <v/>
      </c>
      <c r="G3725">
        <f>IF(AND(3723&gt;=16,TEXT(A3725,"yyyy-mm")&lt;&gt;TEXT(A3726,"yyyy-mm")),1,0)</f>
        <v/>
      </c>
      <c r="H3725">
        <f>IF(OR(H3724=1,G3725=1),1,0)</f>
        <v/>
      </c>
      <c r="I3725">
        <f>IF(H3724=0,1,SUMPRODUCT(J3724:N3724,B3725:F3725)+O3724*(1+0.00023125256064071564))</f>
        <v/>
      </c>
      <c r="J3725">
        <f>IF(G3725=1,0.2*R3725/B3725,J3724)</f>
        <v/>
      </c>
      <c r="K3725">
        <f>IF(G3725=1,0.2*R3725/C3725,K3724)</f>
        <v/>
      </c>
      <c r="L3725">
        <f>IF(G3725=1,0.2*R3725/D3725,L3724)</f>
        <v/>
      </c>
      <c r="M3725">
        <f>IF(G3725=1,0.2*R3725/E3725,M3724)</f>
        <v/>
      </c>
      <c r="N3725">
        <f>IF(G3725=1,0.2*R3725/F3725,N3724)</f>
        <v/>
      </c>
      <c r="O3725">
        <f>IF(G3725=1,R3725*(1-1.0),IF(H3724=0,1,O3724*(1+0.00023125256064071564)))</f>
        <v/>
      </c>
      <c r="P3725">
        <f>IF(G3725=1,IF(H3724=0,1,ABS(0.2-J3724*B3725/I3725)+ABS(0.2-K3724*C3725/I3725)+ABS(0.2-L3724*D3725/I3725)+ABS(0.2-M3724*E3725/I3725)+ABS(0.2-N3724*F3725/I3725)),0)</f>
        <v/>
      </c>
      <c r="Q3725">
        <f>P3725*0.0015</f>
        <v/>
      </c>
      <c r="R3725">
        <f>I3725*(1-Q3725)</f>
        <v/>
      </c>
      <c r="S3725">
        <f>R3725/R3724-1</f>
        <v/>
      </c>
      <c r="T3725">
        <f>MAX(T3724,R3725)</f>
        <v/>
      </c>
      <c r="U3725">
        <f>R3725/T3725-1</f>
        <v/>
      </c>
      <c r="V3725" t="n">
        <v>6.967514767563245</v>
      </c>
      <c r="W3725" s="5">
        <f>R3725-V3725</f>
        <v/>
      </c>
    </row>
    <row r="3726">
      <c r="A3726" s="3" t="n">
        <v>43930</v>
      </c>
      <c r="B3726">
        <f>Prices!B3726</f>
        <v/>
      </c>
      <c r="C3726">
        <f>Prices!C3726</f>
        <v/>
      </c>
      <c r="D3726">
        <f>Prices!D3726</f>
        <v/>
      </c>
      <c r="E3726">
        <f>Prices!E3726</f>
        <v/>
      </c>
      <c r="F3726">
        <f>Prices!F3726</f>
        <v/>
      </c>
      <c r="G3726">
        <f>IF(AND(3724&gt;=16,TEXT(A3726,"yyyy-mm")&lt;&gt;TEXT(A3727,"yyyy-mm")),1,0)</f>
        <v/>
      </c>
      <c r="H3726">
        <f>IF(OR(H3725=1,G3726=1),1,0)</f>
        <v/>
      </c>
      <c r="I3726">
        <f>IF(H3725=0,1,SUMPRODUCT(J3725:N3725,B3726:F3726)+O3725*(1+0.00023125256064071564))</f>
        <v/>
      </c>
      <c r="J3726">
        <f>IF(G3726=1,0.2*R3726/B3726,J3725)</f>
        <v/>
      </c>
      <c r="K3726">
        <f>IF(G3726=1,0.2*R3726/C3726,K3725)</f>
        <v/>
      </c>
      <c r="L3726">
        <f>IF(G3726=1,0.2*R3726/D3726,L3725)</f>
        <v/>
      </c>
      <c r="M3726">
        <f>IF(G3726=1,0.2*R3726/E3726,M3725)</f>
        <v/>
      </c>
      <c r="N3726">
        <f>IF(G3726=1,0.2*R3726/F3726,N3725)</f>
        <v/>
      </c>
      <c r="O3726">
        <f>IF(G3726=1,R3726*(1-1.0),IF(H3725=0,1,O3725*(1+0.00023125256064071564)))</f>
        <v/>
      </c>
      <c r="P3726">
        <f>IF(G3726=1,IF(H3725=0,1,ABS(0.2-J3725*B3726/I3726)+ABS(0.2-K3725*C3726/I3726)+ABS(0.2-L3725*D3726/I3726)+ABS(0.2-M3725*E3726/I3726)+ABS(0.2-N3725*F3726/I3726)),0)</f>
        <v/>
      </c>
      <c r="Q3726">
        <f>P3726*0.0015</f>
        <v/>
      </c>
      <c r="R3726">
        <f>I3726*(1-Q3726)</f>
        <v/>
      </c>
      <c r="S3726">
        <f>R3726/R3725-1</f>
        <v/>
      </c>
      <c r="T3726">
        <f>MAX(T3725,R3726)</f>
        <v/>
      </c>
      <c r="U3726">
        <f>R3726/T3726-1</f>
        <v/>
      </c>
      <c r="V3726" t="n">
        <v>7.175660243390829</v>
      </c>
      <c r="W3726" s="5">
        <f>R3726-V3726</f>
        <v/>
      </c>
    </row>
    <row r="3727">
      <c r="A3727" s="3" t="n">
        <v>43934</v>
      </c>
      <c r="B3727">
        <f>Prices!B3727</f>
        <v/>
      </c>
      <c r="C3727">
        <f>Prices!C3727</f>
        <v/>
      </c>
      <c r="D3727">
        <f>Prices!D3727</f>
        <v/>
      </c>
      <c r="E3727">
        <f>Prices!E3727</f>
        <v/>
      </c>
      <c r="F3727">
        <f>Prices!F3727</f>
        <v/>
      </c>
      <c r="G3727">
        <f>IF(AND(3725&gt;=16,TEXT(A3727,"yyyy-mm")&lt;&gt;TEXT(A3728,"yyyy-mm")),1,0)</f>
        <v/>
      </c>
      <c r="H3727">
        <f>IF(OR(H3726=1,G3727=1),1,0)</f>
        <v/>
      </c>
      <c r="I3727">
        <f>IF(H3726=0,1,SUMPRODUCT(J3726:N3726,B3727:F3727)+O3726*(1+0.00023125256064071564))</f>
        <v/>
      </c>
      <c r="J3727">
        <f>IF(G3727=1,0.2*R3727/B3727,J3726)</f>
        <v/>
      </c>
      <c r="K3727">
        <f>IF(G3727=1,0.2*R3727/C3727,K3726)</f>
        <v/>
      </c>
      <c r="L3727">
        <f>IF(G3727=1,0.2*R3727/D3727,L3726)</f>
        <v/>
      </c>
      <c r="M3727">
        <f>IF(G3727=1,0.2*R3727/E3727,M3726)</f>
        <v/>
      </c>
      <c r="N3727">
        <f>IF(G3727=1,0.2*R3727/F3727,N3726)</f>
        <v/>
      </c>
      <c r="O3727">
        <f>IF(G3727=1,R3727*(1-1.0),IF(H3726=0,1,O3726*(1+0.00023125256064071564)))</f>
        <v/>
      </c>
      <c r="P3727">
        <f>IF(G3727=1,IF(H3726=0,1,ABS(0.2-J3726*B3727/I3727)+ABS(0.2-K3726*C3727/I3727)+ABS(0.2-L3726*D3727/I3727)+ABS(0.2-M3726*E3727/I3727)+ABS(0.2-N3726*F3727/I3727)),0)</f>
        <v/>
      </c>
      <c r="Q3727">
        <f>P3727*0.0015</f>
        <v/>
      </c>
      <c r="R3727">
        <f>I3727*(1-Q3727)</f>
        <v/>
      </c>
      <c r="S3727">
        <f>R3727/R3726-1</f>
        <v/>
      </c>
      <c r="T3727">
        <f>MAX(T3726,R3727)</f>
        <v/>
      </c>
      <c r="U3727">
        <f>R3727/T3727-1</f>
        <v/>
      </c>
      <c r="V3727" t="n">
        <v>7.125090296670913</v>
      </c>
      <c r="W3727" s="5">
        <f>R3727-V3727</f>
        <v/>
      </c>
    </row>
    <row r="3728">
      <c r="A3728" s="3" t="n">
        <v>43936</v>
      </c>
      <c r="B3728">
        <f>Prices!B3728</f>
        <v/>
      </c>
      <c r="C3728">
        <f>Prices!C3728</f>
        <v/>
      </c>
      <c r="D3728">
        <f>Prices!D3728</f>
        <v/>
      </c>
      <c r="E3728">
        <f>Prices!E3728</f>
        <v/>
      </c>
      <c r="F3728">
        <f>Prices!F3728</f>
        <v/>
      </c>
      <c r="G3728">
        <f>IF(AND(3726&gt;=16,TEXT(A3728,"yyyy-mm")&lt;&gt;TEXT(A3729,"yyyy-mm")),1,0)</f>
        <v/>
      </c>
      <c r="H3728">
        <f>IF(OR(H3727=1,G3728=1),1,0)</f>
        <v/>
      </c>
      <c r="I3728">
        <f>IF(H3727=0,1,SUMPRODUCT(J3727:N3727,B3728:F3728)+O3727*(1+0.00023125256064071564))</f>
        <v/>
      </c>
      <c r="J3728">
        <f>IF(G3728=1,0.2*R3728/B3728,J3727)</f>
        <v/>
      </c>
      <c r="K3728">
        <f>IF(G3728=1,0.2*R3728/C3728,K3727)</f>
        <v/>
      </c>
      <c r="L3728">
        <f>IF(G3728=1,0.2*R3728/D3728,L3727)</f>
        <v/>
      </c>
      <c r="M3728">
        <f>IF(G3728=1,0.2*R3728/E3728,M3727)</f>
        <v/>
      </c>
      <c r="N3728">
        <f>IF(G3728=1,0.2*R3728/F3728,N3727)</f>
        <v/>
      </c>
      <c r="O3728">
        <f>IF(G3728=1,R3728*(1-1.0),IF(H3727=0,1,O3727*(1+0.00023125256064071564)))</f>
        <v/>
      </c>
      <c r="P3728">
        <f>IF(G3728=1,IF(H3727=0,1,ABS(0.2-J3727*B3728/I3728)+ABS(0.2-K3727*C3728/I3728)+ABS(0.2-L3727*D3728/I3728)+ABS(0.2-M3727*E3728/I3728)+ABS(0.2-N3727*F3728/I3728)),0)</f>
        <v/>
      </c>
      <c r="Q3728">
        <f>P3728*0.0015</f>
        <v/>
      </c>
      <c r="R3728">
        <f>I3728*(1-Q3728)</f>
        <v/>
      </c>
      <c r="S3728">
        <f>R3728/R3727-1</f>
        <v/>
      </c>
      <c r="T3728">
        <f>MAX(T3727,R3728)</f>
        <v/>
      </c>
      <c r="U3728">
        <f>R3728/T3728-1</f>
        <v/>
      </c>
      <c r="V3728" t="n">
        <v>7.183772300127612</v>
      </c>
      <c r="W3728" s="5">
        <f>R3728-V3728</f>
        <v/>
      </c>
    </row>
    <row r="3729">
      <c r="A3729" s="3" t="n">
        <v>43937</v>
      </c>
      <c r="B3729">
        <f>Prices!B3729</f>
        <v/>
      </c>
      <c r="C3729">
        <f>Prices!C3729</f>
        <v/>
      </c>
      <c r="D3729">
        <f>Prices!D3729</f>
        <v/>
      </c>
      <c r="E3729">
        <f>Prices!E3729</f>
        <v/>
      </c>
      <c r="F3729">
        <f>Prices!F3729</f>
        <v/>
      </c>
      <c r="G3729">
        <f>IF(AND(3727&gt;=16,TEXT(A3729,"yyyy-mm")&lt;&gt;TEXT(A3730,"yyyy-mm")),1,0)</f>
        <v/>
      </c>
      <c r="H3729">
        <f>IF(OR(H3728=1,G3729=1),1,0)</f>
        <v/>
      </c>
      <c r="I3729">
        <f>IF(H3728=0,1,SUMPRODUCT(J3728:N3728,B3729:F3729)+O3728*(1+0.00023125256064071564))</f>
        <v/>
      </c>
      <c r="J3729">
        <f>IF(G3729=1,0.2*R3729/B3729,J3728)</f>
        <v/>
      </c>
      <c r="K3729">
        <f>IF(G3729=1,0.2*R3729/C3729,K3728)</f>
        <v/>
      </c>
      <c r="L3729">
        <f>IF(G3729=1,0.2*R3729/D3729,L3728)</f>
        <v/>
      </c>
      <c r="M3729">
        <f>IF(G3729=1,0.2*R3729/E3729,M3728)</f>
        <v/>
      </c>
      <c r="N3729">
        <f>IF(G3729=1,0.2*R3729/F3729,N3728)</f>
        <v/>
      </c>
      <c r="O3729">
        <f>IF(G3729=1,R3729*(1-1.0),IF(H3728=0,1,O3728*(1+0.00023125256064071564)))</f>
        <v/>
      </c>
      <c r="P3729">
        <f>IF(G3729=1,IF(H3728=0,1,ABS(0.2-J3728*B3729/I3729)+ABS(0.2-K3728*C3729/I3729)+ABS(0.2-L3728*D3729/I3729)+ABS(0.2-M3728*E3729/I3729)+ABS(0.2-N3728*F3729/I3729)),0)</f>
        <v/>
      </c>
      <c r="Q3729">
        <f>P3729*0.0015</f>
        <v/>
      </c>
      <c r="R3729">
        <f>I3729*(1-Q3729)</f>
        <v/>
      </c>
      <c r="S3729">
        <f>R3729/R3728-1</f>
        <v/>
      </c>
      <c r="T3729">
        <f>MAX(T3728,R3729)</f>
        <v/>
      </c>
      <c r="U3729">
        <f>R3729/T3729-1</f>
        <v/>
      </c>
      <c r="V3729" t="n">
        <v>7.263199495581635</v>
      </c>
      <c r="W3729" s="5">
        <f>R3729-V3729</f>
        <v/>
      </c>
    </row>
    <row r="3730">
      <c r="A3730" s="3" t="n">
        <v>43938</v>
      </c>
      <c r="B3730">
        <f>Prices!B3730</f>
        <v/>
      </c>
      <c r="C3730">
        <f>Prices!C3730</f>
        <v/>
      </c>
      <c r="D3730">
        <f>Prices!D3730</f>
        <v/>
      </c>
      <c r="E3730">
        <f>Prices!E3730</f>
        <v/>
      </c>
      <c r="F3730">
        <f>Prices!F3730</f>
        <v/>
      </c>
      <c r="G3730">
        <f>IF(AND(3728&gt;=16,TEXT(A3730,"yyyy-mm")&lt;&gt;TEXT(A3731,"yyyy-mm")),1,0)</f>
        <v/>
      </c>
      <c r="H3730">
        <f>IF(OR(H3729=1,G3730=1),1,0)</f>
        <v/>
      </c>
      <c r="I3730">
        <f>IF(H3729=0,1,SUMPRODUCT(J3729:N3729,B3730:F3730)+O3729*(1+0.00023125256064071564))</f>
        <v/>
      </c>
      <c r="J3730">
        <f>IF(G3730=1,0.2*R3730/B3730,J3729)</f>
        <v/>
      </c>
      <c r="K3730">
        <f>IF(G3730=1,0.2*R3730/C3730,K3729)</f>
        <v/>
      </c>
      <c r="L3730">
        <f>IF(G3730=1,0.2*R3730/D3730,L3729)</f>
        <v/>
      </c>
      <c r="M3730">
        <f>IF(G3730=1,0.2*R3730/E3730,M3729)</f>
        <v/>
      </c>
      <c r="N3730">
        <f>IF(G3730=1,0.2*R3730/F3730,N3729)</f>
        <v/>
      </c>
      <c r="O3730">
        <f>IF(G3730=1,R3730*(1-1.0),IF(H3729=0,1,O3729*(1+0.00023125256064071564)))</f>
        <v/>
      </c>
      <c r="P3730">
        <f>IF(G3730=1,IF(H3729=0,1,ABS(0.2-J3729*B3730/I3730)+ABS(0.2-K3729*C3730/I3730)+ABS(0.2-L3729*D3730/I3730)+ABS(0.2-M3729*E3730/I3730)+ABS(0.2-N3729*F3730/I3730)),0)</f>
        <v/>
      </c>
      <c r="Q3730">
        <f>P3730*0.0015</f>
        <v/>
      </c>
      <c r="R3730">
        <f>I3730*(1-Q3730)</f>
        <v/>
      </c>
      <c r="S3730">
        <f>R3730/R3729-1</f>
        <v/>
      </c>
      <c r="T3730">
        <f>MAX(T3729,R3730)</f>
        <v/>
      </c>
      <c r="U3730">
        <f>R3730/T3730-1</f>
        <v/>
      </c>
      <c r="V3730" t="n">
        <v>7.380877629641228</v>
      </c>
      <c r="W3730" s="5">
        <f>R3730-V3730</f>
        <v/>
      </c>
    </row>
    <row r="3731">
      <c r="A3731" s="3" t="n">
        <v>43941</v>
      </c>
      <c r="B3731">
        <f>Prices!B3731</f>
        <v/>
      </c>
      <c r="C3731">
        <f>Prices!C3731</f>
        <v/>
      </c>
      <c r="D3731">
        <f>Prices!D3731</f>
        <v/>
      </c>
      <c r="E3731">
        <f>Prices!E3731</f>
        <v/>
      </c>
      <c r="F3731">
        <f>Prices!F3731</f>
        <v/>
      </c>
      <c r="G3731">
        <f>IF(AND(3729&gt;=16,TEXT(A3731,"yyyy-mm")&lt;&gt;TEXT(A3732,"yyyy-mm")),1,0)</f>
        <v/>
      </c>
      <c r="H3731">
        <f>IF(OR(H3730=1,G3731=1),1,0)</f>
        <v/>
      </c>
      <c r="I3731">
        <f>IF(H3730=0,1,SUMPRODUCT(J3730:N3730,B3731:F3731)+O3730*(1+0.00023125256064071564))</f>
        <v/>
      </c>
      <c r="J3731">
        <f>IF(G3731=1,0.2*R3731/B3731,J3730)</f>
        <v/>
      </c>
      <c r="K3731">
        <f>IF(G3731=1,0.2*R3731/C3731,K3730)</f>
        <v/>
      </c>
      <c r="L3731">
        <f>IF(G3731=1,0.2*R3731/D3731,L3730)</f>
        <v/>
      </c>
      <c r="M3731">
        <f>IF(G3731=1,0.2*R3731/E3731,M3730)</f>
        <v/>
      </c>
      <c r="N3731">
        <f>IF(G3731=1,0.2*R3731/F3731,N3730)</f>
        <v/>
      </c>
      <c r="O3731">
        <f>IF(G3731=1,R3731*(1-1.0),IF(H3730=0,1,O3730*(1+0.00023125256064071564)))</f>
        <v/>
      </c>
      <c r="P3731">
        <f>IF(G3731=1,IF(H3730=0,1,ABS(0.2-J3730*B3731/I3731)+ABS(0.2-K3730*C3731/I3731)+ABS(0.2-L3730*D3731/I3731)+ABS(0.2-M3730*E3731/I3731)+ABS(0.2-N3730*F3731/I3731)),0)</f>
        <v/>
      </c>
      <c r="Q3731">
        <f>P3731*0.0015</f>
        <v/>
      </c>
      <c r="R3731">
        <f>I3731*(1-Q3731)</f>
        <v/>
      </c>
      <c r="S3731">
        <f>R3731/R3730-1</f>
        <v/>
      </c>
      <c r="T3731">
        <f>MAX(T3730,R3731)</f>
        <v/>
      </c>
      <c r="U3731">
        <f>R3731/T3731-1</f>
        <v/>
      </c>
      <c r="V3731" t="n">
        <v>7.367483471396069</v>
      </c>
      <c r="W3731" s="5">
        <f>R3731-V3731</f>
        <v/>
      </c>
    </row>
    <row r="3732">
      <c r="A3732" s="3" t="n">
        <v>43942</v>
      </c>
      <c r="B3732">
        <f>Prices!B3732</f>
        <v/>
      </c>
      <c r="C3732">
        <f>Prices!C3732</f>
        <v/>
      </c>
      <c r="D3732">
        <f>Prices!D3732</f>
        <v/>
      </c>
      <c r="E3732">
        <f>Prices!E3732</f>
        <v/>
      </c>
      <c r="F3732">
        <f>Prices!F3732</f>
        <v/>
      </c>
      <c r="G3732">
        <f>IF(AND(3730&gt;=16,TEXT(A3732,"yyyy-mm")&lt;&gt;TEXT(A3733,"yyyy-mm")),1,0)</f>
        <v/>
      </c>
      <c r="H3732">
        <f>IF(OR(H3731=1,G3732=1),1,0)</f>
        <v/>
      </c>
      <c r="I3732">
        <f>IF(H3731=0,1,SUMPRODUCT(J3731:N3731,B3732:F3732)+O3731*(1+0.00023125256064071564))</f>
        <v/>
      </c>
      <c r="J3732">
        <f>IF(G3732=1,0.2*R3732/B3732,J3731)</f>
        <v/>
      </c>
      <c r="K3732">
        <f>IF(G3732=1,0.2*R3732/C3732,K3731)</f>
        <v/>
      </c>
      <c r="L3732">
        <f>IF(G3732=1,0.2*R3732/D3732,L3731)</f>
        <v/>
      </c>
      <c r="M3732">
        <f>IF(G3732=1,0.2*R3732/E3732,M3731)</f>
        <v/>
      </c>
      <c r="N3732">
        <f>IF(G3732=1,0.2*R3732/F3732,N3731)</f>
        <v/>
      </c>
      <c r="O3732">
        <f>IF(G3732=1,R3732*(1-1.0),IF(H3731=0,1,O3731*(1+0.00023125256064071564)))</f>
        <v/>
      </c>
      <c r="P3732">
        <f>IF(G3732=1,IF(H3731=0,1,ABS(0.2-J3731*B3732/I3732)+ABS(0.2-K3731*C3732/I3732)+ABS(0.2-L3731*D3732/I3732)+ABS(0.2-M3731*E3732/I3732)+ABS(0.2-N3731*F3732/I3732)),0)</f>
        <v/>
      </c>
      <c r="Q3732">
        <f>P3732*0.0015</f>
        <v/>
      </c>
      <c r="R3732">
        <f>I3732*(1-Q3732)</f>
        <v/>
      </c>
      <c r="S3732">
        <f>R3732/R3731-1</f>
        <v/>
      </c>
      <c r="T3732">
        <f>MAX(T3731,R3732)</f>
        <v/>
      </c>
      <c r="U3732">
        <f>R3732/T3732-1</f>
        <v/>
      </c>
      <c r="V3732" t="n">
        <v>7.17872921277044</v>
      </c>
      <c r="W3732" s="5">
        <f>R3732-V3732</f>
        <v/>
      </c>
    </row>
    <row r="3733">
      <c r="A3733" s="3" t="n">
        <v>43943</v>
      </c>
      <c r="B3733">
        <f>Prices!B3733</f>
        <v/>
      </c>
      <c r="C3733">
        <f>Prices!C3733</f>
        <v/>
      </c>
      <c r="D3733">
        <f>Prices!D3733</f>
        <v/>
      </c>
      <c r="E3733">
        <f>Prices!E3733</f>
        <v/>
      </c>
      <c r="F3733">
        <f>Prices!F3733</f>
        <v/>
      </c>
      <c r="G3733">
        <f>IF(AND(3731&gt;=16,TEXT(A3733,"yyyy-mm")&lt;&gt;TEXT(A3734,"yyyy-mm")),1,0)</f>
        <v/>
      </c>
      <c r="H3733">
        <f>IF(OR(H3732=1,G3733=1),1,0)</f>
        <v/>
      </c>
      <c r="I3733">
        <f>IF(H3732=0,1,SUMPRODUCT(J3732:N3732,B3733:F3733)+O3732*(1+0.00023125256064071564))</f>
        <v/>
      </c>
      <c r="J3733">
        <f>IF(G3733=1,0.2*R3733/B3733,J3732)</f>
        <v/>
      </c>
      <c r="K3733">
        <f>IF(G3733=1,0.2*R3733/C3733,K3732)</f>
        <v/>
      </c>
      <c r="L3733">
        <f>IF(G3733=1,0.2*R3733/D3733,L3732)</f>
        <v/>
      </c>
      <c r="M3733">
        <f>IF(G3733=1,0.2*R3733/E3733,M3732)</f>
        <v/>
      </c>
      <c r="N3733">
        <f>IF(G3733=1,0.2*R3733/F3733,N3732)</f>
        <v/>
      </c>
      <c r="O3733">
        <f>IF(G3733=1,R3733*(1-1.0),IF(H3732=0,1,O3732*(1+0.00023125256064071564)))</f>
        <v/>
      </c>
      <c r="P3733">
        <f>IF(G3733=1,IF(H3732=0,1,ABS(0.2-J3732*B3733/I3733)+ABS(0.2-K3732*C3733/I3733)+ABS(0.2-L3732*D3733/I3733)+ABS(0.2-M3732*E3733/I3733)+ABS(0.2-N3732*F3733/I3733)),0)</f>
        <v/>
      </c>
      <c r="Q3733">
        <f>P3733*0.0015</f>
        <v/>
      </c>
      <c r="R3733">
        <f>I3733*(1-Q3733)</f>
        <v/>
      </c>
      <c r="S3733">
        <f>R3733/R3732-1</f>
        <v/>
      </c>
      <c r="T3733">
        <f>MAX(T3732,R3733)</f>
        <v/>
      </c>
      <c r="U3733">
        <f>R3733/T3733-1</f>
        <v/>
      </c>
      <c r="V3733" t="n">
        <v>7.273018403940284</v>
      </c>
      <c r="W3733" s="5">
        <f>R3733-V3733</f>
        <v/>
      </c>
    </row>
    <row r="3734">
      <c r="A3734" s="3" t="n">
        <v>43944</v>
      </c>
      <c r="B3734">
        <f>Prices!B3734</f>
        <v/>
      </c>
      <c r="C3734">
        <f>Prices!C3734</f>
        <v/>
      </c>
      <c r="D3734">
        <f>Prices!D3734</f>
        <v/>
      </c>
      <c r="E3734">
        <f>Prices!E3734</f>
        <v/>
      </c>
      <c r="F3734">
        <f>Prices!F3734</f>
        <v/>
      </c>
      <c r="G3734">
        <f>IF(AND(3732&gt;=16,TEXT(A3734,"yyyy-mm")&lt;&gt;TEXT(A3735,"yyyy-mm")),1,0)</f>
        <v/>
      </c>
      <c r="H3734">
        <f>IF(OR(H3733=1,G3734=1),1,0)</f>
        <v/>
      </c>
      <c r="I3734">
        <f>IF(H3733=0,1,SUMPRODUCT(J3733:N3733,B3734:F3734)+O3733*(1+0.00023125256064071564))</f>
        <v/>
      </c>
      <c r="J3734">
        <f>IF(G3734=1,0.2*R3734/B3734,J3733)</f>
        <v/>
      </c>
      <c r="K3734">
        <f>IF(G3734=1,0.2*R3734/C3734,K3733)</f>
        <v/>
      </c>
      <c r="L3734">
        <f>IF(G3734=1,0.2*R3734/D3734,L3733)</f>
        <v/>
      </c>
      <c r="M3734">
        <f>IF(G3734=1,0.2*R3734/E3734,M3733)</f>
        <v/>
      </c>
      <c r="N3734">
        <f>IF(G3734=1,0.2*R3734/F3734,N3733)</f>
        <v/>
      </c>
      <c r="O3734">
        <f>IF(G3734=1,R3734*(1-1.0),IF(H3733=0,1,O3733*(1+0.00023125256064071564)))</f>
        <v/>
      </c>
      <c r="P3734">
        <f>IF(G3734=1,IF(H3733=0,1,ABS(0.2-J3733*B3734/I3734)+ABS(0.2-K3733*C3734/I3734)+ABS(0.2-L3733*D3734/I3734)+ABS(0.2-M3733*E3734/I3734)+ABS(0.2-N3733*F3734/I3734)),0)</f>
        <v/>
      </c>
      <c r="Q3734">
        <f>P3734*0.0015</f>
        <v/>
      </c>
      <c r="R3734">
        <f>I3734*(1-Q3734)</f>
        <v/>
      </c>
      <c r="S3734">
        <f>R3734/R3733-1</f>
        <v/>
      </c>
      <c r="T3734">
        <f>MAX(T3733,R3734)</f>
        <v/>
      </c>
      <c r="U3734">
        <f>R3734/T3734-1</f>
        <v/>
      </c>
      <c r="V3734" t="n">
        <v>7.336859731038211</v>
      </c>
      <c r="W3734" s="5">
        <f>R3734-V3734</f>
        <v/>
      </c>
    </row>
    <row r="3735">
      <c r="A3735" s="3" t="n">
        <v>43945</v>
      </c>
      <c r="B3735">
        <f>Prices!B3735</f>
        <v/>
      </c>
      <c r="C3735">
        <f>Prices!C3735</f>
        <v/>
      </c>
      <c r="D3735">
        <f>Prices!D3735</f>
        <v/>
      </c>
      <c r="E3735">
        <f>Prices!E3735</f>
        <v/>
      </c>
      <c r="F3735">
        <f>Prices!F3735</f>
        <v/>
      </c>
      <c r="G3735">
        <f>IF(AND(3733&gt;=16,TEXT(A3735,"yyyy-mm")&lt;&gt;TEXT(A3736,"yyyy-mm")),1,0)</f>
        <v/>
      </c>
      <c r="H3735">
        <f>IF(OR(H3734=1,G3735=1),1,0)</f>
        <v/>
      </c>
      <c r="I3735">
        <f>IF(H3734=0,1,SUMPRODUCT(J3734:N3734,B3735:F3735)+O3734*(1+0.00023125256064071564))</f>
        <v/>
      </c>
      <c r="J3735">
        <f>IF(G3735=1,0.2*R3735/B3735,J3734)</f>
        <v/>
      </c>
      <c r="K3735">
        <f>IF(G3735=1,0.2*R3735/C3735,K3734)</f>
        <v/>
      </c>
      <c r="L3735">
        <f>IF(G3735=1,0.2*R3735/D3735,L3734)</f>
        <v/>
      </c>
      <c r="M3735">
        <f>IF(G3735=1,0.2*R3735/E3735,M3734)</f>
        <v/>
      </c>
      <c r="N3735">
        <f>IF(G3735=1,0.2*R3735/F3735,N3734)</f>
        <v/>
      </c>
      <c r="O3735">
        <f>IF(G3735=1,R3735*(1-1.0),IF(H3734=0,1,O3734*(1+0.00023125256064071564)))</f>
        <v/>
      </c>
      <c r="P3735">
        <f>IF(G3735=1,IF(H3734=0,1,ABS(0.2-J3734*B3735/I3735)+ABS(0.2-K3734*C3735/I3735)+ABS(0.2-L3734*D3735/I3735)+ABS(0.2-M3734*E3735/I3735)+ABS(0.2-N3734*F3735/I3735)),0)</f>
        <v/>
      </c>
      <c r="Q3735">
        <f>P3735*0.0015</f>
        <v/>
      </c>
      <c r="R3735">
        <f>I3735*(1-Q3735)</f>
        <v/>
      </c>
      <c r="S3735">
        <f>R3735/R3734-1</f>
        <v/>
      </c>
      <c r="T3735">
        <f>MAX(T3734,R3735)</f>
        <v/>
      </c>
      <c r="U3735">
        <f>R3735/T3735-1</f>
        <v/>
      </c>
      <c r="V3735" t="n">
        <v>7.19700674790284</v>
      </c>
      <c r="W3735" s="5">
        <f>R3735-V3735</f>
        <v/>
      </c>
    </row>
    <row r="3736">
      <c r="A3736" s="3" t="n">
        <v>43948</v>
      </c>
      <c r="B3736">
        <f>Prices!B3736</f>
        <v/>
      </c>
      <c r="C3736">
        <f>Prices!C3736</f>
        <v/>
      </c>
      <c r="D3736">
        <f>Prices!D3736</f>
        <v/>
      </c>
      <c r="E3736">
        <f>Prices!E3736</f>
        <v/>
      </c>
      <c r="F3736">
        <f>Prices!F3736</f>
        <v/>
      </c>
      <c r="G3736">
        <f>IF(AND(3734&gt;=16,TEXT(A3736,"yyyy-mm")&lt;&gt;TEXT(A3737,"yyyy-mm")),1,0)</f>
        <v/>
      </c>
      <c r="H3736">
        <f>IF(OR(H3735=1,G3736=1),1,0)</f>
        <v/>
      </c>
      <c r="I3736">
        <f>IF(H3735=0,1,SUMPRODUCT(J3735:N3735,B3736:F3736)+O3735*(1+0.00023125256064071564))</f>
        <v/>
      </c>
      <c r="J3736">
        <f>IF(G3736=1,0.2*R3736/B3736,J3735)</f>
        <v/>
      </c>
      <c r="K3736">
        <f>IF(G3736=1,0.2*R3736/C3736,K3735)</f>
        <v/>
      </c>
      <c r="L3736">
        <f>IF(G3736=1,0.2*R3736/D3736,L3735)</f>
        <v/>
      </c>
      <c r="M3736">
        <f>IF(G3736=1,0.2*R3736/E3736,M3735)</f>
        <v/>
      </c>
      <c r="N3736">
        <f>IF(G3736=1,0.2*R3736/F3736,N3735)</f>
        <v/>
      </c>
      <c r="O3736">
        <f>IF(G3736=1,R3736*(1-1.0),IF(H3735=0,1,O3735*(1+0.00023125256064071564)))</f>
        <v/>
      </c>
      <c r="P3736">
        <f>IF(G3736=1,IF(H3735=0,1,ABS(0.2-J3735*B3736/I3736)+ABS(0.2-K3735*C3736/I3736)+ABS(0.2-L3735*D3736/I3736)+ABS(0.2-M3735*E3736/I3736)+ABS(0.2-N3735*F3736/I3736)),0)</f>
        <v/>
      </c>
      <c r="Q3736">
        <f>P3736*0.0015</f>
        <v/>
      </c>
      <c r="R3736">
        <f>I3736*(1-Q3736)</f>
        <v/>
      </c>
      <c r="S3736">
        <f>R3736/R3735-1</f>
        <v/>
      </c>
      <c r="T3736">
        <f>MAX(T3735,R3736)</f>
        <v/>
      </c>
      <c r="U3736">
        <f>R3736/T3736-1</f>
        <v/>
      </c>
      <c r="V3736" t="n">
        <v>7.329383891783273</v>
      </c>
      <c r="W3736" s="5">
        <f>R3736-V3736</f>
        <v/>
      </c>
    </row>
    <row r="3737">
      <c r="A3737" s="3" t="n">
        <v>43949</v>
      </c>
      <c r="B3737">
        <f>Prices!B3737</f>
        <v/>
      </c>
      <c r="C3737">
        <f>Prices!C3737</f>
        <v/>
      </c>
      <c r="D3737">
        <f>Prices!D3737</f>
        <v/>
      </c>
      <c r="E3737">
        <f>Prices!E3737</f>
        <v/>
      </c>
      <c r="F3737">
        <f>Prices!F3737</f>
        <v/>
      </c>
      <c r="G3737">
        <f>IF(AND(3735&gt;=16,TEXT(A3737,"yyyy-mm")&lt;&gt;TEXT(A3738,"yyyy-mm")),1,0)</f>
        <v/>
      </c>
      <c r="H3737">
        <f>IF(OR(H3736=1,G3737=1),1,0)</f>
        <v/>
      </c>
      <c r="I3737">
        <f>IF(H3736=0,1,SUMPRODUCT(J3736:N3736,B3737:F3737)+O3736*(1+0.00023125256064071564))</f>
        <v/>
      </c>
      <c r="J3737">
        <f>IF(G3737=1,0.2*R3737/B3737,J3736)</f>
        <v/>
      </c>
      <c r="K3737">
        <f>IF(G3737=1,0.2*R3737/C3737,K3736)</f>
        <v/>
      </c>
      <c r="L3737">
        <f>IF(G3737=1,0.2*R3737/D3737,L3736)</f>
        <v/>
      </c>
      <c r="M3737">
        <f>IF(G3737=1,0.2*R3737/E3737,M3736)</f>
        <v/>
      </c>
      <c r="N3737">
        <f>IF(G3737=1,0.2*R3737/F3737,N3736)</f>
        <v/>
      </c>
      <c r="O3737">
        <f>IF(G3737=1,R3737*(1-1.0),IF(H3736=0,1,O3736*(1+0.00023125256064071564)))</f>
        <v/>
      </c>
      <c r="P3737">
        <f>IF(G3737=1,IF(H3736=0,1,ABS(0.2-J3736*B3737/I3737)+ABS(0.2-K3736*C3737/I3737)+ABS(0.2-L3736*D3737/I3737)+ABS(0.2-M3736*E3737/I3737)+ABS(0.2-N3736*F3737/I3737)),0)</f>
        <v/>
      </c>
      <c r="Q3737">
        <f>P3737*0.0015</f>
        <v/>
      </c>
      <c r="R3737">
        <f>I3737*(1-Q3737)</f>
        <v/>
      </c>
      <c r="S3737">
        <f>R3737/R3736-1</f>
        <v/>
      </c>
      <c r="T3737">
        <f>MAX(T3736,R3737)</f>
        <v/>
      </c>
      <c r="U3737">
        <f>R3737/T3737-1</f>
        <v/>
      </c>
      <c r="V3737" t="n">
        <v>7.363108588519641</v>
      </c>
      <c r="W3737" s="5">
        <f>R3737-V3737</f>
        <v/>
      </c>
    </row>
    <row r="3738">
      <c r="A3738" s="3" t="n">
        <v>43950</v>
      </c>
      <c r="B3738">
        <f>Prices!B3738</f>
        <v/>
      </c>
      <c r="C3738">
        <f>Prices!C3738</f>
        <v/>
      </c>
      <c r="D3738">
        <f>Prices!D3738</f>
        <v/>
      </c>
      <c r="E3738">
        <f>Prices!E3738</f>
        <v/>
      </c>
      <c r="F3738">
        <f>Prices!F3738</f>
        <v/>
      </c>
      <c r="G3738">
        <f>IF(AND(3736&gt;=16,TEXT(A3738,"yyyy-mm")&lt;&gt;TEXT(A3739,"yyyy-mm")),1,0)</f>
        <v/>
      </c>
      <c r="H3738">
        <f>IF(OR(H3737=1,G3738=1),1,0)</f>
        <v/>
      </c>
      <c r="I3738">
        <f>IF(H3737=0,1,SUMPRODUCT(J3737:N3737,B3738:F3738)+O3737*(1+0.00023125256064071564))</f>
        <v/>
      </c>
      <c r="J3738">
        <f>IF(G3738=1,0.2*R3738/B3738,J3737)</f>
        <v/>
      </c>
      <c r="K3738">
        <f>IF(G3738=1,0.2*R3738/C3738,K3737)</f>
        <v/>
      </c>
      <c r="L3738">
        <f>IF(G3738=1,0.2*R3738/D3738,L3737)</f>
        <v/>
      </c>
      <c r="M3738">
        <f>IF(G3738=1,0.2*R3738/E3738,M3737)</f>
        <v/>
      </c>
      <c r="N3738">
        <f>IF(G3738=1,0.2*R3738/F3738,N3737)</f>
        <v/>
      </c>
      <c r="O3738">
        <f>IF(G3738=1,R3738*(1-1.0),IF(H3737=0,1,O3737*(1+0.00023125256064071564)))</f>
        <v/>
      </c>
      <c r="P3738">
        <f>IF(G3738=1,IF(H3737=0,1,ABS(0.2-J3737*B3738/I3738)+ABS(0.2-K3737*C3738/I3738)+ABS(0.2-L3737*D3738/I3738)+ABS(0.2-M3737*E3738/I3738)+ABS(0.2-N3737*F3738/I3738)),0)</f>
        <v/>
      </c>
      <c r="Q3738">
        <f>P3738*0.0015</f>
        <v/>
      </c>
      <c r="R3738">
        <f>I3738*(1-Q3738)</f>
        <v/>
      </c>
      <c r="S3738">
        <f>R3738/R3737-1</f>
        <v/>
      </c>
      <c r="T3738">
        <f>MAX(T3737,R3738)</f>
        <v/>
      </c>
      <c r="U3738">
        <f>R3738/T3738-1</f>
        <v/>
      </c>
      <c r="V3738" t="n">
        <v>7.452477662231035</v>
      </c>
      <c r="W3738" s="5">
        <f>R3738-V3738</f>
        <v/>
      </c>
    </row>
    <row r="3739">
      <c r="A3739" s="3" t="n">
        <v>43951</v>
      </c>
      <c r="B3739">
        <f>Prices!B3739</f>
        <v/>
      </c>
      <c r="C3739">
        <f>Prices!C3739</f>
        <v/>
      </c>
      <c r="D3739">
        <f>Prices!D3739</f>
        <v/>
      </c>
      <c r="E3739">
        <f>Prices!E3739</f>
        <v/>
      </c>
      <c r="F3739">
        <f>Prices!F3739</f>
        <v/>
      </c>
      <c r="G3739">
        <f>IF(AND(3737&gt;=16,TEXT(A3739,"yyyy-mm")&lt;&gt;TEXT(A3740,"yyyy-mm")),1,0)</f>
        <v/>
      </c>
      <c r="H3739">
        <f>IF(OR(H3738=1,G3739=1),1,0)</f>
        <v/>
      </c>
      <c r="I3739">
        <f>IF(H3738=0,1,SUMPRODUCT(J3738:N3738,B3739:F3739)+O3738*(1+0.00023125256064071564))</f>
        <v/>
      </c>
      <c r="J3739">
        <f>IF(G3739=1,0.2*R3739/B3739,J3738)</f>
        <v/>
      </c>
      <c r="K3739">
        <f>IF(G3739=1,0.2*R3739/C3739,K3738)</f>
        <v/>
      </c>
      <c r="L3739">
        <f>IF(G3739=1,0.2*R3739/D3739,L3738)</f>
        <v/>
      </c>
      <c r="M3739">
        <f>IF(G3739=1,0.2*R3739/E3739,M3738)</f>
        <v/>
      </c>
      <c r="N3739">
        <f>IF(G3739=1,0.2*R3739/F3739,N3738)</f>
        <v/>
      </c>
      <c r="O3739">
        <f>IF(G3739=1,R3739*(1-1.0),IF(H3738=0,1,O3738*(1+0.00023125256064071564)))</f>
        <v/>
      </c>
      <c r="P3739">
        <f>IF(G3739=1,IF(H3738=0,1,ABS(0.2-J3738*B3739/I3739)+ABS(0.2-K3738*C3739/I3739)+ABS(0.2-L3738*D3739/I3739)+ABS(0.2-M3738*E3739/I3739)+ABS(0.2-N3738*F3739/I3739)),0)</f>
        <v/>
      </c>
      <c r="Q3739">
        <f>P3739*0.0015</f>
        <v/>
      </c>
      <c r="R3739">
        <f>I3739*(1-Q3739)</f>
        <v/>
      </c>
      <c r="S3739">
        <f>R3739/R3738-1</f>
        <v/>
      </c>
      <c r="T3739">
        <f>MAX(T3738,R3739)</f>
        <v/>
      </c>
      <c r="U3739">
        <f>R3739/T3739-1</f>
        <v/>
      </c>
      <c r="V3739" t="n">
        <v>7.632107207336899</v>
      </c>
      <c r="W3739" s="5">
        <f>R3739-V3739</f>
        <v/>
      </c>
    </row>
    <row r="3740">
      <c r="A3740" s="3" t="n">
        <v>43955</v>
      </c>
      <c r="B3740">
        <f>Prices!B3740</f>
        <v/>
      </c>
      <c r="C3740">
        <f>Prices!C3740</f>
        <v/>
      </c>
      <c r="D3740">
        <f>Prices!D3740</f>
        <v/>
      </c>
      <c r="E3740">
        <f>Prices!E3740</f>
        <v/>
      </c>
      <c r="F3740">
        <f>Prices!F3740</f>
        <v/>
      </c>
      <c r="G3740">
        <f>IF(AND(3738&gt;=16,TEXT(A3740,"yyyy-mm")&lt;&gt;TEXT(A3741,"yyyy-mm")),1,0)</f>
        <v/>
      </c>
      <c r="H3740">
        <f>IF(OR(H3739=1,G3740=1),1,0)</f>
        <v/>
      </c>
      <c r="I3740">
        <f>IF(H3739=0,1,SUMPRODUCT(J3739:N3739,B3740:F3740)+O3739*(1+0.00023125256064071564))</f>
        <v/>
      </c>
      <c r="J3740">
        <f>IF(G3740=1,0.2*R3740/B3740,J3739)</f>
        <v/>
      </c>
      <c r="K3740">
        <f>IF(G3740=1,0.2*R3740/C3740,K3739)</f>
        <v/>
      </c>
      <c r="L3740">
        <f>IF(G3740=1,0.2*R3740/D3740,L3739)</f>
        <v/>
      </c>
      <c r="M3740">
        <f>IF(G3740=1,0.2*R3740/E3740,M3739)</f>
        <v/>
      </c>
      <c r="N3740">
        <f>IF(G3740=1,0.2*R3740/F3740,N3739)</f>
        <v/>
      </c>
      <c r="O3740">
        <f>IF(G3740=1,R3740*(1-1.0),IF(H3739=0,1,O3739*(1+0.00023125256064071564)))</f>
        <v/>
      </c>
      <c r="P3740">
        <f>IF(G3740=1,IF(H3739=0,1,ABS(0.2-J3739*B3740/I3740)+ABS(0.2-K3739*C3740/I3740)+ABS(0.2-L3739*D3740/I3740)+ABS(0.2-M3739*E3740/I3740)+ABS(0.2-N3739*F3740/I3740)),0)</f>
        <v/>
      </c>
      <c r="Q3740">
        <f>P3740*0.0015</f>
        <v/>
      </c>
      <c r="R3740">
        <f>I3740*(1-Q3740)</f>
        <v/>
      </c>
      <c r="S3740">
        <f>R3740/R3739-1</f>
        <v/>
      </c>
      <c r="T3740">
        <f>MAX(T3739,R3740)</f>
        <v/>
      </c>
      <c r="U3740">
        <f>R3740/T3740-1</f>
        <v/>
      </c>
      <c r="V3740" t="n">
        <v>7.305628424222556</v>
      </c>
      <c r="W3740" s="5">
        <f>R3740-V3740</f>
        <v/>
      </c>
    </row>
    <row r="3741">
      <c r="A3741" s="3" t="n">
        <v>43956</v>
      </c>
      <c r="B3741">
        <f>Prices!B3741</f>
        <v/>
      </c>
      <c r="C3741">
        <f>Prices!C3741</f>
        <v/>
      </c>
      <c r="D3741">
        <f>Prices!D3741</f>
        <v/>
      </c>
      <c r="E3741">
        <f>Prices!E3741</f>
        <v/>
      </c>
      <c r="F3741">
        <f>Prices!F3741</f>
        <v/>
      </c>
      <c r="G3741">
        <f>IF(AND(3739&gt;=16,TEXT(A3741,"yyyy-mm")&lt;&gt;TEXT(A3742,"yyyy-mm")),1,0)</f>
        <v/>
      </c>
      <c r="H3741">
        <f>IF(OR(H3740=1,G3741=1),1,0)</f>
        <v/>
      </c>
      <c r="I3741">
        <f>IF(H3740=0,1,SUMPRODUCT(J3740:N3740,B3741:F3741)+O3740*(1+0.00023125256064071564))</f>
        <v/>
      </c>
      <c r="J3741">
        <f>IF(G3741=1,0.2*R3741/B3741,J3740)</f>
        <v/>
      </c>
      <c r="K3741">
        <f>IF(G3741=1,0.2*R3741/C3741,K3740)</f>
        <v/>
      </c>
      <c r="L3741">
        <f>IF(G3741=1,0.2*R3741/D3741,L3740)</f>
        <v/>
      </c>
      <c r="M3741">
        <f>IF(G3741=1,0.2*R3741/E3741,M3740)</f>
        <v/>
      </c>
      <c r="N3741">
        <f>IF(G3741=1,0.2*R3741/F3741,N3740)</f>
        <v/>
      </c>
      <c r="O3741">
        <f>IF(G3741=1,R3741*(1-1.0),IF(H3740=0,1,O3740*(1+0.00023125256064071564)))</f>
        <v/>
      </c>
      <c r="P3741">
        <f>IF(G3741=1,IF(H3740=0,1,ABS(0.2-J3740*B3741/I3741)+ABS(0.2-K3740*C3741/I3741)+ABS(0.2-L3740*D3741/I3741)+ABS(0.2-M3740*E3741/I3741)+ABS(0.2-N3740*F3741/I3741)),0)</f>
        <v/>
      </c>
      <c r="Q3741">
        <f>P3741*0.0015</f>
        <v/>
      </c>
      <c r="R3741">
        <f>I3741*(1-Q3741)</f>
        <v/>
      </c>
      <c r="S3741">
        <f>R3741/R3740-1</f>
        <v/>
      </c>
      <c r="T3741">
        <f>MAX(T3740,R3741)</f>
        <v/>
      </c>
      <c r="U3741">
        <f>R3741/T3741-1</f>
        <v/>
      </c>
      <c r="V3741" t="n">
        <v>7.244681322592026</v>
      </c>
      <c r="W3741" s="5">
        <f>R3741-V3741</f>
        <v/>
      </c>
    </row>
    <row r="3742">
      <c r="A3742" s="3" t="n">
        <v>43957</v>
      </c>
      <c r="B3742">
        <f>Prices!B3742</f>
        <v/>
      </c>
      <c r="C3742">
        <f>Prices!C3742</f>
        <v/>
      </c>
      <c r="D3742">
        <f>Prices!D3742</f>
        <v/>
      </c>
      <c r="E3742">
        <f>Prices!E3742</f>
        <v/>
      </c>
      <c r="F3742">
        <f>Prices!F3742</f>
        <v/>
      </c>
      <c r="G3742">
        <f>IF(AND(3740&gt;=16,TEXT(A3742,"yyyy-mm")&lt;&gt;TEXT(A3743,"yyyy-mm")),1,0)</f>
        <v/>
      </c>
      <c r="H3742">
        <f>IF(OR(H3741=1,G3742=1),1,0)</f>
        <v/>
      </c>
      <c r="I3742">
        <f>IF(H3741=0,1,SUMPRODUCT(J3741:N3741,B3742:F3742)+O3741*(1+0.00023125256064071564))</f>
        <v/>
      </c>
      <c r="J3742">
        <f>IF(G3742=1,0.2*R3742/B3742,J3741)</f>
        <v/>
      </c>
      <c r="K3742">
        <f>IF(G3742=1,0.2*R3742/C3742,K3741)</f>
        <v/>
      </c>
      <c r="L3742">
        <f>IF(G3742=1,0.2*R3742/D3742,L3741)</f>
        <v/>
      </c>
      <c r="M3742">
        <f>IF(G3742=1,0.2*R3742/E3742,M3741)</f>
        <v/>
      </c>
      <c r="N3742">
        <f>IF(G3742=1,0.2*R3742/F3742,N3741)</f>
        <v/>
      </c>
      <c r="O3742">
        <f>IF(G3742=1,R3742*(1-1.0),IF(H3741=0,1,O3741*(1+0.00023125256064071564)))</f>
        <v/>
      </c>
      <c r="P3742">
        <f>IF(G3742=1,IF(H3741=0,1,ABS(0.2-J3741*B3742/I3742)+ABS(0.2-K3741*C3742/I3742)+ABS(0.2-L3741*D3742/I3742)+ABS(0.2-M3741*E3742/I3742)+ABS(0.2-N3741*F3742/I3742)),0)</f>
        <v/>
      </c>
      <c r="Q3742">
        <f>P3742*0.0015</f>
        <v/>
      </c>
      <c r="R3742">
        <f>I3742*(1-Q3742)</f>
        <v/>
      </c>
      <c r="S3742">
        <f>R3742/R3741-1</f>
        <v/>
      </c>
      <c r="T3742">
        <f>MAX(T3741,R3742)</f>
        <v/>
      </c>
      <c r="U3742">
        <f>R3742/T3742-1</f>
        <v/>
      </c>
      <c r="V3742" t="n">
        <v>7.280004152605973</v>
      </c>
      <c r="W3742" s="5">
        <f>R3742-V3742</f>
        <v/>
      </c>
    </row>
    <row r="3743">
      <c r="A3743" s="3" t="n">
        <v>43958</v>
      </c>
      <c r="B3743">
        <f>Prices!B3743</f>
        <v/>
      </c>
      <c r="C3743">
        <f>Prices!C3743</f>
        <v/>
      </c>
      <c r="D3743">
        <f>Prices!D3743</f>
        <v/>
      </c>
      <c r="E3743">
        <f>Prices!E3743</f>
        <v/>
      </c>
      <c r="F3743">
        <f>Prices!F3743</f>
        <v/>
      </c>
      <c r="G3743">
        <f>IF(AND(3741&gt;=16,TEXT(A3743,"yyyy-mm")&lt;&gt;TEXT(A3744,"yyyy-mm")),1,0)</f>
        <v/>
      </c>
      <c r="H3743">
        <f>IF(OR(H3742=1,G3743=1),1,0)</f>
        <v/>
      </c>
      <c r="I3743">
        <f>IF(H3742=0,1,SUMPRODUCT(J3742:N3742,B3743:F3743)+O3742*(1+0.00023125256064071564))</f>
        <v/>
      </c>
      <c r="J3743">
        <f>IF(G3743=1,0.2*R3743/B3743,J3742)</f>
        <v/>
      </c>
      <c r="K3743">
        <f>IF(G3743=1,0.2*R3743/C3743,K3742)</f>
        <v/>
      </c>
      <c r="L3743">
        <f>IF(G3743=1,0.2*R3743/D3743,L3742)</f>
        <v/>
      </c>
      <c r="M3743">
        <f>IF(G3743=1,0.2*R3743/E3743,M3742)</f>
        <v/>
      </c>
      <c r="N3743">
        <f>IF(G3743=1,0.2*R3743/F3743,N3742)</f>
        <v/>
      </c>
      <c r="O3743">
        <f>IF(G3743=1,R3743*(1-1.0),IF(H3742=0,1,O3742*(1+0.00023125256064071564)))</f>
        <v/>
      </c>
      <c r="P3743">
        <f>IF(G3743=1,IF(H3742=0,1,ABS(0.2-J3742*B3743/I3743)+ABS(0.2-K3742*C3743/I3743)+ABS(0.2-L3742*D3743/I3743)+ABS(0.2-M3742*E3743/I3743)+ABS(0.2-N3742*F3743/I3743)),0)</f>
        <v/>
      </c>
      <c r="Q3743">
        <f>P3743*0.0015</f>
        <v/>
      </c>
      <c r="R3743">
        <f>I3743*(1-Q3743)</f>
        <v/>
      </c>
      <c r="S3743">
        <f>R3743/R3742-1</f>
        <v/>
      </c>
      <c r="T3743">
        <f>MAX(T3742,R3743)</f>
        <v/>
      </c>
      <c r="U3743">
        <f>R3743/T3743-1</f>
        <v/>
      </c>
      <c r="V3743" t="n">
        <v>7.221545799208516</v>
      </c>
      <c r="W3743" s="5">
        <f>R3743-V3743</f>
        <v/>
      </c>
    </row>
    <row r="3744">
      <c r="A3744" s="3" t="n">
        <v>43959</v>
      </c>
      <c r="B3744">
        <f>Prices!B3744</f>
        <v/>
      </c>
      <c r="C3744">
        <f>Prices!C3744</f>
        <v/>
      </c>
      <c r="D3744">
        <f>Prices!D3744</f>
        <v/>
      </c>
      <c r="E3744">
        <f>Prices!E3744</f>
        <v/>
      </c>
      <c r="F3744">
        <f>Prices!F3744</f>
        <v/>
      </c>
      <c r="G3744">
        <f>IF(AND(3742&gt;=16,TEXT(A3744,"yyyy-mm")&lt;&gt;TEXT(A3745,"yyyy-mm")),1,0)</f>
        <v/>
      </c>
      <c r="H3744">
        <f>IF(OR(H3743=1,G3744=1),1,0)</f>
        <v/>
      </c>
      <c r="I3744">
        <f>IF(H3743=0,1,SUMPRODUCT(J3743:N3743,B3744:F3744)+O3743*(1+0.00023125256064071564))</f>
        <v/>
      </c>
      <c r="J3744">
        <f>IF(G3744=1,0.2*R3744/B3744,J3743)</f>
        <v/>
      </c>
      <c r="K3744">
        <f>IF(G3744=1,0.2*R3744/C3744,K3743)</f>
        <v/>
      </c>
      <c r="L3744">
        <f>IF(G3744=1,0.2*R3744/D3744,L3743)</f>
        <v/>
      </c>
      <c r="M3744">
        <f>IF(G3744=1,0.2*R3744/E3744,M3743)</f>
        <v/>
      </c>
      <c r="N3744">
        <f>IF(G3744=1,0.2*R3744/F3744,N3743)</f>
        <v/>
      </c>
      <c r="O3744">
        <f>IF(G3744=1,R3744*(1-1.0),IF(H3743=0,1,O3743*(1+0.00023125256064071564)))</f>
        <v/>
      </c>
      <c r="P3744">
        <f>IF(G3744=1,IF(H3743=0,1,ABS(0.2-J3743*B3744/I3744)+ABS(0.2-K3743*C3744/I3744)+ABS(0.2-L3743*D3744/I3744)+ABS(0.2-M3743*E3744/I3744)+ABS(0.2-N3743*F3744/I3744)),0)</f>
        <v/>
      </c>
      <c r="Q3744">
        <f>P3744*0.0015</f>
        <v/>
      </c>
      <c r="R3744">
        <f>I3744*(1-Q3744)</f>
        <v/>
      </c>
      <c r="S3744">
        <f>R3744/R3743-1</f>
        <v/>
      </c>
      <c r="T3744">
        <f>MAX(T3743,R3744)</f>
        <v/>
      </c>
      <c r="U3744">
        <f>R3744/T3744-1</f>
        <v/>
      </c>
      <c r="V3744" t="n">
        <v>7.24671826428354</v>
      </c>
      <c r="W3744" s="5">
        <f>R3744-V3744</f>
        <v/>
      </c>
    </row>
    <row r="3745">
      <c r="A3745" s="3" t="n">
        <v>43962</v>
      </c>
      <c r="B3745">
        <f>Prices!B3745</f>
        <v/>
      </c>
      <c r="C3745">
        <f>Prices!C3745</f>
        <v/>
      </c>
      <c r="D3745">
        <f>Prices!D3745</f>
        <v/>
      </c>
      <c r="E3745">
        <f>Prices!E3745</f>
        <v/>
      </c>
      <c r="F3745">
        <f>Prices!F3745</f>
        <v/>
      </c>
      <c r="G3745">
        <f>IF(AND(3743&gt;=16,TEXT(A3745,"yyyy-mm")&lt;&gt;TEXT(A3746,"yyyy-mm")),1,0)</f>
        <v/>
      </c>
      <c r="H3745">
        <f>IF(OR(H3744=1,G3745=1),1,0)</f>
        <v/>
      </c>
      <c r="I3745">
        <f>IF(H3744=0,1,SUMPRODUCT(J3744:N3744,B3745:F3745)+O3744*(1+0.00023125256064071564))</f>
        <v/>
      </c>
      <c r="J3745">
        <f>IF(G3745=1,0.2*R3745/B3745,J3744)</f>
        <v/>
      </c>
      <c r="K3745">
        <f>IF(G3745=1,0.2*R3745/C3745,K3744)</f>
        <v/>
      </c>
      <c r="L3745">
        <f>IF(G3745=1,0.2*R3745/D3745,L3744)</f>
        <v/>
      </c>
      <c r="M3745">
        <f>IF(G3745=1,0.2*R3745/E3745,M3744)</f>
        <v/>
      </c>
      <c r="N3745">
        <f>IF(G3745=1,0.2*R3745/F3745,N3744)</f>
        <v/>
      </c>
      <c r="O3745">
        <f>IF(G3745=1,R3745*(1-1.0),IF(H3744=0,1,O3744*(1+0.00023125256064071564)))</f>
        <v/>
      </c>
      <c r="P3745">
        <f>IF(G3745=1,IF(H3744=0,1,ABS(0.2-J3744*B3745/I3745)+ABS(0.2-K3744*C3745/I3745)+ABS(0.2-L3744*D3745/I3745)+ABS(0.2-M3744*E3745/I3745)+ABS(0.2-N3744*F3745/I3745)),0)</f>
        <v/>
      </c>
      <c r="Q3745">
        <f>P3745*0.0015</f>
        <v/>
      </c>
      <c r="R3745">
        <f>I3745*(1-Q3745)</f>
        <v/>
      </c>
      <c r="S3745">
        <f>R3745/R3744-1</f>
        <v/>
      </c>
      <c r="T3745">
        <f>MAX(T3744,R3745)</f>
        <v/>
      </c>
      <c r="U3745">
        <f>R3745/T3745-1</f>
        <v/>
      </c>
      <c r="V3745" t="n">
        <v>7.272626120473977</v>
      </c>
      <c r="W3745" s="5">
        <f>R3745-V3745</f>
        <v/>
      </c>
    </row>
    <row r="3746">
      <c r="A3746" s="3" t="n">
        <v>43963</v>
      </c>
      <c r="B3746">
        <f>Prices!B3746</f>
        <v/>
      </c>
      <c r="C3746">
        <f>Prices!C3746</f>
        <v/>
      </c>
      <c r="D3746">
        <f>Prices!D3746</f>
        <v/>
      </c>
      <c r="E3746">
        <f>Prices!E3746</f>
        <v/>
      </c>
      <c r="F3746">
        <f>Prices!F3746</f>
        <v/>
      </c>
      <c r="G3746">
        <f>IF(AND(3744&gt;=16,TEXT(A3746,"yyyy-mm")&lt;&gt;TEXT(A3747,"yyyy-mm")),1,0)</f>
        <v/>
      </c>
      <c r="H3746">
        <f>IF(OR(H3745=1,G3746=1),1,0)</f>
        <v/>
      </c>
      <c r="I3746">
        <f>IF(H3745=0,1,SUMPRODUCT(J3745:N3745,B3746:F3746)+O3745*(1+0.00023125256064071564))</f>
        <v/>
      </c>
      <c r="J3746">
        <f>IF(G3746=1,0.2*R3746/B3746,J3745)</f>
        <v/>
      </c>
      <c r="K3746">
        <f>IF(G3746=1,0.2*R3746/C3746,K3745)</f>
        <v/>
      </c>
      <c r="L3746">
        <f>IF(G3746=1,0.2*R3746/D3746,L3745)</f>
        <v/>
      </c>
      <c r="M3746">
        <f>IF(G3746=1,0.2*R3746/E3746,M3745)</f>
        <v/>
      </c>
      <c r="N3746">
        <f>IF(G3746=1,0.2*R3746/F3746,N3745)</f>
        <v/>
      </c>
      <c r="O3746">
        <f>IF(G3746=1,R3746*(1-1.0),IF(H3745=0,1,O3745*(1+0.00023125256064071564)))</f>
        <v/>
      </c>
      <c r="P3746">
        <f>IF(G3746=1,IF(H3745=0,1,ABS(0.2-J3745*B3746/I3746)+ABS(0.2-K3745*C3746/I3746)+ABS(0.2-L3745*D3746/I3746)+ABS(0.2-M3745*E3746/I3746)+ABS(0.2-N3745*F3746/I3746)),0)</f>
        <v/>
      </c>
      <c r="Q3746">
        <f>P3746*0.0015</f>
        <v/>
      </c>
      <c r="R3746">
        <f>I3746*(1-Q3746)</f>
        <v/>
      </c>
      <c r="S3746">
        <f>R3746/R3745-1</f>
        <v/>
      </c>
      <c r="T3746">
        <f>MAX(T3745,R3746)</f>
        <v/>
      </c>
      <c r="U3746">
        <f>R3746/T3746-1</f>
        <v/>
      </c>
      <c r="V3746" t="n">
        <v>7.258040277991095</v>
      </c>
      <c r="W3746" s="5">
        <f>R3746-V3746</f>
        <v/>
      </c>
    </row>
    <row r="3747">
      <c r="A3747" s="3" t="n">
        <v>43964</v>
      </c>
      <c r="B3747">
        <f>Prices!B3747</f>
        <v/>
      </c>
      <c r="C3747">
        <f>Prices!C3747</f>
        <v/>
      </c>
      <c r="D3747">
        <f>Prices!D3747</f>
        <v/>
      </c>
      <c r="E3747">
        <f>Prices!E3747</f>
        <v/>
      </c>
      <c r="F3747">
        <f>Prices!F3747</f>
        <v/>
      </c>
      <c r="G3747">
        <f>IF(AND(3745&gt;=16,TEXT(A3747,"yyyy-mm")&lt;&gt;TEXT(A3748,"yyyy-mm")),1,0)</f>
        <v/>
      </c>
      <c r="H3747">
        <f>IF(OR(H3746=1,G3747=1),1,0)</f>
        <v/>
      </c>
      <c r="I3747">
        <f>IF(H3746=0,1,SUMPRODUCT(J3746:N3746,B3747:F3747)+O3746*(1+0.00023125256064071564))</f>
        <v/>
      </c>
      <c r="J3747">
        <f>IF(G3747=1,0.2*R3747/B3747,J3746)</f>
        <v/>
      </c>
      <c r="K3747">
        <f>IF(G3747=1,0.2*R3747/C3747,K3746)</f>
        <v/>
      </c>
      <c r="L3747">
        <f>IF(G3747=1,0.2*R3747/D3747,L3746)</f>
        <v/>
      </c>
      <c r="M3747">
        <f>IF(G3747=1,0.2*R3747/E3747,M3746)</f>
        <v/>
      </c>
      <c r="N3747">
        <f>IF(G3747=1,0.2*R3747/F3747,N3746)</f>
        <v/>
      </c>
      <c r="O3747">
        <f>IF(G3747=1,R3747*(1-1.0),IF(H3746=0,1,O3746*(1+0.00023125256064071564)))</f>
        <v/>
      </c>
      <c r="P3747">
        <f>IF(G3747=1,IF(H3746=0,1,ABS(0.2-J3746*B3747/I3747)+ABS(0.2-K3746*C3747/I3747)+ABS(0.2-L3746*D3747/I3747)+ABS(0.2-M3746*E3747/I3747)+ABS(0.2-N3746*F3747/I3747)),0)</f>
        <v/>
      </c>
      <c r="Q3747">
        <f>P3747*0.0015</f>
        <v/>
      </c>
      <c r="R3747">
        <f>I3747*(1-Q3747)</f>
        <v/>
      </c>
      <c r="S3747">
        <f>R3747/R3746-1</f>
        <v/>
      </c>
      <c r="T3747">
        <f>MAX(T3746,R3747)</f>
        <v/>
      </c>
      <c r="U3747">
        <f>R3747/T3747-1</f>
        <v/>
      </c>
      <c r="V3747" t="n">
        <v>7.376267513702545</v>
      </c>
      <c r="W3747" s="5">
        <f>R3747-V3747</f>
        <v/>
      </c>
    </row>
    <row r="3748">
      <c r="A3748" s="3" t="n">
        <v>43965</v>
      </c>
      <c r="B3748">
        <f>Prices!B3748</f>
        <v/>
      </c>
      <c r="C3748">
        <f>Prices!C3748</f>
        <v/>
      </c>
      <c r="D3748">
        <f>Prices!D3748</f>
        <v/>
      </c>
      <c r="E3748">
        <f>Prices!E3748</f>
        <v/>
      </c>
      <c r="F3748">
        <f>Prices!F3748</f>
        <v/>
      </c>
      <c r="G3748">
        <f>IF(AND(3746&gt;=16,TEXT(A3748,"yyyy-mm")&lt;&gt;TEXT(A3749,"yyyy-mm")),1,0)</f>
        <v/>
      </c>
      <c r="H3748">
        <f>IF(OR(H3747=1,G3748=1),1,0)</f>
        <v/>
      </c>
      <c r="I3748">
        <f>IF(H3747=0,1,SUMPRODUCT(J3747:N3747,B3748:F3748)+O3747*(1+0.00023125256064071564))</f>
        <v/>
      </c>
      <c r="J3748">
        <f>IF(G3748=1,0.2*R3748/B3748,J3747)</f>
        <v/>
      </c>
      <c r="K3748">
        <f>IF(G3748=1,0.2*R3748/C3748,K3747)</f>
        <v/>
      </c>
      <c r="L3748">
        <f>IF(G3748=1,0.2*R3748/D3748,L3747)</f>
        <v/>
      </c>
      <c r="M3748">
        <f>IF(G3748=1,0.2*R3748/E3748,M3747)</f>
        <v/>
      </c>
      <c r="N3748">
        <f>IF(G3748=1,0.2*R3748/F3748,N3747)</f>
        <v/>
      </c>
      <c r="O3748">
        <f>IF(G3748=1,R3748*(1-1.0),IF(H3747=0,1,O3747*(1+0.00023125256064071564)))</f>
        <v/>
      </c>
      <c r="P3748">
        <f>IF(G3748=1,IF(H3747=0,1,ABS(0.2-J3747*B3748/I3748)+ABS(0.2-K3747*C3748/I3748)+ABS(0.2-L3747*D3748/I3748)+ABS(0.2-M3747*E3748/I3748)+ABS(0.2-N3747*F3748/I3748)),0)</f>
        <v/>
      </c>
      <c r="Q3748">
        <f>P3748*0.0015</f>
        <v/>
      </c>
      <c r="R3748">
        <f>I3748*(1-Q3748)</f>
        <v/>
      </c>
      <c r="S3748">
        <f>R3748/R3747-1</f>
        <v/>
      </c>
      <c r="T3748">
        <f>MAX(T3747,R3748)</f>
        <v/>
      </c>
      <c r="U3748">
        <f>R3748/T3748-1</f>
        <v/>
      </c>
      <c r="V3748" t="n">
        <v>7.290329402220534</v>
      </c>
      <c r="W3748" s="5">
        <f>R3748-V3748</f>
        <v/>
      </c>
    </row>
    <row r="3749">
      <c r="A3749" s="3" t="n">
        <v>43966</v>
      </c>
      <c r="B3749">
        <f>Prices!B3749</f>
        <v/>
      </c>
      <c r="C3749">
        <f>Prices!C3749</f>
        <v/>
      </c>
      <c r="D3749">
        <f>Prices!D3749</f>
        <v/>
      </c>
      <c r="E3749">
        <f>Prices!E3749</f>
        <v/>
      </c>
      <c r="F3749">
        <f>Prices!F3749</f>
        <v/>
      </c>
      <c r="G3749">
        <f>IF(AND(3747&gt;=16,TEXT(A3749,"yyyy-mm")&lt;&gt;TEXT(A3750,"yyyy-mm")),1,0)</f>
        <v/>
      </c>
      <c r="H3749">
        <f>IF(OR(H3748=1,G3749=1),1,0)</f>
        <v/>
      </c>
      <c r="I3749">
        <f>IF(H3748=0,1,SUMPRODUCT(J3748:N3748,B3749:F3749)+O3748*(1+0.00023125256064071564))</f>
        <v/>
      </c>
      <c r="J3749">
        <f>IF(G3749=1,0.2*R3749/B3749,J3748)</f>
        <v/>
      </c>
      <c r="K3749">
        <f>IF(G3749=1,0.2*R3749/C3749,K3748)</f>
        <v/>
      </c>
      <c r="L3749">
        <f>IF(G3749=1,0.2*R3749/D3749,L3748)</f>
        <v/>
      </c>
      <c r="M3749">
        <f>IF(G3749=1,0.2*R3749/E3749,M3748)</f>
        <v/>
      </c>
      <c r="N3749">
        <f>IF(G3749=1,0.2*R3749/F3749,N3748)</f>
        <v/>
      </c>
      <c r="O3749">
        <f>IF(G3749=1,R3749*(1-1.0),IF(H3748=0,1,O3748*(1+0.00023125256064071564)))</f>
        <v/>
      </c>
      <c r="P3749">
        <f>IF(G3749=1,IF(H3748=0,1,ABS(0.2-J3748*B3749/I3749)+ABS(0.2-K3748*C3749/I3749)+ABS(0.2-L3748*D3749/I3749)+ABS(0.2-M3748*E3749/I3749)+ABS(0.2-N3748*F3749/I3749)),0)</f>
        <v/>
      </c>
      <c r="Q3749">
        <f>P3749*0.0015</f>
        <v/>
      </c>
      <c r="R3749">
        <f>I3749*(1-Q3749)</f>
        <v/>
      </c>
      <c r="S3749">
        <f>R3749/R3748-1</f>
        <v/>
      </c>
      <c r="T3749">
        <f>MAX(T3748,R3749)</f>
        <v/>
      </c>
      <c r="U3749">
        <f>R3749/T3749-1</f>
        <v/>
      </c>
      <c r="V3749" t="n">
        <v>7.287373265281111</v>
      </c>
      <c r="W3749" s="5">
        <f>R3749-V3749</f>
        <v/>
      </c>
    </row>
    <row r="3750">
      <c r="A3750" s="3" t="n">
        <v>43969</v>
      </c>
      <c r="B3750">
        <f>Prices!B3750</f>
        <v/>
      </c>
      <c r="C3750">
        <f>Prices!C3750</f>
        <v/>
      </c>
      <c r="D3750">
        <f>Prices!D3750</f>
        <v/>
      </c>
      <c r="E3750">
        <f>Prices!E3750</f>
        <v/>
      </c>
      <c r="F3750">
        <f>Prices!F3750</f>
        <v/>
      </c>
      <c r="G3750">
        <f>IF(AND(3748&gt;=16,TEXT(A3750,"yyyy-mm")&lt;&gt;TEXT(A3751,"yyyy-mm")),1,0)</f>
        <v/>
      </c>
      <c r="H3750">
        <f>IF(OR(H3749=1,G3750=1),1,0)</f>
        <v/>
      </c>
      <c r="I3750">
        <f>IF(H3749=0,1,SUMPRODUCT(J3749:N3749,B3750:F3750)+O3749*(1+0.00023125256064071564))</f>
        <v/>
      </c>
      <c r="J3750">
        <f>IF(G3750=1,0.2*R3750/B3750,J3749)</f>
        <v/>
      </c>
      <c r="K3750">
        <f>IF(G3750=1,0.2*R3750/C3750,K3749)</f>
        <v/>
      </c>
      <c r="L3750">
        <f>IF(G3750=1,0.2*R3750/D3750,L3749)</f>
        <v/>
      </c>
      <c r="M3750">
        <f>IF(G3750=1,0.2*R3750/E3750,M3749)</f>
        <v/>
      </c>
      <c r="N3750">
        <f>IF(G3750=1,0.2*R3750/F3750,N3749)</f>
        <v/>
      </c>
      <c r="O3750">
        <f>IF(G3750=1,R3750*(1-1.0),IF(H3749=0,1,O3749*(1+0.00023125256064071564)))</f>
        <v/>
      </c>
      <c r="P3750">
        <f>IF(G3750=1,IF(H3749=0,1,ABS(0.2-J3749*B3750/I3750)+ABS(0.2-K3749*C3750/I3750)+ABS(0.2-L3749*D3750/I3750)+ABS(0.2-M3749*E3750/I3750)+ABS(0.2-N3749*F3750/I3750)),0)</f>
        <v/>
      </c>
      <c r="Q3750">
        <f>P3750*0.0015</f>
        <v/>
      </c>
      <c r="R3750">
        <f>I3750*(1-Q3750)</f>
        <v/>
      </c>
      <c r="S3750">
        <f>R3750/R3749-1</f>
        <v/>
      </c>
      <c r="T3750">
        <f>MAX(T3749,R3750)</f>
        <v/>
      </c>
      <c r="U3750">
        <f>R3750/T3750-1</f>
        <v/>
      </c>
      <c r="V3750" t="n">
        <v>7.058782417920767</v>
      </c>
      <c r="W3750" s="5">
        <f>R3750-V3750</f>
        <v/>
      </c>
    </row>
    <row r="3751">
      <c r="A3751" s="3" t="n">
        <v>43970</v>
      </c>
      <c r="B3751">
        <f>Prices!B3751</f>
        <v/>
      </c>
      <c r="C3751">
        <f>Prices!C3751</f>
        <v/>
      </c>
      <c r="D3751">
        <f>Prices!D3751</f>
        <v/>
      </c>
      <c r="E3751">
        <f>Prices!E3751</f>
        <v/>
      </c>
      <c r="F3751">
        <f>Prices!F3751</f>
        <v/>
      </c>
      <c r="G3751">
        <f>IF(AND(3749&gt;=16,TEXT(A3751,"yyyy-mm")&lt;&gt;TEXT(A3752,"yyyy-mm")),1,0)</f>
        <v/>
      </c>
      <c r="H3751">
        <f>IF(OR(H3750=1,G3751=1),1,0)</f>
        <v/>
      </c>
      <c r="I3751">
        <f>IF(H3750=0,1,SUMPRODUCT(J3750:N3750,B3751:F3751)+O3750*(1+0.00023125256064071564))</f>
        <v/>
      </c>
      <c r="J3751">
        <f>IF(G3751=1,0.2*R3751/B3751,J3750)</f>
        <v/>
      </c>
      <c r="K3751">
        <f>IF(G3751=1,0.2*R3751/C3751,K3750)</f>
        <v/>
      </c>
      <c r="L3751">
        <f>IF(G3751=1,0.2*R3751/D3751,L3750)</f>
        <v/>
      </c>
      <c r="M3751">
        <f>IF(G3751=1,0.2*R3751/E3751,M3750)</f>
        <v/>
      </c>
      <c r="N3751">
        <f>IF(G3751=1,0.2*R3751/F3751,N3750)</f>
        <v/>
      </c>
      <c r="O3751">
        <f>IF(G3751=1,R3751*(1-1.0),IF(H3750=0,1,O3750*(1+0.00023125256064071564)))</f>
        <v/>
      </c>
      <c r="P3751">
        <f>IF(G3751=1,IF(H3750=0,1,ABS(0.2-J3750*B3751/I3751)+ABS(0.2-K3750*C3751/I3751)+ABS(0.2-L3750*D3751/I3751)+ABS(0.2-M3750*E3751/I3751)+ABS(0.2-N3750*F3751/I3751)),0)</f>
        <v/>
      </c>
      <c r="Q3751">
        <f>P3751*0.0015</f>
        <v/>
      </c>
      <c r="R3751">
        <f>I3751*(1-Q3751)</f>
        <v/>
      </c>
      <c r="S3751">
        <f>R3751/R3750-1</f>
        <v/>
      </c>
      <c r="T3751">
        <f>MAX(T3750,R3751)</f>
        <v/>
      </c>
      <c r="U3751">
        <f>R3751/T3751-1</f>
        <v/>
      </c>
      <c r="V3751" t="n">
        <v>7.103981469443992</v>
      </c>
      <c r="W3751" s="5">
        <f>R3751-V3751</f>
        <v/>
      </c>
    </row>
    <row r="3752">
      <c r="A3752" s="3" t="n">
        <v>43971</v>
      </c>
      <c r="B3752">
        <f>Prices!B3752</f>
        <v/>
      </c>
      <c r="C3752">
        <f>Prices!C3752</f>
        <v/>
      </c>
      <c r="D3752">
        <f>Prices!D3752</f>
        <v/>
      </c>
      <c r="E3752">
        <f>Prices!E3752</f>
        <v/>
      </c>
      <c r="F3752">
        <f>Prices!F3752</f>
        <v/>
      </c>
      <c r="G3752">
        <f>IF(AND(3750&gt;=16,TEXT(A3752,"yyyy-mm")&lt;&gt;TEXT(A3753,"yyyy-mm")),1,0)</f>
        <v/>
      </c>
      <c r="H3752">
        <f>IF(OR(H3751=1,G3752=1),1,0)</f>
        <v/>
      </c>
      <c r="I3752">
        <f>IF(H3751=0,1,SUMPRODUCT(J3751:N3751,B3752:F3752)+O3751*(1+0.00023125256064071564))</f>
        <v/>
      </c>
      <c r="J3752">
        <f>IF(G3752=1,0.2*R3752/B3752,J3751)</f>
        <v/>
      </c>
      <c r="K3752">
        <f>IF(G3752=1,0.2*R3752/C3752,K3751)</f>
        <v/>
      </c>
      <c r="L3752">
        <f>IF(G3752=1,0.2*R3752/D3752,L3751)</f>
        <v/>
      </c>
      <c r="M3752">
        <f>IF(G3752=1,0.2*R3752/E3752,M3751)</f>
        <v/>
      </c>
      <c r="N3752">
        <f>IF(G3752=1,0.2*R3752/F3752,N3751)</f>
        <v/>
      </c>
      <c r="O3752">
        <f>IF(G3752=1,R3752*(1-1.0),IF(H3751=0,1,O3751*(1+0.00023125256064071564)))</f>
        <v/>
      </c>
      <c r="P3752">
        <f>IF(G3752=1,IF(H3751=0,1,ABS(0.2-J3751*B3752/I3752)+ABS(0.2-K3751*C3752/I3752)+ABS(0.2-L3751*D3752/I3752)+ABS(0.2-M3751*E3752/I3752)+ABS(0.2-N3751*F3752/I3752)),0)</f>
        <v/>
      </c>
      <c r="Q3752">
        <f>P3752*0.0015</f>
        <v/>
      </c>
      <c r="R3752">
        <f>I3752*(1-Q3752)</f>
        <v/>
      </c>
      <c r="S3752">
        <f>R3752/R3751-1</f>
        <v/>
      </c>
      <c r="T3752">
        <f>MAX(T3751,R3752)</f>
        <v/>
      </c>
      <c r="U3752">
        <f>R3752/T3752-1</f>
        <v/>
      </c>
      <c r="V3752" t="n">
        <v>7.19862318917797</v>
      </c>
      <c r="W3752" s="5">
        <f>R3752-V3752</f>
        <v/>
      </c>
    </row>
    <row r="3753">
      <c r="A3753" s="3" t="n">
        <v>43972</v>
      </c>
      <c r="B3753">
        <f>Prices!B3753</f>
        <v/>
      </c>
      <c r="C3753">
        <f>Prices!C3753</f>
        <v/>
      </c>
      <c r="D3753">
        <f>Prices!D3753</f>
        <v/>
      </c>
      <c r="E3753">
        <f>Prices!E3753</f>
        <v/>
      </c>
      <c r="F3753">
        <f>Prices!F3753</f>
        <v/>
      </c>
      <c r="G3753">
        <f>IF(AND(3751&gt;=16,TEXT(A3753,"yyyy-mm")&lt;&gt;TEXT(A3754,"yyyy-mm")),1,0)</f>
        <v/>
      </c>
      <c r="H3753">
        <f>IF(OR(H3752=1,G3753=1),1,0)</f>
        <v/>
      </c>
      <c r="I3753">
        <f>IF(H3752=0,1,SUMPRODUCT(J3752:N3752,B3753:F3753)+O3752*(1+0.00023125256064071564))</f>
        <v/>
      </c>
      <c r="J3753">
        <f>IF(G3753=1,0.2*R3753/B3753,J3752)</f>
        <v/>
      </c>
      <c r="K3753">
        <f>IF(G3753=1,0.2*R3753/C3753,K3752)</f>
        <v/>
      </c>
      <c r="L3753">
        <f>IF(G3753=1,0.2*R3753/D3753,L3752)</f>
        <v/>
      </c>
      <c r="M3753">
        <f>IF(G3753=1,0.2*R3753/E3753,M3752)</f>
        <v/>
      </c>
      <c r="N3753">
        <f>IF(G3753=1,0.2*R3753/F3753,N3752)</f>
        <v/>
      </c>
      <c r="O3753">
        <f>IF(G3753=1,R3753*(1-1.0),IF(H3752=0,1,O3752*(1+0.00023125256064071564)))</f>
        <v/>
      </c>
      <c r="P3753">
        <f>IF(G3753=1,IF(H3752=0,1,ABS(0.2-J3752*B3753/I3753)+ABS(0.2-K3752*C3753/I3753)+ABS(0.2-L3752*D3753/I3753)+ABS(0.2-M3752*E3753/I3753)+ABS(0.2-N3752*F3753/I3753)),0)</f>
        <v/>
      </c>
      <c r="Q3753">
        <f>P3753*0.0015</f>
        <v/>
      </c>
      <c r="R3753">
        <f>I3753*(1-Q3753)</f>
        <v/>
      </c>
      <c r="S3753">
        <f>R3753/R3752-1</f>
        <v/>
      </c>
      <c r="T3753">
        <f>MAX(T3752,R3753)</f>
        <v/>
      </c>
      <c r="U3753">
        <f>R3753/T3753-1</f>
        <v/>
      </c>
      <c r="V3753" t="n">
        <v>7.248013892428119</v>
      </c>
      <c r="W3753" s="5">
        <f>R3753-V3753</f>
        <v/>
      </c>
    </row>
    <row r="3754">
      <c r="A3754" s="3" t="n">
        <v>43973</v>
      </c>
      <c r="B3754">
        <f>Prices!B3754</f>
        <v/>
      </c>
      <c r="C3754">
        <f>Prices!C3754</f>
        <v/>
      </c>
      <c r="D3754">
        <f>Prices!D3754</f>
        <v/>
      </c>
      <c r="E3754">
        <f>Prices!E3754</f>
        <v/>
      </c>
      <c r="F3754">
        <f>Prices!F3754</f>
        <v/>
      </c>
      <c r="G3754">
        <f>IF(AND(3752&gt;=16,TEXT(A3754,"yyyy-mm")&lt;&gt;TEXT(A3755,"yyyy-mm")),1,0)</f>
        <v/>
      </c>
      <c r="H3754">
        <f>IF(OR(H3753=1,G3754=1),1,0)</f>
        <v/>
      </c>
      <c r="I3754">
        <f>IF(H3753=0,1,SUMPRODUCT(J3753:N3753,B3754:F3754)+O3753*(1+0.00023125256064071564))</f>
        <v/>
      </c>
      <c r="J3754">
        <f>IF(G3754=1,0.2*R3754/B3754,J3753)</f>
        <v/>
      </c>
      <c r="K3754">
        <f>IF(G3754=1,0.2*R3754/C3754,K3753)</f>
        <v/>
      </c>
      <c r="L3754">
        <f>IF(G3754=1,0.2*R3754/D3754,L3753)</f>
        <v/>
      </c>
      <c r="M3754">
        <f>IF(G3754=1,0.2*R3754/E3754,M3753)</f>
        <v/>
      </c>
      <c r="N3754">
        <f>IF(G3754=1,0.2*R3754/F3754,N3753)</f>
        <v/>
      </c>
      <c r="O3754">
        <f>IF(G3754=1,R3754*(1-1.0),IF(H3753=0,1,O3753*(1+0.00023125256064071564)))</f>
        <v/>
      </c>
      <c r="P3754">
        <f>IF(G3754=1,IF(H3753=0,1,ABS(0.2-J3753*B3754/I3754)+ABS(0.2-K3753*C3754/I3754)+ABS(0.2-L3753*D3754/I3754)+ABS(0.2-M3753*E3754/I3754)+ABS(0.2-N3753*F3754/I3754)),0)</f>
        <v/>
      </c>
      <c r="Q3754">
        <f>P3754*0.0015</f>
        <v/>
      </c>
      <c r="R3754">
        <f>I3754*(1-Q3754)</f>
        <v/>
      </c>
      <c r="S3754">
        <f>R3754/R3753-1</f>
        <v/>
      </c>
      <c r="T3754">
        <f>MAX(T3753,R3754)</f>
        <v/>
      </c>
      <c r="U3754">
        <f>R3754/T3754-1</f>
        <v/>
      </c>
      <c r="V3754" t="n">
        <v>7.204543293445038</v>
      </c>
      <c r="W3754" s="5">
        <f>R3754-V3754</f>
        <v/>
      </c>
    </row>
    <row r="3755">
      <c r="A3755" s="3" t="n">
        <v>43977</v>
      </c>
      <c r="B3755">
        <f>Prices!B3755</f>
        <v/>
      </c>
      <c r="C3755">
        <f>Prices!C3755</f>
        <v/>
      </c>
      <c r="D3755">
        <f>Prices!D3755</f>
        <v/>
      </c>
      <c r="E3755">
        <f>Prices!E3755</f>
        <v/>
      </c>
      <c r="F3755">
        <f>Prices!F3755</f>
        <v/>
      </c>
      <c r="G3755">
        <f>IF(AND(3753&gt;=16,TEXT(A3755,"yyyy-mm")&lt;&gt;TEXT(A3756,"yyyy-mm")),1,0)</f>
        <v/>
      </c>
      <c r="H3755">
        <f>IF(OR(H3754=1,G3755=1),1,0)</f>
        <v/>
      </c>
      <c r="I3755">
        <f>IF(H3754=0,1,SUMPRODUCT(J3754:N3754,B3755:F3755)+O3754*(1+0.00023125256064071564))</f>
        <v/>
      </c>
      <c r="J3755">
        <f>IF(G3755=1,0.2*R3755/B3755,J3754)</f>
        <v/>
      </c>
      <c r="K3755">
        <f>IF(G3755=1,0.2*R3755/C3755,K3754)</f>
        <v/>
      </c>
      <c r="L3755">
        <f>IF(G3755=1,0.2*R3755/D3755,L3754)</f>
        <v/>
      </c>
      <c r="M3755">
        <f>IF(G3755=1,0.2*R3755/E3755,M3754)</f>
        <v/>
      </c>
      <c r="N3755">
        <f>IF(G3755=1,0.2*R3755/F3755,N3754)</f>
        <v/>
      </c>
      <c r="O3755">
        <f>IF(G3755=1,R3755*(1-1.0),IF(H3754=0,1,O3754*(1+0.00023125256064071564)))</f>
        <v/>
      </c>
      <c r="P3755">
        <f>IF(G3755=1,IF(H3754=0,1,ABS(0.2-J3754*B3755/I3755)+ABS(0.2-K3754*C3755/I3755)+ABS(0.2-L3754*D3755/I3755)+ABS(0.2-M3754*E3755/I3755)+ABS(0.2-N3754*F3755/I3755)),0)</f>
        <v/>
      </c>
      <c r="Q3755">
        <f>P3755*0.0015</f>
        <v/>
      </c>
      <c r="R3755">
        <f>I3755*(1-Q3755)</f>
        <v/>
      </c>
      <c r="S3755">
        <f>R3755/R3754-1</f>
        <v/>
      </c>
      <c r="T3755">
        <f>MAX(T3754,R3755)</f>
        <v/>
      </c>
      <c r="U3755">
        <f>R3755/T3755-1</f>
        <v/>
      </c>
      <c r="V3755" t="n">
        <v>7.222493406209302</v>
      </c>
      <c r="W3755" s="5">
        <f>R3755-V3755</f>
        <v/>
      </c>
    </row>
    <row r="3756">
      <c r="A3756" s="3" t="n">
        <v>43978</v>
      </c>
      <c r="B3756">
        <f>Prices!B3756</f>
        <v/>
      </c>
      <c r="C3756">
        <f>Prices!C3756</f>
        <v/>
      </c>
      <c r="D3756">
        <f>Prices!D3756</f>
        <v/>
      </c>
      <c r="E3756">
        <f>Prices!E3756</f>
        <v/>
      </c>
      <c r="F3756">
        <f>Prices!F3756</f>
        <v/>
      </c>
      <c r="G3756">
        <f>IF(AND(3754&gt;=16,TEXT(A3756,"yyyy-mm")&lt;&gt;TEXT(A3757,"yyyy-mm")),1,0)</f>
        <v/>
      </c>
      <c r="H3756">
        <f>IF(OR(H3755=1,G3756=1),1,0)</f>
        <v/>
      </c>
      <c r="I3756">
        <f>IF(H3755=0,1,SUMPRODUCT(J3755:N3755,B3756:F3756)+O3755*(1+0.00023125256064071564))</f>
        <v/>
      </c>
      <c r="J3756">
        <f>IF(G3756=1,0.2*R3756/B3756,J3755)</f>
        <v/>
      </c>
      <c r="K3756">
        <f>IF(G3756=1,0.2*R3756/C3756,K3755)</f>
        <v/>
      </c>
      <c r="L3756">
        <f>IF(G3756=1,0.2*R3756/D3756,L3755)</f>
        <v/>
      </c>
      <c r="M3756">
        <f>IF(G3756=1,0.2*R3756/E3756,M3755)</f>
        <v/>
      </c>
      <c r="N3756">
        <f>IF(G3756=1,0.2*R3756/F3756,N3755)</f>
        <v/>
      </c>
      <c r="O3756">
        <f>IF(G3756=1,R3756*(1-1.0),IF(H3755=0,1,O3755*(1+0.00023125256064071564)))</f>
        <v/>
      </c>
      <c r="P3756">
        <f>IF(G3756=1,IF(H3755=0,1,ABS(0.2-J3755*B3756/I3756)+ABS(0.2-K3755*C3756/I3756)+ABS(0.2-L3755*D3756/I3756)+ABS(0.2-M3755*E3756/I3756)+ABS(0.2-N3755*F3756/I3756)),0)</f>
        <v/>
      </c>
      <c r="Q3756">
        <f>P3756*0.0015</f>
        <v/>
      </c>
      <c r="R3756">
        <f>I3756*(1-Q3756)</f>
        <v/>
      </c>
      <c r="S3756">
        <f>R3756/R3755-1</f>
        <v/>
      </c>
      <c r="T3756">
        <f>MAX(T3755,R3756)</f>
        <v/>
      </c>
      <c r="U3756">
        <f>R3756/T3756-1</f>
        <v/>
      </c>
      <c r="V3756" t="n">
        <v>7.305293120899682</v>
      </c>
      <c r="W3756" s="5">
        <f>R3756-V3756</f>
        <v/>
      </c>
    </row>
    <row r="3757">
      <c r="A3757" s="3" t="n">
        <v>43979</v>
      </c>
      <c r="B3757">
        <f>Prices!B3757</f>
        <v/>
      </c>
      <c r="C3757">
        <f>Prices!C3757</f>
        <v/>
      </c>
      <c r="D3757">
        <f>Prices!D3757</f>
        <v/>
      </c>
      <c r="E3757">
        <f>Prices!E3757</f>
        <v/>
      </c>
      <c r="F3757">
        <f>Prices!F3757</f>
        <v/>
      </c>
      <c r="G3757">
        <f>IF(AND(3755&gt;=16,TEXT(A3757,"yyyy-mm")&lt;&gt;TEXT(A3758,"yyyy-mm")),1,0)</f>
        <v/>
      </c>
      <c r="H3757">
        <f>IF(OR(H3756=1,G3757=1),1,0)</f>
        <v/>
      </c>
      <c r="I3757">
        <f>IF(H3756=0,1,SUMPRODUCT(J3756:N3756,B3757:F3757)+O3756*(1+0.00023125256064071564))</f>
        <v/>
      </c>
      <c r="J3757">
        <f>IF(G3757=1,0.2*R3757/B3757,J3756)</f>
        <v/>
      </c>
      <c r="K3757">
        <f>IF(G3757=1,0.2*R3757/C3757,K3756)</f>
        <v/>
      </c>
      <c r="L3757">
        <f>IF(G3757=1,0.2*R3757/D3757,L3756)</f>
        <v/>
      </c>
      <c r="M3757">
        <f>IF(G3757=1,0.2*R3757/E3757,M3756)</f>
        <v/>
      </c>
      <c r="N3757">
        <f>IF(G3757=1,0.2*R3757/F3757,N3756)</f>
        <v/>
      </c>
      <c r="O3757">
        <f>IF(G3757=1,R3757*(1-1.0),IF(H3756=0,1,O3756*(1+0.00023125256064071564)))</f>
        <v/>
      </c>
      <c r="P3757">
        <f>IF(G3757=1,IF(H3756=0,1,ABS(0.2-J3756*B3757/I3757)+ABS(0.2-K3756*C3757/I3757)+ABS(0.2-L3756*D3757/I3757)+ABS(0.2-M3756*E3757/I3757)+ABS(0.2-N3756*F3757/I3757)),0)</f>
        <v/>
      </c>
      <c r="Q3757">
        <f>P3757*0.0015</f>
        <v/>
      </c>
      <c r="R3757">
        <f>I3757*(1-Q3757)</f>
        <v/>
      </c>
      <c r="S3757">
        <f>R3757/R3756-1</f>
        <v/>
      </c>
      <c r="T3757">
        <f>MAX(T3756,R3757)</f>
        <v/>
      </c>
      <c r="U3757">
        <f>R3757/T3757-1</f>
        <v/>
      </c>
      <c r="V3757" t="n">
        <v>7.415621597280906</v>
      </c>
      <c r="W3757" s="5">
        <f>R3757-V3757</f>
        <v/>
      </c>
    </row>
    <row r="3758">
      <c r="A3758" s="3" t="n">
        <v>43980</v>
      </c>
      <c r="B3758">
        <f>Prices!B3758</f>
        <v/>
      </c>
      <c r="C3758">
        <f>Prices!C3758</f>
        <v/>
      </c>
      <c r="D3758">
        <f>Prices!D3758</f>
        <v/>
      </c>
      <c r="E3758">
        <f>Prices!E3758</f>
        <v/>
      </c>
      <c r="F3758">
        <f>Prices!F3758</f>
        <v/>
      </c>
      <c r="G3758">
        <f>IF(AND(3756&gt;=16,TEXT(A3758,"yyyy-mm")&lt;&gt;TEXT(A3759,"yyyy-mm")),1,0)</f>
        <v/>
      </c>
      <c r="H3758">
        <f>IF(OR(H3757=1,G3758=1),1,0)</f>
        <v/>
      </c>
      <c r="I3758">
        <f>IF(H3757=0,1,SUMPRODUCT(J3757:N3757,B3758:F3758)+O3757*(1+0.00023125256064071564))</f>
        <v/>
      </c>
      <c r="J3758">
        <f>IF(G3758=1,0.2*R3758/B3758,J3757)</f>
        <v/>
      </c>
      <c r="K3758">
        <f>IF(G3758=1,0.2*R3758/C3758,K3757)</f>
        <v/>
      </c>
      <c r="L3758">
        <f>IF(G3758=1,0.2*R3758/D3758,L3757)</f>
        <v/>
      </c>
      <c r="M3758">
        <f>IF(G3758=1,0.2*R3758/E3758,M3757)</f>
        <v/>
      </c>
      <c r="N3758">
        <f>IF(G3758=1,0.2*R3758/F3758,N3757)</f>
        <v/>
      </c>
      <c r="O3758">
        <f>IF(G3758=1,R3758*(1-1.0),IF(H3757=0,1,O3757*(1+0.00023125256064071564)))</f>
        <v/>
      </c>
      <c r="P3758">
        <f>IF(G3758=1,IF(H3757=0,1,ABS(0.2-J3757*B3758/I3758)+ABS(0.2-K3757*C3758/I3758)+ABS(0.2-L3757*D3758/I3758)+ABS(0.2-M3757*E3758/I3758)+ABS(0.2-N3757*F3758/I3758)),0)</f>
        <v/>
      </c>
      <c r="Q3758">
        <f>P3758*0.0015</f>
        <v/>
      </c>
      <c r="R3758">
        <f>I3758*(1-Q3758)</f>
        <v/>
      </c>
      <c r="S3758">
        <f>R3758/R3757-1</f>
        <v/>
      </c>
      <c r="T3758">
        <f>MAX(T3757,R3758)</f>
        <v/>
      </c>
      <c r="U3758">
        <f>R3758/T3758-1</f>
        <v/>
      </c>
      <c r="V3758" t="n">
        <v>7.544595651031953</v>
      </c>
      <c r="W3758" s="5">
        <f>R3758-V3758</f>
        <v/>
      </c>
    </row>
    <row r="3759">
      <c r="A3759" s="3" t="n">
        <v>43983</v>
      </c>
      <c r="B3759">
        <f>Prices!B3759</f>
        <v/>
      </c>
      <c r="C3759">
        <f>Prices!C3759</f>
        <v/>
      </c>
      <c r="D3759">
        <f>Prices!D3759</f>
        <v/>
      </c>
      <c r="E3759">
        <f>Prices!E3759</f>
        <v/>
      </c>
      <c r="F3759">
        <f>Prices!F3759</f>
        <v/>
      </c>
      <c r="G3759">
        <f>IF(AND(3757&gt;=16,TEXT(A3759,"yyyy-mm")&lt;&gt;TEXT(A3760,"yyyy-mm")),1,0)</f>
        <v/>
      </c>
      <c r="H3759">
        <f>IF(OR(H3758=1,G3759=1),1,0)</f>
        <v/>
      </c>
      <c r="I3759">
        <f>IF(H3758=0,1,SUMPRODUCT(J3758:N3758,B3759:F3759)+O3758*(1+0.00023125256064071564))</f>
        <v/>
      </c>
      <c r="J3759">
        <f>IF(G3759=1,0.2*R3759/B3759,J3758)</f>
        <v/>
      </c>
      <c r="K3759">
        <f>IF(G3759=1,0.2*R3759/C3759,K3758)</f>
        <v/>
      </c>
      <c r="L3759">
        <f>IF(G3759=1,0.2*R3759/D3759,L3758)</f>
        <v/>
      </c>
      <c r="M3759">
        <f>IF(G3759=1,0.2*R3759/E3759,M3758)</f>
        <v/>
      </c>
      <c r="N3759">
        <f>IF(G3759=1,0.2*R3759/F3759,N3758)</f>
        <v/>
      </c>
      <c r="O3759">
        <f>IF(G3759=1,R3759*(1-1.0),IF(H3758=0,1,O3758*(1+0.00023125256064071564)))</f>
        <v/>
      </c>
      <c r="P3759">
        <f>IF(G3759=1,IF(H3758=0,1,ABS(0.2-J3758*B3759/I3759)+ABS(0.2-K3758*C3759/I3759)+ABS(0.2-L3758*D3759/I3759)+ABS(0.2-M3758*E3759/I3759)+ABS(0.2-N3758*F3759/I3759)),0)</f>
        <v/>
      </c>
      <c r="Q3759">
        <f>P3759*0.0015</f>
        <v/>
      </c>
      <c r="R3759">
        <f>I3759*(1-Q3759)</f>
        <v/>
      </c>
      <c r="S3759">
        <f>R3759/R3758-1</f>
        <v/>
      </c>
      <c r="T3759">
        <f>MAX(T3758,R3759)</f>
        <v/>
      </c>
      <c r="U3759">
        <f>R3759/T3759-1</f>
        <v/>
      </c>
      <c r="V3759" t="n">
        <v>7.713468862960992</v>
      </c>
      <c r="W3759" s="5">
        <f>R3759-V3759</f>
        <v/>
      </c>
    </row>
    <row r="3760">
      <c r="A3760" s="3" t="n">
        <v>43984</v>
      </c>
      <c r="B3760">
        <f>Prices!B3760</f>
        <v/>
      </c>
      <c r="C3760">
        <f>Prices!C3760</f>
        <v/>
      </c>
      <c r="D3760">
        <f>Prices!D3760</f>
        <v/>
      </c>
      <c r="E3760">
        <f>Prices!E3760</f>
        <v/>
      </c>
      <c r="F3760">
        <f>Prices!F3760</f>
        <v/>
      </c>
      <c r="G3760">
        <f>IF(AND(3758&gt;=16,TEXT(A3760,"yyyy-mm")&lt;&gt;TEXT(A3761,"yyyy-mm")),1,0)</f>
        <v/>
      </c>
      <c r="H3760">
        <f>IF(OR(H3759=1,G3760=1),1,0)</f>
        <v/>
      </c>
      <c r="I3760">
        <f>IF(H3759=0,1,SUMPRODUCT(J3759:N3759,B3760:F3760)+O3759*(1+0.00023125256064071564))</f>
        <v/>
      </c>
      <c r="J3760">
        <f>IF(G3760=1,0.2*R3760/B3760,J3759)</f>
        <v/>
      </c>
      <c r="K3760">
        <f>IF(G3760=1,0.2*R3760/C3760,K3759)</f>
        <v/>
      </c>
      <c r="L3760">
        <f>IF(G3760=1,0.2*R3760/D3760,L3759)</f>
        <v/>
      </c>
      <c r="M3760">
        <f>IF(G3760=1,0.2*R3760/E3760,M3759)</f>
        <v/>
      </c>
      <c r="N3760">
        <f>IF(G3760=1,0.2*R3760/F3760,N3759)</f>
        <v/>
      </c>
      <c r="O3760">
        <f>IF(G3760=1,R3760*(1-1.0),IF(H3759=0,1,O3759*(1+0.00023125256064071564)))</f>
        <v/>
      </c>
      <c r="P3760">
        <f>IF(G3760=1,IF(H3759=0,1,ABS(0.2-J3759*B3760/I3760)+ABS(0.2-K3759*C3760/I3760)+ABS(0.2-L3759*D3760/I3760)+ABS(0.2-M3759*E3760/I3760)+ABS(0.2-N3759*F3760/I3760)),0)</f>
        <v/>
      </c>
      <c r="Q3760">
        <f>P3760*0.0015</f>
        <v/>
      </c>
      <c r="R3760">
        <f>I3760*(1-Q3760)</f>
        <v/>
      </c>
      <c r="S3760">
        <f>R3760/R3759-1</f>
        <v/>
      </c>
      <c r="T3760">
        <f>MAX(T3759,R3760)</f>
        <v/>
      </c>
      <c r="U3760">
        <f>R3760/T3760-1</f>
        <v/>
      </c>
      <c r="V3760" t="n">
        <v>7.78064102535297</v>
      </c>
      <c r="W3760" s="5">
        <f>R3760-V3760</f>
        <v/>
      </c>
    </row>
    <row r="3761">
      <c r="A3761" s="3" t="n">
        <v>43985</v>
      </c>
      <c r="B3761">
        <f>Prices!B3761</f>
        <v/>
      </c>
      <c r="C3761">
        <f>Prices!C3761</f>
        <v/>
      </c>
      <c r="D3761">
        <f>Prices!D3761</f>
        <v/>
      </c>
      <c r="E3761">
        <f>Prices!E3761</f>
        <v/>
      </c>
      <c r="F3761">
        <f>Prices!F3761</f>
        <v/>
      </c>
      <c r="G3761">
        <f>IF(AND(3759&gt;=16,TEXT(A3761,"yyyy-mm")&lt;&gt;TEXT(A3762,"yyyy-mm")),1,0)</f>
        <v/>
      </c>
      <c r="H3761">
        <f>IF(OR(H3760=1,G3761=1),1,0)</f>
        <v/>
      </c>
      <c r="I3761">
        <f>IF(H3760=0,1,SUMPRODUCT(J3760:N3760,B3761:F3761)+O3760*(1+0.00023125256064071564))</f>
        <v/>
      </c>
      <c r="J3761">
        <f>IF(G3761=1,0.2*R3761/B3761,J3760)</f>
        <v/>
      </c>
      <c r="K3761">
        <f>IF(G3761=1,0.2*R3761/C3761,K3760)</f>
        <v/>
      </c>
      <c r="L3761">
        <f>IF(G3761=1,0.2*R3761/D3761,L3760)</f>
        <v/>
      </c>
      <c r="M3761">
        <f>IF(G3761=1,0.2*R3761/E3761,M3760)</f>
        <v/>
      </c>
      <c r="N3761">
        <f>IF(G3761=1,0.2*R3761/F3761,N3760)</f>
        <v/>
      </c>
      <c r="O3761">
        <f>IF(G3761=1,R3761*(1-1.0),IF(H3760=0,1,O3760*(1+0.00023125256064071564)))</f>
        <v/>
      </c>
      <c r="P3761">
        <f>IF(G3761=1,IF(H3760=0,1,ABS(0.2-J3760*B3761/I3761)+ABS(0.2-K3760*C3761/I3761)+ABS(0.2-L3760*D3761/I3761)+ABS(0.2-M3760*E3761/I3761)+ABS(0.2-N3760*F3761/I3761)),0)</f>
        <v/>
      </c>
      <c r="Q3761">
        <f>P3761*0.0015</f>
        <v/>
      </c>
      <c r="R3761">
        <f>I3761*(1-Q3761)</f>
        <v/>
      </c>
      <c r="S3761">
        <f>R3761/R3760-1</f>
        <v/>
      </c>
      <c r="T3761">
        <f>MAX(T3760,R3761)</f>
        <v/>
      </c>
      <c r="U3761">
        <f>R3761/T3761-1</f>
        <v/>
      </c>
      <c r="V3761" t="n">
        <v>7.829093860136569</v>
      </c>
      <c r="W3761" s="5">
        <f>R3761-V3761</f>
        <v/>
      </c>
    </row>
    <row r="3762">
      <c r="A3762" s="3" t="n">
        <v>43986</v>
      </c>
      <c r="B3762">
        <f>Prices!B3762</f>
        <v/>
      </c>
      <c r="C3762">
        <f>Prices!C3762</f>
        <v/>
      </c>
      <c r="D3762">
        <f>Prices!D3762</f>
        <v/>
      </c>
      <c r="E3762">
        <f>Prices!E3762</f>
        <v/>
      </c>
      <c r="F3762">
        <f>Prices!F3762</f>
        <v/>
      </c>
      <c r="G3762">
        <f>IF(AND(3760&gt;=16,TEXT(A3762,"yyyy-mm")&lt;&gt;TEXT(A3763,"yyyy-mm")),1,0)</f>
        <v/>
      </c>
      <c r="H3762">
        <f>IF(OR(H3761=1,G3762=1),1,0)</f>
        <v/>
      </c>
      <c r="I3762">
        <f>IF(H3761=0,1,SUMPRODUCT(J3761:N3761,B3762:F3762)+O3761*(1+0.00023125256064071564))</f>
        <v/>
      </c>
      <c r="J3762">
        <f>IF(G3762=1,0.2*R3762/B3762,J3761)</f>
        <v/>
      </c>
      <c r="K3762">
        <f>IF(G3762=1,0.2*R3762/C3762,K3761)</f>
        <v/>
      </c>
      <c r="L3762">
        <f>IF(G3762=1,0.2*R3762/D3762,L3761)</f>
        <v/>
      </c>
      <c r="M3762">
        <f>IF(G3762=1,0.2*R3762/E3762,M3761)</f>
        <v/>
      </c>
      <c r="N3762">
        <f>IF(G3762=1,0.2*R3762/F3762,N3761)</f>
        <v/>
      </c>
      <c r="O3762">
        <f>IF(G3762=1,R3762*(1-1.0),IF(H3761=0,1,O3761*(1+0.00023125256064071564)))</f>
        <v/>
      </c>
      <c r="P3762">
        <f>IF(G3762=1,IF(H3761=0,1,ABS(0.2-J3761*B3762/I3762)+ABS(0.2-K3761*C3762/I3762)+ABS(0.2-L3761*D3762/I3762)+ABS(0.2-M3761*E3762/I3762)+ABS(0.2-N3761*F3762/I3762)),0)</f>
        <v/>
      </c>
      <c r="Q3762">
        <f>P3762*0.0015</f>
        <v/>
      </c>
      <c r="R3762">
        <f>I3762*(1-Q3762)</f>
        <v/>
      </c>
      <c r="S3762">
        <f>R3762/R3761-1</f>
        <v/>
      </c>
      <c r="T3762">
        <f>MAX(T3761,R3762)</f>
        <v/>
      </c>
      <c r="U3762">
        <f>R3762/T3762-1</f>
        <v/>
      </c>
      <c r="V3762" t="n">
        <v>7.838665836025592</v>
      </c>
      <c r="W3762" s="5">
        <f>R3762-V3762</f>
        <v/>
      </c>
    </row>
    <row r="3763">
      <c r="A3763" s="3" t="n">
        <v>43987</v>
      </c>
      <c r="B3763">
        <f>Prices!B3763</f>
        <v/>
      </c>
      <c r="C3763">
        <f>Prices!C3763</f>
        <v/>
      </c>
      <c r="D3763">
        <f>Prices!D3763</f>
        <v/>
      </c>
      <c r="E3763">
        <f>Prices!E3763</f>
        <v/>
      </c>
      <c r="F3763">
        <f>Prices!F3763</f>
        <v/>
      </c>
      <c r="G3763">
        <f>IF(AND(3761&gt;=16,TEXT(A3763,"yyyy-mm")&lt;&gt;TEXT(A3764,"yyyy-mm")),1,0)</f>
        <v/>
      </c>
      <c r="H3763">
        <f>IF(OR(H3762=1,G3763=1),1,0)</f>
        <v/>
      </c>
      <c r="I3763">
        <f>IF(H3762=0,1,SUMPRODUCT(J3762:N3762,B3763:F3763)+O3762*(1+0.00023125256064071564))</f>
        <v/>
      </c>
      <c r="J3763">
        <f>IF(G3763=1,0.2*R3763/B3763,J3762)</f>
        <v/>
      </c>
      <c r="K3763">
        <f>IF(G3763=1,0.2*R3763/C3763,K3762)</f>
        <v/>
      </c>
      <c r="L3763">
        <f>IF(G3763=1,0.2*R3763/D3763,L3762)</f>
        <v/>
      </c>
      <c r="M3763">
        <f>IF(G3763=1,0.2*R3763/E3763,M3762)</f>
        <v/>
      </c>
      <c r="N3763">
        <f>IF(G3763=1,0.2*R3763/F3763,N3762)</f>
        <v/>
      </c>
      <c r="O3763">
        <f>IF(G3763=1,R3763*(1-1.0),IF(H3762=0,1,O3762*(1+0.00023125256064071564)))</f>
        <v/>
      </c>
      <c r="P3763">
        <f>IF(G3763=1,IF(H3762=0,1,ABS(0.2-J3762*B3763/I3763)+ABS(0.2-K3762*C3763/I3763)+ABS(0.2-L3762*D3763/I3763)+ABS(0.2-M3762*E3763/I3763)+ABS(0.2-N3762*F3763/I3763)),0)</f>
        <v/>
      </c>
      <c r="Q3763">
        <f>P3763*0.0015</f>
        <v/>
      </c>
      <c r="R3763">
        <f>I3763*(1-Q3763)</f>
        <v/>
      </c>
      <c r="S3763">
        <f>R3763/R3762-1</f>
        <v/>
      </c>
      <c r="T3763">
        <f>MAX(T3762,R3763)</f>
        <v/>
      </c>
      <c r="U3763">
        <f>R3763/T3763-1</f>
        <v/>
      </c>
      <c r="V3763" t="n">
        <v>7.965978984805177</v>
      </c>
      <c r="W3763" s="5">
        <f>R3763-V3763</f>
        <v/>
      </c>
    </row>
    <row r="3764">
      <c r="A3764" s="3" t="n">
        <v>43990</v>
      </c>
      <c r="B3764">
        <f>Prices!B3764</f>
        <v/>
      </c>
      <c r="C3764">
        <f>Prices!C3764</f>
        <v/>
      </c>
      <c r="D3764">
        <f>Prices!D3764</f>
        <v/>
      </c>
      <c r="E3764">
        <f>Prices!E3764</f>
        <v/>
      </c>
      <c r="F3764">
        <f>Prices!F3764</f>
        <v/>
      </c>
      <c r="G3764">
        <f>IF(AND(3762&gt;=16,TEXT(A3764,"yyyy-mm")&lt;&gt;TEXT(A3765,"yyyy-mm")),1,0)</f>
        <v/>
      </c>
      <c r="H3764">
        <f>IF(OR(H3763=1,G3764=1),1,0)</f>
        <v/>
      </c>
      <c r="I3764">
        <f>IF(H3763=0,1,SUMPRODUCT(J3763:N3763,B3764:F3764)+O3763*(1+0.00023125256064071564))</f>
        <v/>
      </c>
      <c r="J3764">
        <f>IF(G3764=1,0.2*R3764/B3764,J3763)</f>
        <v/>
      </c>
      <c r="K3764">
        <f>IF(G3764=1,0.2*R3764/C3764,K3763)</f>
        <v/>
      </c>
      <c r="L3764">
        <f>IF(G3764=1,0.2*R3764/D3764,L3763)</f>
        <v/>
      </c>
      <c r="M3764">
        <f>IF(G3764=1,0.2*R3764/E3764,M3763)</f>
        <v/>
      </c>
      <c r="N3764">
        <f>IF(G3764=1,0.2*R3764/F3764,N3763)</f>
        <v/>
      </c>
      <c r="O3764">
        <f>IF(G3764=1,R3764*(1-1.0),IF(H3763=0,1,O3763*(1+0.00023125256064071564)))</f>
        <v/>
      </c>
      <c r="P3764">
        <f>IF(G3764=1,IF(H3763=0,1,ABS(0.2-J3763*B3764/I3764)+ABS(0.2-K3763*C3764/I3764)+ABS(0.2-L3763*D3764/I3764)+ABS(0.2-M3763*E3764/I3764)+ABS(0.2-N3763*F3764/I3764)),0)</f>
        <v/>
      </c>
      <c r="Q3764">
        <f>P3764*0.0015</f>
        <v/>
      </c>
      <c r="R3764">
        <f>I3764*(1-Q3764)</f>
        <v/>
      </c>
      <c r="S3764">
        <f>R3764/R3763-1</f>
        <v/>
      </c>
      <c r="T3764">
        <f>MAX(T3763,R3764)</f>
        <v/>
      </c>
      <c r="U3764">
        <f>R3764/T3764-1</f>
        <v/>
      </c>
      <c r="V3764" t="n">
        <v>8.01579586555666</v>
      </c>
      <c r="W3764" s="5">
        <f>R3764-V3764</f>
        <v/>
      </c>
    </row>
    <row r="3765">
      <c r="A3765" s="3" t="n">
        <v>43991</v>
      </c>
      <c r="B3765">
        <f>Prices!B3765</f>
        <v/>
      </c>
      <c r="C3765">
        <f>Prices!C3765</f>
        <v/>
      </c>
      <c r="D3765">
        <f>Prices!D3765</f>
        <v/>
      </c>
      <c r="E3765">
        <f>Prices!E3765</f>
        <v/>
      </c>
      <c r="F3765">
        <f>Prices!F3765</f>
        <v/>
      </c>
      <c r="G3765">
        <f>IF(AND(3763&gt;=16,TEXT(A3765,"yyyy-mm")&lt;&gt;TEXT(A3766,"yyyy-mm")),1,0)</f>
        <v/>
      </c>
      <c r="H3765">
        <f>IF(OR(H3764=1,G3765=1),1,0)</f>
        <v/>
      </c>
      <c r="I3765">
        <f>IF(H3764=0,1,SUMPRODUCT(J3764:N3764,B3765:F3765)+O3764*(1+0.00023125256064071564))</f>
        <v/>
      </c>
      <c r="J3765">
        <f>IF(G3765=1,0.2*R3765/B3765,J3764)</f>
        <v/>
      </c>
      <c r="K3765">
        <f>IF(G3765=1,0.2*R3765/C3765,K3764)</f>
        <v/>
      </c>
      <c r="L3765">
        <f>IF(G3765=1,0.2*R3765/D3765,L3764)</f>
        <v/>
      </c>
      <c r="M3765">
        <f>IF(G3765=1,0.2*R3765/E3765,M3764)</f>
        <v/>
      </c>
      <c r="N3765">
        <f>IF(G3765=1,0.2*R3765/F3765,N3764)</f>
        <v/>
      </c>
      <c r="O3765">
        <f>IF(G3765=1,R3765*(1-1.0),IF(H3764=0,1,O3764*(1+0.00023125256064071564)))</f>
        <v/>
      </c>
      <c r="P3765">
        <f>IF(G3765=1,IF(H3764=0,1,ABS(0.2-J3764*B3765/I3765)+ABS(0.2-K3764*C3765/I3765)+ABS(0.2-L3764*D3765/I3765)+ABS(0.2-M3764*E3765/I3765)+ABS(0.2-N3764*F3765/I3765)),0)</f>
        <v/>
      </c>
      <c r="Q3765">
        <f>P3765*0.0015</f>
        <v/>
      </c>
      <c r="R3765">
        <f>I3765*(1-Q3765)</f>
        <v/>
      </c>
      <c r="S3765">
        <f>R3765/R3764-1</f>
        <v/>
      </c>
      <c r="T3765">
        <f>MAX(T3764,R3765)</f>
        <v/>
      </c>
      <c r="U3765">
        <f>R3765/T3765-1</f>
        <v/>
      </c>
      <c r="V3765" t="n">
        <v>7.964762457268751</v>
      </c>
      <c r="W3765" s="5">
        <f>R3765-V3765</f>
        <v/>
      </c>
    </row>
    <row r="3766">
      <c r="A3766" s="3" t="n">
        <v>43992</v>
      </c>
      <c r="B3766">
        <f>Prices!B3766</f>
        <v/>
      </c>
      <c r="C3766">
        <f>Prices!C3766</f>
        <v/>
      </c>
      <c r="D3766">
        <f>Prices!D3766</f>
        <v/>
      </c>
      <c r="E3766">
        <f>Prices!E3766</f>
        <v/>
      </c>
      <c r="F3766">
        <f>Prices!F3766</f>
        <v/>
      </c>
      <c r="G3766">
        <f>IF(AND(3764&gt;=16,TEXT(A3766,"yyyy-mm")&lt;&gt;TEXT(A3767,"yyyy-mm")),1,0)</f>
        <v/>
      </c>
      <c r="H3766">
        <f>IF(OR(H3765=1,G3766=1),1,0)</f>
        <v/>
      </c>
      <c r="I3766">
        <f>IF(H3765=0,1,SUMPRODUCT(J3765:N3765,B3766:F3766)+O3765*(1+0.00023125256064071564))</f>
        <v/>
      </c>
      <c r="J3766">
        <f>IF(G3766=1,0.2*R3766/B3766,J3765)</f>
        <v/>
      </c>
      <c r="K3766">
        <f>IF(G3766=1,0.2*R3766/C3766,K3765)</f>
        <v/>
      </c>
      <c r="L3766">
        <f>IF(G3766=1,0.2*R3766/D3766,L3765)</f>
        <v/>
      </c>
      <c r="M3766">
        <f>IF(G3766=1,0.2*R3766/E3766,M3765)</f>
        <v/>
      </c>
      <c r="N3766">
        <f>IF(G3766=1,0.2*R3766/F3766,N3765)</f>
        <v/>
      </c>
      <c r="O3766">
        <f>IF(G3766=1,R3766*(1-1.0),IF(H3765=0,1,O3765*(1+0.00023125256064071564)))</f>
        <v/>
      </c>
      <c r="P3766">
        <f>IF(G3766=1,IF(H3765=0,1,ABS(0.2-J3765*B3766/I3766)+ABS(0.2-K3765*C3766/I3766)+ABS(0.2-L3765*D3766/I3766)+ABS(0.2-M3765*E3766/I3766)+ABS(0.2-N3765*F3766/I3766)),0)</f>
        <v/>
      </c>
      <c r="Q3766">
        <f>P3766*0.0015</f>
        <v/>
      </c>
      <c r="R3766">
        <f>I3766*(1-Q3766)</f>
        <v/>
      </c>
      <c r="S3766">
        <f>R3766/R3765-1</f>
        <v/>
      </c>
      <c r="T3766">
        <f>MAX(T3765,R3766)</f>
        <v/>
      </c>
      <c r="U3766">
        <f>R3766/T3766-1</f>
        <v/>
      </c>
      <c r="V3766" t="n">
        <v>7.997414372960808</v>
      </c>
      <c r="W3766" s="5">
        <f>R3766-V3766</f>
        <v/>
      </c>
    </row>
    <row r="3767">
      <c r="A3767" s="3" t="n">
        <v>43993</v>
      </c>
      <c r="B3767">
        <f>Prices!B3767</f>
        <v/>
      </c>
      <c r="C3767">
        <f>Prices!C3767</f>
        <v/>
      </c>
      <c r="D3767">
        <f>Prices!D3767</f>
        <v/>
      </c>
      <c r="E3767">
        <f>Prices!E3767</f>
        <v/>
      </c>
      <c r="F3767">
        <f>Prices!F3767</f>
        <v/>
      </c>
      <c r="G3767">
        <f>IF(AND(3765&gt;=16,TEXT(A3767,"yyyy-mm")&lt;&gt;TEXT(A3768,"yyyy-mm")),1,0)</f>
        <v/>
      </c>
      <c r="H3767">
        <f>IF(OR(H3766=1,G3767=1),1,0)</f>
        <v/>
      </c>
      <c r="I3767">
        <f>IF(H3766=0,1,SUMPRODUCT(J3766:N3766,B3767:F3767)+O3766*(1+0.00023125256064071564))</f>
        <v/>
      </c>
      <c r="J3767">
        <f>IF(G3767=1,0.2*R3767/B3767,J3766)</f>
        <v/>
      </c>
      <c r="K3767">
        <f>IF(G3767=1,0.2*R3767/C3767,K3766)</f>
        <v/>
      </c>
      <c r="L3767">
        <f>IF(G3767=1,0.2*R3767/D3767,L3766)</f>
        <v/>
      </c>
      <c r="M3767">
        <f>IF(G3767=1,0.2*R3767/E3767,M3766)</f>
        <v/>
      </c>
      <c r="N3767">
        <f>IF(G3767=1,0.2*R3767/F3767,N3766)</f>
        <v/>
      </c>
      <c r="O3767">
        <f>IF(G3767=1,R3767*(1-1.0),IF(H3766=0,1,O3766*(1+0.00023125256064071564)))</f>
        <v/>
      </c>
      <c r="P3767">
        <f>IF(G3767=1,IF(H3766=0,1,ABS(0.2-J3766*B3767/I3767)+ABS(0.2-K3766*C3767/I3767)+ABS(0.2-L3766*D3767/I3767)+ABS(0.2-M3766*E3767/I3767)+ABS(0.2-N3766*F3767/I3767)),0)</f>
        <v/>
      </c>
      <c r="Q3767">
        <f>P3767*0.0015</f>
        <v/>
      </c>
      <c r="R3767">
        <f>I3767*(1-Q3767)</f>
        <v/>
      </c>
      <c r="S3767">
        <f>R3767/R3766-1</f>
        <v/>
      </c>
      <c r="T3767">
        <f>MAX(T3766,R3767)</f>
        <v/>
      </c>
      <c r="U3767">
        <f>R3767/T3767-1</f>
        <v/>
      </c>
      <c r="V3767" t="n">
        <v>7.878921148834066</v>
      </c>
      <c r="W3767" s="5">
        <f>R3767-V3767</f>
        <v/>
      </c>
    </row>
    <row r="3768">
      <c r="A3768" s="3" t="n">
        <v>43994</v>
      </c>
      <c r="B3768">
        <f>Prices!B3768</f>
        <v/>
      </c>
      <c r="C3768">
        <f>Prices!C3768</f>
        <v/>
      </c>
      <c r="D3768">
        <f>Prices!D3768</f>
        <v/>
      </c>
      <c r="E3768">
        <f>Prices!E3768</f>
        <v/>
      </c>
      <c r="F3768">
        <f>Prices!F3768</f>
        <v/>
      </c>
      <c r="G3768">
        <f>IF(AND(3766&gt;=16,TEXT(A3768,"yyyy-mm")&lt;&gt;TEXT(A3769,"yyyy-mm")),1,0)</f>
        <v/>
      </c>
      <c r="H3768">
        <f>IF(OR(H3767=1,G3768=1),1,0)</f>
        <v/>
      </c>
      <c r="I3768">
        <f>IF(H3767=0,1,SUMPRODUCT(J3767:N3767,B3768:F3768)+O3767*(1+0.00023125256064071564))</f>
        <v/>
      </c>
      <c r="J3768">
        <f>IF(G3768=1,0.2*R3768/B3768,J3767)</f>
        <v/>
      </c>
      <c r="K3768">
        <f>IF(G3768=1,0.2*R3768/C3768,K3767)</f>
        <v/>
      </c>
      <c r="L3768">
        <f>IF(G3768=1,0.2*R3768/D3768,L3767)</f>
        <v/>
      </c>
      <c r="M3768">
        <f>IF(G3768=1,0.2*R3768/E3768,M3767)</f>
        <v/>
      </c>
      <c r="N3768">
        <f>IF(G3768=1,0.2*R3768/F3768,N3767)</f>
        <v/>
      </c>
      <c r="O3768">
        <f>IF(G3768=1,R3768*(1-1.0),IF(H3767=0,1,O3767*(1+0.00023125256064071564)))</f>
        <v/>
      </c>
      <c r="P3768">
        <f>IF(G3768=1,IF(H3767=0,1,ABS(0.2-J3767*B3768/I3768)+ABS(0.2-K3767*C3768/I3768)+ABS(0.2-L3767*D3768/I3768)+ABS(0.2-M3767*E3768/I3768)+ABS(0.2-N3767*F3768/I3768)),0)</f>
        <v/>
      </c>
      <c r="Q3768">
        <f>P3768*0.0015</f>
        <v/>
      </c>
      <c r="R3768">
        <f>I3768*(1-Q3768)</f>
        <v/>
      </c>
      <c r="S3768">
        <f>R3768/R3767-1</f>
        <v/>
      </c>
      <c r="T3768">
        <f>MAX(T3767,R3768)</f>
        <v/>
      </c>
      <c r="U3768">
        <f>R3768/T3768-1</f>
        <v/>
      </c>
      <c r="V3768" t="n">
        <v>7.928267870403963</v>
      </c>
      <c r="W3768" s="5">
        <f>R3768-V3768</f>
        <v/>
      </c>
    </row>
    <row r="3769">
      <c r="A3769" s="3" t="n">
        <v>43997</v>
      </c>
      <c r="B3769">
        <f>Prices!B3769</f>
        <v/>
      </c>
      <c r="C3769">
        <f>Prices!C3769</f>
        <v/>
      </c>
      <c r="D3769">
        <f>Prices!D3769</f>
        <v/>
      </c>
      <c r="E3769">
        <f>Prices!E3769</f>
        <v/>
      </c>
      <c r="F3769">
        <f>Prices!F3769</f>
        <v/>
      </c>
      <c r="G3769">
        <f>IF(AND(3767&gt;=16,TEXT(A3769,"yyyy-mm")&lt;&gt;TEXT(A3770,"yyyy-mm")),1,0)</f>
        <v/>
      </c>
      <c r="H3769">
        <f>IF(OR(H3768=1,G3769=1),1,0)</f>
        <v/>
      </c>
      <c r="I3769">
        <f>IF(H3768=0,1,SUMPRODUCT(J3768:N3768,B3769:F3769)+O3768*(1+0.00023125256064071564))</f>
        <v/>
      </c>
      <c r="J3769">
        <f>IF(G3769=1,0.2*R3769/B3769,J3768)</f>
        <v/>
      </c>
      <c r="K3769">
        <f>IF(G3769=1,0.2*R3769/C3769,K3768)</f>
        <v/>
      </c>
      <c r="L3769">
        <f>IF(G3769=1,0.2*R3769/D3769,L3768)</f>
        <v/>
      </c>
      <c r="M3769">
        <f>IF(G3769=1,0.2*R3769/E3769,M3768)</f>
        <v/>
      </c>
      <c r="N3769">
        <f>IF(G3769=1,0.2*R3769/F3769,N3768)</f>
        <v/>
      </c>
      <c r="O3769">
        <f>IF(G3769=1,R3769*(1-1.0),IF(H3768=0,1,O3768*(1+0.00023125256064071564)))</f>
        <v/>
      </c>
      <c r="P3769">
        <f>IF(G3769=1,IF(H3768=0,1,ABS(0.2-J3768*B3769/I3769)+ABS(0.2-K3768*C3769/I3769)+ABS(0.2-L3768*D3769/I3769)+ABS(0.2-M3768*E3769/I3769)+ABS(0.2-N3768*F3769/I3769)),0)</f>
        <v/>
      </c>
      <c r="Q3769">
        <f>P3769*0.0015</f>
        <v/>
      </c>
      <c r="R3769">
        <f>I3769*(1-Q3769)</f>
        <v/>
      </c>
      <c r="S3769">
        <f>R3769/R3768-1</f>
        <v/>
      </c>
      <c r="T3769">
        <f>MAX(T3768,R3769)</f>
        <v/>
      </c>
      <c r="U3769">
        <f>R3769/T3769-1</f>
        <v/>
      </c>
      <c r="V3769" t="n">
        <v>7.848053981921868</v>
      </c>
      <c r="W3769" s="5">
        <f>R3769-V3769</f>
        <v/>
      </c>
    </row>
    <row r="3770">
      <c r="A3770" s="3" t="n">
        <v>43998</v>
      </c>
      <c r="B3770">
        <f>Prices!B3770</f>
        <v/>
      </c>
      <c r="C3770">
        <f>Prices!C3770</f>
        <v/>
      </c>
      <c r="D3770">
        <f>Prices!D3770</f>
        <v/>
      </c>
      <c r="E3770">
        <f>Prices!E3770</f>
        <v/>
      </c>
      <c r="F3770">
        <f>Prices!F3770</f>
        <v/>
      </c>
      <c r="G3770">
        <f>IF(AND(3768&gt;=16,TEXT(A3770,"yyyy-mm")&lt;&gt;TEXT(A3771,"yyyy-mm")),1,0)</f>
        <v/>
      </c>
      <c r="H3770">
        <f>IF(OR(H3769=1,G3770=1),1,0)</f>
        <v/>
      </c>
      <c r="I3770">
        <f>IF(H3769=0,1,SUMPRODUCT(J3769:N3769,B3770:F3770)+O3769*(1+0.00023125256064071564))</f>
        <v/>
      </c>
      <c r="J3770">
        <f>IF(G3770=1,0.2*R3770/B3770,J3769)</f>
        <v/>
      </c>
      <c r="K3770">
        <f>IF(G3770=1,0.2*R3770/C3770,K3769)</f>
        <v/>
      </c>
      <c r="L3770">
        <f>IF(G3770=1,0.2*R3770/D3770,L3769)</f>
        <v/>
      </c>
      <c r="M3770">
        <f>IF(G3770=1,0.2*R3770/E3770,M3769)</f>
        <v/>
      </c>
      <c r="N3770">
        <f>IF(G3770=1,0.2*R3770/F3770,N3769)</f>
        <v/>
      </c>
      <c r="O3770">
        <f>IF(G3770=1,R3770*(1-1.0),IF(H3769=0,1,O3769*(1+0.00023125256064071564)))</f>
        <v/>
      </c>
      <c r="P3770">
        <f>IF(G3770=1,IF(H3769=0,1,ABS(0.2-J3769*B3770/I3770)+ABS(0.2-K3769*C3770/I3770)+ABS(0.2-L3769*D3770/I3770)+ABS(0.2-M3769*E3770/I3770)+ABS(0.2-N3769*F3770/I3770)),0)</f>
        <v/>
      </c>
      <c r="Q3770">
        <f>P3770*0.0015</f>
        <v/>
      </c>
      <c r="R3770">
        <f>I3770*(1-Q3770)</f>
        <v/>
      </c>
      <c r="S3770">
        <f>R3770/R3769-1</f>
        <v/>
      </c>
      <c r="T3770">
        <f>MAX(T3769,R3770)</f>
        <v/>
      </c>
      <c r="U3770">
        <f>R3770/T3770-1</f>
        <v/>
      </c>
      <c r="V3770" t="n">
        <v>7.881348164477915</v>
      </c>
      <c r="W3770" s="5">
        <f>R3770-V3770</f>
        <v/>
      </c>
    </row>
    <row r="3771">
      <c r="A3771" s="3" t="n">
        <v>43999</v>
      </c>
      <c r="B3771">
        <f>Prices!B3771</f>
        <v/>
      </c>
      <c r="C3771">
        <f>Prices!C3771</f>
        <v/>
      </c>
      <c r="D3771">
        <f>Prices!D3771</f>
        <v/>
      </c>
      <c r="E3771">
        <f>Prices!E3771</f>
        <v/>
      </c>
      <c r="F3771">
        <f>Prices!F3771</f>
        <v/>
      </c>
      <c r="G3771">
        <f>IF(AND(3769&gt;=16,TEXT(A3771,"yyyy-mm")&lt;&gt;TEXT(A3772,"yyyy-mm")),1,0)</f>
        <v/>
      </c>
      <c r="H3771">
        <f>IF(OR(H3770=1,G3771=1),1,0)</f>
        <v/>
      </c>
      <c r="I3771">
        <f>IF(H3770=0,1,SUMPRODUCT(J3770:N3770,B3771:F3771)+O3770*(1+0.00023125256064071564))</f>
        <v/>
      </c>
      <c r="J3771">
        <f>IF(G3771=1,0.2*R3771/B3771,J3770)</f>
        <v/>
      </c>
      <c r="K3771">
        <f>IF(G3771=1,0.2*R3771/C3771,K3770)</f>
        <v/>
      </c>
      <c r="L3771">
        <f>IF(G3771=1,0.2*R3771/D3771,L3770)</f>
        <v/>
      </c>
      <c r="M3771">
        <f>IF(G3771=1,0.2*R3771/E3771,M3770)</f>
        <v/>
      </c>
      <c r="N3771">
        <f>IF(G3771=1,0.2*R3771/F3771,N3770)</f>
        <v/>
      </c>
      <c r="O3771">
        <f>IF(G3771=1,R3771*(1-1.0),IF(H3770=0,1,O3770*(1+0.00023125256064071564)))</f>
        <v/>
      </c>
      <c r="P3771">
        <f>IF(G3771=1,IF(H3770=0,1,ABS(0.2-J3770*B3771/I3771)+ABS(0.2-K3770*C3771/I3771)+ABS(0.2-L3770*D3771/I3771)+ABS(0.2-M3770*E3771/I3771)+ABS(0.2-N3770*F3771/I3771)),0)</f>
        <v/>
      </c>
      <c r="Q3771">
        <f>P3771*0.0015</f>
        <v/>
      </c>
      <c r="R3771">
        <f>I3771*(1-Q3771)</f>
        <v/>
      </c>
      <c r="S3771">
        <f>R3771/R3770-1</f>
        <v/>
      </c>
      <c r="T3771">
        <f>MAX(T3770,R3771)</f>
        <v/>
      </c>
      <c r="U3771">
        <f>R3771/T3771-1</f>
        <v/>
      </c>
      <c r="V3771" t="n">
        <v>7.87001628565196</v>
      </c>
      <c r="W3771" s="5">
        <f>R3771-V3771</f>
        <v/>
      </c>
    </row>
    <row r="3772">
      <c r="A3772" s="3" t="n">
        <v>44000</v>
      </c>
      <c r="B3772">
        <f>Prices!B3772</f>
        <v/>
      </c>
      <c r="C3772">
        <f>Prices!C3772</f>
        <v/>
      </c>
      <c r="D3772">
        <f>Prices!D3772</f>
        <v/>
      </c>
      <c r="E3772">
        <f>Prices!E3772</f>
        <v/>
      </c>
      <c r="F3772">
        <f>Prices!F3772</f>
        <v/>
      </c>
      <c r="G3772">
        <f>IF(AND(3770&gt;=16,TEXT(A3772,"yyyy-mm")&lt;&gt;TEXT(A3773,"yyyy-mm")),1,0)</f>
        <v/>
      </c>
      <c r="H3772">
        <f>IF(OR(H3771=1,G3772=1),1,0)</f>
        <v/>
      </c>
      <c r="I3772">
        <f>IF(H3771=0,1,SUMPRODUCT(J3771:N3771,B3772:F3772)+O3771*(1+0.00023125256064071564))</f>
        <v/>
      </c>
      <c r="J3772">
        <f>IF(G3772=1,0.2*R3772/B3772,J3771)</f>
        <v/>
      </c>
      <c r="K3772">
        <f>IF(G3772=1,0.2*R3772/C3772,K3771)</f>
        <v/>
      </c>
      <c r="L3772">
        <f>IF(G3772=1,0.2*R3772/D3772,L3771)</f>
        <v/>
      </c>
      <c r="M3772">
        <f>IF(G3772=1,0.2*R3772/E3772,M3771)</f>
        <v/>
      </c>
      <c r="N3772">
        <f>IF(G3772=1,0.2*R3772/F3772,N3771)</f>
        <v/>
      </c>
      <c r="O3772">
        <f>IF(G3772=1,R3772*(1-1.0),IF(H3771=0,1,O3771*(1+0.00023125256064071564)))</f>
        <v/>
      </c>
      <c r="P3772">
        <f>IF(G3772=1,IF(H3771=0,1,ABS(0.2-J3771*B3772/I3772)+ABS(0.2-K3771*C3772/I3772)+ABS(0.2-L3771*D3772/I3772)+ABS(0.2-M3771*E3772/I3772)+ABS(0.2-N3771*F3772/I3772)),0)</f>
        <v/>
      </c>
      <c r="Q3772">
        <f>P3772*0.0015</f>
        <v/>
      </c>
      <c r="R3772">
        <f>I3772*(1-Q3772)</f>
        <v/>
      </c>
      <c r="S3772">
        <f>R3772/R3771-1</f>
        <v/>
      </c>
      <c r="T3772">
        <f>MAX(T3771,R3772)</f>
        <v/>
      </c>
      <c r="U3772">
        <f>R3772/T3772-1</f>
        <v/>
      </c>
      <c r="V3772" t="n">
        <v>7.98207520709083</v>
      </c>
      <c r="W3772" s="5">
        <f>R3772-V3772</f>
        <v/>
      </c>
    </row>
    <row r="3773">
      <c r="A3773" s="3" t="n">
        <v>44001</v>
      </c>
      <c r="B3773">
        <f>Prices!B3773</f>
        <v/>
      </c>
      <c r="C3773">
        <f>Prices!C3773</f>
        <v/>
      </c>
      <c r="D3773">
        <f>Prices!D3773</f>
        <v/>
      </c>
      <c r="E3773">
        <f>Prices!E3773</f>
        <v/>
      </c>
      <c r="F3773">
        <f>Prices!F3773</f>
        <v/>
      </c>
      <c r="G3773">
        <f>IF(AND(3771&gt;=16,TEXT(A3773,"yyyy-mm")&lt;&gt;TEXT(A3774,"yyyy-mm")),1,0)</f>
        <v/>
      </c>
      <c r="H3773">
        <f>IF(OR(H3772=1,G3773=1),1,0)</f>
        <v/>
      </c>
      <c r="I3773">
        <f>IF(H3772=0,1,SUMPRODUCT(J3772:N3772,B3773:F3773)+O3772*(1+0.00023125256064071564))</f>
        <v/>
      </c>
      <c r="J3773">
        <f>IF(G3773=1,0.2*R3773/B3773,J3772)</f>
        <v/>
      </c>
      <c r="K3773">
        <f>IF(G3773=1,0.2*R3773/C3773,K3772)</f>
        <v/>
      </c>
      <c r="L3773">
        <f>IF(G3773=1,0.2*R3773/D3773,L3772)</f>
        <v/>
      </c>
      <c r="M3773">
        <f>IF(G3773=1,0.2*R3773/E3773,M3772)</f>
        <v/>
      </c>
      <c r="N3773">
        <f>IF(G3773=1,0.2*R3773/F3773,N3772)</f>
        <v/>
      </c>
      <c r="O3773">
        <f>IF(G3773=1,R3773*(1-1.0),IF(H3772=0,1,O3772*(1+0.00023125256064071564)))</f>
        <v/>
      </c>
      <c r="P3773">
        <f>IF(G3773=1,IF(H3772=0,1,ABS(0.2-J3772*B3773/I3773)+ABS(0.2-K3772*C3773/I3773)+ABS(0.2-L3772*D3773/I3773)+ABS(0.2-M3772*E3773/I3773)+ABS(0.2-N3772*F3773/I3773)),0)</f>
        <v/>
      </c>
      <c r="Q3773">
        <f>P3773*0.0015</f>
        <v/>
      </c>
      <c r="R3773">
        <f>I3773*(1-Q3773)</f>
        <v/>
      </c>
      <c r="S3773">
        <f>R3773/R3772-1</f>
        <v/>
      </c>
      <c r="T3773">
        <f>MAX(T3772,R3773)</f>
        <v/>
      </c>
      <c r="U3773">
        <f>R3773/T3773-1</f>
        <v/>
      </c>
      <c r="V3773" t="n">
        <v>8.095051078046019</v>
      </c>
      <c r="W3773" s="5">
        <f>R3773-V3773</f>
        <v/>
      </c>
    </row>
    <row r="3774">
      <c r="A3774" s="3" t="n">
        <v>44004</v>
      </c>
      <c r="B3774">
        <f>Prices!B3774</f>
        <v/>
      </c>
      <c r="C3774">
        <f>Prices!C3774</f>
        <v/>
      </c>
      <c r="D3774">
        <f>Prices!D3774</f>
        <v/>
      </c>
      <c r="E3774">
        <f>Prices!E3774</f>
        <v/>
      </c>
      <c r="F3774">
        <f>Prices!F3774</f>
        <v/>
      </c>
      <c r="G3774">
        <f>IF(AND(3772&gt;=16,TEXT(A3774,"yyyy-mm")&lt;&gt;TEXT(A3775,"yyyy-mm")),1,0)</f>
        <v/>
      </c>
      <c r="H3774">
        <f>IF(OR(H3773=1,G3774=1),1,0)</f>
        <v/>
      </c>
      <c r="I3774">
        <f>IF(H3773=0,1,SUMPRODUCT(J3773:N3773,B3774:F3774)+O3773*(1+0.00023125256064071564))</f>
        <v/>
      </c>
      <c r="J3774">
        <f>IF(G3774=1,0.2*R3774/B3774,J3773)</f>
        <v/>
      </c>
      <c r="K3774">
        <f>IF(G3774=1,0.2*R3774/C3774,K3773)</f>
        <v/>
      </c>
      <c r="L3774">
        <f>IF(G3774=1,0.2*R3774/D3774,L3773)</f>
        <v/>
      </c>
      <c r="M3774">
        <f>IF(G3774=1,0.2*R3774/E3774,M3773)</f>
        <v/>
      </c>
      <c r="N3774">
        <f>IF(G3774=1,0.2*R3774/F3774,N3773)</f>
        <v/>
      </c>
      <c r="O3774">
        <f>IF(G3774=1,R3774*(1-1.0),IF(H3773=0,1,O3773*(1+0.00023125256064071564)))</f>
        <v/>
      </c>
      <c r="P3774">
        <f>IF(G3774=1,IF(H3773=0,1,ABS(0.2-J3773*B3774/I3774)+ABS(0.2-K3773*C3774/I3774)+ABS(0.2-L3773*D3774/I3774)+ABS(0.2-M3773*E3774/I3774)+ABS(0.2-N3773*F3774/I3774)),0)</f>
        <v/>
      </c>
      <c r="Q3774">
        <f>P3774*0.0015</f>
        <v/>
      </c>
      <c r="R3774">
        <f>I3774*(1-Q3774)</f>
        <v/>
      </c>
      <c r="S3774">
        <f>R3774/R3773-1</f>
        <v/>
      </c>
      <c r="T3774">
        <f>MAX(T3773,R3774)</f>
        <v/>
      </c>
      <c r="U3774">
        <f>R3774/T3774-1</f>
        <v/>
      </c>
      <c r="V3774" t="n">
        <v>8.251014544261711</v>
      </c>
      <c r="W3774" s="5">
        <f>R3774-V3774</f>
        <v/>
      </c>
    </row>
    <row r="3775">
      <c r="A3775" s="3" t="n">
        <v>44005</v>
      </c>
      <c r="B3775">
        <f>Prices!B3775</f>
        <v/>
      </c>
      <c r="C3775">
        <f>Prices!C3775</f>
        <v/>
      </c>
      <c r="D3775">
        <f>Prices!D3775</f>
        <v/>
      </c>
      <c r="E3775">
        <f>Prices!E3775</f>
        <v/>
      </c>
      <c r="F3775">
        <f>Prices!F3775</f>
        <v/>
      </c>
      <c r="G3775">
        <f>IF(AND(3773&gt;=16,TEXT(A3775,"yyyy-mm")&lt;&gt;TEXT(A3776,"yyyy-mm")),1,0)</f>
        <v/>
      </c>
      <c r="H3775">
        <f>IF(OR(H3774=1,G3775=1),1,0)</f>
        <v/>
      </c>
      <c r="I3775">
        <f>IF(H3774=0,1,SUMPRODUCT(J3774:N3774,B3775:F3775)+O3774*(1+0.00023125256064071564))</f>
        <v/>
      </c>
      <c r="J3775">
        <f>IF(G3775=1,0.2*R3775/B3775,J3774)</f>
        <v/>
      </c>
      <c r="K3775">
        <f>IF(G3775=1,0.2*R3775/C3775,K3774)</f>
        <v/>
      </c>
      <c r="L3775">
        <f>IF(G3775=1,0.2*R3775/D3775,L3774)</f>
        <v/>
      </c>
      <c r="M3775">
        <f>IF(G3775=1,0.2*R3775/E3775,M3774)</f>
        <v/>
      </c>
      <c r="N3775">
        <f>IF(G3775=1,0.2*R3775/F3775,N3774)</f>
        <v/>
      </c>
      <c r="O3775">
        <f>IF(G3775=1,R3775*(1-1.0),IF(H3774=0,1,O3774*(1+0.00023125256064071564)))</f>
        <v/>
      </c>
      <c r="P3775">
        <f>IF(G3775=1,IF(H3774=0,1,ABS(0.2-J3774*B3775/I3775)+ABS(0.2-K3774*C3775/I3775)+ABS(0.2-L3774*D3775/I3775)+ABS(0.2-M3774*E3775/I3775)+ABS(0.2-N3774*F3775/I3775)),0)</f>
        <v/>
      </c>
      <c r="Q3775">
        <f>P3775*0.0015</f>
        <v/>
      </c>
      <c r="R3775">
        <f>I3775*(1-Q3775)</f>
        <v/>
      </c>
      <c r="S3775">
        <f>R3775/R3774-1</f>
        <v/>
      </c>
      <c r="T3775">
        <f>MAX(T3774,R3775)</f>
        <v/>
      </c>
      <c r="U3775">
        <f>R3775/T3775-1</f>
        <v/>
      </c>
      <c r="V3775" t="n">
        <v>8.405882629158906</v>
      </c>
      <c r="W3775" s="5">
        <f>R3775-V3775</f>
        <v/>
      </c>
    </row>
    <row r="3776">
      <c r="A3776" s="3" t="n">
        <v>44006</v>
      </c>
      <c r="B3776">
        <f>Prices!B3776</f>
        <v/>
      </c>
      <c r="C3776">
        <f>Prices!C3776</f>
        <v/>
      </c>
      <c r="D3776">
        <f>Prices!D3776</f>
        <v/>
      </c>
      <c r="E3776">
        <f>Prices!E3776</f>
        <v/>
      </c>
      <c r="F3776">
        <f>Prices!F3776</f>
        <v/>
      </c>
      <c r="G3776">
        <f>IF(AND(3774&gt;=16,TEXT(A3776,"yyyy-mm")&lt;&gt;TEXT(A3777,"yyyy-mm")),1,0)</f>
        <v/>
      </c>
      <c r="H3776">
        <f>IF(OR(H3775=1,G3776=1),1,0)</f>
        <v/>
      </c>
      <c r="I3776">
        <f>IF(H3775=0,1,SUMPRODUCT(J3775:N3775,B3776:F3776)+O3775*(1+0.00023125256064071564))</f>
        <v/>
      </c>
      <c r="J3776">
        <f>IF(G3776=1,0.2*R3776/B3776,J3775)</f>
        <v/>
      </c>
      <c r="K3776">
        <f>IF(G3776=1,0.2*R3776/C3776,K3775)</f>
        <v/>
      </c>
      <c r="L3776">
        <f>IF(G3776=1,0.2*R3776/D3776,L3775)</f>
        <v/>
      </c>
      <c r="M3776">
        <f>IF(G3776=1,0.2*R3776/E3776,M3775)</f>
        <v/>
      </c>
      <c r="N3776">
        <f>IF(G3776=1,0.2*R3776/F3776,N3775)</f>
        <v/>
      </c>
      <c r="O3776">
        <f>IF(G3776=1,R3776*(1-1.0),IF(H3775=0,1,O3775*(1+0.00023125256064071564)))</f>
        <v/>
      </c>
      <c r="P3776">
        <f>IF(G3776=1,IF(H3775=0,1,ABS(0.2-J3775*B3776/I3776)+ABS(0.2-K3775*C3776/I3776)+ABS(0.2-L3775*D3776/I3776)+ABS(0.2-M3775*E3776/I3776)+ABS(0.2-N3775*F3776/I3776)),0)</f>
        <v/>
      </c>
      <c r="Q3776">
        <f>P3776*0.0015</f>
        <v/>
      </c>
      <c r="R3776">
        <f>I3776*(1-Q3776)</f>
        <v/>
      </c>
      <c r="S3776">
        <f>R3776/R3775-1</f>
        <v/>
      </c>
      <c r="T3776">
        <f>MAX(T3775,R3776)</f>
        <v/>
      </c>
      <c r="U3776">
        <f>R3776/T3776-1</f>
        <v/>
      </c>
      <c r="V3776" t="n">
        <v>8.279401073422472</v>
      </c>
      <c r="W3776" s="5">
        <f>R3776-V3776</f>
        <v/>
      </c>
    </row>
    <row r="3777">
      <c r="A3777" s="3" t="n">
        <v>44007</v>
      </c>
      <c r="B3777">
        <f>Prices!B3777</f>
        <v/>
      </c>
      <c r="C3777">
        <f>Prices!C3777</f>
        <v/>
      </c>
      <c r="D3777">
        <f>Prices!D3777</f>
        <v/>
      </c>
      <c r="E3777">
        <f>Prices!E3777</f>
        <v/>
      </c>
      <c r="F3777">
        <f>Prices!F3777</f>
        <v/>
      </c>
      <c r="G3777">
        <f>IF(AND(3775&gt;=16,TEXT(A3777,"yyyy-mm")&lt;&gt;TEXT(A3778,"yyyy-mm")),1,0)</f>
        <v/>
      </c>
      <c r="H3777">
        <f>IF(OR(H3776=1,G3777=1),1,0)</f>
        <v/>
      </c>
      <c r="I3777">
        <f>IF(H3776=0,1,SUMPRODUCT(J3776:N3776,B3777:F3777)+O3776*(1+0.00023125256064071564))</f>
        <v/>
      </c>
      <c r="J3777">
        <f>IF(G3777=1,0.2*R3777/B3777,J3776)</f>
        <v/>
      </c>
      <c r="K3777">
        <f>IF(G3777=1,0.2*R3777/C3777,K3776)</f>
        <v/>
      </c>
      <c r="L3777">
        <f>IF(G3777=1,0.2*R3777/D3777,L3776)</f>
        <v/>
      </c>
      <c r="M3777">
        <f>IF(G3777=1,0.2*R3777/E3777,M3776)</f>
        <v/>
      </c>
      <c r="N3777">
        <f>IF(G3777=1,0.2*R3777/F3777,N3776)</f>
        <v/>
      </c>
      <c r="O3777">
        <f>IF(G3777=1,R3777*(1-1.0),IF(H3776=0,1,O3776*(1+0.00023125256064071564)))</f>
        <v/>
      </c>
      <c r="P3777">
        <f>IF(G3777=1,IF(H3776=0,1,ABS(0.2-J3776*B3777/I3777)+ABS(0.2-K3776*C3777/I3777)+ABS(0.2-L3776*D3777/I3777)+ABS(0.2-M3776*E3777/I3777)+ABS(0.2-N3776*F3777/I3777)),0)</f>
        <v/>
      </c>
      <c r="Q3777">
        <f>P3777*0.0015</f>
        <v/>
      </c>
      <c r="R3777">
        <f>I3777*(1-Q3777)</f>
        <v/>
      </c>
      <c r="S3777">
        <f>R3777/R3776-1</f>
        <v/>
      </c>
      <c r="T3777">
        <f>MAX(T3776,R3777)</f>
        <v/>
      </c>
      <c r="U3777">
        <f>R3777/T3777-1</f>
        <v/>
      </c>
      <c r="V3777" t="n">
        <v>8.29286605106909</v>
      </c>
      <c r="W3777" s="5">
        <f>R3777-V3777</f>
        <v/>
      </c>
    </row>
    <row r="3778">
      <c r="A3778" s="3" t="n">
        <v>44008</v>
      </c>
      <c r="B3778">
        <f>Prices!B3778</f>
        <v/>
      </c>
      <c r="C3778">
        <f>Prices!C3778</f>
        <v/>
      </c>
      <c r="D3778">
        <f>Prices!D3778</f>
        <v/>
      </c>
      <c r="E3778">
        <f>Prices!E3778</f>
        <v/>
      </c>
      <c r="F3778">
        <f>Prices!F3778</f>
        <v/>
      </c>
      <c r="G3778">
        <f>IF(AND(3776&gt;=16,TEXT(A3778,"yyyy-mm")&lt;&gt;TEXT(A3779,"yyyy-mm")),1,0)</f>
        <v/>
      </c>
      <c r="H3778">
        <f>IF(OR(H3777=1,G3778=1),1,0)</f>
        <v/>
      </c>
      <c r="I3778">
        <f>IF(H3777=0,1,SUMPRODUCT(J3777:N3777,B3778:F3778)+O3777*(1+0.00023125256064071564))</f>
        <v/>
      </c>
      <c r="J3778">
        <f>IF(G3778=1,0.2*R3778/B3778,J3777)</f>
        <v/>
      </c>
      <c r="K3778">
        <f>IF(G3778=1,0.2*R3778/C3778,K3777)</f>
        <v/>
      </c>
      <c r="L3778">
        <f>IF(G3778=1,0.2*R3778/D3778,L3777)</f>
        <v/>
      </c>
      <c r="M3778">
        <f>IF(G3778=1,0.2*R3778/E3778,M3777)</f>
        <v/>
      </c>
      <c r="N3778">
        <f>IF(G3778=1,0.2*R3778/F3778,N3777)</f>
        <v/>
      </c>
      <c r="O3778">
        <f>IF(G3778=1,R3778*(1-1.0),IF(H3777=0,1,O3777*(1+0.00023125256064071564)))</f>
        <v/>
      </c>
      <c r="P3778">
        <f>IF(G3778=1,IF(H3777=0,1,ABS(0.2-J3777*B3778/I3778)+ABS(0.2-K3777*C3778/I3778)+ABS(0.2-L3777*D3778/I3778)+ABS(0.2-M3777*E3778/I3778)+ABS(0.2-N3777*F3778/I3778)),0)</f>
        <v/>
      </c>
      <c r="Q3778">
        <f>P3778*0.0015</f>
        <v/>
      </c>
      <c r="R3778">
        <f>I3778*(1-Q3778)</f>
        <v/>
      </c>
      <c r="S3778">
        <f>R3778/R3777-1</f>
        <v/>
      </c>
      <c r="T3778">
        <f>MAX(T3777,R3778)</f>
        <v/>
      </c>
      <c r="U3778">
        <f>R3778/T3778-1</f>
        <v/>
      </c>
      <c r="V3778" t="n">
        <v>8.317961990377068</v>
      </c>
      <c r="W3778" s="5">
        <f>R3778-V3778</f>
        <v/>
      </c>
    </row>
    <row r="3779">
      <c r="A3779" s="3" t="n">
        <v>44011</v>
      </c>
      <c r="B3779">
        <f>Prices!B3779</f>
        <v/>
      </c>
      <c r="C3779">
        <f>Prices!C3779</f>
        <v/>
      </c>
      <c r="D3779">
        <f>Prices!D3779</f>
        <v/>
      </c>
      <c r="E3779">
        <f>Prices!E3779</f>
        <v/>
      </c>
      <c r="F3779">
        <f>Prices!F3779</f>
        <v/>
      </c>
      <c r="G3779">
        <f>IF(AND(3777&gt;=16,TEXT(A3779,"yyyy-mm")&lt;&gt;TEXT(A3780,"yyyy-mm")),1,0)</f>
        <v/>
      </c>
      <c r="H3779">
        <f>IF(OR(H3778=1,G3779=1),1,0)</f>
        <v/>
      </c>
      <c r="I3779">
        <f>IF(H3778=0,1,SUMPRODUCT(J3778:N3778,B3779:F3779)+O3778*(1+0.00023125256064071564))</f>
        <v/>
      </c>
      <c r="J3779">
        <f>IF(G3779=1,0.2*R3779/B3779,J3778)</f>
        <v/>
      </c>
      <c r="K3779">
        <f>IF(G3779=1,0.2*R3779/C3779,K3778)</f>
        <v/>
      </c>
      <c r="L3779">
        <f>IF(G3779=1,0.2*R3779/D3779,L3778)</f>
        <v/>
      </c>
      <c r="M3779">
        <f>IF(G3779=1,0.2*R3779/E3779,M3778)</f>
        <v/>
      </c>
      <c r="N3779">
        <f>IF(G3779=1,0.2*R3779/F3779,N3778)</f>
        <v/>
      </c>
      <c r="O3779">
        <f>IF(G3779=1,R3779*(1-1.0),IF(H3778=0,1,O3778*(1+0.00023125256064071564)))</f>
        <v/>
      </c>
      <c r="P3779">
        <f>IF(G3779=1,IF(H3778=0,1,ABS(0.2-J3778*B3779/I3779)+ABS(0.2-K3778*C3779/I3779)+ABS(0.2-L3778*D3779/I3779)+ABS(0.2-M3778*E3779/I3779)+ABS(0.2-N3778*F3779/I3779)),0)</f>
        <v/>
      </c>
      <c r="Q3779">
        <f>P3779*0.0015</f>
        <v/>
      </c>
      <c r="R3779">
        <f>I3779*(1-Q3779)</f>
        <v/>
      </c>
      <c r="S3779">
        <f>R3779/R3778-1</f>
        <v/>
      </c>
      <c r="T3779">
        <f>MAX(T3778,R3779)</f>
        <v/>
      </c>
      <c r="U3779">
        <f>R3779/T3779-1</f>
        <v/>
      </c>
      <c r="V3779" t="n">
        <v>8.238445350175475</v>
      </c>
      <c r="W3779" s="5">
        <f>R3779-V3779</f>
        <v/>
      </c>
    </row>
    <row r="3780">
      <c r="A3780" s="3" t="n">
        <v>44012</v>
      </c>
      <c r="B3780">
        <f>Prices!B3780</f>
        <v/>
      </c>
      <c r="C3780">
        <f>Prices!C3780</f>
        <v/>
      </c>
      <c r="D3780">
        <f>Prices!D3780</f>
        <v/>
      </c>
      <c r="E3780">
        <f>Prices!E3780</f>
        <v/>
      </c>
      <c r="F3780">
        <f>Prices!F3780</f>
        <v/>
      </c>
      <c r="G3780">
        <f>IF(AND(3778&gt;=16,TEXT(A3780,"yyyy-mm")&lt;&gt;TEXT(A3781,"yyyy-mm")),1,0)</f>
        <v/>
      </c>
      <c r="H3780">
        <f>IF(OR(H3779=1,G3780=1),1,0)</f>
        <v/>
      </c>
      <c r="I3780">
        <f>IF(H3779=0,1,SUMPRODUCT(J3779:N3779,B3780:F3780)+O3779*(1+0.00023125256064071564))</f>
        <v/>
      </c>
      <c r="J3780">
        <f>IF(G3780=1,0.2*R3780/B3780,J3779)</f>
        <v/>
      </c>
      <c r="K3780">
        <f>IF(G3780=1,0.2*R3780/C3780,K3779)</f>
        <v/>
      </c>
      <c r="L3780">
        <f>IF(G3780=1,0.2*R3780/D3780,L3779)</f>
        <v/>
      </c>
      <c r="M3780">
        <f>IF(G3780=1,0.2*R3780/E3780,M3779)</f>
        <v/>
      </c>
      <c r="N3780">
        <f>IF(G3780=1,0.2*R3780/F3780,N3779)</f>
        <v/>
      </c>
      <c r="O3780">
        <f>IF(G3780=1,R3780*(1-1.0),IF(H3779=0,1,O3779*(1+0.00023125256064071564)))</f>
        <v/>
      </c>
      <c r="P3780">
        <f>IF(G3780=1,IF(H3779=0,1,ABS(0.2-J3779*B3780/I3780)+ABS(0.2-K3779*C3780/I3780)+ABS(0.2-L3779*D3780/I3780)+ABS(0.2-M3779*E3780/I3780)+ABS(0.2-N3779*F3780/I3780)),0)</f>
        <v/>
      </c>
      <c r="Q3780">
        <f>P3780*0.0015</f>
        <v/>
      </c>
      <c r="R3780">
        <f>I3780*(1-Q3780)</f>
        <v/>
      </c>
      <c r="S3780">
        <f>R3780/R3779-1</f>
        <v/>
      </c>
      <c r="T3780">
        <f>MAX(T3779,R3780)</f>
        <v/>
      </c>
      <c r="U3780">
        <f>R3780/T3780-1</f>
        <v/>
      </c>
      <c r="V3780" t="n">
        <v>8.21510699058177</v>
      </c>
      <c r="W3780" s="5">
        <f>R3780-V3780</f>
        <v/>
      </c>
    </row>
    <row r="3781">
      <c r="A3781" s="3" t="n">
        <v>44013</v>
      </c>
      <c r="B3781">
        <f>Prices!B3781</f>
        <v/>
      </c>
      <c r="C3781">
        <f>Prices!C3781</f>
        <v/>
      </c>
      <c r="D3781">
        <f>Prices!D3781</f>
        <v/>
      </c>
      <c r="E3781">
        <f>Prices!E3781</f>
        <v/>
      </c>
      <c r="F3781">
        <f>Prices!F3781</f>
        <v/>
      </c>
      <c r="G3781">
        <f>IF(AND(3779&gt;=16,TEXT(A3781,"yyyy-mm")&lt;&gt;TEXT(A3782,"yyyy-mm")),1,0)</f>
        <v/>
      </c>
      <c r="H3781">
        <f>IF(OR(H3780=1,G3781=1),1,0)</f>
        <v/>
      </c>
      <c r="I3781">
        <f>IF(H3780=0,1,SUMPRODUCT(J3780:N3780,B3781:F3781)+O3780*(1+0.00023125256064071564))</f>
        <v/>
      </c>
      <c r="J3781">
        <f>IF(G3781=1,0.2*R3781/B3781,J3780)</f>
        <v/>
      </c>
      <c r="K3781">
        <f>IF(G3781=1,0.2*R3781/C3781,K3780)</f>
        <v/>
      </c>
      <c r="L3781">
        <f>IF(G3781=1,0.2*R3781/D3781,L3780)</f>
        <v/>
      </c>
      <c r="M3781">
        <f>IF(G3781=1,0.2*R3781/E3781,M3780)</f>
        <v/>
      </c>
      <c r="N3781">
        <f>IF(G3781=1,0.2*R3781/F3781,N3780)</f>
        <v/>
      </c>
      <c r="O3781">
        <f>IF(G3781=1,R3781*(1-1.0),IF(H3780=0,1,O3780*(1+0.00023125256064071564)))</f>
        <v/>
      </c>
      <c r="P3781">
        <f>IF(G3781=1,IF(H3780=0,1,ABS(0.2-J3780*B3781/I3781)+ABS(0.2-K3780*C3781/I3781)+ABS(0.2-L3780*D3781/I3781)+ABS(0.2-M3780*E3781/I3781)+ABS(0.2-N3780*F3781/I3781)),0)</f>
        <v/>
      </c>
      <c r="Q3781">
        <f>P3781*0.0015</f>
        <v/>
      </c>
      <c r="R3781">
        <f>I3781*(1-Q3781)</f>
        <v/>
      </c>
      <c r="S3781">
        <f>R3781/R3780-1</f>
        <v/>
      </c>
      <c r="T3781">
        <f>MAX(T3780,R3781)</f>
        <v/>
      </c>
      <c r="U3781">
        <f>R3781/T3781-1</f>
        <v/>
      </c>
      <c r="V3781" t="n">
        <v>8.221719105512943</v>
      </c>
      <c r="W3781" s="5">
        <f>R3781-V3781</f>
        <v/>
      </c>
    </row>
    <row r="3782">
      <c r="A3782" s="3" t="n">
        <v>44014</v>
      </c>
      <c r="B3782">
        <f>Prices!B3782</f>
        <v/>
      </c>
      <c r="C3782">
        <f>Prices!C3782</f>
        <v/>
      </c>
      <c r="D3782">
        <f>Prices!D3782</f>
        <v/>
      </c>
      <c r="E3782">
        <f>Prices!E3782</f>
        <v/>
      </c>
      <c r="F3782">
        <f>Prices!F3782</f>
        <v/>
      </c>
      <c r="G3782">
        <f>IF(AND(3780&gt;=16,TEXT(A3782,"yyyy-mm")&lt;&gt;TEXT(A3783,"yyyy-mm")),1,0)</f>
        <v/>
      </c>
      <c r="H3782">
        <f>IF(OR(H3781=1,G3782=1),1,0)</f>
        <v/>
      </c>
      <c r="I3782">
        <f>IF(H3781=0,1,SUMPRODUCT(J3781:N3781,B3782:F3782)+O3781*(1+0.00023125256064071564))</f>
        <v/>
      </c>
      <c r="J3782">
        <f>IF(G3782=1,0.2*R3782/B3782,J3781)</f>
        <v/>
      </c>
      <c r="K3782">
        <f>IF(G3782=1,0.2*R3782/C3782,K3781)</f>
        <v/>
      </c>
      <c r="L3782">
        <f>IF(G3782=1,0.2*R3782/D3782,L3781)</f>
        <v/>
      </c>
      <c r="M3782">
        <f>IF(G3782=1,0.2*R3782/E3782,M3781)</f>
        <v/>
      </c>
      <c r="N3782">
        <f>IF(G3782=1,0.2*R3782/F3782,N3781)</f>
        <v/>
      </c>
      <c r="O3782">
        <f>IF(G3782=1,R3782*(1-1.0),IF(H3781=0,1,O3781*(1+0.00023125256064071564)))</f>
        <v/>
      </c>
      <c r="P3782">
        <f>IF(G3782=1,IF(H3781=0,1,ABS(0.2-J3781*B3782/I3782)+ABS(0.2-K3781*C3782/I3782)+ABS(0.2-L3781*D3782/I3782)+ABS(0.2-M3781*E3782/I3782)+ABS(0.2-N3781*F3782/I3782)),0)</f>
        <v/>
      </c>
      <c r="Q3782">
        <f>P3782*0.0015</f>
        <v/>
      </c>
      <c r="R3782">
        <f>I3782*(1-Q3782)</f>
        <v/>
      </c>
      <c r="S3782">
        <f>R3782/R3781-1</f>
        <v/>
      </c>
      <c r="T3782">
        <f>MAX(T3781,R3782)</f>
        <v/>
      </c>
      <c r="U3782">
        <f>R3782/T3782-1</f>
        <v/>
      </c>
      <c r="V3782" t="n">
        <v>8.289335042452384</v>
      </c>
      <c r="W3782" s="5">
        <f>R3782-V3782</f>
        <v/>
      </c>
    </row>
    <row r="3783">
      <c r="A3783" s="3" t="n">
        <v>44015</v>
      </c>
      <c r="B3783">
        <f>Prices!B3783</f>
        <v/>
      </c>
      <c r="C3783">
        <f>Prices!C3783</f>
        <v/>
      </c>
      <c r="D3783">
        <f>Prices!D3783</f>
        <v/>
      </c>
      <c r="E3783">
        <f>Prices!E3783</f>
        <v/>
      </c>
      <c r="F3783">
        <f>Prices!F3783</f>
        <v/>
      </c>
      <c r="G3783">
        <f>IF(AND(3781&gt;=16,TEXT(A3783,"yyyy-mm")&lt;&gt;TEXT(A3784,"yyyy-mm")),1,0)</f>
        <v/>
      </c>
      <c r="H3783">
        <f>IF(OR(H3782=1,G3783=1),1,0)</f>
        <v/>
      </c>
      <c r="I3783">
        <f>IF(H3782=0,1,SUMPRODUCT(J3782:N3782,B3783:F3783)+O3782*(1+0.00023125256064071564))</f>
        <v/>
      </c>
      <c r="J3783">
        <f>IF(G3783=1,0.2*R3783/B3783,J3782)</f>
        <v/>
      </c>
      <c r="K3783">
        <f>IF(G3783=1,0.2*R3783/C3783,K3782)</f>
        <v/>
      </c>
      <c r="L3783">
        <f>IF(G3783=1,0.2*R3783/D3783,L3782)</f>
        <v/>
      </c>
      <c r="M3783">
        <f>IF(G3783=1,0.2*R3783/E3783,M3782)</f>
        <v/>
      </c>
      <c r="N3783">
        <f>IF(G3783=1,0.2*R3783/F3783,N3782)</f>
        <v/>
      </c>
      <c r="O3783">
        <f>IF(G3783=1,R3783*(1-1.0),IF(H3782=0,1,O3782*(1+0.00023125256064071564)))</f>
        <v/>
      </c>
      <c r="P3783">
        <f>IF(G3783=1,IF(H3782=0,1,ABS(0.2-J3782*B3783/I3783)+ABS(0.2-K3782*C3783/I3783)+ABS(0.2-L3782*D3783/I3783)+ABS(0.2-M3782*E3783/I3783)+ABS(0.2-N3782*F3783/I3783)),0)</f>
        <v/>
      </c>
      <c r="Q3783">
        <f>P3783*0.0015</f>
        <v/>
      </c>
      <c r="R3783">
        <f>I3783*(1-Q3783)</f>
        <v/>
      </c>
      <c r="S3783">
        <f>R3783/R3782-1</f>
        <v/>
      </c>
      <c r="T3783">
        <f>MAX(T3782,R3783)</f>
        <v/>
      </c>
      <c r="U3783">
        <f>R3783/T3783-1</f>
        <v/>
      </c>
      <c r="V3783" t="n">
        <v>8.345516979361882</v>
      </c>
      <c r="W3783" s="5">
        <f>R3783-V3783</f>
        <v/>
      </c>
    </row>
    <row r="3784">
      <c r="A3784" s="3" t="n">
        <v>44018</v>
      </c>
      <c r="B3784">
        <f>Prices!B3784</f>
        <v/>
      </c>
      <c r="C3784">
        <f>Prices!C3784</f>
        <v/>
      </c>
      <c r="D3784">
        <f>Prices!D3784</f>
        <v/>
      </c>
      <c r="E3784">
        <f>Prices!E3784</f>
        <v/>
      </c>
      <c r="F3784">
        <f>Prices!F3784</f>
        <v/>
      </c>
      <c r="G3784">
        <f>IF(AND(3782&gt;=16,TEXT(A3784,"yyyy-mm")&lt;&gt;TEXT(A3785,"yyyy-mm")),1,0)</f>
        <v/>
      </c>
      <c r="H3784">
        <f>IF(OR(H3783=1,G3784=1),1,0)</f>
        <v/>
      </c>
      <c r="I3784">
        <f>IF(H3783=0,1,SUMPRODUCT(J3783:N3783,B3784:F3784)+O3783*(1+0.00023125256064071564))</f>
        <v/>
      </c>
      <c r="J3784">
        <f>IF(G3784=1,0.2*R3784/B3784,J3783)</f>
        <v/>
      </c>
      <c r="K3784">
        <f>IF(G3784=1,0.2*R3784/C3784,K3783)</f>
        <v/>
      </c>
      <c r="L3784">
        <f>IF(G3784=1,0.2*R3784/D3784,L3783)</f>
        <v/>
      </c>
      <c r="M3784">
        <f>IF(G3784=1,0.2*R3784/E3784,M3783)</f>
        <v/>
      </c>
      <c r="N3784">
        <f>IF(G3784=1,0.2*R3784/F3784,N3783)</f>
        <v/>
      </c>
      <c r="O3784">
        <f>IF(G3784=1,R3784*(1-1.0),IF(H3783=0,1,O3783*(1+0.00023125256064071564)))</f>
        <v/>
      </c>
      <c r="P3784">
        <f>IF(G3784=1,IF(H3783=0,1,ABS(0.2-J3783*B3784/I3784)+ABS(0.2-K3783*C3784/I3784)+ABS(0.2-L3783*D3784/I3784)+ABS(0.2-M3783*E3784/I3784)+ABS(0.2-N3783*F3784/I3784)),0)</f>
        <v/>
      </c>
      <c r="Q3784">
        <f>P3784*0.0015</f>
        <v/>
      </c>
      <c r="R3784">
        <f>I3784*(1-Q3784)</f>
        <v/>
      </c>
      <c r="S3784">
        <f>R3784/R3783-1</f>
        <v/>
      </c>
      <c r="T3784">
        <f>MAX(T3783,R3784)</f>
        <v/>
      </c>
      <c r="U3784">
        <f>R3784/T3784-1</f>
        <v/>
      </c>
      <c r="V3784" t="n">
        <v>8.428566463417523</v>
      </c>
      <c r="W3784" s="5">
        <f>R3784-V3784</f>
        <v/>
      </c>
    </row>
    <row r="3785">
      <c r="A3785" s="3" t="n">
        <v>44019</v>
      </c>
      <c r="B3785">
        <f>Prices!B3785</f>
        <v/>
      </c>
      <c r="C3785">
        <f>Prices!C3785</f>
        <v/>
      </c>
      <c r="D3785">
        <f>Prices!D3785</f>
        <v/>
      </c>
      <c r="E3785">
        <f>Prices!E3785</f>
        <v/>
      </c>
      <c r="F3785">
        <f>Prices!F3785</f>
        <v/>
      </c>
      <c r="G3785">
        <f>IF(AND(3783&gt;=16,TEXT(A3785,"yyyy-mm")&lt;&gt;TEXT(A3786,"yyyy-mm")),1,0)</f>
        <v/>
      </c>
      <c r="H3785">
        <f>IF(OR(H3784=1,G3785=1),1,0)</f>
        <v/>
      </c>
      <c r="I3785">
        <f>IF(H3784=0,1,SUMPRODUCT(J3784:N3784,B3785:F3785)+O3784*(1+0.00023125256064071564))</f>
        <v/>
      </c>
      <c r="J3785">
        <f>IF(G3785=1,0.2*R3785/B3785,J3784)</f>
        <v/>
      </c>
      <c r="K3785">
        <f>IF(G3785=1,0.2*R3785/C3785,K3784)</f>
        <v/>
      </c>
      <c r="L3785">
        <f>IF(G3785=1,0.2*R3785/D3785,L3784)</f>
        <v/>
      </c>
      <c r="M3785">
        <f>IF(G3785=1,0.2*R3785/E3785,M3784)</f>
        <v/>
      </c>
      <c r="N3785">
        <f>IF(G3785=1,0.2*R3785/F3785,N3784)</f>
        <v/>
      </c>
      <c r="O3785">
        <f>IF(G3785=1,R3785*(1-1.0),IF(H3784=0,1,O3784*(1+0.00023125256064071564)))</f>
        <v/>
      </c>
      <c r="P3785">
        <f>IF(G3785=1,IF(H3784=0,1,ABS(0.2-J3784*B3785/I3785)+ABS(0.2-K3784*C3785/I3785)+ABS(0.2-L3784*D3785/I3785)+ABS(0.2-M3784*E3785/I3785)+ABS(0.2-N3784*F3785/I3785)),0)</f>
        <v/>
      </c>
      <c r="Q3785">
        <f>P3785*0.0015</f>
        <v/>
      </c>
      <c r="R3785">
        <f>I3785*(1-Q3785)</f>
        <v/>
      </c>
      <c r="S3785">
        <f>R3785/R3784-1</f>
        <v/>
      </c>
      <c r="T3785">
        <f>MAX(T3784,R3785)</f>
        <v/>
      </c>
      <c r="U3785">
        <f>R3785/T3785-1</f>
        <v/>
      </c>
      <c r="V3785" t="n">
        <v>8.431641381674192</v>
      </c>
      <c r="W3785" s="5">
        <f>R3785-V3785</f>
        <v/>
      </c>
    </row>
    <row r="3786">
      <c r="A3786" s="3" t="n">
        <v>44020</v>
      </c>
      <c r="B3786">
        <f>Prices!B3786</f>
        <v/>
      </c>
      <c r="C3786">
        <f>Prices!C3786</f>
        <v/>
      </c>
      <c r="D3786">
        <f>Prices!D3786</f>
        <v/>
      </c>
      <c r="E3786">
        <f>Prices!E3786</f>
        <v/>
      </c>
      <c r="F3786">
        <f>Prices!F3786</f>
        <v/>
      </c>
      <c r="G3786">
        <f>IF(AND(3784&gt;=16,TEXT(A3786,"yyyy-mm")&lt;&gt;TEXT(A3787,"yyyy-mm")),1,0)</f>
        <v/>
      </c>
      <c r="H3786">
        <f>IF(OR(H3785=1,G3786=1),1,0)</f>
        <v/>
      </c>
      <c r="I3786">
        <f>IF(H3785=0,1,SUMPRODUCT(J3785:N3785,B3786:F3786)+O3785*(1+0.00023125256064071564))</f>
        <v/>
      </c>
      <c r="J3786">
        <f>IF(G3786=1,0.2*R3786/B3786,J3785)</f>
        <v/>
      </c>
      <c r="K3786">
        <f>IF(G3786=1,0.2*R3786/C3786,K3785)</f>
        <v/>
      </c>
      <c r="L3786">
        <f>IF(G3786=1,0.2*R3786/D3786,L3785)</f>
        <v/>
      </c>
      <c r="M3786">
        <f>IF(G3786=1,0.2*R3786/E3786,M3785)</f>
        <v/>
      </c>
      <c r="N3786">
        <f>IF(G3786=1,0.2*R3786/F3786,N3785)</f>
        <v/>
      </c>
      <c r="O3786">
        <f>IF(G3786=1,R3786*(1-1.0),IF(H3785=0,1,O3785*(1+0.00023125256064071564)))</f>
        <v/>
      </c>
      <c r="P3786">
        <f>IF(G3786=1,IF(H3785=0,1,ABS(0.2-J3785*B3786/I3786)+ABS(0.2-K3785*C3786/I3786)+ABS(0.2-L3785*D3786/I3786)+ABS(0.2-M3785*E3786/I3786)+ABS(0.2-N3785*F3786/I3786)),0)</f>
        <v/>
      </c>
      <c r="Q3786">
        <f>P3786*0.0015</f>
        <v/>
      </c>
      <c r="R3786">
        <f>I3786*(1-Q3786)</f>
        <v/>
      </c>
      <c r="S3786">
        <f>R3786/R3785-1</f>
        <v/>
      </c>
      <c r="T3786">
        <f>MAX(T3785,R3786)</f>
        <v/>
      </c>
      <c r="U3786">
        <f>R3786/T3786-1</f>
        <v/>
      </c>
      <c r="V3786" t="n">
        <v>8.393244005575264</v>
      </c>
      <c r="W3786" s="5">
        <f>R3786-V3786</f>
        <v/>
      </c>
    </row>
    <row r="3787">
      <c r="A3787" s="3" t="n">
        <v>44021</v>
      </c>
      <c r="B3787">
        <f>Prices!B3787</f>
        <v/>
      </c>
      <c r="C3787">
        <f>Prices!C3787</f>
        <v/>
      </c>
      <c r="D3787">
        <f>Prices!D3787</f>
        <v/>
      </c>
      <c r="E3787">
        <f>Prices!E3787</f>
        <v/>
      </c>
      <c r="F3787">
        <f>Prices!F3787</f>
        <v/>
      </c>
      <c r="G3787">
        <f>IF(AND(3785&gt;=16,TEXT(A3787,"yyyy-mm")&lt;&gt;TEXT(A3788,"yyyy-mm")),1,0)</f>
        <v/>
      </c>
      <c r="H3787">
        <f>IF(OR(H3786=1,G3787=1),1,0)</f>
        <v/>
      </c>
      <c r="I3787">
        <f>IF(H3786=0,1,SUMPRODUCT(J3786:N3786,B3787:F3787)+O3786*(1+0.00023125256064071564))</f>
        <v/>
      </c>
      <c r="J3787">
        <f>IF(G3787=1,0.2*R3787/B3787,J3786)</f>
        <v/>
      </c>
      <c r="K3787">
        <f>IF(G3787=1,0.2*R3787/C3787,K3786)</f>
        <v/>
      </c>
      <c r="L3787">
        <f>IF(G3787=1,0.2*R3787/D3787,L3786)</f>
        <v/>
      </c>
      <c r="M3787">
        <f>IF(G3787=1,0.2*R3787/E3787,M3786)</f>
        <v/>
      </c>
      <c r="N3787">
        <f>IF(G3787=1,0.2*R3787/F3787,N3786)</f>
        <v/>
      </c>
      <c r="O3787">
        <f>IF(G3787=1,R3787*(1-1.0),IF(H3786=0,1,O3786*(1+0.00023125256064071564)))</f>
        <v/>
      </c>
      <c r="P3787">
        <f>IF(G3787=1,IF(H3786=0,1,ABS(0.2-J3786*B3787/I3787)+ABS(0.2-K3786*C3787/I3787)+ABS(0.2-L3786*D3787/I3787)+ABS(0.2-M3786*E3787/I3787)+ABS(0.2-N3786*F3787/I3787)),0)</f>
        <v/>
      </c>
      <c r="Q3787">
        <f>P3787*0.0015</f>
        <v/>
      </c>
      <c r="R3787">
        <f>I3787*(1-Q3787)</f>
        <v/>
      </c>
      <c r="S3787">
        <f>R3787/R3786-1</f>
        <v/>
      </c>
      <c r="T3787">
        <f>MAX(T3786,R3787)</f>
        <v/>
      </c>
      <c r="U3787">
        <f>R3787/T3787-1</f>
        <v/>
      </c>
      <c r="V3787" t="n">
        <v>8.432480048489959</v>
      </c>
      <c r="W3787" s="5">
        <f>R3787-V3787</f>
        <v/>
      </c>
    </row>
    <row r="3788">
      <c r="A3788" s="3" t="n">
        <v>44022</v>
      </c>
      <c r="B3788">
        <f>Prices!B3788</f>
        <v/>
      </c>
      <c r="C3788">
        <f>Prices!C3788</f>
        <v/>
      </c>
      <c r="D3788">
        <f>Prices!D3788</f>
        <v/>
      </c>
      <c r="E3788">
        <f>Prices!E3788</f>
        <v/>
      </c>
      <c r="F3788">
        <f>Prices!F3788</f>
        <v/>
      </c>
      <c r="G3788">
        <f>IF(AND(3786&gt;=16,TEXT(A3788,"yyyy-mm")&lt;&gt;TEXT(A3789,"yyyy-mm")),1,0)</f>
        <v/>
      </c>
      <c r="H3788">
        <f>IF(OR(H3787=1,G3788=1),1,0)</f>
        <v/>
      </c>
      <c r="I3788">
        <f>IF(H3787=0,1,SUMPRODUCT(J3787:N3787,B3788:F3788)+O3787*(1+0.00023125256064071564))</f>
        <v/>
      </c>
      <c r="J3788">
        <f>IF(G3788=1,0.2*R3788/B3788,J3787)</f>
        <v/>
      </c>
      <c r="K3788">
        <f>IF(G3788=1,0.2*R3788/C3788,K3787)</f>
        <v/>
      </c>
      <c r="L3788">
        <f>IF(G3788=1,0.2*R3788/D3788,L3787)</f>
        <v/>
      </c>
      <c r="M3788">
        <f>IF(G3788=1,0.2*R3788/E3788,M3787)</f>
        <v/>
      </c>
      <c r="N3788">
        <f>IF(G3788=1,0.2*R3788/F3788,N3787)</f>
        <v/>
      </c>
      <c r="O3788">
        <f>IF(G3788=1,R3788*(1-1.0),IF(H3787=0,1,O3787*(1+0.00023125256064071564)))</f>
        <v/>
      </c>
      <c r="P3788">
        <f>IF(G3788=1,IF(H3787=0,1,ABS(0.2-J3787*B3788/I3788)+ABS(0.2-K3787*C3788/I3788)+ABS(0.2-L3787*D3788/I3788)+ABS(0.2-M3787*E3788/I3788)+ABS(0.2-N3787*F3788/I3788)),0)</f>
        <v/>
      </c>
      <c r="Q3788">
        <f>P3788*0.0015</f>
        <v/>
      </c>
      <c r="R3788">
        <f>I3788*(1-Q3788)</f>
        <v/>
      </c>
      <c r="S3788">
        <f>R3788/R3787-1</f>
        <v/>
      </c>
      <c r="T3788">
        <f>MAX(T3787,R3788)</f>
        <v/>
      </c>
      <c r="U3788">
        <f>R3788/T3788-1</f>
        <v/>
      </c>
      <c r="V3788" t="n">
        <v>8.427622335600688</v>
      </c>
      <c r="W3788" s="5">
        <f>R3788-V3788</f>
        <v/>
      </c>
    </row>
    <row r="3789">
      <c r="A3789" s="3" t="n">
        <v>44025</v>
      </c>
      <c r="B3789">
        <f>Prices!B3789</f>
        <v/>
      </c>
      <c r="C3789">
        <f>Prices!C3789</f>
        <v/>
      </c>
      <c r="D3789">
        <f>Prices!D3789</f>
        <v/>
      </c>
      <c r="E3789">
        <f>Prices!E3789</f>
        <v/>
      </c>
      <c r="F3789">
        <f>Prices!F3789</f>
        <v/>
      </c>
      <c r="G3789">
        <f>IF(AND(3787&gt;=16,TEXT(A3789,"yyyy-mm")&lt;&gt;TEXT(A3790,"yyyy-mm")),1,0)</f>
        <v/>
      </c>
      <c r="H3789">
        <f>IF(OR(H3788=1,G3789=1),1,0)</f>
        <v/>
      </c>
      <c r="I3789">
        <f>IF(H3788=0,1,SUMPRODUCT(J3788:N3788,B3789:F3789)+O3788*(1+0.00023125256064071564))</f>
        <v/>
      </c>
      <c r="J3789">
        <f>IF(G3789=1,0.2*R3789/B3789,J3788)</f>
        <v/>
      </c>
      <c r="K3789">
        <f>IF(G3789=1,0.2*R3789/C3789,K3788)</f>
        <v/>
      </c>
      <c r="L3789">
        <f>IF(G3789=1,0.2*R3789/D3789,L3788)</f>
        <v/>
      </c>
      <c r="M3789">
        <f>IF(G3789=1,0.2*R3789/E3789,M3788)</f>
        <v/>
      </c>
      <c r="N3789">
        <f>IF(G3789=1,0.2*R3789/F3789,N3788)</f>
        <v/>
      </c>
      <c r="O3789">
        <f>IF(G3789=1,R3789*(1-1.0),IF(H3788=0,1,O3788*(1+0.00023125256064071564)))</f>
        <v/>
      </c>
      <c r="P3789">
        <f>IF(G3789=1,IF(H3788=0,1,ABS(0.2-J3788*B3789/I3789)+ABS(0.2-K3788*C3789/I3789)+ABS(0.2-L3788*D3789/I3789)+ABS(0.2-M3788*E3789/I3789)+ABS(0.2-N3788*F3789/I3789)),0)</f>
        <v/>
      </c>
      <c r="Q3789">
        <f>P3789*0.0015</f>
        <v/>
      </c>
      <c r="R3789">
        <f>I3789*(1-Q3789)</f>
        <v/>
      </c>
      <c r="S3789">
        <f>R3789/R3788-1</f>
        <v/>
      </c>
      <c r="T3789">
        <f>MAX(T3788,R3789)</f>
        <v/>
      </c>
      <c r="U3789">
        <f>R3789/T3789-1</f>
        <v/>
      </c>
      <c r="V3789" t="n">
        <v>8.463695768527229</v>
      </c>
      <c r="W3789" s="5">
        <f>R3789-V3789</f>
        <v/>
      </c>
    </row>
    <row r="3790">
      <c r="A3790" s="3" t="n">
        <v>44026</v>
      </c>
      <c r="B3790">
        <f>Prices!B3790</f>
        <v/>
      </c>
      <c r="C3790">
        <f>Prices!C3790</f>
        <v/>
      </c>
      <c r="D3790">
        <f>Prices!D3790</f>
        <v/>
      </c>
      <c r="E3790">
        <f>Prices!E3790</f>
        <v/>
      </c>
      <c r="F3790">
        <f>Prices!F3790</f>
        <v/>
      </c>
      <c r="G3790">
        <f>IF(AND(3788&gt;=16,TEXT(A3790,"yyyy-mm")&lt;&gt;TEXT(A3791,"yyyy-mm")),1,0)</f>
        <v/>
      </c>
      <c r="H3790">
        <f>IF(OR(H3789=1,G3790=1),1,0)</f>
        <v/>
      </c>
      <c r="I3790">
        <f>IF(H3789=0,1,SUMPRODUCT(J3789:N3789,B3790:F3790)+O3789*(1+0.00023125256064071564))</f>
        <v/>
      </c>
      <c r="J3790">
        <f>IF(G3790=1,0.2*R3790/B3790,J3789)</f>
        <v/>
      </c>
      <c r="K3790">
        <f>IF(G3790=1,0.2*R3790/C3790,K3789)</f>
        <v/>
      </c>
      <c r="L3790">
        <f>IF(G3790=1,0.2*R3790/D3790,L3789)</f>
        <v/>
      </c>
      <c r="M3790">
        <f>IF(G3790=1,0.2*R3790/E3790,M3789)</f>
        <v/>
      </c>
      <c r="N3790">
        <f>IF(G3790=1,0.2*R3790/F3790,N3789)</f>
        <v/>
      </c>
      <c r="O3790">
        <f>IF(G3790=1,R3790*(1-1.0),IF(H3789=0,1,O3789*(1+0.00023125256064071564)))</f>
        <v/>
      </c>
      <c r="P3790">
        <f>IF(G3790=1,IF(H3789=0,1,ABS(0.2-J3789*B3790/I3790)+ABS(0.2-K3789*C3790/I3790)+ABS(0.2-L3789*D3790/I3790)+ABS(0.2-M3789*E3790/I3790)+ABS(0.2-N3789*F3790/I3790)),0)</f>
        <v/>
      </c>
      <c r="Q3790">
        <f>P3790*0.0015</f>
        <v/>
      </c>
      <c r="R3790">
        <f>I3790*(1-Q3790)</f>
        <v/>
      </c>
      <c r="S3790">
        <f>R3790/R3789-1</f>
        <v/>
      </c>
      <c r="T3790">
        <f>MAX(T3789,R3790)</f>
        <v/>
      </c>
      <c r="U3790">
        <f>R3790/T3790-1</f>
        <v/>
      </c>
      <c r="V3790" t="n">
        <v>8.3786522940101</v>
      </c>
      <c r="W3790" s="5">
        <f>R3790-V3790</f>
        <v/>
      </c>
    </row>
    <row r="3791">
      <c r="A3791" s="3" t="n">
        <v>44027</v>
      </c>
      <c r="B3791">
        <f>Prices!B3791</f>
        <v/>
      </c>
      <c r="C3791">
        <f>Prices!C3791</f>
        <v/>
      </c>
      <c r="D3791">
        <f>Prices!D3791</f>
        <v/>
      </c>
      <c r="E3791">
        <f>Prices!E3791</f>
        <v/>
      </c>
      <c r="F3791">
        <f>Prices!F3791</f>
        <v/>
      </c>
      <c r="G3791">
        <f>IF(AND(3789&gt;=16,TEXT(A3791,"yyyy-mm")&lt;&gt;TEXT(A3792,"yyyy-mm")),1,0)</f>
        <v/>
      </c>
      <c r="H3791">
        <f>IF(OR(H3790=1,G3791=1),1,0)</f>
        <v/>
      </c>
      <c r="I3791">
        <f>IF(H3790=0,1,SUMPRODUCT(J3790:N3790,B3791:F3791)+O3790*(1+0.00023125256064071564))</f>
        <v/>
      </c>
      <c r="J3791">
        <f>IF(G3791=1,0.2*R3791/B3791,J3790)</f>
        <v/>
      </c>
      <c r="K3791">
        <f>IF(G3791=1,0.2*R3791/C3791,K3790)</f>
        <v/>
      </c>
      <c r="L3791">
        <f>IF(G3791=1,0.2*R3791/D3791,L3790)</f>
        <v/>
      </c>
      <c r="M3791">
        <f>IF(G3791=1,0.2*R3791/E3791,M3790)</f>
        <v/>
      </c>
      <c r="N3791">
        <f>IF(G3791=1,0.2*R3791/F3791,N3790)</f>
        <v/>
      </c>
      <c r="O3791">
        <f>IF(G3791=1,R3791*(1-1.0),IF(H3790=0,1,O3790*(1+0.00023125256064071564)))</f>
        <v/>
      </c>
      <c r="P3791">
        <f>IF(G3791=1,IF(H3790=0,1,ABS(0.2-J3790*B3791/I3791)+ABS(0.2-K3790*C3791/I3791)+ABS(0.2-L3790*D3791/I3791)+ABS(0.2-M3790*E3791/I3791)+ABS(0.2-N3790*F3791/I3791)),0)</f>
        <v/>
      </c>
      <c r="Q3791">
        <f>P3791*0.0015</f>
        <v/>
      </c>
      <c r="R3791">
        <f>I3791*(1-Q3791)</f>
        <v/>
      </c>
      <c r="S3791">
        <f>R3791/R3790-1</f>
        <v/>
      </c>
      <c r="T3791">
        <f>MAX(T3790,R3791)</f>
        <v/>
      </c>
      <c r="U3791">
        <f>R3791/T3791-1</f>
        <v/>
      </c>
      <c r="V3791" t="n">
        <v>8.390326565669099</v>
      </c>
      <c r="W3791" s="5">
        <f>R3791-V3791</f>
        <v/>
      </c>
    </row>
    <row r="3792">
      <c r="A3792" s="3" t="n">
        <v>44028</v>
      </c>
      <c r="B3792">
        <f>Prices!B3792</f>
        <v/>
      </c>
      <c r="C3792">
        <f>Prices!C3792</f>
        <v/>
      </c>
      <c r="D3792">
        <f>Prices!D3792</f>
        <v/>
      </c>
      <c r="E3792">
        <f>Prices!E3792</f>
        <v/>
      </c>
      <c r="F3792">
        <f>Prices!F3792</f>
        <v/>
      </c>
      <c r="G3792">
        <f>IF(AND(3790&gt;=16,TEXT(A3792,"yyyy-mm")&lt;&gt;TEXT(A3793,"yyyy-mm")),1,0)</f>
        <v/>
      </c>
      <c r="H3792">
        <f>IF(OR(H3791=1,G3792=1),1,0)</f>
        <v/>
      </c>
      <c r="I3792">
        <f>IF(H3791=0,1,SUMPRODUCT(J3791:N3791,B3792:F3792)+O3791*(1+0.00023125256064071564))</f>
        <v/>
      </c>
      <c r="J3792">
        <f>IF(G3792=1,0.2*R3792/B3792,J3791)</f>
        <v/>
      </c>
      <c r="K3792">
        <f>IF(G3792=1,0.2*R3792/C3792,K3791)</f>
        <v/>
      </c>
      <c r="L3792">
        <f>IF(G3792=1,0.2*R3792/D3792,L3791)</f>
        <v/>
      </c>
      <c r="M3792">
        <f>IF(G3792=1,0.2*R3792/E3792,M3791)</f>
        <v/>
      </c>
      <c r="N3792">
        <f>IF(G3792=1,0.2*R3792/F3792,N3791)</f>
        <v/>
      </c>
      <c r="O3792">
        <f>IF(G3792=1,R3792*(1-1.0),IF(H3791=0,1,O3791*(1+0.00023125256064071564)))</f>
        <v/>
      </c>
      <c r="P3792">
        <f>IF(G3792=1,IF(H3791=0,1,ABS(0.2-J3791*B3792/I3792)+ABS(0.2-K3791*C3792/I3792)+ABS(0.2-L3791*D3792/I3792)+ABS(0.2-M3791*E3792/I3792)+ABS(0.2-N3791*F3792/I3792)),0)</f>
        <v/>
      </c>
      <c r="Q3792">
        <f>P3792*0.0015</f>
        <v/>
      </c>
      <c r="R3792">
        <f>I3792*(1-Q3792)</f>
        <v/>
      </c>
      <c r="S3792">
        <f>R3792/R3791-1</f>
        <v/>
      </c>
      <c r="T3792">
        <f>MAX(T3791,R3792)</f>
        <v/>
      </c>
      <c r="U3792">
        <f>R3792/T3792-1</f>
        <v/>
      </c>
      <c r="V3792" t="n">
        <v>8.453560838235111</v>
      </c>
      <c r="W3792" s="5">
        <f>R3792-V3792</f>
        <v/>
      </c>
    </row>
    <row r="3793">
      <c r="A3793" s="3" t="n">
        <v>44029</v>
      </c>
      <c r="B3793">
        <f>Prices!B3793</f>
        <v/>
      </c>
      <c r="C3793">
        <f>Prices!C3793</f>
        <v/>
      </c>
      <c r="D3793">
        <f>Prices!D3793</f>
        <v/>
      </c>
      <c r="E3793">
        <f>Prices!E3793</f>
        <v/>
      </c>
      <c r="F3793">
        <f>Prices!F3793</f>
        <v/>
      </c>
      <c r="G3793">
        <f>IF(AND(3791&gt;=16,TEXT(A3793,"yyyy-mm")&lt;&gt;TEXT(A3794,"yyyy-mm")),1,0)</f>
        <v/>
      </c>
      <c r="H3793">
        <f>IF(OR(H3792=1,G3793=1),1,0)</f>
        <v/>
      </c>
      <c r="I3793">
        <f>IF(H3792=0,1,SUMPRODUCT(J3792:N3792,B3793:F3793)+O3792*(1+0.00023125256064071564))</f>
        <v/>
      </c>
      <c r="J3793">
        <f>IF(G3793=1,0.2*R3793/B3793,J3792)</f>
        <v/>
      </c>
      <c r="K3793">
        <f>IF(G3793=1,0.2*R3793/C3793,K3792)</f>
        <v/>
      </c>
      <c r="L3793">
        <f>IF(G3793=1,0.2*R3793/D3793,L3792)</f>
        <v/>
      </c>
      <c r="M3793">
        <f>IF(G3793=1,0.2*R3793/E3793,M3792)</f>
        <v/>
      </c>
      <c r="N3793">
        <f>IF(G3793=1,0.2*R3793/F3793,N3792)</f>
        <v/>
      </c>
      <c r="O3793">
        <f>IF(G3793=1,R3793*(1-1.0),IF(H3792=0,1,O3792*(1+0.00023125256064071564)))</f>
        <v/>
      </c>
      <c r="P3793">
        <f>IF(G3793=1,IF(H3792=0,1,ABS(0.2-J3792*B3793/I3793)+ABS(0.2-K3792*C3793/I3793)+ABS(0.2-L3792*D3793/I3793)+ABS(0.2-M3792*E3793/I3793)+ABS(0.2-N3792*F3793/I3793)),0)</f>
        <v/>
      </c>
      <c r="Q3793">
        <f>P3793*0.0015</f>
        <v/>
      </c>
      <c r="R3793">
        <f>I3793*(1-Q3793)</f>
        <v/>
      </c>
      <c r="S3793">
        <f>R3793/R3792-1</f>
        <v/>
      </c>
      <c r="T3793">
        <f>MAX(T3792,R3793)</f>
        <v/>
      </c>
      <c r="U3793">
        <f>R3793/T3793-1</f>
        <v/>
      </c>
      <c r="V3793" t="n">
        <v>8.562295959377737</v>
      </c>
      <c r="W3793" s="5">
        <f>R3793-V3793</f>
        <v/>
      </c>
    </row>
    <row r="3794">
      <c r="A3794" s="3" t="n">
        <v>44032</v>
      </c>
      <c r="B3794">
        <f>Prices!B3794</f>
        <v/>
      </c>
      <c r="C3794">
        <f>Prices!C3794</f>
        <v/>
      </c>
      <c r="D3794">
        <f>Prices!D3794</f>
        <v/>
      </c>
      <c r="E3794">
        <f>Prices!E3794</f>
        <v/>
      </c>
      <c r="F3794">
        <f>Prices!F3794</f>
        <v/>
      </c>
      <c r="G3794">
        <f>IF(AND(3792&gt;=16,TEXT(A3794,"yyyy-mm")&lt;&gt;TEXT(A3795,"yyyy-mm")),1,0)</f>
        <v/>
      </c>
      <c r="H3794">
        <f>IF(OR(H3793=1,G3794=1),1,0)</f>
        <v/>
      </c>
      <c r="I3794">
        <f>IF(H3793=0,1,SUMPRODUCT(J3793:N3793,B3794:F3794)+O3793*(1+0.00023125256064071564))</f>
        <v/>
      </c>
      <c r="J3794">
        <f>IF(G3794=1,0.2*R3794/B3794,J3793)</f>
        <v/>
      </c>
      <c r="K3794">
        <f>IF(G3794=1,0.2*R3794/C3794,K3793)</f>
        <v/>
      </c>
      <c r="L3794">
        <f>IF(G3794=1,0.2*R3794/D3794,L3793)</f>
        <v/>
      </c>
      <c r="M3794">
        <f>IF(G3794=1,0.2*R3794/E3794,M3793)</f>
        <v/>
      </c>
      <c r="N3794">
        <f>IF(G3794=1,0.2*R3794/F3794,N3793)</f>
        <v/>
      </c>
      <c r="O3794">
        <f>IF(G3794=1,R3794*(1-1.0),IF(H3793=0,1,O3793*(1+0.00023125256064071564)))</f>
        <v/>
      </c>
      <c r="P3794">
        <f>IF(G3794=1,IF(H3793=0,1,ABS(0.2-J3793*B3794/I3794)+ABS(0.2-K3793*C3794/I3794)+ABS(0.2-L3793*D3794/I3794)+ABS(0.2-M3793*E3794/I3794)+ABS(0.2-N3793*F3794/I3794)),0)</f>
        <v/>
      </c>
      <c r="Q3794">
        <f>P3794*0.0015</f>
        <v/>
      </c>
      <c r="R3794">
        <f>I3794*(1-Q3794)</f>
        <v/>
      </c>
      <c r="S3794">
        <f>R3794/R3793-1</f>
        <v/>
      </c>
      <c r="T3794">
        <f>MAX(T3793,R3794)</f>
        <v/>
      </c>
      <c r="U3794">
        <f>R3794/T3794-1</f>
        <v/>
      </c>
      <c r="V3794" t="n">
        <v>8.639814977528067</v>
      </c>
      <c r="W3794" s="5">
        <f>R3794-V3794</f>
        <v/>
      </c>
    </row>
    <row r="3795">
      <c r="A3795" s="3" t="n">
        <v>44033</v>
      </c>
      <c r="B3795">
        <f>Prices!B3795</f>
        <v/>
      </c>
      <c r="C3795">
        <f>Prices!C3795</f>
        <v/>
      </c>
      <c r="D3795">
        <f>Prices!D3795</f>
        <v/>
      </c>
      <c r="E3795">
        <f>Prices!E3795</f>
        <v/>
      </c>
      <c r="F3795">
        <f>Prices!F3795</f>
        <v/>
      </c>
      <c r="G3795">
        <f>IF(AND(3793&gt;=16,TEXT(A3795,"yyyy-mm")&lt;&gt;TEXT(A3796,"yyyy-mm")),1,0)</f>
        <v/>
      </c>
      <c r="H3795">
        <f>IF(OR(H3794=1,G3795=1),1,0)</f>
        <v/>
      </c>
      <c r="I3795">
        <f>IF(H3794=0,1,SUMPRODUCT(J3794:N3794,B3795:F3795)+O3794*(1+0.00023125256064071564))</f>
        <v/>
      </c>
      <c r="J3795">
        <f>IF(G3795=1,0.2*R3795/B3795,J3794)</f>
        <v/>
      </c>
      <c r="K3795">
        <f>IF(G3795=1,0.2*R3795/C3795,K3794)</f>
        <v/>
      </c>
      <c r="L3795">
        <f>IF(G3795=1,0.2*R3795/D3795,L3794)</f>
        <v/>
      </c>
      <c r="M3795">
        <f>IF(G3795=1,0.2*R3795/E3795,M3794)</f>
        <v/>
      </c>
      <c r="N3795">
        <f>IF(G3795=1,0.2*R3795/F3795,N3794)</f>
        <v/>
      </c>
      <c r="O3795">
        <f>IF(G3795=1,R3795*(1-1.0),IF(H3794=0,1,O3794*(1+0.00023125256064071564)))</f>
        <v/>
      </c>
      <c r="P3795">
        <f>IF(G3795=1,IF(H3794=0,1,ABS(0.2-J3794*B3795/I3795)+ABS(0.2-K3794*C3795/I3795)+ABS(0.2-L3794*D3795/I3795)+ABS(0.2-M3794*E3795/I3795)+ABS(0.2-N3794*F3795/I3795)),0)</f>
        <v/>
      </c>
      <c r="Q3795">
        <f>P3795*0.0015</f>
        <v/>
      </c>
      <c r="R3795">
        <f>I3795*(1-Q3795)</f>
        <v/>
      </c>
      <c r="S3795">
        <f>R3795/R3794-1</f>
        <v/>
      </c>
      <c r="T3795">
        <f>MAX(T3794,R3795)</f>
        <v/>
      </c>
      <c r="U3795">
        <f>R3795/T3795-1</f>
        <v/>
      </c>
      <c r="V3795" t="n">
        <v>8.650916092639555</v>
      </c>
      <c r="W3795" s="5">
        <f>R3795-V3795</f>
        <v/>
      </c>
    </row>
    <row r="3796">
      <c r="A3796" s="3" t="n">
        <v>44034</v>
      </c>
      <c r="B3796">
        <f>Prices!B3796</f>
        <v/>
      </c>
      <c r="C3796">
        <f>Prices!C3796</f>
        <v/>
      </c>
      <c r="D3796">
        <f>Prices!D3796</f>
        <v/>
      </c>
      <c r="E3796">
        <f>Prices!E3796</f>
        <v/>
      </c>
      <c r="F3796">
        <f>Prices!F3796</f>
        <v/>
      </c>
      <c r="G3796">
        <f>IF(AND(3794&gt;=16,TEXT(A3796,"yyyy-mm")&lt;&gt;TEXT(A3797,"yyyy-mm")),1,0)</f>
        <v/>
      </c>
      <c r="H3796">
        <f>IF(OR(H3795=1,G3796=1),1,0)</f>
        <v/>
      </c>
      <c r="I3796">
        <f>IF(H3795=0,1,SUMPRODUCT(J3795:N3795,B3796:F3796)+O3795*(1+0.00023125256064071564))</f>
        <v/>
      </c>
      <c r="J3796">
        <f>IF(G3796=1,0.2*R3796/B3796,J3795)</f>
        <v/>
      </c>
      <c r="K3796">
        <f>IF(G3796=1,0.2*R3796/C3796,K3795)</f>
        <v/>
      </c>
      <c r="L3796">
        <f>IF(G3796=1,0.2*R3796/D3796,L3795)</f>
        <v/>
      </c>
      <c r="M3796">
        <f>IF(G3796=1,0.2*R3796/E3796,M3795)</f>
        <v/>
      </c>
      <c r="N3796">
        <f>IF(G3796=1,0.2*R3796/F3796,N3795)</f>
        <v/>
      </c>
      <c r="O3796">
        <f>IF(G3796=1,R3796*(1-1.0),IF(H3795=0,1,O3795*(1+0.00023125256064071564)))</f>
        <v/>
      </c>
      <c r="P3796">
        <f>IF(G3796=1,IF(H3795=0,1,ABS(0.2-J3795*B3796/I3796)+ABS(0.2-K3795*C3796/I3796)+ABS(0.2-L3795*D3796/I3796)+ABS(0.2-M3795*E3796/I3796)+ABS(0.2-N3795*F3796/I3796)),0)</f>
        <v/>
      </c>
      <c r="Q3796">
        <f>P3796*0.0015</f>
        <v/>
      </c>
      <c r="R3796">
        <f>I3796*(1-Q3796)</f>
        <v/>
      </c>
      <c r="S3796">
        <f>R3796/R3795-1</f>
        <v/>
      </c>
      <c r="T3796">
        <f>MAX(T3795,R3796)</f>
        <v/>
      </c>
      <c r="U3796">
        <f>R3796/T3796-1</f>
        <v/>
      </c>
      <c r="V3796" t="n">
        <v>8.633288926408847</v>
      </c>
      <c r="W3796" s="5">
        <f>R3796-V3796</f>
        <v/>
      </c>
    </row>
    <row r="3797">
      <c r="A3797" s="3" t="n">
        <v>44035</v>
      </c>
      <c r="B3797">
        <f>Prices!B3797</f>
        <v/>
      </c>
      <c r="C3797">
        <f>Prices!C3797</f>
        <v/>
      </c>
      <c r="D3797">
        <f>Prices!D3797</f>
        <v/>
      </c>
      <c r="E3797">
        <f>Prices!E3797</f>
        <v/>
      </c>
      <c r="F3797">
        <f>Prices!F3797</f>
        <v/>
      </c>
      <c r="G3797">
        <f>IF(AND(3795&gt;=16,TEXT(A3797,"yyyy-mm")&lt;&gt;TEXT(A3798,"yyyy-mm")),1,0)</f>
        <v/>
      </c>
      <c r="H3797">
        <f>IF(OR(H3796=1,G3797=1),1,0)</f>
        <v/>
      </c>
      <c r="I3797">
        <f>IF(H3796=0,1,SUMPRODUCT(J3796:N3796,B3797:F3797)+O3796*(1+0.00023125256064071564))</f>
        <v/>
      </c>
      <c r="J3797">
        <f>IF(G3797=1,0.2*R3797/B3797,J3796)</f>
        <v/>
      </c>
      <c r="K3797">
        <f>IF(G3797=1,0.2*R3797/C3797,K3796)</f>
        <v/>
      </c>
      <c r="L3797">
        <f>IF(G3797=1,0.2*R3797/D3797,L3796)</f>
        <v/>
      </c>
      <c r="M3797">
        <f>IF(G3797=1,0.2*R3797/E3797,M3796)</f>
        <v/>
      </c>
      <c r="N3797">
        <f>IF(G3797=1,0.2*R3797/F3797,N3796)</f>
        <v/>
      </c>
      <c r="O3797">
        <f>IF(G3797=1,R3797*(1-1.0),IF(H3796=0,1,O3796*(1+0.00023125256064071564)))</f>
        <v/>
      </c>
      <c r="P3797">
        <f>IF(G3797=1,IF(H3796=0,1,ABS(0.2-J3796*B3797/I3797)+ABS(0.2-K3796*C3797/I3797)+ABS(0.2-L3796*D3797/I3797)+ABS(0.2-M3796*E3797/I3797)+ABS(0.2-N3796*F3797/I3797)),0)</f>
        <v/>
      </c>
      <c r="Q3797">
        <f>P3797*0.0015</f>
        <v/>
      </c>
      <c r="R3797">
        <f>I3797*(1-Q3797)</f>
        <v/>
      </c>
      <c r="S3797">
        <f>R3797/R3796-1</f>
        <v/>
      </c>
      <c r="T3797">
        <f>MAX(T3796,R3797)</f>
        <v/>
      </c>
      <c r="U3797">
        <f>R3797/T3797-1</f>
        <v/>
      </c>
      <c r="V3797" t="n">
        <v>8.698675687104474</v>
      </c>
      <c r="W3797" s="5">
        <f>R3797-V3797</f>
        <v/>
      </c>
    </row>
    <row r="3798">
      <c r="A3798" s="3" t="n">
        <v>44036</v>
      </c>
      <c r="B3798">
        <f>Prices!B3798</f>
        <v/>
      </c>
      <c r="C3798">
        <f>Prices!C3798</f>
        <v/>
      </c>
      <c r="D3798">
        <f>Prices!D3798</f>
        <v/>
      </c>
      <c r="E3798">
        <f>Prices!E3798</f>
        <v/>
      </c>
      <c r="F3798">
        <f>Prices!F3798</f>
        <v/>
      </c>
      <c r="G3798">
        <f>IF(AND(3796&gt;=16,TEXT(A3798,"yyyy-mm")&lt;&gt;TEXT(A3799,"yyyy-mm")),1,0)</f>
        <v/>
      </c>
      <c r="H3798">
        <f>IF(OR(H3797=1,G3798=1),1,0)</f>
        <v/>
      </c>
      <c r="I3798">
        <f>IF(H3797=0,1,SUMPRODUCT(J3797:N3797,B3798:F3798)+O3797*(1+0.00023125256064071564))</f>
        <v/>
      </c>
      <c r="J3798">
        <f>IF(G3798=1,0.2*R3798/B3798,J3797)</f>
        <v/>
      </c>
      <c r="K3798">
        <f>IF(G3798=1,0.2*R3798/C3798,K3797)</f>
        <v/>
      </c>
      <c r="L3798">
        <f>IF(G3798=1,0.2*R3798/D3798,L3797)</f>
        <v/>
      </c>
      <c r="M3798">
        <f>IF(G3798=1,0.2*R3798/E3798,M3797)</f>
        <v/>
      </c>
      <c r="N3798">
        <f>IF(G3798=1,0.2*R3798/F3798,N3797)</f>
        <v/>
      </c>
      <c r="O3798">
        <f>IF(G3798=1,R3798*(1-1.0),IF(H3797=0,1,O3797*(1+0.00023125256064071564)))</f>
        <v/>
      </c>
      <c r="P3798">
        <f>IF(G3798=1,IF(H3797=0,1,ABS(0.2-J3797*B3798/I3798)+ABS(0.2-K3797*C3798/I3798)+ABS(0.2-L3797*D3798/I3798)+ABS(0.2-M3797*E3798/I3798)+ABS(0.2-N3797*F3798/I3798)),0)</f>
        <v/>
      </c>
      <c r="Q3798">
        <f>P3798*0.0015</f>
        <v/>
      </c>
      <c r="R3798">
        <f>I3798*(1-Q3798)</f>
        <v/>
      </c>
      <c r="S3798">
        <f>R3798/R3797-1</f>
        <v/>
      </c>
      <c r="T3798">
        <f>MAX(T3797,R3798)</f>
        <v/>
      </c>
      <c r="U3798">
        <f>R3798/T3798-1</f>
        <v/>
      </c>
      <c r="V3798" t="n">
        <v>8.66408191779125</v>
      </c>
      <c r="W3798" s="5">
        <f>R3798-V3798</f>
        <v/>
      </c>
    </row>
    <row r="3799">
      <c r="A3799" s="3" t="n">
        <v>44039</v>
      </c>
      <c r="B3799">
        <f>Prices!B3799</f>
        <v/>
      </c>
      <c r="C3799">
        <f>Prices!C3799</f>
        <v/>
      </c>
      <c r="D3799">
        <f>Prices!D3799</f>
        <v/>
      </c>
      <c r="E3799">
        <f>Prices!E3799</f>
        <v/>
      </c>
      <c r="F3799">
        <f>Prices!F3799</f>
        <v/>
      </c>
      <c r="G3799">
        <f>IF(AND(3797&gt;=16,TEXT(A3799,"yyyy-mm")&lt;&gt;TEXT(A3800,"yyyy-mm")),1,0)</f>
        <v/>
      </c>
      <c r="H3799">
        <f>IF(OR(H3798=1,G3799=1),1,0)</f>
        <v/>
      </c>
      <c r="I3799">
        <f>IF(H3798=0,1,SUMPRODUCT(J3798:N3798,B3799:F3799)+O3798*(1+0.00023125256064071564))</f>
        <v/>
      </c>
      <c r="J3799">
        <f>IF(G3799=1,0.2*R3799/B3799,J3798)</f>
        <v/>
      </c>
      <c r="K3799">
        <f>IF(G3799=1,0.2*R3799/C3799,K3798)</f>
        <v/>
      </c>
      <c r="L3799">
        <f>IF(G3799=1,0.2*R3799/D3799,L3798)</f>
        <v/>
      </c>
      <c r="M3799">
        <f>IF(G3799=1,0.2*R3799/E3799,M3798)</f>
        <v/>
      </c>
      <c r="N3799">
        <f>IF(G3799=1,0.2*R3799/F3799,N3798)</f>
        <v/>
      </c>
      <c r="O3799">
        <f>IF(G3799=1,R3799*(1-1.0),IF(H3798=0,1,O3798*(1+0.00023125256064071564)))</f>
        <v/>
      </c>
      <c r="P3799">
        <f>IF(G3799=1,IF(H3798=0,1,ABS(0.2-J3798*B3799/I3799)+ABS(0.2-K3798*C3799/I3799)+ABS(0.2-L3798*D3799/I3799)+ABS(0.2-M3798*E3799/I3799)+ABS(0.2-N3798*F3799/I3799)),0)</f>
        <v/>
      </c>
      <c r="Q3799">
        <f>P3799*0.0015</f>
        <v/>
      </c>
      <c r="R3799">
        <f>I3799*(1-Q3799)</f>
        <v/>
      </c>
      <c r="S3799">
        <f>R3799/R3798-1</f>
        <v/>
      </c>
      <c r="T3799">
        <f>MAX(T3798,R3799)</f>
        <v/>
      </c>
      <c r="U3799">
        <f>R3799/T3799-1</f>
        <v/>
      </c>
      <c r="V3799" t="n">
        <v>8.635656045211359</v>
      </c>
      <c r="W3799" s="5">
        <f>R3799-V3799</f>
        <v/>
      </c>
    </row>
    <row r="3800">
      <c r="A3800" s="3" t="n">
        <v>44040</v>
      </c>
      <c r="B3800">
        <f>Prices!B3800</f>
        <v/>
      </c>
      <c r="C3800">
        <f>Prices!C3800</f>
        <v/>
      </c>
      <c r="D3800">
        <f>Prices!D3800</f>
        <v/>
      </c>
      <c r="E3800">
        <f>Prices!E3800</f>
        <v/>
      </c>
      <c r="F3800">
        <f>Prices!F3800</f>
        <v/>
      </c>
      <c r="G3800">
        <f>IF(AND(3798&gt;=16,TEXT(A3800,"yyyy-mm")&lt;&gt;TEXT(A3801,"yyyy-mm")),1,0)</f>
        <v/>
      </c>
      <c r="H3800">
        <f>IF(OR(H3799=1,G3800=1),1,0)</f>
        <v/>
      </c>
      <c r="I3800">
        <f>IF(H3799=0,1,SUMPRODUCT(J3799:N3799,B3800:F3800)+O3799*(1+0.00023125256064071564))</f>
        <v/>
      </c>
      <c r="J3800">
        <f>IF(G3800=1,0.2*R3800/B3800,J3799)</f>
        <v/>
      </c>
      <c r="K3800">
        <f>IF(G3800=1,0.2*R3800/C3800,K3799)</f>
        <v/>
      </c>
      <c r="L3800">
        <f>IF(G3800=1,0.2*R3800/D3800,L3799)</f>
        <v/>
      </c>
      <c r="M3800">
        <f>IF(G3800=1,0.2*R3800/E3800,M3799)</f>
        <v/>
      </c>
      <c r="N3800">
        <f>IF(G3800=1,0.2*R3800/F3800,N3799)</f>
        <v/>
      </c>
      <c r="O3800">
        <f>IF(G3800=1,R3800*(1-1.0),IF(H3799=0,1,O3799*(1+0.00023125256064071564)))</f>
        <v/>
      </c>
      <c r="P3800">
        <f>IF(G3800=1,IF(H3799=0,1,ABS(0.2-J3799*B3800/I3800)+ABS(0.2-K3799*C3800/I3800)+ABS(0.2-L3799*D3800/I3800)+ABS(0.2-M3799*E3800/I3800)+ABS(0.2-N3799*F3800/I3800)),0)</f>
        <v/>
      </c>
      <c r="Q3800">
        <f>P3800*0.0015</f>
        <v/>
      </c>
      <c r="R3800">
        <f>I3800*(1-Q3800)</f>
        <v/>
      </c>
      <c r="S3800">
        <f>R3800/R3799-1</f>
        <v/>
      </c>
      <c r="T3800">
        <f>MAX(T3799,R3800)</f>
        <v/>
      </c>
      <c r="U3800">
        <f>R3800/T3800-1</f>
        <v/>
      </c>
      <c r="V3800" t="n">
        <v>8.68908945852311</v>
      </c>
      <c r="W3800" s="5">
        <f>R3800-V3800</f>
        <v/>
      </c>
    </row>
    <row r="3801">
      <c r="A3801" s="3" t="n">
        <v>44041</v>
      </c>
      <c r="B3801">
        <f>Prices!B3801</f>
        <v/>
      </c>
      <c r="C3801">
        <f>Prices!C3801</f>
        <v/>
      </c>
      <c r="D3801">
        <f>Prices!D3801</f>
        <v/>
      </c>
      <c r="E3801">
        <f>Prices!E3801</f>
        <v/>
      </c>
      <c r="F3801">
        <f>Prices!F3801</f>
        <v/>
      </c>
      <c r="G3801">
        <f>IF(AND(3799&gt;=16,TEXT(A3801,"yyyy-mm")&lt;&gt;TEXT(A3802,"yyyy-mm")),1,0)</f>
        <v/>
      </c>
      <c r="H3801">
        <f>IF(OR(H3800=1,G3801=1),1,0)</f>
        <v/>
      </c>
      <c r="I3801">
        <f>IF(H3800=0,1,SUMPRODUCT(J3800:N3800,B3801:F3801)+O3800*(1+0.00023125256064071564))</f>
        <v/>
      </c>
      <c r="J3801">
        <f>IF(G3801=1,0.2*R3801/B3801,J3800)</f>
        <v/>
      </c>
      <c r="K3801">
        <f>IF(G3801=1,0.2*R3801/C3801,K3800)</f>
        <v/>
      </c>
      <c r="L3801">
        <f>IF(G3801=1,0.2*R3801/D3801,L3800)</f>
        <v/>
      </c>
      <c r="M3801">
        <f>IF(G3801=1,0.2*R3801/E3801,M3800)</f>
        <v/>
      </c>
      <c r="N3801">
        <f>IF(G3801=1,0.2*R3801/F3801,N3800)</f>
        <v/>
      </c>
      <c r="O3801">
        <f>IF(G3801=1,R3801*(1-1.0),IF(H3800=0,1,O3800*(1+0.00023125256064071564)))</f>
        <v/>
      </c>
      <c r="P3801">
        <f>IF(G3801=1,IF(H3800=0,1,ABS(0.2-J3800*B3801/I3801)+ABS(0.2-K3800*C3801/I3801)+ABS(0.2-L3800*D3801/I3801)+ABS(0.2-M3800*E3801/I3801)+ABS(0.2-N3800*F3801/I3801)),0)</f>
        <v/>
      </c>
      <c r="Q3801">
        <f>P3801*0.0015</f>
        <v/>
      </c>
      <c r="R3801">
        <f>I3801*(1-Q3801)</f>
        <v/>
      </c>
      <c r="S3801">
        <f>R3801/R3800-1</f>
        <v/>
      </c>
      <c r="T3801">
        <f>MAX(T3800,R3801)</f>
        <v/>
      </c>
      <c r="U3801">
        <f>R3801/T3801-1</f>
        <v/>
      </c>
      <c r="V3801" t="n">
        <v>8.714869716613602</v>
      </c>
      <c r="W3801" s="5">
        <f>R3801-V3801</f>
        <v/>
      </c>
    </row>
    <row r="3802">
      <c r="A3802" s="3" t="n">
        <v>44042</v>
      </c>
      <c r="B3802">
        <f>Prices!B3802</f>
        <v/>
      </c>
      <c r="C3802">
        <f>Prices!C3802</f>
        <v/>
      </c>
      <c r="D3802">
        <f>Prices!D3802</f>
        <v/>
      </c>
      <c r="E3802">
        <f>Prices!E3802</f>
        <v/>
      </c>
      <c r="F3802">
        <f>Prices!F3802</f>
        <v/>
      </c>
      <c r="G3802">
        <f>IF(AND(3800&gt;=16,TEXT(A3802,"yyyy-mm")&lt;&gt;TEXT(A3803,"yyyy-mm")),1,0)</f>
        <v/>
      </c>
      <c r="H3802">
        <f>IF(OR(H3801=1,G3802=1),1,0)</f>
        <v/>
      </c>
      <c r="I3802">
        <f>IF(H3801=0,1,SUMPRODUCT(J3801:N3801,B3802:F3802)+O3801*(1+0.00023125256064071564))</f>
        <v/>
      </c>
      <c r="J3802">
        <f>IF(G3802=1,0.2*R3802/B3802,J3801)</f>
        <v/>
      </c>
      <c r="K3802">
        <f>IF(G3802=1,0.2*R3802/C3802,K3801)</f>
        <v/>
      </c>
      <c r="L3802">
        <f>IF(G3802=1,0.2*R3802/D3802,L3801)</f>
        <v/>
      </c>
      <c r="M3802">
        <f>IF(G3802=1,0.2*R3802/E3802,M3801)</f>
        <v/>
      </c>
      <c r="N3802">
        <f>IF(G3802=1,0.2*R3802/F3802,N3801)</f>
        <v/>
      </c>
      <c r="O3802">
        <f>IF(G3802=1,R3802*(1-1.0),IF(H3801=0,1,O3801*(1+0.00023125256064071564)))</f>
        <v/>
      </c>
      <c r="P3802">
        <f>IF(G3802=1,IF(H3801=0,1,ABS(0.2-J3801*B3802/I3802)+ABS(0.2-K3801*C3802/I3802)+ABS(0.2-L3801*D3802/I3802)+ABS(0.2-M3801*E3802/I3802)+ABS(0.2-N3801*F3802/I3802)),0)</f>
        <v/>
      </c>
      <c r="Q3802">
        <f>P3802*0.0015</f>
        <v/>
      </c>
      <c r="R3802">
        <f>I3802*(1-Q3802)</f>
        <v/>
      </c>
      <c r="S3802">
        <f>R3802/R3801-1</f>
        <v/>
      </c>
      <c r="T3802">
        <f>MAX(T3801,R3802)</f>
        <v/>
      </c>
      <c r="U3802">
        <f>R3802/T3802-1</f>
        <v/>
      </c>
      <c r="V3802" t="n">
        <v>8.664353776625637</v>
      </c>
      <c r="W3802" s="5">
        <f>R3802-V3802</f>
        <v/>
      </c>
    </row>
    <row r="3803">
      <c r="A3803" s="3" t="n">
        <v>44043</v>
      </c>
      <c r="B3803">
        <f>Prices!B3803</f>
        <v/>
      </c>
      <c r="C3803">
        <f>Prices!C3803</f>
        <v/>
      </c>
      <c r="D3803">
        <f>Prices!D3803</f>
        <v/>
      </c>
      <c r="E3803">
        <f>Prices!E3803</f>
        <v/>
      </c>
      <c r="F3803">
        <f>Prices!F3803</f>
        <v/>
      </c>
      <c r="G3803">
        <f>IF(AND(3801&gt;=16,TEXT(A3803,"yyyy-mm")&lt;&gt;TEXT(A3804,"yyyy-mm")),1,0)</f>
        <v/>
      </c>
      <c r="H3803">
        <f>IF(OR(H3802=1,G3803=1),1,0)</f>
        <v/>
      </c>
      <c r="I3803">
        <f>IF(H3802=0,1,SUMPRODUCT(J3802:N3802,B3803:F3803)+O3802*(1+0.00023125256064071564))</f>
        <v/>
      </c>
      <c r="J3803">
        <f>IF(G3803=1,0.2*R3803/B3803,J3802)</f>
        <v/>
      </c>
      <c r="K3803">
        <f>IF(G3803=1,0.2*R3803/C3803,K3802)</f>
        <v/>
      </c>
      <c r="L3803">
        <f>IF(G3803=1,0.2*R3803/D3803,L3802)</f>
        <v/>
      </c>
      <c r="M3803">
        <f>IF(G3803=1,0.2*R3803/E3803,M3802)</f>
        <v/>
      </c>
      <c r="N3803">
        <f>IF(G3803=1,0.2*R3803/F3803,N3802)</f>
        <v/>
      </c>
      <c r="O3803">
        <f>IF(G3803=1,R3803*(1-1.0),IF(H3802=0,1,O3802*(1+0.00023125256064071564)))</f>
        <v/>
      </c>
      <c r="P3803">
        <f>IF(G3803=1,IF(H3802=0,1,ABS(0.2-J3802*B3803/I3803)+ABS(0.2-K3802*C3803/I3803)+ABS(0.2-L3802*D3803/I3803)+ABS(0.2-M3802*E3803/I3803)+ABS(0.2-N3802*F3803/I3803)),0)</f>
        <v/>
      </c>
      <c r="Q3803">
        <f>P3803*0.0015</f>
        <v/>
      </c>
      <c r="R3803">
        <f>I3803*(1-Q3803)</f>
        <v/>
      </c>
      <c r="S3803">
        <f>R3803/R3802-1</f>
        <v/>
      </c>
      <c r="T3803">
        <f>MAX(T3802,R3803)</f>
        <v/>
      </c>
      <c r="U3803">
        <f>R3803/T3803-1</f>
        <v/>
      </c>
      <c r="V3803" t="n">
        <v>8.71542043813502</v>
      </c>
      <c r="W3803" s="5">
        <f>R3803-V3803</f>
        <v/>
      </c>
    </row>
    <row r="3804">
      <c r="A3804" s="3" t="n">
        <v>44046</v>
      </c>
      <c r="B3804">
        <f>Prices!B3804</f>
        <v/>
      </c>
      <c r="C3804">
        <f>Prices!C3804</f>
        <v/>
      </c>
      <c r="D3804">
        <f>Prices!D3804</f>
        <v/>
      </c>
      <c r="E3804">
        <f>Prices!E3804</f>
        <v/>
      </c>
      <c r="F3804">
        <f>Prices!F3804</f>
        <v/>
      </c>
      <c r="G3804">
        <f>IF(AND(3802&gt;=16,TEXT(A3804,"yyyy-mm")&lt;&gt;TEXT(A3805,"yyyy-mm")),1,0)</f>
        <v/>
      </c>
      <c r="H3804">
        <f>IF(OR(H3803=1,G3804=1),1,0)</f>
        <v/>
      </c>
      <c r="I3804">
        <f>IF(H3803=0,1,SUMPRODUCT(J3803:N3803,B3804:F3804)+O3803*(1+0.00023125256064071564))</f>
        <v/>
      </c>
      <c r="J3804">
        <f>IF(G3804=1,0.2*R3804/B3804,J3803)</f>
        <v/>
      </c>
      <c r="K3804">
        <f>IF(G3804=1,0.2*R3804/C3804,K3803)</f>
        <v/>
      </c>
      <c r="L3804">
        <f>IF(G3804=1,0.2*R3804/D3804,L3803)</f>
        <v/>
      </c>
      <c r="M3804">
        <f>IF(G3804=1,0.2*R3804/E3804,M3803)</f>
        <v/>
      </c>
      <c r="N3804">
        <f>IF(G3804=1,0.2*R3804/F3804,N3803)</f>
        <v/>
      </c>
      <c r="O3804">
        <f>IF(G3804=1,R3804*(1-1.0),IF(H3803=0,1,O3803*(1+0.00023125256064071564)))</f>
        <v/>
      </c>
      <c r="P3804">
        <f>IF(G3804=1,IF(H3803=0,1,ABS(0.2-J3803*B3804/I3804)+ABS(0.2-K3803*C3804/I3804)+ABS(0.2-L3803*D3804/I3804)+ABS(0.2-M3803*E3804/I3804)+ABS(0.2-N3803*F3804/I3804)),0)</f>
        <v/>
      </c>
      <c r="Q3804">
        <f>P3804*0.0015</f>
        <v/>
      </c>
      <c r="R3804">
        <f>I3804*(1-Q3804)</f>
        <v/>
      </c>
      <c r="S3804">
        <f>R3804/R3803-1</f>
        <v/>
      </c>
      <c r="T3804">
        <f>MAX(T3803,R3804)</f>
        <v/>
      </c>
      <c r="U3804">
        <f>R3804/T3804-1</f>
        <v/>
      </c>
      <c r="V3804" t="n">
        <v>8.715069874429368</v>
      </c>
      <c r="W3804" s="5">
        <f>R3804-V3804</f>
        <v/>
      </c>
    </row>
    <row r="3805">
      <c r="A3805" s="3" t="n">
        <v>44047</v>
      </c>
      <c r="B3805">
        <f>Prices!B3805</f>
        <v/>
      </c>
      <c r="C3805">
        <f>Prices!C3805</f>
        <v/>
      </c>
      <c r="D3805">
        <f>Prices!D3805</f>
        <v/>
      </c>
      <c r="E3805">
        <f>Prices!E3805</f>
        <v/>
      </c>
      <c r="F3805">
        <f>Prices!F3805</f>
        <v/>
      </c>
      <c r="G3805">
        <f>IF(AND(3803&gt;=16,TEXT(A3805,"yyyy-mm")&lt;&gt;TEXT(A3806,"yyyy-mm")),1,0)</f>
        <v/>
      </c>
      <c r="H3805">
        <f>IF(OR(H3804=1,G3805=1),1,0)</f>
        <v/>
      </c>
      <c r="I3805">
        <f>IF(H3804=0,1,SUMPRODUCT(J3804:N3804,B3805:F3805)+O3804*(1+0.00023125256064071564))</f>
        <v/>
      </c>
      <c r="J3805">
        <f>IF(G3805=1,0.2*R3805/B3805,J3804)</f>
        <v/>
      </c>
      <c r="K3805">
        <f>IF(G3805=1,0.2*R3805/C3805,K3804)</f>
        <v/>
      </c>
      <c r="L3805">
        <f>IF(G3805=1,0.2*R3805/D3805,L3804)</f>
        <v/>
      </c>
      <c r="M3805">
        <f>IF(G3805=1,0.2*R3805/E3805,M3804)</f>
        <v/>
      </c>
      <c r="N3805">
        <f>IF(G3805=1,0.2*R3805/F3805,N3804)</f>
        <v/>
      </c>
      <c r="O3805">
        <f>IF(G3805=1,R3805*(1-1.0),IF(H3804=0,1,O3804*(1+0.00023125256064071564)))</f>
        <v/>
      </c>
      <c r="P3805">
        <f>IF(G3805=1,IF(H3804=0,1,ABS(0.2-J3804*B3805/I3805)+ABS(0.2-K3804*C3805/I3805)+ABS(0.2-L3804*D3805/I3805)+ABS(0.2-M3804*E3805/I3805)+ABS(0.2-N3804*F3805/I3805)),0)</f>
        <v/>
      </c>
      <c r="Q3805">
        <f>P3805*0.0015</f>
        <v/>
      </c>
      <c r="R3805">
        <f>I3805*(1-Q3805)</f>
        <v/>
      </c>
      <c r="S3805">
        <f>R3805/R3804-1</f>
        <v/>
      </c>
      <c r="T3805">
        <f>MAX(T3804,R3805)</f>
        <v/>
      </c>
      <c r="U3805">
        <f>R3805/T3805-1</f>
        <v/>
      </c>
      <c r="V3805" t="n">
        <v>8.783521107464608</v>
      </c>
      <c r="W3805" s="5">
        <f>R3805-V3805</f>
        <v/>
      </c>
    </row>
    <row r="3806">
      <c r="A3806" s="3" t="n">
        <v>44048</v>
      </c>
      <c r="B3806">
        <f>Prices!B3806</f>
        <v/>
      </c>
      <c r="C3806">
        <f>Prices!C3806</f>
        <v/>
      </c>
      <c r="D3806">
        <f>Prices!D3806</f>
        <v/>
      </c>
      <c r="E3806">
        <f>Prices!E3806</f>
        <v/>
      </c>
      <c r="F3806">
        <f>Prices!F3806</f>
        <v/>
      </c>
      <c r="G3806">
        <f>IF(AND(3804&gt;=16,TEXT(A3806,"yyyy-mm")&lt;&gt;TEXT(A3807,"yyyy-mm")),1,0)</f>
        <v/>
      </c>
      <c r="H3806">
        <f>IF(OR(H3805=1,G3806=1),1,0)</f>
        <v/>
      </c>
      <c r="I3806">
        <f>IF(H3805=0,1,SUMPRODUCT(J3805:N3805,B3806:F3806)+O3805*(1+0.00023125256064071564))</f>
        <v/>
      </c>
      <c r="J3806">
        <f>IF(G3806=1,0.2*R3806/B3806,J3805)</f>
        <v/>
      </c>
      <c r="K3806">
        <f>IF(G3806=1,0.2*R3806/C3806,K3805)</f>
        <v/>
      </c>
      <c r="L3806">
        <f>IF(G3806=1,0.2*R3806/D3806,L3805)</f>
        <v/>
      </c>
      <c r="M3806">
        <f>IF(G3806=1,0.2*R3806/E3806,M3805)</f>
        <v/>
      </c>
      <c r="N3806">
        <f>IF(G3806=1,0.2*R3806/F3806,N3805)</f>
        <v/>
      </c>
      <c r="O3806">
        <f>IF(G3806=1,R3806*(1-1.0),IF(H3805=0,1,O3805*(1+0.00023125256064071564)))</f>
        <v/>
      </c>
      <c r="P3806">
        <f>IF(G3806=1,IF(H3805=0,1,ABS(0.2-J3805*B3806/I3806)+ABS(0.2-K3805*C3806/I3806)+ABS(0.2-L3805*D3806/I3806)+ABS(0.2-M3805*E3806/I3806)+ABS(0.2-N3805*F3806/I3806)),0)</f>
        <v/>
      </c>
      <c r="Q3806">
        <f>P3806*0.0015</f>
        <v/>
      </c>
      <c r="R3806">
        <f>I3806*(1-Q3806)</f>
        <v/>
      </c>
      <c r="S3806">
        <f>R3806/R3805-1</f>
        <v/>
      </c>
      <c r="T3806">
        <f>MAX(T3805,R3806)</f>
        <v/>
      </c>
      <c r="U3806">
        <f>R3806/T3806-1</f>
        <v/>
      </c>
      <c r="V3806" t="n">
        <v>8.823693092008474</v>
      </c>
      <c r="W3806" s="5">
        <f>R3806-V3806</f>
        <v/>
      </c>
    </row>
    <row r="3807">
      <c r="A3807" s="3" t="n">
        <v>44049</v>
      </c>
      <c r="B3807">
        <f>Prices!B3807</f>
        <v/>
      </c>
      <c r="C3807">
        <f>Prices!C3807</f>
        <v/>
      </c>
      <c r="D3807">
        <f>Prices!D3807</f>
        <v/>
      </c>
      <c r="E3807">
        <f>Prices!E3807</f>
        <v/>
      </c>
      <c r="F3807">
        <f>Prices!F3807</f>
        <v/>
      </c>
      <c r="G3807">
        <f>IF(AND(3805&gt;=16,TEXT(A3807,"yyyy-mm")&lt;&gt;TEXT(A3808,"yyyy-mm")),1,0)</f>
        <v/>
      </c>
      <c r="H3807">
        <f>IF(OR(H3806=1,G3807=1),1,0)</f>
        <v/>
      </c>
      <c r="I3807">
        <f>IF(H3806=0,1,SUMPRODUCT(J3806:N3806,B3807:F3807)+O3806*(1+0.00023125256064071564))</f>
        <v/>
      </c>
      <c r="J3807">
        <f>IF(G3807=1,0.2*R3807/B3807,J3806)</f>
        <v/>
      </c>
      <c r="K3807">
        <f>IF(G3807=1,0.2*R3807/C3807,K3806)</f>
        <v/>
      </c>
      <c r="L3807">
        <f>IF(G3807=1,0.2*R3807/D3807,L3806)</f>
        <v/>
      </c>
      <c r="M3807">
        <f>IF(G3807=1,0.2*R3807/E3807,M3806)</f>
        <v/>
      </c>
      <c r="N3807">
        <f>IF(G3807=1,0.2*R3807/F3807,N3806)</f>
        <v/>
      </c>
      <c r="O3807">
        <f>IF(G3807=1,R3807*(1-1.0),IF(H3806=0,1,O3806*(1+0.00023125256064071564)))</f>
        <v/>
      </c>
      <c r="P3807">
        <f>IF(G3807=1,IF(H3806=0,1,ABS(0.2-J3806*B3807/I3807)+ABS(0.2-K3806*C3807/I3807)+ABS(0.2-L3806*D3807/I3807)+ABS(0.2-M3806*E3807/I3807)+ABS(0.2-N3806*F3807/I3807)),0)</f>
        <v/>
      </c>
      <c r="Q3807">
        <f>P3807*0.0015</f>
        <v/>
      </c>
      <c r="R3807">
        <f>I3807*(1-Q3807)</f>
        <v/>
      </c>
      <c r="S3807">
        <f>R3807/R3806-1</f>
        <v/>
      </c>
      <c r="T3807">
        <f>MAX(T3806,R3807)</f>
        <v/>
      </c>
      <c r="U3807">
        <f>R3807/T3807-1</f>
        <v/>
      </c>
      <c r="V3807" t="n">
        <v>8.900582201983982</v>
      </c>
      <c r="W3807" s="5">
        <f>R3807-V3807</f>
        <v/>
      </c>
    </row>
    <row r="3808">
      <c r="A3808" s="3" t="n">
        <v>44050</v>
      </c>
      <c r="B3808">
        <f>Prices!B3808</f>
        <v/>
      </c>
      <c r="C3808">
        <f>Prices!C3808</f>
        <v/>
      </c>
      <c r="D3808">
        <f>Prices!D3808</f>
        <v/>
      </c>
      <c r="E3808">
        <f>Prices!E3808</f>
        <v/>
      </c>
      <c r="F3808">
        <f>Prices!F3808</f>
        <v/>
      </c>
      <c r="G3808">
        <f>IF(AND(3806&gt;=16,TEXT(A3808,"yyyy-mm")&lt;&gt;TEXT(A3809,"yyyy-mm")),1,0)</f>
        <v/>
      </c>
      <c r="H3808">
        <f>IF(OR(H3807=1,G3808=1),1,0)</f>
        <v/>
      </c>
      <c r="I3808">
        <f>IF(H3807=0,1,SUMPRODUCT(J3807:N3807,B3808:F3808)+O3807*(1+0.00023125256064071564))</f>
        <v/>
      </c>
      <c r="J3808">
        <f>IF(G3808=1,0.2*R3808/B3808,J3807)</f>
        <v/>
      </c>
      <c r="K3808">
        <f>IF(G3808=1,0.2*R3808/C3808,K3807)</f>
        <v/>
      </c>
      <c r="L3808">
        <f>IF(G3808=1,0.2*R3808/D3808,L3807)</f>
        <v/>
      </c>
      <c r="M3808">
        <f>IF(G3808=1,0.2*R3808/E3808,M3807)</f>
        <v/>
      </c>
      <c r="N3808">
        <f>IF(G3808=1,0.2*R3808/F3808,N3807)</f>
        <v/>
      </c>
      <c r="O3808">
        <f>IF(G3808=1,R3808*(1-1.0),IF(H3807=0,1,O3807*(1+0.00023125256064071564)))</f>
        <v/>
      </c>
      <c r="P3808">
        <f>IF(G3808=1,IF(H3807=0,1,ABS(0.2-J3807*B3808/I3808)+ABS(0.2-K3807*C3808/I3808)+ABS(0.2-L3807*D3808/I3808)+ABS(0.2-M3807*E3808/I3808)+ABS(0.2-N3807*F3808/I3808)),0)</f>
        <v/>
      </c>
      <c r="Q3808">
        <f>P3808*0.0015</f>
        <v/>
      </c>
      <c r="R3808">
        <f>I3808*(1-Q3808)</f>
        <v/>
      </c>
      <c r="S3808">
        <f>R3808/R3807-1</f>
        <v/>
      </c>
      <c r="T3808">
        <f>MAX(T3807,R3808)</f>
        <v/>
      </c>
      <c r="U3808">
        <f>R3808/T3808-1</f>
        <v/>
      </c>
      <c r="V3808" t="n">
        <v>8.967052334663673</v>
      </c>
      <c r="W3808" s="5">
        <f>R3808-V3808</f>
        <v/>
      </c>
    </row>
    <row r="3809">
      <c r="A3809" s="3" t="n">
        <v>44053</v>
      </c>
      <c r="B3809">
        <f>Prices!B3809</f>
        <v/>
      </c>
      <c r="C3809">
        <f>Prices!C3809</f>
        <v/>
      </c>
      <c r="D3809">
        <f>Prices!D3809</f>
        <v/>
      </c>
      <c r="E3809">
        <f>Prices!E3809</f>
        <v/>
      </c>
      <c r="F3809">
        <f>Prices!F3809</f>
        <v/>
      </c>
      <c r="G3809">
        <f>IF(AND(3807&gt;=16,TEXT(A3809,"yyyy-mm")&lt;&gt;TEXT(A3810,"yyyy-mm")),1,0)</f>
        <v/>
      </c>
      <c r="H3809">
        <f>IF(OR(H3808=1,G3809=1),1,0)</f>
        <v/>
      </c>
      <c r="I3809">
        <f>IF(H3808=0,1,SUMPRODUCT(J3808:N3808,B3809:F3809)+O3808*(1+0.00023125256064071564))</f>
        <v/>
      </c>
      <c r="J3809">
        <f>IF(G3809=1,0.2*R3809/B3809,J3808)</f>
        <v/>
      </c>
      <c r="K3809">
        <f>IF(G3809=1,0.2*R3809/C3809,K3808)</f>
        <v/>
      </c>
      <c r="L3809">
        <f>IF(G3809=1,0.2*R3809/D3809,L3808)</f>
        <v/>
      </c>
      <c r="M3809">
        <f>IF(G3809=1,0.2*R3809/E3809,M3808)</f>
        <v/>
      </c>
      <c r="N3809">
        <f>IF(G3809=1,0.2*R3809/F3809,N3808)</f>
        <v/>
      </c>
      <c r="O3809">
        <f>IF(G3809=1,R3809*(1-1.0),IF(H3808=0,1,O3808*(1+0.00023125256064071564)))</f>
        <v/>
      </c>
      <c r="P3809">
        <f>IF(G3809=1,IF(H3808=0,1,ABS(0.2-J3808*B3809/I3809)+ABS(0.2-K3808*C3809/I3809)+ABS(0.2-L3808*D3809/I3809)+ABS(0.2-M3808*E3809/I3809)+ABS(0.2-N3808*F3809/I3809)),0)</f>
        <v/>
      </c>
      <c r="Q3809">
        <f>P3809*0.0015</f>
        <v/>
      </c>
      <c r="R3809">
        <f>I3809*(1-Q3809)</f>
        <v/>
      </c>
      <c r="S3809">
        <f>R3809/R3808-1</f>
        <v/>
      </c>
      <c r="T3809">
        <f>MAX(T3808,R3809)</f>
        <v/>
      </c>
      <c r="U3809">
        <f>R3809/T3809-1</f>
        <v/>
      </c>
      <c r="V3809" t="n">
        <v>9.094087448111312</v>
      </c>
      <c r="W3809" s="5">
        <f>R3809-V3809</f>
        <v/>
      </c>
    </row>
    <row r="3810">
      <c r="A3810" s="3" t="n">
        <v>44054</v>
      </c>
      <c r="B3810">
        <f>Prices!B3810</f>
        <v/>
      </c>
      <c r="C3810">
        <f>Prices!C3810</f>
        <v/>
      </c>
      <c r="D3810">
        <f>Prices!D3810</f>
        <v/>
      </c>
      <c r="E3810">
        <f>Prices!E3810</f>
        <v/>
      </c>
      <c r="F3810">
        <f>Prices!F3810</f>
        <v/>
      </c>
      <c r="G3810">
        <f>IF(AND(3808&gt;=16,TEXT(A3810,"yyyy-mm")&lt;&gt;TEXT(A3811,"yyyy-mm")),1,0)</f>
        <v/>
      </c>
      <c r="H3810">
        <f>IF(OR(H3809=1,G3810=1),1,0)</f>
        <v/>
      </c>
      <c r="I3810">
        <f>IF(H3809=0,1,SUMPRODUCT(J3809:N3809,B3810:F3810)+O3809*(1+0.00023125256064071564))</f>
        <v/>
      </c>
      <c r="J3810">
        <f>IF(G3810=1,0.2*R3810/B3810,J3809)</f>
        <v/>
      </c>
      <c r="K3810">
        <f>IF(G3810=1,0.2*R3810/C3810,K3809)</f>
        <v/>
      </c>
      <c r="L3810">
        <f>IF(G3810=1,0.2*R3810/D3810,L3809)</f>
        <v/>
      </c>
      <c r="M3810">
        <f>IF(G3810=1,0.2*R3810/E3810,M3809)</f>
        <v/>
      </c>
      <c r="N3810">
        <f>IF(G3810=1,0.2*R3810/F3810,N3809)</f>
        <v/>
      </c>
      <c r="O3810">
        <f>IF(G3810=1,R3810*(1-1.0),IF(H3809=0,1,O3809*(1+0.00023125256064071564)))</f>
        <v/>
      </c>
      <c r="P3810">
        <f>IF(G3810=1,IF(H3809=0,1,ABS(0.2-J3809*B3810/I3810)+ABS(0.2-K3809*C3810/I3810)+ABS(0.2-L3809*D3810/I3810)+ABS(0.2-M3809*E3810/I3810)+ABS(0.2-N3809*F3810/I3810)),0)</f>
        <v/>
      </c>
      <c r="Q3810">
        <f>P3810*0.0015</f>
        <v/>
      </c>
      <c r="R3810">
        <f>I3810*(1-Q3810)</f>
        <v/>
      </c>
      <c r="S3810">
        <f>R3810/R3809-1</f>
        <v/>
      </c>
      <c r="T3810">
        <f>MAX(T3809,R3810)</f>
        <v/>
      </c>
      <c r="U3810">
        <f>R3810/T3810-1</f>
        <v/>
      </c>
      <c r="V3810" t="n">
        <v>9.061507058102141</v>
      </c>
      <c r="W3810" s="5">
        <f>R3810-V3810</f>
        <v/>
      </c>
    </row>
    <row r="3811">
      <c r="A3811" s="3" t="n">
        <v>44055</v>
      </c>
      <c r="B3811">
        <f>Prices!B3811</f>
        <v/>
      </c>
      <c r="C3811">
        <f>Prices!C3811</f>
        <v/>
      </c>
      <c r="D3811">
        <f>Prices!D3811</f>
        <v/>
      </c>
      <c r="E3811">
        <f>Prices!E3811</f>
        <v/>
      </c>
      <c r="F3811">
        <f>Prices!F3811</f>
        <v/>
      </c>
      <c r="G3811">
        <f>IF(AND(3809&gt;=16,TEXT(A3811,"yyyy-mm")&lt;&gt;TEXT(A3812,"yyyy-mm")),1,0)</f>
        <v/>
      </c>
      <c r="H3811">
        <f>IF(OR(H3810=1,G3811=1),1,0)</f>
        <v/>
      </c>
      <c r="I3811">
        <f>IF(H3810=0,1,SUMPRODUCT(J3810:N3810,B3811:F3811)+O3810*(1+0.00023125256064071564))</f>
        <v/>
      </c>
      <c r="J3811">
        <f>IF(G3811=1,0.2*R3811/B3811,J3810)</f>
        <v/>
      </c>
      <c r="K3811">
        <f>IF(G3811=1,0.2*R3811/C3811,K3810)</f>
        <v/>
      </c>
      <c r="L3811">
        <f>IF(G3811=1,0.2*R3811/D3811,L3810)</f>
        <v/>
      </c>
      <c r="M3811">
        <f>IF(G3811=1,0.2*R3811/E3811,M3810)</f>
        <v/>
      </c>
      <c r="N3811">
        <f>IF(G3811=1,0.2*R3811/F3811,N3810)</f>
        <v/>
      </c>
      <c r="O3811">
        <f>IF(G3811=1,R3811*(1-1.0),IF(H3810=0,1,O3810*(1+0.00023125256064071564)))</f>
        <v/>
      </c>
      <c r="P3811">
        <f>IF(G3811=1,IF(H3810=0,1,ABS(0.2-J3810*B3811/I3811)+ABS(0.2-K3810*C3811/I3811)+ABS(0.2-L3810*D3811/I3811)+ABS(0.2-M3810*E3811/I3811)+ABS(0.2-N3810*F3811/I3811)),0)</f>
        <v/>
      </c>
      <c r="Q3811">
        <f>P3811*0.0015</f>
        <v/>
      </c>
      <c r="R3811">
        <f>I3811*(1-Q3811)</f>
        <v/>
      </c>
      <c r="S3811">
        <f>R3811/R3810-1</f>
        <v/>
      </c>
      <c r="T3811">
        <f>MAX(T3810,R3811)</f>
        <v/>
      </c>
      <c r="U3811">
        <f>R3811/T3811-1</f>
        <v/>
      </c>
      <c r="V3811" t="n">
        <v>9.035116713787881</v>
      </c>
      <c r="W3811" s="5">
        <f>R3811-V3811</f>
        <v/>
      </c>
    </row>
    <row r="3812">
      <c r="A3812" s="3" t="n">
        <v>44056</v>
      </c>
      <c r="B3812">
        <f>Prices!B3812</f>
        <v/>
      </c>
      <c r="C3812">
        <f>Prices!C3812</f>
        <v/>
      </c>
      <c r="D3812">
        <f>Prices!D3812</f>
        <v/>
      </c>
      <c r="E3812">
        <f>Prices!E3812</f>
        <v/>
      </c>
      <c r="F3812">
        <f>Prices!F3812</f>
        <v/>
      </c>
      <c r="G3812">
        <f>IF(AND(3810&gt;=16,TEXT(A3812,"yyyy-mm")&lt;&gt;TEXT(A3813,"yyyy-mm")),1,0)</f>
        <v/>
      </c>
      <c r="H3812">
        <f>IF(OR(H3811=1,G3812=1),1,0)</f>
        <v/>
      </c>
      <c r="I3812">
        <f>IF(H3811=0,1,SUMPRODUCT(J3811:N3811,B3812:F3812)+O3811*(1+0.00023125256064071564))</f>
        <v/>
      </c>
      <c r="J3812">
        <f>IF(G3812=1,0.2*R3812/B3812,J3811)</f>
        <v/>
      </c>
      <c r="K3812">
        <f>IF(G3812=1,0.2*R3812/C3812,K3811)</f>
        <v/>
      </c>
      <c r="L3812">
        <f>IF(G3812=1,0.2*R3812/D3812,L3811)</f>
        <v/>
      </c>
      <c r="M3812">
        <f>IF(G3812=1,0.2*R3812/E3812,M3811)</f>
        <v/>
      </c>
      <c r="N3812">
        <f>IF(G3812=1,0.2*R3812/F3812,N3811)</f>
        <v/>
      </c>
      <c r="O3812">
        <f>IF(G3812=1,R3812*(1-1.0),IF(H3811=0,1,O3811*(1+0.00023125256064071564)))</f>
        <v/>
      </c>
      <c r="P3812">
        <f>IF(G3812=1,IF(H3811=0,1,ABS(0.2-J3811*B3812/I3812)+ABS(0.2-K3811*C3812/I3812)+ABS(0.2-L3811*D3812/I3812)+ABS(0.2-M3811*E3812/I3812)+ABS(0.2-N3811*F3812/I3812)),0)</f>
        <v/>
      </c>
      <c r="Q3812">
        <f>P3812*0.0015</f>
        <v/>
      </c>
      <c r="R3812">
        <f>I3812*(1-Q3812)</f>
        <v/>
      </c>
      <c r="S3812">
        <f>R3812/R3811-1</f>
        <v/>
      </c>
      <c r="T3812">
        <f>MAX(T3811,R3812)</f>
        <v/>
      </c>
      <c r="U3812">
        <f>R3812/T3812-1</f>
        <v/>
      </c>
      <c r="V3812" t="n">
        <v>9.072982509180383</v>
      </c>
      <c r="W3812" s="5">
        <f>R3812-V3812</f>
        <v/>
      </c>
    </row>
    <row r="3813">
      <c r="A3813" s="3" t="n">
        <v>44057</v>
      </c>
      <c r="B3813">
        <f>Prices!B3813</f>
        <v/>
      </c>
      <c r="C3813">
        <f>Prices!C3813</f>
        <v/>
      </c>
      <c r="D3813">
        <f>Prices!D3813</f>
        <v/>
      </c>
      <c r="E3813">
        <f>Prices!E3813</f>
        <v/>
      </c>
      <c r="F3813">
        <f>Prices!F3813</f>
        <v/>
      </c>
      <c r="G3813">
        <f>IF(AND(3811&gt;=16,TEXT(A3813,"yyyy-mm")&lt;&gt;TEXT(A3814,"yyyy-mm")),1,0)</f>
        <v/>
      </c>
      <c r="H3813">
        <f>IF(OR(H3812=1,G3813=1),1,0)</f>
        <v/>
      </c>
      <c r="I3813">
        <f>IF(H3812=0,1,SUMPRODUCT(J3812:N3812,B3813:F3813)+O3812*(1+0.00023125256064071564))</f>
        <v/>
      </c>
      <c r="J3813">
        <f>IF(G3813=1,0.2*R3813/B3813,J3812)</f>
        <v/>
      </c>
      <c r="K3813">
        <f>IF(G3813=1,0.2*R3813/C3813,K3812)</f>
        <v/>
      </c>
      <c r="L3813">
        <f>IF(G3813=1,0.2*R3813/D3813,L3812)</f>
        <v/>
      </c>
      <c r="M3813">
        <f>IF(G3813=1,0.2*R3813/E3813,M3812)</f>
        <v/>
      </c>
      <c r="N3813">
        <f>IF(G3813=1,0.2*R3813/F3813,N3812)</f>
        <v/>
      </c>
      <c r="O3813">
        <f>IF(G3813=1,R3813*(1-1.0),IF(H3812=0,1,O3812*(1+0.00023125256064071564)))</f>
        <v/>
      </c>
      <c r="P3813">
        <f>IF(G3813=1,IF(H3812=0,1,ABS(0.2-J3812*B3813/I3813)+ABS(0.2-K3812*C3813/I3813)+ABS(0.2-L3812*D3813/I3813)+ABS(0.2-M3812*E3813/I3813)+ABS(0.2-N3812*F3813/I3813)),0)</f>
        <v/>
      </c>
      <c r="Q3813">
        <f>P3813*0.0015</f>
        <v/>
      </c>
      <c r="R3813">
        <f>I3813*(1-Q3813)</f>
        <v/>
      </c>
      <c r="S3813">
        <f>R3813/R3812-1</f>
        <v/>
      </c>
      <c r="T3813">
        <f>MAX(T3812,R3813)</f>
        <v/>
      </c>
      <c r="U3813">
        <f>R3813/T3813-1</f>
        <v/>
      </c>
      <c r="V3813" t="n">
        <v>9.004746882432428</v>
      </c>
      <c r="W3813" s="5">
        <f>R3813-V3813</f>
        <v/>
      </c>
    </row>
    <row r="3814">
      <c r="A3814" s="3" t="n">
        <v>44060</v>
      </c>
      <c r="B3814">
        <f>Prices!B3814</f>
        <v/>
      </c>
      <c r="C3814">
        <f>Prices!C3814</f>
        <v/>
      </c>
      <c r="D3814">
        <f>Prices!D3814</f>
        <v/>
      </c>
      <c r="E3814">
        <f>Prices!E3814</f>
        <v/>
      </c>
      <c r="F3814">
        <f>Prices!F3814</f>
        <v/>
      </c>
      <c r="G3814">
        <f>IF(AND(3812&gt;=16,TEXT(A3814,"yyyy-mm")&lt;&gt;TEXT(A3815,"yyyy-mm")),1,0)</f>
        <v/>
      </c>
      <c r="H3814">
        <f>IF(OR(H3813=1,G3814=1),1,0)</f>
        <v/>
      </c>
      <c r="I3814">
        <f>IF(H3813=0,1,SUMPRODUCT(J3813:N3813,B3814:F3814)+O3813*(1+0.00023125256064071564))</f>
        <v/>
      </c>
      <c r="J3814">
        <f>IF(G3814=1,0.2*R3814/B3814,J3813)</f>
        <v/>
      </c>
      <c r="K3814">
        <f>IF(G3814=1,0.2*R3814/C3814,K3813)</f>
        <v/>
      </c>
      <c r="L3814">
        <f>IF(G3814=1,0.2*R3814/D3814,L3813)</f>
        <v/>
      </c>
      <c r="M3814">
        <f>IF(G3814=1,0.2*R3814/E3814,M3813)</f>
        <v/>
      </c>
      <c r="N3814">
        <f>IF(G3814=1,0.2*R3814/F3814,N3813)</f>
        <v/>
      </c>
      <c r="O3814">
        <f>IF(G3814=1,R3814*(1-1.0),IF(H3813=0,1,O3813*(1+0.00023125256064071564)))</f>
        <v/>
      </c>
      <c r="P3814">
        <f>IF(G3814=1,IF(H3813=0,1,ABS(0.2-J3813*B3814/I3814)+ABS(0.2-K3813*C3814/I3814)+ABS(0.2-L3813*D3814/I3814)+ABS(0.2-M3813*E3814/I3814)+ABS(0.2-N3813*F3814/I3814)),0)</f>
        <v/>
      </c>
      <c r="Q3814">
        <f>P3814*0.0015</f>
        <v/>
      </c>
      <c r="R3814">
        <f>I3814*(1-Q3814)</f>
        <v/>
      </c>
      <c r="S3814">
        <f>R3814/R3813-1</f>
        <v/>
      </c>
      <c r="T3814">
        <f>MAX(T3813,R3814)</f>
        <v/>
      </c>
      <c r="U3814">
        <f>R3814/T3814-1</f>
        <v/>
      </c>
      <c r="V3814" t="n">
        <v>9.082332233564417</v>
      </c>
      <c r="W3814" s="5">
        <f>R3814-V3814</f>
        <v/>
      </c>
    </row>
    <row r="3815">
      <c r="A3815" s="3" t="n">
        <v>44061</v>
      </c>
      <c r="B3815">
        <f>Prices!B3815</f>
        <v/>
      </c>
      <c r="C3815">
        <f>Prices!C3815</f>
        <v/>
      </c>
      <c r="D3815">
        <f>Prices!D3815</f>
        <v/>
      </c>
      <c r="E3815">
        <f>Prices!E3815</f>
        <v/>
      </c>
      <c r="F3815">
        <f>Prices!F3815</f>
        <v/>
      </c>
      <c r="G3815">
        <f>IF(AND(3813&gt;=16,TEXT(A3815,"yyyy-mm")&lt;&gt;TEXT(A3816,"yyyy-mm")),1,0)</f>
        <v/>
      </c>
      <c r="H3815">
        <f>IF(OR(H3814=1,G3815=1),1,0)</f>
        <v/>
      </c>
      <c r="I3815">
        <f>IF(H3814=0,1,SUMPRODUCT(J3814:N3814,B3815:F3815)+O3814*(1+0.00023125256064071564))</f>
        <v/>
      </c>
      <c r="J3815">
        <f>IF(G3815=1,0.2*R3815/B3815,J3814)</f>
        <v/>
      </c>
      <c r="K3815">
        <f>IF(G3815=1,0.2*R3815/C3815,K3814)</f>
        <v/>
      </c>
      <c r="L3815">
        <f>IF(G3815=1,0.2*R3815/D3815,L3814)</f>
        <v/>
      </c>
      <c r="M3815">
        <f>IF(G3815=1,0.2*R3815/E3815,M3814)</f>
        <v/>
      </c>
      <c r="N3815">
        <f>IF(G3815=1,0.2*R3815/F3815,N3814)</f>
        <v/>
      </c>
      <c r="O3815">
        <f>IF(G3815=1,R3815*(1-1.0),IF(H3814=0,1,O3814*(1+0.00023125256064071564)))</f>
        <v/>
      </c>
      <c r="P3815">
        <f>IF(G3815=1,IF(H3814=0,1,ABS(0.2-J3814*B3815/I3815)+ABS(0.2-K3814*C3815/I3815)+ABS(0.2-L3814*D3815/I3815)+ABS(0.2-M3814*E3815/I3815)+ABS(0.2-N3814*F3815/I3815)),0)</f>
        <v/>
      </c>
      <c r="Q3815">
        <f>P3815*0.0015</f>
        <v/>
      </c>
      <c r="R3815">
        <f>I3815*(1-Q3815)</f>
        <v/>
      </c>
      <c r="S3815">
        <f>R3815/R3814-1</f>
        <v/>
      </c>
      <c r="T3815">
        <f>MAX(T3814,R3815)</f>
        <v/>
      </c>
      <c r="U3815">
        <f>R3815/T3815-1</f>
        <v/>
      </c>
      <c r="V3815" t="n">
        <v>9.166633672106657</v>
      </c>
      <c r="W3815" s="5">
        <f>R3815-V3815</f>
        <v/>
      </c>
    </row>
    <row r="3816">
      <c r="A3816" s="3" t="n">
        <v>44062</v>
      </c>
      <c r="B3816">
        <f>Prices!B3816</f>
        <v/>
      </c>
      <c r="C3816">
        <f>Prices!C3816</f>
        <v/>
      </c>
      <c r="D3816">
        <f>Prices!D3816</f>
        <v/>
      </c>
      <c r="E3816">
        <f>Prices!E3816</f>
        <v/>
      </c>
      <c r="F3816">
        <f>Prices!F3816</f>
        <v/>
      </c>
      <c r="G3816">
        <f>IF(AND(3814&gt;=16,TEXT(A3816,"yyyy-mm")&lt;&gt;TEXT(A3817,"yyyy-mm")),1,0)</f>
        <v/>
      </c>
      <c r="H3816">
        <f>IF(OR(H3815=1,G3816=1),1,0)</f>
        <v/>
      </c>
      <c r="I3816">
        <f>IF(H3815=0,1,SUMPRODUCT(J3815:N3815,B3816:F3816)+O3815*(1+0.00023125256064071564))</f>
        <v/>
      </c>
      <c r="J3816">
        <f>IF(G3816=1,0.2*R3816/B3816,J3815)</f>
        <v/>
      </c>
      <c r="K3816">
        <f>IF(G3816=1,0.2*R3816/C3816,K3815)</f>
        <v/>
      </c>
      <c r="L3816">
        <f>IF(G3816=1,0.2*R3816/D3816,L3815)</f>
        <v/>
      </c>
      <c r="M3816">
        <f>IF(G3816=1,0.2*R3816/E3816,M3815)</f>
        <v/>
      </c>
      <c r="N3816">
        <f>IF(G3816=1,0.2*R3816/F3816,N3815)</f>
        <v/>
      </c>
      <c r="O3816">
        <f>IF(G3816=1,R3816*(1-1.0),IF(H3815=0,1,O3815*(1+0.00023125256064071564)))</f>
        <v/>
      </c>
      <c r="P3816">
        <f>IF(G3816=1,IF(H3815=0,1,ABS(0.2-J3815*B3816/I3816)+ABS(0.2-K3815*C3816/I3816)+ABS(0.2-L3815*D3816/I3816)+ABS(0.2-M3815*E3816/I3816)+ABS(0.2-N3815*F3816/I3816)),0)</f>
        <v/>
      </c>
      <c r="Q3816">
        <f>P3816*0.0015</f>
        <v/>
      </c>
      <c r="R3816">
        <f>I3816*(1-Q3816)</f>
        <v/>
      </c>
      <c r="S3816">
        <f>R3816/R3815-1</f>
        <v/>
      </c>
      <c r="T3816">
        <f>MAX(T3815,R3816)</f>
        <v/>
      </c>
      <c r="U3816">
        <f>R3816/T3816-1</f>
        <v/>
      </c>
      <c r="V3816" t="n">
        <v>9.187687649417622</v>
      </c>
      <c r="W3816" s="5">
        <f>R3816-V3816</f>
        <v/>
      </c>
    </row>
    <row r="3817">
      <c r="A3817" s="3" t="n">
        <v>44063</v>
      </c>
      <c r="B3817">
        <f>Prices!B3817</f>
        <v/>
      </c>
      <c r="C3817">
        <f>Prices!C3817</f>
        <v/>
      </c>
      <c r="D3817">
        <f>Prices!D3817</f>
        <v/>
      </c>
      <c r="E3817">
        <f>Prices!E3817</f>
        <v/>
      </c>
      <c r="F3817">
        <f>Prices!F3817</f>
        <v/>
      </c>
      <c r="G3817">
        <f>IF(AND(3815&gt;=16,TEXT(A3817,"yyyy-mm")&lt;&gt;TEXT(A3818,"yyyy-mm")),1,0)</f>
        <v/>
      </c>
      <c r="H3817">
        <f>IF(OR(H3816=1,G3817=1),1,0)</f>
        <v/>
      </c>
      <c r="I3817">
        <f>IF(H3816=0,1,SUMPRODUCT(J3816:N3816,B3817:F3817)+O3816*(1+0.00023125256064071564))</f>
        <v/>
      </c>
      <c r="J3817">
        <f>IF(G3817=1,0.2*R3817/B3817,J3816)</f>
        <v/>
      </c>
      <c r="K3817">
        <f>IF(G3817=1,0.2*R3817/C3817,K3816)</f>
        <v/>
      </c>
      <c r="L3817">
        <f>IF(G3817=1,0.2*R3817/D3817,L3816)</f>
        <v/>
      </c>
      <c r="M3817">
        <f>IF(G3817=1,0.2*R3817/E3817,M3816)</f>
        <v/>
      </c>
      <c r="N3817">
        <f>IF(G3817=1,0.2*R3817/F3817,N3816)</f>
        <v/>
      </c>
      <c r="O3817">
        <f>IF(G3817=1,R3817*(1-1.0),IF(H3816=0,1,O3816*(1+0.00023125256064071564)))</f>
        <v/>
      </c>
      <c r="P3817">
        <f>IF(G3817=1,IF(H3816=0,1,ABS(0.2-J3816*B3817/I3817)+ABS(0.2-K3816*C3817/I3817)+ABS(0.2-L3816*D3817/I3817)+ABS(0.2-M3816*E3817/I3817)+ABS(0.2-N3816*F3817/I3817)),0)</f>
        <v/>
      </c>
      <c r="Q3817">
        <f>P3817*0.0015</f>
        <v/>
      </c>
      <c r="R3817">
        <f>I3817*(1-Q3817)</f>
        <v/>
      </c>
      <c r="S3817">
        <f>R3817/R3816-1</f>
        <v/>
      </c>
      <c r="T3817">
        <f>MAX(T3816,R3817)</f>
        <v/>
      </c>
      <c r="U3817">
        <f>R3817/T3817-1</f>
        <v/>
      </c>
      <c r="V3817" t="n">
        <v>9.225446403415848</v>
      </c>
      <c r="W3817" s="5">
        <f>R3817-V3817</f>
        <v/>
      </c>
    </row>
    <row r="3818">
      <c r="A3818" s="3" t="n">
        <v>44064</v>
      </c>
      <c r="B3818">
        <f>Prices!B3818</f>
        <v/>
      </c>
      <c r="C3818">
        <f>Prices!C3818</f>
        <v/>
      </c>
      <c r="D3818">
        <f>Prices!D3818</f>
        <v/>
      </c>
      <c r="E3818">
        <f>Prices!E3818</f>
        <v/>
      </c>
      <c r="F3818">
        <f>Prices!F3818</f>
        <v/>
      </c>
      <c r="G3818">
        <f>IF(AND(3816&gt;=16,TEXT(A3818,"yyyy-mm")&lt;&gt;TEXT(A3819,"yyyy-mm")),1,0)</f>
        <v/>
      </c>
      <c r="H3818">
        <f>IF(OR(H3817=1,G3818=1),1,0)</f>
        <v/>
      </c>
      <c r="I3818">
        <f>IF(H3817=0,1,SUMPRODUCT(J3817:N3817,B3818:F3818)+O3817*(1+0.00023125256064071564))</f>
        <v/>
      </c>
      <c r="J3818">
        <f>IF(G3818=1,0.2*R3818/B3818,J3817)</f>
        <v/>
      </c>
      <c r="K3818">
        <f>IF(G3818=1,0.2*R3818/C3818,K3817)</f>
        <v/>
      </c>
      <c r="L3818">
        <f>IF(G3818=1,0.2*R3818/D3818,L3817)</f>
        <v/>
      </c>
      <c r="M3818">
        <f>IF(G3818=1,0.2*R3818/E3818,M3817)</f>
        <v/>
      </c>
      <c r="N3818">
        <f>IF(G3818=1,0.2*R3818/F3818,N3817)</f>
        <v/>
      </c>
      <c r="O3818">
        <f>IF(G3818=1,R3818*(1-1.0),IF(H3817=0,1,O3817*(1+0.00023125256064071564)))</f>
        <v/>
      </c>
      <c r="P3818">
        <f>IF(G3818=1,IF(H3817=0,1,ABS(0.2-J3817*B3818/I3818)+ABS(0.2-K3817*C3818/I3818)+ABS(0.2-L3817*D3818/I3818)+ABS(0.2-M3817*E3818/I3818)+ABS(0.2-N3817*F3818/I3818)),0)</f>
        <v/>
      </c>
      <c r="Q3818">
        <f>P3818*0.0015</f>
        <v/>
      </c>
      <c r="R3818">
        <f>I3818*(1-Q3818)</f>
        <v/>
      </c>
      <c r="S3818">
        <f>R3818/R3817-1</f>
        <v/>
      </c>
      <c r="T3818">
        <f>MAX(T3817,R3818)</f>
        <v/>
      </c>
      <c r="U3818">
        <f>R3818/T3818-1</f>
        <v/>
      </c>
      <c r="V3818" t="n">
        <v>9.288771636142654</v>
      </c>
      <c r="W3818" s="5">
        <f>R3818-V3818</f>
        <v/>
      </c>
    </row>
    <row r="3819">
      <c r="A3819" s="3" t="n">
        <v>44067</v>
      </c>
      <c r="B3819">
        <f>Prices!B3819</f>
        <v/>
      </c>
      <c r="C3819">
        <f>Prices!C3819</f>
        <v/>
      </c>
      <c r="D3819">
        <f>Prices!D3819</f>
        <v/>
      </c>
      <c r="E3819">
        <f>Prices!E3819</f>
        <v/>
      </c>
      <c r="F3819">
        <f>Prices!F3819</f>
        <v/>
      </c>
      <c r="G3819">
        <f>IF(AND(3817&gt;=16,TEXT(A3819,"yyyy-mm")&lt;&gt;TEXT(A3820,"yyyy-mm")),1,0)</f>
        <v/>
      </c>
      <c r="H3819">
        <f>IF(OR(H3818=1,G3819=1),1,0)</f>
        <v/>
      </c>
      <c r="I3819">
        <f>IF(H3818=0,1,SUMPRODUCT(J3818:N3818,B3819:F3819)+O3818*(1+0.00023125256064071564))</f>
        <v/>
      </c>
      <c r="J3819">
        <f>IF(G3819=1,0.2*R3819/B3819,J3818)</f>
        <v/>
      </c>
      <c r="K3819">
        <f>IF(G3819=1,0.2*R3819/C3819,K3818)</f>
        <v/>
      </c>
      <c r="L3819">
        <f>IF(G3819=1,0.2*R3819/D3819,L3818)</f>
        <v/>
      </c>
      <c r="M3819">
        <f>IF(G3819=1,0.2*R3819/E3819,M3818)</f>
        <v/>
      </c>
      <c r="N3819">
        <f>IF(G3819=1,0.2*R3819/F3819,N3818)</f>
        <v/>
      </c>
      <c r="O3819">
        <f>IF(G3819=1,R3819*(1-1.0),IF(H3818=0,1,O3818*(1+0.00023125256064071564)))</f>
        <v/>
      </c>
      <c r="P3819">
        <f>IF(G3819=1,IF(H3818=0,1,ABS(0.2-J3818*B3819/I3819)+ABS(0.2-K3818*C3819/I3819)+ABS(0.2-L3818*D3819/I3819)+ABS(0.2-M3818*E3819/I3819)+ABS(0.2-N3818*F3819/I3819)),0)</f>
        <v/>
      </c>
      <c r="Q3819">
        <f>P3819*0.0015</f>
        <v/>
      </c>
      <c r="R3819">
        <f>I3819*(1-Q3819)</f>
        <v/>
      </c>
      <c r="S3819">
        <f>R3819/R3818-1</f>
        <v/>
      </c>
      <c r="T3819">
        <f>MAX(T3818,R3819)</f>
        <v/>
      </c>
      <c r="U3819">
        <f>R3819/T3819-1</f>
        <v/>
      </c>
      <c r="V3819" t="n">
        <v>9.337458426648368</v>
      </c>
      <c r="W3819" s="5">
        <f>R3819-V3819</f>
        <v/>
      </c>
    </row>
    <row r="3820">
      <c r="A3820" s="3" t="n">
        <v>44068</v>
      </c>
      <c r="B3820">
        <f>Prices!B3820</f>
        <v/>
      </c>
      <c r="C3820">
        <f>Prices!C3820</f>
        <v/>
      </c>
      <c r="D3820">
        <f>Prices!D3820</f>
        <v/>
      </c>
      <c r="E3820">
        <f>Prices!E3820</f>
        <v/>
      </c>
      <c r="F3820">
        <f>Prices!F3820</f>
        <v/>
      </c>
      <c r="G3820">
        <f>IF(AND(3818&gt;=16,TEXT(A3820,"yyyy-mm")&lt;&gt;TEXT(A3821,"yyyy-mm")),1,0)</f>
        <v/>
      </c>
      <c r="H3820">
        <f>IF(OR(H3819=1,G3820=1),1,0)</f>
        <v/>
      </c>
      <c r="I3820">
        <f>IF(H3819=0,1,SUMPRODUCT(J3819:N3819,B3820:F3820)+O3819*(1+0.00023125256064071564))</f>
        <v/>
      </c>
      <c r="J3820">
        <f>IF(G3820=1,0.2*R3820/B3820,J3819)</f>
        <v/>
      </c>
      <c r="K3820">
        <f>IF(G3820=1,0.2*R3820/C3820,K3819)</f>
        <v/>
      </c>
      <c r="L3820">
        <f>IF(G3820=1,0.2*R3820/D3820,L3819)</f>
        <v/>
      </c>
      <c r="M3820">
        <f>IF(G3820=1,0.2*R3820/E3820,M3819)</f>
        <v/>
      </c>
      <c r="N3820">
        <f>IF(G3820=1,0.2*R3820/F3820,N3819)</f>
        <v/>
      </c>
      <c r="O3820">
        <f>IF(G3820=1,R3820*(1-1.0),IF(H3819=0,1,O3819*(1+0.00023125256064071564)))</f>
        <v/>
      </c>
      <c r="P3820">
        <f>IF(G3820=1,IF(H3819=0,1,ABS(0.2-J3819*B3820/I3820)+ABS(0.2-K3819*C3820/I3820)+ABS(0.2-L3819*D3820/I3820)+ABS(0.2-M3819*E3820/I3820)+ABS(0.2-N3819*F3820/I3820)),0)</f>
        <v/>
      </c>
      <c r="Q3820">
        <f>P3820*0.0015</f>
        <v/>
      </c>
      <c r="R3820">
        <f>I3820*(1-Q3820)</f>
        <v/>
      </c>
      <c r="S3820">
        <f>R3820/R3819-1</f>
        <v/>
      </c>
      <c r="T3820">
        <f>MAX(T3819,R3820)</f>
        <v/>
      </c>
      <c r="U3820">
        <f>R3820/T3820-1</f>
        <v/>
      </c>
      <c r="V3820" t="n">
        <v>9.345832551280481</v>
      </c>
      <c r="W3820" s="5">
        <f>R3820-V3820</f>
        <v/>
      </c>
    </row>
    <row r="3821">
      <c r="A3821" s="3" t="n">
        <v>44069</v>
      </c>
      <c r="B3821">
        <f>Prices!B3821</f>
        <v/>
      </c>
      <c r="C3821">
        <f>Prices!C3821</f>
        <v/>
      </c>
      <c r="D3821">
        <f>Prices!D3821</f>
        <v/>
      </c>
      <c r="E3821">
        <f>Prices!E3821</f>
        <v/>
      </c>
      <c r="F3821">
        <f>Prices!F3821</f>
        <v/>
      </c>
      <c r="G3821">
        <f>IF(AND(3819&gt;=16,TEXT(A3821,"yyyy-mm")&lt;&gt;TEXT(A3822,"yyyy-mm")),1,0)</f>
        <v/>
      </c>
      <c r="H3821">
        <f>IF(OR(H3820=1,G3821=1),1,0)</f>
        <v/>
      </c>
      <c r="I3821">
        <f>IF(H3820=0,1,SUMPRODUCT(J3820:N3820,B3821:F3821)+O3820*(1+0.00023125256064071564))</f>
        <v/>
      </c>
      <c r="J3821">
        <f>IF(G3821=1,0.2*R3821/B3821,J3820)</f>
        <v/>
      </c>
      <c r="K3821">
        <f>IF(G3821=1,0.2*R3821/C3821,K3820)</f>
        <v/>
      </c>
      <c r="L3821">
        <f>IF(G3821=1,0.2*R3821/D3821,L3820)</f>
        <v/>
      </c>
      <c r="M3821">
        <f>IF(G3821=1,0.2*R3821/E3821,M3820)</f>
        <v/>
      </c>
      <c r="N3821">
        <f>IF(G3821=1,0.2*R3821/F3821,N3820)</f>
        <v/>
      </c>
      <c r="O3821">
        <f>IF(G3821=1,R3821*(1-1.0),IF(H3820=0,1,O3820*(1+0.00023125256064071564)))</f>
        <v/>
      </c>
      <c r="P3821">
        <f>IF(G3821=1,IF(H3820=0,1,ABS(0.2-J3820*B3821/I3821)+ABS(0.2-K3820*C3821/I3821)+ABS(0.2-L3820*D3821/I3821)+ABS(0.2-M3820*E3821/I3821)+ABS(0.2-N3820*F3821/I3821)),0)</f>
        <v/>
      </c>
      <c r="Q3821">
        <f>P3821*0.0015</f>
        <v/>
      </c>
      <c r="R3821">
        <f>I3821*(1-Q3821)</f>
        <v/>
      </c>
      <c r="S3821">
        <f>R3821/R3820-1</f>
        <v/>
      </c>
      <c r="T3821">
        <f>MAX(T3820,R3821)</f>
        <v/>
      </c>
      <c r="U3821">
        <f>R3821/T3821-1</f>
        <v/>
      </c>
      <c r="V3821" t="n">
        <v>9.361776843259022</v>
      </c>
      <c r="W3821" s="5">
        <f>R3821-V3821</f>
        <v/>
      </c>
    </row>
    <row r="3822">
      <c r="A3822" s="3" t="n">
        <v>44070</v>
      </c>
      <c r="B3822">
        <f>Prices!B3822</f>
        <v/>
      </c>
      <c r="C3822">
        <f>Prices!C3822</f>
        <v/>
      </c>
      <c r="D3822">
        <f>Prices!D3822</f>
        <v/>
      </c>
      <c r="E3822">
        <f>Prices!E3822</f>
        <v/>
      </c>
      <c r="F3822">
        <f>Prices!F3822</f>
        <v/>
      </c>
      <c r="G3822">
        <f>IF(AND(3820&gt;=16,TEXT(A3822,"yyyy-mm")&lt;&gt;TEXT(A3823,"yyyy-mm")),1,0)</f>
        <v/>
      </c>
      <c r="H3822">
        <f>IF(OR(H3821=1,G3822=1),1,0)</f>
        <v/>
      </c>
      <c r="I3822">
        <f>IF(H3821=0,1,SUMPRODUCT(J3821:N3821,B3822:F3822)+O3821*(1+0.00023125256064071564))</f>
        <v/>
      </c>
      <c r="J3822">
        <f>IF(G3822=1,0.2*R3822/B3822,J3821)</f>
        <v/>
      </c>
      <c r="K3822">
        <f>IF(G3822=1,0.2*R3822/C3822,K3821)</f>
        <v/>
      </c>
      <c r="L3822">
        <f>IF(G3822=1,0.2*R3822/D3822,L3821)</f>
        <v/>
      </c>
      <c r="M3822">
        <f>IF(G3822=1,0.2*R3822/E3822,M3821)</f>
        <v/>
      </c>
      <c r="N3822">
        <f>IF(G3822=1,0.2*R3822/F3822,N3821)</f>
        <v/>
      </c>
      <c r="O3822">
        <f>IF(G3822=1,R3822*(1-1.0),IF(H3821=0,1,O3821*(1+0.00023125256064071564)))</f>
        <v/>
      </c>
      <c r="P3822">
        <f>IF(G3822=1,IF(H3821=0,1,ABS(0.2-J3821*B3822/I3822)+ABS(0.2-K3821*C3822/I3822)+ABS(0.2-L3821*D3822/I3822)+ABS(0.2-M3821*E3822/I3822)+ABS(0.2-N3821*F3822/I3822)),0)</f>
        <v/>
      </c>
      <c r="Q3822">
        <f>P3822*0.0015</f>
        <v/>
      </c>
      <c r="R3822">
        <f>I3822*(1-Q3822)</f>
        <v/>
      </c>
      <c r="S3822">
        <f>R3822/R3821-1</f>
        <v/>
      </c>
      <c r="T3822">
        <f>MAX(T3821,R3822)</f>
        <v/>
      </c>
      <c r="U3822">
        <f>R3822/T3822-1</f>
        <v/>
      </c>
      <c r="V3822" t="n">
        <v>9.360426210398719</v>
      </c>
      <c r="W3822" s="5">
        <f>R3822-V3822</f>
        <v/>
      </c>
    </row>
    <row r="3823">
      <c r="A3823" s="3" t="n">
        <v>44071</v>
      </c>
      <c r="B3823">
        <f>Prices!B3823</f>
        <v/>
      </c>
      <c r="C3823">
        <f>Prices!C3823</f>
        <v/>
      </c>
      <c r="D3823">
        <f>Prices!D3823</f>
        <v/>
      </c>
      <c r="E3823">
        <f>Prices!E3823</f>
        <v/>
      </c>
      <c r="F3823">
        <f>Prices!F3823</f>
        <v/>
      </c>
      <c r="G3823">
        <f>IF(AND(3821&gt;=16,TEXT(A3823,"yyyy-mm")&lt;&gt;TEXT(A3824,"yyyy-mm")),1,0)</f>
        <v/>
      </c>
      <c r="H3823">
        <f>IF(OR(H3822=1,G3823=1),1,0)</f>
        <v/>
      </c>
      <c r="I3823">
        <f>IF(H3822=0,1,SUMPRODUCT(J3822:N3822,B3823:F3823)+O3822*(1+0.00023125256064071564))</f>
        <v/>
      </c>
      <c r="J3823">
        <f>IF(G3823=1,0.2*R3823/B3823,J3822)</f>
        <v/>
      </c>
      <c r="K3823">
        <f>IF(G3823=1,0.2*R3823/C3823,K3822)</f>
        <v/>
      </c>
      <c r="L3823">
        <f>IF(G3823=1,0.2*R3823/D3823,L3822)</f>
        <v/>
      </c>
      <c r="M3823">
        <f>IF(G3823=1,0.2*R3823/E3823,M3822)</f>
        <v/>
      </c>
      <c r="N3823">
        <f>IF(G3823=1,0.2*R3823/F3823,N3822)</f>
        <v/>
      </c>
      <c r="O3823">
        <f>IF(G3823=1,R3823*(1-1.0),IF(H3822=0,1,O3822*(1+0.00023125256064071564)))</f>
        <v/>
      </c>
      <c r="P3823">
        <f>IF(G3823=1,IF(H3822=0,1,ABS(0.2-J3822*B3823/I3823)+ABS(0.2-K3822*C3823/I3823)+ABS(0.2-L3822*D3823/I3823)+ABS(0.2-M3822*E3823/I3823)+ABS(0.2-N3822*F3823/I3823)),0)</f>
        <v/>
      </c>
      <c r="Q3823">
        <f>P3823*0.0015</f>
        <v/>
      </c>
      <c r="R3823">
        <f>I3823*(1-Q3823)</f>
        <v/>
      </c>
      <c r="S3823">
        <f>R3823/R3822-1</f>
        <v/>
      </c>
      <c r="T3823">
        <f>MAX(T3822,R3823)</f>
        <v/>
      </c>
      <c r="U3823">
        <f>R3823/T3823-1</f>
        <v/>
      </c>
      <c r="V3823" t="n">
        <v>9.354394207077631</v>
      </c>
      <c r="W3823" s="5">
        <f>R3823-V3823</f>
        <v/>
      </c>
    </row>
    <row r="3824">
      <c r="A3824" s="3" t="n">
        <v>44074</v>
      </c>
      <c r="B3824">
        <f>Prices!B3824</f>
        <v/>
      </c>
      <c r="C3824">
        <f>Prices!C3824</f>
        <v/>
      </c>
      <c r="D3824">
        <f>Prices!D3824</f>
        <v/>
      </c>
      <c r="E3824">
        <f>Prices!E3824</f>
        <v/>
      </c>
      <c r="F3824">
        <f>Prices!F3824</f>
        <v/>
      </c>
      <c r="G3824">
        <f>IF(AND(3822&gt;=16,TEXT(A3824,"yyyy-mm")&lt;&gt;TEXT(A3825,"yyyy-mm")),1,0)</f>
        <v/>
      </c>
      <c r="H3824">
        <f>IF(OR(H3823=1,G3824=1),1,0)</f>
        <v/>
      </c>
      <c r="I3824">
        <f>IF(H3823=0,1,SUMPRODUCT(J3823:N3823,B3824:F3824)+O3823*(1+0.00023125256064071564))</f>
        <v/>
      </c>
      <c r="J3824">
        <f>IF(G3824=1,0.2*R3824/B3824,J3823)</f>
        <v/>
      </c>
      <c r="K3824">
        <f>IF(G3824=1,0.2*R3824/C3824,K3823)</f>
        <v/>
      </c>
      <c r="L3824">
        <f>IF(G3824=1,0.2*R3824/D3824,L3823)</f>
        <v/>
      </c>
      <c r="M3824">
        <f>IF(G3824=1,0.2*R3824/E3824,M3823)</f>
        <v/>
      </c>
      <c r="N3824">
        <f>IF(G3824=1,0.2*R3824/F3824,N3823)</f>
        <v/>
      </c>
      <c r="O3824">
        <f>IF(G3824=1,R3824*(1-1.0),IF(H3823=0,1,O3823*(1+0.00023125256064071564)))</f>
        <v/>
      </c>
      <c r="P3824">
        <f>IF(G3824=1,IF(H3823=0,1,ABS(0.2-J3823*B3824/I3824)+ABS(0.2-K3823*C3824/I3824)+ABS(0.2-L3823*D3824/I3824)+ABS(0.2-M3823*E3824/I3824)+ABS(0.2-N3823*F3824/I3824)),0)</f>
        <v/>
      </c>
      <c r="Q3824">
        <f>P3824*0.0015</f>
        <v/>
      </c>
      <c r="R3824">
        <f>I3824*(1-Q3824)</f>
        <v/>
      </c>
      <c r="S3824">
        <f>R3824/R3823-1</f>
        <v/>
      </c>
      <c r="T3824">
        <f>MAX(T3823,R3824)</f>
        <v/>
      </c>
      <c r="U3824">
        <f>R3824/T3824-1</f>
        <v/>
      </c>
      <c r="V3824" t="n">
        <v>9.032637818986013</v>
      </c>
      <c r="W3824" s="5">
        <f>R3824-V3824</f>
        <v/>
      </c>
    </row>
    <row r="3825">
      <c r="A3825" s="3" t="n">
        <v>44075</v>
      </c>
      <c r="B3825">
        <f>Prices!B3825</f>
        <v/>
      </c>
      <c r="C3825">
        <f>Prices!C3825</f>
        <v/>
      </c>
      <c r="D3825">
        <f>Prices!D3825</f>
        <v/>
      </c>
      <c r="E3825">
        <f>Prices!E3825</f>
        <v/>
      </c>
      <c r="F3825">
        <f>Prices!F3825</f>
        <v/>
      </c>
      <c r="G3825">
        <f>IF(AND(3823&gt;=16,TEXT(A3825,"yyyy-mm")&lt;&gt;TEXT(A3826,"yyyy-mm")),1,0)</f>
        <v/>
      </c>
      <c r="H3825">
        <f>IF(OR(H3824=1,G3825=1),1,0)</f>
        <v/>
      </c>
      <c r="I3825">
        <f>IF(H3824=0,1,SUMPRODUCT(J3824:N3824,B3825:F3825)+O3824*(1+0.00023125256064071564))</f>
        <v/>
      </c>
      <c r="J3825">
        <f>IF(G3825=1,0.2*R3825/B3825,J3824)</f>
        <v/>
      </c>
      <c r="K3825">
        <f>IF(G3825=1,0.2*R3825/C3825,K3824)</f>
        <v/>
      </c>
      <c r="L3825">
        <f>IF(G3825=1,0.2*R3825/D3825,L3824)</f>
        <v/>
      </c>
      <c r="M3825">
        <f>IF(G3825=1,0.2*R3825/E3825,M3824)</f>
        <v/>
      </c>
      <c r="N3825">
        <f>IF(G3825=1,0.2*R3825/F3825,N3824)</f>
        <v/>
      </c>
      <c r="O3825">
        <f>IF(G3825=1,R3825*(1-1.0),IF(H3824=0,1,O3824*(1+0.00023125256064071564)))</f>
        <v/>
      </c>
      <c r="P3825">
        <f>IF(G3825=1,IF(H3824=0,1,ABS(0.2-J3824*B3825/I3825)+ABS(0.2-K3824*C3825/I3825)+ABS(0.2-L3824*D3825/I3825)+ABS(0.2-M3824*E3825/I3825)+ABS(0.2-N3824*F3825/I3825)),0)</f>
        <v/>
      </c>
      <c r="Q3825">
        <f>P3825*0.0015</f>
        <v/>
      </c>
      <c r="R3825">
        <f>I3825*(1-Q3825)</f>
        <v/>
      </c>
      <c r="S3825">
        <f>R3825/R3824-1</f>
        <v/>
      </c>
      <c r="T3825">
        <f>MAX(T3824,R3825)</f>
        <v/>
      </c>
      <c r="U3825">
        <f>R3825/T3825-1</f>
        <v/>
      </c>
      <c r="V3825" t="n">
        <v>9.144818147750609</v>
      </c>
      <c r="W3825" s="5">
        <f>R3825-V3825</f>
        <v/>
      </c>
    </row>
    <row r="3826">
      <c r="A3826" s="3" t="n">
        <v>44076</v>
      </c>
      <c r="B3826">
        <f>Prices!B3826</f>
        <v/>
      </c>
      <c r="C3826">
        <f>Prices!C3826</f>
        <v/>
      </c>
      <c r="D3826">
        <f>Prices!D3826</f>
        <v/>
      </c>
      <c r="E3826">
        <f>Prices!E3826</f>
        <v/>
      </c>
      <c r="F3826">
        <f>Prices!F3826</f>
        <v/>
      </c>
      <c r="G3826">
        <f>IF(AND(3824&gt;=16,TEXT(A3826,"yyyy-mm")&lt;&gt;TEXT(A3827,"yyyy-mm")),1,0)</f>
        <v/>
      </c>
      <c r="H3826">
        <f>IF(OR(H3825=1,G3826=1),1,0)</f>
        <v/>
      </c>
      <c r="I3826">
        <f>IF(H3825=0,1,SUMPRODUCT(J3825:N3825,B3826:F3826)+O3825*(1+0.00023125256064071564))</f>
        <v/>
      </c>
      <c r="J3826">
        <f>IF(G3826=1,0.2*R3826/B3826,J3825)</f>
        <v/>
      </c>
      <c r="K3826">
        <f>IF(G3826=1,0.2*R3826/C3826,K3825)</f>
        <v/>
      </c>
      <c r="L3826">
        <f>IF(G3826=1,0.2*R3826/D3826,L3825)</f>
        <v/>
      </c>
      <c r="M3826">
        <f>IF(G3826=1,0.2*R3826/E3826,M3825)</f>
        <v/>
      </c>
      <c r="N3826">
        <f>IF(G3826=1,0.2*R3826/F3826,N3825)</f>
        <v/>
      </c>
      <c r="O3826">
        <f>IF(G3826=1,R3826*(1-1.0),IF(H3825=0,1,O3825*(1+0.00023125256064071564)))</f>
        <v/>
      </c>
      <c r="P3826">
        <f>IF(G3826=1,IF(H3825=0,1,ABS(0.2-J3825*B3826/I3826)+ABS(0.2-K3825*C3826/I3826)+ABS(0.2-L3825*D3826/I3826)+ABS(0.2-M3825*E3826/I3826)+ABS(0.2-N3825*F3826/I3826)),0)</f>
        <v/>
      </c>
      <c r="Q3826">
        <f>P3826*0.0015</f>
        <v/>
      </c>
      <c r="R3826">
        <f>I3826*(1-Q3826)</f>
        <v/>
      </c>
      <c r="S3826">
        <f>R3826/R3825-1</f>
        <v/>
      </c>
      <c r="T3826">
        <f>MAX(T3825,R3826)</f>
        <v/>
      </c>
      <c r="U3826">
        <f>R3826/T3826-1</f>
        <v/>
      </c>
      <c r="V3826" t="n">
        <v>9.249571570874565</v>
      </c>
      <c r="W3826" s="5">
        <f>R3826-V3826</f>
        <v/>
      </c>
    </row>
    <row r="3827">
      <c r="A3827" s="3" t="n">
        <v>44077</v>
      </c>
      <c r="B3827">
        <f>Prices!B3827</f>
        <v/>
      </c>
      <c r="C3827">
        <f>Prices!C3827</f>
        <v/>
      </c>
      <c r="D3827">
        <f>Prices!D3827</f>
        <v/>
      </c>
      <c r="E3827">
        <f>Prices!E3827</f>
        <v/>
      </c>
      <c r="F3827">
        <f>Prices!F3827</f>
        <v/>
      </c>
      <c r="G3827">
        <f>IF(AND(3825&gt;=16,TEXT(A3827,"yyyy-mm")&lt;&gt;TEXT(A3828,"yyyy-mm")),1,0)</f>
        <v/>
      </c>
      <c r="H3827">
        <f>IF(OR(H3826=1,G3827=1),1,0)</f>
        <v/>
      </c>
      <c r="I3827">
        <f>IF(H3826=0,1,SUMPRODUCT(J3826:N3826,B3827:F3827)+O3826*(1+0.00023125256064071564))</f>
        <v/>
      </c>
      <c r="J3827">
        <f>IF(G3827=1,0.2*R3827/B3827,J3826)</f>
        <v/>
      </c>
      <c r="K3827">
        <f>IF(G3827=1,0.2*R3827/C3827,K3826)</f>
        <v/>
      </c>
      <c r="L3827">
        <f>IF(G3827=1,0.2*R3827/D3827,L3826)</f>
        <v/>
      </c>
      <c r="M3827">
        <f>IF(G3827=1,0.2*R3827/E3827,M3826)</f>
        <v/>
      </c>
      <c r="N3827">
        <f>IF(G3827=1,0.2*R3827/F3827,N3826)</f>
        <v/>
      </c>
      <c r="O3827">
        <f>IF(G3827=1,R3827*(1-1.0),IF(H3826=0,1,O3826*(1+0.00023125256064071564)))</f>
        <v/>
      </c>
      <c r="P3827">
        <f>IF(G3827=1,IF(H3826=0,1,ABS(0.2-J3826*B3827/I3827)+ABS(0.2-K3826*C3827/I3827)+ABS(0.2-L3826*D3827/I3827)+ABS(0.2-M3826*E3827/I3827)+ABS(0.2-N3826*F3827/I3827)),0)</f>
        <v/>
      </c>
      <c r="Q3827">
        <f>P3827*0.0015</f>
        <v/>
      </c>
      <c r="R3827">
        <f>I3827*(1-Q3827)</f>
        <v/>
      </c>
      <c r="S3827">
        <f>R3827/R3826-1</f>
        <v/>
      </c>
      <c r="T3827">
        <f>MAX(T3826,R3827)</f>
        <v/>
      </c>
      <c r="U3827">
        <f>R3827/T3827-1</f>
        <v/>
      </c>
      <c r="V3827" t="n">
        <v>9.308498197212455</v>
      </c>
      <c r="W3827" s="5">
        <f>R3827-V3827</f>
        <v/>
      </c>
    </row>
    <row r="3828">
      <c r="A3828" s="3" t="n">
        <v>44078</v>
      </c>
      <c r="B3828">
        <f>Prices!B3828</f>
        <v/>
      </c>
      <c r="C3828">
        <f>Prices!C3828</f>
        <v/>
      </c>
      <c r="D3828">
        <f>Prices!D3828</f>
        <v/>
      </c>
      <c r="E3828">
        <f>Prices!E3828</f>
        <v/>
      </c>
      <c r="F3828">
        <f>Prices!F3828</f>
        <v/>
      </c>
      <c r="G3828">
        <f>IF(AND(3826&gt;=16,TEXT(A3828,"yyyy-mm")&lt;&gt;TEXT(A3829,"yyyy-mm")),1,0)</f>
        <v/>
      </c>
      <c r="H3828">
        <f>IF(OR(H3827=1,G3828=1),1,0)</f>
        <v/>
      </c>
      <c r="I3828">
        <f>IF(H3827=0,1,SUMPRODUCT(J3827:N3827,B3828:F3828)+O3827*(1+0.00023125256064071564))</f>
        <v/>
      </c>
      <c r="J3828">
        <f>IF(G3828=1,0.2*R3828/B3828,J3827)</f>
        <v/>
      </c>
      <c r="K3828">
        <f>IF(G3828=1,0.2*R3828/C3828,K3827)</f>
        <v/>
      </c>
      <c r="L3828">
        <f>IF(G3828=1,0.2*R3828/D3828,L3827)</f>
        <v/>
      </c>
      <c r="M3828">
        <f>IF(G3828=1,0.2*R3828/E3828,M3827)</f>
        <v/>
      </c>
      <c r="N3828">
        <f>IF(G3828=1,0.2*R3828/F3828,N3827)</f>
        <v/>
      </c>
      <c r="O3828">
        <f>IF(G3828=1,R3828*(1-1.0),IF(H3827=0,1,O3827*(1+0.00023125256064071564)))</f>
        <v/>
      </c>
      <c r="P3828">
        <f>IF(G3828=1,IF(H3827=0,1,ABS(0.2-J3827*B3828/I3828)+ABS(0.2-K3827*C3828/I3828)+ABS(0.2-L3827*D3828/I3828)+ABS(0.2-M3827*E3828/I3828)+ABS(0.2-N3827*F3828/I3828)),0)</f>
        <v/>
      </c>
      <c r="Q3828">
        <f>P3828*0.0015</f>
        <v/>
      </c>
      <c r="R3828">
        <f>I3828*(1-Q3828)</f>
        <v/>
      </c>
      <c r="S3828">
        <f>R3828/R3827-1</f>
        <v/>
      </c>
      <c r="T3828">
        <f>MAX(T3827,R3828)</f>
        <v/>
      </c>
      <c r="U3828">
        <f>R3828/T3828-1</f>
        <v/>
      </c>
      <c r="V3828" t="n">
        <v>9.166724061220291</v>
      </c>
      <c r="W3828" s="5">
        <f>R3828-V3828</f>
        <v/>
      </c>
    </row>
    <row r="3829">
      <c r="A3829" s="3" t="n">
        <v>44081</v>
      </c>
      <c r="B3829">
        <f>Prices!B3829</f>
        <v/>
      </c>
      <c r="C3829">
        <f>Prices!C3829</f>
        <v/>
      </c>
      <c r="D3829">
        <f>Prices!D3829</f>
        <v/>
      </c>
      <c r="E3829">
        <f>Prices!E3829</f>
        <v/>
      </c>
      <c r="F3829">
        <f>Prices!F3829</f>
        <v/>
      </c>
      <c r="G3829">
        <f>IF(AND(3827&gt;=16,TEXT(A3829,"yyyy-mm")&lt;&gt;TEXT(A3830,"yyyy-mm")),1,0)</f>
        <v/>
      </c>
      <c r="H3829">
        <f>IF(OR(H3828=1,G3829=1),1,0)</f>
        <v/>
      </c>
      <c r="I3829">
        <f>IF(H3828=0,1,SUMPRODUCT(J3828:N3828,B3829:F3829)+O3828*(1+0.00023125256064071564))</f>
        <v/>
      </c>
      <c r="J3829">
        <f>IF(G3829=1,0.2*R3829/B3829,J3828)</f>
        <v/>
      </c>
      <c r="K3829">
        <f>IF(G3829=1,0.2*R3829/C3829,K3828)</f>
        <v/>
      </c>
      <c r="L3829">
        <f>IF(G3829=1,0.2*R3829/D3829,L3828)</f>
        <v/>
      </c>
      <c r="M3829">
        <f>IF(G3829=1,0.2*R3829/E3829,M3828)</f>
        <v/>
      </c>
      <c r="N3829">
        <f>IF(G3829=1,0.2*R3829/F3829,N3828)</f>
        <v/>
      </c>
      <c r="O3829">
        <f>IF(G3829=1,R3829*(1-1.0),IF(H3828=0,1,O3828*(1+0.00023125256064071564)))</f>
        <v/>
      </c>
      <c r="P3829">
        <f>IF(G3829=1,IF(H3828=0,1,ABS(0.2-J3828*B3829/I3829)+ABS(0.2-K3828*C3829/I3829)+ABS(0.2-L3828*D3829/I3829)+ABS(0.2-M3828*E3829/I3829)+ABS(0.2-N3828*F3829/I3829)),0)</f>
        <v/>
      </c>
      <c r="Q3829">
        <f>P3829*0.0015</f>
        <v/>
      </c>
      <c r="R3829">
        <f>I3829*(1-Q3829)</f>
        <v/>
      </c>
      <c r="S3829">
        <f>R3829/R3828-1</f>
        <v/>
      </c>
      <c r="T3829">
        <f>MAX(T3828,R3829)</f>
        <v/>
      </c>
      <c r="U3829">
        <f>R3829/T3829-1</f>
        <v/>
      </c>
      <c r="V3829" t="n">
        <v>9.15997524830059</v>
      </c>
      <c r="W3829" s="5">
        <f>R3829-V3829</f>
        <v/>
      </c>
    </row>
    <row r="3830">
      <c r="A3830" s="3" t="n">
        <v>44082</v>
      </c>
      <c r="B3830">
        <f>Prices!B3830</f>
        <v/>
      </c>
      <c r="C3830">
        <f>Prices!C3830</f>
        <v/>
      </c>
      <c r="D3830">
        <f>Prices!D3830</f>
        <v/>
      </c>
      <c r="E3830">
        <f>Prices!E3830</f>
        <v/>
      </c>
      <c r="F3830">
        <f>Prices!F3830</f>
        <v/>
      </c>
      <c r="G3830">
        <f>IF(AND(3828&gt;=16,TEXT(A3830,"yyyy-mm")&lt;&gt;TEXT(A3831,"yyyy-mm")),1,0)</f>
        <v/>
      </c>
      <c r="H3830">
        <f>IF(OR(H3829=1,G3830=1),1,0)</f>
        <v/>
      </c>
      <c r="I3830">
        <f>IF(H3829=0,1,SUMPRODUCT(J3829:N3829,B3830:F3830)+O3829*(1+0.00023125256064071564))</f>
        <v/>
      </c>
      <c r="J3830">
        <f>IF(G3830=1,0.2*R3830/B3830,J3829)</f>
        <v/>
      </c>
      <c r="K3830">
        <f>IF(G3830=1,0.2*R3830/C3830,K3829)</f>
        <v/>
      </c>
      <c r="L3830">
        <f>IF(G3830=1,0.2*R3830/D3830,L3829)</f>
        <v/>
      </c>
      <c r="M3830">
        <f>IF(G3830=1,0.2*R3830/E3830,M3829)</f>
        <v/>
      </c>
      <c r="N3830">
        <f>IF(G3830=1,0.2*R3830/F3830,N3829)</f>
        <v/>
      </c>
      <c r="O3830">
        <f>IF(G3830=1,R3830*(1-1.0),IF(H3829=0,1,O3829*(1+0.00023125256064071564)))</f>
        <v/>
      </c>
      <c r="P3830">
        <f>IF(G3830=1,IF(H3829=0,1,ABS(0.2-J3829*B3830/I3830)+ABS(0.2-K3829*C3830/I3830)+ABS(0.2-L3829*D3830/I3830)+ABS(0.2-M3829*E3830/I3830)+ABS(0.2-N3829*F3830/I3830)),0)</f>
        <v/>
      </c>
      <c r="Q3830">
        <f>P3830*0.0015</f>
        <v/>
      </c>
      <c r="R3830">
        <f>I3830*(1-Q3830)</f>
        <v/>
      </c>
      <c r="S3830">
        <f>R3830/R3829-1</f>
        <v/>
      </c>
      <c r="T3830">
        <f>MAX(T3829,R3830)</f>
        <v/>
      </c>
      <c r="U3830">
        <f>R3830/T3830-1</f>
        <v/>
      </c>
      <c r="V3830" t="n">
        <v>9.089828298239997</v>
      </c>
      <c r="W3830" s="5">
        <f>R3830-V3830</f>
        <v/>
      </c>
    </row>
    <row r="3831">
      <c r="A3831" s="3" t="n">
        <v>44083</v>
      </c>
      <c r="B3831">
        <f>Prices!B3831</f>
        <v/>
      </c>
      <c r="C3831">
        <f>Prices!C3831</f>
        <v/>
      </c>
      <c r="D3831">
        <f>Prices!D3831</f>
        <v/>
      </c>
      <c r="E3831">
        <f>Prices!E3831</f>
        <v/>
      </c>
      <c r="F3831">
        <f>Prices!F3831</f>
        <v/>
      </c>
      <c r="G3831">
        <f>IF(AND(3829&gt;=16,TEXT(A3831,"yyyy-mm")&lt;&gt;TEXT(A3832,"yyyy-mm")),1,0)</f>
        <v/>
      </c>
      <c r="H3831">
        <f>IF(OR(H3830=1,G3831=1),1,0)</f>
        <v/>
      </c>
      <c r="I3831">
        <f>IF(H3830=0,1,SUMPRODUCT(J3830:N3830,B3831:F3831)+O3830*(1+0.00023125256064071564))</f>
        <v/>
      </c>
      <c r="J3831">
        <f>IF(G3831=1,0.2*R3831/B3831,J3830)</f>
        <v/>
      </c>
      <c r="K3831">
        <f>IF(G3831=1,0.2*R3831/C3831,K3830)</f>
        <v/>
      </c>
      <c r="L3831">
        <f>IF(G3831=1,0.2*R3831/D3831,L3830)</f>
        <v/>
      </c>
      <c r="M3831">
        <f>IF(G3831=1,0.2*R3831/E3831,M3830)</f>
        <v/>
      </c>
      <c r="N3831">
        <f>IF(G3831=1,0.2*R3831/F3831,N3830)</f>
        <v/>
      </c>
      <c r="O3831">
        <f>IF(G3831=1,R3831*(1-1.0),IF(H3830=0,1,O3830*(1+0.00023125256064071564)))</f>
        <v/>
      </c>
      <c r="P3831">
        <f>IF(G3831=1,IF(H3830=0,1,ABS(0.2-J3830*B3831/I3831)+ABS(0.2-K3830*C3831/I3831)+ABS(0.2-L3830*D3831/I3831)+ABS(0.2-M3830*E3831/I3831)+ABS(0.2-N3830*F3831/I3831)),0)</f>
        <v/>
      </c>
      <c r="Q3831">
        <f>P3831*0.0015</f>
        <v/>
      </c>
      <c r="R3831">
        <f>I3831*(1-Q3831)</f>
        <v/>
      </c>
      <c r="S3831">
        <f>R3831/R3830-1</f>
        <v/>
      </c>
      <c r="T3831">
        <f>MAX(T3830,R3831)</f>
        <v/>
      </c>
      <c r="U3831">
        <f>R3831/T3831-1</f>
        <v/>
      </c>
      <c r="V3831" t="n">
        <v>9.082993079489762</v>
      </c>
      <c r="W3831" s="5">
        <f>R3831-V3831</f>
        <v/>
      </c>
    </row>
    <row r="3832">
      <c r="A3832" s="3" t="n">
        <v>44084</v>
      </c>
      <c r="B3832">
        <f>Prices!B3832</f>
        <v/>
      </c>
      <c r="C3832">
        <f>Prices!C3832</f>
        <v/>
      </c>
      <c r="D3832">
        <f>Prices!D3832</f>
        <v/>
      </c>
      <c r="E3832">
        <f>Prices!E3832</f>
        <v/>
      </c>
      <c r="F3832">
        <f>Prices!F3832</f>
        <v/>
      </c>
      <c r="G3832">
        <f>IF(AND(3830&gt;=16,TEXT(A3832,"yyyy-mm")&lt;&gt;TEXT(A3833,"yyyy-mm")),1,0)</f>
        <v/>
      </c>
      <c r="H3832">
        <f>IF(OR(H3831=1,G3832=1),1,0)</f>
        <v/>
      </c>
      <c r="I3832">
        <f>IF(H3831=0,1,SUMPRODUCT(J3831:N3831,B3832:F3832)+O3831*(1+0.00023125256064071564))</f>
        <v/>
      </c>
      <c r="J3832">
        <f>IF(G3832=1,0.2*R3832/B3832,J3831)</f>
        <v/>
      </c>
      <c r="K3832">
        <f>IF(G3832=1,0.2*R3832/C3832,K3831)</f>
        <v/>
      </c>
      <c r="L3832">
        <f>IF(G3832=1,0.2*R3832/D3832,L3831)</f>
        <v/>
      </c>
      <c r="M3832">
        <f>IF(G3832=1,0.2*R3832/E3832,M3831)</f>
        <v/>
      </c>
      <c r="N3832">
        <f>IF(G3832=1,0.2*R3832/F3832,N3831)</f>
        <v/>
      </c>
      <c r="O3832">
        <f>IF(G3832=1,R3832*(1-1.0),IF(H3831=0,1,O3831*(1+0.00023125256064071564)))</f>
        <v/>
      </c>
      <c r="P3832">
        <f>IF(G3832=1,IF(H3831=0,1,ABS(0.2-J3831*B3832/I3832)+ABS(0.2-K3831*C3832/I3832)+ABS(0.2-L3831*D3832/I3832)+ABS(0.2-M3831*E3832/I3832)+ABS(0.2-N3831*F3832/I3832)),0)</f>
        <v/>
      </c>
      <c r="Q3832">
        <f>P3832*0.0015</f>
        <v/>
      </c>
      <c r="R3832">
        <f>I3832*(1-Q3832)</f>
        <v/>
      </c>
      <c r="S3832">
        <f>R3832/R3831-1</f>
        <v/>
      </c>
      <c r="T3832">
        <f>MAX(T3831,R3832)</f>
        <v/>
      </c>
      <c r="U3832">
        <f>R3832/T3832-1</f>
        <v/>
      </c>
      <c r="V3832" t="n">
        <v>9.155693765707575</v>
      </c>
      <c r="W3832" s="5">
        <f>R3832-V3832</f>
        <v/>
      </c>
    </row>
    <row r="3833">
      <c r="A3833" s="3" t="n">
        <v>44085</v>
      </c>
      <c r="B3833">
        <f>Prices!B3833</f>
        <v/>
      </c>
      <c r="C3833">
        <f>Prices!C3833</f>
        <v/>
      </c>
      <c r="D3833">
        <f>Prices!D3833</f>
        <v/>
      </c>
      <c r="E3833">
        <f>Prices!E3833</f>
        <v/>
      </c>
      <c r="F3833">
        <f>Prices!F3833</f>
        <v/>
      </c>
      <c r="G3833">
        <f>IF(AND(3831&gt;=16,TEXT(A3833,"yyyy-mm")&lt;&gt;TEXT(A3834,"yyyy-mm")),1,0)</f>
        <v/>
      </c>
      <c r="H3833">
        <f>IF(OR(H3832=1,G3833=1),1,0)</f>
        <v/>
      </c>
      <c r="I3833">
        <f>IF(H3832=0,1,SUMPRODUCT(J3832:N3832,B3833:F3833)+O3832*(1+0.00023125256064071564))</f>
        <v/>
      </c>
      <c r="J3833">
        <f>IF(G3833=1,0.2*R3833/B3833,J3832)</f>
        <v/>
      </c>
      <c r="K3833">
        <f>IF(G3833=1,0.2*R3833/C3833,K3832)</f>
        <v/>
      </c>
      <c r="L3833">
        <f>IF(G3833=1,0.2*R3833/D3833,L3832)</f>
        <v/>
      </c>
      <c r="M3833">
        <f>IF(G3833=1,0.2*R3833/E3833,M3832)</f>
        <v/>
      </c>
      <c r="N3833">
        <f>IF(G3833=1,0.2*R3833/F3833,N3832)</f>
        <v/>
      </c>
      <c r="O3833">
        <f>IF(G3833=1,R3833*(1-1.0),IF(H3832=0,1,O3832*(1+0.00023125256064071564)))</f>
        <v/>
      </c>
      <c r="P3833">
        <f>IF(G3833=1,IF(H3832=0,1,ABS(0.2-J3832*B3833/I3833)+ABS(0.2-K3832*C3833/I3833)+ABS(0.2-L3832*D3833/I3833)+ABS(0.2-M3832*E3833/I3833)+ABS(0.2-N3832*F3833/I3833)),0)</f>
        <v/>
      </c>
      <c r="Q3833">
        <f>P3833*0.0015</f>
        <v/>
      </c>
      <c r="R3833">
        <f>I3833*(1-Q3833)</f>
        <v/>
      </c>
      <c r="S3833">
        <f>R3833/R3832-1</f>
        <v/>
      </c>
      <c r="T3833">
        <f>MAX(T3832,R3833)</f>
        <v/>
      </c>
      <c r="U3833">
        <f>R3833/T3833-1</f>
        <v/>
      </c>
      <c r="V3833" t="n">
        <v>9.197797139766246</v>
      </c>
      <c r="W3833" s="5">
        <f>R3833-V3833</f>
        <v/>
      </c>
    </row>
    <row r="3834">
      <c r="A3834" s="3" t="n">
        <v>44088</v>
      </c>
      <c r="B3834">
        <f>Prices!B3834</f>
        <v/>
      </c>
      <c r="C3834">
        <f>Prices!C3834</f>
        <v/>
      </c>
      <c r="D3834">
        <f>Prices!D3834</f>
        <v/>
      </c>
      <c r="E3834">
        <f>Prices!E3834</f>
        <v/>
      </c>
      <c r="F3834">
        <f>Prices!F3834</f>
        <v/>
      </c>
      <c r="G3834">
        <f>IF(AND(3832&gt;=16,TEXT(A3834,"yyyy-mm")&lt;&gt;TEXT(A3835,"yyyy-mm")),1,0)</f>
        <v/>
      </c>
      <c r="H3834">
        <f>IF(OR(H3833=1,G3834=1),1,0)</f>
        <v/>
      </c>
      <c r="I3834">
        <f>IF(H3833=0,1,SUMPRODUCT(J3833:N3833,B3834:F3834)+O3833*(1+0.00023125256064071564))</f>
        <v/>
      </c>
      <c r="J3834">
        <f>IF(G3834=1,0.2*R3834/B3834,J3833)</f>
        <v/>
      </c>
      <c r="K3834">
        <f>IF(G3834=1,0.2*R3834/C3834,K3833)</f>
        <v/>
      </c>
      <c r="L3834">
        <f>IF(G3834=1,0.2*R3834/D3834,L3833)</f>
        <v/>
      </c>
      <c r="M3834">
        <f>IF(G3834=1,0.2*R3834/E3834,M3833)</f>
        <v/>
      </c>
      <c r="N3834">
        <f>IF(G3834=1,0.2*R3834/F3834,N3833)</f>
        <v/>
      </c>
      <c r="O3834">
        <f>IF(G3834=1,R3834*(1-1.0),IF(H3833=0,1,O3833*(1+0.00023125256064071564)))</f>
        <v/>
      </c>
      <c r="P3834">
        <f>IF(G3834=1,IF(H3833=0,1,ABS(0.2-J3833*B3834/I3834)+ABS(0.2-K3833*C3834/I3834)+ABS(0.2-L3833*D3834/I3834)+ABS(0.2-M3833*E3834/I3834)+ABS(0.2-N3833*F3834/I3834)),0)</f>
        <v/>
      </c>
      <c r="Q3834">
        <f>P3834*0.0015</f>
        <v/>
      </c>
      <c r="R3834">
        <f>I3834*(1-Q3834)</f>
        <v/>
      </c>
      <c r="S3834">
        <f>R3834/R3833-1</f>
        <v/>
      </c>
      <c r="T3834">
        <f>MAX(T3833,R3834)</f>
        <v/>
      </c>
      <c r="U3834">
        <f>R3834/T3834-1</f>
        <v/>
      </c>
      <c r="V3834" t="n">
        <v>9.340842777908771</v>
      </c>
      <c r="W3834" s="5">
        <f>R3834-V3834</f>
        <v/>
      </c>
    </row>
    <row r="3835">
      <c r="A3835" s="3" t="n">
        <v>44089</v>
      </c>
      <c r="B3835">
        <f>Prices!B3835</f>
        <v/>
      </c>
      <c r="C3835">
        <f>Prices!C3835</f>
        <v/>
      </c>
      <c r="D3835">
        <f>Prices!D3835</f>
        <v/>
      </c>
      <c r="E3835">
        <f>Prices!E3835</f>
        <v/>
      </c>
      <c r="F3835">
        <f>Prices!F3835</f>
        <v/>
      </c>
      <c r="G3835">
        <f>IF(AND(3833&gt;=16,TEXT(A3835,"yyyy-mm")&lt;&gt;TEXT(A3836,"yyyy-mm")),1,0)</f>
        <v/>
      </c>
      <c r="H3835">
        <f>IF(OR(H3834=1,G3835=1),1,0)</f>
        <v/>
      </c>
      <c r="I3835">
        <f>IF(H3834=0,1,SUMPRODUCT(J3834:N3834,B3835:F3835)+O3834*(1+0.00023125256064071564))</f>
        <v/>
      </c>
      <c r="J3835">
        <f>IF(G3835=1,0.2*R3835/B3835,J3834)</f>
        <v/>
      </c>
      <c r="K3835">
        <f>IF(G3835=1,0.2*R3835/C3835,K3834)</f>
        <v/>
      </c>
      <c r="L3835">
        <f>IF(G3835=1,0.2*R3835/D3835,L3834)</f>
        <v/>
      </c>
      <c r="M3835">
        <f>IF(G3835=1,0.2*R3835/E3835,M3834)</f>
        <v/>
      </c>
      <c r="N3835">
        <f>IF(G3835=1,0.2*R3835/F3835,N3834)</f>
        <v/>
      </c>
      <c r="O3835">
        <f>IF(G3835=1,R3835*(1-1.0),IF(H3834=0,1,O3834*(1+0.00023125256064071564)))</f>
        <v/>
      </c>
      <c r="P3835">
        <f>IF(G3835=1,IF(H3834=0,1,ABS(0.2-J3834*B3835/I3835)+ABS(0.2-K3834*C3835/I3835)+ABS(0.2-L3834*D3835/I3835)+ABS(0.2-M3834*E3835/I3835)+ABS(0.2-N3834*F3835/I3835)),0)</f>
        <v/>
      </c>
      <c r="Q3835">
        <f>P3835*0.0015</f>
        <v/>
      </c>
      <c r="R3835">
        <f>I3835*(1-Q3835)</f>
        <v/>
      </c>
      <c r="S3835">
        <f>R3835/R3834-1</f>
        <v/>
      </c>
      <c r="T3835">
        <f>MAX(T3834,R3835)</f>
        <v/>
      </c>
      <c r="U3835">
        <f>R3835/T3835-1</f>
        <v/>
      </c>
      <c r="V3835" t="n">
        <v>9.427867952725455</v>
      </c>
      <c r="W3835" s="5">
        <f>R3835-V3835</f>
        <v/>
      </c>
    </row>
    <row r="3836">
      <c r="A3836" s="3" t="n">
        <v>44090</v>
      </c>
      <c r="B3836">
        <f>Prices!B3836</f>
        <v/>
      </c>
      <c r="C3836">
        <f>Prices!C3836</f>
        <v/>
      </c>
      <c r="D3836">
        <f>Prices!D3836</f>
        <v/>
      </c>
      <c r="E3836">
        <f>Prices!E3836</f>
        <v/>
      </c>
      <c r="F3836">
        <f>Prices!F3836</f>
        <v/>
      </c>
      <c r="G3836">
        <f>IF(AND(3834&gt;=16,TEXT(A3836,"yyyy-mm")&lt;&gt;TEXT(A3837,"yyyy-mm")),1,0)</f>
        <v/>
      </c>
      <c r="H3836">
        <f>IF(OR(H3835=1,G3836=1),1,0)</f>
        <v/>
      </c>
      <c r="I3836">
        <f>IF(H3835=0,1,SUMPRODUCT(J3835:N3835,B3836:F3836)+O3835*(1+0.00023125256064071564))</f>
        <v/>
      </c>
      <c r="J3836">
        <f>IF(G3836=1,0.2*R3836/B3836,J3835)</f>
        <v/>
      </c>
      <c r="K3836">
        <f>IF(G3836=1,0.2*R3836/C3836,K3835)</f>
        <v/>
      </c>
      <c r="L3836">
        <f>IF(G3836=1,0.2*R3836/D3836,L3835)</f>
        <v/>
      </c>
      <c r="M3836">
        <f>IF(G3836=1,0.2*R3836/E3836,M3835)</f>
        <v/>
      </c>
      <c r="N3836">
        <f>IF(G3836=1,0.2*R3836/F3836,N3835)</f>
        <v/>
      </c>
      <c r="O3836">
        <f>IF(G3836=1,R3836*(1-1.0),IF(H3835=0,1,O3835*(1+0.00023125256064071564)))</f>
        <v/>
      </c>
      <c r="P3836">
        <f>IF(G3836=1,IF(H3835=0,1,ABS(0.2-J3835*B3836/I3836)+ABS(0.2-K3835*C3836/I3836)+ABS(0.2-L3835*D3836/I3836)+ABS(0.2-M3835*E3836/I3836)+ABS(0.2-N3835*F3836/I3836)),0)</f>
        <v/>
      </c>
      <c r="Q3836">
        <f>P3836*0.0015</f>
        <v/>
      </c>
      <c r="R3836">
        <f>I3836*(1-Q3836)</f>
        <v/>
      </c>
      <c r="S3836">
        <f>R3836/R3835-1</f>
        <v/>
      </c>
      <c r="T3836">
        <f>MAX(T3835,R3836)</f>
        <v/>
      </c>
      <c r="U3836">
        <f>R3836/T3836-1</f>
        <v/>
      </c>
      <c r="V3836" t="n">
        <v>9.469318245646745</v>
      </c>
      <c r="W3836" s="5">
        <f>R3836-V3836</f>
        <v/>
      </c>
    </row>
    <row r="3837">
      <c r="A3837" s="3" t="n">
        <v>44091</v>
      </c>
      <c r="B3837">
        <f>Prices!B3837</f>
        <v/>
      </c>
      <c r="C3837">
        <f>Prices!C3837</f>
        <v/>
      </c>
      <c r="D3837">
        <f>Prices!D3837</f>
        <v/>
      </c>
      <c r="E3837">
        <f>Prices!E3837</f>
        <v/>
      </c>
      <c r="F3837">
        <f>Prices!F3837</f>
        <v/>
      </c>
      <c r="G3837">
        <f>IF(AND(3835&gt;=16,TEXT(A3837,"yyyy-mm")&lt;&gt;TEXT(A3838,"yyyy-mm")),1,0)</f>
        <v/>
      </c>
      <c r="H3837">
        <f>IF(OR(H3836=1,G3837=1),1,0)</f>
        <v/>
      </c>
      <c r="I3837">
        <f>IF(H3836=0,1,SUMPRODUCT(J3836:N3836,B3837:F3837)+O3836*(1+0.00023125256064071564))</f>
        <v/>
      </c>
      <c r="J3837">
        <f>IF(G3837=1,0.2*R3837/B3837,J3836)</f>
        <v/>
      </c>
      <c r="K3837">
        <f>IF(G3837=1,0.2*R3837/C3837,K3836)</f>
        <v/>
      </c>
      <c r="L3837">
        <f>IF(G3837=1,0.2*R3837/D3837,L3836)</f>
        <v/>
      </c>
      <c r="M3837">
        <f>IF(G3837=1,0.2*R3837/E3837,M3836)</f>
        <v/>
      </c>
      <c r="N3837">
        <f>IF(G3837=1,0.2*R3837/F3837,N3836)</f>
        <v/>
      </c>
      <c r="O3837">
        <f>IF(G3837=1,R3837*(1-1.0),IF(H3836=0,1,O3836*(1+0.00023125256064071564)))</f>
        <v/>
      </c>
      <c r="P3837">
        <f>IF(G3837=1,IF(H3836=0,1,ABS(0.2-J3836*B3837/I3837)+ABS(0.2-K3836*C3837/I3837)+ABS(0.2-L3836*D3837/I3837)+ABS(0.2-M3836*E3837/I3837)+ABS(0.2-N3836*F3837/I3837)),0)</f>
        <v/>
      </c>
      <c r="Q3837">
        <f>P3837*0.0015</f>
        <v/>
      </c>
      <c r="R3837">
        <f>I3837*(1-Q3837)</f>
        <v/>
      </c>
      <c r="S3837">
        <f>R3837/R3836-1</f>
        <v/>
      </c>
      <c r="T3837">
        <f>MAX(T3836,R3837)</f>
        <v/>
      </c>
      <c r="U3837">
        <f>R3837/T3837-1</f>
        <v/>
      </c>
      <c r="V3837" t="n">
        <v>9.430903119464251</v>
      </c>
      <c r="W3837" s="5">
        <f>R3837-V3837</f>
        <v/>
      </c>
    </row>
    <row r="3838">
      <c r="A3838" s="3" t="n">
        <v>44092</v>
      </c>
      <c r="B3838">
        <f>Prices!B3838</f>
        <v/>
      </c>
      <c r="C3838">
        <f>Prices!C3838</f>
        <v/>
      </c>
      <c r="D3838">
        <f>Prices!D3838</f>
        <v/>
      </c>
      <c r="E3838">
        <f>Prices!E3838</f>
        <v/>
      </c>
      <c r="F3838">
        <f>Prices!F3838</f>
        <v/>
      </c>
      <c r="G3838">
        <f>IF(AND(3836&gt;=16,TEXT(A3838,"yyyy-mm")&lt;&gt;TEXT(A3839,"yyyy-mm")),1,0)</f>
        <v/>
      </c>
      <c r="H3838">
        <f>IF(OR(H3837=1,G3838=1),1,0)</f>
        <v/>
      </c>
      <c r="I3838">
        <f>IF(H3837=0,1,SUMPRODUCT(J3837:N3837,B3838:F3838)+O3837*(1+0.00023125256064071564))</f>
        <v/>
      </c>
      <c r="J3838">
        <f>IF(G3838=1,0.2*R3838/B3838,J3837)</f>
        <v/>
      </c>
      <c r="K3838">
        <f>IF(G3838=1,0.2*R3838/C3838,K3837)</f>
        <v/>
      </c>
      <c r="L3838">
        <f>IF(G3838=1,0.2*R3838/D3838,L3837)</f>
        <v/>
      </c>
      <c r="M3838">
        <f>IF(G3838=1,0.2*R3838/E3838,M3837)</f>
        <v/>
      </c>
      <c r="N3838">
        <f>IF(G3838=1,0.2*R3838/F3838,N3837)</f>
        <v/>
      </c>
      <c r="O3838">
        <f>IF(G3838=1,R3838*(1-1.0),IF(H3837=0,1,O3837*(1+0.00023125256064071564)))</f>
        <v/>
      </c>
      <c r="P3838">
        <f>IF(G3838=1,IF(H3837=0,1,ABS(0.2-J3837*B3838/I3838)+ABS(0.2-K3837*C3838/I3838)+ABS(0.2-L3837*D3838/I3838)+ABS(0.2-M3837*E3838/I3838)+ABS(0.2-N3837*F3838/I3838)),0)</f>
        <v/>
      </c>
      <c r="Q3838">
        <f>P3838*0.0015</f>
        <v/>
      </c>
      <c r="R3838">
        <f>I3838*(1-Q3838)</f>
        <v/>
      </c>
      <c r="S3838">
        <f>R3838/R3837-1</f>
        <v/>
      </c>
      <c r="T3838">
        <f>MAX(T3837,R3838)</f>
        <v/>
      </c>
      <c r="U3838">
        <f>R3838/T3838-1</f>
        <v/>
      </c>
      <c r="V3838" t="n">
        <v>9.481484224447859</v>
      </c>
      <c r="W3838" s="5">
        <f>R3838-V3838</f>
        <v/>
      </c>
    </row>
    <row r="3839">
      <c r="A3839" s="3" t="n">
        <v>44095</v>
      </c>
      <c r="B3839">
        <f>Prices!B3839</f>
        <v/>
      </c>
      <c r="C3839">
        <f>Prices!C3839</f>
        <v/>
      </c>
      <c r="D3839">
        <f>Prices!D3839</f>
        <v/>
      </c>
      <c r="E3839">
        <f>Prices!E3839</f>
        <v/>
      </c>
      <c r="F3839">
        <f>Prices!F3839</f>
        <v/>
      </c>
      <c r="G3839">
        <f>IF(AND(3837&gt;=16,TEXT(A3839,"yyyy-mm")&lt;&gt;TEXT(A3840,"yyyy-mm")),1,0)</f>
        <v/>
      </c>
      <c r="H3839">
        <f>IF(OR(H3838=1,G3839=1),1,0)</f>
        <v/>
      </c>
      <c r="I3839">
        <f>IF(H3838=0,1,SUMPRODUCT(J3838:N3838,B3839:F3839)+O3838*(1+0.00023125256064071564))</f>
        <v/>
      </c>
      <c r="J3839">
        <f>IF(G3839=1,0.2*R3839/B3839,J3838)</f>
        <v/>
      </c>
      <c r="K3839">
        <f>IF(G3839=1,0.2*R3839/C3839,K3838)</f>
        <v/>
      </c>
      <c r="L3839">
        <f>IF(G3839=1,0.2*R3839/D3839,L3838)</f>
        <v/>
      </c>
      <c r="M3839">
        <f>IF(G3839=1,0.2*R3839/E3839,M3838)</f>
        <v/>
      </c>
      <c r="N3839">
        <f>IF(G3839=1,0.2*R3839/F3839,N3838)</f>
        <v/>
      </c>
      <c r="O3839">
        <f>IF(G3839=1,R3839*(1-1.0),IF(H3838=0,1,O3838*(1+0.00023125256064071564)))</f>
        <v/>
      </c>
      <c r="P3839">
        <f>IF(G3839=1,IF(H3838=0,1,ABS(0.2-J3838*B3839/I3839)+ABS(0.2-K3838*C3839/I3839)+ABS(0.2-L3838*D3839/I3839)+ABS(0.2-M3838*E3839/I3839)+ABS(0.2-N3838*F3839/I3839)),0)</f>
        <v/>
      </c>
      <c r="Q3839">
        <f>P3839*0.0015</f>
        <v/>
      </c>
      <c r="R3839">
        <f>I3839*(1-Q3839)</f>
        <v/>
      </c>
      <c r="S3839">
        <f>R3839/R3838-1</f>
        <v/>
      </c>
      <c r="T3839">
        <f>MAX(T3838,R3839)</f>
        <v/>
      </c>
      <c r="U3839">
        <f>R3839/T3839-1</f>
        <v/>
      </c>
      <c r="V3839" t="n">
        <v>9.17946464544398</v>
      </c>
      <c r="W3839" s="5">
        <f>R3839-V3839</f>
        <v/>
      </c>
    </row>
    <row r="3840">
      <c r="A3840" s="3" t="n">
        <v>44096</v>
      </c>
      <c r="B3840">
        <f>Prices!B3840</f>
        <v/>
      </c>
      <c r="C3840">
        <f>Prices!C3840</f>
        <v/>
      </c>
      <c r="D3840">
        <f>Prices!D3840</f>
        <v/>
      </c>
      <c r="E3840">
        <f>Prices!E3840</f>
        <v/>
      </c>
      <c r="F3840">
        <f>Prices!F3840</f>
        <v/>
      </c>
      <c r="G3840">
        <f>IF(AND(3838&gt;=16,TEXT(A3840,"yyyy-mm")&lt;&gt;TEXT(A3841,"yyyy-mm")),1,0)</f>
        <v/>
      </c>
      <c r="H3840">
        <f>IF(OR(H3839=1,G3840=1),1,0)</f>
        <v/>
      </c>
      <c r="I3840">
        <f>IF(H3839=0,1,SUMPRODUCT(J3839:N3839,B3840:F3840)+O3839*(1+0.00023125256064071564))</f>
        <v/>
      </c>
      <c r="J3840">
        <f>IF(G3840=1,0.2*R3840/B3840,J3839)</f>
        <v/>
      </c>
      <c r="K3840">
        <f>IF(G3840=1,0.2*R3840/C3840,K3839)</f>
        <v/>
      </c>
      <c r="L3840">
        <f>IF(G3840=1,0.2*R3840/D3840,L3839)</f>
        <v/>
      </c>
      <c r="M3840">
        <f>IF(G3840=1,0.2*R3840/E3840,M3839)</f>
        <v/>
      </c>
      <c r="N3840">
        <f>IF(G3840=1,0.2*R3840/F3840,N3839)</f>
        <v/>
      </c>
      <c r="O3840">
        <f>IF(G3840=1,R3840*(1-1.0),IF(H3839=0,1,O3839*(1+0.00023125256064071564)))</f>
        <v/>
      </c>
      <c r="P3840">
        <f>IF(G3840=1,IF(H3839=0,1,ABS(0.2-J3839*B3840/I3840)+ABS(0.2-K3839*C3840/I3840)+ABS(0.2-L3839*D3840/I3840)+ABS(0.2-M3839*E3840/I3840)+ABS(0.2-N3839*F3840/I3840)),0)</f>
        <v/>
      </c>
      <c r="Q3840">
        <f>P3840*0.0015</f>
        <v/>
      </c>
      <c r="R3840">
        <f>I3840*(1-Q3840)</f>
        <v/>
      </c>
      <c r="S3840">
        <f>R3840/R3839-1</f>
        <v/>
      </c>
      <c r="T3840">
        <f>MAX(T3839,R3840)</f>
        <v/>
      </c>
      <c r="U3840">
        <f>R3840/T3840-1</f>
        <v/>
      </c>
      <c r="V3840" t="n">
        <v>9.091592164916049</v>
      </c>
      <c r="W3840" s="5">
        <f>R3840-V3840</f>
        <v/>
      </c>
    </row>
    <row r="3841">
      <c r="A3841" s="3" t="n">
        <v>44097</v>
      </c>
      <c r="B3841">
        <f>Prices!B3841</f>
        <v/>
      </c>
      <c r="C3841">
        <f>Prices!C3841</f>
        <v/>
      </c>
      <c r="D3841">
        <f>Prices!D3841</f>
        <v/>
      </c>
      <c r="E3841">
        <f>Prices!E3841</f>
        <v/>
      </c>
      <c r="F3841">
        <f>Prices!F3841</f>
        <v/>
      </c>
      <c r="G3841">
        <f>IF(AND(3839&gt;=16,TEXT(A3841,"yyyy-mm")&lt;&gt;TEXT(A3842,"yyyy-mm")),1,0)</f>
        <v/>
      </c>
      <c r="H3841">
        <f>IF(OR(H3840=1,G3841=1),1,0)</f>
        <v/>
      </c>
      <c r="I3841">
        <f>IF(H3840=0,1,SUMPRODUCT(J3840:N3840,B3841:F3841)+O3840*(1+0.00023125256064071564))</f>
        <v/>
      </c>
      <c r="J3841">
        <f>IF(G3841=1,0.2*R3841/B3841,J3840)</f>
        <v/>
      </c>
      <c r="K3841">
        <f>IF(G3841=1,0.2*R3841/C3841,K3840)</f>
        <v/>
      </c>
      <c r="L3841">
        <f>IF(G3841=1,0.2*R3841/D3841,L3840)</f>
        <v/>
      </c>
      <c r="M3841">
        <f>IF(G3841=1,0.2*R3841/E3841,M3840)</f>
        <v/>
      </c>
      <c r="N3841">
        <f>IF(G3841=1,0.2*R3841/F3841,N3840)</f>
        <v/>
      </c>
      <c r="O3841">
        <f>IF(G3841=1,R3841*(1-1.0),IF(H3840=0,1,O3840*(1+0.00023125256064071564)))</f>
        <v/>
      </c>
      <c r="P3841">
        <f>IF(G3841=1,IF(H3840=0,1,ABS(0.2-J3840*B3841/I3841)+ABS(0.2-K3840*C3841/I3841)+ABS(0.2-L3840*D3841/I3841)+ABS(0.2-M3840*E3841/I3841)+ABS(0.2-N3840*F3841/I3841)),0)</f>
        <v/>
      </c>
      <c r="Q3841">
        <f>P3841*0.0015</f>
        <v/>
      </c>
      <c r="R3841">
        <f>I3841*(1-Q3841)</f>
        <v/>
      </c>
      <c r="S3841">
        <f>R3841/R3840-1</f>
        <v/>
      </c>
      <c r="T3841">
        <f>MAX(T3840,R3841)</f>
        <v/>
      </c>
      <c r="U3841">
        <f>R3841/T3841-1</f>
        <v/>
      </c>
      <c r="V3841" t="n">
        <v>9.050292098504041</v>
      </c>
      <c r="W3841" s="5">
        <f>R3841-V3841</f>
        <v/>
      </c>
    </row>
    <row r="3842">
      <c r="A3842" s="3" t="n">
        <v>44098</v>
      </c>
      <c r="B3842">
        <f>Prices!B3842</f>
        <v/>
      </c>
      <c r="C3842">
        <f>Prices!C3842</f>
        <v/>
      </c>
      <c r="D3842">
        <f>Prices!D3842</f>
        <v/>
      </c>
      <c r="E3842">
        <f>Prices!E3842</f>
        <v/>
      </c>
      <c r="F3842">
        <f>Prices!F3842</f>
        <v/>
      </c>
      <c r="G3842">
        <f>IF(AND(3840&gt;=16,TEXT(A3842,"yyyy-mm")&lt;&gt;TEXT(A3843,"yyyy-mm")),1,0)</f>
        <v/>
      </c>
      <c r="H3842">
        <f>IF(OR(H3841=1,G3842=1),1,0)</f>
        <v/>
      </c>
      <c r="I3842">
        <f>IF(H3841=0,1,SUMPRODUCT(J3841:N3841,B3842:F3842)+O3841*(1+0.00023125256064071564))</f>
        <v/>
      </c>
      <c r="J3842">
        <f>IF(G3842=1,0.2*R3842/B3842,J3841)</f>
        <v/>
      </c>
      <c r="K3842">
        <f>IF(G3842=1,0.2*R3842/C3842,K3841)</f>
        <v/>
      </c>
      <c r="L3842">
        <f>IF(G3842=1,0.2*R3842/D3842,L3841)</f>
        <v/>
      </c>
      <c r="M3842">
        <f>IF(G3842=1,0.2*R3842/E3842,M3841)</f>
        <v/>
      </c>
      <c r="N3842">
        <f>IF(G3842=1,0.2*R3842/F3842,N3841)</f>
        <v/>
      </c>
      <c r="O3842">
        <f>IF(G3842=1,R3842*(1-1.0),IF(H3841=0,1,O3841*(1+0.00023125256064071564)))</f>
        <v/>
      </c>
      <c r="P3842">
        <f>IF(G3842=1,IF(H3841=0,1,ABS(0.2-J3841*B3842/I3842)+ABS(0.2-K3841*C3842/I3842)+ABS(0.2-L3841*D3842/I3842)+ABS(0.2-M3841*E3842/I3842)+ABS(0.2-N3841*F3842/I3842)),0)</f>
        <v/>
      </c>
      <c r="Q3842">
        <f>P3842*0.0015</f>
        <v/>
      </c>
      <c r="R3842">
        <f>I3842*(1-Q3842)</f>
        <v/>
      </c>
      <c r="S3842">
        <f>R3842/R3841-1</f>
        <v/>
      </c>
      <c r="T3842">
        <f>MAX(T3841,R3842)</f>
        <v/>
      </c>
      <c r="U3842">
        <f>R3842/T3842-1</f>
        <v/>
      </c>
      <c r="V3842" t="n">
        <v>8.851248882386065</v>
      </c>
      <c r="W3842" s="5">
        <f>R3842-V3842</f>
        <v/>
      </c>
    </row>
    <row r="3843">
      <c r="A3843" s="3" t="n">
        <v>44099</v>
      </c>
      <c r="B3843">
        <f>Prices!B3843</f>
        <v/>
      </c>
      <c r="C3843">
        <f>Prices!C3843</f>
        <v/>
      </c>
      <c r="D3843">
        <f>Prices!D3843</f>
        <v/>
      </c>
      <c r="E3843">
        <f>Prices!E3843</f>
        <v/>
      </c>
      <c r="F3843">
        <f>Prices!F3843</f>
        <v/>
      </c>
      <c r="G3843">
        <f>IF(AND(3841&gt;=16,TEXT(A3843,"yyyy-mm")&lt;&gt;TEXT(A3844,"yyyy-mm")),1,0)</f>
        <v/>
      </c>
      <c r="H3843">
        <f>IF(OR(H3842=1,G3843=1),1,0)</f>
        <v/>
      </c>
      <c r="I3843">
        <f>IF(H3842=0,1,SUMPRODUCT(J3842:N3842,B3843:F3843)+O3842*(1+0.00023125256064071564))</f>
        <v/>
      </c>
      <c r="J3843">
        <f>IF(G3843=1,0.2*R3843/B3843,J3842)</f>
        <v/>
      </c>
      <c r="K3843">
        <f>IF(G3843=1,0.2*R3843/C3843,K3842)</f>
        <v/>
      </c>
      <c r="L3843">
        <f>IF(G3843=1,0.2*R3843/D3843,L3842)</f>
        <v/>
      </c>
      <c r="M3843">
        <f>IF(G3843=1,0.2*R3843/E3843,M3842)</f>
        <v/>
      </c>
      <c r="N3843">
        <f>IF(G3843=1,0.2*R3843/F3843,N3842)</f>
        <v/>
      </c>
      <c r="O3843">
        <f>IF(G3843=1,R3843*(1-1.0),IF(H3842=0,1,O3842*(1+0.00023125256064071564)))</f>
        <v/>
      </c>
      <c r="P3843">
        <f>IF(G3843=1,IF(H3842=0,1,ABS(0.2-J3842*B3843/I3843)+ABS(0.2-K3842*C3843/I3843)+ABS(0.2-L3842*D3843/I3843)+ABS(0.2-M3842*E3843/I3843)+ABS(0.2-N3842*F3843/I3843)),0)</f>
        <v/>
      </c>
      <c r="Q3843">
        <f>P3843*0.0015</f>
        <v/>
      </c>
      <c r="R3843">
        <f>I3843*(1-Q3843)</f>
        <v/>
      </c>
      <c r="S3843">
        <f>R3843/R3842-1</f>
        <v/>
      </c>
      <c r="T3843">
        <f>MAX(T3842,R3843)</f>
        <v/>
      </c>
      <c r="U3843">
        <f>R3843/T3843-1</f>
        <v/>
      </c>
      <c r="V3843" t="n">
        <v>9.084621926445028</v>
      </c>
      <c r="W3843" s="5">
        <f>R3843-V3843</f>
        <v/>
      </c>
    </row>
    <row r="3844">
      <c r="A3844" s="3" t="n">
        <v>44102</v>
      </c>
      <c r="B3844">
        <f>Prices!B3844</f>
        <v/>
      </c>
      <c r="C3844">
        <f>Prices!C3844</f>
        <v/>
      </c>
      <c r="D3844">
        <f>Prices!D3844</f>
        <v/>
      </c>
      <c r="E3844">
        <f>Prices!E3844</f>
        <v/>
      </c>
      <c r="F3844">
        <f>Prices!F3844</f>
        <v/>
      </c>
      <c r="G3844">
        <f>IF(AND(3842&gt;=16,TEXT(A3844,"yyyy-mm")&lt;&gt;TEXT(A3845,"yyyy-mm")),1,0)</f>
        <v/>
      </c>
      <c r="H3844">
        <f>IF(OR(H3843=1,G3844=1),1,0)</f>
        <v/>
      </c>
      <c r="I3844">
        <f>IF(H3843=0,1,SUMPRODUCT(J3843:N3843,B3844:F3844)+O3843*(1+0.00023125256064071564))</f>
        <v/>
      </c>
      <c r="J3844">
        <f>IF(G3844=1,0.2*R3844/B3844,J3843)</f>
        <v/>
      </c>
      <c r="K3844">
        <f>IF(G3844=1,0.2*R3844/C3844,K3843)</f>
        <v/>
      </c>
      <c r="L3844">
        <f>IF(G3844=1,0.2*R3844/D3844,L3843)</f>
        <v/>
      </c>
      <c r="M3844">
        <f>IF(G3844=1,0.2*R3844/E3844,M3843)</f>
        <v/>
      </c>
      <c r="N3844">
        <f>IF(G3844=1,0.2*R3844/F3844,N3843)</f>
        <v/>
      </c>
      <c r="O3844">
        <f>IF(G3844=1,R3844*(1-1.0),IF(H3843=0,1,O3843*(1+0.00023125256064071564)))</f>
        <v/>
      </c>
      <c r="P3844">
        <f>IF(G3844=1,IF(H3843=0,1,ABS(0.2-J3843*B3844/I3844)+ABS(0.2-K3843*C3844/I3844)+ABS(0.2-L3843*D3844/I3844)+ABS(0.2-M3843*E3844/I3844)+ABS(0.2-N3843*F3844/I3844)),0)</f>
        <v/>
      </c>
      <c r="Q3844">
        <f>P3844*0.0015</f>
        <v/>
      </c>
      <c r="R3844">
        <f>I3844*(1-Q3844)</f>
        <v/>
      </c>
      <c r="S3844">
        <f>R3844/R3843-1</f>
        <v/>
      </c>
      <c r="T3844">
        <f>MAX(T3843,R3844)</f>
        <v/>
      </c>
      <c r="U3844">
        <f>R3844/T3844-1</f>
        <v/>
      </c>
      <c r="V3844" t="n">
        <v>9.272765650834678</v>
      </c>
      <c r="W3844" s="5">
        <f>R3844-V3844</f>
        <v/>
      </c>
    </row>
    <row r="3845">
      <c r="A3845" s="3" t="n">
        <v>44103</v>
      </c>
      <c r="B3845">
        <f>Prices!B3845</f>
        <v/>
      </c>
      <c r="C3845">
        <f>Prices!C3845</f>
        <v/>
      </c>
      <c r="D3845">
        <f>Prices!D3845</f>
        <v/>
      </c>
      <c r="E3845">
        <f>Prices!E3845</f>
        <v/>
      </c>
      <c r="F3845">
        <f>Prices!F3845</f>
        <v/>
      </c>
      <c r="G3845">
        <f>IF(AND(3843&gt;=16,TEXT(A3845,"yyyy-mm")&lt;&gt;TEXT(A3846,"yyyy-mm")),1,0)</f>
        <v/>
      </c>
      <c r="H3845">
        <f>IF(OR(H3844=1,G3845=1),1,0)</f>
        <v/>
      </c>
      <c r="I3845">
        <f>IF(H3844=0,1,SUMPRODUCT(J3844:N3844,B3845:F3845)+O3844*(1+0.00023125256064071564))</f>
        <v/>
      </c>
      <c r="J3845">
        <f>IF(G3845=1,0.2*R3845/B3845,J3844)</f>
        <v/>
      </c>
      <c r="K3845">
        <f>IF(G3845=1,0.2*R3845/C3845,K3844)</f>
        <v/>
      </c>
      <c r="L3845">
        <f>IF(G3845=1,0.2*R3845/D3845,L3844)</f>
        <v/>
      </c>
      <c r="M3845">
        <f>IF(G3845=1,0.2*R3845/E3845,M3844)</f>
        <v/>
      </c>
      <c r="N3845">
        <f>IF(G3845=1,0.2*R3845/F3845,N3844)</f>
        <v/>
      </c>
      <c r="O3845">
        <f>IF(G3845=1,R3845*(1-1.0),IF(H3844=0,1,O3844*(1+0.00023125256064071564)))</f>
        <v/>
      </c>
      <c r="P3845">
        <f>IF(G3845=1,IF(H3844=0,1,ABS(0.2-J3844*B3845/I3845)+ABS(0.2-K3844*C3845/I3845)+ABS(0.2-L3844*D3845/I3845)+ABS(0.2-M3844*E3845/I3845)+ABS(0.2-N3844*F3845/I3845)),0)</f>
        <v/>
      </c>
      <c r="Q3845">
        <f>P3845*0.0015</f>
        <v/>
      </c>
      <c r="R3845">
        <f>I3845*(1-Q3845)</f>
        <v/>
      </c>
      <c r="S3845">
        <f>R3845/R3844-1</f>
        <v/>
      </c>
      <c r="T3845">
        <f>MAX(T3844,R3845)</f>
        <v/>
      </c>
      <c r="U3845">
        <f>R3845/T3845-1</f>
        <v/>
      </c>
      <c r="V3845" t="n">
        <v>9.237863721239886</v>
      </c>
      <c r="W3845" s="5">
        <f>R3845-V3845</f>
        <v/>
      </c>
    </row>
    <row r="3846">
      <c r="A3846" s="3" t="n">
        <v>44104</v>
      </c>
      <c r="B3846">
        <f>Prices!B3846</f>
        <v/>
      </c>
      <c r="C3846">
        <f>Prices!C3846</f>
        <v/>
      </c>
      <c r="D3846">
        <f>Prices!D3846</f>
        <v/>
      </c>
      <c r="E3846">
        <f>Prices!E3846</f>
        <v/>
      </c>
      <c r="F3846">
        <f>Prices!F3846</f>
        <v/>
      </c>
      <c r="G3846">
        <f>IF(AND(3844&gt;=16,TEXT(A3846,"yyyy-mm")&lt;&gt;TEXT(A3847,"yyyy-mm")),1,0)</f>
        <v/>
      </c>
      <c r="H3846">
        <f>IF(OR(H3845=1,G3846=1),1,0)</f>
        <v/>
      </c>
      <c r="I3846">
        <f>IF(H3845=0,1,SUMPRODUCT(J3845:N3845,B3846:F3846)+O3845*(1+0.00023125256064071564))</f>
        <v/>
      </c>
      <c r="J3846">
        <f>IF(G3846=1,0.2*R3846/B3846,J3845)</f>
        <v/>
      </c>
      <c r="K3846">
        <f>IF(G3846=1,0.2*R3846/C3846,K3845)</f>
        <v/>
      </c>
      <c r="L3846">
        <f>IF(G3846=1,0.2*R3846/D3846,L3845)</f>
        <v/>
      </c>
      <c r="M3846">
        <f>IF(G3846=1,0.2*R3846/E3846,M3845)</f>
        <v/>
      </c>
      <c r="N3846">
        <f>IF(G3846=1,0.2*R3846/F3846,N3845)</f>
        <v/>
      </c>
      <c r="O3846">
        <f>IF(G3846=1,R3846*(1-1.0),IF(H3845=0,1,O3845*(1+0.00023125256064071564)))</f>
        <v/>
      </c>
      <c r="P3846">
        <f>IF(G3846=1,IF(H3845=0,1,ABS(0.2-J3845*B3846/I3846)+ABS(0.2-K3845*C3846/I3846)+ABS(0.2-L3845*D3846/I3846)+ABS(0.2-M3845*E3846/I3846)+ABS(0.2-N3845*F3846/I3846)),0)</f>
        <v/>
      </c>
      <c r="Q3846">
        <f>P3846*0.0015</f>
        <v/>
      </c>
      <c r="R3846">
        <f>I3846*(1-Q3846)</f>
        <v/>
      </c>
      <c r="S3846">
        <f>R3846/R3845-1</f>
        <v/>
      </c>
      <c r="T3846">
        <f>MAX(T3845,R3846)</f>
        <v/>
      </c>
      <c r="U3846">
        <f>R3846/T3846-1</f>
        <v/>
      </c>
      <c r="V3846" t="n">
        <v>9.24760026496635</v>
      </c>
      <c r="W3846" s="5">
        <f>R3846-V3846</f>
        <v/>
      </c>
    </row>
    <row r="3847">
      <c r="A3847" s="3" t="n">
        <v>44105</v>
      </c>
      <c r="B3847">
        <f>Prices!B3847</f>
        <v/>
      </c>
      <c r="C3847">
        <f>Prices!C3847</f>
        <v/>
      </c>
      <c r="D3847">
        <f>Prices!D3847</f>
        <v/>
      </c>
      <c r="E3847">
        <f>Prices!E3847</f>
        <v/>
      </c>
      <c r="F3847">
        <f>Prices!F3847</f>
        <v/>
      </c>
      <c r="G3847">
        <f>IF(AND(3845&gt;=16,TEXT(A3847,"yyyy-mm")&lt;&gt;TEXT(A3848,"yyyy-mm")),1,0)</f>
        <v/>
      </c>
      <c r="H3847">
        <f>IF(OR(H3846=1,G3847=1),1,0)</f>
        <v/>
      </c>
      <c r="I3847">
        <f>IF(H3846=0,1,SUMPRODUCT(J3846:N3846,B3847:F3847)+O3846*(1+0.00023125256064071564))</f>
        <v/>
      </c>
      <c r="J3847">
        <f>IF(G3847=1,0.2*R3847/B3847,J3846)</f>
        <v/>
      </c>
      <c r="K3847">
        <f>IF(G3847=1,0.2*R3847/C3847,K3846)</f>
        <v/>
      </c>
      <c r="L3847">
        <f>IF(G3847=1,0.2*R3847/D3847,L3846)</f>
        <v/>
      </c>
      <c r="M3847">
        <f>IF(G3847=1,0.2*R3847/E3847,M3846)</f>
        <v/>
      </c>
      <c r="N3847">
        <f>IF(G3847=1,0.2*R3847/F3847,N3846)</f>
        <v/>
      </c>
      <c r="O3847">
        <f>IF(G3847=1,R3847*(1-1.0),IF(H3846=0,1,O3846*(1+0.00023125256064071564)))</f>
        <v/>
      </c>
      <c r="P3847">
        <f>IF(G3847=1,IF(H3846=0,1,ABS(0.2-J3846*B3847/I3847)+ABS(0.2-K3846*C3847/I3847)+ABS(0.2-L3846*D3847/I3847)+ABS(0.2-M3846*E3847/I3847)+ABS(0.2-N3846*F3847/I3847)),0)</f>
        <v/>
      </c>
      <c r="Q3847">
        <f>P3847*0.0015</f>
        <v/>
      </c>
      <c r="R3847">
        <f>I3847*(1-Q3847)</f>
        <v/>
      </c>
      <c r="S3847">
        <f>R3847/R3846-1</f>
        <v/>
      </c>
      <c r="T3847">
        <f>MAX(T3846,R3847)</f>
        <v/>
      </c>
      <c r="U3847">
        <f>R3847/T3847-1</f>
        <v/>
      </c>
      <c r="V3847" t="n">
        <v>9.298293390709585</v>
      </c>
      <c r="W3847" s="5">
        <f>R3847-V3847</f>
        <v/>
      </c>
    </row>
    <row r="3848">
      <c r="A3848" s="3" t="n">
        <v>44109</v>
      </c>
      <c r="B3848">
        <f>Prices!B3848</f>
        <v/>
      </c>
      <c r="C3848">
        <f>Prices!C3848</f>
        <v/>
      </c>
      <c r="D3848">
        <f>Prices!D3848</f>
        <v/>
      </c>
      <c r="E3848">
        <f>Prices!E3848</f>
        <v/>
      </c>
      <c r="F3848">
        <f>Prices!F3848</f>
        <v/>
      </c>
      <c r="G3848">
        <f>IF(AND(3846&gt;=16,TEXT(A3848,"yyyy-mm")&lt;&gt;TEXT(A3849,"yyyy-mm")),1,0)</f>
        <v/>
      </c>
      <c r="H3848">
        <f>IF(OR(H3847=1,G3848=1),1,0)</f>
        <v/>
      </c>
      <c r="I3848">
        <f>IF(H3847=0,1,SUMPRODUCT(J3847:N3847,B3848:F3848)+O3847*(1+0.00023125256064071564))</f>
        <v/>
      </c>
      <c r="J3848">
        <f>IF(G3848=1,0.2*R3848/B3848,J3847)</f>
        <v/>
      </c>
      <c r="K3848">
        <f>IF(G3848=1,0.2*R3848/C3848,K3847)</f>
        <v/>
      </c>
      <c r="L3848">
        <f>IF(G3848=1,0.2*R3848/D3848,L3847)</f>
        <v/>
      </c>
      <c r="M3848">
        <f>IF(G3848=1,0.2*R3848/E3848,M3847)</f>
        <v/>
      </c>
      <c r="N3848">
        <f>IF(G3848=1,0.2*R3848/F3848,N3847)</f>
        <v/>
      </c>
      <c r="O3848">
        <f>IF(G3848=1,R3848*(1-1.0),IF(H3847=0,1,O3847*(1+0.00023125256064071564)))</f>
        <v/>
      </c>
      <c r="P3848">
        <f>IF(G3848=1,IF(H3847=0,1,ABS(0.2-J3847*B3848/I3848)+ABS(0.2-K3847*C3848/I3848)+ABS(0.2-L3847*D3848/I3848)+ABS(0.2-M3847*E3848/I3848)+ABS(0.2-N3847*F3848/I3848)),0)</f>
        <v/>
      </c>
      <c r="Q3848">
        <f>P3848*0.0015</f>
        <v/>
      </c>
      <c r="R3848">
        <f>I3848*(1-Q3848)</f>
        <v/>
      </c>
      <c r="S3848">
        <f>R3848/R3847-1</f>
        <v/>
      </c>
      <c r="T3848">
        <f>MAX(T3847,R3848)</f>
        <v/>
      </c>
      <c r="U3848">
        <f>R3848/T3848-1</f>
        <v/>
      </c>
      <c r="V3848" t="n">
        <v>9.336973253972184</v>
      </c>
      <c r="W3848" s="5">
        <f>R3848-V3848</f>
        <v/>
      </c>
    </row>
    <row r="3849">
      <c r="A3849" s="3" t="n">
        <v>44110</v>
      </c>
      <c r="B3849">
        <f>Prices!B3849</f>
        <v/>
      </c>
      <c r="C3849">
        <f>Prices!C3849</f>
        <v/>
      </c>
      <c r="D3849">
        <f>Prices!D3849</f>
        <v/>
      </c>
      <c r="E3849">
        <f>Prices!E3849</f>
        <v/>
      </c>
      <c r="F3849">
        <f>Prices!F3849</f>
        <v/>
      </c>
      <c r="G3849">
        <f>IF(AND(3847&gt;=16,TEXT(A3849,"yyyy-mm")&lt;&gt;TEXT(A3850,"yyyy-mm")),1,0)</f>
        <v/>
      </c>
      <c r="H3849">
        <f>IF(OR(H3848=1,G3849=1),1,0)</f>
        <v/>
      </c>
      <c r="I3849">
        <f>IF(H3848=0,1,SUMPRODUCT(J3848:N3848,B3849:F3849)+O3848*(1+0.00023125256064071564))</f>
        <v/>
      </c>
      <c r="J3849">
        <f>IF(G3849=1,0.2*R3849/B3849,J3848)</f>
        <v/>
      </c>
      <c r="K3849">
        <f>IF(G3849=1,0.2*R3849/C3849,K3848)</f>
        <v/>
      </c>
      <c r="L3849">
        <f>IF(G3849=1,0.2*R3849/D3849,L3848)</f>
        <v/>
      </c>
      <c r="M3849">
        <f>IF(G3849=1,0.2*R3849/E3849,M3848)</f>
        <v/>
      </c>
      <c r="N3849">
        <f>IF(G3849=1,0.2*R3849/F3849,N3848)</f>
        <v/>
      </c>
      <c r="O3849">
        <f>IF(G3849=1,R3849*(1-1.0),IF(H3848=0,1,O3848*(1+0.00023125256064071564)))</f>
        <v/>
      </c>
      <c r="P3849">
        <f>IF(G3849=1,IF(H3848=0,1,ABS(0.2-J3848*B3849/I3849)+ABS(0.2-K3848*C3849/I3849)+ABS(0.2-L3848*D3849/I3849)+ABS(0.2-M3848*E3849/I3849)+ABS(0.2-N3848*F3849/I3849)),0)</f>
        <v/>
      </c>
      <c r="Q3849">
        <f>P3849*0.0015</f>
        <v/>
      </c>
      <c r="R3849">
        <f>I3849*(1-Q3849)</f>
        <v/>
      </c>
      <c r="S3849">
        <f>R3849/R3848-1</f>
        <v/>
      </c>
      <c r="T3849">
        <f>MAX(T3848,R3849)</f>
        <v/>
      </c>
      <c r="U3849">
        <f>R3849/T3849-1</f>
        <v/>
      </c>
      <c r="V3849" t="n">
        <v>9.358234461669262</v>
      </c>
      <c r="W3849" s="5">
        <f>R3849-V3849</f>
        <v/>
      </c>
    </row>
    <row r="3850">
      <c r="A3850" s="3" t="n">
        <v>44111</v>
      </c>
      <c r="B3850">
        <f>Prices!B3850</f>
        <v/>
      </c>
      <c r="C3850">
        <f>Prices!C3850</f>
        <v/>
      </c>
      <c r="D3850">
        <f>Prices!D3850</f>
        <v/>
      </c>
      <c r="E3850">
        <f>Prices!E3850</f>
        <v/>
      </c>
      <c r="F3850">
        <f>Prices!F3850</f>
        <v/>
      </c>
      <c r="G3850">
        <f>IF(AND(3848&gt;=16,TEXT(A3850,"yyyy-mm")&lt;&gt;TEXT(A3851,"yyyy-mm")),1,0)</f>
        <v/>
      </c>
      <c r="H3850">
        <f>IF(OR(H3849=1,G3850=1),1,0)</f>
        <v/>
      </c>
      <c r="I3850">
        <f>IF(H3849=0,1,SUMPRODUCT(J3849:N3849,B3850:F3850)+O3849*(1+0.00023125256064071564))</f>
        <v/>
      </c>
      <c r="J3850">
        <f>IF(G3850=1,0.2*R3850/B3850,J3849)</f>
        <v/>
      </c>
      <c r="K3850">
        <f>IF(G3850=1,0.2*R3850/C3850,K3849)</f>
        <v/>
      </c>
      <c r="L3850">
        <f>IF(G3850=1,0.2*R3850/D3850,L3849)</f>
        <v/>
      </c>
      <c r="M3850">
        <f>IF(G3850=1,0.2*R3850/E3850,M3849)</f>
        <v/>
      </c>
      <c r="N3850">
        <f>IF(G3850=1,0.2*R3850/F3850,N3849)</f>
        <v/>
      </c>
      <c r="O3850">
        <f>IF(G3850=1,R3850*(1-1.0),IF(H3849=0,1,O3849*(1+0.00023125256064071564)))</f>
        <v/>
      </c>
      <c r="P3850">
        <f>IF(G3850=1,IF(H3849=0,1,ABS(0.2-J3849*B3850/I3850)+ABS(0.2-K3849*C3850/I3850)+ABS(0.2-L3849*D3850/I3850)+ABS(0.2-M3849*E3850/I3850)+ABS(0.2-N3849*F3850/I3850)),0)</f>
        <v/>
      </c>
      <c r="Q3850">
        <f>P3850*0.0015</f>
        <v/>
      </c>
      <c r="R3850">
        <f>I3850*(1-Q3850)</f>
        <v/>
      </c>
      <c r="S3850">
        <f>R3850/R3849-1</f>
        <v/>
      </c>
      <c r="T3850">
        <f>MAX(T3849,R3850)</f>
        <v/>
      </c>
      <c r="U3850">
        <f>R3850/T3850-1</f>
        <v/>
      </c>
      <c r="V3850" t="n">
        <v>9.329401493573467</v>
      </c>
      <c r="W3850" s="5">
        <f>R3850-V3850</f>
        <v/>
      </c>
    </row>
    <row r="3851">
      <c r="A3851" s="3" t="n">
        <v>44112</v>
      </c>
      <c r="B3851">
        <f>Prices!B3851</f>
        <v/>
      </c>
      <c r="C3851">
        <f>Prices!C3851</f>
        <v/>
      </c>
      <c r="D3851">
        <f>Prices!D3851</f>
        <v/>
      </c>
      <c r="E3851">
        <f>Prices!E3851</f>
        <v/>
      </c>
      <c r="F3851">
        <f>Prices!F3851</f>
        <v/>
      </c>
      <c r="G3851">
        <f>IF(AND(3849&gt;=16,TEXT(A3851,"yyyy-mm")&lt;&gt;TEXT(A3852,"yyyy-mm")),1,0)</f>
        <v/>
      </c>
      <c r="H3851">
        <f>IF(OR(H3850=1,G3851=1),1,0)</f>
        <v/>
      </c>
      <c r="I3851">
        <f>IF(H3850=0,1,SUMPRODUCT(J3850:N3850,B3851:F3851)+O3850*(1+0.00023125256064071564))</f>
        <v/>
      </c>
      <c r="J3851">
        <f>IF(G3851=1,0.2*R3851/B3851,J3850)</f>
        <v/>
      </c>
      <c r="K3851">
        <f>IF(G3851=1,0.2*R3851/C3851,K3850)</f>
        <v/>
      </c>
      <c r="L3851">
        <f>IF(G3851=1,0.2*R3851/D3851,L3850)</f>
        <v/>
      </c>
      <c r="M3851">
        <f>IF(G3851=1,0.2*R3851/E3851,M3850)</f>
        <v/>
      </c>
      <c r="N3851">
        <f>IF(G3851=1,0.2*R3851/F3851,N3850)</f>
        <v/>
      </c>
      <c r="O3851">
        <f>IF(G3851=1,R3851*(1-1.0),IF(H3850=0,1,O3850*(1+0.00023125256064071564)))</f>
        <v/>
      </c>
      <c r="P3851">
        <f>IF(G3851=1,IF(H3850=0,1,ABS(0.2-J3850*B3851/I3851)+ABS(0.2-K3850*C3851/I3851)+ABS(0.2-L3850*D3851/I3851)+ABS(0.2-M3850*E3851/I3851)+ABS(0.2-N3850*F3851/I3851)),0)</f>
        <v/>
      </c>
      <c r="Q3851">
        <f>P3851*0.0015</f>
        <v/>
      </c>
      <c r="R3851">
        <f>I3851*(1-Q3851)</f>
        <v/>
      </c>
      <c r="S3851">
        <f>R3851/R3850-1</f>
        <v/>
      </c>
      <c r="T3851">
        <f>MAX(T3850,R3851)</f>
        <v/>
      </c>
      <c r="U3851">
        <f>R3851/T3851-1</f>
        <v/>
      </c>
      <c r="V3851" t="n">
        <v>9.36035273499885</v>
      </c>
      <c r="W3851" s="5">
        <f>R3851-V3851</f>
        <v/>
      </c>
    </row>
    <row r="3852">
      <c r="A3852" s="3" t="n">
        <v>44113</v>
      </c>
      <c r="B3852">
        <f>Prices!B3852</f>
        <v/>
      </c>
      <c r="C3852">
        <f>Prices!C3852</f>
        <v/>
      </c>
      <c r="D3852">
        <f>Prices!D3852</f>
        <v/>
      </c>
      <c r="E3852">
        <f>Prices!E3852</f>
        <v/>
      </c>
      <c r="F3852">
        <f>Prices!F3852</f>
        <v/>
      </c>
      <c r="G3852">
        <f>IF(AND(3850&gt;=16,TEXT(A3852,"yyyy-mm")&lt;&gt;TEXT(A3853,"yyyy-mm")),1,0)</f>
        <v/>
      </c>
      <c r="H3852">
        <f>IF(OR(H3851=1,G3852=1),1,0)</f>
        <v/>
      </c>
      <c r="I3852">
        <f>IF(H3851=0,1,SUMPRODUCT(J3851:N3851,B3852:F3852)+O3851*(1+0.00023125256064071564))</f>
        <v/>
      </c>
      <c r="J3852">
        <f>IF(G3852=1,0.2*R3852/B3852,J3851)</f>
        <v/>
      </c>
      <c r="K3852">
        <f>IF(G3852=1,0.2*R3852/C3852,K3851)</f>
        <v/>
      </c>
      <c r="L3852">
        <f>IF(G3852=1,0.2*R3852/D3852,L3851)</f>
        <v/>
      </c>
      <c r="M3852">
        <f>IF(G3852=1,0.2*R3852/E3852,M3851)</f>
        <v/>
      </c>
      <c r="N3852">
        <f>IF(G3852=1,0.2*R3852/F3852,N3851)</f>
        <v/>
      </c>
      <c r="O3852">
        <f>IF(G3852=1,R3852*(1-1.0),IF(H3851=0,1,O3851*(1+0.00023125256064071564)))</f>
        <v/>
      </c>
      <c r="P3852">
        <f>IF(G3852=1,IF(H3851=0,1,ABS(0.2-J3851*B3852/I3852)+ABS(0.2-K3851*C3852/I3852)+ABS(0.2-L3851*D3852/I3852)+ABS(0.2-M3851*E3852/I3852)+ABS(0.2-N3851*F3852/I3852)),0)</f>
        <v/>
      </c>
      <c r="Q3852">
        <f>P3852*0.0015</f>
        <v/>
      </c>
      <c r="R3852">
        <f>I3852*(1-Q3852)</f>
        <v/>
      </c>
      <c r="S3852">
        <f>R3852/R3851-1</f>
        <v/>
      </c>
      <c r="T3852">
        <f>MAX(T3851,R3852)</f>
        <v/>
      </c>
      <c r="U3852">
        <f>R3852/T3852-1</f>
        <v/>
      </c>
      <c r="V3852" t="n">
        <v>9.324474450251087</v>
      </c>
      <c r="W3852" s="5">
        <f>R3852-V3852</f>
        <v/>
      </c>
    </row>
    <row r="3853">
      <c r="A3853" s="3" t="n">
        <v>44116</v>
      </c>
      <c r="B3853">
        <f>Prices!B3853</f>
        <v/>
      </c>
      <c r="C3853">
        <f>Prices!C3853</f>
        <v/>
      </c>
      <c r="D3853">
        <f>Prices!D3853</f>
        <v/>
      </c>
      <c r="E3853">
        <f>Prices!E3853</f>
        <v/>
      </c>
      <c r="F3853">
        <f>Prices!F3853</f>
        <v/>
      </c>
      <c r="G3853">
        <f>IF(AND(3851&gt;=16,TEXT(A3853,"yyyy-mm")&lt;&gt;TEXT(A3854,"yyyy-mm")),1,0)</f>
        <v/>
      </c>
      <c r="H3853">
        <f>IF(OR(H3852=1,G3853=1),1,0)</f>
        <v/>
      </c>
      <c r="I3853">
        <f>IF(H3852=0,1,SUMPRODUCT(J3852:N3852,B3853:F3853)+O3852*(1+0.00023125256064071564))</f>
        <v/>
      </c>
      <c r="J3853">
        <f>IF(G3853=1,0.2*R3853/B3853,J3852)</f>
        <v/>
      </c>
      <c r="K3853">
        <f>IF(G3853=1,0.2*R3853/C3853,K3852)</f>
        <v/>
      </c>
      <c r="L3853">
        <f>IF(G3853=1,0.2*R3853/D3853,L3852)</f>
        <v/>
      </c>
      <c r="M3853">
        <f>IF(G3853=1,0.2*R3853/E3853,M3852)</f>
        <v/>
      </c>
      <c r="N3853">
        <f>IF(G3853=1,0.2*R3853/F3853,N3852)</f>
        <v/>
      </c>
      <c r="O3853">
        <f>IF(G3853=1,R3853*(1-1.0),IF(H3852=0,1,O3852*(1+0.00023125256064071564)))</f>
        <v/>
      </c>
      <c r="P3853">
        <f>IF(G3853=1,IF(H3852=0,1,ABS(0.2-J3852*B3853/I3853)+ABS(0.2-K3852*C3853/I3853)+ABS(0.2-L3852*D3853/I3853)+ABS(0.2-M3852*E3853/I3853)+ABS(0.2-N3852*F3853/I3853)),0)</f>
        <v/>
      </c>
      <c r="Q3853">
        <f>P3853*0.0015</f>
        <v/>
      </c>
      <c r="R3853">
        <f>I3853*(1-Q3853)</f>
        <v/>
      </c>
      <c r="S3853">
        <f>R3853/R3852-1</f>
        <v/>
      </c>
      <c r="T3853">
        <f>MAX(T3852,R3853)</f>
        <v/>
      </c>
      <c r="U3853">
        <f>R3853/T3853-1</f>
        <v/>
      </c>
      <c r="V3853" t="n">
        <v>9.322675000184125</v>
      </c>
      <c r="W3853" s="5">
        <f>R3853-V3853</f>
        <v/>
      </c>
    </row>
    <row r="3854">
      <c r="A3854" s="3" t="n">
        <v>44117</v>
      </c>
      <c r="B3854">
        <f>Prices!B3854</f>
        <v/>
      </c>
      <c r="C3854">
        <f>Prices!C3854</f>
        <v/>
      </c>
      <c r="D3854">
        <f>Prices!D3854</f>
        <v/>
      </c>
      <c r="E3854">
        <f>Prices!E3854</f>
        <v/>
      </c>
      <c r="F3854">
        <f>Prices!F3854</f>
        <v/>
      </c>
      <c r="G3854">
        <f>IF(AND(3852&gt;=16,TEXT(A3854,"yyyy-mm")&lt;&gt;TEXT(A3855,"yyyy-mm")),1,0)</f>
        <v/>
      </c>
      <c r="H3854">
        <f>IF(OR(H3853=1,G3854=1),1,0)</f>
        <v/>
      </c>
      <c r="I3854">
        <f>IF(H3853=0,1,SUMPRODUCT(J3853:N3853,B3854:F3854)+O3853*(1+0.00023125256064071564))</f>
        <v/>
      </c>
      <c r="J3854">
        <f>IF(G3854=1,0.2*R3854/B3854,J3853)</f>
        <v/>
      </c>
      <c r="K3854">
        <f>IF(G3854=1,0.2*R3854/C3854,K3853)</f>
        <v/>
      </c>
      <c r="L3854">
        <f>IF(G3854=1,0.2*R3854/D3854,L3853)</f>
        <v/>
      </c>
      <c r="M3854">
        <f>IF(G3854=1,0.2*R3854/E3854,M3853)</f>
        <v/>
      </c>
      <c r="N3854">
        <f>IF(G3854=1,0.2*R3854/F3854,N3853)</f>
        <v/>
      </c>
      <c r="O3854">
        <f>IF(G3854=1,R3854*(1-1.0),IF(H3853=0,1,O3853*(1+0.00023125256064071564)))</f>
        <v/>
      </c>
      <c r="P3854">
        <f>IF(G3854=1,IF(H3853=0,1,ABS(0.2-J3853*B3854/I3854)+ABS(0.2-K3853*C3854/I3854)+ABS(0.2-L3853*D3854/I3854)+ABS(0.2-M3853*E3854/I3854)+ABS(0.2-N3853*F3854/I3854)),0)</f>
        <v/>
      </c>
      <c r="Q3854">
        <f>P3854*0.0015</f>
        <v/>
      </c>
      <c r="R3854">
        <f>I3854*(1-Q3854)</f>
        <v/>
      </c>
      <c r="S3854">
        <f>R3854/R3853-1</f>
        <v/>
      </c>
      <c r="T3854">
        <f>MAX(T3853,R3854)</f>
        <v/>
      </c>
      <c r="U3854">
        <f>R3854/T3854-1</f>
        <v/>
      </c>
      <c r="V3854" t="n">
        <v>9.314641672026463</v>
      </c>
      <c r="W3854" s="5">
        <f>R3854-V3854</f>
        <v/>
      </c>
    </row>
    <row r="3855">
      <c r="A3855" s="3" t="n">
        <v>44118</v>
      </c>
      <c r="B3855">
        <f>Prices!B3855</f>
        <v/>
      </c>
      <c r="C3855">
        <f>Prices!C3855</f>
        <v/>
      </c>
      <c r="D3855">
        <f>Prices!D3855</f>
        <v/>
      </c>
      <c r="E3855">
        <f>Prices!E3855</f>
        <v/>
      </c>
      <c r="F3855">
        <f>Prices!F3855</f>
        <v/>
      </c>
      <c r="G3855">
        <f>IF(AND(3853&gt;=16,TEXT(A3855,"yyyy-mm")&lt;&gt;TEXT(A3856,"yyyy-mm")),1,0)</f>
        <v/>
      </c>
      <c r="H3855">
        <f>IF(OR(H3854=1,G3855=1),1,0)</f>
        <v/>
      </c>
      <c r="I3855">
        <f>IF(H3854=0,1,SUMPRODUCT(J3854:N3854,B3855:F3855)+O3854*(1+0.00023125256064071564))</f>
        <v/>
      </c>
      <c r="J3855">
        <f>IF(G3855=1,0.2*R3855/B3855,J3854)</f>
        <v/>
      </c>
      <c r="K3855">
        <f>IF(G3855=1,0.2*R3855/C3855,K3854)</f>
        <v/>
      </c>
      <c r="L3855">
        <f>IF(G3855=1,0.2*R3855/D3855,L3854)</f>
        <v/>
      </c>
      <c r="M3855">
        <f>IF(G3855=1,0.2*R3855/E3855,M3854)</f>
        <v/>
      </c>
      <c r="N3855">
        <f>IF(G3855=1,0.2*R3855/F3855,N3854)</f>
        <v/>
      </c>
      <c r="O3855">
        <f>IF(G3855=1,R3855*(1-1.0),IF(H3854=0,1,O3854*(1+0.00023125256064071564)))</f>
        <v/>
      </c>
      <c r="P3855">
        <f>IF(G3855=1,IF(H3854=0,1,ABS(0.2-J3854*B3855/I3855)+ABS(0.2-K3854*C3855/I3855)+ABS(0.2-L3854*D3855/I3855)+ABS(0.2-M3854*E3855/I3855)+ABS(0.2-N3854*F3855/I3855)),0)</f>
        <v/>
      </c>
      <c r="Q3855">
        <f>P3855*0.0015</f>
        <v/>
      </c>
      <c r="R3855">
        <f>I3855*(1-Q3855)</f>
        <v/>
      </c>
      <c r="S3855">
        <f>R3855/R3854-1</f>
        <v/>
      </c>
      <c r="T3855">
        <f>MAX(T3854,R3855)</f>
        <v/>
      </c>
      <c r="U3855">
        <f>R3855/T3855-1</f>
        <v/>
      </c>
      <c r="V3855" t="n">
        <v>9.304793249244558</v>
      </c>
      <c r="W3855" s="5">
        <f>R3855-V3855</f>
        <v/>
      </c>
    </row>
    <row r="3856">
      <c r="A3856" s="3" t="n">
        <v>44119</v>
      </c>
      <c r="B3856">
        <f>Prices!B3856</f>
        <v/>
      </c>
      <c r="C3856">
        <f>Prices!C3856</f>
        <v/>
      </c>
      <c r="D3856">
        <f>Prices!D3856</f>
        <v/>
      </c>
      <c r="E3856">
        <f>Prices!E3856</f>
        <v/>
      </c>
      <c r="F3856">
        <f>Prices!F3856</f>
        <v/>
      </c>
      <c r="G3856">
        <f>IF(AND(3854&gt;=16,TEXT(A3856,"yyyy-mm")&lt;&gt;TEXT(A3857,"yyyy-mm")),1,0)</f>
        <v/>
      </c>
      <c r="H3856">
        <f>IF(OR(H3855=1,G3856=1),1,0)</f>
        <v/>
      </c>
      <c r="I3856">
        <f>IF(H3855=0,1,SUMPRODUCT(J3855:N3855,B3856:F3856)+O3855*(1+0.00023125256064071564))</f>
        <v/>
      </c>
      <c r="J3856">
        <f>IF(G3856=1,0.2*R3856/B3856,J3855)</f>
        <v/>
      </c>
      <c r="K3856">
        <f>IF(G3856=1,0.2*R3856/C3856,K3855)</f>
        <v/>
      </c>
      <c r="L3856">
        <f>IF(G3856=1,0.2*R3856/D3856,L3855)</f>
        <v/>
      </c>
      <c r="M3856">
        <f>IF(G3856=1,0.2*R3856/E3856,M3855)</f>
        <v/>
      </c>
      <c r="N3856">
        <f>IF(G3856=1,0.2*R3856/F3856,N3855)</f>
        <v/>
      </c>
      <c r="O3856">
        <f>IF(G3856=1,R3856*(1-1.0),IF(H3855=0,1,O3855*(1+0.00023125256064071564)))</f>
        <v/>
      </c>
      <c r="P3856">
        <f>IF(G3856=1,IF(H3855=0,1,ABS(0.2-J3855*B3856/I3856)+ABS(0.2-K3855*C3856/I3856)+ABS(0.2-L3855*D3856/I3856)+ABS(0.2-M3855*E3856/I3856)+ABS(0.2-N3855*F3856/I3856)),0)</f>
        <v/>
      </c>
      <c r="Q3856">
        <f>P3856*0.0015</f>
        <v/>
      </c>
      <c r="R3856">
        <f>I3856*(1-Q3856)</f>
        <v/>
      </c>
      <c r="S3856">
        <f>R3856/R3855-1</f>
        <v/>
      </c>
      <c r="T3856">
        <f>MAX(T3855,R3856)</f>
        <v/>
      </c>
      <c r="U3856">
        <f>R3856/T3856-1</f>
        <v/>
      </c>
      <c r="V3856" t="n">
        <v>9.17759263963748</v>
      </c>
      <c r="W3856" s="5">
        <f>R3856-V3856</f>
        <v/>
      </c>
    </row>
    <row r="3857">
      <c r="A3857" s="3" t="n">
        <v>44120</v>
      </c>
      <c r="B3857">
        <f>Prices!B3857</f>
        <v/>
      </c>
      <c r="C3857">
        <f>Prices!C3857</f>
        <v/>
      </c>
      <c r="D3857">
        <f>Prices!D3857</f>
        <v/>
      </c>
      <c r="E3857">
        <f>Prices!E3857</f>
        <v/>
      </c>
      <c r="F3857">
        <f>Prices!F3857</f>
        <v/>
      </c>
      <c r="G3857">
        <f>IF(AND(3855&gt;=16,TEXT(A3857,"yyyy-mm")&lt;&gt;TEXT(A3858,"yyyy-mm")),1,0)</f>
        <v/>
      </c>
      <c r="H3857">
        <f>IF(OR(H3856=1,G3857=1),1,0)</f>
        <v/>
      </c>
      <c r="I3857">
        <f>IF(H3856=0,1,SUMPRODUCT(J3856:N3856,B3857:F3857)+O3856*(1+0.00023125256064071564))</f>
        <v/>
      </c>
      <c r="J3857">
        <f>IF(G3857=1,0.2*R3857/B3857,J3856)</f>
        <v/>
      </c>
      <c r="K3857">
        <f>IF(G3857=1,0.2*R3857/C3857,K3856)</f>
        <v/>
      </c>
      <c r="L3857">
        <f>IF(G3857=1,0.2*R3857/D3857,L3856)</f>
        <v/>
      </c>
      <c r="M3857">
        <f>IF(G3857=1,0.2*R3857/E3857,M3856)</f>
        <v/>
      </c>
      <c r="N3857">
        <f>IF(G3857=1,0.2*R3857/F3857,N3856)</f>
        <v/>
      </c>
      <c r="O3857">
        <f>IF(G3857=1,R3857*(1-1.0),IF(H3856=0,1,O3856*(1+0.00023125256064071564)))</f>
        <v/>
      </c>
      <c r="P3857">
        <f>IF(G3857=1,IF(H3856=0,1,ABS(0.2-J3856*B3857/I3857)+ABS(0.2-K3856*C3857/I3857)+ABS(0.2-L3856*D3857/I3857)+ABS(0.2-M3856*E3857/I3857)+ABS(0.2-N3856*F3857/I3857)),0)</f>
        <v/>
      </c>
      <c r="Q3857">
        <f>P3857*0.0015</f>
        <v/>
      </c>
      <c r="R3857">
        <f>I3857*(1-Q3857)</f>
        <v/>
      </c>
      <c r="S3857">
        <f>R3857/R3856-1</f>
        <v/>
      </c>
      <c r="T3857">
        <f>MAX(T3856,R3857)</f>
        <v/>
      </c>
      <c r="U3857">
        <f>R3857/T3857-1</f>
        <v/>
      </c>
      <c r="V3857" t="n">
        <v>9.257755229367731</v>
      </c>
      <c r="W3857" s="5">
        <f>R3857-V3857</f>
        <v/>
      </c>
    </row>
    <row r="3858">
      <c r="A3858" s="3" t="n">
        <v>44123</v>
      </c>
      <c r="B3858">
        <f>Prices!B3858</f>
        <v/>
      </c>
      <c r="C3858">
        <f>Prices!C3858</f>
        <v/>
      </c>
      <c r="D3858">
        <f>Prices!D3858</f>
        <v/>
      </c>
      <c r="E3858">
        <f>Prices!E3858</f>
        <v/>
      </c>
      <c r="F3858">
        <f>Prices!F3858</f>
        <v/>
      </c>
      <c r="G3858">
        <f>IF(AND(3856&gt;=16,TEXT(A3858,"yyyy-mm")&lt;&gt;TEXT(A3859,"yyyy-mm")),1,0)</f>
        <v/>
      </c>
      <c r="H3858">
        <f>IF(OR(H3857=1,G3858=1),1,0)</f>
        <v/>
      </c>
      <c r="I3858">
        <f>IF(H3857=0,1,SUMPRODUCT(J3857:N3857,B3858:F3858)+O3857*(1+0.00023125256064071564))</f>
        <v/>
      </c>
      <c r="J3858">
        <f>IF(G3858=1,0.2*R3858/B3858,J3857)</f>
        <v/>
      </c>
      <c r="K3858">
        <f>IF(G3858=1,0.2*R3858/C3858,K3857)</f>
        <v/>
      </c>
      <c r="L3858">
        <f>IF(G3858=1,0.2*R3858/D3858,L3857)</f>
        <v/>
      </c>
      <c r="M3858">
        <f>IF(G3858=1,0.2*R3858/E3858,M3857)</f>
        <v/>
      </c>
      <c r="N3858">
        <f>IF(G3858=1,0.2*R3858/F3858,N3857)</f>
        <v/>
      </c>
      <c r="O3858">
        <f>IF(G3858=1,R3858*(1-1.0),IF(H3857=0,1,O3857*(1+0.00023125256064071564)))</f>
        <v/>
      </c>
      <c r="P3858">
        <f>IF(G3858=1,IF(H3857=0,1,ABS(0.2-J3857*B3858/I3858)+ABS(0.2-K3857*C3858/I3858)+ABS(0.2-L3857*D3858/I3858)+ABS(0.2-M3857*E3858/I3858)+ABS(0.2-N3857*F3858/I3858)),0)</f>
        <v/>
      </c>
      <c r="Q3858">
        <f>P3858*0.0015</f>
        <v/>
      </c>
      <c r="R3858">
        <f>I3858*(1-Q3858)</f>
        <v/>
      </c>
      <c r="S3858">
        <f>R3858/R3857-1</f>
        <v/>
      </c>
      <c r="T3858">
        <f>MAX(T3857,R3858)</f>
        <v/>
      </c>
      <c r="U3858">
        <f>R3858/T3858-1</f>
        <v/>
      </c>
      <c r="V3858" t="n">
        <v>9.299362229288018</v>
      </c>
      <c r="W3858" s="5">
        <f>R3858-V3858</f>
        <v/>
      </c>
    </row>
    <row r="3859">
      <c r="A3859" s="3" t="n">
        <v>44124</v>
      </c>
      <c r="B3859">
        <f>Prices!B3859</f>
        <v/>
      </c>
      <c r="C3859">
        <f>Prices!C3859</f>
        <v/>
      </c>
      <c r="D3859">
        <f>Prices!D3859</f>
        <v/>
      </c>
      <c r="E3859">
        <f>Prices!E3859</f>
        <v/>
      </c>
      <c r="F3859">
        <f>Prices!F3859</f>
        <v/>
      </c>
      <c r="G3859">
        <f>IF(AND(3857&gt;=16,TEXT(A3859,"yyyy-mm")&lt;&gt;TEXT(A3860,"yyyy-mm")),1,0)</f>
        <v/>
      </c>
      <c r="H3859">
        <f>IF(OR(H3858=1,G3859=1),1,0)</f>
        <v/>
      </c>
      <c r="I3859">
        <f>IF(H3858=0,1,SUMPRODUCT(J3858:N3858,B3859:F3859)+O3858*(1+0.00023125256064071564))</f>
        <v/>
      </c>
      <c r="J3859">
        <f>IF(G3859=1,0.2*R3859/B3859,J3858)</f>
        <v/>
      </c>
      <c r="K3859">
        <f>IF(G3859=1,0.2*R3859/C3859,K3858)</f>
        <v/>
      </c>
      <c r="L3859">
        <f>IF(G3859=1,0.2*R3859/D3859,L3858)</f>
        <v/>
      </c>
      <c r="M3859">
        <f>IF(G3859=1,0.2*R3859/E3859,M3858)</f>
        <v/>
      </c>
      <c r="N3859">
        <f>IF(G3859=1,0.2*R3859/F3859,N3858)</f>
        <v/>
      </c>
      <c r="O3859">
        <f>IF(G3859=1,R3859*(1-1.0),IF(H3858=0,1,O3858*(1+0.00023125256064071564)))</f>
        <v/>
      </c>
      <c r="P3859">
        <f>IF(G3859=1,IF(H3858=0,1,ABS(0.2-J3858*B3859/I3859)+ABS(0.2-K3858*C3859/I3859)+ABS(0.2-L3858*D3859/I3859)+ABS(0.2-M3858*E3859/I3859)+ABS(0.2-N3858*F3859/I3859)),0)</f>
        <v/>
      </c>
      <c r="Q3859">
        <f>P3859*0.0015</f>
        <v/>
      </c>
      <c r="R3859">
        <f>I3859*(1-Q3859)</f>
        <v/>
      </c>
      <c r="S3859">
        <f>R3859/R3858-1</f>
        <v/>
      </c>
      <c r="T3859">
        <f>MAX(T3858,R3859)</f>
        <v/>
      </c>
      <c r="U3859">
        <f>R3859/T3859-1</f>
        <v/>
      </c>
      <c r="V3859" t="n">
        <v>9.317242572339964</v>
      </c>
      <c r="W3859" s="5">
        <f>R3859-V3859</f>
        <v/>
      </c>
    </row>
    <row r="3860">
      <c r="A3860" s="3" t="n">
        <v>44125</v>
      </c>
      <c r="B3860">
        <f>Prices!B3860</f>
        <v/>
      </c>
      <c r="C3860">
        <f>Prices!C3860</f>
        <v/>
      </c>
      <c r="D3860">
        <f>Prices!D3860</f>
        <v/>
      </c>
      <c r="E3860">
        <f>Prices!E3860</f>
        <v/>
      </c>
      <c r="F3860">
        <f>Prices!F3860</f>
        <v/>
      </c>
      <c r="G3860">
        <f>IF(AND(3858&gt;=16,TEXT(A3860,"yyyy-mm")&lt;&gt;TEXT(A3861,"yyyy-mm")),1,0)</f>
        <v/>
      </c>
      <c r="H3860">
        <f>IF(OR(H3859=1,G3860=1),1,0)</f>
        <v/>
      </c>
      <c r="I3860">
        <f>IF(H3859=0,1,SUMPRODUCT(J3859:N3859,B3860:F3860)+O3859*(1+0.00023125256064071564))</f>
        <v/>
      </c>
      <c r="J3860">
        <f>IF(G3860=1,0.2*R3860/B3860,J3859)</f>
        <v/>
      </c>
      <c r="K3860">
        <f>IF(G3860=1,0.2*R3860/C3860,K3859)</f>
        <v/>
      </c>
      <c r="L3860">
        <f>IF(G3860=1,0.2*R3860/D3860,L3859)</f>
        <v/>
      </c>
      <c r="M3860">
        <f>IF(G3860=1,0.2*R3860/E3860,M3859)</f>
        <v/>
      </c>
      <c r="N3860">
        <f>IF(G3860=1,0.2*R3860/F3860,N3859)</f>
        <v/>
      </c>
      <c r="O3860">
        <f>IF(G3860=1,R3860*(1-1.0),IF(H3859=0,1,O3859*(1+0.00023125256064071564)))</f>
        <v/>
      </c>
      <c r="P3860">
        <f>IF(G3860=1,IF(H3859=0,1,ABS(0.2-J3859*B3860/I3860)+ABS(0.2-K3859*C3860/I3860)+ABS(0.2-L3859*D3860/I3860)+ABS(0.2-M3859*E3860/I3860)+ABS(0.2-N3859*F3860/I3860)),0)</f>
        <v/>
      </c>
      <c r="Q3860">
        <f>P3860*0.0015</f>
        <v/>
      </c>
      <c r="R3860">
        <f>I3860*(1-Q3860)</f>
        <v/>
      </c>
      <c r="S3860">
        <f>R3860/R3859-1</f>
        <v/>
      </c>
      <c r="T3860">
        <f>MAX(T3859,R3860)</f>
        <v/>
      </c>
      <c r="U3860">
        <f>R3860/T3860-1</f>
        <v/>
      </c>
      <c r="V3860" t="n">
        <v>9.315723125348232</v>
      </c>
      <c r="W3860" s="5">
        <f>R3860-V3860</f>
        <v/>
      </c>
    </row>
    <row r="3861">
      <c r="A3861" s="3" t="n">
        <v>44126</v>
      </c>
      <c r="B3861">
        <f>Prices!B3861</f>
        <v/>
      </c>
      <c r="C3861">
        <f>Prices!C3861</f>
        <v/>
      </c>
      <c r="D3861">
        <f>Prices!D3861</f>
        <v/>
      </c>
      <c r="E3861">
        <f>Prices!E3861</f>
        <v/>
      </c>
      <c r="F3861">
        <f>Prices!F3861</f>
        <v/>
      </c>
      <c r="G3861">
        <f>IF(AND(3859&gt;=16,TEXT(A3861,"yyyy-mm")&lt;&gt;TEXT(A3862,"yyyy-mm")),1,0)</f>
        <v/>
      </c>
      <c r="H3861">
        <f>IF(OR(H3860=1,G3861=1),1,0)</f>
        <v/>
      </c>
      <c r="I3861">
        <f>IF(H3860=0,1,SUMPRODUCT(J3860:N3860,B3861:F3861)+O3860*(1+0.00023125256064071564))</f>
        <v/>
      </c>
      <c r="J3861">
        <f>IF(G3861=1,0.2*R3861/B3861,J3860)</f>
        <v/>
      </c>
      <c r="K3861">
        <f>IF(G3861=1,0.2*R3861/C3861,K3860)</f>
        <v/>
      </c>
      <c r="L3861">
        <f>IF(G3861=1,0.2*R3861/D3861,L3860)</f>
        <v/>
      </c>
      <c r="M3861">
        <f>IF(G3861=1,0.2*R3861/E3861,M3860)</f>
        <v/>
      </c>
      <c r="N3861">
        <f>IF(G3861=1,0.2*R3861/F3861,N3860)</f>
        <v/>
      </c>
      <c r="O3861">
        <f>IF(G3861=1,R3861*(1-1.0),IF(H3860=0,1,O3860*(1+0.00023125256064071564)))</f>
        <v/>
      </c>
      <c r="P3861">
        <f>IF(G3861=1,IF(H3860=0,1,ABS(0.2-J3860*B3861/I3861)+ABS(0.2-K3860*C3861/I3861)+ABS(0.2-L3860*D3861/I3861)+ABS(0.2-M3860*E3861/I3861)+ABS(0.2-N3860*F3861/I3861)),0)</f>
        <v/>
      </c>
      <c r="Q3861">
        <f>P3861*0.0015</f>
        <v/>
      </c>
      <c r="R3861">
        <f>I3861*(1-Q3861)</f>
        <v/>
      </c>
      <c r="S3861">
        <f>R3861/R3860-1</f>
        <v/>
      </c>
      <c r="T3861">
        <f>MAX(T3860,R3861)</f>
        <v/>
      </c>
      <c r="U3861">
        <f>R3861/T3861-1</f>
        <v/>
      </c>
      <c r="V3861" t="n">
        <v>9.346798288399819</v>
      </c>
      <c r="W3861" s="5">
        <f>R3861-V3861</f>
        <v/>
      </c>
    </row>
    <row r="3862">
      <c r="A3862" s="3" t="n">
        <v>44127</v>
      </c>
      <c r="B3862">
        <f>Prices!B3862</f>
        <v/>
      </c>
      <c r="C3862">
        <f>Prices!C3862</f>
        <v/>
      </c>
      <c r="D3862">
        <f>Prices!D3862</f>
        <v/>
      </c>
      <c r="E3862">
        <f>Prices!E3862</f>
        <v/>
      </c>
      <c r="F3862">
        <f>Prices!F3862</f>
        <v/>
      </c>
      <c r="G3862">
        <f>IF(AND(3860&gt;=16,TEXT(A3862,"yyyy-mm")&lt;&gt;TEXT(A3863,"yyyy-mm")),1,0)</f>
        <v/>
      </c>
      <c r="H3862">
        <f>IF(OR(H3861=1,G3862=1),1,0)</f>
        <v/>
      </c>
      <c r="I3862">
        <f>IF(H3861=0,1,SUMPRODUCT(J3861:N3861,B3862:F3862)+O3861*(1+0.00023125256064071564))</f>
        <v/>
      </c>
      <c r="J3862">
        <f>IF(G3862=1,0.2*R3862/B3862,J3861)</f>
        <v/>
      </c>
      <c r="K3862">
        <f>IF(G3862=1,0.2*R3862/C3862,K3861)</f>
        <v/>
      </c>
      <c r="L3862">
        <f>IF(G3862=1,0.2*R3862/D3862,L3861)</f>
        <v/>
      </c>
      <c r="M3862">
        <f>IF(G3862=1,0.2*R3862/E3862,M3861)</f>
        <v/>
      </c>
      <c r="N3862">
        <f>IF(G3862=1,0.2*R3862/F3862,N3861)</f>
        <v/>
      </c>
      <c r="O3862">
        <f>IF(G3862=1,R3862*(1-1.0),IF(H3861=0,1,O3861*(1+0.00023125256064071564)))</f>
        <v/>
      </c>
      <c r="P3862">
        <f>IF(G3862=1,IF(H3861=0,1,ABS(0.2-J3861*B3862/I3862)+ABS(0.2-K3861*C3862/I3862)+ABS(0.2-L3861*D3862/I3862)+ABS(0.2-M3861*E3862/I3862)+ABS(0.2-N3861*F3862/I3862)),0)</f>
        <v/>
      </c>
      <c r="Q3862">
        <f>P3862*0.0015</f>
        <v/>
      </c>
      <c r="R3862">
        <f>I3862*(1-Q3862)</f>
        <v/>
      </c>
      <c r="S3862">
        <f>R3862/R3861-1</f>
        <v/>
      </c>
      <c r="T3862">
        <f>MAX(T3861,R3862)</f>
        <v/>
      </c>
      <c r="U3862">
        <f>R3862/T3862-1</f>
        <v/>
      </c>
      <c r="V3862" t="n">
        <v>9.383783179735859</v>
      </c>
      <c r="W3862" s="5">
        <f>R3862-V3862</f>
        <v/>
      </c>
    </row>
    <row r="3863">
      <c r="A3863" s="3" t="n">
        <v>44130</v>
      </c>
      <c r="B3863">
        <f>Prices!B3863</f>
        <v/>
      </c>
      <c r="C3863">
        <f>Prices!C3863</f>
        <v/>
      </c>
      <c r="D3863">
        <f>Prices!D3863</f>
        <v/>
      </c>
      <c r="E3863">
        <f>Prices!E3863</f>
        <v/>
      </c>
      <c r="F3863">
        <f>Prices!F3863</f>
        <v/>
      </c>
      <c r="G3863">
        <f>IF(AND(3861&gt;=16,TEXT(A3863,"yyyy-mm")&lt;&gt;TEXT(A3864,"yyyy-mm")),1,0)</f>
        <v/>
      </c>
      <c r="H3863">
        <f>IF(OR(H3862=1,G3863=1),1,0)</f>
        <v/>
      </c>
      <c r="I3863">
        <f>IF(H3862=0,1,SUMPRODUCT(J3862:N3862,B3863:F3863)+O3862*(1+0.00023125256064071564))</f>
        <v/>
      </c>
      <c r="J3863">
        <f>IF(G3863=1,0.2*R3863/B3863,J3862)</f>
        <v/>
      </c>
      <c r="K3863">
        <f>IF(G3863=1,0.2*R3863/C3863,K3862)</f>
        <v/>
      </c>
      <c r="L3863">
        <f>IF(G3863=1,0.2*R3863/D3863,L3862)</f>
        <v/>
      </c>
      <c r="M3863">
        <f>IF(G3863=1,0.2*R3863/E3863,M3862)</f>
        <v/>
      </c>
      <c r="N3863">
        <f>IF(G3863=1,0.2*R3863/F3863,N3862)</f>
        <v/>
      </c>
      <c r="O3863">
        <f>IF(G3863=1,R3863*(1-1.0),IF(H3862=0,1,O3862*(1+0.00023125256064071564)))</f>
        <v/>
      </c>
      <c r="P3863">
        <f>IF(G3863=1,IF(H3862=0,1,ABS(0.2-J3862*B3863/I3863)+ABS(0.2-K3862*C3863/I3863)+ABS(0.2-L3862*D3863/I3863)+ABS(0.2-M3862*E3863/I3863)+ABS(0.2-N3862*F3863/I3863)),0)</f>
        <v/>
      </c>
      <c r="Q3863">
        <f>P3863*0.0015</f>
        <v/>
      </c>
      <c r="R3863">
        <f>I3863*(1-Q3863)</f>
        <v/>
      </c>
      <c r="S3863">
        <f>R3863/R3862-1</f>
        <v/>
      </c>
      <c r="T3863">
        <f>MAX(T3862,R3863)</f>
        <v/>
      </c>
      <c r="U3863">
        <f>R3863/T3863-1</f>
        <v/>
      </c>
      <c r="V3863" t="n">
        <v>9.278798038033727</v>
      </c>
      <c r="W3863" s="5">
        <f>R3863-V3863</f>
        <v/>
      </c>
    </row>
    <row r="3864">
      <c r="A3864" s="3" t="n">
        <v>44131</v>
      </c>
      <c r="B3864">
        <f>Prices!B3864</f>
        <v/>
      </c>
      <c r="C3864">
        <f>Prices!C3864</f>
        <v/>
      </c>
      <c r="D3864">
        <f>Prices!D3864</f>
        <v/>
      </c>
      <c r="E3864">
        <f>Prices!E3864</f>
        <v/>
      </c>
      <c r="F3864">
        <f>Prices!F3864</f>
        <v/>
      </c>
      <c r="G3864">
        <f>IF(AND(3862&gt;=16,TEXT(A3864,"yyyy-mm")&lt;&gt;TEXT(A3865,"yyyy-mm")),1,0)</f>
        <v/>
      </c>
      <c r="H3864">
        <f>IF(OR(H3863=1,G3864=1),1,0)</f>
        <v/>
      </c>
      <c r="I3864">
        <f>IF(H3863=0,1,SUMPRODUCT(J3863:N3863,B3864:F3864)+O3863*(1+0.00023125256064071564))</f>
        <v/>
      </c>
      <c r="J3864">
        <f>IF(G3864=1,0.2*R3864/B3864,J3863)</f>
        <v/>
      </c>
      <c r="K3864">
        <f>IF(G3864=1,0.2*R3864/C3864,K3863)</f>
        <v/>
      </c>
      <c r="L3864">
        <f>IF(G3864=1,0.2*R3864/D3864,L3863)</f>
        <v/>
      </c>
      <c r="M3864">
        <f>IF(G3864=1,0.2*R3864/E3864,M3863)</f>
        <v/>
      </c>
      <c r="N3864">
        <f>IF(G3864=1,0.2*R3864/F3864,N3863)</f>
        <v/>
      </c>
      <c r="O3864">
        <f>IF(G3864=1,R3864*(1-1.0),IF(H3863=0,1,O3863*(1+0.00023125256064071564)))</f>
        <v/>
      </c>
      <c r="P3864">
        <f>IF(G3864=1,IF(H3863=0,1,ABS(0.2-J3863*B3864/I3864)+ABS(0.2-K3863*C3864/I3864)+ABS(0.2-L3863*D3864/I3864)+ABS(0.2-M3863*E3864/I3864)+ABS(0.2-N3863*F3864/I3864)),0)</f>
        <v/>
      </c>
      <c r="Q3864">
        <f>P3864*0.0015</f>
        <v/>
      </c>
      <c r="R3864">
        <f>I3864*(1-Q3864)</f>
        <v/>
      </c>
      <c r="S3864">
        <f>R3864/R3863-1</f>
        <v/>
      </c>
      <c r="T3864">
        <f>MAX(T3863,R3864)</f>
        <v/>
      </c>
      <c r="U3864">
        <f>R3864/T3864-1</f>
        <v/>
      </c>
      <c r="V3864" t="n">
        <v>9.411301607351968</v>
      </c>
      <c r="W3864" s="5">
        <f>R3864-V3864</f>
        <v/>
      </c>
    </row>
    <row r="3865">
      <c r="A3865" s="3" t="n">
        <v>44132</v>
      </c>
      <c r="B3865">
        <f>Prices!B3865</f>
        <v/>
      </c>
      <c r="C3865">
        <f>Prices!C3865</f>
        <v/>
      </c>
      <c r="D3865">
        <f>Prices!D3865</f>
        <v/>
      </c>
      <c r="E3865">
        <f>Prices!E3865</f>
        <v/>
      </c>
      <c r="F3865">
        <f>Prices!F3865</f>
        <v/>
      </c>
      <c r="G3865">
        <f>IF(AND(3863&gt;=16,TEXT(A3865,"yyyy-mm")&lt;&gt;TEXT(A3866,"yyyy-mm")),1,0)</f>
        <v/>
      </c>
      <c r="H3865">
        <f>IF(OR(H3864=1,G3865=1),1,0)</f>
        <v/>
      </c>
      <c r="I3865">
        <f>IF(H3864=0,1,SUMPRODUCT(J3864:N3864,B3865:F3865)+O3864*(1+0.00023125256064071564))</f>
        <v/>
      </c>
      <c r="J3865">
        <f>IF(G3865=1,0.2*R3865/B3865,J3864)</f>
        <v/>
      </c>
      <c r="K3865">
        <f>IF(G3865=1,0.2*R3865/C3865,K3864)</f>
        <v/>
      </c>
      <c r="L3865">
        <f>IF(G3865=1,0.2*R3865/D3865,L3864)</f>
        <v/>
      </c>
      <c r="M3865">
        <f>IF(G3865=1,0.2*R3865/E3865,M3864)</f>
        <v/>
      </c>
      <c r="N3865">
        <f>IF(G3865=1,0.2*R3865/F3865,N3864)</f>
        <v/>
      </c>
      <c r="O3865">
        <f>IF(G3865=1,R3865*(1-1.0),IF(H3864=0,1,O3864*(1+0.00023125256064071564)))</f>
        <v/>
      </c>
      <c r="P3865">
        <f>IF(G3865=1,IF(H3864=0,1,ABS(0.2-J3864*B3865/I3865)+ABS(0.2-K3864*C3865/I3865)+ABS(0.2-L3864*D3865/I3865)+ABS(0.2-M3864*E3865/I3865)+ABS(0.2-N3864*F3865/I3865)),0)</f>
        <v/>
      </c>
      <c r="Q3865">
        <f>P3865*0.0015</f>
        <v/>
      </c>
      <c r="R3865">
        <f>I3865*(1-Q3865)</f>
        <v/>
      </c>
      <c r="S3865">
        <f>R3865/R3864-1</f>
        <v/>
      </c>
      <c r="T3865">
        <f>MAX(T3864,R3865)</f>
        <v/>
      </c>
      <c r="U3865">
        <f>R3865/T3865-1</f>
        <v/>
      </c>
      <c r="V3865" t="n">
        <v>9.341930227215494</v>
      </c>
      <c r="W3865" s="5">
        <f>R3865-V3865</f>
        <v/>
      </c>
    </row>
    <row r="3866">
      <c r="A3866" s="3" t="n">
        <v>44133</v>
      </c>
      <c r="B3866">
        <f>Prices!B3866</f>
        <v/>
      </c>
      <c r="C3866">
        <f>Prices!C3866</f>
        <v/>
      </c>
      <c r="D3866">
        <f>Prices!D3866</f>
        <v/>
      </c>
      <c r="E3866">
        <f>Prices!E3866</f>
        <v/>
      </c>
      <c r="F3866">
        <f>Prices!F3866</f>
        <v/>
      </c>
      <c r="G3866">
        <f>IF(AND(3864&gt;=16,TEXT(A3866,"yyyy-mm")&lt;&gt;TEXT(A3867,"yyyy-mm")),1,0)</f>
        <v/>
      </c>
      <c r="H3866">
        <f>IF(OR(H3865=1,G3866=1),1,0)</f>
        <v/>
      </c>
      <c r="I3866">
        <f>IF(H3865=0,1,SUMPRODUCT(J3865:N3865,B3866:F3866)+O3865*(1+0.00023125256064071564))</f>
        <v/>
      </c>
      <c r="J3866">
        <f>IF(G3866=1,0.2*R3866/B3866,J3865)</f>
        <v/>
      </c>
      <c r="K3866">
        <f>IF(G3866=1,0.2*R3866/C3866,K3865)</f>
        <v/>
      </c>
      <c r="L3866">
        <f>IF(G3866=1,0.2*R3866/D3866,L3865)</f>
        <v/>
      </c>
      <c r="M3866">
        <f>IF(G3866=1,0.2*R3866/E3866,M3865)</f>
        <v/>
      </c>
      <c r="N3866">
        <f>IF(G3866=1,0.2*R3866/F3866,N3865)</f>
        <v/>
      </c>
      <c r="O3866">
        <f>IF(G3866=1,R3866*(1-1.0),IF(H3865=0,1,O3865*(1+0.00023125256064071564)))</f>
        <v/>
      </c>
      <c r="P3866">
        <f>IF(G3866=1,IF(H3865=0,1,ABS(0.2-J3865*B3866/I3866)+ABS(0.2-K3865*C3866/I3866)+ABS(0.2-L3865*D3866/I3866)+ABS(0.2-M3865*E3866/I3866)+ABS(0.2-N3865*F3866/I3866)),0)</f>
        <v/>
      </c>
      <c r="Q3866">
        <f>P3866*0.0015</f>
        <v/>
      </c>
      <c r="R3866">
        <f>I3866*(1-Q3866)</f>
        <v/>
      </c>
      <c r="S3866">
        <f>R3866/R3865-1</f>
        <v/>
      </c>
      <c r="T3866">
        <f>MAX(T3865,R3866)</f>
        <v/>
      </c>
      <c r="U3866">
        <f>R3866/T3866-1</f>
        <v/>
      </c>
      <c r="V3866" t="n">
        <v>9.333631653348784</v>
      </c>
      <c r="W3866" s="5">
        <f>R3866-V3866</f>
        <v/>
      </c>
    </row>
    <row r="3867">
      <c r="A3867" s="3" t="n">
        <v>44134</v>
      </c>
      <c r="B3867">
        <f>Prices!B3867</f>
        <v/>
      </c>
      <c r="C3867">
        <f>Prices!C3867</f>
        <v/>
      </c>
      <c r="D3867">
        <f>Prices!D3867</f>
        <v/>
      </c>
      <c r="E3867">
        <f>Prices!E3867</f>
        <v/>
      </c>
      <c r="F3867">
        <f>Prices!F3867</f>
        <v/>
      </c>
      <c r="G3867">
        <f>IF(AND(3865&gt;=16,TEXT(A3867,"yyyy-mm")&lt;&gt;TEXT(A3868,"yyyy-mm")),1,0)</f>
        <v/>
      </c>
      <c r="H3867">
        <f>IF(OR(H3866=1,G3867=1),1,0)</f>
        <v/>
      </c>
      <c r="I3867">
        <f>IF(H3866=0,1,SUMPRODUCT(J3866:N3866,B3867:F3867)+O3866*(1+0.00023125256064071564))</f>
        <v/>
      </c>
      <c r="J3867">
        <f>IF(G3867=1,0.2*R3867/B3867,J3866)</f>
        <v/>
      </c>
      <c r="K3867">
        <f>IF(G3867=1,0.2*R3867/C3867,K3866)</f>
        <v/>
      </c>
      <c r="L3867">
        <f>IF(G3867=1,0.2*R3867/D3867,L3866)</f>
        <v/>
      </c>
      <c r="M3867">
        <f>IF(G3867=1,0.2*R3867/E3867,M3866)</f>
        <v/>
      </c>
      <c r="N3867">
        <f>IF(G3867=1,0.2*R3867/F3867,N3866)</f>
        <v/>
      </c>
      <c r="O3867">
        <f>IF(G3867=1,R3867*(1-1.0),IF(H3866=0,1,O3866*(1+0.00023125256064071564)))</f>
        <v/>
      </c>
      <c r="P3867">
        <f>IF(G3867=1,IF(H3866=0,1,ABS(0.2-J3866*B3867/I3867)+ABS(0.2-K3866*C3867/I3867)+ABS(0.2-L3866*D3867/I3867)+ABS(0.2-M3866*E3867/I3867)+ABS(0.2-N3866*F3867/I3867)),0)</f>
        <v/>
      </c>
      <c r="Q3867">
        <f>P3867*0.0015</f>
        <v/>
      </c>
      <c r="R3867">
        <f>I3867*(1-Q3867)</f>
        <v/>
      </c>
      <c r="S3867">
        <f>R3867/R3866-1</f>
        <v/>
      </c>
      <c r="T3867">
        <f>MAX(T3866,R3867)</f>
        <v/>
      </c>
      <c r="U3867">
        <f>R3867/T3867-1</f>
        <v/>
      </c>
      <c r="V3867" t="n">
        <v>9.354901491735887</v>
      </c>
      <c r="W3867" s="5">
        <f>R3867-V3867</f>
        <v/>
      </c>
    </row>
    <row r="3868">
      <c r="A3868" s="3" t="n">
        <v>44137</v>
      </c>
      <c r="B3868">
        <f>Prices!B3868</f>
        <v/>
      </c>
      <c r="C3868">
        <f>Prices!C3868</f>
        <v/>
      </c>
      <c r="D3868">
        <f>Prices!D3868</f>
        <v/>
      </c>
      <c r="E3868">
        <f>Prices!E3868</f>
        <v/>
      </c>
      <c r="F3868">
        <f>Prices!F3868</f>
        <v/>
      </c>
      <c r="G3868">
        <f>IF(AND(3866&gt;=16,TEXT(A3868,"yyyy-mm")&lt;&gt;TEXT(A3869,"yyyy-mm")),1,0)</f>
        <v/>
      </c>
      <c r="H3868">
        <f>IF(OR(H3867=1,G3868=1),1,0)</f>
        <v/>
      </c>
      <c r="I3868">
        <f>IF(H3867=0,1,SUMPRODUCT(J3867:N3867,B3868:F3868)+O3867*(1+0.00023125256064071564))</f>
        <v/>
      </c>
      <c r="J3868">
        <f>IF(G3868=1,0.2*R3868/B3868,J3867)</f>
        <v/>
      </c>
      <c r="K3868">
        <f>IF(G3868=1,0.2*R3868/C3868,K3867)</f>
        <v/>
      </c>
      <c r="L3868">
        <f>IF(G3868=1,0.2*R3868/D3868,L3867)</f>
        <v/>
      </c>
      <c r="M3868">
        <f>IF(G3868=1,0.2*R3868/E3868,M3867)</f>
        <v/>
      </c>
      <c r="N3868">
        <f>IF(G3868=1,0.2*R3868/F3868,N3867)</f>
        <v/>
      </c>
      <c r="O3868">
        <f>IF(G3868=1,R3868*(1-1.0),IF(H3867=0,1,O3867*(1+0.00023125256064071564)))</f>
        <v/>
      </c>
      <c r="P3868">
        <f>IF(G3868=1,IF(H3867=0,1,ABS(0.2-J3867*B3868/I3868)+ABS(0.2-K3867*C3868/I3868)+ABS(0.2-L3867*D3868/I3868)+ABS(0.2-M3867*E3868/I3868)+ABS(0.2-N3867*F3868/I3868)),0)</f>
        <v/>
      </c>
      <c r="Q3868">
        <f>P3868*0.0015</f>
        <v/>
      </c>
      <c r="R3868">
        <f>I3868*(1-Q3868)</f>
        <v/>
      </c>
      <c r="S3868">
        <f>R3868/R3867-1</f>
        <v/>
      </c>
      <c r="T3868">
        <f>MAX(T3867,R3868)</f>
        <v/>
      </c>
      <c r="U3868">
        <f>R3868/T3868-1</f>
        <v/>
      </c>
      <c r="V3868" t="n">
        <v>9.308550505178351</v>
      </c>
      <c r="W3868" s="5">
        <f>R3868-V3868</f>
        <v/>
      </c>
    </row>
    <row r="3869">
      <c r="A3869" s="3" t="n">
        <v>44138</v>
      </c>
      <c r="B3869">
        <f>Prices!B3869</f>
        <v/>
      </c>
      <c r="C3869">
        <f>Prices!C3869</f>
        <v/>
      </c>
      <c r="D3869">
        <f>Prices!D3869</f>
        <v/>
      </c>
      <c r="E3869">
        <f>Prices!E3869</f>
        <v/>
      </c>
      <c r="F3869">
        <f>Prices!F3869</f>
        <v/>
      </c>
      <c r="G3869">
        <f>IF(AND(3867&gt;=16,TEXT(A3869,"yyyy-mm")&lt;&gt;TEXT(A3870,"yyyy-mm")),1,0)</f>
        <v/>
      </c>
      <c r="H3869">
        <f>IF(OR(H3868=1,G3869=1),1,0)</f>
        <v/>
      </c>
      <c r="I3869">
        <f>IF(H3868=0,1,SUMPRODUCT(J3868:N3868,B3869:F3869)+O3868*(1+0.00023125256064071564))</f>
        <v/>
      </c>
      <c r="J3869">
        <f>IF(G3869=1,0.2*R3869/B3869,J3868)</f>
        <v/>
      </c>
      <c r="K3869">
        <f>IF(G3869=1,0.2*R3869/C3869,K3868)</f>
        <v/>
      </c>
      <c r="L3869">
        <f>IF(G3869=1,0.2*R3869/D3869,L3868)</f>
        <v/>
      </c>
      <c r="M3869">
        <f>IF(G3869=1,0.2*R3869/E3869,M3868)</f>
        <v/>
      </c>
      <c r="N3869">
        <f>IF(G3869=1,0.2*R3869/F3869,N3868)</f>
        <v/>
      </c>
      <c r="O3869">
        <f>IF(G3869=1,R3869*(1-1.0),IF(H3868=0,1,O3868*(1+0.00023125256064071564)))</f>
        <v/>
      </c>
      <c r="P3869">
        <f>IF(G3869=1,IF(H3868=0,1,ABS(0.2-J3868*B3869/I3869)+ABS(0.2-K3868*C3869/I3869)+ABS(0.2-L3868*D3869/I3869)+ABS(0.2-M3868*E3869/I3869)+ABS(0.2-N3868*F3869/I3869)),0)</f>
        <v/>
      </c>
      <c r="Q3869">
        <f>P3869*0.0015</f>
        <v/>
      </c>
      <c r="R3869">
        <f>I3869*(1-Q3869)</f>
        <v/>
      </c>
      <c r="S3869">
        <f>R3869/R3868-1</f>
        <v/>
      </c>
      <c r="T3869">
        <f>MAX(T3868,R3869)</f>
        <v/>
      </c>
      <c r="U3869">
        <f>R3869/T3869-1</f>
        <v/>
      </c>
      <c r="V3869" t="n">
        <v>9.347895901279506</v>
      </c>
      <c r="W3869" s="5">
        <f>R3869-V3869</f>
        <v/>
      </c>
    </row>
    <row r="3870">
      <c r="A3870" s="3" t="n">
        <v>44139</v>
      </c>
      <c r="B3870">
        <f>Prices!B3870</f>
        <v/>
      </c>
      <c r="C3870">
        <f>Prices!C3870</f>
        <v/>
      </c>
      <c r="D3870">
        <f>Prices!D3870</f>
        <v/>
      </c>
      <c r="E3870">
        <f>Prices!E3870</f>
        <v/>
      </c>
      <c r="F3870">
        <f>Prices!F3870</f>
        <v/>
      </c>
      <c r="G3870">
        <f>IF(AND(3868&gt;=16,TEXT(A3870,"yyyy-mm")&lt;&gt;TEXT(A3871,"yyyy-mm")),1,0)</f>
        <v/>
      </c>
      <c r="H3870">
        <f>IF(OR(H3869=1,G3870=1),1,0)</f>
        <v/>
      </c>
      <c r="I3870">
        <f>IF(H3869=0,1,SUMPRODUCT(J3869:N3869,B3870:F3870)+O3869*(1+0.00023125256064071564))</f>
        <v/>
      </c>
      <c r="J3870">
        <f>IF(G3870=1,0.2*R3870/B3870,J3869)</f>
        <v/>
      </c>
      <c r="K3870">
        <f>IF(G3870=1,0.2*R3870/C3870,K3869)</f>
        <v/>
      </c>
      <c r="L3870">
        <f>IF(G3870=1,0.2*R3870/D3870,L3869)</f>
        <v/>
      </c>
      <c r="M3870">
        <f>IF(G3870=1,0.2*R3870/E3870,M3869)</f>
        <v/>
      </c>
      <c r="N3870">
        <f>IF(G3870=1,0.2*R3870/F3870,N3869)</f>
        <v/>
      </c>
      <c r="O3870">
        <f>IF(G3870=1,R3870*(1-1.0),IF(H3869=0,1,O3869*(1+0.00023125256064071564)))</f>
        <v/>
      </c>
      <c r="P3870">
        <f>IF(G3870=1,IF(H3869=0,1,ABS(0.2-J3869*B3870/I3870)+ABS(0.2-K3869*C3870/I3870)+ABS(0.2-L3869*D3870/I3870)+ABS(0.2-M3869*E3870/I3870)+ABS(0.2-N3869*F3870/I3870)),0)</f>
        <v/>
      </c>
      <c r="Q3870">
        <f>P3870*0.0015</f>
        <v/>
      </c>
      <c r="R3870">
        <f>I3870*(1-Q3870)</f>
        <v/>
      </c>
      <c r="S3870">
        <f>R3870/R3869-1</f>
        <v/>
      </c>
      <c r="T3870">
        <f>MAX(T3869,R3870)</f>
        <v/>
      </c>
      <c r="U3870">
        <f>R3870/T3870-1</f>
        <v/>
      </c>
      <c r="V3870" t="n">
        <v>9.398140032345649</v>
      </c>
      <c r="W3870" s="5">
        <f>R3870-V3870</f>
        <v/>
      </c>
    </row>
    <row r="3871">
      <c r="A3871" s="3" t="n">
        <v>44140</v>
      </c>
      <c r="B3871">
        <f>Prices!B3871</f>
        <v/>
      </c>
      <c r="C3871">
        <f>Prices!C3871</f>
        <v/>
      </c>
      <c r="D3871">
        <f>Prices!D3871</f>
        <v/>
      </c>
      <c r="E3871">
        <f>Prices!E3871</f>
        <v/>
      </c>
      <c r="F3871">
        <f>Prices!F3871</f>
        <v/>
      </c>
      <c r="G3871">
        <f>IF(AND(3869&gt;=16,TEXT(A3871,"yyyy-mm")&lt;&gt;TEXT(A3872,"yyyy-mm")),1,0)</f>
        <v/>
      </c>
      <c r="H3871">
        <f>IF(OR(H3870=1,G3871=1),1,0)</f>
        <v/>
      </c>
      <c r="I3871">
        <f>IF(H3870=0,1,SUMPRODUCT(J3870:N3870,B3871:F3871)+O3870*(1+0.00023125256064071564))</f>
        <v/>
      </c>
      <c r="J3871">
        <f>IF(G3871=1,0.2*R3871/B3871,J3870)</f>
        <v/>
      </c>
      <c r="K3871">
        <f>IF(G3871=1,0.2*R3871/C3871,K3870)</f>
        <v/>
      </c>
      <c r="L3871">
        <f>IF(G3871=1,0.2*R3871/D3871,L3870)</f>
        <v/>
      </c>
      <c r="M3871">
        <f>IF(G3871=1,0.2*R3871/E3871,M3870)</f>
        <v/>
      </c>
      <c r="N3871">
        <f>IF(G3871=1,0.2*R3871/F3871,N3870)</f>
        <v/>
      </c>
      <c r="O3871">
        <f>IF(G3871=1,R3871*(1-1.0),IF(H3870=0,1,O3870*(1+0.00023125256064071564)))</f>
        <v/>
      </c>
      <c r="P3871">
        <f>IF(G3871=1,IF(H3870=0,1,ABS(0.2-J3870*B3871/I3871)+ABS(0.2-K3870*C3871/I3871)+ABS(0.2-L3870*D3871/I3871)+ABS(0.2-M3870*E3871/I3871)+ABS(0.2-N3870*F3871/I3871)),0)</f>
        <v/>
      </c>
      <c r="Q3871">
        <f>P3871*0.0015</f>
        <v/>
      </c>
      <c r="R3871">
        <f>I3871*(1-Q3871)</f>
        <v/>
      </c>
      <c r="S3871">
        <f>R3871/R3870-1</f>
        <v/>
      </c>
      <c r="T3871">
        <f>MAX(T3870,R3871)</f>
        <v/>
      </c>
      <c r="U3871">
        <f>R3871/T3871-1</f>
        <v/>
      </c>
      <c r="V3871" t="n">
        <v>9.581539062978974</v>
      </c>
      <c r="W3871" s="5">
        <f>R3871-V3871</f>
        <v/>
      </c>
    </row>
    <row r="3872">
      <c r="A3872" s="3" t="n">
        <v>44141</v>
      </c>
      <c r="B3872">
        <f>Prices!B3872</f>
        <v/>
      </c>
      <c r="C3872">
        <f>Prices!C3872</f>
        <v/>
      </c>
      <c r="D3872">
        <f>Prices!D3872</f>
        <v/>
      </c>
      <c r="E3872">
        <f>Prices!E3872</f>
        <v/>
      </c>
      <c r="F3872">
        <f>Prices!F3872</f>
        <v/>
      </c>
      <c r="G3872">
        <f>IF(AND(3870&gt;=16,TEXT(A3872,"yyyy-mm")&lt;&gt;TEXT(A3873,"yyyy-mm")),1,0)</f>
        <v/>
      </c>
      <c r="H3872">
        <f>IF(OR(H3871=1,G3872=1),1,0)</f>
        <v/>
      </c>
      <c r="I3872">
        <f>IF(H3871=0,1,SUMPRODUCT(J3871:N3871,B3872:F3872)+O3871*(1+0.00023125256064071564))</f>
        <v/>
      </c>
      <c r="J3872">
        <f>IF(G3872=1,0.2*R3872/B3872,J3871)</f>
        <v/>
      </c>
      <c r="K3872">
        <f>IF(G3872=1,0.2*R3872/C3872,K3871)</f>
        <v/>
      </c>
      <c r="L3872">
        <f>IF(G3872=1,0.2*R3872/D3872,L3871)</f>
        <v/>
      </c>
      <c r="M3872">
        <f>IF(G3872=1,0.2*R3872/E3872,M3871)</f>
        <v/>
      </c>
      <c r="N3872">
        <f>IF(G3872=1,0.2*R3872/F3872,N3871)</f>
        <v/>
      </c>
      <c r="O3872">
        <f>IF(G3872=1,R3872*(1-1.0),IF(H3871=0,1,O3871*(1+0.00023125256064071564)))</f>
        <v/>
      </c>
      <c r="P3872">
        <f>IF(G3872=1,IF(H3871=0,1,ABS(0.2-J3871*B3872/I3872)+ABS(0.2-K3871*C3872/I3872)+ABS(0.2-L3871*D3872/I3872)+ABS(0.2-M3871*E3872/I3872)+ABS(0.2-N3871*F3872/I3872)),0)</f>
        <v/>
      </c>
      <c r="Q3872">
        <f>P3872*0.0015</f>
        <v/>
      </c>
      <c r="R3872">
        <f>I3872*(1-Q3872)</f>
        <v/>
      </c>
      <c r="S3872">
        <f>R3872/R3871-1</f>
        <v/>
      </c>
      <c r="T3872">
        <f>MAX(T3871,R3872)</f>
        <v/>
      </c>
      <c r="U3872">
        <f>R3872/T3872-1</f>
        <v/>
      </c>
      <c r="V3872" t="n">
        <v>9.616063662523111</v>
      </c>
      <c r="W3872" s="5">
        <f>R3872-V3872</f>
        <v/>
      </c>
    </row>
    <row r="3873">
      <c r="A3873" s="3" t="n">
        <v>44144</v>
      </c>
      <c r="B3873">
        <f>Prices!B3873</f>
        <v/>
      </c>
      <c r="C3873">
        <f>Prices!C3873</f>
        <v/>
      </c>
      <c r="D3873">
        <f>Prices!D3873</f>
        <v/>
      </c>
      <c r="E3873">
        <f>Prices!E3873</f>
        <v/>
      </c>
      <c r="F3873">
        <f>Prices!F3873</f>
        <v/>
      </c>
      <c r="G3873">
        <f>IF(AND(3871&gt;=16,TEXT(A3873,"yyyy-mm")&lt;&gt;TEXT(A3874,"yyyy-mm")),1,0)</f>
        <v/>
      </c>
      <c r="H3873">
        <f>IF(OR(H3872=1,G3873=1),1,0)</f>
        <v/>
      </c>
      <c r="I3873">
        <f>IF(H3872=0,1,SUMPRODUCT(J3872:N3872,B3873:F3873)+O3872*(1+0.00023125256064071564))</f>
        <v/>
      </c>
      <c r="J3873">
        <f>IF(G3873=1,0.2*R3873/B3873,J3872)</f>
        <v/>
      </c>
      <c r="K3873">
        <f>IF(G3873=1,0.2*R3873/C3873,K3872)</f>
        <v/>
      </c>
      <c r="L3873">
        <f>IF(G3873=1,0.2*R3873/D3873,L3872)</f>
        <v/>
      </c>
      <c r="M3873">
        <f>IF(G3873=1,0.2*R3873/E3873,M3872)</f>
        <v/>
      </c>
      <c r="N3873">
        <f>IF(G3873=1,0.2*R3873/F3873,N3872)</f>
        <v/>
      </c>
      <c r="O3873">
        <f>IF(G3873=1,R3873*(1-1.0),IF(H3872=0,1,O3872*(1+0.00023125256064071564)))</f>
        <v/>
      </c>
      <c r="P3873">
        <f>IF(G3873=1,IF(H3872=0,1,ABS(0.2-J3872*B3873/I3873)+ABS(0.2-K3872*C3873/I3873)+ABS(0.2-L3872*D3873/I3873)+ABS(0.2-M3872*E3873/I3873)+ABS(0.2-N3872*F3873/I3873)),0)</f>
        <v/>
      </c>
      <c r="Q3873">
        <f>P3873*0.0015</f>
        <v/>
      </c>
      <c r="R3873">
        <f>I3873*(1-Q3873)</f>
        <v/>
      </c>
      <c r="S3873">
        <f>R3873/R3872-1</f>
        <v/>
      </c>
      <c r="T3873">
        <f>MAX(T3872,R3873)</f>
        <v/>
      </c>
      <c r="U3873">
        <f>R3873/T3873-1</f>
        <v/>
      </c>
      <c r="V3873" t="n">
        <v>9.709445800773493</v>
      </c>
      <c r="W3873" s="5">
        <f>R3873-V3873</f>
        <v/>
      </c>
    </row>
    <row r="3874">
      <c r="A3874" s="3" t="n">
        <v>44145</v>
      </c>
      <c r="B3874">
        <f>Prices!B3874</f>
        <v/>
      </c>
      <c r="C3874">
        <f>Prices!C3874</f>
        <v/>
      </c>
      <c r="D3874">
        <f>Prices!D3874</f>
        <v/>
      </c>
      <c r="E3874">
        <f>Prices!E3874</f>
        <v/>
      </c>
      <c r="F3874">
        <f>Prices!F3874</f>
        <v/>
      </c>
      <c r="G3874">
        <f>IF(AND(3872&gt;=16,TEXT(A3874,"yyyy-mm")&lt;&gt;TEXT(A3875,"yyyy-mm")),1,0)</f>
        <v/>
      </c>
      <c r="H3874">
        <f>IF(OR(H3873=1,G3874=1),1,0)</f>
        <v/>
      </c>
      <c r="I3874">
        <f>IF(H3873=0,1,SUMPRODUCT(J3873:N3873,B3874:F3874)+O3873*(1+0.00023125256064071564))</f>
        <v/>
      </c>
      <c r="J3874">
        <f>IF(G3874=1,0.2*R3874/B3874,J3873)</f>
        <v/>
      </c>
      <c r="K3874">
        <f>IF(G3874=1,0.2*R3874/C3874,K3873)</f>
        <v/>
      </c>
      <c r="L3874">
        <f>IF(G3874=1,0.2*R3874/D3874,L3873)</f>
        <v/>
      </c>
      <c r="M3874">
        <f>IF(G3874=1,0.2*R3874/E3874,M3873)</f>
        <v/>
      </c>
      <c r="N3874">
        <f>IF(G3874=1,0.2*R3874/F3874,N3873)</f>
        <v/>
      </c>
      <c r="O3874">
        <f>IF(G3874=1,R3874*(1-1.0),IF(H3873=0,1,O3873*(1+0.00023125256064071564)))</f>
        <v/>
      </c>
      <c r="P3874">
        <f>IF(G3874=1,IF(H3873=0,1,ABS(0.2-J3873*B3874/I3874)+ABS(0.2-K3873*C3874/I3874)+ABS(0.2-L3873*D3874/I3874)+ABS(0.2-M3873*E3874/I3874)+ABS(0.2-N3873*F3874/I3874)),0)</f>
        <v/>
      </c>
      <c r="Q3874">
        <f>P3874*0.0015</f>
        <v/>
      </c>
      <c r="R3874">
        <f>I3874*(1-Q3874)</f>
        <v/>
      </c>
      <c r="S3874">
        <f>R3874/R3873-1</f>
        <v/>
      </c>
      <c r="T3874">
        <f>MAX(T3873,R3874)</f>
        <v/>
      </c>
      <c r="U3874">
        <f>R3874/T3874-1</f>
        <v/>
      </c>
      <c r="V3874" t="n">
        <v>9.587733923980858</v>
      </c>
      <c r="W3874" s="5">
        <f>R3874-V3874</f>
        <v/>
      </c>
    </row>
    <row r="3875">
      <c r="A3875" s="3" t="n">
        <v>44146</v>
      </c>
      <c r="B3875">
        <f>Prices!B3875</f>
        <v/>
      </c>
      <c r="C3875">
        <f>Prices!C3875</f>
        <v/>
      </c>
      <c r="D3875">
        <f>Prices!D3875</f>
        <v/>
      </c>
      <c r="E3875">
        <f>Prices!E3875</f>
        <v/>
      </c>
      <c r="F3875">
        <f>Prices!F3875</f>
        <v/>
      </c>
      <c r="G3875">
        <f>IF(AND(3873&gt;=16,TEXT(A3875,"yyyy-mm")&lt;&gt;TEXT(A3876,"yyyy-mm")),1,0)</f>
        <v/>
      </c>
      <c r="H3875">
        <f>IF(OR(H3874=1,G3875=1),1,0)</f>
        <v/>
      </c>
      <c r="I3875">
        <f>IF(H3874=0,1,SUMPRODUCT(J3874:N3874,B3875:F3875)+O3874*(1+0.00023125256064071564))</f>
        <v/>
      </c>
      <c r="J3875">
        <f>IF(G3875=1,0.2*R3875/B3875,J3874)</f>
        <v/>
      </c>
      <c r="K3875">
        <f>IF(G3875=1,0.2*R3875/C3875,K3874)</f>
        <v/>
      </c>
      <c r="L3875">
        <f>IF(G3875=1,0.2*R3875/D3875,L3874)</f>
        <v/>
      </c>
      <c r="M3875">
        <f>IF(G3875=1,0.2*R3875/E3875,M3874)</f>
        <v/>
      </c>
      <c r="N3875">
        <f>IF(G3875=1,0.2*R3875/F3875,N3874)</f>
        <v/>
      </c>
      <c r="O3875">
        <f>IF(G3875=1,R3875*(1-1.0),IF(H3874=0,1,O3874*(1+0.00023125256064071564)))</f>
        <v/>
      </c>
      <c r="P3875">
        <f>IF(G3875=1,IF(H3874=0,1,ABS(0.2-J3874*B3875/I3875)+ABS(0.2-K3874*C3875/I3875)+ABS(0.2-L3874*D3875/I3875)+ABS(0.2-M3874*E3875/I3875)+ABS(0.2-N3874*F3875/I3875)),0)</f>
        <v/>
      </c>
      <c r="Q3875">
        <f>P3875*0.0015</f>
        <v/>
      </c>
      <c r="R3875">
        <f>I3875*(1-Q3875)</f>
        <v/>
      </c>
      <c r="S3875">
        <f>R3875/R3874-1</f>
        <v/>
      </c>
      <c r="T3875">
        <f>MAX(T3874,R3875)</f>
        <v/>
      </c>
      <c r="U3875">
        <f>R3875/T3875-1</f>
        <v/>
      </c>
      <c r="V3875" t="n">
        <v>9.713522289173595</v>
      </c>
      <c r="W3875" s="5">
        <f>R3875-V3875</f>
        <v/>
      </c>
    </row>
    <row r="3876">
      <c r="A3876" s="3" t="n">
        <v>44147</v>
      </c>
      <c r="B3876">
        <f>Prices!B3876</f>
        <v/>
      </c>
      <c r="C3876">
        <f>Prices!C3876</f>
        <v/>
      </c>
      <c r="D3876">
        <f>Prices!D3876</f>
        <v/>
      </c>
      <c r="E3876">
        <f>Prices!E3876</f>
        <v/>
      </c>
      <c r="F3876">
        <f>Prices!F3876</f>
        <v/>
      </c>
      <c r="G3876">
        <f>IF(AND(3874&gt;=16,TEXT(A3876,"yyyy-mm")&lt;&gt;TEXT(A3877,"yyyy-mm")),1,0)</f>
        <v/>
      </c>
      <c r="H3876">
        <f>IF(OR(H3875=1,G3876=1),1,0)</f>
        <v/>
      </c>
      <c r="I3876">
        <f>IF(H3875=0,1,SUMPRODUCT(J3875:N3875,B3876:F3876)+O3875*(1+0.00023125256064071564))</f>
        <v/>
      </c>
      <c r="J3876">
        <f>IF(G3876=1,0.2*R3876/B3876,J3875)</f>
        <v/>
      </c>
      <c r="K3876">
        <f>IF(G3876=1,0.2*R3876/C3876,K3875)</f>
        <v/>
      </c>
      <c r="L3876">
        <f>IF(G3876=1,0.2*R3876/D3876,L3875)</f>
        <v/>
      </c>
      <c r="M3876">
        <f>IF(G3876=1,0.2*R3876/E3876,M3875)</f>
        <v/>
      </c>
      <c r="N3876">
        <f>IF(G3876=1,0.2*R3876/F3876,N3875)</f>
        <v/>
      </c>
      <c r="O3876">
        <f>IF(G3876=1,R3876*(1-1.0),IF(H3875=0,1,O3875*(1+0.00023125256064071564)))</f>
        <v/>
      </c>
      <c r="P3876">
        <f>IF(G3876=1,IF(H3875=0,1,ABS(0.2-J3875*B3876/I3876)+ABS(0.2-K3875*C3876/I3876)+ABS(0.2-L3875*D3876/I3876)+ABS(0.2-M3875*E3876/I3876)+ABS(0.2-N3875*F3876/I3876)),0)</f>
        <v/>
      </c>
      <c r="Q3876">
        <f>P3876*0.0015</f>
        <v/>
      </c>
      <c r="R3876">
        <f>I3876*(1-Q3876)</f>
        <v/>
      </c>
      <c r="S3876">
        <f>R3876/R3875-1</f>
        <v/>
      </c>
      <c r="T3876">
        <f>MAX(T3875,R3876)</f>
        <v/>
      </c>
      <c r="U3876">
        <f>R3876/T3876-1</f>
        <v/>
      </c>
      <c r="V3876" t="n">
        <v>9.773825209728427</v>
      </c>
      <c r="W3876" s="5">
        <f>R3876-V3876</f>
        <v/>
      </c>
    </row>
    <row r="3877">
      <c r="A3877" s="3" t="n">
        <v>44148</v>
      </c>
      <c r="B3877">
        <f>Prices!B3877</f>
        <v/>
      </c>
      <c r="C3877">
        <f>Prices!C3877</f>
        <v/>
      </c>
      <c r="D3877">
        <f>Prices!D3877</f>
        <v/>
      </c>
      <c r="E3877">
        <f>Prices!E3877</f>
        <v/>
      </c>
      <c r="F3877">
        <f>Prices!F3877</f>
        <v/>
      </c>
      <c r="G3877">
        <f>IF(AND(3875&gt;=16,TEXT(A3877,"yyyy-mm")&lt;&gt;TEXT(A3878,"yyyy-mm")),1,0)</f>
        <v/>
      </c>
      <c r="H3877">
        <f>IF(OR(H3876=1,G3877=1),1,0)</f>
        <v/>
      </c>
      <c r="I3877">
        <f>IF(H3876=0,1,SUMPRODUCT(J3876:N3876,B3877:F3877)+O3876*(1+0.00023125256064071564))</f>
        <v/>
      </c>
      <c r="J3877">
        <f>IF(G3877=1,0.2*R3877/B3877,J3876)</f>
        <v/>
      </c>
      <c r="K3877">
        <f>IF(G3877=1,0.2*R3877/C3877,K3876)</f>
        <v/>
      </c>
      <c r="L3877">
        <f>IF(G3877=1,0.2*R3877/D3877,L3876)</f>
        <v/>
      </c>
      <c r="M3877">
        <f>IF(G3877=1,0.2*R3877/E3877,M3876)</f>
        <v/>
      </c>
      <c r="N3877">
        <f>IF(G3877=1,0.2*R3877/F3877,N3876)</f>
        <v/>
      </c>
      <c r="O3877">
        <f>IF(G3877=1,R3877*(1-1.0),IF(H3876=0,1,O3876*(1+0.00023125256064071564)))</f>
        <v/>
      </c>
      <c r="P3877">
        <f>IF(G3877=1,IF(H3876=0,1,ABS(0.2-J3876*B3877/I3877)+ABS(0.2-K3876*C3877/I3877)+ABS(0.2-L3876*D3877/I3877)+ABS(0.2-M3876*E3877/I3877)+ABS(0.2-N3876*F3877/I3877)),0)</f>
        <v/>
      </c>
      <c r="Q3877">
        <f>P3877*0.0015</f>
        <v/>
      </c>
      <c r="R3877">
        <f>I3877*(1-Q3877)</f>
        <v/>
      </c>
      <c r="S3877">
        <f>R3877/R3876-1</f>
        <v/>
      </c>
      <c r="T3877">
        <f>MAX(T3876,R3877)</f>
        <v/>
      </c>
      <c r="U3877">
        <f>R3877/T3877-1</f>
        <v/>
      </c>
      <c r="V3877" t="n">
        <v>9.859968975508556</v>
      </c>
      <c r="W3877" s="5">
        <f>R3877-V3877</f>
        <v/>
      </c>
    </row>
    <row r="3878">
      <c r="A3878" s="3" t="n">
        <v>44149</v>
      </c>
      <c r="B3878">
        <f>Prices!B3878</f>
        <v/>
      </c>
      <c r="C3878">
        <f>Prices!C3878</f>
        <v/>
      </c>
      <c r="D3878">
        <f>Prices!D3878</f>
        <v/>
      </c>
      <c r="E3878">
        <f>Prices!E3878</f>
        <v/>
      </c>
      <c r="F3878">
        <f>Prices!F3878</f>
        <v/>
      </c>
      <c r="G3878">
        <f>IF(AND(3876&gt;=16,TEXT(A3878,"yyyy-mm")&lt;&gt;TEXT(A3879,"yyyy-mm")),1,0)</f>
        <v/>
      </c>
      <c r="H3878">
        <f>IF(OR(H3877=1,G3878=1),1,0)</f>
        <v/>
      </c>
      <c r="I3878">
        <f>IF(H3877=0,1,SUMPRODUCT(J3877:N3877,B3878:F3878)+O3877*(1+0.00023125256064071564))</f>
        <v/>
      </c>
      <c r="J3878">
        <f>IF(G3878=1,0.2*R3878/B3878,J3877)</f>
        <v/>
      </c>
      <c r="K3878">
        <f>IF(G3878=1,0.2*R3878/C3878,K3877)</f>
        <v/>
      </c>
      <c r="L3878">
        <f>IF(G3878=1,0.2*R3878/D3878,L3877)</f>
        <v/>
      </c>
      <c r="M3878">
        <f>IF(G3878=1,0.2*R3878/E3878,M3877)</f>
        <v/>
      </c>
      <c r="N3878">
        <f>IF(G3878=1,0.2*R3878/F3878,N3877)</f>
        <v/>
      </c>
      <c r="O3878">
        <f>IF(G3878=1,R3878*(1-1.0),IF(H3877=0,1,O3877*(1+0.00023125256064071564)))</f>
        <v/>
      </c>
      <c r="P3878">
        <f>IF(G3878=1,IF(H3877=0,1,ABS(0.2-J3877*B3878/I3878)+ABS(0.2-K3877*C3878/I3878)+ABS(0.2-L3877*D3878/I3878)+ABS(0.2-M3877*E3878/I3878)+ABS(0.2-N3877*F3878/I3878)),0)</f>
        <v/>
      </c>
      <c r="Q3878">
        <f>P3878*0.0015</f>
        <v/>
      </c>
      <c r="R3878">
        <f>I3878*(1-Q3878)</f>
        <v/>
      </c>
      <c r="S3878">
        <f>R3878/R3877-1</f>
        <v/>
      </c>
      <c r="T3878">
        <f>MAX(T3877,R3878)</f>
        <v/>
      </c>
      <c r="U3878">
        <f>R3878/T3878-1</f>
        <v/>
      </c>
      <c r="V3878" t="n">
        <v>9.916513242350989</v>
      </c>
      <c r="W3878" s="5">
        <f>R3878-V3878</f>
        <v/>
      </c>
    </row>
    <row r="3879">
      <c r="A3879" s="3" t="n">
        <v>44152</v>
      </c>
      <c r="B3879">
        <f>Prices!B3879</f>
        <v/>
      </c>
      <c r="C3879">
        <f>Prices!C3879</f>
        <v/>
      </c>
      <c r="D3879">
        <f>Prices!D3879</f>
        <v/>
      </c>
      <c r="E3879">
        <f>Prices!E3879</f>
        <v/>
      </c>
      <c r="F3879">
        <f>Prices!F3879</f>
        <v/>
      </c>
      <c r="G3879">
        <f>IF(AND(3877&gt;=16,TEXT(A3879,"yyyy-mm")&lt;&gt;TEXT(A3880,"yyyy-mm")),1,0)</f>
        <v/>
      </c>
      <c r="H3879">
        <f>IF(OR(H3878=1,G3879=1),1,0)</f>
        <v/>
      </c>
      <c r="I3879">
        <f>IF(H3878=0,1,SUMPRODUCT(J3878:N3878,B3879:F3879)+O3878*(1+0.00023125256064071564))</f>
        <v/>
      </c>
      <c r="J3879">
        <f>IF(G3879=1,0.2*R3879/B3879,J3878)</f>
        <v/>
      </c>
      <c r="K3879">
        <f>IF(G3879=1,0.2*R3879/C3879,K3878)</f>
        <v/>
      </c>
      <c r="L3879">
        <f>IF(G3879=1,0.2*R3879/D3879,L3878)</f>
        <v/>
      </c>
      <c r="M3879">
        <f>IF(G3879=1,0.2*R3879/E3879,M3878)</f>
        <v/>
      </c>
      <c r="N3879">
        <f>IF(G3879=1,0.2*R3879/F3879,N3878)</f>
        <v/>
      </c>
      <c r="O3879">
        <f>IF(G3879=1,R3879*(1-1.0),IF(H3878=0,1,O3878*(1+0.00023125256064071564)))</f>
        <v/>
      </c>
      <c r="P3879">
        <f>IF(G3879=1,IF(H3878=0,1,ABS(0.2-J3878*B3879/I3879)+ABS(0.2-K3878*C3879/I3879)+ABS(0.2-L3878*D3879/I3879)+ABS(0.2-M3878*E3879/I3879)+ABS(0.2-N3878*F3879/I3879)),0)</f>
        <v/>
      </c>
      <c r="Q3879">
        <f>P3879*0.0015</f>
        <v/>
      </c>
      <c r="R3879">
        <f>I3879*(1-Q3879)</f>
        <v/>
      </c>
      <c r="S3879">
        <f>R3879/R3878-1</f>
        <v/>
      </c>
      <c r="T3879">
        <f>MAX(T3878,R3879)</f>
        <v/>
      </c>
      <c r="U3879">
        <f>R3879/T3879-1</f>
        <v/>
      </c>
      <c r="V3879" t="n">
        <v>9.951367646766494</v>
      </c>
      <c r="W3879" s="5">
        <f>R3879-V3879</f>
        <v/>
      </c>
    </row>
    <row r="3880">
      <c r="A3880" s="3" t="n">
        <v>44153</v>
      </c>
      <c r="B3880">
        <f>Prices!B3880</f>
        <v/>
      </c>
      <c r="C3880">
        <f>Prices!C3880</f>
        <v/>
      </c>
      <c r="D3880">
        <f>Prices!D3880</f>
        <v/>
      </c>
      <c r="E3880">
        <f>Prices!E3880</f>
        <v/>
      </c>
      <c r="F3880">
        <f>Prices!F3880</f>
        <v/>
      </c>
      <c r="G3880">
        <f>IF(AND(3878&gt;=16,TEXT(A3880,"yyyy-mm")&lt;&gt;TEXT(A3881,"yyyy-mm")),1,0)</f>
        <v/>
      </c>
      <c r="H3880">
        <f>IF(OR(H3879=1,G3880=1),1,0)</f>
        <v/>
      </c>
      <c r="I3880">
        <f>IF(H3879=0,1,SUMPRODUCT(J3879:N3879,B3880:F3880)+O3879*(1+0.00023125256064071564))</f>
        <v/>
      </c>
      <c r="J3880">
        <f>IF(G3880=1,0.2*R3880/B3880,J3879)</f>
        <v/>
      </c>
      <c r="K3880">
        <f>IF(G3880=1,0.2*R3880/C3880,K3879)</f>
        <v/>
      </c>
      <c r="L3880">
        <f>IF(G3880=1,0.2*R3880/D3880,L3879)</f>
        <v/>
      </c>
      <c r="M3880">
        <f>IF(G3880=1,0.2*R3880/E3880,M3879)</f>
        <v/>
      </c>
      <c r="N3880">
        <f>IF(G3880=1,0.2*R3880/F3880,N3879)</f>
        <v/>
      </c>
      <c r="O3880">
        <f>IF(G3880=1,R3880*(1-1.0),IF(H3879=0,1,O3879*(1+0.00023125256064071564)))</f>
        <v/>
      </c>
      <c r="P3880">
        <f>IF(G3880=1,IF(H3879=0,1,ABS(0.2-J3879*B3880/I3880)+ABS(0.2-K3879*C3880/I3880)+ABS(0.2-L3879*D3880/I3880)+ABS(0.2-M3879*E3880/I3880)+ABS(0.2-N3879*F3880/I3880)),0)</f>
        <v/>
      </c>
      <c r="Q3880">
        <f>P3880*0.0015</f>
        <v/>
      </c>
      <c r="R3880">
        <f>I3880*(1-Q3880)</f>
        <v/>
      </c>
      <c r="S3880">
        <f>R3880/R3879-1</f>
        <v/>
      </c>
      <c r="T3880">
        <f>MAX(T3879,R3880)</f>
        <v/>
      </c>
      <c r="U3880">
        <f>R3880/T3880-1</f>
        <v/>
      </c>
      <c r="V3880" t="n">
        <v>9.960606030012453</v>
      </c>
      <c r="W3880" s="5">
        <f>R3880-V3880</f>
        <v/>
      </c>
    </row>
    <row r="3881">
      <c r="A3881" s="3" t="n">
        <v>44154</v>
      </c>
      <c r="B3881">
        <f>Prices!B3881</f>
        <v/>
      </c>
      <c r="C3881">
        <f>Prices!C3881</f>
        <v/>
      </c>
      <c r="D3881">
        <f>Prices!D3881</f>
        <v/>
      </c>
      <c r="E3881">
        <f>Prices!E3881</f>
        <v/>
      </c>
      <c r="F3881">
        <f>Prices!F3881</f>
        <v/>
      </c>
      <c r="G3881">
        <f>IF(AND(3879&gt;=16,TEXT(A3881,"yyyy-mm")&lt;&gt;TEXT(A3882,"yyyy-mm")),1,0)</f>
        <v/>
      </c>
      <c r="H3881">
        <f>IF(OR(H3880=1,G3881=1),1,0)</f>
        <v/>
      </c>
      <c r="I3881">
        <f>IF(H3880=0,1,SUMPRODUCT(J3880:N3880,B3881:F3881)+O3880*(1+0.00023125256064071564))</f>
        <v/>
      </c>
      <c r="J3881">
        <f>IF(G3881=1,0.2*R3881/B3881,J3880)</f>
        <v/>
      </c>
      <c r="K3881">
        <f>IF(G3881=1,0.2*R3881/C3881,K3880)</f>
        <v/>
      </c>
      <c r="L3881">
        <f>IF(G3881=1,0.2*R3881/D3881,L3880)</f>
        <v/>
      </c>
      <c r="M3881">
        <f>IF(G3881=1,0.2*R3881/E3881,M3880)</f>
        <v/>
      </c>
      <c r="N3881">
        <f>IF(G3881=1,0.2*R3881/F3881,N3880)</f>
        <v/>
      </c>
      <c r="O3881">
        <f>IF(G3881=1,R3881*(1-1.0),IF(H3880=0,1,O3880*(1+0.00023125256064071564)))</f>
        <v/>
      </c>
      <c r="P3881">
        <f>IF(G3881=1,IF(H3880=0,1,ABS(0.2-J3880*B3881/I3881)+ABS(0.2-K3880*C3881/I3881)+ABS(0.2-L3880*D3881/I3881)+ABS(0.2-M3880*E3881/I3881)+ABS(0.2-N3880*F3881/I3881)),0)</f>
        <v/>
      </c>
      <c r="Q3881">
        <f>P3881*0.0015</f>
        <v/>
      </c>
      <c r="R3881">
        <f>I3881*(1-Q3881)</f>
        <v/>
      </c>
      <c r="S3881">
        <f>R3881/R3880-1</f>
        <v/>
      </c>
      <c r="T3881">
        <f>MAX(T3880,R3881)</f>
        <v/>
      </c>
      <c r="U3881">
        <f>R3881/T3881-1</f>
        <v/>
      </c>
      <c r="V3881" t="n">
        <v>9.913913416346906</v>
      </c>
      <c r="W3881" s="5">
        <f>R3881-V3881</f>
        <v/>
      </c>
    </row>
    <row r="3882">
      <c r="A3882" s="3" t="n">
        <v>44155</v>
      </c>
      <c r="B3882">
        <f>Prices!B3882</f>
        <v/>
      </c>
      <c r="C3882">
        <f>Prices!C3882</f>
        <v/>
      </c>
      <c r="D3882">
        <f>Prices!D3882</f>
        <v/>
      </c>
      <c r="E3882">
        <f>Prices!E3882</f>
        <v/>
      </c>
      <c r="F3882">
        <f>Prices!F3882</f>
        <v/>
      </c>
      <c r="G3882">
        <f>IF(AND(3880&gt;=16,TEXT(A3882,"yyyy-mm")&lt;&gt;TEXT(A3883,"yyyy-mm")),1,0)</f>
        <v/>
      </c>
      <c r="H3882">
        <f>IF(OR(H3881=1,G3882=1),1,0)</f>
        <v/>
      </c>
      <c r="I3882">
        <f>IF(H3881=0,1,SUMPRODUCT(J3881:N3881,B3882:F3882)+O3881*(1+0.00023125256064071564))</f>
        <v/>
      </c>
      <c r="J3882">
        <f>IF(G3882=1,0.2*R3882/B3882,J3881)</f>
        <v/>
      </c>
      <c r="K3882">
        <f>IF(G3882=1,0.2*R3882/C3882,K3881)</f>
        <v/>
      </c>
      <c r="L3882">
        <f>IF(G3882=1,0.2*R3882/D3882,L3881)</f>
        <v/>
      </c>
      <c r="M3882">
        <f>IF(G3882=1,0.2*R3882/E3882,M3881)</f>
        <v/>
      </c>
      <c r="N3882">
        <f>IF(G3882=1,0.2*R3882/F3882,N3881)</f>
        <v/>
      </c>
      <c r="O3882">
        <f>IF(G3882=1,R3882*(1-1.0),IF(H3881=0,1,O3881*(1+0.00023125256064071564)))</f>
        <v/>
      </c>
      <c r="P3882">
        <f>IF(G3882=1,IF(H3881=0,1,ABS(0.2-J3881*B3882/I3882)+ABS(0.2-K3881*C3882/I3882)+ABS(0.2-L3881*D3882/I3882)+ABS(0.2-M3881*E3882/I3882)+ABS(0.2-N3881*F3882/I3882)),0)</f>
        <v/>
      </c>
      <c r="Q3882">
        <f>P3882*0.0015</f>
        <v/>
      </c>
      <c r="R3882">
        <f>I3882*(1-Q3882)</f>
        <v/>
      </c>
      <c r="S3882">
        <f>R3882/R3881-1</f>
        <v/>
      </c>
      <c r="T3882">
        <f>MAX(T3881,R3882)</f>
        <v/>
      </c>
      <c r="U3882">
        <f>R3882/T3882-1</f>
        <v/>
      </c>
      <c r="V3882" t="n">
        <v>10.01113732790158</v>
      </c>
      <c r="W3882" s="5">
        <f>R3882-V3882</f>
        <v/>
      </c>
    </row>
    <row r="3883">
      <c r="A3883" s="3" t="n">
        <v>44158</v>
      </c>
      <c r="B3883">
        <f>Prices!B3883</f>
        <v/>
      </c>
      <c r="C3883">
        <f>Prices!C3883</f>
        <v/>
      </c>
      <c r="D3883">
        <f>Prices!D3883</f>
        <v/>
      </c>
      <c r="E3883">
        <f>Prices!E3883</f>
        <v/>
      </c>
      <c r="F3883">
        <f>Prices!F3883</f>
        <v/>
      </c>
      <c r="G3883">
        <f>IF(AND(3881&gt;=16,TEXT(A3883,"yyyy-mm")&lt;&gt;TEXT(A3884,"yyyy-mm")),1,0)</f>
        <v/>
      </c>
      <c r="H3883">
        <f>IF(OR(H3882=1,G3883=1),1,0)</f>
        <v/>
      </c>
      <c r="I3883">
        <f>IF(H3882=0,1,SUMPRODUCT(J3882:N3882,B3883:F3883)+O3882*(1+0.00023125256064071564))</f>
        <v/>
      </c>
      <c r="J3883">
        <f>IF(G3883=1,0.2*R3883/B3883,J3882)</f>
        <v/>
      </c>
      <c r="K3883">
        <f>IF(G3883=1,0.2*R3883/C3883,K3882)</f>
        <v/>
      </c>
      <c r="L3883">
        <f>IF(G3883=1,0.2*R3883/D3883,L3882)</f>
        <v/>
      </c>
      <c r="M3883">
        <f>IF(G3883=1,0.2*R3883/E3883,M3882)</f>
        <v/>
      </c>
      <c r="N3883">
        <f>IF(G3883=1,0.2*R3883/F3883,N3882)</f>
        <v/>
      </c>
      <c r="O3883">
        <f>IF(G3883=1,R3883*(1-1.0),IF(H3882=0,1,O3882*(1+0.00023125256064071564)))</f>
        <v/>
      </c>
      <c r="P3883">
        <f>IF(G3883=1,IF(H3882=0,1,ABS(0.2-J3882*B3883/I3883)+ABS(0.2-K3882*C3883/I3883)+ABS(0.2-L3882*D3883/I3883)+ABS(0.2-M3882*E3883/I3883)+ABS(0.2-N3882*F3883/I3883)),0)</f>
        <v/>
      </c>
      <c r="Q3883">
        <f>P3883*0.0015</f>
        <v/>
      </c>
      <c r="R3883">
        <f>I3883*(1-Q3883)</f>
        <v/>
      </c>
      <c r="S3883">
        <f>R3883/R3882-1</f>
        <v/>
      </c>
      <c r="T3883">
        <f>MAX(T3882,R3883)</f>
        <v/>
      </c>
      <c r="U3883">
        <f>R3883/T3883-1</f>
        <v/>
      </c>
      <c r="V3883" t="n">
        <v>10.16591176506149</v>
      </c>
      <c r="W3883" s="5">
        <f>R3883-V3883</f>
        <v/>
      </c>
    </row>
    <row r="3884">
      <c r="A3884" s="3" t="n">
        <v>44159</v>
      </c>
      <c r="B3884">
        <f>Prices!B3884</f>
        <v/>
      </c>
      <c r="C3884">
        <f>Prices!C3884</f>
        <v/>
      </c>
      <c r="D3884">
        <f>Prices!D3884</f>
        <v/>
      </c>
      <c r="E3884">
        <f>Prices!E3884</f>
        <v/>
      </c>
      <c r="F3884">
        <f>Prices!F3884</f>
        <v/>
      </c>
      <c r="G3884">
        <f>IF(AND(3882&gt;=16,TEXT(A3884,"yyyy-mm")&lt;&gt;TEXT(A3885,"yyyy-mm")),1,0)</f>
        <v/>
      </c>
      <c r="H3884">
        <f>IF(OR(H3883=1,G3884=1),1,0)</f>
        <v/>
      </c>
      <c r="I3884">
        <f>IF(H3883=0,1,SUMPRODUCT(J3883:N3883,B3884:F3884)+O3883*(1+0.00023125256064071564))</f>
        <v/>
      </c>
      <c r="J3884">
        <f>IF(G3884=1,0.2*R3884/B3884,J3883)</f>
        <v/>
      </c>
      <c r="K3884">
        <f>IF(G3884=1,0.2*R3884/C3884,K3883)</f>
        <v/>
      </c>
      <c r="L3884">
        <f>IF(G3884=1,0.2*R3884/D3884,L3883)</f>
        <v/>
      </c>
      <c r="M3884">
        <f>IF(G3884=1,0.2*R3884/E3884,M3883)</f>
        <v/>
      </c>
      <c r="N3884">
        <f>IF(G3884=1,0.2*R3884/F3884,N3883)</f>
        <v/>
      </c>
      <c r="O3884">
        <f>IF(G3884=1,R3884*(1-1.0),IF(H3883=0,1,O3883*(1+0.00023125256064071564)))</f>
        <v/>
      </c>
      <c r="P3884">
        <f>IF(G3884=1,IF(H3883=0,1,ABS(0.2-J3883*B3884/I3884)+ABS(0.2-K3883*C3884/I3884)+ABS(0.2-L3883*D3884/I3884)+ABS(0.2-M3883*E3884/I3884)+ABS(0.2-N3883*F3884/I3884)),0)</f>
        <v/>
      </c>
      <c r="Q3884">
        <f>P3884*0.0015</f>
        <v/>
      </c>
      <c r="R3884">
        <f>I3884*(1-Q3884)</f>
        <v/>
      </c>
      <c r="S3884">
        <f>R3884/R3883-1</f>
        <v/>
      </c>
      <c r="T3884">
        <f>MAX(T3883,R3884)</f>
        <v/>
      </c>
      <c r="U3884">
        <f>R3884/T3884-1</f>
        <v/>
      </c>
      <c r="V3884" t="n">
        <v>10.23814948045894</v>
      </c>
      <c r="W3884" s="5">
        <f>R3884-V3884</f>
        <v/>
      </c>
    </row>
    <row r="3885">
      <c r="A3885" s="3" t="n">
        <v>44160</v>
      </c>
      <c r="B3885">
        <f>Prices!B3885</f>
        <v/>
      </c>
      <c r="C3885">
        <f>Prices!C3885</f>
        <v/>
      </c>
      <c r="D3885">
        <f>Prices!D3885</f>
        <v/>
      </c>
      <c r="E3885">
        <f>Prices!E3885</f>
        <v/>
      </c>
      <c r="F3885">
        <f>Prices!F3885</f>
        <v/>
      </c>
      <c r="G3885">
        <f>IF(AND(3883&gt;=16,TEXT(A3885,"yyyy-mm")&lt;&gt;TEXT(A3886,"yyyy-mm")),1,0)</f>
        <v/>
      </c>
      <c r="H3885">
        <f>IF(OR(H3884=1,G3885=1),1,0)</f>
        <v/>
      </c>
      <c r="I3885">
        <f>IF(H3884=0,1,SUMPRODUCT(J3884:N3884,B3885:F3885)+O3884*(1+0.00023125256064071564))</f>
        <v/>
      </c>
      <c r="J3885">
        <f>IF(G3885=1,0.2*R3885/B3885,J3884)</f>
        <v/>
      </c>
      <c r="K3885">
        <f>IF(G3885=1,0.2*R3885/C3885,K3884)</f>
        <v/>
      </c>
      <c r="L3885">
        <f>IF(G3885=1,0.2*R3885/D3885,L3884)</f>
        <v/>
      </c>
      <c r="M3885">
        <f>IF(G3885=1,0.2*R3885/E3885,M3884)</f>
        <v/>
      </c>
      <c r="N3885">
        <f>IF(G3885=1,0.2*R3885/F3885,N3884)</f>
        <v/>
      </c>
      <c r="O3885">
        <f>IF(G3885=1,R3885*(1-1.0),IF(H3884=0,1,O3884*(1+0.00023125256064071564)))</f>
        <v/>
      </c>
      <c r="P3885">
        <f>IF(G3885=1,IF(H3884=0,1,ABS(0.2-J3884*B3885/I3885)+ABS(0.2-K3884*C3885/I3885)+ABS(0.2-L3884*D3885/I3885)+ABS(0.2-M3884*E3885/I3885)+ABS(0.2-N3884*F3885/I3885)),0)</f>
        <v/>
      </c>
      <c r="Q3885">
        <f>P3885*0.0015</f>
        <v/>
      </c>
      <c r="R3885">
        <f>I3885*(1-Q3885)</f>
        <v/>
      </c>
      <c r="S3885">
        <f>R3885/R3884-1</f>
        <v/>
      </c>
      <c r="T3885">
        <f>MAX(T3884,R3885)</f>
        <v/>
      </c>
      <c r="U3885">
        <f>R3885/T3885-1</f>
        <v/>
      </c>
      <c r="V3885" t="n">
        <v>10.08842260391179</v>
      </c>
      <c r="W3885" s="5">
        <f>R3885-V3885</f>
        <v/>
      </c>
    </row>
    <row r="3886">
      <c r="A3886" s="3" t="n">
        <v>44161</v>
      </c>
      <c r="B3886">
        <f>Prices!B3886</f>
        <v/>
      </c>
      <c r="C3886">
        <f>Prices!C3886</f>
        <v/>
      </c>
      <c r="D3886">
        <f>Prices!D3886</f>
        <v/>
      </c>
      <c r="E3886">
        <f>Prices!E3886</f>
        <v/>
      </c>
      <c r="F3886">
        <f>Prices!F3886</f>
        <v/>
      </c>
      <c r="G3886">
        <f>IF(AND(3884&gt;=16,TEXT(A3886,"yyyy-mm")&lt;&gt;TEXT(A3887,"yyyy-mm")),1,0)</f>
        <v/>
      </c>
      <c r="H3886">
        <f>IF(OR(H3885=1,G3886=1),1,0)</f>
        <v/>
      </c>
      <c r="I3886">
        <f>IF(H3885=0,1,SUMPRODUCT(J3885:N3885,B3886:F3886)+O3885*(1+0.00023125256064071564))</f>
        <v/>
      </c>
      <c r="J3886">
        <f>IF(G3886=1,0.2*R3886/B3886,J3885)</f>
        <v/>
      </c>
      <c r="K3886">
        <f>IF(G3886=1,0.2*R3886/C3886,K3885)</f>
        <v/>
      </c>
      <c r="L3886">
        <f>IF(G3886=1,0.2*R3886/D3886,L3885)</f>
        <v/>
      </c>
      <c r="M3886">
        <f>IF(G3886=1,0.2*R3886/E3886,M3885)</f>
        <v/>
      </c>
      <c r="N3886">
        <f>IF(G3886=1,0.2*R3886/F3886,N3885)</f>
        <v/>
      </c>
      <c r="O3886">
        <f>IF(G3886=1,R3886*(1-1.0),IF(H3885=0,1,O3885*(1+0.00023125256064071564)))</f>
        <v/>
      </c>
      <c r="P3886">
        <f>IF(G3886=1,IF(H3885=0,1,ABS(0.2-J3885*B3886/I3886)+ABS(0.2-K3885*C3886/I3886)+ABS(0.2-L3885*D3886/I3886)+ABS(0.2-M3885*E3886/I3886)+ABS(0.2-N3885*F3886/I3886)),0)</f>
        <v/>
      </c>
      <c r="Q3886">
        <f>P3886*0.0015</f>
        <v/>
      </c>
      <c r="R3886">
        <f>I3886*(1-Q3886)</f>
        <v/>
      </c>
      <c r="S3886">
        <f>R3886/R3885-1</f>
        <v/>
      </c>
      <c r="T3886">
        <f>MAX(T3885,R3886)</f>
        <v/>
      </c>
      <c r="U3886">
        <f>R3886/T3886-1</f>
        <v/>
      </c>
      <c r="V3886" t="n">
        <v>10.17687610862356</v>
      </c>
      <c r="W3886" s="5">
        <f>R3886-V3886</f>
        <v/>
      </c>
    </row>
    <row r="3887">
      <c r="A3887" s="3" t="n">
        <v>44162</v>
      </c>
      <c r="B3887">
        <f>Prices!B3887</f>
        <v/>
      </c>
      <c r="C3887">
        <f>Prices!C3887</f>
        <v/>
      </c>
      <c r="D3887">
        <f>Prices!D3887</f>
        <v/>
      </c>
      <c r="E3887">
        <f>Prices!E3887</f>
        <v/>
      </c>
      <c r="F3887">
        <f>Prices!F3887</f>
        <v/>
      </c>
      <c r="G3887">
        <f>IF(AND(3885&gt;=16,TEXT(A3887,"yyyy-mm")&lt;&gt;TEXT(A3888,"yyyy-mm")),1,0)</f>
        <v/>
      </c>
      <c r="H3887">
        <f>IF(OR(H3886=1,G3887=1),1,0)</f>
        <v/>
      </c>
      <c r="I3887">
        <f>IF(H3886=0,1,SUMPRODUCT(J3886:N3886,B3887:F3887)+O3886*(1+0.00023125256064071564))</f>
        <v/>
      </c>
      <c r="J3887">
        <f>IF(G3887=1,0.2*R3887/B3887,J3886)</f>
        <v/>
      </c>
      <c r="K3887">
        <f>IF(G3887=1,0.2*R3887/C3887,K3886)</f>
        <v/>
      </c>
      <c r="L3887">
        <f>IF(G3887=1,0.2*R3887/D3887,L3886)</f>
        <v/>
      </c>
      <c r="M3887">
        <f>IF(G3887=1,0.2*R3887/E3887,M3886)</f>
        <v/>
      </c>
      <c r="N3887">
        <f>IF(G3887=1,0.2*R3887/F3887,N3886)</f>
        <v/>
      </c>
      <c r="O3887">
        <f>IF(G3887=1,R3887*(1-1.0),IF(H3886=0,1,O3886*(1+0.00023125256064071564)))</f>
        <v/>
      </c>
      <c r="P3887">
        <f>IF(G3887=1,IF(H3886=0,1,ABS(0.2-J3886*B3887/I3887)+ABS(0.2-K3886*C3887/I3887)+ABS(0.2-L3886*D3887/I3887)+ABS(0.2-M3886*E3887/I3887)+ABS(0.2-N3886*F3887/I3887)),0)</f>
        <v/>
      </c>
      <c r="Q3887">
        <f>P3887*0.0015</f>
        <v/>
      </c>
      <c r="R3887">
        <f>I3887*(1-Q3887)</f>
        <v/>
      </c>
      <c r="S3887">
        <f>R3887/R3886-1</f>
        <v/>
      </c>
      <c r="T3887">
        <f>MAX(T3886,R3887)</f>
        <v/>
      </c>
      <c r="U3887">
        <f>R3887/T3887-1</f>
        <v/>
      </c>
      <c r="V3887" t="n">
        <v>10.29113089820486</v>
      </c>
      <c r="W3887" s="5">
        <f>R3887-V3887</f>
        <v/>
      </c>
    </row>
    <row r="3888">
      <c r="A3888" s="3" t="n">
        <v>44166</v>
      </c>
      <c r="B3888">
        <f>Prices!B3888</f>
        <v/>
      </c>
      <c r="C3888">
        <f>Prices!C3888</f>
        <v/>
      </c>
      <c r="D3888">
        <f>Prices!D3888</f>
        <v/>
      </c>
      <c r="E3888">
        <f>Prices!E3888</f>
        <v/>
      </c>
      <c r="F3888">
        <f>Prices!F3888</f>
        <v/>
      </c>
      <c r="G3888">
        <f>IF(AND(3886&gt;=16,TEXT(A3888,"yyyy-mm")&lt;&gt;TEXT(A3889,"yyyy-mm")),1,0)</f>
        <v/>
      </c>
      <c r="H3888">
        <f>IF(OR(H3887=1,G3888=1),1,0)</f>
        <v/>
      </c>
      <c r="I3888">
        <f>IF(H3887=0,1,SUMPRODUCT(J3887:N3887,B3888:F3888)+O3887*(1+0.00023125256064071564))</f>
        <v/>
      </c>
      <c r="J3888">
        <f>IF(G3888=1,0.2*R3888/B3888,J3887)</f>
        <v/>
      </c>
      <c r="K3888">
        <f>IF(G3888=1,0.2*R3888/C3888,K3887)</f>
        <v/>
      </c>
      <c r="L3888">
        <f>IF(G3888=1,0.2*R3888/D3888,L3887)</f>
        <v/>
      </c>
      <c r="M3888">
        <f>IF(G3888=1,0.2*R3888/E3888,M3887)</f>
        <v/>
      </c>
      <c r="N3888">
        <f>IF(G3888=1,0.2*R3888/F3888,N3887)</f>
        <v/>
      </c>
      <c r="O3888">
        <f>IF(G3888=1,R3888*(1-1.0),IF(H3887=0,1,O3887*(1+0.00023125256064071564)))</f>
        <v/>
      </c>
      <c r="P3888">
        <f>IF(G3888=1,IF(H3887=0,1,ABS(0.2-J3887*B3888/I3888)+ABS(0.2-K3887*C3888/I3888)+ABS(0.2-L3887*D3888/I3888)+ABS(0.2-M3887*E3888/I3888)+ABS(0.2-N3887*F3888/I3888)),0)</f>
        <v/>
      </c>
      <c r="Q3888">
        <f>P3888*0.0015</f>
        <v/>
      </c>
      <c r="R3888">
        <f>I3888*(1-Q3888)</f>
        <v/>
      </c>
      <c r="S3888">
        <f>R3888/R3887-1</f>
        <v/>
      </c>
      <c r="T3888">
        <f>MAX(T3887,R3888)</f>
        <v/>
      </c>
      <c r="U3888">
        <f>R3888/T3888-1</f>
        <v/>
      </c>
      <c r="V3888" t="n">
        <v>10.35543261510346</v>
      </c>
      <c r="W3888" s="5">
        <f>R3888-V3888</f>
        <v/>
      </c>
    </row>
    <row r="3889">
      <c r="A3889" s="3" t="n">
        <v>44167</v>
      </c>
      <c r="B3889">
        <f>Prices!B3889</f>
        <v/>
      </c>
      <c r="C3889">
        <f>Prices!C3889</f>
        <v/>
      </c>
      <c r="D3889">
        <f>Prices!D3889</f>
        <v/>
      </c>
      <c r="E3889">
        <f>Prices!E3889</f>
        <v/>
      </c>
      <c r="F3889">
        <f>Prices!F3889</f>
        <v/>
      </c>
      <c r="G3889">
        <f>IF(AND(3887&gt;=16,TEXT(A3889,"yyyy-mm")&lt;&gt;TEXT(A3890,"yyyy-mm")),1,0)</f>
        <v/>
      </c>
      <c r="H3889">
        <f>IF(OR(H3888=1,G3889=1),1,0)</f>
        <v/>
      </c>
      <c r="I3889">
        <f>IF(H3888=0,1,SUMPRODUCT(J3888:N3888,B3889:F3889)+O3888*(1+0.00023125256064071564))</f>
        <v/>
      </c>
      <c r="J3889">
        <f>IF(G3889=1,0.2*R3889/B3889,J3888)</f>
        <v/>
      </c>
      <c r="K3889">
        <f>IF(G3889=1,0.2*R3889/C3889,K3888)</f>
        <v/>
      </c>
      <c r="L3889">
        <f>IF(G3889=1,0.2*R3889/D3889,L3888)</f>
        <v/>
      </c>
      <c r="M3889">
        <f>IF(G3889=1,0.2*R3889/E3889,M3888)</f>
        <v/>
      </c>
      <c r="N3889">
        <f>IF(G3889=1,0.2*R3889/F3889,N3888)</f>
        <v/>
      </c>
      <c r="O3889">
        <f>IF(G3889=1,R3889*(1-1.0),IF(H3888=0,1,O3888*(1+0.00023125256064071564)))</f>
        <v/>
      </c>
      <c r="P3889">
        <f>IF(G3889=1,IF(H3888=0,1,ABS(0.2-J3888*B3889/I3889)+ABS(0.2-K3888*C3889/I3889)+ABS(0.2-L3888*D3889/I3889)+ABS(0.2-M3888*E3889/I3889)+ABS(0.2-N3888*F3889/I3889)),0)</f>
        <v/>
      </c>
      <c r="Q3889">
        <f>P3889*0.0015</f>
        <v/>
      </c>
      <c r="R3889">
        <f>I3889*(1-Q3889)</f>
        <v/>
      </c>
      <c r="S3889">
        <f>R3889/R3888-1</f>
        <v/>
      </c>
      <c r="T3889">
        <f>MAX(T3888,R3889)</f>
        <v/>
      </c>
      <c r="U3889">
        <f>R3889/T3889-1</f>
        <v/>
      </c>
      <c r="V3889" t="n">
        <v>10.41870978293898</v>
      </c>
      <c r="W3889" s="5">
        <f>R3889-V3889</f>
        <v/>
      </c>
    </row>
    <row r="3890">
      <c r="A3890" s="3" t="n">
        <v>44168</v>
      </c>
      <c r="B3890">
        <f>Prices!B3890</f>
        <v/>
      </c>
      <c r="C3890">
        <f>Prices!C3890</f>
        <v/>
      </c>
      <c r="D3890">
        <f>Prices!D3890</f>
        <v/>
      </c>
      <c r="E3890">
        <f>Prices!E3890</f>
        <v/>
      </c>
      <c r="F3890">
        <f>Prices!F3890</f>
        <v/>
      </c>
      <c r="G3890">
        <f>IF(AND(3888&gt;=16,TEXT(A3890,"yyyy-mm")&lt;&gt;TEXT(A3891,"yyyy-mm")),1,0)</f>
        <v/>
      </c>
      <c r="H3890">
        <f>IF(OR(H3889=1,G3890=1),1,0)</f>
        <v/>
      </c>
      <c r="I3890">
        <f>IF(H3889=0,1,SUMPRODUCT(J3889:N3889,B3890:F3890)+O3889*(1+0.00023125256064071564))</f>
        <v/>
      </c>
      <c r="J3890">
        <f>IF(G3890=1,0.2*R3890/B3890,J3889)</f>
        <v/>
      </c>
      <c r="K3890">
        <f>IF(G3890=1,0.2*R3890/C3890,K3889)</f>
        <v/>
      </c>
      <c r="L3890">
        <f>IF(G3890=1,0.2*R3890/D3890,L3889)</f>
        <v/>
      </c>
      <c r="M3890">
        <f>IF(G3890=1,0.2*R3890/E3890,M3889)</f>
        <v/>
      </c>
      <c r="N3890">
        <f>IF(G3890=1,0.2*R3890/F3890,N3889)</f>
        <v/>
      </c>
      <c r="O3890">
        <f>IF(G3890=1,R3890*(1-1.0),IF(H3889=0,1,O3889*(1+0.00023125256064071564)))</f>
        <v/>
      </c>
      <c r="P3890">
        <f>IF(G3890=1,IF(H3889=0,1,ABS(0.2-J3889*B3890/I3890)+ABS(0.2-K3889*C3890/I3890)+ABS(0.2-L3889*D3890/I3890)+ABS(0.2-M3889*E3890/I3890)+ABS(0.2-N3889*F3890/I3890)),0)</f>
        <v/>
      </c>
      <c r="Q3890">
        <f>P3890*0.0015</f>
        <v/>
      </c>
      <c r="R3890">
        <f>I3890*(1-Q3890)</f>
        <v/>
      </c>
      <c r="S3890">
        <f>R3890/R3889-1</f>
        <v/>
      </c>
      <c r="T3890">
        <f>MAX(T3889,R3890)</f>
        <v/>
      </c>
      <c r="U3890">
        <f>R3890/T3890-1</f>
        <v/>
      </c>
      <c r="V3890" t="n">
        <v>10.52119405281641</v>
      </c>
      <c r="W3890" s="5">
        <f>R3890-V3890</f>
        <v/>
      </c>
    </row>
    <row r="3891">
      <c r="A3891" s="3" t="n">
        <v>44169</v>
      </c>
      <c r="B3891">
        <f>Prices!B3891</f>
        <v/>
      </c>
      <c r="C3891">
        <f>Prices!C3891</f>
        <v/>
      </c>
      <c r="D3891">
        <f>Prices!D3891</f>
        <v/>
      </c>
      <c r="E3891">
        <f>Prices!E3891</f>
        <v/>
      </c>
      <c r="F3891">
        <f>Prices!F3891</f>
        <v/>
      </c>
      <c r="G3891">
        <f>IF(AND(3889&gt;=16,TEXT(A3891,"yyyy-mm")&lt;&gt;TEXT(A3892,"yyyy-mm")),1,0)</f>
        <v/>
      </c>
      <c r="H3891">
        <f>IF(OR(H3890=1,G3891=1),1,0)</f>
        <v/>
      </c>
      <c r="I3891">
        <f>IF(H3890=0,1,SUMPRODUCT(J3890:N3890,B3891:F3891)+O3890*(1+0.00023125256064071564))</f>
        <v/>
      </c>
      <c r="J3891">
        <f>IF(G3891=1,0.2*R3891/B3891,J3890)</f>
        <v/>
      </c>
      <c r="K3891">
        <f>IF(G3891=1,0.2*R3891/C3891,K3890)</f>
        <v/>
      </c>
      <c r="L3891">
        <f>IF(G3891=1,0.2*R3891/D3891,L3890)</f>
        <v/>
      </c>
      <c r="M3891">
        <f>IF(G3891=1,0.2*R3891/E3891,M3890)</f>
        <v/>
      </c>
      <c r="N3891">
        <f>IF(G3891=1,0.2*R3891/F3891,N3890)</f>
        <v/>
      </c>
      <c r="O3891">
        <f>IF(G3891=1,R3891*(1-1.0),IF(H3890=0,1,O3890*(1+0.00023125256064071564)))</f>
        <v/>
      </c>
      <c r="P3891">
        <f>IF(G3891=1,IF(H3890=0,1,ABS(0.2-J3890*B3891/I3891)+ABS(0.2-K3890*C3891/I3891)+ABS(0.2-L3890*D3891/I3891)+ABS(0.2-M3890*E3891/I3891)+ABS(0.2-N3890*F3891/I3891)),0)</f>
        <v/>
      </c>
      <c r="Q3891">
        <f>P3891*0.0015</f>
        <v/>
      </c>
      <c r="R3891">
        <f>I3891*(1-Q3891)</f>
        <v/>
      </c>
      <c r="S3891">
        <f>R3891/R3890-1</f>
        <v/>
      </c>
      <c r="T3891">
        <f>MAX(T3890,R3891)</f>
        <v/>
      </c>
      <c r="U3891">
        <f>R3891/T3891-1</f>
        <v/>
      </c>
      <c r="V3891" t="n">
        <v>10.58306826640833</v>
      </c>
      <c r="W3891" s="5">
        <f>R3891-V3891</f>
        <v/>
      </c>
    </row>
    <row r="3892">
      <c r="A3892" s="3" t="n">
        <v>44172</v>
      </c>
      <c r="B3892">
        <f>Prices!B3892</f>
        <v/>
      </c>
      <c r="C3892">
        <f>Prices!C3892</f>
        <v/>
      </c>
      <c r="D3892">
        <f>Prices!D3892</f>
        <v/>
      </c>
      <c r="E3892">
        <f>Prices!E3892</f>
        <v/>
      </c>
      <c r="F3892">
        <f>Prices!F3892</f>
        <v/>
      </c>
      <c r="G3892">
        <f>IF(AND(3890&gt;=16,TEXT(A3892,"yyyy-mm")&lt;&gt;TEXT(A3893,"yyyy-mm")),1,0)</f>
        <v/>
      </c>
      <c r="H3892">
        <f>IF(OR(H3891=1,G3892=1),1,0)</f>
        <v/>
      </c>
      <c r="I3892">
        <f>IF(H3891=0,1,SUMPRODUCT(J3891:N3891,B3892:F3892)+O3891*(1+0.00023125256064071564))</f>
        <v/>
      </c>
      <c r="J3892">
        <f>IF(G3892=1,0.2*R3892/B3892,J3891)</f>
        <v/>
      </c>
      <c r="K3892">
        <f>IF(G3892=1,0.2*R3892/C3892,K3891)</f>
        <v/>
      </c>
      <c r="L3892">
        <f>IF(G3892=1,0.2*R3892/D3892,L3891)</f>
        <v/>
      </c>
      <c r="M3892">
        <f>IF(G3892=1,0.2*R3892/E3892,M3891)</f>
        <v/>
      </c>
      <c r="N3892">
        <f>IF(G3892=1,0.2*R3892/F3892,N3891)</f>
        <v/>
      </c>
      <c r="O3892">
        <f>IF(G3892=1,R3892*(1-1.0),IF(H3891=0,1,O3891*(1+0.00023125256064071564)))</f>
        <v/>
      </c>
      <c r="P3892">
        <f>IF(G3892=1,IF(H3891=0,1,ABS(0.2-J3891*B3892/I3892)+ABS(0.2-K3891*C3892/I3892)+ABS(0.2-L3891*D3892/I3892)+ABS(0.2-M3891*E3892/I3892)+ABS(0.2-N3891*F3892/I3892)),0)</f>
        <v/>
      </c>
      <c r="Q3892">
        <f>P3892*0.0015</f>
        <v/>
      </c>
      <c r="R3892">
        <f>I3892*(1-Q3892)</f>
        <v/>
      </c>
      <c r="S3892">
        <f>R3892/R3891-1</f>
        <v/>
      </c>
      <c r="T3892">
        <f>MAX(T3891,R3892)</f>
        <v/>
      </c>
      <c r="U3892">
        <f>R3892/T3892-1</f>
        <v/>
      </c>
      <c r="V3892" t="n">
        <v>10.65175189435274</v>
      </c>
      <c r="W3892" s="5">
        <f>R3892-V3892</f>
        <v/>
      </c>
    </row>
    <row r="3893">
      <c r="A3893" s="3" t="n">
        <v>44173</v>
      </c>
      <c r="B3893">
        <f>Prices!B3893</f>
        <v/>
      </c>
      <c r="C3893">
        <f>Prices!C3893</f>
        <v/>
      </c>
      <c r="D3893">
        <f>Prices!D3893</f>
        <v/>
      </c>
      <c r="E3893">
        <f>Prices!E3893</f>
        <v/>
      </c>
      <c r="F3893">
        <f>Prices!F3893</f>
        <v/>
      </c>
      <c r="G3893">
        <f>IF(AND(3891&gt;=16,TEXT(A3893,"yyyy-mm")&lt;&gt;TEXT(A3894,"yyyy-mm")),1,0)</f>
        <v/>
      </c>
      <c r="H3893">
        <f>IF(OR(H3892=1,G3893=1),1,0)</f>
        <v/>
      </c>
      <c r="I3893">
        <f>IF(H3892=0,1,SUMPRODUCT(J3892:N3892,B3893:F3893)+O3892*(1+0.00023125256064071564))</f>
        <v/>
      </c>
      <c r="J3893">
        <f>IF(G3893=1,0.2*R3893/B3893,J3892)</f>
        <v/>
      </c>
      <c r="K3893">
        <f>IF(G3893=1,0.2*R3893/C3893,K3892)</f>
        <v/>
      </c>
      <c r="L3893">
        <f>IF(G3893=1,0.2*R3893/D3893,L3892)</f>
        <v/>
      </c>
      <c r="M3893">
        <f>IF(G3893=1,0.2*R3893/E3893,M3892)</f>
        <v/>
      </c>
      <c r="N3893">
        <f>IF(G3893=1,0.2*R3893/F3893,N3892)</f>
        <v/>
      </c>
      <c r="O3893">
        <f>IF(G3893=1,R3893*(1-1.0),IF(H3892=0,1,O3892*(1+0.00023125256064071564)))</f>
        <v/>
      </c>
      <c r="P3893">
        <f>IF(G3893=1,IF(H3892=0,1,ABS(0.2-J3892*B3893/I3893)+ABS(0.2-K3892*C3893/I3893)+ABS(0.2-L3892*D3893/I3893)+ABS(0.2-M3892*E3893/I3893)+ABS(0.2-N3892*F3893/I3893)),0)</f>
        <v/>
      </c>
      <c r="Q3893">
        <f>P3893*0.0015</f>
        <v/>
      </c>
      <c r="R3893">
        <f>I3893*(1-Q3893)</f>
        <v/>
      </c>
      <c r="S3893">
        <f>R3893/R3892-1</f>
        <v/>
      </c>
      <c r="T3893">
        <f>MAX(T3892,R3893)</f>
        <v/>
      </c>
      <c r="U3893">
        <f>R3893/T3893-1</f>
        <v/>
      </c>
      <c r="V3893" t="n">
        <v>10.62152267718441</v>
      </c>
      <c r="W3893" s="5">
        <f>R3893-V3893</f>
        <v/>
      </c>
    </row>
    <row r="3894">
      <c r="A3894" s="3" t="n">
        <v>44174</v>
      </c>
      <c r="B3894">
        <f>Prices!B3894</f>
        <v/>
      </c>
      <c r="C3894">
        <f>Prices!C3894</f>
        <v/>
      </c>
      <c r="D3894">
        <f>Prices!D3894</f>
        <v/>
      </c>
      <c r="E3894">
        <f>Prices!E3894</f>
        <v/>
      </c>
      <c r="F3894">
        <f>Prices!F3894</f>
        <v/>
      </c>
      <c r="G3894">
        <f>IF(AND(3892&gt;=16,TEXT(A3894,"yyyy-mm")&lt;&gt;TEXT(A3895,"yyyy-mm")),1,0)</f>
        <v/>
      </c>
      <c r="H3894">
        <f>IF(OR(H3893=1,G3894=1),1,0)</f>
        <v/>
      </c>
      <c r="I3894">
        <f>IF(H3893=0,1,SUMPRODUCT(J3893:N3893,B3894:F3894)+O3893*(1+0.00023125256064071564))</f>
        <v/>
      </c>
      <c r="J3894">
        <f>IF(G3894=1,0.2*R3894/B3894,J3893)</f>
        <v/>
      </c>
      <c r="K3894">
        <f>IF(G3894=1,0.2*R3894/C3894,K3893)</f>
        <v/>
      </c>
      <c r="L3894">
        <f>IF(G3894=1,0.2*R3894/D3894,L3893)</f>
        <v/>
      </c>
      <c r="M3894">
        <f>IF(G3894=1,0.2*R3894/E3894,M3893)</f>
        <v/>
      </c>
      <c r="N3894">
        <f>IF(G3894=1,0.2*R3894/F3894,N3893)</f>
        <v/>
      </c>
      <c r="O3894">
        <f>IF(G3894=1,R3894*(1-1.0),IF(H3893=0,1,O3893*(1+0.00023125256064071564)))</f>
        <v/>
      </c>
      <c r="P3894">
        <f>IF(G3894=1,IF(H3893=0,1,ABS(0.2-J3893*B3894/I3894)+ABS(0.2-K3893*C3894/I3894)+ABS(0.2-L3893*D3894/I3894)+ABS(0.2-M3893*E3894/I3894)+ABS(0.2-N3893*F3894/I3894)),0)</f>
        <v/>
      </c>
      <c r="Q3894">
        <f>P3894*0.0015</f>
        <v/>
      </c>
      <c r="R3894">
        <f>I3894*(1-Q3894)</f>
        <v/>
      </c>
      <c r="S3894">
        <f>R3894/R3893-1</f>
        <v/>
      </c>
      <c r="T3894">
        <f>MAX(T3893,R3894)</f>
        <v/>
      </c>
      <c r="U3894">
        <f>R3894/T3894-1</f>
        <v/>
      </c>
      <c r="V3894" t="n">
        <v>10.68362876742969</v>
      </c>
      <c r="W3894" s="5">
        <f>R3894-V3894</f>
        <v/>
      </c>
    </row>
    <row r="3895">
      <c r="A3895" s="3" t="n">
        <v>44175</v>
      </c>
      <c r="B3895">
        <f>Prices!B3895</f>
        <v/>
      </c>
      <c r="C3895">
        <f>Prices!C3895</f>
        <v/>
      </c>
      <c r="D3895">
        <f>Prices!D3895</f>
        <v/>
      </c>
      <c r="E3895">
        <f>Prices!E3895</f>
        <v/>
      </c>
      <c r="F3895">
        <f>Prices!F3895</f>
        <v/>
      </c>
      <c r="G3895">
        <f>IF(AND(3893&gt;=16,TEXT(A3895,"yyyy-mm")&lt;&gt;TEXT(A3896,"yyyy-mm")),1,0)</f>
        <v/>
      </c>
      <c r="H3895">
        <f>IF(OR(H3894=1,G3895=1),1,0)</f>
        <v/>
      </c>
      <c r="I3895">
        <f>IF(H3894=0,1,SUMPRODUCT(J3894:N3894,B3895:F3895)+O3894*(1+0.00023125256064071564))</f>
        <v/>
      </c>
      <c r="J3895">
        <f>IF(G3895=1,0.2*R3895/B3895,J3894)</f>
        <v/>
      </c>
      <c r="K3895">
        <f>IF(G3895=1,0.2*R3895/C3895,K3894)</f>
        <v/>
      </c>
      <c r="L3895">
        <f>IF(G3895=1,0.2*R3895/D3895,L3894)</f>
        <v/>
      </c>
      <c r="M3895">
        <f>IF(G3895=1,0.2*R3895/E3895,M3894)</f>
        <v/>
      </c>
      <c r="N3895">
        <f>IF(G3895=1,0.2*R3895/F3895,N3894)</f>
        <v/>
      </c>
      <c r="O3895">
        <f>IF(G3895=1,R3895*(1-1.0),IF(H3894=0,1,O3894*(1+0.00023125256064071564)))</f>
        <v/>
      </c>
      <c r="P3895">
        <f>IF(G3895=1,IF(H3894=0,1,ABS(0.2-J3894*B3895/I3895)+ABS(0.2-K3894*C3895/I3895)+ABS(0.2-L3894*D3895/I3895)+ABS(0.2-M3894*E3895/I3895)+ABS(0.2-N3894*F3895/I3895)),0)</f>
        <v/>
      </c>
      <c r="Q3895">
        <f>P3895*0.0015</f>
        <v/>
      </c>
      <c r="R3895">
        <f>I3895*(1-Q3895)</f>
        <v/>
      </c>
      <c r="S3895">
        <f>R3895/R3894-1</f>
        <v/>
      </c>
      <c r="T3895">
        <f>MAX(T3894,R3895)</f>
        <v/>
      </c>
      <c r="U3895">
        <f>R3895/T3895-1</f>
        <v/>
      </c>
      <c r="V3895" t="n">
        <v>10.6883970040931</v>
      </c>
      <c r="W3895" s="5">
        <f>R3895-V3895</f>
        <v/>
      </c>
    </row>
    <row r="3896">
      <c r="A3896" s="3" t="n">
        <v>44176</v>
      </c>
      <c r="B3896">
        <f>Prices!B3896</f>
        <v/>
      </c>
      <c r="C3896">
        <f>Prices!C3896</f>
        <v/>
      </c>
      <c r="D3896">
        <f>Prices!D3896</f>
        <v/>
      </c>
      <c r="E3896">
        <f>Prices!E3896</f>
        <v/>
      </c>
      <c r="F3896">
        <f>Prices!F3896</f>
        <v/>
      </c>
      <c r="G3896">
        <f>IF(AND(3894&gt;=16,TEXT(A3896,"yyyy-mm")&lt;&gt;TEXT(A3897,"yyyy-mm")),1,0)</f>
        <v/>
      </c>
      <c r="H3896">
        <f>IF(OR(H3895=1,G3896=1),1,0)</f>
        <v/>
      </c>
      <c r="I3896">
        <f>IF(H3895=0,1,SUMPRODUCT(J3895:N3895,B3896:F3896)+O3895*(1+0.00023125256064071564))</f>
        <v/>
      </c>
      <c r="J3896">
        <f>IF(G3896=1,0.2*R3896/B3896,J3895)</f>
        <v/>
      </c>
      <c r="K3896">
        <f>IF(G3896=1,0.2*R3896/C3896,K3895)</f>
        <v/>
      </c>
      <c r="L3896">
        <f>IF(G3896=1,0.2*R3896/D3896,L3895)</f>
        <v/>
      </c>
      <c r="M3896">
        <f>IF(G3896=1,0.2*R3896/E3896,M3895)</f>
        <v/>
      </c>
      <c r="N3896">
        <f>IF(G3896=1,0.2*R3896/F3896,N3895)</f>
        <v/>
      </c>
      <c r="O3896">
        <f>IF(G3896=1,R3896*(1-1.0),IF(H3895=0,1,O3895*(1+0.00023125256064071564)))</f>
        <v/>
      </c>
      <c r="P3896">
        <f>IF(G3896=1,IF(H3895=0,1,ABS(0.2-J3895*B3896/I3896)+ABS(0.2-K3895*C3896/I3896)+ABS(0.2-L3895*D3896/I3896)+ABS(0.2-M3895*E3896/I3896)+ABS(0.2-N3895*F3896/I3896)),0)</f>
        <v/>
      </c>
      <c r="Q3896">
        <f>P3896*0.0015</f>
        <v/>
      </c>
      <c r="R3896">
        <f>I3896*(1-Q3896)</f>
        <v/>
      </c>
      <c r="S3896">
        <f>R3896/R3895-1</f>
        <v/>
      </c>
      <c r="T3896">
        <f>MAX(T3895,R3896)</f>
        <v/>
      </c>
      <c r="U3896">
        <f>R3896/T3896-1</f>
        <v/>
      </c>
      <c r="V3896" t="n">
        <v>10.72234719274188</v>
      </c>
      <c r="W3896" s="5">
        <f>R3896-V3896</f>
        <v/>
      </c>
    </row>
    <row r="3897">
      <c r="A3897" s="3" t="n">
        <v>44179</v>
      </c>
      <c r="B3897">
        <f>Prices!B3897</f>
        <v/>
      </c>
      <c r="C3897">
        <f>Prices!C3897</f>
        <v/>
      </c>
      <c r="D3897">
        <f>Prices!D3897</f>
        <v/>
      </c>
      <c r="E3897">
        <f>Prices!E3897</f>
        <v/>
      </c>
      <c r="F3897">
        <f>Prices!F3897</f>
        <v/>
      </c>
      <c r="G3897">
        <f>IF(AND(3895&gt;=16,TEXT(A3897,"yyyy-mm")&lt;&gt;TEXT(A3898,"yyyy-mm")),1,0)</f>
        <v/>
      </c>
      <c r="H3897">
        <f>IF(OR(H3896=1,G3897=1),1,0)</f>
        <v/>
      </c>
      <c r="I3897">
        <f>IF(H3896=0,1,SUMPRODUCT(J3896:N3896,B3897:F3897)+O3896*(1+0.00023125256064071564))</f>
        <v/>
      </c>
      <c r="J3897">
        <f>IF(G3897=1,0.2*R3897/B3897,J3896)</f>
        <v/>
      </c>
      <c r="K3897">
        <f>IF(G3897=1,0.2*R3897/C3897,K3896)</f>
        <v/>
      </c>
      <c r="L3897">
        <f>IF(G3897=1,0.2*R3897/D3897,L3896)</f>
        <v/>
      </c>
      <c r="M3897">
        <f>IF(G3897=1,0.2*R3897/E3897,M3896)</f>
        <v/>
      </c>
      <c r="N3897">
        <f>IF(G3897=1,0.2*R3897/F3897,N3896)</f>
        <v/>
      </c>
      <c r="O3897">
        <f>IF(G3897=1,R3897*(1-1.0),IF(H3896=0,1,O3896*(1+0.00023125256064071564)))</f>
        <v/>
      </c>
      <c r="P3897">
        <f>IF(G3897=1,IF(H3896=0,1,ABS(0.2-J3896*B3897/I3897)+ABS(0.2-K3896*C3897/I3897)+ABS(0.2-L3896*D3897/I3897)+ABS(0.2-M3896*E3897/I3897)+ABS(0.2-N3896*F3897/I3897)),0)</f>
        <v/>
      </c>
      <c r="Q3897">
        <f>P3897*0.0015</f>
        <v/>
      </c>
      <c r="R3897">
        <f>I3897*(1-Q3897)</f>
        <v/>
      </c>
      <c r="S3897">
        <f>R3897/R3896-1</f>
        <v/>
      </c>
      <c r="T3897">
        <f>MAX(T3896,R3897)</f>
        <v/>
      </c>
      <c r="U3897">
        <f>R3897/T3897-1</f>
        <v/>
      </c>
      <c r="V3897" t="n">
        <v>10.80469763110593</v>
      </c>
      <c r="W3897" s="5">
        <f>R3897-V3897</f>
        <v/>
      </c>
    </row>
    <row r="3898">
      <c r="A3898" s="3" t="n">
        <v>44180</v>
      </c>
      <c r="B3898">
        <f>Prices!B3898</f>
        <v/>
      </c>
      <c r="C3898">
        <f>Prices!C3898</f>
        <v/>
      </c>
      <c r="D3898">
        <f>Prices!D3898</f>
        <v/>
      </c>
      <c r="E3898">
        <f>Prices!E3898</f>
        <v/>
      </c>
      <c r="F3898">
        <f>Prices!F3898</f>
        <v/>
      </c>
      <c r="G3898">
        <f>IF(AND(3896&gt;=16,TEXT(A3898,"yyyy-mm")&lt;&gt;TEXT(A3899,"yyyy-mm")),1,0)</f>
        <v/>
      </c>
      <c r="H3898">
        <f>IF(OR(H3897=1,G3898=1),1,0)</f>
        <v/>
      </c>
      <c r="I3898">
        <f>IF(H3897=0,1,SUMPRODUCT(J3897:N3897,B3898:F3898)+O3897*(1+0.00023125256064071564))</f>
        <v/>
      </c>
      <c r="J3898">
        <f>IF(G3898=1,0.2*R3898/B3898,J3897)</f>
        <v/>
      </c>
      <c r="K3898">
        <f>IF(G3898=1,0.2*R3898/C3898,K3897)</f>
        <v/>
      </c>
      <c r="L3898">
        <f>IF(G3898=1,0.2*R3898/D3898,L3897)</f>
        <v/>
      </c>
      <c r="M3898">
        <f>IF(G3898=1,0.2*R3898/E3898,M3897)</f>
        <v/>
      </c>
      <c r="N3898">
        <f>IF(G3898=1,0.2*R3898/F3898,N3897)</f>
        <v/>
      </c>
      <c r="O3898">
        <f>IF(G3898=1,R3898*(1-1.0),IF(H3897=0,1,O3897*(1+0.00023125256064071564)))</f>
        <v/>
      </c>
      <c r="P3898">
        <f>IF(G3898=1,IF(H3897=0,1,ABS(0.2-J3897*B3898/I3898)+ABS(0.2-K3897*C3898/I3898)+ABS(0.2-L3897*D3898/I3898)+ABS(0.2-M3897*E3898/I3898)+ABS(0.2-N3897*F3898/I3898)),0)</f>
        <v/>
      </c>
      <c r="Q3898">
        <f>P3898*0.0015</f>
        <v/>
      </c>
      <c r="R3898">
        <f>I3898*(1-Q3898)</f>
        <v/>
      </c>
      <c r="S3898">
        <f>R3898/R3897-1</f>
        <v/>
      </c>
      <c r="T3898">
        <f>MAX(T3897,R3898)</f>
        <v/>
      </c>
      <c r="U3898">
        <f>R3898/T3898-1</f>
        <v/>
      </c>
      <c r="V3898" t="n">
        <v>10.79471830359244</v>
      </c>
      <c r="W3898" s="5">
        <f>R3898-V3898</f>
        <v/>
      </c>
    </row>
    <row r="3899">
      <c r="A3899" s="3" t="n">
        <v>44181</v>
      </c>
      <c r="B3899">
        <f>Prices!B3899</f>
        <v/>
      </c>
      <c r="C3899">
        <f>Prices!C3899</f>
        <v/>
      </c>
      <c r="D3899">
        <f>Prices!D3899</f>
        <v/>
      </c>
      <c r="E3899">
        <f>Prices!E3899</f>
        <v/>
      </c>
      <c r="F3899">
        <f>Prices!F3899</f>
        <v/>
      </c>
      <c r="G3899">
        <f>IF(AND(3897&gt;=16,TEXT(A3899,"yyyy-mm")&lt;&gt;TEXT(A3900,"yyyy-mm")),1,0)</f>
        <v/>
      </c>
      <c r="H3899">
        <f>IF(OR(H3898=1,G3899=1),1,0)</f>
        <v/>
      </c>
      <c r="I3899">
        <f>IF(H3898=0,1,SUMPRODUCT(J3898:N3898,B3899:F3899)+O3898*(1+0.00023125256064071564))</f>
        <v/>
      </c>
      <c r="J3899">
        <f>IF(G3899=1,0.2*R3899/B3899,J3898)</f>
        <v/>
      </c>
      <c r="K3899">
        <f>IF(G3899=1,0.2*R3899/C3899,K3898)</f>
        <v/>
      </c>
      <c r="L3899">
        <f>IF(G3899=1,0.2*R3899/D3899,L3898)</f>
        <v/>
      </c>
      <c r="M3899">
        <f>IF(G3899=1,0.2*R3899/E3899,M3898)</f>
        <v/>
      </c>
      <c r="N3899">
        <f>IF(G3899=1,0.2*R3899/F3899,N3898)</f>
        <v/>
      </c>
      <c r="O3899">
        <f>IF(G3899=1,R3899*(1-1.0),IF(H3898=0,1,O3898*(1+0.00023125256064071564)))</f>
        <v/>
      </c>
      <c r="P3899">
        <f>IF(G3899=1,IF(H3898=0,1,ABS(0.2-J3898*B3899/I3899)+ABS(0.2-K3898*C3899/I3899)+ABS(0.2-L3898*D3899/I3899)+ABS(0.2-M3898*E3899/I3899)+ABS(0.2-N3898*F3899/I3899)),0)</f>
        <v/>
      </c>
      <c r="Q3899">
        <f>P3899*0.0015</f>
        <v/>
      </c>
      <c r="R3899">
        <f>I3899*(1-Q3899)</f>
        <v/>
      </c>
      <c r="S3899">
        <f>R3899/R3898-1</f>
        <v/>
      </c>
      <c r="T3899">
        <f>MAX(T3898,R3899)</f>
        <v/>
      </c>
      <c r="U3899">
        <f>R3899/T3899-1</f>
        <v/>
      </c>
      <c r="V3899" t="n">
        <v>10.90550468454013</v>
      </c>
      <c r="W3899" s="5">
        <f>R3899-V3899</f>
        <v/>
      </c>
    </row>
    <row r="3900">
      <c r="A3900" s="3" t="n">
        <v>44182</v>
      </c>
      <c r="B3900">
        <f>Prices!B3900</f>
        <v/>
      </c>
      <c r="C3900">
        <f>Prices!C3900</f>
        <v/>
      </c>
      <c r="D3900">
        <f>Prices!D3900</f>
        <v/>
      </c>
      <c r="E3900">
        <f>Prices!E3900</f>
        <v/>
      </c>
      <c r="F3900">
        <f>Prices!F3900</f>
        <v/>
      </c>
      <c r="G3900">
        <f>IF(AND(3898&gt;=16,TEXT(A3900,"yyyy-mm")&lt;&gt;TEXT(A3901,"yyyy-mm")),1,0)</f>
        <v/>
      </c>
      <c r="H3900">
        <f>IF(OR(H3899=1,G3900=1),1,0)</f>
        <v/>
      </c>
      <c r="I3900">
        <f>IF(H3899=0,1,SUMPRODUCT(J3899:N3899,B3900:F3900)+O3899*(1+0.00023125256064071564))</f>
        <v/>
      </c>
      <c r="J3900">
        <f>IF(G3900=1,0.2*R3900/B3900,J3899)</f>
        <v/>
      </c>
      <c r="K3900">
        <f>IF(G3900=1,0.2*R3900/C3900,K3899)</f>
        <v/>
      </c>
      <c r="L3900">
        <f>IF(G3900=1,0.2*R3900/D3900,L3899)</f>
        <v/>
      </c>
      <c r="M3900">
        <f>IF(G3900=1,0.2*R3900/E3900,M3899)</f>
        <v/>
      </c>
      <c r="N3900">
        <f>IF(G3900=1,0.2*R3900/F3900,N3899)</f>
        <v/>
      </c>
      <c r="O3900">
        <f>IF(G3900=1,R3900*(1-1.0),IF(H3899=0,1,O3899*(1+0.00023125256064071564)))</f>
        <v/>
      </c>
      <c r="P3900">
        <f>IF(G3900=1,IF(H3899=0,1,ABS(0.2-J3899*B3900/I3900)+ABS(0.2-K3899*C3900/I3900)+ABS(0.2-L3899*D3900/I3900)+ABS(0.2-M3899*E3900/I3900)+ABS(0.2-N3899*F3900/I3900)),0)</f>
        <v/>
      </c>
      <c r="Q3900">
        <f>P3900*0.0015</f>
        <v/>
      </c>
      <c r="R3900">
        <f>I3900*(1-Q3900)</f>
        <v/>
      </c>
      <c r="S3900">
        <f>R3900/R3899-1</f>
        <v/>
      </c>
      <c r="T3900">
        <f>MAX(T3899,R3900)</f>
        <v/>
      </c>
      <c r="U3900">
        <f>R3900/T3900-1</f>
        <v/>
      </c>
      <c r="V3900" t="n">
        <v>10.90949921879465</v>
      </c>
      <c r="W3900" s="5">
        <f>R3900-V3900</f>
        <v/>
      </c>
    </row>
    <row r="3901">
      <c r="A3901" s="3" t="n">
        <v>44183</v>
      </c>
      <c r="B3901">
        <f>Prices!B3901</f>
        <v/>
      </c>
      <c r="C3901">
        <f>Prices!C3901</f>
        <v/>
      </c>
      <c r="D3901">
        <f>Prices!D3901</f>
        <v/>
      </c>
      <c r="E3901">
        <f>Prices!E3901</f>
        <v/>
      </c>
      <c r="F3901">
        <f>Prices!F3901</f>
        <v/>
      </c>
      <c r="G3901">
        <f>IF(AND(3899&gt;=16,TEXT(A3901,"yyyy-mm")&lt;&gt;TEXT(A3902,"yyyy-mm")),1,0)</f>
        <v/>
      </c>
      <c r="H3901">
        <f>IF(OR(H3900=1,G3901=1),1,0)</f>
        <v/>
      </c>
      <c r="I3901">
        <f>IF(H3900=0,1,SUMPRODUCT(J3900:N3900,B3901:F3901)+O3900*(1+0.00023125256064071564))</f>
        <v/>
      </c>
      <c r="J3901">
        <f>IF(G3901=1,0.2*R3901/B3901,J3900)</f>
        <v/>
      </c>
      <c r="K3901">
        <f>IF(G3901=1,0.2*R3901/C3901,K3900)</f>
        <v/>
      </c>
      <c r="L3901">
        <f>IF(G3901=1,0.2*R3901/D3901,L3900)</f>
        <v/>
      </c>
      <c r="M3901">
        <f>IF(G3901=1,0.2*R3901/E3901,M3900)</f>
        <v/>
      </c>
      <c r="N3901">
        <f>IF(G3901=1,0.2*R3901/F3901,N3900)</f>
        <v/>
      </c>
      <c r="O3901">
        <f>IF(G3901=1,R3901*(1-1.0),IF(H3900=0,1,O3900*(1+0.00023125256064071564)))</f>
        <v/>
      </c>
      <c r="P3901">
        <f>IF(G3901=1,IF(H3900=0,1,ABS(0.2-J3900*B3901/I3901)+ABS(0.2-K3900*C3901/I3901)+ABS(0.2-L3900*D3901/I3901)+ABS(0.2-M3900*E3901/I3901)+ABS(0.2-N3900*F3901/I3901)),0)</f>
        <v/>
      </c>
      <c r="Q3901">
        <f>P3901*0.0015</f>
        <v/>
      </c>
      <c r="R3901">
        <f>I3901*(1-Q3901)</f>
        <v/>
      </c>
      <c r="S3901">
        <f>R3901/R3900-1</f>
        <v/>
      </c>
      <c r="T3901">
        <f>MAX(T3900,R3901)</f>
        <v/>
      </c>
      <c r="U3901">
        <f>R3901/T3901-1</f>
        <v/>
      </c>
      <c r="V3901" t="n">
        <v>10.92746263934099</v>
      </c>
      <c r="W3901" s="5">
        <f>R3901-V3901</f>
        <v/>
      </c>
    </row>
    <row r="3902">
      <c r="A3902" s="3" t="n">
        <v>44186</v>
      </c>
      <c r="B3902">
        <f>Prices!B3902</f>
        <v/>
      </c>
      <c r="C3902">
        <f>Prices!C3902</f>
        <v/>
      </c>
      <c r="D3902">
        <f>Prices!D3902</f>
        <v/>
      </c>
      <c r="E3902">
        <f>Prices!E3902</f>
        <v/>
      </c>
      <c r="F3902">
        <f>Prices!F3902</f>
        <v/>
      </c>
      <c r="G3902">
        <f>IF(AND(3900&gt;=16,TEXT(A3902,"yyyy-mm")&lt;&gt;TEXT(A3903,"yyyy-mm")),1,0)</f>
        <v/>
      </c>
      <c r="H3902">
        <f>IF(OR(H3901=1,G3902=1),1,0)</f>
        <v/>
      </c>
      <c r="I3902">
        <f>IF(H3901=0,1,SUMPRODUCT(J3901:N3901,B3902:F3902)+O3901*(1+0.00023125256064071564))</f>
        <v/>
      </c>
      <c r="J3902">
        <f>IF(G3902=1,0.2*R3902/B3902,J3901)</f>
        <v/>
      </c>
      <c r="K3902">
        <f>IF(G3902=1,0.2*R3902/C3902,K3901)</f>
        <v/>
      </c>
      <c r="L3902">
        <f>IF(G3902=1,0.2*R3902/D3902,L3901)</f>
        <v/>
      </c>
      <c r="M3902">
        <f>IF(G3902=1,0.2*R3902/E3902,M3901)</f>
        <v/>
      </c>
      <c r="N3902">
        <f>IF(G3902=1,0.2*R3902/F3902,N3901)</f>
        <v/>
      </c>
      <c r="O3902">
        <f>IF(G3902=1,R3902*(1-1.0),IF(H3901=0,1,O3901*(1+0.00023125256064071564)))</f>
        <v/>
      </c>
      <c r="P3902">
        <f>IF(G3902=1,IF(H3901=0,1,ABS(0.2-J3901*B3902/I3902)+ABS(0.2-K3901*C3902/I3902)+ABS(0.2-L3901*D3902/I3902)+ABS(0.2-M3901*E3902/I3902)+ABS(0.2-N3901*F3902/I3902)),0)</f>
        <v/>
      </c>
      <c r="Q3902">
        <f>P3902*0.0015</f>
        <v/>
      </c>
      <c r="R3902">
        <f>I3902*(1-Q3902)</f>
        <v/>
      </c>
      <c r="S3902">
        <f>R3902/R3901-1</f>
        <v/>
      </c>
      <c r="T3902">
        <f>MAX(T3901,R3902)</f>
        <v/>
      </c>
      <c r="U3902">
        <f>R3902/T3902-1</f>
        <v/>
      </c>
      <c r="V3902" t="n">
        <v>10.50113241874615</v>
      </c>
      <c r="W3902" s="5">
        <f>R3902-V3902</f>
        <v/>
      </c>
    </row>
    <row r="3903">
      <c r="A3903" s="3" t="n">
        <v>44187</v>
      </c>
      <c r="B3903">
        <f>Prices!B3903</f>
        <v/>
      </c>
      <c r="C3903">
        <f>Prices!C3903</f>
        <v/>
      </c>
      <c r="D3903">
        <f>Prices!D3903</f>
        <v/>
      </c>
      <c r="E3903">
        <f>Prices!E3903</f>
        <v/>
      </c>
      <c r="F3903">
        <f>Prices!F3903</f>
        <v/>
      </c>
      <c r="G3903">
        <f>IF(AND(3901&gt;=16,TEXT(A3903,"yyyy-mm")&lt;&gt;TEXT(A3904,"yyyy-mm")),1,0)</f>
        <v/>
      </c>
      <c r="H3903">
        <f>IF(OR(H3902=1,G3903=1),1,0)</f>
        <v/>
      </c>
      <c r="I3903">
        <f>IF(H3902=0,1,SUMPRODUCT(J3902:N3902,B3903:F3903)+O3902*(1+0.00023125256064071564))</f>
        <v/>
      </c>
      <c r="J3903">
        <f>IF(G3903=1,0.2*R3903/B3903,J3902)</f>
        <v/>
      </c>
      <c r="K3903">
        <f>IF(G3903=1,0.2*R3903/C3903,K3902)</f>
        <v/>
      </c>
      <c r="L3903">
        <f>IF(G3903=1,0.2*R3903/D3903,L3902)</f>
        <v/>
      </c>
      <c r="M3903">
        <f>IF(G3903=1,0.2*R3903/E3903,M3902)</f>
        <v/>
      </c>
      <c r="N3903">
        <f>IF(G3903=1,0.2*R3903/F3903,N3902)</f>
        <v/>
      </c>
      <c r="O3903">
        <f>IF(G3903=1,R3903*(1-1.0),IF(H3902=0,1,O3902*(1+0.00023125256064071564)))</f>
        <v/>
      </c>
      <c r="P3903">
        <f>IF(G3903=1,IF(H3902=0,1,ABS(0.2-J3902*B3903/I3903)+ABS(0.2-K3902*C3903/I3903)+ABS(0.2-L3902*D3903/I3903)+ABS(0.2-M3902*E3903/I3903)+ABS(0.2-N3902*F3903/I3903)),0)</f>
        <v/>
      </c>
      <c r="Q3903">
        <f>P3903*0.0015</f>
        <v/>
      </c>
      <c r="R3903">
        <f>I3903*(1-Q3903)</f>
        <v/>
      </c>
      <c r="S3903">
        <f>R3903/R3902-1</f>
        <v/>
      </c>
      <c r="T3903">
        <f>MAX(T3902,R3903)</f>
        <v/>
      </c>
      <c r="U3903">
        <f>R3903/T3903-1</f>
        <v/>
      </c>
      <c r="V3903" t="n">
        <v>10.6461577266606</v>
      </c>
      <c r="W3903" s="5">
        <f>R3903-V3903</f>
        <v/>
      </c>
    </row>
    <row r="3904">
      <c r="A3904" s="3" t="n">
        <v>44188</v>
      </c>
      <c r="B3904">
        <f>Prices!B3904</f>
        <v/>
      </c>
      <c r="C3904">
        <f>Prices!C3904</f>
        <v/>
      </c>
      <c r="D3904">
        <f>Prices!D3904</f>
        <v/>
      </c>
      <c r="E3904">
        <f>Prices!E3904</f>
        <v/>
      </c>
      <c r="F3904">
        <f>Prices!F3904</f>
        <v/>
      </c>
      <c r="G3904">
        <f>IF(AND(3902&gt;=16,TEXT(A3904,"yyyy-mm")&lt;&gt;TEXT(A3905,"yyyy-mm")),1,0)</f>
        <v/>
      </c>
      <c r="H3904">
        <f>IF(OR(H3903=1,G3904=1),1,0)</f>
        <v/>
      </c>
      <c r="I3904">
        <f>IF(H3903=0,1,SUMPRODUCT(J3903:N3903,B3904:F3904)+O3903*(1+0.00023125256064071564))</f>
        <v/>
      </c>
      <c r="J3904">
        <f>IF(G3904=1,0.2*R3904/B3904,J3903)</f>
        <v/>
      </c>
      <c r="K3904">
        <f>IF(G3904=1,0.2*R3904/C3904,K3903)</f>
        <v/>
      </c>
      <c r="L3904">
        <f>IF(G3904=1,0.2*R3904/D3904,L3903)</f>
        <v/>
      </c>
      <c r="M3904">
        <f>IF(G3904=1,0.2*R3904/E3904,M3903)</f>
        <v/>
      </c>
      <c r="N3904">
        <f>IF(G3904=1,0.2*R3904/F3904,N3903)</f>
        <v/>
      </c>
      <c r="O3904">
        <f>IF(G3904=1,R3904*(1-1.0),IF(H3903=0,1,O3903*(1+0.00023125256064071564)))</f>
        <v/>
      </c>
      <c r="P3904">
        <f>IF(G3904=1,IF(H3903=0,1,ABS(0.2-J3903*B3904/I3904)+ABS(0.2-K3903*C3904/I3904)+ABS(0.2-L3903*D3904/I3904)+ABS(0.2-M3903*E3904/I3904)+ABS(0.2-N3903*F3904/I3904)),0)</f>
        <v/>
      </c>
      <c r="Q3904">
        <f>P3904*0.0015</f>
        <v/>
      </c>
      <c r="R3904">
        <f>I3904*(1-Q3904)</f>
        <v/>
      </c>
      <c r="S3904">
        <f>R3904/R3903-1</f>
        <v/>
      </c>
      <c r="T3904">
        <f>MAX(T3903,R3904)</f>
        <v/>
      </c>
      <c r="U3904">
        <f>R3904/T3904-1</f>
        <v/>
      </c>
      <c r="V3904" t="n">
        <v>10.82785115132647</v>
      </c>
      <c r="W3904" s="5">
        <f>R3904-V3904</f>
        <v/>
      </c>
    </row>
    <row r="3905">
      <c r="A3905" s="3" t="n">
        <v>44189</v>
      </c>
      <c r="B3905">
        <f>Prices!B3905</f>
        <v/>
      </c>
      <c r="C3905">
        <f>Prices!C3905</f>
        <v/>
      </c>
      <c r="D3905">
        <f>Prices!D3905</f>
        <v/>
      </c>
      <c r="E3905">
        <f>Prices!E3905</f>
        <v/>
      </c>
      <c r="F3905">
        <f>Prices!F3905</f>
        <v/>
      </c>
      <c r="G3905">
        <f>IF(AND(3903&gt;=16,TEXT(A3905,"yyyy-mm")&lt;&gt;TEXT(A3906,"yyyy-mm")),1,0)</f>
        <v/>
      </c>
      <c r="H3905">
        <f>IF(OR(H3904=1,G3905=1),1,0)</f>
        <v/>
      </c>
      <c r="I3905">
        <f>IF(H3904=0,1,SUMPRODUCT(J3904:N3904,B3905:F3905)+O3904*(1+0.00023125256064071564))</f>
        <v/>
      </c>
      <c r="J3905">
        <f>IF(G3905=1,0.2*R3905/B3905,J3904)</f>
        <v/>
      </c>
      <c r="K3905">
        <f>IF(G3905=1,0.2*R3905/C3905,K3904)</f>
        <v/>
      </c>
      <c r="L3905">
        <f>IF(G3905=1,0.2*R3905/D3905,L3904)</f>
        <v/>
      </c>
      <c r="M3905">
        <f>IF(G3905=1,0.2*R3905/E3905,M3904)</f>
        <v/>
      </c>
      <c r="N3905">
        <f>IF(G3905=1,0.2*R3905/F3905,N3904)</f>
        <v/>
      </c>
      <c r="O3905">
        <f>IF(G3905=1,R3905*(1-1.0),IF(H3904=0,1,O3904*(1+0.00023125256064071564)))</f>
        <v/>
      </c>
      <c r="P3905">
        <f>IF(G3905=1,IF(H3904=0,1,ABS(0.2-J3904*B3905/I3905)+ABS(0.2-K3904*C3905/I3905)+ABS(0.2-L3904*D3905/I3905)+ABS(0.2-M3904*E3905/I3905)+ABS(0.2-N3904*F3905/I3905)),0)</f>
        <v/>
      </c>
      <c r="Q3905">
        <f>P3905*0.0015</f>
        <v/>
      </c>
      <c r="R3905">
        <f>I3905*(1-Q3905)</f>
        <v/>
      </c>
      <c r="S3905">
        <f>R3905/R3904-1</f>
        <v/>
      </c>
      <c r="T3905">
        <f>MAX(T3904,R3905)</f>
        <v/>
      </c>
      <c r="U3905">
        <f>R3905/T3905-1</f>
        <v/>
      </c>
      <c r="V3905" t="n">
        <v>10.89345162532211</v>
      </c>
      <c r="W3905" s="5">
        <f>R3905-V3905</f>
        <v/>
      </c>
    </row>
    <row r="3906">
      <c r="A3906" s="3" t="n">
        <v>44193</v>
      </c>
      <c r="B3906">
        <f>Prices!B3906</f>
        <v/>
      </c>
      <c r="C3906">
        <f>Prices!C3906</f>
        <v/>
      </c>
      <c r="D3906">
        <f>Prices!D3906</f>
        <v/>
      </c>
      <c r="E3906">
        <f>Prices!E3906</f>
        <v/>
      </c>
      <c r="F3906">
        <f>Prices!F3906</f>
        <v/>
      </c>
      <c r="G3906">
        <f>IF(AND(3904&gt;=16,TEXT(A3906,"yyyy-mm")&lt;&gt;TEXT(A3907,"yyyy-mm")),1,0)</f>
        <v/>
      </c>
      <c r="H3906">
        <f>IF(OR(H3905=1,G3906=1),1,0)</f>
        <v/>
      </c>
      <c r="I3906">
        <f>IF(H3905=0,1,SUMPRODUCT(J3905:N3905,B3906:F3906)+O3905*(1+0.00023125256064071564))</f>
        <v/>
      </c>
      <c r="J3906">
        <f>IF(G3906=1,0.2*R3906/B3906,J3905)</f>
        <v/>
      </c>
      <c r="K3906">
        <f>IF(G3906=1,0.2*R3906/C3906,K3905)</f>
        <v/>
      </c>
      <c r="L3906">
        <f>IF(G3906=1,0.2*R3906/D3906,L3905)</f>
        <v/>
      </c>
      <c r="M3906">
        <f>IF(G3906=1,0.2*R3906/E3906,M3905)</f>
        <v/>
      </c>
      <c r="N3906">
        <f>IF(G3906=1,0.2*R3906/F3906,N3905)</f>
        <v/>
      </c>
      <c r="O3906">
        <f>IF(G3906=1,R3906*(1-1.0),IF(H3905=0,1,O3905*(1+0.00023125256064071564)))</f>
        <v/>
      </c>
      <c r="P3906">
        <f>IF(G3906=1,IF(H3905=0,1,ABS(0.2-J3905*B3906/I3906)+ABS(0.2-K3905*C3906/I3906)+ABS(0.2-L3905*D3906/I3906)+ABS(0.2-M3905*E3906/I3906)+ABS(0.2-N3905*F3906/I3906)),0)</f>
        <v/>
      </c>
      <c r="Q3906">
        <f>P3906*0.0015</f>
        <v/>
      </c>
      <c r="R3906">
        <f>I3906*(1-Q3906)</f>
        <v/>
      </c>
      <c r="S3906">
        <f>R3906/R3905-1</f>
        <v/>
      </c>
      <c r="T3906">
        <f>MAX(T3905,R3906)</f>
        <v/>
      </c>
      <c r="U3906">
        <f>R3906/T3906-1</f>
        <v/>
      </c>
      <c r="V3906" t="n">
        <v>11.00430878245654</v>
      </c>
      <c r="W3906" s="5">
        <f>R3906-V3906</f>
        <v/>
      </c>
    </row>
    <row r="3907">
      <c r="A3907" s="3" t="n">
        <v>44194</v>
      </c>
      <c r="B3907">
        <f>Prices!B3907</f>
        <v/>
      </c>
      <c r="C3907">
        <f>Prices!C3907</f>
        <v/>
      </c>
      <c r="D3907">
        <f>Prices!D3907</f>
        <v/>
      </c>
      <c r="E3907">
        <f>Prices!E3907</f>
        <v/>
      </c>
      <c r="F3907">
        <f>Prices!F3907</f>
        <v/>
      </c>
      <c r="G3907">
        <f>IF(AND(3905&gt;=16,TEXT(A3907,"yyyy-mm")&lt;&gt;TEXT(A3908,"yyyy-mm")),1,0)</f>
        <v/>
      </c>
      <c r="H3907">
        <f>IF(OR(H3906=1,G3907=1),1,0)</f>
        <v/>
      </c>
      <c r="I3907">
        <f>IF(H3906=0,1,SUMPRODUCT(J3906:N3906,B3907:F3907)+O3906*(1+0.00023125256064071564))</f>
        <v/>
      </c>
      <c r="J3907">
        <f>IF(G3907=1,0.2*R3907/B3907,J3906)</f>
        <v/>
      </c>
      <c r="K3907">
        <f>IF(G3907=1,0.2*R3907/C3907,K3906)</f>
        <v/>
      </c>
      <c r="L3907">
        <f>IF(G3907=1,0.2*R3907/D3907,L3906)</f>
        <v/>
      </c>
      <c r="M3907">
        <f>IF(G3907=1,0.2*R3907/E3907,M3906)</f>
        <v/>
      </c>
      <c r="N3907">
        <f>IF(G3907=1,0.2*R3907/F3907,N3906)</f>
        <v/>
      </c>
      <c r="O3907">
        <f>IF(G3907=1,R3907*(1-1.0),IF(H3906=0,1,O3906*(1+0.00023125256064071564)))</f>
        <v/>
      </c>
      <c r="P3907">
        <f>IF(G3907=1,IF(H3906=0,1,ABS(0.2-J3906*B3907/I3907)+ABS(0.2-K3906*C3907/I3907)+ABS(0.2-L3906*D3907/I3907)+ABS(0.2-M3906*E3907/I3907)+ABS(0.2-N3906*F3907/I3907)),0)</f>
        <v/>
      </c>
      <c r="Q3907">
        <f>P3907*0.0015</f>
        <v/>
      </c>
      <c r="R3907">
        <f>I3907*(1-Q3907)</f>
        <v/>
      </c>
      <c r="S3907">
        <f>R3907/R3906-1</f>
        <v/>
      </c>
      <c r="T3907">
        <f>MAX(T3906,R3907)</f>
        <v/>
      </c>
      <c r="U3907">
        <f>R3907/T3907-1</f>
        <v/>
      </c>
      <c r="V3907" t="n">
        <v>10.99383392730455</v>
      </c>
      <c r="W3907" s="5">
        <f>R3907-V3907</f>
        <v/>
      </c>
    </row>
    <row r="3908">
      <c r="A3908" s="3" t="n">
        <v>44195</v>
      </c>
      <c r="B3908">
        <f>Prices!B3908</f>
        <v/>
      </c>
      <c r="C3908">
        <f>Prices!C3908</f>
        <v/>
      </c>
      <c r="D3908">
        <f>Prices!D3908</f>
        <v/>
      </c>
      <c r="E3908">
        <f>Prices!E3908</f>
        <v/>
      </c>
      <c r="F3908">
        <f>Prices!F3908</f>
        <v/>
      </c>
      <c r="G3908">
        <f>IF(AND(3906&gt;=16,TEXT(A3908,"yyyy-mm")&lt;&gt;TEXT(A3909,"yyyy-mm")),1,0)</f>
        <v/>
      </c>
      <c r="H3908">
        <f>IF(OR(H3907=1,G3908=1),1,0)</f>
        <v/>
      </c>
      <c r="I3908">
        <f>IF(H3907=0,1,SUMPRODUCT(J3907:N3907,B3908:F3908)+O3907*(1+0.00023125256064071564))</f>
        <v/>
      </c>
      <c r="J3908">
        <f>IF(G3908=1,0.2*R3908/B3908,J3907)</f>
        <v/>
      </c>
      <c r="K3908">
        <f>IF(G3908=1,0.2*R3908/C3908,K3907)</f>
        <v/>
      </c>
      <c r="L3908">
        <f>IF(G3908=1,0.2*R3908/D3908,L3907)</f>
        <v/>
      </c>
      <c r="M3908">
        <f>IF(G3908=1,0.2*R3908/E3908,M3907)</f>
        <v/>
      </c>
      <c r="N3908">
        <f>IF(G3908=1,0.2*R3908/F3908,N3907)</f>
        <v/>
      </c>
      <c r="O3908">
        <f>IF(G3908=1,R3908*(1-1.0),IF(H3907=0,1,O3907*(1+0.00023125256064071564)))</f>
        <v/>
      </c>
      <c r="P3908">
        <f>IF(G3908=1,IF(H3907=0,1,ABS(0.2-J3907*B3908/I3908)+ABS(0.2-K3907*C3908/I3908)+ABS(0.2-L3907*D3908/I3908)+ABS(0.2-M3907*E3908/I3908)+ABS(0.2-N3907*F3908/I3908)),0)</f>
        <v/>
      </c>
      <c r="Q3908">
        <f>P3908*0.0015</f>
        <v/>
      </c>
      <c r="R3908">
        <f>I3908*(1-Q3908)</f>
        <v/>
      </c>
      <c r="S3908">
        <f>R3908/R3907-1</f>
        <v/>
      </c>
      <c r="T3908">
        <f>MAX(T3907,R3908)</f>
        <v/>
      </c>
      <c r="U3908">
        <f>R3908/T3908-1</f>
        <v/>
      </c>
      <c r="V3908" t="n">
        <v>11.02617509202647</v>
      </c>
      <c r="W3908" s="5">
        <f>R3908-V3908</f>
        <v/>
      </c>
    </row>
    <row r="3909">
      <c r="A3909" s="3" t="n">
        <v>44196</v>
      </c>
      <c r="B3909">
        <f>Prices!B3909</f>
        <v/>
      </c>
      <c r="C3909">
        <f>Prices!C3909</f>
        <v/>
      </c>
      <c r="D3909">
        <f>Prices!D3909</f>
        <v/>
      </c>
      <c r="E3909">
        <f>Prices!E3909</f>
        <v/>
      </c>
      <c r="F3909">
        <f>Prices!F3909</f>
        <v/>
      </c>
      <c r="G3909">
        <f>IF(AND(3907&gt;=16,TEXT(A3909,"yyyy-mm")&lt;&gt;TEXT(A3910,"yyyy-mm")),1,0)</f>
        <v/>
      </c>
      <c r="H3909">
        <f>IF(OR(H3908=1,G3909=1),1,0)</f>
        <v/>
      </c>
      <c r="I3909">
        <f>IF(H3908=0,1,SUMPRODUCT(J3908:N3908,B3909:F3909)+O3908*(1+0.00023125256064071564))</f>
        <v/>
      </c>
      <c r="J3909">
        <f>IF(G3909=1,0.2*R3909/B3909,J3908)</f>
        <v/>
      </c>
      <c r="K3909">
        <f>IF(G3909=1,0.2*R3909/C3909,K3908)</f>
        <v/>
      </c>
      <c r="L3909">
        <f>IF(G3909=1,0.2*R3909/D3909,L3908)</f>
        <v/>
      </c>
      <c r="M3909">
        <f>IF(G3909=1,0.2*R3909/E3909,M3908)</f>
        <v/>
      </c>
      <c r="N3909">
        <f>IF(G3909=1,0.2*R3909/F3909,N3908)</f>
        <v/>
      </c>
      <c r="O3909">
        <f>IF(G3909=1,R3909*(1-1.0),IF(H3908=0,1,O3908*(1+0.00023125256064071564)))</f>
        <v/>
      </c>
      <c r="P3909">
        <f>IF(G3909=1,IF(H3908=0,1,ABS(0.2-J3908*B3909/I3909)+ABS(0.2-K3908*C3909/I3909)+ABS(0.2-L3908*D3909/I3909)+ABS(0.2-M3908*E3909/I3909)+ABS(0.2-N3908*F3909/I3909)),0)</f>
        <v/>
      </c>
      <c r="Q3909">
        <f>P3909*0.0015</f>
        <v/>
      </c>
      <c r="R3909">
        <f>I3909*(1-Q3909)</f>
        <v/>
      </c>
      <c r="S3909">
        <f>R3909/R3908-1</f>
        <v/>
      </c>
      <c r="T3909">
        <f>MAX(T3908,R3909)</f>
        <v/>
      </c>
      <c r="U3909">
        <f>R3909/T3909-1</f>
        <v/>
      </c>
      <c r="V3909" t="n">
        <v>11.0467850927102</v>
      </c>
      <c r="W3909" s="5">
        <f>R3909-V3909</f>
        <v/>
      </c>
    </row>
    <row r="3910">
      <c r="A3910" s="3" t="n">
        <v>44197</v>
      </c>
      <c r="B3910">
        <f>Prices!B3910</f>
        <v/>
      </c>
      <c r="C3910">
        <f>Prices!C3910</f>
        <v/>
      </c>
      <c r="D3910">
        <f>Prices!D3910</f>
        <v/>
      </c>
      <c r="E3910">
        <f>Prices!E3910</f>
        <v/>
      </c>
      <c r="F3910">
        <f>Prices!F3910</f>
        <v/>
      </c>
      <c r="G3910">
        <f>IF(AND(3908&gt;=16,TEXT(A3910,"yyyy-mm")&lt;&gt;TEXT(A3911,"yyyy-mm")),1,0)</f>
        <v/>
      </c>
      <c r="H3910">
        <f>IF(OR(H3909=1,G3910=1),1,0)</f>
        <v/>
      </c>
      <c r="I3910">
        <f>IF(H3909=0,1,SUMPRODUCT(J3909:N3909,B3910:F3910)+O3909*(1+0.00023125256064071564))</f>
        <v/>
      </c>
      <c r="J3910">
        <f>IF(G3910=1,0.2*R3910/B3910,J3909)</f>
        <v/>
      </c>
      <c r="K3910">
        <f>IF(G3910=1,0.2*R3910/C3910,K3909)</f>
        <v/>
      </c>
      <c r="L3910">
        <f>IF(G3910=1,0.2*R3910/D3910,L3909)</f>
        <v/>
      </c>
      <c r="M3910">
        <f>IF(G3910=1,0.2*R3910/E3910,M3909)</f>
        <v/>
      </c>
      <c r="N3910">
        <f>IF(G3910=1,0.2*R3910/F3910,N3909)</f>
        <v/>
      </c>
      <c r="O3910">
        <f>IF(G3910=1,R3910*(1-1.0),IF(H3909=0,1,O3909*(1+0.00023125256064071564)))</f>
        <v/>
      </c>
      <c r="P3910">
        <f>IF(G3910=1,IF(H3909=0,1,ABS(0.2-J3909*B3910/I3910)+ABS(0.2-K3909*C3910/I3910)+ABS(0.2-L3909*D3910/I3910)+ABS(0.2-M3909*E3910/I3910)+ABS(0.2-N3909*F3910/I3910)),0)</f>
        <v/>
      </c>
      <c r="Q3910">
        <f>P3910*0.0015</f>
        <v/>
      </c>
      <c r="R3910">
        <f>I3910*(1-Q3910)</f>
        <v/>
      </c>
      <c r="S3910">
        <f>R3910/R3909-1</f>
        <v/>
      </c>
      <c r="T3910">
        <f>MAX(T3909,R3910)</f>
        <v/>
      </c>
      <c r="U3910">
        <f>R3910/T3910-1</f>
        <v/>
      </c>
      <c r="V3910" t="n">
        <v>11.15250636674366</v>
      </c>
      <c r="W3910" s="5">
        <f>R3910-V3910</f>
        <v/>
      </c>
    </row>
    <row r="3911">
      <c r="A3911" s="3" t="n">
        <v>44200</v>
      </c>
      <c r="B3911">
        <f>Prices!B3911</f>
        <v/>
      </c>
      <c r="C3911">
        <f>Prices!C3911</f>
        <v/>
      </c>
      <c r="D3911">
        <f>Prices!D3911</f>
        <v/>
      </c>
      <c r="E3911">
        <f>Prices!E3911</f>
        <v/>
      </c>
      <c r="F3911">
        <f>Prices!F3911</f>
        <v/>
      </c>
      <c r="G3911">
        <f>IF(AND(3909&gt;=16,TEXT(A3911,"yyyy-mm")&lt;&gt;TEXT(A3912,"yyyy-mm")),1,0)</f>
        <v/>
      </c>
      <c r="H3911">
        <f>IF(OR(H3910=1,G3911=1),1,0)</f>
        <v/>
      </c>
      <c r="I3911">
        <f>IF(H3910=0,1,SUMPRODUCT(J3910:N3910,B3911:F3911)+O3910*(1+0.00023125256064071564))</f>
        <v/>
      </c>
      <c r="J3911">
        <f>IF(G3911=1,0.2*R3911/B3911,J3910)</f>
        <v/>
      </c>
      <c r="K3911">
        <f>IF(G3911=1,0.2*R3911/C3911,K3910)</f>
        <v/>
      </c>
      <c r="L3911">
        <f>IF(G3911=1,0.2*R3911/D3911,L3910)</f>
        <v/>
      </c>
      <c r="M3911">
        <f>IF(G3911=1,0.2*R3911/E3911,M3910)</f>
        <v/>
      </c>
      <c r="N3911">
        <f>IF(G3911=1,0.2*R3911/F3911,N3910)</f>
        <v/>
      </c>
      <c r="O3911">
        <f>IF(G3911=1,R3911*(1-1.0),IF(H3910=0,1,O3910*(1+0.00023125256064071564)))</f>
        <v/>
      </c>
      <c r="P3911">
        <f>IF(G3911=1,IF(H3910=0,1,ABS(0.2-J3910*B3911/I3911)+ABS(0.2-K3910*C3911/I3911)+ABS(0.2-L3910*D3911/I3911)+ABS(0.2-M3910*E3911/I3911)+ABS(0.2-N3910*F3911/I3911)),0)</f>
        <v/>
      </c>
      <c r="Q3911">
        <f>P3911*0.0015</f>
        <v/>
      </c>
      <c r="R3911">
        <f>I3911*(1-Q3911)</f>
        <v/>
      </c>
      <c r="S3911">
        <f>R3911/R3910-1</f>
        <v/>
      </c>
      <c r="T3911">
        <f>MAX(T3910,R3911)</f>
        <v/>
      </c>
      <c r="U3911">
        <f>R3911/T3911-1</f>
        <v/>
      </c>
      <c r="V3911" t="n">
        <v>11.32294191570591</v>
      </c>
      <c r="W3911" s="5">
        <f>R3911-V3911</f>
        <v/>
      </c>
    </row>
    <row r="3912">
      <c r="A3912" s="3" t="n">
        <v>44201</v>
      </c>
      <c r="B3912">
        <f>Prices!B3912</f>
        <v/>
      </c>
      <c r="C3912">
        <f>Prices!C3912</f>
        <v/>
      </c>
      <c r="D3912">
        <f>Prices!D3912</f>
        <v/>
      </c>
      <c r="E3912">
        <f>Prices!E3912</f>
        <v/>
      </c>
      <c r="F3912">
        <f>Prices!F3912</f>
        <v/>
      </c>
      <c r="G3912">
        <f>IF(AND(3910&gt;=16,TEXT(A3912,"yyyy-mm")&lt;&gt;TEXT(A3913,"yyyy-mm")),1,0)</f>
        <v/>
      </c>
      <c r="H3912">
        <f>IF(OR(H3911=1,G3912=1),1,0)</f>
        <v/>
      </c>
      <c r="I3912">
        <f>IF(H3911=0,1,SUMPRODUCT(J3911:N3911,B3912:F3912)+O3911*(1+0.00023125256064071564))</f>
        <v/>
      </c>
      <c r="J3912">
        <f>IF(G3912=1,0.2*R3912/B3912,J3911)</f>
        <v/>
      </c>
      <c r="K3912">
        <f>IF(G3912=1,0.2*R3912/C3912,K3911)</f>
        <v/>
      </c>
      <c r="L3912">
        <f>IF(G3912=1,0.2*R3912/D3912,L3911)</f>
        <v/>
      </c>
      <c r="M3912">
        <f>IF(G3912=1,0.2*R3912/E3912,M3911)</f>
        <v/>
      </c>
      <c r="N3912">
        <f>IF(G3912=1,0.2*R3912/F3912,N3911)</f>
        <v/>
      </c>
      <c r="O3912">
        <f>IF(G3912=1,R3912*(1-1.0),IF(H3911=0,1,O3911*(1+0.00023125256064071564)))</f>
        <v/>
      </c>
      <c r="P3912">
        <f>IF(G3912=1,IF(H3911=0,1,ABS(0.2-J3911*B3912/I3912)+ABS(0.2-K3911*C3912/I3912)+ABS(0.2-L3911*D3912/I3912)+ABS(0.2-M3911*E3912/I3912)+ABS(0.2-N3911*F3912/I3912)),0)</f>
        <v/>
      </c>
      <c r="Q3912">
        <f>P3912*0.0015</f>
        <v/>
      </c>
      <c r="R3912">
        <f>I3912*(1-Q3912)</f>
        <v/>
      </c>
      <c r="S3912">
        <f>R3912/R3911-1</f>
        <v/>
      </c>
      <c r="T3912">
        <f>MAX(T3911,R3912)</f>
        <v/>
      </c>
      <c r="U3912">
        <f>R3912/T3912-1</f>
        <v/>
      </c>
      <c r="V3912" t="n">
        <v>11.40105562941036</v>
      </c>
      <c r="W3912" s="5">
        <f>R3912-V3912</f>
        <v/>
      </c>
    </row>
    <row r="3913">
      <c r="A3913" s="3" t="n">
        <v>44202</v>
      </c>
      <c r="B3913">
        <f>Prices!B3913</f>
        <v/>
      </c>
      <c r="C3913">
        <f>Prices!C3913</f>
        <v/>
      </c>
      <c r="D3913">
        <f>Prices!D3913</f>
        <v/>
      </c>
      <c r="E3913">
        <f>Prices!E3913</f>
        <v/>
      </c>
      <c r="F3913">
        <f>Prices!F3913</f>
        <v/>
      </c>
      <c r="G3913">
        <f>IF(AND(3911&gt;=16,TEXT(A3913,"yyyy-mm")&lt;&gt;TEXT(A3914,"yyyy-mm")),1,0)</f>
        <v/>
      </c>
      <c r="H3913">
        <f>IF(OR(H3912=1,G3913=1),1,0)</f>
        <v/>
      </c>
      <c r="I3913">
        <f>IF(H3912=0,1,SUMPRODUCT(J3912:N3912,B3913:F3913)+O3912*(1+0.00023125256064071564))</f>
        <v/>
      </c>
      <c r="J3913">
        <f>IF(G3913=1,0.2*R3913/B3913,J3912)</f>
        <v/>
      </c>
      <c r="K3913">
        <f>IF(G3913=1,0.2*R3913/C3913,K3912)</f>
        <v/>
      </c>
      <c r="L3913">
        <f>IF(G3913=1,0.2*R3913/D3913,L3912)</f>
        <v/>
      </c>
      <c r="M3913">
        <f>IF(G3913=1,0.2*R3913/E3913,M3912)</f>
        <v/>
      </c>
      <c r="N3913">
        <f>IF(G3913=1,0.2*R3913/F3913,N3912)</f>
        <v/>
      </c>
      <c r="O3913">
        <f>IF(G3913=1,R3913*(1-1.0),IF(H3912=0,1,O3912*(1+0.00023125256064071564)))</f>
        <v/>
      </c>
      <c r="P3913">
        <f>IF(G3913=1,IF(H3912=0,1,ABS(0.2-J3912*B3913/I3913)+ABS(0.2-K3912*C3913/I3913)+ABS(0.2-L3912*D3913/I3913)+ABS(0.2-M3912*E3913/I3913)+ABS(0.2-N3912*F3913/I3913)),0)</f>
        <v/>
      </c>
      <c r="Q3913">
        <f>P3913*0.0015</f>
        <v/>
      </c>
      <c r="R3913">
        <f>I3913*(1-Q3913)</f>
        <v/>
      </c>
      <c r="S3913">
        <f>R3913/R3912-1</f>
        <v/>
      </c>
      <c r="T3913">
        <f>MAX(T3912,R3913)</f>
        <v/>
      </c>
      <c r="U3913">
        <f>R3913/T3913-1</f>
        <v/>
      </c>
      <c r="V3913" t="n">
        <v>11.39589112265614</v>
      </c>
      <c r="W3913" s="5">
        <f>R3913-V3913</f>
        <v/>
      </c>
    </row>
    <row r="3914">
      <c r="A3914" s="3" t="n">
        <v>44203</v>
      </c>
      <c r="B3914">
        <f>Prices!B3914</f>
        <v/>
      </c>
      <c r="C3914">
        <f>Prices!C3914</f>
        <v/>
      </c>
      <c r="D3914">
        <f>Prices!D3914</f>
        <v/>
      </c>
      <c r="E3914">
        <f>Prices!E3914</f>
        <v/>
      </c>
      <c r="F3914">
        <f>Prices!F3914</f>
        <v/>
      </c>
      <c r="G3914">
        <f>IF(AND(3912&gt;=16,TEXT(A3914,"yyyy-mm")&lt;&gt;TEXT(A3915,"yyyy-mm")),1,0)</f>
        <v/>
      </c>
      <c r="H3914">
        <f>IF(OR(H3913=1,G3914=1),1,0)</f>
        <v/>
      </c>
      <c r="I3914">
        <f>IF(H3913=0,1,SUMPRODUCT(J3913:N3913,B3914:F3914)+O3913*(1+0.00023125256064071564))</f>
        <v/>
      </c>
      <c r="J3914">
        <f>IF(G3914=1,0.2*R3914/B3914,J3913)</f>
        <v/>
      </c>
      <c r="K3914">
        <f>IF(G3914=1,0.2*R3914/C3914,K3913)</f>
        <v/>
      </c>
      <c r="L3914">
        <f>IF(G3914=1,0.2*R3914/D3914,L3913)</f>
        <v/>
      </c>
      <c r="M3914">
        <f>IF(G3914=1,0.2*R3914/E3914,M3913)</f>
        <v/>
      </c>
      <c r="N3914">
        <f>IF(G3914=1,0.2*R3914/F3914,N3913)</f>
        <v/>
      </c>
      <c r="O3914">
        <f>IF(G3914=1,R3914*(1-1.0),IF(H3913=0,1,O3913*(1+0.00023125256064071564)))</f>
        <v/>
      </c>
      <c r="P3914">
        <f>IF(G3914=1,IF(H3913=0,1,ABS(0.2-J3913*B3914/I3914)+ABS(0.2-K3913*C3914/I3914)+ABS(0.2-L3913*D3914/I3914)+ABS(0.2-M3913*E3914/I3914)+ABS(0.2-N3913*F3914/I3914)),0)</f>
        <v/>
      </c>
      <c r="Q3914">
        <f>P3914*0.0015</f>
        <v/>
      </c>
      <c r="R3914">
        <f>I3914*(1-Q3914)</f>
        <v/>
      </c>
      <c r="S3914">
        <f>R3914/R3913-1</f>
        <v/>
      </c>
      <c r="T3914">
        <f>MAX(T3913,R3914)</f>
        <v/>
      </c>
      <c r="U3914">
        <f>R3914/T3914-1</f>
        <v/>
      </c>
      <c r="V3914" t="n">
        <v>11.46038454125277</v>
      </c>
      <c r="W3914" s="5">
        <f>R3914-V3914</f>
        <v/>
      </c>
    </row>
    <row r="3915">
      <c r="A3915" s="3" t="n">
        <v>44204</v>
      </c>
      <c r="B3915">
        <f>Prices!B3915</f>
        <v/>
      </c>
      <c r="C3915">
        <f>Prices!C3915</f>
        <v/>
      </c>
      <c r="D3915">
        <f>Prices!D3915</f>
        <v/>
      </c>
      <c r="E3915">
        <f>Prices!E3915</f>
        <v/>
      </c>
      <c r="F3915">
        <f>Prices!F3915</f>
        <v/>
      </c>
      <c r="G3915">
        <f>IF(AND(3913&gt;=16,TEXT(A3915,"yyyy-mm")&lt;&gt;TEXT(A3916,"yyyy-mm")),1,0)</f>
        <v/>
      </c>
      <c r="H3915">
        <f>IF(OR(H3914=1,G3915=1),1,0)</f>
        <v/>
      </c>
      <c r="I3915">
        <f>IF(H3914=0,1,SUMPRODUCT(J3914:N3914,B3915:F3915)+O3914*(1+0.00023125256064071564))</f>
        <v/>
      </c>
      <c r="J3915">
        <f>IF(G3915=1,0.2*R3915/B3915,J3914)</f>
        <v/>
      </c>
      <c r="K3915">
        <f>IF(G3915=1,0.2*R3915/C3915,K3914)</f>
        <v/>
      </c>
      <c r="L3915">
        <f>IF(G3915=1,0.2*R3915/D3915,L3914)</f>
        <v/>
      </c>
      <c r="M3915">
        <f>IF(G3915=1,0.2*R3915/E3915,M3914)</f>
        <v/>
      </c>
      <c r="N3915">
        <f>IF(G3915=1,0.2*R3915/F3915,N3914)</f>
        <v/>
      </c>
      <c r="O3915">
        <f>IF(G3915=1,R3915*(1-1.0),IF(H3914=0,1,O3914*(1+0.00023125256064071564)))</f>
        <v/>
      </c>
      <c r="P3915">
        <f>IF(G3915=1,IF(H3914=0,1,ABS(0.2-J3914*B3915/I3915)+ABS(0.2-K3914*C3915/I3915)+ABS(0.2-L3914*D3915/I3915)+ABS(0.2-M3914*E3915/I3915)+ABS(0.2-N3914*F3915/I3915)),0)</f>
        <v/>
      </c>
      <c r="Q3915">
        <f>P3915*0.0015</f>
        <v/>
      </c>
      <c r="R3915">
        <f>I3915*(1-Q3915)</f>
        <v/>
      </c>
      <c r="S3915">
        <f>R3915/R3914-1</f>
        <v/>
      </c>
      <c r="T3915">
        <f>MAX(T3914,R3915)</f>
        <v/>
      </c>
      <c r="U3915">
        <f>R3915/T3915-1</f>
        <v/>
      </c>
      <c r="V3915" t="n">
        <v>11.60021043294087</v>
      </c>
      <c r="W3915" s="5">
        <f>R3915-V3915</f>
        <v/>
      </c>
    </row>
    <row r="3916">
      <c r="A3916" s="3" t="n">
        <v>44207</v>
      </c>
      <c r="B3916">
        <f>Prices!B3916</f>
        <v/>
      </c>
      <c r="C3916">
        <f>Prices!C3916</f>
        <v/>
      </c>
      <c r="D3916">
        <f>Prices!D3916</f>
        <v/>
      </c>
      <c r="E3916">
        <f>Prices!E3916</f>
        <v/>
      </c>
      <c r="F3916">
        <f>Prices!F3916</f>
        <v/>
      </c>
      <c r="G3916">
        <f>IF(AND(3914&gt;=16,TEXT(A3916,"yyyy-mm")&lt;&gt;TEXT(A3917,"yyyy-mm")),1,0)</f>
        <v/>
      </c>
      <c r="H3916">
        <f>IF(OR(H3915=1,G3916=1),1,0)</f>
        <v/>
      </c>
      <c r="I3916">
        <f>IF(H3915=0,1,SUMPRODUCT(J3915:N3915,B3916:F3916)+O3915*(1+0.00023125256064071564))</f>
        <v/>
      </c>
      <c r="J3916">
        <f>IF(G3916=1,0.2*R3916/B3916,J3915)</f>
        <v/>
      </c>
      <c r="K3916">
        <f>IF(G3916=1,0.2*R3916/C3916,K3915)</f>
        <v/>
      </c>
      <c r="L3916">
        <f>IF(G3916=1,0.2*R3916/D3916,L3915)</f>
        <v/>
      </c>
      <c r="M3916">
        <f>IF(G3916=1,0.2*R3916/E3916,M3915)</f>
        <v/>
      </c>
      <c r="N3916">
        <f>IF(G3916=1,0.2*R3916/F3916,N3915)</f>
        <v/>
      </c>
      <c r="O3916">
        <f>IF(G3916=1,R3916*(1-1.0),IF(H3915=0,1,O3915*(1+0.00023125256064071564)))</f>
        <v/>
      </c>
      <c r="P3916">
        <f>IF(G3916=1,IF(H3915=0,1,ABS(0.2-J3915*B3916/I3916)+ABS(0.2-K3915*C3916/I3916)+ABS(0.2-L3915*D3916/I3916)+ABS(0.2-M3915*E3916/I3916)+ABS(0.2-N3915*F3916/I3916)),0)</f>
        <v/>
      </c>
      <c r="Q3916">
        <f>P3916*0.0015</f>
        <v/>
      </c>
      <c r="R3916">
        <f>I3916*(1-Q3916)</f>
        <v/>
      </c>
      <c r="S3916">
        <f>R3916/R3915-1</f>
        <v/>
      </c>
      <c r="T3916">
        <f>MAX(T3915,R3916)</f>
        <v/>
      </c>
      <c r="U3916">
        <f>R3916/T3916-1</f>
        <v/>
      </c>
      <c r="V3916" t="n">
        <v>11.66115489071291</v>
      </c>
      <c r="W3916" s="5">
        <f>R3916-V3916</f>
        <v/>
      </c>
    </row>
    <row r="3917">
      <c r="A3917" s="3" t="n">
        <v>44208</v>
      </c>
      <c r="B3917">
        <f>Prices!B3917</f>
        <v/>
      </c>
      <c r="C3917">
        <f>Prices!C3917</f>
        <v/>
      </c>
      <c r="D3917">
        <f>Prices!D3917</f>
        <v/>
      </c>
      <c r="E3917">
        <f>Prices!E3917</f>
        <v/>
      </c>
      <c r="F3917">
        <f>Prices!F3917</f>
        <v/>
      </c>
      <c r="G3917">
        <f>IF(AND(3915&gt;=16,TEXT(A3917,"yyyy-mm")&lt;&gt;TEXT(A3918,"yyyy-mm")),1,0)</f>
        <v/>
      </c>
      <c r="H3917">
        <f>IF(OR(H3916=1,G3917=1),1,0)</f>
        <v/>
      </c>
      <c r="I3917">
        <f>IF(H3916=0,1,SUMPRODUCT(J3916:N3916,B3917:F3917)+O3916*(1+0.00023125256064071564))</f>
        <v/>
      </c>
      <c r="J3917">
        <f>IF(G3917=1,0.2*R3917/B3917,J3916)</f>
        <v/>
      </c>
      <c r="K3917">
        <f>IF(G3917=1,0.2*R3917/C3917,K3916)</f>
        <v/>
      </c>
      <c r="L3917">
        <f>IF(G3917=1,0.2*R3917/D3917,L3916)</f>
        <v/>
      </c>
      <c r="M3917">
        <f>IF(G3917=1,0.2*R3917/E3917,M3916)</f>
        <v/>
      </c>
      <c r="N3917">
        <f>IF(G3917=1,0.2*R3917/F3917,N3916)</f>
        <v/>
      </c>
      <c r="O3917">
        <f>IF(G3917=1,R3917*(1-1.0),IF(H3916=0,1,O3916*(1+0.00023125256064071564)))</f>
        <v/>
      </c>
      <c r="P3917">
        <f>IF(G3917=1,IF(H3916=0,1,ABS(0.2-J3916*B3917/I3917)+ABS(0.2-K3916*C3917/I3917)+ABS(0.2-L3916*D3917/I3917)+ABS(0.2-M3916*E3917/I3917)+ABS(0.2-N3916*F3917/I3917)),0)</f>
        <v/>
      </c>
      <c r="Q3917">
        <f>P3917*0.0015</f>
        <v/>
      </c>
      <c r="R3917">
        <f>I3917*(1-Q3917)</f>
        <v/>
      </c>
      <c r="S3917">
        <f>R3917/R3916-1</f>
        <v/>
      </c>
      <c r="T3917">
        <f>MAX(T3916,R3917)</f>
        <v/>
      </c>
      <c r="U3917">
        <f>R3917/T3917-1</f>
        <v/>
      </c>
      <c r="V3917" t="n">
        <v>11.69383097202114</v>
      </c>
      <c r="W3917" s="5">
        <f>R3917-V3917</f>
        <v/>
      </c>
    </row>
    <row r="3918">
      <c r="A3918" s="3" t="n">
        <v>44209</v>
      </c>
      <c r="B3918">
        <f>Prices!B3918</f>
        <v/>
      </c>
      <c r="C3918">
        <f>Prices!C3918</f>
        <v/>
      </c>
      <c r="D3918">
        <f>Prices!D3918</f>
        <v/>
      </c>
      <c r="E3918">
        <f>Prices!E3918</f>
        <v/>
      </c>
      <c r="F3918">
        <f>Prices!F3918</f>
        <v/>
      </c>
      <c r="G3918">
        <f>IF(AND(3916&gt;=16,TEXT(A3918,"yyyy-mm")&lt;&gt;TEXT(A3919,"yyyy-mm")),1,0)</f>
        <v/>
      </c>
      <c r="H3918">
        <f>IF(OR(H3917=1,G3918=1),1,0)</f>
        <v/>
      </c>
      <c r="I3918">
        <f>IF(H3917=0,1,SUMPRODUCT(J3917:N3917,B3918:F3918)+O3917*(1+0.00023125256064071564))</f>
        <v/>
      </c>
      <c r="J3918">
        <f>IF(G3918=1,0.2*R3918/B3918,J3917)</f>
        <v/>
      </c>
      <c r="K3918">
        <f>IF(G3918=1,0.2*R3918/C3918,K3917)</f>
        <v/>
      </c>
      <c r="L3918">
        <f>IF(G3918=1,0.2*R3918/D3918,L3917)</f>
        <v/>
      </c>
      <c r="M3918">
        <f>IF(G3918=1,0.2*R3918/E3918,M3917)</f>
        <v/>
      </c>
      <c r="N3918">
        <f>IF(G3918=1,0.2*R3918/F3918,N3917)</f>
        <v/>
      </c>
      <c r="O3918">
        <f>IF(G3918=1,R3918*(1-1.0),IF(H3917=0,1,O3917*(1+0.00023125256064071564)))</f>
        <v/>
      </c>
      <c r="P3918">
        <f>IF(G3918=1,IF(H3917=0,1,ABS(0.2-J3917*B3918/I3918)+ABS(0.2-K3917*C3918/I3918)+ABS(0.2-L3917*D3918/I3918)+ABS(0.2-M3917*E3918/I3918)+ABS(0.2-N3917*F3918/I3918)),0)</f>
        <v/>
      </c>
      <c r="Q3918">
        <f>P3918*0.0015</f>
        <v/>
      </c>
      <c r="R3918">
        <f>I3918*(1-Q3918)</f>
        <v/>
      </c>
      <c r="S3918">
        <f>R3918/R3917-1</f>
        <v/>
      </c>
      <c r="T3918">
        <f>MAX(T3917,R3918)</f>
        <v/>
      </c>
      <c r="U3918">
        <f>R3918/T3918-1</f>
        <v/>
      </c>
      <c r="V3918" t="n">
        <v>11.67777848481525</v>
      </c>
      <c r="W3918" s="5">
        <f>R3918-V3918</f>
        <v/>
      </c>
    </row>
    <row r="3919">
      <c r="A3919" s="3" t="n">
        <v>44210</v>
      </c>
      <c r="B3919">
        <f>Prices!B3919</f>
        <v/>
      </c>
      <c r="C3919">
        <f>Prices!C3919</f>
        <v/>
      </c>
      <c r="D3919">
        <f>Prices!D3919</f>
        <v/>
      </c>
      <c r="E3919">
        <f>Prices!E3919</f>
        <v/>
      </c>
      <c r="F3919">
        <f>Prices!F3919</f>
        <v/>
      </c>
      <c r="G3919">
        <f>IF(AND(3917&gt;=16,TEXT(A3919,"yyyy-mm")&lt;&gt;TEXT(A3920,"yyyy-mm")),1,0)</f>
        <v/>
      </c>
      <c r="H3919">
        <f>IF(OR(H3918=1,G3919=1),1,0)</f>
        <v/>
      </c>
      <c r="I3919">
        <f>IF(H3918=0,1,SUMPRODUCT(J3918:N3918,B3919:F3919)+O3918*(1+0.00023125256064071564))</f>
        <v/>
      </c>
      <c r="J3919">
        <f>IF(G3919=1,0.2*R3919/B3919,J3918)</f>
        <v/>
      </c>
      <c r="K3919">
        <f>IF(G3919=1,0.2*R3919/C3919,K3918)</f>
        <v/>
      </c>
      <c r="L3919">
        <f>IF(G3919=1,0.2*R3919/D3919,L3918)</f>
        <v/>
      </c>
      <c r="M3919">
        <f>IF(G3919=1,0.2*R3919/E3919,M3918)</f>
        <v/>
      </c>
      <c r="N3919">
        <f>IF(G3919=1,0.2*R3919/F3919,N3918)</f>
        <v/>
      </c>
      <c r="O3919">
        <f>IF(G3919=1,R3919*(1-1.0),IF(H3918=0,1,O3918*(1+0.00023125256064071564)))</f>
        <v/>
      </c>
      <c r="P3919">
        <f>IF(G3919=1,IF(H3918=0,1,ABS(0.2-J3918*B3919/I3919)+ABS(0.2-K3918*C3919/I3919)+ABS(0.2-L3918*D3919/I3919)+ABS(0.2-M3918*E3919/I3919)+ABS(0.2-N3918*F3919/I3919)),0)</f>
        <v/>
      </c>
      <c r="Q3919">
        <f>P3919*0.0015</f>
        <v/>
      </c>
      <c r="R3919">
        <f>I3919*(1-Q3919)</f>
        <v/>
      </c>
      <c r="S3919">
        <f>R3919/R3918-1</f>
        <v/>
      </c>
      <c r="T3919">
        <f>MAX(T3918,R3919)</f>
        <v/>
      </c>
      <c r="U3919">
        <f>R3919/T3919-1</f>
        <v/>
      </c>
      <c r="V3919" t="n">
        <v>11.70564717977882</v>
      </c>
      <c r="W3919" s="5">
        <f>R3919-V3919</f>
        <v/>
      </c>
    </row>
    <row r="3920">
      <c r="A3920" s="3" t="n">
        <v>44211</v>
      </c>
      <c r="B3920">
        <f>Prices!B3920</f>
        <v/>
      </c>
      <c r="C3920">
        <f>Prices!C3920</f>
        <v/>
      </c>
      <c r="D3920">
        <f>Prices!D3920</f>
        <v/>
      </c>
      <c r="E3920">
        <f>Prices!E3920</f>
        <v/>
      </c>
      <c r="F3920">
        <f>Prices!F3920</f>
        <v/>
      </c>
      <c r="G3920">
        <f>IF(AND(3918&gt;=16,TEXT(A3920,"yyyy-mm")&lt;&gt;TEXT(A3921,"yyyy-mm")),1,0)</f>
        <v/>
      </c>
      <c r="H3920">
        <f>IF(OR(H3919=1,G3920=1),1,0)</f>
        <v/>
      </c>
      <c r="I3920">
        <f>IF(H3919=0,1,SUMPRODUCT(J3919:N3919,B3920:F3920)+O3919*(1+0.00023125256064071564))</f>
        <v/>
      </c>
      <c r="J3920">
        <f>IF(G3920=1,0.2*R3920/B3920,J3919)</f>
        <v/>
      </c>
      <c r="K3920">
        <f>IF(G3920=1,0.2*R3920/C3920,K3919)</f>
        <v/>
      </c>
      <c r="L3920">
        <f>IF(G3920=1,0.2*R3920/D3920,L3919)</f>
        <v/>
      </c>
      <c r="M3920">
        <f>IF(G3920=1,0.2*R3920/E3920,M3919)</f>
        <v/>
      </c>
      <c r="N3920">
        <f>IF(G3920=1,0.2*R3920/F3920,N3919)</f>
        <v/>
      </c>
      <c r="O3920">
        <f>IF(G3920=1,R3920*(1-1.0),IF(H3919=0,1,O3919*(1+0.00023125256064071564)))</f>
        <v/>
      </c>
      <c r="P3920">
        <f>IF(G3920=1,IF(H3919=0,1,ABS(0.2-J3919*B3920/I3920)+ABS(0.2-K3919*C3920/I3920)+ABS(0.2-L3919*D3920/I3920)+ABS(0.2-M3919*E3920/I3920)+ABS(0.2-N3919*F3920/I3920)),0)</f>
        <v/>
      </c>
      <c r="Q3920">
        <f>P3920*0.0015</f>
        <v/>
      </c>
      <c r="R3920">
        <f>I3920*(1-Q3920)</f>
        <v/>
      </c>
      <c r="S3920">
        <f>R3920/R3919-1</f>
        <v/>
      </c>
      <c r="T3920">
        <f>MAX(T3919,R3920)</f>
        <v/>
      </c>
      <c r="U3920">
        <f>R3920/T3920-1</f>
        <v/>
      </c>
      <c r="V3920" t="n">
        <v>11.54816528568906</v>
      </c>
      <c r="W3920" s="5">
        <f>R3920-V3920</f>
        <v/>
      </c>
    </row>
    <row r="3921">
      <c r="A3921" s="3" t="n">
        <v>44214</v>
      </c>
      <c r="B3921">
        <f>Prices!B3921</f>
        <v/>
      </c>
      <c r="C3921">
        <f>Prices!C3921</f>
        <v/>
      </c>
      <c r="D3921">
        <f>Prices!D3921</f>
        <v/>
      </c>
      <c r="E3921">
        <f>Prices!E3921</f>
        <v/>
      </c>
      <c r="F3921">
        <f>Prices!F3921</f>
        <v/>
      </c>
      <c r="G3921">
        <f>IF(AND(3919&gt;=16,TEXT(A3921,"yyyy-mm")&lt;&gt;TEXT(A3922,"yyyy-mm")),1,0)</f>
        <v/>
      </c>
      <c r="H3921">
        <f>IF(OR(H3920=1,G3921=1),1,0)</f>
        <v/>
      </c>
      <c r="I3921">
        <f>IF(H3920=0,1,SUMPRODUCT(J3920:N3920,B3921:F3921)+O3920*(1+0.00023125256064071564))</f>
        <v/>
      </c>
      <c r="J3921">
        <f>IF(G3921=1,0.2*R3921/B3921,J3920)</f>
        <v/>
      </c>
      <c r="K3921">
        <f>IF(G3921=1,0.2*R3921/C3921,K3920)</f>
        <v/>
      </c>
      <c r="L3921">
        <f>IF(G3921=1,0.2*R3921/D3921,L3920)</f>
        <v/>
      </c>
      <c r="M3921">
        <f>IF(G3921=1,0.2*R3921/E3921,M3920)</f>
        <v/>
      </c>
      <c r="N3921">
        <f>IF(G3921=1,0.2*R3921/F3921,N3920)</f>
        <v/>
      </c>
      <c r="O3921">
        <f>IF(G3921=1,R3921*(1-1.0),IF(H3920=0,1,O3920*(1+0.00023125256064071564)))</f>
        <v/>
      </c>
      <c r="P3921">
        <f>IF(G3921=1,IF(H3920=0,1,ABS(0.2-J3920*B3921/I3921)+ABS(0.2-K3920*C3921/I3921)+ABS(0.2-L3920*D3921/I3921)+ABS(0.2-M3920*E3921/I3921)+ABS(0.2-N3920*F3921/I3921)),0)</f>
        <v/>
      </c>
      <c r="Q3921">
        <f>P3921*0.0015</f>
        <v/>
      </c>
      <c r="R3921">
        <f>I3921*(1-Q3921)</f>
        <v/>
      </c>
      <c r="S3921">
        <f>R3921/R3920-1</f>
        <v/>
      </c>
      <c r="T3921">
        <f>MAX(T3920,R3921)</f>
        <v/>
      </c>
      <c r="U3921">
        <f>R3921/T3921-1</f>
        <v/>
      </c>
      <c r="V3921" t="n">
        <v>11.30254663512917</v>
      </c>
      <c r="W3921" s="5">
        <f>R3921-V3921</f>
        <v/>
      </c>
    </row>
    <row r="3922">
      <c r="A3922" s="3" t="n">
        <v>44215</v>
      </c>
      <c r="B3922">
        <f>Prices!B3922</f>
        <v/>
      </c>
      <c r="C3922">
        <f>Prices!C3922</f>
        <v/>
      </c>
      <c r="D3922">
        <f>Prices!D3922</f>
        <v/>
      </c>
      <c r="E3922">
        <f>Prices!E3922</f>
        <v/>
      </c>
      <c r="F3922">
        <f>Prices!F3922</f>
        <v/>
      </c>
      <c r="G3922">
        <f>IF(AND(3920&gt;=16,TEXT(A3922,"yyyy-mm")&lt;&gt;TEXT(A3923,"yyyy-mm")),1,0)</f>
        <v/>
      </c>
      <c r="H3922">
        <f>IF(OR(H3921=1,G3922=1),1,0)</f>
        <v/>
      </c>
      <c r="I3922">
        <f>IF(H3921=0,1,SUMPRODUCT(J3921:N3921,B3922:F3922)+O3921*(1+0.00023125256064071564))</f>
        <v/>
      </c>
      <c r="J3922">
        <f>IF(G3922=1,0.2*R3922/B3922,J3921)</f>
        <v/>
      </c>
      <c r="K3922">
        <f>IF(G3922=1,0.2*R3922/C3922,K3921)</f>
        <v/>
      </c>
      <c r="L3922">
        <f>IF(G3922=1,0.2*R3922/D3922,L3921)</f>
        <v/>
      </c>
      <c r="M3922">
        <f>IF(G3922=1,0.2*R3922/E3922,M3921)</f>
        <v/>
      </c>
      <c r="N3922">
        <f>IF(G3922=1,0.2*R3922/F3922,N3921)</f>
        <v/>
      </c>
      <c r="O3922">
        <f>IF(G3922=1,R3922*(1-1.0),IF(H3921=0,1,O3921*(1+0.00023125256064071564)))</f>
        <v/>
      </c>
      <c r="P3922">
        <f>IF(G3922=1,IF(H3921=0,1,ABS(0.2-J3921*B3922/I3922)+ABS(0.2-K3921*C3922/I3922)+ABS(0.2-L3921*D3922/I3922)+ABS(0.2-M3921*E3922/I3922)+ABS(0.2-N3921*F3922/I3922)),0)</f>
        <v/>
      </c>
      <c r="Q3922">
        <f>P3922*0.0015</f>
        <v/>
      </c>
      <c r="R3922">
        <f>I3922*(1-Q3922)</f>
        <v/>
      </c>
      <c r="S3922">
        <f>R3922/R3921-1</f>
        <v/>
      </c>
      <c r="T3922">
        <f>MAX(T3921,R3922)</f>
        <v/>
      </c>
      <c r="U3922">
        <f>R3922/T3922-1</f>
        <v/>
      </c>
      <c r="V3922" t="n">
        <v>11.49502618343746</v>
      </c>
      <c r="W3922" s="5">
        <f>R3922-V3922</f>
        <v/>
      </c>
    </row>
    <row r="3923">
      <c r="A3923" s="3" t="n">
        <v>44216</v>
      </c>
      <c r="B3923">
        <f>Prices!B3923</f>
        <v/>
      </c>
      <c r="C3923">
        <f>Prices!C3923</f>
        <v/>
      </c>
      <c r="D3923">
        <f>Prices!D3923</f>
        <v/>
      </c>
      <c r="E3923">
        <f>Prices!E3923</f>
        <v/>
      </c>
      <c r="F3923">
        <f>Prices!F3923</f>
        <v/>
      </c>
      <c r="G3923">
        <f>IF(AND(3921&gt;=16,TEXT(A3923,"yyyy-mm")&lt;&gt;TEXT(A3924,"yyyy-mm")),1,0)</f>
        <v/>
      </c>
      <c r="H3923">
        <f>IF(OR(H3922=1,G3923=1),1,0)</f>
        <v/>
      </c>
      <c r="I3923">
        <f>IF(H3922=0,1,SUMPRODUCT(J3922:N3922,B3923:F3923)+O3922*(1+0.00023125256064071564))</f>
        <v/>
      </c>
      <c r="J3923">
        <f>IF(G3923=1,0.2*R3923/B3923,J3922)</f>
        <v/>
      </c>
      <c r="K3923">
        <f>IF(G3923=1,0.2*R3923/C3923,K3922)</f>
        <v/>
      </c>
      <c r="L3923">
        <f>IF(G3923=1,0.2*R3923/D3923,L3922)</f>
        <v/>
      </c>
      <c r="M3923">
        <f>IF(G3923=1,0.2*R3923/E3923,M3922)</f>
        <v/>
      </c>
      <c r="N3923">
        <f>IF(G3923=1,0.2*R3923/F3923,N3922)</f>
        <v/>
      </c>
      <c r="O3923">
        <f>IF(G3923=1,R3923*(1-1.0),IF(H3922=0,1,O3922*(1+0.00023125256064071564)))</f>
        <v/>
      </c>
      <c r="P3923">
        <f>IF(G3923=1,IF(H3922=0,1,ABS(0.2-J3922*B3923/I3923)+ABS(0.2-K3922*C3923/I3923)+ABS(0.2-L3922*D3923/I3923)+ABS(0.2-M3922*E3923/I3923)+ABS(0.2-N3922*F3923/I3923)),0)</f>
        <v/>
      </c>
      <c r="Q3923">
        <f>P3923*0.0015</f>
        <v/>
      </c>
      <c r="R3923">
        <f>I3923*(1-Q3923)</f>
        <v/>
      </c>
      <c r="S3923">
        <f>R3923/R3922-1</f>
        <v/>
      </c>
      <c r="T3923">
        <f>MAX(T3922,R3923)</f>
        <v/>
      </c>
      <c r="U3923">
        <f>R3923/T3923-1</f>
        <v/>
      </c>
      <c r="V3923" t="n">
        <v>11.58685733446596</v>
      </c>
      <c r="W3923" s="5">
        <f>R3923-V3923</f>
        <v/>
      </c>
    </row>
    <row r="3924">
      <c r="A3924" s="3" t="n">
        <v>44217</v>
      </c>
      <c r="B3924">
        <f>Prices!B3924</f>
        <v/>
      </c>
      <c r="C3924">
        <f>Prices!C3924</f>
        <v/>
      </c>
      <c r="D3924">
        <f>Prices!D3924</f>
        <v/>
      </c>
      <c r="E3924">
        <f>Prices!E3924</f>
        <v/>
      </c>
      <c r="F3924">
        <f>Prices!F3924</f>
        <v/>
      </c>
      <c r="G3924">
        <f>IF(AND(3922&gt;=16,TEXT(A3924,"yyyy-mm")&lt;&gt;TEXT(A3925,"yyyy-mm")),1,0)</f>
        <v/>
      </c>
      <c r="H3924">
        <f>IF(OR(H3923=1,G3924=1),1,0)</f>
        <v/>
      </c>
      <c r="I3924">
        <f>IF(H3923=0,1,SUMPRODUCT(J3923:N3923,B3924:F3924)+O3923*(1+0.00023125256064071564))</f>
        <v/>
      </c>
      <c r="J3924">
        <f>IF(G3924=1,0.2*R3924/B3924,J3923)</f>
        <v/>
      </c>
      <c r="K3924">
        <f>IF(G3924=1,0.2*R3924/C3924,K3923)</f>
        <v/>
      </c>
      <c r="L3924">
        <f>IF(G3924=1,0.2*R3924/D3924,L3923)</f>
        <v/>
      </c>
      <c r="M3924">
        <f>IF(G3924=1,0.2*R3924/E3924,M3923)</f>
        <v/>
      </c>
      <c r="N3924">
        <f>IF(G3924=1,0.2*R3924/F3924,N3923)</f>
        <v/>
      </c>
      <c r="O3924">
        <f>IF(G3924=1,R3924*(1-1.0),IF(H3923=0,1,O3923*(1+0.00023125256064071564)))</f>
        <v/>
      </c>
      <c r="P3924">
        <f>IF(G3924=1,IF(H3923=0,1,ABS(0.2-J3923*B3924/I3924)+ABS(0.2-K3923*C3924/I3924)+ABS(0.2-L3923*D3924/I3924)+ABS(0.2-M3923*E3924/I3924)+ABS(0.2-N3923*F3924/I3924)),0)</f>
        <v/>
      </c>
      <c r="Q3924">
        <f>P3924*0.0015</f>
        <v/>
      </c>
      <c r="R3924">
        <f>I3924*(1-Q3924)</f>
        <v/>
      </c>
      <c r="S3924">
        <f>R3924/R3923-1</f>
        <v/>
      </c>
      <c r="T3924">
        <f>MAX(T3923,R3924)</f>
        <v/>
      </c>
      <c r="U3924">
        <f>R3924/T3924-1</f>
        <v/>
      </c>
      <c r="V3924" t="n">
        <v>11.50726088582629</v>
      </c>
      <c r="W3924" s="5">
        <f>R3924-V3924</f>
        <v/>
      </c>
    </row>
    <row r="3925">
      <c r="A3925" s="3" t="n">
        <v>44218</v>
      </c>
      <c r="B3925">
        <f>Prices!B3925</f>
        <v/>
      </c>
      <c r="C3925">
        <f>Prices!C3925</f>
        <v/>
      </c>
      <c r="D3925">
        <f>Prices!D3925</f>
        <v/>
      </c>
      <c r="E3925">
        <f>Prices!E3925</f>
        <v/>
      </c>
      <c r="F3925">
        <f>Prices!F3925</f>
        <v/>
      </c>
      <c r="G3925">
        <f>IF(AND(3923&gt;=16,TEXT(A3925,"yyyy-mm")&lt;&gt;TEXT(A3926,"yyyy-mm")),1,0)</f>
        <v/>
      </c>
      <c r="H3925">
        <f>IF(OR(H3924=1,G3925=1),1,0)</f>
        <v/>
      </c>
      <c r="I3925">
        <f>IF(H3924=0,1,SUMPRODUCT(J3924:N3924,B3925:F3925)+O3924*(1+0.00023125256064071564))</f>
        <v/>
      </c>
      <c r="J3925">
        <f>IF(G3925=1,0.2*R3925/B3925,J3924)</f>
        <v/>
      </c>
      <c r="K3925">
        <f>IF(G3925=1,0.2*R3925/C3925,K3924)</f>
        <v/>
      </c>
      <c r="L3925">
        <f>IF(G3925=1,0.2*R3925/D3925,L3924)</f>
        <v/>
      </c>
      <c r="M3925">
        <f>IF(G3925=1,0.2*R3925/E3925,M3924)</f>
        <v/>
      </c>
      <c r="N3925">
        <f>IF(G3925=1,0.2*R3925/F3925,N3924)</f>
        <v/>
      </c>
      <c r="O3925">
        <f>IF(G3925=1,R3925*(1-1.0),IF(H3924=0,1,O3924*(1+0.00023125256064071564)))</f>
        <v/>
      </c>
      <c r="P3925">
        <f>IF(G3925=1,IF(H3924=0,1,ABS(0.2-J3924*B3925/I3925)+ABS(0.2-K3924*C3925/I3925)+ABS(0.2-L3924*D3925/I3925)+ABS(0.2-M3924*E3925/I3925)+ABS(0.2-N3924*F3925/I3925)),0)</f>
        <v/>
      </c>
      <c r="Q3925">
        <f>P3925*0.0015</f>
        <v/>
      </c>
      <c r="R3925">
        <f>I3925*(1-Q3925)</f>
        <v/>
      </c>
      <c r="S3925">
        <f>R3925/R3924-1</f>
        <v/>
      </c>
      <c r="T3925">
        <f>MAX(T3924,R3925)</f>
        <v/>
      </c>
      <c r="U3925">
        <f>R3925/T3925-1</f>
        <v/>
      </c>
      <c r="V3925" t="n">
        <v>11.39202521297584</v>
      </c>
      <c r="W3925" s="5">
        <f>R3925-V3925</f>
        <v/>
      </c>
    </row>
    <row r="3926">
      <c r="A3926" s="3" t="n">
        <v>44221</v>
      </c>
      <c r="B3926">
        <f>Prices!B3926</f>
        <v/>
      </c>
      <c r="C3926">
        <f>Prices!C3926</f>
        <v/>
      </c>
      <c r="D3926">
        <f>Prices!D3926</f>
        <v/>
      </c>
      <c r="E3926">
        <f>Prices!E3926</f>
        <v/>
      </c>
      <c r="F3926">
        <f>Prices!F3926</f>
        <v/>
      </c>
      <c r="G3926">
        <f>IF(AND(3924&gt;=16,TEXT(A3926,"yyyy-mm")&lt;&gt;TEXT(A3927,"yyyy-mm")),1,0)</f>
        <v/>
      </c>
      <c r="H3926">
        <f>IF(OR(H3925=1,G3926=1),1,0)</f>
        <v/>
      </c>
      <c r="I3926">
        <f>IF(H3925=0,1,SUMPRODUCT(J3925:N3925,B3926:F3926)+O3925*(1+0.00023125256064071564))</f>
        <v/>
      </c>
      <c r="J3926">
        <f>IF(G3926=1,0.2*R3926/B3926,J3925)</f>
        <v/>
      </c>
      <c r="K3926">
        <f>IF(G3926=1,0.2*R3926/C3926,K3925)</f>
        <v/>
      </c>
      <c r="L3926">
        <f>IF(G3926=1,0.2*R3926/D3926,L3925)</f>
        <v/>
      </c>
      <c r="M3926">
        <f>IF(G3926=1,0.2*R3926/E3926,M3925)</f>
        <v/>
      </c>
      <c r="N3926">
        <f>IF(G3926=1,0.2*R3926/F3926,N3925)</f>
        <v/>
      </c>
      <c r="O3926">
        <f>IF(G3926=1,R3926*(1-1.0),IF(H3925=0,1,O3925*(1+0.00023125256064071564)))</f>
        <v/>
      </c>
      <c r="P3926">
        <f>IF(G3926=1,IF(H3925=0,1,ABS(0.2-J3925*B3926/I3926)+ABS(0.2-K3925*C3926/I3926)+ABS(0.2-L3925*D3926/I3926)+ABS(0.2-M3925*E3926/I3926)+ABS(0.2-N3925*F3926/I3926)),0)</f>
        <v/>
      </c>
      <c r="Q3926">
        <f>P3926*0.0015</f>
        <v/>
      </c>
      <c r="R3926">
        <f>I3926*(1-Q3926)</f>
        <v/>
      </c>
      <c r="S3926">
        <f>R3926/R3925-1</f>
        <v/>
      </c>
      <c r="T3926">
        <f>MAX(T3925,R3926)</f>
        <v/>
      </c>
      <c r="U3926">
        <f>R3926/T3926-1</f>
        <v/>
      </c>
      <c r="V3926" t="n">
        <v>11.30105358973965</v>
      </c>
      <c r="W3926" s="5">
        <f>R3926-V3926</f>
        <v/>
      </c>
    </row>
    <row r="3927">
      <c r="A3927" s="3" t="n">
        <v>44223</v>
      </c>
      <c r="B3927">
        <f>Prices!B3927</f>
        <v/>
      </c>
      <c r="C3927">
        <f>Prices!C3927</f>
        <v/>
      </c>
      <c r="D3927">
        <f>Prices!D3927</f>
        <v/>
      </c>
      <c r="E3927">
        <f>Prices!E3927</f>
        <v/>
      </c>
      <c r="F3927">
        <f>Prices!F3927</f>
        <v/>
      </c>
      <c r="G3927">
        <f>IF(AND(3925&gt;=16,TEXT(A3927,"yyyy-mm")&lt;&gt;TEXT(A3928,"yyyy-mm")),1,0)</f>
        <v/>
      </c>
      <c r="H3927">
        <f>IF(OR(H3926=1,G3927=1),1,0)</f>
        <v/>
      </c>
      <c r="I3927">
        <f>IF(H3926=0,1,SUMPRODUCT(J3926:N3926,B3927:F3927)+O3926*(1+0.00023125256064071564))</f>
        <v/>
      </c>
      <c r="J3927">
        <f>IF(G3927=1,0.2*R3927/B3927,J3926)</f>
        <v/>
      </c>
      <c r="K3927">
        <f>IF(G3927=1,0.2*R3927/C3927,K3926)</f>
        <v/>
      </c>
      <c r="L3927">
        <f>IF(G3927=1,0.2*R3927/D3927,L3926)</f>
        <v/>
      </c>
      <c r="M3927">
        <f>IF(G3927=1,0.2*R3927/E3927,M3926)</f>
        <v/>
      </c>
      <c r="N3927">
        <f>IF(G3927=1,0.2*R3927/F3927,N3926)</f>
        <v/>
      </c>
      <c r="O3927">
        <f>IF(G3927=1,R3927*(1-1.0),IF(H3926=0,1,O3926*(1+0.00023125256064071564)))</f>
        <v/>
      </c>
      <c r="P3927">
        <f>IF(G3927=1,IF(H3926=0,1,ABS(0.2-J3926*B3927/I3927)+ABS(0.2-K3926*C3927/I3927)+ABS(0.2-L3926*D3927/I3927)+ABS(0.2-M3926*E3927/I3927)+ABS(0.2-N3926*F3927/I3927)),0)</f>
        <v/>
      </c>
      <c r="Q3927">
        <f>P3927*0.0015</f>
        <v/>
      </c>
      <c r="R3927">
        <f>I3927*(1-Q3927)</f>
        <v/>
      </c>
      <c r="S3927">
        <f>R3927/R3926-1</f>
        <v/>
      </c>
      <c r="T3927">
        <f>MAX(T3926,R3927)</f>
        <v/>
      </c>
      <c r="U3927">
        <f>R3927/T3927-1</f>
        <v/>
      </c>
      <c r="V3927" t="n">
        <v>11.20308270441728</v>
      </c>
      <c r="W3927" s="5">
        <f>R3927-V3927</f>
        <v/>
      </c>
    </row>
    <row r="3928">
      <c r="A3928" s="3" t="n">
        <v>44224</v>
      </c>
      <c r="B3928">
        <f>Prices!B3928</f>
        <v/>
      </c>
      <c r="C3928">
        <f>Prices!C3928</f>
        <v/>
      </c>
      <c r="D3928">
        <f>Prices!D3928</f>
        <v/>
      </c>
      <c r="E3928">
        <f>Prices!E3928</f>
        <v/>
      </c>
      <c r="F3928">
        <f>Prices!F3928</f>
        <v/>
      </c>
      <c r="G3928">
        <f>IF(AND(3926&gt;=16,TEXT(A3928,"yyyy-mm")&lt;&gt;TEXT(A3929,"yyyy-mm")),1,0)</f>
        <v/>
      </c>
      <c r="H3928">
        <f>IF(OR(H3927=1,G3928=1),1,0)</f>
        <v/>
      </c>
      <c r="I3928">
        <f>IF(H3927=0,1,SUMPRODUCT(J3927:N3927,B3928:F3928)+O3927*(1+0.00023125256064071564))</f>
        <v/>
      </c>
      <c r="J3928">
        <f>IF(G3928=1,0.2*R3928/B3928,J3927)</f>
        <v/>
      </c>
      <c r="K3928">
        <f>IF(G3928=1,0.2*R3928/C3928,K3927)</f>
        <v/>
      </c>
      <c r="L3928">
        <f>IF(G3928=1,0.2*R3928/D3928,L3927)</f>
        <v/>
      </c>
      <c r="M3928">
        <f>IF(G3928=1,0.2*R3928/E3928,M3927)</f>
        <v/>
      </c>
      <c r="N3928">
        <f>IF(G3928=1,0.2*R3928/F3928,N3927)</f>
        <v/>
      </c>
      <c r="O3928">
        <f>IF(G3928=1,R3928*(1-1.0),IF(H3927=0,1,O3927*(1+0.00023125256064071564)))</f>
        <v/>
      </c>
      <c r="P3928">
        <f>IF(G3928=1,IF(H3927=0,1,ABS(0.2-J3927*B3928/I3928)+ABS(0.2-K3927*C3928/I3928)+ABS(0.2-L3927*D3928/I3928)+ABS(0.2-M3927*E3928/I3928)+ABS(0.2-N3927*F3928/I3928)),0)</f>
        <v/>
      </c>
      <c r="Q3928">
        <f>P3928*0.0015</f>
        <v/>
      </c>
      <c r="R3928">
        <f>I3928*(1-Q3928)</f>
        <v/>
      </c>
      <c r="S3928">
        <f>R3928/R3927-1</f>
        <v/>
      </c>
      <c r="T3928">
        <f>MAX(T3927,R3928)</f>
        <v/>
      </c>
      <c r="U3928">
        <f>R3928/T3928-1</f>
        <v/>
      </c>
      <c r="V3928" t="n">
        <v>11.12199394202397</v>
      </c>
      <c r="W3928" s="5">
        <f>R3928-V3928</f>
        <v/>
      </c>
    </row>
    <row r="3929">
      <c r="A3929" s="3" t="n">
        <v>44225</v>
      </c>
      <c r="B3929">
        <f>Prices!B3929</f>
        <v/>
      </c>
      <c r="C3929">
        <f>Prices!C3929</f>
        <v/>
      </c>
      <c r="D3929">
        <f>Prices!D3929</f>
        <v/>
      </c>
      <c r="E3929">
        <f>Prices!E3929</f>
        <v/>
      </c>
      <c r="F3929">
        <f>Prices!F3929</f>
        <v/>
      </c>
      <c r="G3929">
        <f>IF(AND(3927&gt;=16,TEXT(A3929,"yyyy-mm")&lt;&gt;TEXT(A3930,"yyyy-mm")),1,0)</f>
        <v/>
      </c>
      <c r="H3929">
        <f>IF(OR(H3928=1,G3929=1),1,0)</f>
        <v/>
      </c>
      <c r="I3929">
        <f>IF(H3928=0,1,SUMPRODUCT(J3928:N3928,B3929:F3929)+O3928*(1+0.00023125256064071564))</f>
        <v/>
      </c>
      <c r="J3929">
        <f>IF(G3929=1,0.2*R3929/B3929,J3928)</f>
        <v/>
      </c>
      <c r="K3929">
        <f>IF(G3929=1,0.2*R3929/C3929,K3928)</f>
        <v/>
      </c>
      <c r="L3929">
        <f>IF(G3929=1,0.2*R3929/D3929,L3928)</f>
        <v/>
      </c>
      <c r="M3929">
        <f>IF(G3929=1,0.2*R3929/E3929,M3928)</f>
        <v/>
      </c>
      <c r="N3929">
        <f>IF(G3929=1,0.2*R3929/F3929,N3928)</f>
        <v/>
      </c>
      <c r="O3929">
        <f>IF(G3929=1,R3929*(1-1.0),IF(H3928=0,1,O3928*(1+0.00023125256064071564)))</f>
        <v/>
      </c>
      <c r="P3929">
        <f>IF(G3929=1,IF(H3928=0,1,ABS(0.2-J3928*B3929/I3929)+ABS(0.2-K3928*C3929/I3929)+ABS(0.2-L3928*D3929/I3929)+ABS(0.2-M3928*E3929/I3929)+ABS(0.2-N3928*F3929/I3929)),0)</f>
        <v/>
      </c>
      <c r="Q3929">
        <f>P3929*0.0015</f>
        <v/>
      </c>
      <c r="R3929">
        <f>I3929*(1-Q3929)</f>
        <v/>
      </c>
      <c r="S3929">
        <f>R3929/R3928-1</f>
        <v/>
      </c>
      <c r="T3929">
        <f>MAX(T3928,R3929)</f>
        <v/>
      </c>
      <c r="U3929">
        <f>R3929/T3929-1</f>
        <v/>
      </c>
      <c r="V3929" t="n">
        <v>10.96083853589322</v>
      </c>
      <c r="W3929" s="5">
        <f>R3929-V3929</f>
        <v/>
      </c>
    </row>
    <row r="3930">
      <c r="A3930" s="3" t="n">
        <v>44228</v>
      </c>
      <c r="B3930">
        <f>Prices!B3930</f>
        <v/>
      </c>
      <c r="C3930">
        <f>Prices!C3930</f>
        <v/>
      </c>
      <c r="D3930">
        <f>Prices!D3930</f>
        <v/>
      </c>
      <c r="E3930">
        <f>Prices!E3930</f>
        <v/>
      </c>
      <c r="F3930">
        <f>Prices!F3930</f>
        <v/>
      </c>
      <c r="G3930">
        <f>IF(AND(3928&gt;=16,TEXT(A3930,"yyyy-mm")&lt;&gt;TEXT(A3931,"yyyy-mm")),1,0)</f>
        <v/>
      </c>
      <c r="H3930">
        <f>IF(OR(H3929=1,G3930=1),1,0)</f>
        <v/>
      </c>
      <c r="I3930">
        <f>IF(H3929=0,1,SUMPRODUCT(J3929:N3929,B3930:F3930)+O3929*(1+0.00023125256064071564))</f>
        <v/>
      </c>
      <c r="J3930">
        <f>IF(G3930=1,0.2*R3930/B3930,J3929)</f>
        <v/>
      </c>
      <c r="K3930">
        <f>IF(G3930=1,0.2*R3930/C3930,K3929)</f>
        <v/>
      </c>
      <c r="L3930">
        <f>IF(G3930=1,0.2*R3930/D3930,L3929)</f>
        <v/>
      </c>
      <c r="M3930">
        <f>IF(G3930=1,0.2*R3930/E3930,M3929)</f>
        <v/>
      </c>
      <c r="N3930">
        <f>IF(G3930=1,0.2*R3930/F3930,N3929)</f>
        <v/>
      </c>
      <c r="O3930">
        <f>IF(G3930=1,R3930*(1-1.0),IF(H3929=0,1,O3929*(1+0.00023125256064071564)))</f>
        <v/>
      </c>
      <c r="P3930">
        <f>IF(G3930=1,IF(H3929=0,1,ABS(0.2-J3929*B3930/I3930)+ABS(0.2-K3929*C3930/I3930)+ABS(0.2-L3929*D3930/I3930)+ABS(0.2-M3929*E3930/I3930)+ABS(0.2-N3929*F3930/I3930)),0)</f>
        <v/>
      </c>
      <c r="Q3930">
        <f>P3930*0.0015</f>
        <v/>
      </c>
      <c r="R3930">
        <f>I3930*(1-Q3930)</f>
        <v/>
      </c>
      <c r="S3930">
        <f>R3930/R3929-1</f>
        <v/>
      </c>
      <c r="T3930">
        <f>MAX(T3929,R3930)</f>
        <v/>
      </c>
      <c r="U3930">
        <f>R3930/T3930-1</f>
        <v/>
      </c>
      <c r="V3930" t="n">
        <v>11.22057755090097</v>
      </c>
      <c r="W3930" s="5">
        <f>R3930-V3930</f>
        <v/>
      </c>
    </row>
    <row r="3931">
      <c r="A3931" s="3" t="n">
        <v>44229</v>
      </c>
      <c r="B3931">
        <f>Prices!B3931</f>
        <v/>
      </c>
      <c r="C3931">
        <f>Prices!C3931</f>
        <v/>
      </c>
      <c r="D3931">
        <f>Prices!D3931</f>
        <v/>
      </c>
      <c r="E3931">
        <f>Prices!E3931</f>
        <v/>
      </c>
      <c r="F3931">
        <f>Prices!F3931</f>
        <v/>
      </c>
      <c r="G3931">
        <f>IF(AND(3929&gt;=16,TEXT(A3931,"yyyy-mm")&lt;&gt;TEXT(A3932,"yyyy-mm")),1,0)</f>
        <v/>
      </c>
      <c r="H3931">
        <f>IF(OR(H3930=1,G3931=1),1,0)</f>
        <v/>
      </c>
      <c r="I3931">
        <f>IF(H3930=0,1,SUMPRODUCT(J3930:N3930,B3931:F3931)+O3930*(1+0.00023125256064071564))</f>
        <v/>
      </c>
      <c r="J3931">
        <f>IF(G3931=1,0.2*R3931/B3931,J3930)</f>
        <v/>
      </c>
      <c r="K3931">
        <f>IF(G3931=1,0.2*R3931/C3931,K3930)</f>
        <v/>
      </c>
      <c r="L3931">
        <f>IF(G3931=1,0.2*R3931/D3931,L3930)</f>
        <v/>
      </c>
      <c r="M3931">
        <f>IF(G3931=1,0.2*R3931/E3931,M3930)</f>
        <v/>
      </c>
      <c r="N3931">
        <f>IF(G3931=1,0.2*R3931/F3931,N3930)</f>
        <v/>
      </c>
      <c r="O3931">
        <f>IF(G3931=1,R3931*(1-1.0),IF(H3930=0,1,O3930*(1+0.00023125256064071564)))</f>
        <v/>
      </c>
      <c r="P3931">
        <f>IF(G3931=1,IF(H3930=0,1,ABS(0.2-J3930*B3931/I3931)+ABS(0.2-K3930*C3931/I3931)+ABS(0.2-L3930*D3931/I3931)+ABS(0.2-M3930*E3931/I3931)+ABS(0.2-N3930*F3931/I3931)),0)</f>
        <v/>
      </c>
      <c r="Q3931">
        <f>P3931*0.0015</f>
        <v/>
      </c>
      <c r="R3931">
        <f>I3931*(1-Q3931)</f>
        <v/>
      </c>
      <c r="S3931">
        <f>R3931/R3930-1</f>
        <v/>
      </c>
      <c r="T3931">
        <f>MAX(T3930,R3931)</f>
        <v/>
      </c>
      <c r="U3931">
        <f>R3931/T3931-1</f>
        <v/>
      </c>
      <c r="V3931" t="n">
        <v>11.44316262056314</v>
      </c>
      <c r="W3931" s="5">
        <f>R3931-V3931</f>
        <v/>
      </c>
    </row>
    <row r="3932">
      <c r="A3932" s="3" t="n">
        <v>44230</v>
      </c>
      <c r="B3932">
        <f>Prices!B3932</f>
        <v/>
      </c>
      <c r="C3932">
        <f>Prices!C3932</f>
        <v/>
      </c>
      <c r="D3932">
        <f>Prices!D3932</f>
        <v/>
      </c>
      <c r="E3932">
        <f>Prices!E3932</f>
        <v/>
      </c>
      <c r="F3932">
        <f>Prices!F3932</f>
        <v/>
      </c>
      <c r="G3932">
        <f>IF(AND(3930&gt;=16,TEXT(A3932,"yyyy-mm")&lt;&gt;TEXT(A3933,"yyyy-mm")),1,0)</f>
        <v/>
      </c>
      <c r="H3932">
        <f>IF(OR(H3931=1,G3932=1),1,0)</f>
        <v/>
      </c>
      <c r="I3932">
        <f>IF(H3931=0,1,SUMPRODUCT(J3931:N3931,B3932:F3932)+O3931*(1+0.00023125256064071564))</f>
        <v/>
      </c>
      <c r="J3932">
        <f>IF(G3932=1,0.2*R3932/B3932,J3931)</f>
        <v/>
      </c>
      <c r="K3932">
        <f>IF(G3932=1,0.2*R3932/C3932,K3931)</f>
        <v/>
      </c>
      <c r="L3932">
        <f>IF(G3932=1,0.2*R3932/D3932,L3931)</f>
        <v/>
      </c>
      <c r="M3932">
        <f>IF(G3932=1,0.2*R3932/E3932,M3931)</f>
        <v/>
      </c>
      <c r="N3932">
        <f>IF(G3932=1,0.2*R3932/F3932,N3931)</f>
        <v/>
      </c>
      <c r="O3932">
        <f>IF(G3932=1,R3932*(1-1.0),IF(H3931=0,1,O3931*(1+0.00023125256064071564)))</f>
        <v/>
      </c>
      <c r="P3932">
        <f>IF(G3932=1,IF(H3931=0,1,ABS(0.2-J3931*B3932/I3932)+ABS(0.2-K3931*C3932/I3932)+ABS(0.2-L3931*D3932/I3932)+ABS(0.2-M3931*E3932/I3932)+ABS(0.2-N3931*F3932/I3932)),0)</f>
        <v/>
      </c>
      <c r="Q3932">
        <f>P3932*0.0015</f>
        <v/>
      </c>
      <c r="R3932">
        <f>I3932*(1-Q3932)</f>
        <v/>
      </c>
      <c r="S3932">
        <f>R3932/R3931-1</f>
        <v/>
      </c>
      <c r="T3932">
        <f>MAX(T3931,R3932)</f>
        <v/>
      </c>
      <c r="U3932">
        <f>R3932/T3932-1</f>
        <v/>
      </c>
      <c r="V3932" t="n">
        <v>11.60674796295552</v>
      </c>
      <c r="W3932" s="5">
        <f>R3932-V3932</f>
        <v/>
      </c>
    </row>
    <row r="3933">
      <c r="A3933" s="3" t="n">
        <v>44231</v>
      </c>
      <c r="B3933">
        <f>Prices!B3933</f>
        <v/>
      </c>
      <c r="C3933">
        <f>Prices!C3933</f>
        <v/>
      </c>
      <c r="D3933">
        <f>Prices!D3933</f>
        <v/>
      </c>
      <c r="E3933">
        <f>Prices!E3933</f>
        <v/>
      </c>
      <c r="F3933">
        <f>Prices!F3933</f>
        <v/>
      </c>
      <c r="G3933">
        <f>IF(AND(3931&gt;=16,TEXT(A3933,"yyyy-mm")&lt;&gt;TEXT(A3934,"yyyy-mm")),1,0)</f>
        <v/>
      </c>
      <c r="H3933">
        <f>IF(OR(H3932=1,G3933=1),1,0)</f>
        <v/>
      </c>
      <c r="I3933">
        <f>IF(H3932=0,1,SUMPRODUCT(J3932:N3932,B3933:F3933)+O3932*(1+0.00023125256064071564))</f>
        <v/>
      </c>
      <c r="J3933">
        <f>IF(G3933=1,0.2*R3933/B3933,J3932)</f>
        <v/>
      </c>
      <c r="K3933">
        <f>IF(G3933=1,0.2*R3933/C3933,K3932)</f>
        <v/>
      </c>
      <c r="L3933">
        <f>IF(G3933=1,0.2*R3933/D3933,L3932)</f>
        <v/>
      </c>
      <c r="M3933">
        <f>IF(G3933=1,0.2*R3933/E3933,M3932)</f>
        <v/>
      </c>
      <c r="N3933">
        <f>IF(G3933=1,0.2*R3933/F3933,N3932)</f>
        <v/>
      </c>
      <c r="O3933">
        <f>IF(G3933=1,R3933*(1-1.0),IF(H3932=0,1,O3932*(1+0.00023125256064071564)))</f>
        <v/>
      </c>
      <c r="P3933">
        <f>IF(G3933=1,IF(H3932=0,1,ABS(0.2-J3932*B3933/I3933)+ABS(0.2-K3932*C3933/I3933)+ABS(0.2-L3932*D3933/I3933)+ABS(0.2-M3932*E3933/I3933)+ABS(0.2-N3932*F3933/I3933)),0)</f>
        <v/>
      </c>
      <c r="Q3933">
        <f>P3933*0.0015</f>
        <v/>
      </c>
      <c r="R3933">
        <f>I3933*(1-Q3933)</f>
        <v/>
      </c>
      <c r="S3933">
        <f>R3933/R3932-1</f>
        <v/>
      </c>
      <c r="T3933">
        <f>MAX(T3932,R3933)</f>
        <v/>
      </c>
      <c r="U3933">
        <f>R3933/T3933-1</f>
        <v/>
      </c>
      <c r="V3933" t="n">
        <v>11.75217097530016</v>
      </c>
      <c r="W3933" s="5">
        <f>R3933-V3933</f>
        <v/>
      </c>
    </row>
    <row r="3934">
      <c r="A3934" s="3" t="n">
        <v>44232</v>
      </c>
      <c r="B3934">
        <f>Prices!B3934</f>
        <v/>
      </c>
      <c r="C3934">
        <f>Prices!C3934</f>
        <v/>
      </c>
      <c r="D3934">
        <f>Prices!D3934</f>
        <v/>
      </c>
      <c r="E3934">
        <f>Prices!E3934</f>
        <v/>
      </c>
      <c r="F3934">
        <f>Prices!F3934</f>
        <v/>
      </c>
      <c r="G3934">
        <f>IF(AND(3932&gt;=16,TEXT(A3934,"yyyy-mm")&lt;&gt;TEXT(A3935,"yyyy-mm")),1,0)</f>
        <v/>
      </c>
      <c r="H3934">
        <f>IF(OR(H3933=1,G3934=1),1,0)</f>
        <v/>
      </c>
      <c r="I3934">
        <f>IF(H3933=0,1,SUMPRODUCT(J3933:N3933,B3934:F3934)+O3933*(1+0.00023125256064071564))</f>
        <v/>
      </c>
      <c r="J3934">
        <f>IF(G3934=1,0.2*R3934/B3934,J3933)</f>
        <v/>
      </c>
      <c r="K3934">
        <f>IF(G3934=1,0.2*R3934/C3934,K3933)</f>
        <v/>
      </c>
      <c r="L3934">
        <f>IF(G3934=1,0.2*R3934/D3934,L3933)</f>
        <v/>
      </c>
      <c r="M3934">
        <f>IF(G3934=1,0.2*R3934/E3934,M3933)</f>
        <v/>
      </c>
      <c r="N3934">
        <f>IF(G3934=1,0.2*R3934/F3934,N3933)</f>
        <v/>
      </c>
      <c r="O3934">
        <f>IF(G3934=1,R3934*(1-1.0),IF(H3933=0,1,O3933*(1+0.00023125256064071564)))</f>
        <v/>
      </c>
      <c r="P3934">
        <f>IF(G3934=1,IF(H3933=0,1,ABS(0.2-J3933*B3934/I3934)+ABS(0.2-K3933*C3934/I3934)+ABS(0.2-L3933*D3934/I3934)+ABS(0.2-M3933*E3934/I3934)+ABS(0.2-N3933*F3934/I3934)),0)</f>
        <v/>
      </c>
      <c r="Q3934">
        <f>P3934*0.0015</f>
        <v/>
      </c>
      <c r="R3934">
        <f>I3934*(1-Q3934)</f>
        <v/>
      </c>
      <c r="S3934">
        <f>R3934/R3933-1</f>
        <v/>
      </c>
      <c r="T3934">
        <f>MAX(T3933,R3934)</f>
        <v/>
      </c>
      <c r="U3934">
        <f>R3934/T3934-1</f>
        <v/>
      </c>
      <c r="V3934" t="n">
        <v>11.71750374564244</v>
      </c>
      <c r="W3934" s="5">
        <f>R3934-V3934</f>
        <v/>
      </c>
    </row>
    <row r="3935">
      <c r="A3935" s="3" t="n">
        <v>44235</v>
      </c>
      <c r="B3935">
        <f>Prices!B3935</f>
        <v/>
      </c>
      <c r="C3935">
        <f>Prices!C3935</f>
        <v/>
      </c>
      <c r="D3935">
        <f>Prices!D3935</f>
        <v/>
      </c>
      <c r="E3935">
        <f>Prices!E3935</f>
        <v/>
      </c>
      <c r="F3935">
        <f>Prices!F3935</f>
        <v/>
      </c>
      <c r="G3935">
        <f>IF(AND(3933&gt;=16,TEXT(A3935,"yyyy-mm")&lt;&gt;TEXT(A3936,"yyyy-mm")),1,0)</f>
        <v/>
      </c>
      <c r="H3935">
        <f>IF(OR(H3934=1,G3935=1),1,0)</f>
        <v/>
      </c>
      <c r="I3935">
        <f>IF(H3934=0,1,SUMPRODUCT(J3934:N3934,B3935:F3935)+O3934*(1+0.00023125256064071564))</f>
        <v/>
      </c>
      <c r="J3935">
        <f>IF(G3935=1,0.2*R3935/B3935,J3934)</f>
        <v/>
      </c>
      <c r="K3935">
        <f>IF(G3935=1,0.2*R3935/C3935,K3934)</f>
        <v/>
      </c>
      <c r="L3935">
        <f>IF(G3935=1,0.2*R3935/D3935,L3934)</f>
        <v/>
      </c>
      <c r="M3935">
        <f>IF(G3935=1,0.2*R3935/E3935,M3934)</f>
        <v/>
      </c>
      <c r="N3935">
        <f>IF(G3935=1,0.2*R3935/F3935,N3934)</f>
        <v/>
      </c>
      <c r="O3935">
        <f>IF(G3935=1,R3935*(1-1.0),IF(H3934=0,1,O3934*(1+0.00023125256064071564)))</f>
        <v/>
      </c>
      <c r="P3935">
        <f>IF(G3935=1,IF(H3934=0,1,ABS(0.2-J3934*B3935/I3935)+ABS(0.2-K3934*C3935/I3935)+ABS(0.2-L3934*D3935/I3935)+ABS(0.2-M3934*E3935/I3935)+ABS(0.2-N3934*F3935/I3935)),0)</f>
        <v/>
      </c>
      <c r="Q3935">
        <f>P3935*0.0015</f>
        <v/>
      </c>
      <c r="R3935">
        <f>I3935*(1-Q3935)</f>
        <v/>
      </c>
      <c r="S3935">
        <f>R3935/R3934-1</f>
        <v/>
      </c>
      <c r="T3935">
        <f>MAX(T3934,R3935)</f>
        <v/>
      </c>
      <c r="U3935">
        <f>R3935/T3935-1</f>
        <v/>
      </c>
      <c r="V3935" t="n">
        <v>11.84741987124876</v>
      </c>
      <c r="W3935" s="5">
        <f>R3935-V3935</f>
        <v/>
      </c>
    </row>
    <row r="3936">
      <c r="A3936" s="3" t="n">
        <v>44236</v>
      </c>
      <c r="B3936">
        <f>Prices!B3936</f>
        <v/>
      </c>
      <c r="C3936">
        <f>Prices!C3936</f>
        <v/>
      </c>
      <c r="D3936">
        <f>Prices!D3936</f>
        <v/>
      </c>
      <c r="E3936">
        <f>Prices!E3936</f>
        <v/>
      </c>
      <c r="F3936">
        <f>Prices!F3936</f>
        <v/>
      </c>
      <c r="G3936">
        <f>IF(AND(3934&gt;=16,TEXT(A3936,"yyyy-mm")&lt;&gt;TEXT(A3937,"yyyy-mm")),1,0)</f>
        <v/>
      </c>
      <c r="H3936">
        <f>IF(OR(H3935=1,G3936=1),1,0)</f>
        <v/>
      </c>
      <c r="I3936">
        <f>IF(H3935=0,1,SUMPRODUCT(J3935:N3935,B3936:F3936)+O3935*(1+0.00023125256064071564))</f>
        <v/>
      </c>
      <c r="J3936">
        <f>IF(G3936=1,0.2*R3936/B3936,J3935)</f>
        <v/>
      </c>
      <c r="K3936">
        <f>IF(G3936=1,0.2*R3936/C3936,K3935)</f>
        <v/>
      </c>
      <c r="L3936">
        <f>IF(G3936=1,0.2*R3936/D3936,L3935)</f>
        <v/>
      </c>
      <c r="M3936">
        <f>IF(G3936=1,0.2*R3936/E3936,M3935)</f>
        <v/>
      </c>
      <c r="N3936">
        <f>IF(G3936=1,0.2*R3936/F3936,N3935)</f>
        <v/>
      </c>
      <c r="O3936">
        <f>IF(G3936=1,R3936*(1-1.0),IF(H3935=0,1,O3935*(1+0.00023125256064071564)))</f>
        <v/>
      </c>
      <c r="P3936">
        <f>IF(G3936=1,IF(H3935=0,1,ABS(0.2-J3935*B3936/I3936)+ABS(0.2-K3935*C3936/I3936)+ABS(0.2-L3935*D3936/I3936)+ABS(0.2-M3935*E3936/I3936)+ABS(0.2-N3935*F3936/I3936)),0)</f>
        <v/>
      </c>
      <c r="Q3936">
        <f>P3936*0.0015</f>
        <v/>
      </c>
      <c r="R3936">
        <f>I3936*(1-Q3936)</f>
        <v/>
      </c>
      <c r="S3936">
        <f>R3936/R3935-1</f>
        <v/>
      </c>
      <c r="T3936">
        <f>MAX(T3935,R3936)</f>
        <v/>
      </c>
      <c r="U3936">
        <f>R3936/T3936-1</f>
        <v/>
      </c>
      <c r="V3936" t="n">
        <v>11.83665497080586</v>
      </c>
      <c r="W3936" s="5">
        <f>R3936-V3936</f>
        <v/>
      </c>
    </row>
    <row r="3937">
      <c r="A3937" s="3" t="n">
        <v>44237</v>
      </c>
      <c r="B3937">
        <f>Prices!B3937</f>
        <v/>
      </c>
      <c r="C3937">
        <f>Prices!C3937</f>
        <v/>
      </c>
      <c r="D3937">
        <f>Prices!D3937</f>
        <v/>
      </c>
      <c r="E3937">
        <f>Prices!E3937</f>
        <v/>
      </c>
      <c r="F3937">
        <f>Prices!F3937</f>
        <v/>
      </c>
      <c r="G3937">
        <f>IF(AND(3935&gt;=16,TEXT(A3937,"yyyy-mm")&lt;&gt;TEXT(A3938,"yyyy-mm")),1,0)</f>
        <v/>
      </c>
      <c r="H3937">
        <f>IF(OR(H3936=1,G3937=1),1,0)</f>
        <v/>
      </c>
      <c r="I3937">
        <f>IF(H3936=0,1,SUMPRODUCT(J3936:N3936,B3937:F3937)+O3936*(1+0.00023125256064071564))</f>
        <v/>
      </c>
      <c r="J3937">
        <f>IF(G3937=1,0.2*R3937/B3937,J3936)</f>
        <v/>
      </c>
      <c r="K3937">
        <f>IF(G3937=1,0.2*R3937/C3937,K3936)</f>
        <v/>
      </c>
      <c r="L3937">
        <f>IF(G3937=1,0.2*R3937/D3937,L3936)</f>
        <v/>
      </c>
      <c r="M3937">
        <f>IF(G3937=1,0.2*R3937/E3937,M3936)</f>
        <v/>
      </c>
      <c r="N3937">
        <f>IF(G3937=1,0.2*R3937/F3937,N3936)</f>
        <v/>
      </c>
      <c r="O3937">
        <f>IF(G3937=1,R3937*(1-1.0),IF(H3936=0,1,O3936*(1+0.00023125256064071564)))</f>
        <v/>
      </c>
      <c r="P3937">
        <f>IF(G3937=1,IF(H3936=0,1,ABS(0.2-J3936*B3937/I3937)+ABS(0.2-K3936*C3937/I3937)+ABS(0.2-L3936*D3937/I3937)+ABS(0.2-M3936*E3937/I3937)+ABS(0.2-N3936*F3937/I3937)),0)</f>
        <v/>
      </c>
      <c r="Q3937">
        <f>P3937*0.0015</f>
        <v/>
      </c>
      <c r="R3937">
        <f>I3937*(1-Q3937)</f>
        <v/>
      </c>
      <c r="S3937">
        <f>R3937/R3936-1</f>
        <v/>
      </c>
      <c r="T3937">
        <f>MAX(T3936,R3937)</f>
        <v/>
      </c>
      <c r="U3937">
        <f>R3937/T3937-1</f>
        <v/>
      </c>
      <c r="V3937" t="n">
        <v>11.90205125803299</v>
      </c>
      <c r="W3937" s="5">
        <f>R3937-V3937</f>
        <v/>
      </c>
    </row>
    <row r="3938">
      <c r="A3938" s="3" t="n">
        <v>44238</v>
      </c>
      <c r="B3938">
        <f>Prices!B3938</f>
        <v/>
      </c>
      <c r="C3938">
        <f>Prices!C3938</f>
        <v/>
      </c>
      <c r="D3938">
        <f>Prices!D3938</f>
        <v/>
      </c>
      <c r="E3938">
        <f>Prices!E3938</f>
        <v/>
      </c>
      <c r="F3938">
        <f>Prices!F3938</f>
        <v/>
      </c>
      <c r="G3938">
        <f>IF(AND(3936&gt;=16,TEXT(A3938,"yyyy-mm")&lt;&gt;TEXT(A3939,"yyyy-mm")),1,0)</f>
        <v/>
      </c>
      <c r="H3938">
        <f>IF(OR(H3937=1,G3938=1),1,0)</f>
        <v/>
      </c>
      <c r="I3938">
        <f>IF(H3937=0,1,SUMPRODUCT(J3937:N3937,B3938:F3938)+O3937*(1+0.00023125256064071564))</f>
        <v/>
      </c>
      <c r="J3938">
        <f>IF(G3938=1,0.2*R3938/B3938,J3937)</f>
        <v/>
      </c>
      <c r="K3938">
        <f>IF(G3938=1,0.2*R3938/C3938,K3937)</f>
        <v/>
      </c>
      <c r="L3938">
        <f>IF(G3938=1,0.2*R3938/D3938,L3937)</f>
        <v/>
      </c>
      <c r="M3938">
        <f>IF(G3938=1,0.2*R3938/E3938,M3937)</f>
        <v/>
      </c>
      <c r="N3938">
        <f>IF(G3938=1,0.2*R3938/F3938,N3937)</f>
        <v/>
      </c>
      <c r="O3938">
        <f>IF(G3938=1,R3938*(1-1.0),IF(H3937=0,1,O3937*(1+0.00023125256064071564)))</f>
        <v/>
      </c>
      <c r="P3938">
        <f>IF(G3938=1,IF(H3937=0,1,ABS(0.2-J3937*B3938/I3938)+ABS(0.2-K3937*C3938/I3938)+ABS(0.2-L3937*D3938/I3938)+ABS(0.2-M3937*E3938/I3938)+ABS(0.2-N3937*F3938/I3938)),0)</f>
        <v/>
      </c>
      <c r="Q3938">
        <f>P3938*0.0015</f>
        <v/>
      </c>
      <c r="R3938">
        <f>I3938*(1-Q3938)</f>
        <v/>
      </c>
      <c r="S3938">
        <f>R3938/R3937-1</f>
        <v/>
      </c>
      <c r="T3938">
        <f>MAX(T3937,R3938)</f>
        <v/>
      </c>
      <c r="U3938">
        <f>R3938/T3938-1</f>
        <v/>
      </c>
      <c r="V3938" t="n">
        <v>11.98161626092313</v>
      </c>
      <c r="W3938" s="5">
        <f>R3938-V3938</f>
        <v/>
      </c>
    </row>
    <row r="3939">
      <c r="A3939" s="3" t="n">
        <v>44239</v>
      </c>
      <c r="B3939">
        <f>Prices!B3939</f>
        <v/>
      </c>
      <c r="C3939">
        <f>Prices!C3939</f>
        <v/>
      </c>
      <c r="D3939">
        <f>Prices!D3939</f>
        <v/>
      </c>
      <c r="E3939">
        <f>Prices!E3939</f>
        <v/>
      </c>
      <c r="F3939">
        <f>Prices!F3939</f>
        <v/>
      </c>
      <c r="G3939">
        <f>IF(AND(3937&gt;=16,TEXT(A3939,"yyyy-mm")&lt;&gt;TEXT(A3940,"yyyy-mm")),1,0)</f>
        <v/>
      </c>
      <c r="H3939">
        <f>IF(OR(H3938=1,G3939=1),1,0)</f>
        <v/>
      </c>
      <c r="I3939">
        <f>IF(H3938=0,1,SUMPRODUCT(J3938:N3938,B3939:F3939)+O3938*(1+0.00023125256064071564))</f>
        <v/>
      </c>
      <c r="J3939">
        <f>IF(G3939=1,0.2*R3939/B3939,J3938)</f>
        <v/>
      </c>
      <c r="K3939">
        <f>IF(G3939=1,0.2*R3939/C3939,K3938)</f>
        <v/>
      </c>
      <c r="L3939">
        <f>IF(G3939=1,0.2*R3939/D3939,L3938)</f>
        <v/>
      </c>
      <c r="M3939">
        <f>IF(G3939=1,0.2*R3939/E3939,M3938)</f>
        <v/>
      </c>
      <c r="N3939">
        <f>IF(G3939=1,0.2*R3939/F3939,N3938)</f>
        <v/>
      </c>
      <c r="O3939">
        <f>IF(G3939=1,R3939*(1-1.0),IF(H3938=0,1,O3938*(1+0.00023125256064071564)))</f>
        <v/>
      </c>
      <c r="P3939">
        <f>IF(G3939=1,IF(H3938=0,1,ABS(0.2-J3938*B3939/I3939)+ABS(0.2-K3938*C3939/I3939)+ABS(0.2-L3938*D3939/I3939)+ABS(0.2-M3938*E3939/I3939)+ABS(0.2-N3938*F3939/I3939)),0)</f>
        <v/>
      </c>
      <c r="Q3939">
        <f>P3939*0.0015</f>
        <v/>
      </c>
      <c r="R3939">
        <f>I3939*(1-Q3939)</f>
        <v/>
      </c>
      <c r="S3939">
        <f>R3939/R3938-1</f>
        <v/>
      </c>
      <c r="T3939">
        <f>MAX(T3938,R3939)</f>
        <v/>
      </c>
      <c r="U3939">
        <f>R3939/T3939-1</f>
        <v/>
      </c>
      <c r="V3939" t="n">
        <v>11.92862948276217</v>
      </c>
      <c r="W3939" s="5">
        <f>R3939-V3939</f>
        <v/>
      </c>
    </row>
    <row r="3940">
      <c r="A3940" s="3" t="n">
        <v>44242</v>
      </c>
      <c r="B3940">
        <f>Prices!B3940</f>
        <v/>
      </c>
      <c r="C3940">
        <f>Prices!C3940</f>
        <v/>
      </c>
      <c r="D3940">
        <f>Prices!D3940</f>
        <v/>
      </c>
      <c r="E3940">
        <f>Prices!E3940</f>
        <v/>
      </c>
      <c r="F3940">
        <f>Prices!F3940</f>
        <v/>
      </c>
      <c r="G3940">
        <f>IF(AND(3938&gt;=16,TEXT(A3940,"yyyy-mm")&lt;&gt;TEXT(A3941,"yyyy-mm")),1,0)</f>
        <v/>
      </c>
      <c r="H3940">
        <f>IF(OR(H3939=1,G3940=1),1,0)</f>
        <v/>
      </c>
      <c r="I3940">
        <f>IF(H3939=0,1,SUMPRODUCT(J3939:N3939,B3940:F3940)+O3939*(1+0.00023125256064071564))</f>
        <v/>
      </c>
      <c r="J3940">
        <f>IF(G3940=1,0.2*R3940/B3940,J3939)</f>
        <v/>
      </c>
      <c r="K3940">
        <f>IF(G3940=1,0.2*R3940/C3940,K3939)</f>
        <v/>
      </c>
      <c r="L3940">
        <f>IF(G3940=1,0.2*R3940/D3940,L3939)</f>
        <v/>
      </c>
      <c r="M3940">
        <f>IF(G3940=1,0.2*R3940/E3940,M3939)</f>
        <v/>
      </c>
      <c r="N3940">
        <f>IF(G3940=1,0.2*R3940/F3940,N3939)</f>
        <v/>
      </c>
      <c r="O3940">
        <f>IF(G3940=1,R3940*(1-1.0),IF(H3939=0,1,O3939*(1+0.00023125256064071564)))</f>
        <v/>
      </c>
      <c r="P3940">
        <f>IF(G3940=1,IF(H3939=0,1,ABS(0.2-J3939*B3940/I3940)+ABS(0.2-K3939*C3940/I3940)+ABS(0.2-L3939*D3940/I3940)+ABS(0.2-M3939*E3940/I3940)+ABS(0.2-N3939*F3940/I3940)),0)</f>
        <v/>
      </c>
      <c r="Q3940">
        <f>P3940*0.0015</f>
        <v/>
      </c>
      <c r="R3940">
        <f>I3940*(1-Q3940)</f>
        <v/>
      </c>
      <c r="S3940">
        <f>R3940/R3939-1</f>
        <v/>
      </c>
      <c r="T3940">
        <f>MAX(T3939,R3940)</f>
        <v/>
      </c>
      <c r="U3940">
        <f>R3940/T3940-1</f>
        <v/>
      </c>
      <c r="V3940" t="n">
        <v>12.013734197137</v>
      </c>
      <c r="W3940" s="5">
        <f>R3940-V3940</f>
        <v/>
      </c>
    </row>
    <row r="3941">
      <c r="A3941" s="3" t="n">
        <v>44243</v>
      </c>
      <c r="B3941">
        <f>Prices!B3941</f>
        <v/>
      </c>
      <c r="C3941">
        <f>Prices!C3941</f>
        <v/>
      </c>
      <c r="D3941">
        <f>Prices!D3941</f>
        <v/>
      </c>
      <c r="E3941">
        <f>Prices!E3941</f>
        <v/>
      </c>
      <c r="F3941">
        <f>Prices!F3941</f>
        <v/>
      </c>
      <c r="G3941">
        <f>IF(AND(3939&gt;=16,TEXT(A3941,"yyyy-mm")&lt;&gt;TEXT(A3942,"yyyy-mm")),1,0)</f>
        <v/>
      </c>
      <c r="H3941">
        <f>IF(OR(H3940=1,G3941=1),1,0)</f>
        <v/>
      </c>
      <c r="I3941">
        <f>IF(H3940=0,1,SUMPRODUCT(J3940:N3940,B3941:F3941)+O3940*(1+0.00023125256064071564))</f>
        <v/>
      </c>
      <c r="J3941">
        <f>IF(G3941=1,0.2*R3941/B3941,J3940)</f>
        <v/>
      </c>
      <c r="K3941">
        <f>IF(G3941=1,0.2*R3941/C3941,K3940)</f>
        <v/>
      </c>
      <c r="L3941">
        <f>IF(G3941=1,0.2*R3941/D3941,L3940)</f>
        <v/>
      </c>
      <c r="M3941">
        <f>IF(G3941=1,0.2*R3941/E3941,M3940)</f>
        <v/>
      </c>
      <c r="N3941">
        <f>IF(G3941=1,0.2*R3941/F3941,N3940)</f>
        <v/>
      </c>
      <c r="O3941">
        <f>IF(G3941=1,R3941*(1-1.0),IF(H3940=0,1,O3940*(1+0.00023125256064071564)))</f>
        <v/>
      </c>
      <c r="P3941">
        <f>IF(G3941=1,IF(H3940=0,1,ABS(0.2-J3940*B3941/I3941)+ABS(0.2-K3940*C3941/I3941)+ABS(0.2-L3940*D3941/I3941)+ABS(0.2-M3940*E3941/I3941)+ABS(0.2-N3940*F3941/I3941)),0)</f>
        <v/>
      </c>
      <c r="Q3941">
        <f>P3941*0.0015</f>
        <v/>
      </c>
      <c r="R3941">
        <f>I3941*(1-Q3941)</f>
        <v/>
      </c>
      <c r="S3941">
        <f>R3941/R3940-1</f>
        <v/>
      </c>
      <c r="T3941">
        <f>MAX(T3940,R3941)</f>
        <v/>
      </c>
      <c r="U3941">
        <f>R3941/T3941-1</f>
        <v/>
      </c>
      <c r="V3941" t="n">
        <v>12.07692890396551</v>
      </c>
      <c r="W3941" s="5">
        <f>R3941-V3941</f>
        <v/>
      </c>
    </row>
    <row r="3942">
      <c r="A3942" s="3" t="n">
        <v>44244</v>
      </c>
      <c r="B3942">
        <f>Prices!B3942</f>
        <v/>
      </c>
      <c r="C3942">
        <f>Prices!C3942</f>
        <v/>
      </c>
      <c r="D3942">
        <f>Prices!D3942</f>
        <v/>
      </c>
      <c r="E3942">
        <f>Prices!E3942</f>
        <v/>
      </c>
      <c r="F3942">
        <f>Prices!F3942</f>
        <v/>
      </c>
      <c r="G3942">
        <f>IF(AND(3940&gt;=16,TEXT(A3942,"yyyy-mm")&lt;&gt;TEXT(A3943,"yyyy-mm")),1,0)</f>
        <v/>
      </c>
      <c r="H3942">
        <f>IF(OR(H3941=1,G3942=1),1,0)</f>
        <v/>
      </c>
      <c r="I3942">
        <f>IF(H3941=0,1,SUMPRODUCT(J3941:N3941,B3942:F3942)+O3941*(1+0.00023125256064071564))</f>
        <v/>
      </c>
      <c r="J3942">
        <f>IF(G3942=1,0.2*R3942/B3942,J3941)</f>
        <v/>
      </c>
      <c r="K3942">
        <f>IF(G3942=1,0.2*R3942/C3942,K3941)</f>
        <v/>
      </c>
      <c r="L3942">
        <f>IF(G3942=1,0.2*R3942/D3942,L3941)</f>
        <v/>
      </c>
      <c r="M3942">
        <f>IF(G3942=1,0.2*R3942/E3942,M3941)</f>
        <v/>
      </c>
      <c r="N3942">
        <f>IF(G3942=1,0.2*R3942/F3942,N3941)</f>
        <v/>
      </c>
      <c r="O3942">
        <f>IF(G3942=1,R3942*(1-1.0),IF(H3941=0,1,O3941*(1+0.00023125256064071564)))</f>
        <v/>
      </c>
      <c r="P3942">
        <f>IF(G3942=1,IF(H3941=0,1,ABS(0.2-J3941*B3942/I3942)+ABS(0.2-K3941*C3942/I3942)+ABS(0.2-L3941*D3942/I3942)+ABS(0.2-M3941*E3942/I3942)+ABS(0.2-N3941*F3942/I3942)),0)</f>
        <v/>
      </c>
      <c r="Q3942">
        <f>P3942*0.0015</f>
        <v/>
      </c>
      <c r="R3942">
        <f>I3942*(1-Q3942)</f>
        <v/>
      </c>
      <c r="S3942">
        <f>R3942/R3941-1</f>
        <v/>
      </c>
      <c r="T3942">
        <f>MAX(T3941,R3942)</f>
        <v/>
      </c>
      <c r="U3942">
        <f>R3942/T3942-1</f>
        <v/>
      </c>
      <c r="V3942" t="n">
        <v>12.05102711818194</v>
      </c>
      <c r="W3942" s="5">
        <f>R3942-V3942</f>
        <v/>
      </c>
    </row>
    <row r="3943">
      <c r="A3943" s="3" t="n">
        <v>44245</v>
      </c>
      <c r="B3943">
        <f>Prices!B3943</f>
        <v/>
      </c>
      <c r="C3943">
        <f>Prices!C3943</f>
        <v/>
      </c>
      <c r="D3943">
        <f>Prices!D3943</f>
        <v/>
      </c>
      <c r="E3943">
        <f>Prices!E3943</f>
        <v/>
      </c>
      <c r="F3943">
        <f>Prices!F3943</f>
        <v/>
      </c>
      <c r="G3943">
        <f>IF(AND(3941&gt;=16,TEXT(A3943,"yyyy-mm")&lt;&gt;TEXT(A3944,"yyyy-mm")),1,0)</f>
        <v/>
      </c>
      <c r="H3943">
        <f>IF(OR(H3942=1,G3943=1),1,0)</f>
        <v/>
      </c>
      <c r="I3943">
        <f>IF(H3942=0,1,SUMPRODUCT(J3942:N3942,B3943:F3943)+O3942*(1+0.00023125256064071564))</f>
        <v/>
      </c>
      <c r="J3943">
        <f>IF(G3943=1,0.2*R3943/B3943,J3942)</f>
        <v/>
      </c>
      <c r="K3943">
        <f>IF(G3943=1,0.2*R3943/C3943,K3942)</f>
        <v/>
      </c>
      <c r="L3943">
        <f>IF(G3943=1,0.2*R3943/D3943,L3942)</f>
        <v/>
      </c>
      <c r="M3943">
        <f>IF(G3943=1,0.2*R3943/E3943,M3942)</f>
        <v/>
      </c>
      <c r="N3943">
        <f>IF(G3943=1,0.2*R3943/F3943,N3942)</f>
        <v/>
      </c>
      <c r="O3943">
        <f>IF(G3943=1,R3943*(1-1.0),IF(H3942=0,1,O3942*(1+0.00023125256064071564)))</f>
        <v/>
      </c>
      <c r="P3943">
        <f>IF(G3943=1,IF(H3942=0,1,ABS(0.2-J3942*B3943/I3943)+ABS(0.2-K3942*C3943/I3943)+ABS(0.2-L3942*D3943/I3943)+ABS(0.2-M3942*E3943/I3943)+ABS(0.2-N3942*F3943/I3943)),0)</f>
        <v/>
      </c>
      <c r="Q3943">
        <f>P3943*0.0015</f>
        <v/>
      </c>
      <c r="R3943">
        <f>I3943*(1-Q3943)</f>
        <v/>
      </c>
      <c r="S3943">
        <f>R3943/R3942-1</f>
        <v/>
      </c>
      <c r="T3943">
        <f>MAX(T3942,R3943)</f>
        <v/>
      </c>
      <c r="U3943">
        <f>R3943/T3943-1</f>
        <v/>
      </c>
      <c r="V3943" t="n">
        <v>12.15666277175917</v>
      </c>
      <c r="W3943" s="5">
        <f>R3943-V3943</f>
        <v/>
      </c>
    </row>
    <row r="3944">
      <c r="A3944" s="3" t="n">
        <v>44246</v>
      </c>
      <c r="B3944">
        <f>Prices!B3944</f>
        <v/>
      </c>
      <c r="C3944">
        <f>Prices!C3944</f>
        <v/>
      </c>
      <c r="D3944">
        <f>Prices!D3944</f>
        <v/>
      </c>
      <c r="E3944">
        <f>Prices!E3944</f>
        <v/>
      </c>
      <c r="F3944">
        <f>Prices!F3944</f>
        <v/>
      </c>
      <c r="G3944">
        <f>IF(AND(3942&gt;=16,TEXT(A3944,"yyyy-mm")&lt;&gt;TEXT(A3945,"yyyy-mm")),1,0)</f>
        <v/>
      </c>
      <c r="H3944">
        <f>IF(OR(H3943=1,G3944=1),1,0)</f>
        <v/>
      </c>
      <c r="I3944">
        <f>IF(H3943=0,1,SUMPRODUCT(J3943:N3943,B3944:F3944)+O3943*(1+0.00023125256064071564))</f>
        <v/>
      </c>
      <c r="J3944">
        <f>IF(G3944=1,0.2*R3944/B3944,J3943)</f>
        <v/>
      </c>
      <c r="K3944">
        <f>IF(G3944=1,0.2*R3944/C3944,K3943)</f>
        <v/>
      </c>
      <c r="L3944">
        <f>IF(G3944=1,0.2*R3944/D3944,L3943)</f>
        <v/>
      </c>
      <c r="M3944">
        <f>IF(G3944=1,0.2*R3944/E3944,M3943)</f>
        <v/>
      </c>
      <c r="N3944">
        <f>IF(G3944=1,0.2*R3944/F3944,N3943)</f>
        <v/>
      </c>
      <c r="O3944">
        <f>IF(G3944=1,R3944*(1-1.0),IF(H3943=0,1,O3943*(1+0.00023125256064071564)))</f>
        <v/>
      </c>
      <c r="P3944">
        <f>IF(G3944=1,IF(H3943=0,1,ABS(0.2-J3943*B3944/I3944)+ABS(0.2-K3943*C3944/I3944)+ABS(0.2-L3943*D3944/I3944)+ABS(0.2-M3943*E3944/I3944)+ABS(0.2-N3943*F3944/I3944)),0)</f>
        <v/>
      </c>
      <c r="Q3944">
        <f>P3944*0.0015</f>
        <v/>
      </c>
      <c r="R3944">
        <f>I3944*(1-Q3944)</f>
        <v/>
      </c>
      <c r="S3944">
        <f>R3944/R3943-1</f>
        <v/>
      </c>
      <c r="T3944">
        <f>MAX(T3943,R3944)</f>
        <v/>
      </c>
      <c r="U3944">
        <f>R3944/T3944-1</f>
        <v/>
      </c>
      <c r="V3944" t="n">
        <v>12.00658319983652</v>
      </c>
      <c r="W3944" s="5">
        <f>R3944-V3944</f>
        <v/>
      </c>
    </row>
    <row r="3945">
      <c r="A3945" s="3" t="n">
        <v>44249</v>
      </c>
      <c r="B3945">
        <f>Prices!B3945</f>
        <v/>
      </c>
      <c r="C3945">
        <f>Prices!C3945</f>
        <v/>
      </c>
      <c r="D3945">
        <f>Prices!D3945</f>
        <v/>
      </c>
      <c r="E3945">
        <f>Prices!E3945</f>
        <v/>
      </c>
      <c r="F3945">
        <f>Prices!F3945</f>
        <v/>
      </c>
      <c r="G3945">
        <f>IF(AND(3943&gt;=16,TEXT(A3945,"yyyy-mm")&lt;&gt;TEXT(A3946,"yyyy-mm")),1,0)</f>
        <v/>
      </c>
      <c r="H3945">
        <f>IF(OR(H3944=1,G3945=1),1,0)</f>
        <v/>
      </c>
      <c r="I3945">
        <f>IF(H3944=0,1,SUMPRODUCT(J3944:N3944,B3945:F3945)+O3944*(1+0.00023125256064071564))</f>
        <v/>
      </c>
      <c r="J3945">
        <f>IF(G3945=1,0.2*R3945/B3945,J3944)</f>
        <v/>
      </c>
      <c r="K3945">
        <f>IF(G3945=1,0.2*R3945/C3945,K3944)</f>
        <v/>
      </c>
      <c r="L3945">
        <f>IF(G3945=1,0.2*R3945/D3945,L3944)</f>
        <v/>
      </c>
      <c r="M3945">
        <f>IF(G3945=1,0.2*R3945/E3945,M3944)</f>
        <v/>
      </c>
      <c r="N3945">
        <f>IF(G3945=1,0.2*R3945/F3945,N3944)</f>
        <v/>
      </c>
      <c r="O3945">
        <f>IF(G3945=1,R3945*(1-1.0),IF(H3944=0,1,O3944*(1+0.00023125256064071564)))</f>
        <v/>
      </c>
      <c r="P3945">
        <f>IF(G3945=1,IF(H3944=0,1,ABS(0.2-J3944*B3945/I3945)+ABS(0.2-K3944*C3945/I3945)+ABS(0.2-L3944*D3945/I3945)+ABS(0.2-M3944*E3945/I3945)+ABS(0.2-N3944*F3945/I3945)),0)</f>
        <v/>
      </c>
      <c r="Q3945">
        <f>P3945*0.0015</f>
        <v/>
      </c>
      <c r="R3945">
        <f>I3945*(1-Q3945)</f>
        <v/>
      </c>
      <c r="S3945">
        <f>R3945/R3944-1</f>
        <v/>
      </c>
      <c r="T3945">
        <f>MAX(T3944,R3945)</f>
        <v/>
      </c>
      <c r="U3945">
        <f>R3945/T3945-1</f>
        <v/>
      </c>
      <c r="V3945" t="n">
        <v>11.85500490481061</v>
      </c>
      <c r="W3945" s="5">
        <f>R3945-V3945</f>
        <v/>
      </c>
    </row>
    <row r="3946">
      <c r="A3946" s="3" t="n">
        <v>44250</v>
      </c>
      <c r="B3946">
        <f>Prices!B3946</f>
        <v/>
      </c>
      <c r="C3946">
        <f>Prices!C3946</f>
        <v/>
      </c>
      <c r="D3946">
        <f>Prices!D3946</f>
        <v/>
      </c>
      <c r="E3946">
        <f>Prices!E3946</f>
        <v/>
      </c>
      <c r="F3946">
        <f>Prices!F3946</f>
        <v/>
      </c>
      <c r="G3946">
        <f>IF(AND(3944&gt;=16,TEXT(A3946,"yyyy-mm")&lt;&gt;TEXT(A3947,"yyyy-mm")),1,0)</f>
        <v/>
      </c>
      <c r="H3946">
        <f>IF(OR(H3945=1,G3946=1),1,0)</f>
        <v/>
      </c>
      <c r="I3946">
        <f>IF(H3945=0,1,SUMPRODUCT(J3945:N3945,B3946:F3946)+O3945*(1+0.00023125256064071564))</f>
        <v/>
      </c>
      <c r="J3946">
        <f>IF(G3946=1,0.2*R3946/B3946,J3945)</f>
        <v/>
      </c>
      <c r="K3946">
        <f>IF(G3946=1,0.2*R3946/C3946,K3945)</f>
        <v/>
      </c>
      <c r="L3946">
        <f>IF(G3946=1,0.2*R3946/D3946,L3945)</f>
        <v/>
      </c>
      <c r="M3946">
        <f>IF(G3946=1,0.2*R3946/E3946,M3945)</f>
        <v/>
      </c>
      <c r="N3946">
        <f>IF(G3946=1,0.2*R3946/F3946,N3945)</f>
        <v/>
      </c>
      <c r="O3946">
        <f>IF(G3946=1,R3946*(1-1.0),IF(H3945=0,1,O3945*(1+0.00023125256064071564)))</f>
        <v/>
      </c>
      <c r="P3946">
        <f>IF(G3946=1,IF(H3945=0,1,ABS(0.2-J3945*B3946/I3946)+ABS(0.2-K3945*C3946/I3946)+ABS(0.2-L3945*D3946/I3946)+ABS(0.2-M3945*E3946/I3946)+ABS(0.2-N3945*F3946/I3946)),0)</f>
        <v/>
      </c>
      <c r="Q3946">
        <f>P3946*0.0015</f>
        <v/>
      </c>
      <c r="R3946">
        <f>I3946*(1-Q3946)</f>
        <v/>
      </c>
      <c r="S3946">
        <f>R3946/R3945-1</f>
        <v/>
      </c>
      <c r="T3946">
        <f>MAX(T3945,R3946)</f>
        <v/>
      </c>
      <c r="U3946">
        <f>R3946/T3946-1</f>
        <v/>
      </c>
      <c r="V3946" t="n">
        <v>11.94954601630239</v>
      </c>
      <c r="W3946" s="5">
        <f>R3946-V3946</f>
        <v/>
      </c>
    </row>
    <row r="3947">
      <c r="A3947" s="3" t="n">
        <v>44251</v>
      </c>
      <c r="B3947">
        <f>Prices!B3947</f>
        <v/>
      </c>
      <c r="C3947">
        <f>Prices!C3947</f>
        <v/>
      </c>
      <c r="D3947">
        <f>Prices!D3947</f>
        <v/>
      </c>
      <c r="E3947">
        <f>Prices!E3947</f>
        <v/>
      </c>
      <c r="F3947">
        <f>Prices!F3947</f>
        <v/>
      </c>
      <c r="G3947">
        <f>IF(AND(3945&gt;=16,TEXT(A3947,"yyyy-mm")&lt;&gt;TEXT(A3948,"yyyy-mm")),1,0)</f>
        <v/>
      </c>
      <c r="H3947">
        <f>IF(OR(H3946=1,G3947=1),1,0)</f>
        <v/>
      </c>
      <c r="I3947">
        <f>IF(H3946=0,1,SUMPRODUCT(J3946:N3946,B3947:F3947)+O3946*(1+0.00023125256064071564))</f>
        <v/>
      </c>
      <c r="J3947">
        <f>IF(G3947=1,0.2*R3947/B3947,J3946)</f>
        <v/>
      </c>
      <c r="K3947">
        <f>IF(G3947=1,0.2*R3947/C3947,K3946)</f>
        <v/>
      </c>
      <c r="L3947">
        <f>IF(G3947=1,0.2*R3947/D3947,L3946)</f>
        <v/>
      </c>
      <c r="M3947">
        <f>IF(G3947=1,0.2*R3947/E3947,M3946)</f>
        <v/>
      </c>
      <c r="N3947">
        <f>IF(G3947=1,0.2*R3947/F3947,N3946)</f>
        <v/>
      </c>
      <c r="O3947">
        <f>IF(G3947=1,R3947*(1-1.0),IF(H3946=0,1,O3946*(1+0.00023125256064071564)))</f>
        <v/>
      </c>
      <c r="P3947">
        <f>IF(G3947=1,IF(H3946=0,1,ABS(0.2-J3946*B3947/I3947)+ABS(0.2-K3946*C3947/I3947)+ABS(0.2-L3946*D3947/I3947)+ABS(0.2-M3946*E3947/I3947)+ABS(0.2-N3946*F3947/I3947)),0)</f>
        <v/>
      </c>
      <c r="Q3947">
        <f>P3947*0.0015</f>
        <v/>
      </c>
      <c r="R3947">
        <f>I3947*(1-Q3947)</f>
        <v/>
      </c>
      <c r="S3947">
        <f>R3947/R3946-1</f>
        <v/>
      </c>
      <c r="T3947">
        <f>MAX(T3946,R3947)</f>
        <v/>
      </c>
      <c r="U3947">
        <f>R3947/T3947-1</f>
        <v/>
      </c>
      <c r="V3947" t="n">
        <v>12.03013369215687</v>
      </c>
      <c r="W3947" s="5">
        <f>R3947-V3947</f>
        <v/>
      </c>
    </row>
    <row r="3948">
      <c r="A3948" s="3" t="n">
        <v>44252</v>
      </c>
      <c r="B3948">
        <f>Prices!B3948</f>
        <v/>
      </c>
      <c r="C3948">
        <f>Prices!C3948</f>
        <v/>
      </c>
      <c r="D3948">
        <f>Prices!D3948</f>
        <v/>
      </c>
      <c r="E3948">
        <f>Prices!E3948</f>
        <v/>
      </c>
      <c r="F3948">
        <f>Prices!F3948</f>
        <v/>
      </c>
      <c r="G3948">
        <f>IF(AND(3946&gt;=16,TEXT(A3948,"yyyy-mm")&lt;&gt;TEXT(A3949,"yyyy-mm")),1,0)</f>
        <v/>
      </c>
      <c r="H3948">
        <f>IF(OR(H3947=1,G3948=1),1,0)</f>
        <v/>
      </c>
      <c r="I3948">
        <f>IF(H3947=0,1,SUMPRODUCT(J3947:N3947,B3948:F3948)+O3947*(1+0.00023125256064071564))</f>
        <v/>
      </c>
      <c r="J3948">
        <f>IF(G3948=1,0.2*R3948/B3948,J3947)</f>
        <v/>
      </c>
      <c r="K3948">
        <f>IF(G3948=1,0.2*R3948/C3948,K3947)</f>
        <v/>
      </c>
      <c r="L3948">
        <f>IF(G3948=1,0.2*R3948/D3948,L3947)</f>
        <v/>
      </c>
      <c r="M3948">
        <f>IF(G3948=1,0.2*R3948/E3948,M3947)</f>
        <v/>
      </c>
      <c r="N3948">
        <f>IF(G3948=1,0.2*R3948/F3948,N3947)</f>
        <v/>
      </c>
      <c r="O3948">
        <f>IF(G3948=1,R3948*(1-1.0),IF(H3947=0,1,O3947*(1+0.00023125256064071564)))</f>
        <v/>
      </c>
      <c r="P3948">
        <f>IF(G3948=1,IF(H3947=0,1,ABS(0.2-J3947*B3948/I3948)+ABS(0.2-K3947*C3948/I3948)+ABS(0.2-L3947*D3948/I3948)+ABS(0.2-M3947*E3948/I3948)+ABS(0.2-N3947*F3948/I3948)),0)</f>
        <v/>
      </c>
      <c r="Q3948">
        <f>P3948*0.0015</f>
        <v/>
      </c>
      <c r="R3948">
        <f>I3948*(1-Q3948)</f>
        <v/>
      </c>
      <c r="S3948">
        <f>R3948/R3947-1</f>
        <v/>
      </c>
      <c r="T3948">
        <f>MAX(T3947,R3948)</f>
        <v/>
      </c>
      <c r="U3948">
        <f>R3948/T3948-1</f>
        <v/>
      </c>
      <c r="V3948" t="n">
        <v>12.18582977253995</v>
      </c>
      <c r="W3948" s="5">
        <f>R3948-V3948</f>
        <v/>
      </c>
    </row>
    <row r="3949">
      <c r="A3949" s="3" t="n">
        <v>44253</v>
      </c>
      <c r="B3949">
        <f>Prices!B3949</f>
        <v/>
      </c>
      <c r="C3949">
        <f>Prices!C3949</f>
        <v/>
      </c>
      <c r="D3949">
        <f>Prices!D3949</f>
        <v/>
      </c>
      <c r="E3949">
        <f>Prices!E3949</f>
        <v/>
      </c>
      <c r="F3949">
        <f>Prices!F3949</f>
        <v/>
      </c>
      <c r="G3949">
        <f>IF(AND(3947&gt;=16,TEXT(A3949,"yyyy-mm")&lt;&gt;TEXT(A3950,"yyyy-mm")),1,0)</f>
        <v/>
      </c>
      <c r="H3949">
        <f>IF(OR(H3948=1,G3949=1),1,0)</f>
        <v/>
      </c>
      <c r="I3949">
        <f>IF(H3948=0,1,SUMPRODUCT(J3948:N3948,B3949:F3949)+O3948*(1+0.00023125256064071564))</f>
        <v/>
      </c>
      <c r="J3949">
        <f>IF(G3949=1,0.2*R3949/B3949,J3948)</f>
        <v/>
      </c>
      <c r="K3949">
        <f>IF(G3949=1,0.2*R3949/C3949,K3948)</f>
        <v/>
      </c>
      <c r="L3949">
        <f>IF(G3949=1,0.2*R3949/D3949,L3948)</f>
        <v/>
      </c>
      <c r="M3949">
        <f>IF(G3949=1,0.2*R3949/E3949,M3948)</f>
        <v/>
      </c>
      <c r="N3949">
        <f>IF(G3949=1,0.2*R3949/F3949,N3948)</f>
        <v/>
      </c>
      <c r="O3949">
        <f>IF(G3949=1,R3949*(1-1.0),IF(H3948=0,1,O3948*(1+0.00023125256064071564)))</f>
        <v/>
      </c>
      <c r="P3949">
        <f>IF(G3949=1,IF(H3948=0,1,ABS(0.2-J3948*B3949/I3949)+ABS(0.2-K3948*C3949/I3949)+ABS(0.2-L3948*D3949/I3949)+ABS(0.2-M3948*E3949/I3949)+ABS(0.2-N3948*F3949/I3949)),0)</f>
        <v/>
      </c>
      <c r="Q3949">
        <f>P3949*0.0015</f>
        <v/>
      </c>
      <c r="R3949">
        <f>I3949*(1-Q3949)</f>
        <v/>
      </c>
      <c r="S3949">
        <f>R3949/R3948-1</f>
        <v/>
      </c>
      <c r="T3949">
        <f>MAX(T3948,R3949)</f>
        <v/>
      </c>
      <c r="U3949">
        <f>R3949/T3949-1</f>
        <v/>
      </c>
      <c r="V3949" t="n">
        <v>11.96005055493459</v>
      </c>
      <c r="W3949" s="5">
        <f>R3949-V3949</f>
        <v/>
      </c>
    </row>
    <row r="3950">
      <c r="A3950" s="3" t="n">
        <v>44256</v>
      </c>
      <c r="B3950">
        <f>Prices!B3950</f>
        <v/>
      </c>
      <c r="C3950">
        <f>Prices!C3950</f>
        <v/>
      </c>
      <c r="D3950">
        <f>Prices!D3950</f>
        <v/>
      </c>
      <c r="E3950">
        <f>Prices!E3950</f>
        <v/>
      </c>
      <c r="F3950">
        <f>Prices!F3950</f>
        <v/>
      </c>
      <c r="G3950">
        <f>IF(AND(3948&gt;=16,TEXT(A3950,"yyyy-mm")&lt;&gt;TEXT(A3951,"yyyy-mm")),1,0)</f>
        <v/>
      </c>
      <c r="H3950">
        <f>IF(OR(H3949=1,G3950=1),1,0)</f>
        <v/>
      </c>
      <c r="I3950">
        <f>IF(H3949=0,1,SUMPRODUCT(J3949:N3949,B3950:F3950)+O3949*(1+0.00023125256064071564))</f>
        <v/>
      </c>
      <c r="J3950">
        <f>IF(G3950=1,0.2*R3950/B3950,J3949)</f>
        <v/>
      </c>
      <c r="K3950">
        <f>IF(G3950=1,0.2*R3950/C3950,K3949)</f>
        <v/>
      </c>
      <c r="L3950">
        <f>IF(G3950=1,0.2*R3950/D3950,L3949)</f>
        <v/>
      </c>
      <c r="M3950">
        <f>IF(G3950=1,0.2*R3950/E3950,M3949)</f>
        <v/>
      </c>
      <c r="N3950">
        <f>IF(G3950=1,0.2*R3950/F3950,N3949)</f>
        <v/>
      </c>
      <c r="O3950">
        <f>IF(G3950=1,R3950*(1-1.0),IF(H3949=0,1,O3949*(1+0.00023125256064071564)))</f>
        <v/>
      </c>
      <c r="P3950">
        <f>IF(G3950=1,IF(H3949=0,1,ABS(0.2-J3949*B3950/I3950)+ABS(0.2-K3949*C3950/I3950)+ABS(0.2-L3949*D3950/I3950)+ABS(0.2-M3949*E3950/I3950)+ABS(0.2-N3949*F3950/I3950)),0)</f>
        <v/>
      </c>
      <c r="Q3950">
        <f>P3950*0.0015</f>
        <v/>
      </c>
      <c r="R3950">
        <f>I3950*(1-Q3950)</f>
        <v/>
      </c>
      <c r="S3950">
        <f>R3950/R3949-1</f>
        <v/>
      </c>
      <c r="T3950">
        <f>MAX(T3949,R3950)</f>
        <v/>
      </c>
      <c r="U3950">
        <f>R3950/T3950-1</f>
        <v/>
      </c>
      <c r="V3950" t="n">
        <v>12.15091271873973</v>
      </c>
      <c r="W3950" s="5">
        <f>R3950-V3950</f>
        <v/>
      </c>
    </row>
    <row r="3951">
      <c r="A3951" s="3" t="n">
        <v>44257</v>
      </c>
      <c r="B3951">
        <f>Prices!B3951</f>
        <v/>
      </c>
      <c r="C3951">
        <f>Prices!C3951</f>
        <v/>
      </c>
      <c r="D3951">
        <f>Prices!D3951</f>
        <v/>
      </c>
      <c r="E3951">
        <f>Prices!E3951</f>
        <v/>
      </c>
      <c r="F3951">
        <f>Prices!F3951</f>
        <v/>
      </c>
      <c r="G3951">
        <f>IF(AND(3949&gt;=16,TEXT(A3951,"yyyy-mm")&lt;&gt;TEXT(A3952,"yyyy-mm")),1,0)</f>
        <v/>
      </c>
      <c r="H3951">
        <f>IF(OR(H3950=1,G3951=1),1,0)</f>
        <v/>
      </c>
      <c r="I3951">
        <f>IF(H3950=0,1,SUMPRODUCT(J3950:N3950,B3951:F3951)+O3950*(1+0.00023125256064071564))</f>
        <v/>
      </c>
      <c r="J3951">
        <f>IF(G3951=1,0.2*R3951/B3951,J3950)</f>
        <v/>
      </c>
      <c r="K3951">
        <f>IF(G3951=1,0.2*R3951/C3951,K3950)</f>
        <v/>
      </c>
      <c r="L3951">
        <f>IF(G3951=1,0.2*R3951/D3951,L3950)</f>
        <v/>
      </c>
      <c r="M3951">
        <f>IF(G3951=1,0.2*R3951/E3951,M3950)</f>
        <v/>
      </c>
      <c r="N3951">
        <f>IF(G3951=1,0.2*R3951/F3951,N3950)</f>
        <v/>
      </c>
      <c r="O3951">
        <f>IF(G3951=1,R3951*(1-1.0),IF(H3950=0,1,O3950*(1+0.00023125256064071564)))</f>
        <v/>
      </c>
      <c r="P3951">
        <f>IF(G3951=1,IF(H3950=0,1,ABS(0.2-J3950*B3951/I3951)+ABS(0.2-K3950*C3951/I3951)+ABS(0.2-L3950*D3951/I3951)+ABS(0.2-M3950*E3951/I3951)+ABS(0.2-N3950*F3951/I3951)),0)</f>
        <v/>
      </c>
      <c r="Q3951">
        <f>P3951*0.0015</f>
        <v/>
      </c>
      <c r="R3951">
        <f>I3951*(1-Q3951)</f>
        <v/>
      </c>
      <c r="S3951">
        <f>R3951/R3950-1</f>
        <v/>
      </c>
      <c r="T3951">
        <f>MAX(T3950,R3951)</f>
        <v/>
      </c>
      <c r="U3951">
        <f>R3951/T3951-1</f>
        <v/>
      </c>
      <c r="V3951" t="n">
        <v>12.34214410493835</v>
      </c>
      <c r="W3951" s="5">
        <f>R3951-V3951</f>
        <v/>
      </c>
    </row>
    <row r="3952">
      <c r="A3952" s="3" t="n">
        <v>44258</v>
      </c>
      <c r="B3952">
        <f>Prices!B3952</f>
        <v/>
      </c>
      <c r="C3952">
        <f>Prices!C3952</f>
        <v/>
      </c>
      <c r="D3952">
        <f>Prices!D3952</f>
        <v/>
      </c>
      <c r="E3952">
        <f>Prices!E3952</f>
        <v/>
      </c>
      <c r="F3952">
        <f>Prices!F3952</f>
        <v/>
      </c>
      <c r="G3952">
        <f>IF(AND(3950&gt;=16,TEXT(A3952,"yyyy-mm")&lt;&gt;TEXT(A3953,"yyyy-mm")),1,0)</f>
        <v/>
      </c>
      <c r="H3952">
        <f>IF(OR(H3951=1,G3952=1),1,0)</f>
        <v/>
      </c>
      <c r="I3952">
        <f>IF(H3951=0,1,SUMPRODUCT(J3951:N3951,B3952:F3952)+O3951*(1+0.00023125256064071564))</f>
        <v/>
      </c>
      <c r="J3952">
        <f>IF(G3952=1,0.2*R3952/B3952,J3951)</f>
        <v/>
      </c>
      <c r="K3952">
        <f>IF(G3952=1,0.2*R3952/C3952,K3951)</f>
        <v/>
      </c>
      <c r="L3952">
        <f>IF(G3952=1,0.2*R3952/D3952,L3951)</f>
        <v/>
      </c>
      <c r="M3952">
        <f>IF(G3952=1,0.2*R3952/E3952,M3951)</f>
        <v/>
      </c>
      <c r="N3952">
        <f>IF(G3952=1,0.2*R3952/F3952,N3951)</f>
        <v/>
      </c>
      <c r="O3952">
        <f>IF(G3952=1,R3952*(1-1.0),IF(H3951=0,1,O3951*(1+0.00023125256064071564)))</f>
        <v/>
      </c>
      <c r="P3952">
        <f>IF(G3952=1,IF(H3951=0,1,ABS(0.2-J3951*B3952/I3952)+ABS(0.2-K3951*C3952/I3952)+ABS(0.2-L3951*D3952/I3952)+ABS(0.2-M3951*E3952/I3952)+ABS(0.2-N3951*F3952/I3952)),0)</f>
        <v/>
      </c>
      <c r="Q3952">
        <f>P3952*0.0015</f>
        <v/>
      </c>
      <c r="R3952">
        <f>I3952*(1-Q3952)</f>
        <v/>
      </c>
      <c r="S3952">
        <f>R3952/R3951-1</f>
        <v/>
      </c>
      <c r="T3952">
        <f>MAX(T3951,R3952)</f>
        <v/>
      </c>
      <c r="U3952">
        <f>R3952/T3952-1</f>
        <v/>
      </c>
      <c r="V3952" t="n">
        <v>12.53077253111322</v>
      </c>
      <c r="W3952" s="5">
        <f>R3952-V3952</f>
        <v/>
      </c>
    </row>
    <row r="3953">
      <c r="A3953" s="3" t="n">
        <v>44259</v>
      </c>
      <c r="B3953">
        <f>Prices!B3953</f>
        <v/>
      </c>
      <c r="C3953">
        <f>Prices!C3953</f>
        <v/>
      </c>
      <c r="D3953">
        <f>Prices!D3953</f>
        <v/>
      </c>
      <c r="E3953">
        <f>Prices!E3953</f>
        <v/>
      </c>
      <c r="F3953">
        <f>Prices!F3953</f>
        <v/>
      </c>
      <c r="G3953">
        <f>IF(AND(3951&gt;=16,TEXT(A3953,"yyyy-mm")&lt;&gt;TEXT(A3954,"yyyy-mm")),1,0)</f>
        <v/>
      </c>
      <c r="H3953">
        <f>IF(OR(H3952=1,G3953=1),1,0)</f>
        <v/>
      </c>
      <c r="I3953">
        <f>IF(H3952=0,1,SUMPRODUCT(J3952:N3952,B3953:F3953)+O3952*(1+0.00023125256064071564))</f>
        <v/>
      </c>
      <c r="J3953">
        <f>IF(G3953=1,0.2*R3953/B3953,J3952)</f>
        <v/>
      </c>
      <c r="K3953">
        <f>IF(G3953=1,0.2*R3953/C3953,K3952)</f>
        <v/>
      </c>
      <c r="L3953">
        <f>IF(G3953=1,0.2*R3953/D3953,L3952)</f>
        <v/>
      </c>
      <c r="M3953">
        <f>IF(G3953=1,0.2*R3953/E3953,M3952)</f>
        <v/>
      </c>
      <c r="N3953">
        <f>IF(G3953=1,0.2*R3953/F3953,N3952)</f>
        <v/>
      </c>
      <c r="O3953">
        <f>IF(G3953=1,R3953*(1-1.0),IF(H3952=0,1,O3952*(1+0.00023125256064071564)))</f>
        <v/>
      </c>
      <c r="P3953">
        <f>IF(G3953=1,IF(H3952=0,1,ABS(0.2-J3952*B3953/I3953)+ABS(0.2-K3952*C3953/I3953)+ABS(0.2-L3952*D3953/I3953)+ABS(0.2-M3952*E3953/I3953)+ABS(0.2-N3952*F3953/I3953)),0)</f>
        <v/>
      </c>
      <c r="Q3953">
        <f>P3953*0.0015</f>
        <v/>
      </c>
      <c r="R3953">
        <f>I3953*(1-Q3953)</f>
        <v/>
      </c>
      <c r="S3953">
        <f>R3953/R3952-1</f>
        <v/>
      </c>
      <c r="T3953">
        <f>MAX(T3952,R3953)</f>
        <v/>
      </c>
      <c r="U3953">
        <f>R3953/T3953-1</f>
        <v/>
      </c>
      <c r="V3953" t="n">
        <v>12.53851455966534</v>
      </c>
      <c r="W3953" s="5">
        <f>R3953-V3953</f>
        <v/>
      </c>
    </row>
    <row r="3954">
      <c r="A3954" s="3" t="n">
        <v>44260</v>
      </c>
      <c r="B3954">
        <f>Prices!B3954</f>
        <v/>
      </c>
      <c r="C3954">
        <f>Prices!C3954</f>
        <v/>
      </c>
      <c r="D3954">
        <f>Prices!D3954</f>
        <v/>
      </c>
      <c r="E3954">
        <f>Prices!E3954</f>
        <v/>
      </c>
      <c r="F3954">
        <f>Prices!F3954</f>
        <v/>
      </c>
      <c r="G3954">
        <f>IF(AND(3952&gt;=16,TEXT(A3954,"yyyy-mm")&lt;&gt;TEXT(A3955,"yyyy-mm")),1,0)</f>
        <v/>
      </c>
      <c r="H3954">
        <f>IF(OR(H3953=1,G3954=1),1,0)</f>
        <v/>
      </c>
      <c r="I3954">
        <f>IF(H3953=0,1,SUMPRODUCT(J3953:N3953,B3954:F3954)+O3953*(1+0.00023125256064071564))</f>
        <v/>
      </c>
      <c r="J3954">
        <f>IF(G3954=1,0.2*R3954/B3954,J3953)</f>
        <v/>
      </c>
      <c r="K3954">
        <f>IF(G3954=1,0.2*R3954/C3954,K3953)</f>
        <v/>
      </c>
      <c r="L3954">
        <f>IF(G3954=1,0.2*R3954/D3954,L3953)</f>
        <v/>
      </c>
      <c r="M3954">
        <f>IF(G3954=1,0.2*R3954/E3954,M3953)</f>
        <v/>
      </c>
      <c r="N3954">
        <f>IF(G3954=1,0.2*R3954/F3954,N3953)</f>
        <v/>
      </c>
      <c r="O3954">
        <f>IF(G3954=1,R3954*(1-1.0),IF(H3953=0,1,O3953*(1+0.00023125256064071564)))</f>
        <v/>
      </c>
      <c r="P3954">
        <f>IF(G3954=1,IF(H3953=0,1,ABS(0.2-J3953*B3954/I3954)+ABS(0.2-K3953*C3954/I3954)+ABS(0.2-L3953*D3954/I3954)+ABS(0.2-M3953*E3954/I3954)+ABS(0.2-N3953*F3954/I3954)),0)</f>
        <v/>
      </c>
      <c r="Q3954">
        <f>P3954*0.0015</f>
        <v/>
      </c>
      <c r="R3954">
        <f>I3954*(1-Q3954)</f>
        <v/>
      </c>
      <c r="S3954">
        <f>R3954/R3953-1</f>
        <v/>
      </c>
      <c r="T3954">
        <f>MAX(T3953,R3954)</f>
        <v/>
      </c>
      <c r="U3954">
        <f>R3954/T3954-1</f>
        <v/>
      </c>
      <c r="V3954" t="n">
        <v>12.35870932995293</v>
      </c>
      <c r="W3954" s="5">
        <f>R3954-V3954</f>
        <v/>
      </c>
    </row>
    <row r="3955">
      <c r="A3955" s="3" t="n">
        <v>44263</v>
      </c>
      <c r="B3955">
        <f>Prices!B3955</f>
        <v/>
      </c>
      <c r="C3955">
        <f>Prices!C3955</f>
        <v/>
      </c>
      <c r="D3955">
        <f>Prices!D3955</f>
        <v/>
      </c>
      <c r="E3955">
        <f>Prices!E3955</f>
        <v/>
      </c>
      <c r="F3955">
        <f>Prices!F3955</f>
        <v/>
      </c>
      <c r="G3955">
        <f>IF(AND(3953&gt;=16,TEXT(A3955,"yyyy-mm")&lt;&gt;TEXT(A3956,"yyyy-mm")),1,0)</f>
        <v/>
      </c>
      <c r="H3955">
        <f>IF(OR(H3954=1,G3955=1),1,0)</f>
        <v/>
      </c>
      <c r="I3955">
        <f>IF(H3954=0,1,SUMPRODUCT(J3954:N3954,B3955:F3955)+O3954*(1+0.00023125256064071564))</f>
        <v/>
      </c>
      <c r="J3955">
        <f>IF(G3955=1,0.2*R3955/B3955,J3954)</f>
        <v/>
      </c>
      <c r="K3955">
        <f>IF(G3955=1,0.2*R3955/C3955,K3954)</f>
        <v/>
      </c>
      <c r="L3955">
        <f>IF(G3955=1,0.2*R3955/D3955,L3954)</f>
        <v/>
      </c>
      <c r="M3955">
        <f>IF(G3955=1,0.2*R3955/E3955,M3954)</f>
        <v/>
      </c>
      <c r="N3955">
        <f>IF(G3955=1,0.2*R3955/F3955,N3954)</f>
        <v/>
      </c>
      <c r="O3955">
        <f>IF(G3955=1,R3955*(1-1.0),IF(H3954=0,1,O3954*(1+0.00023125256064071564)))</f>
        <v/>
      </c>
      <c r="P3955">
        <f>IF(G3955=1,IF(H3954=0,1,ABS(0.2-J3954*B3955/I3955)+ABS(0.2-K3954*C3955/I3955)+ABS(0.2-L3954*D3955/I3955)+ABS(0.2-M3954*E3955/I3955)+ABS(0.2-N3954*F3955/I3955)),0)</f>
        <v/>
      </c>
      <c r="Q3955">
        <f>P3955*0.0015</f>
        <v/>
      </c>
      <c r="R3955">
        <f>I3955*(1-Q3955)</f>
        <v/>
      </c>
      <c r="S3955">
        <f>R3955/R3954-1</f>
        <v/>
      </c>
      <c r="T3955">
        <f>MAX(T3954,R3955)</f>
        <v/>
      </c>
      <c r="U3955">
        <f>R3955/T3955-1</f>
        <v/>
      </c>
      <c r="V3955" t="n">
        <v>12.38748145917404</v>
      </c>
      <c r="W3955" s="5">
        <f>R3955-V3955</f>
        <v/>
      </c>
    </row>
    <row r="3956">
      <c r="A3956" s="3" t="n">
        <v>44264</v>
      </c>
      <c r="B3956">
        <f>Prices!B3956</f>
        <v/>
      </c>
      <c r="C3956">
        <f>Prices!C3956</f>
        <v/>
      </c>
      <c r="D3956">
        <f>Prices!D3956</f>
        <v/>
      </c>
      <c r="E3956">
        <f>Prices!E3956</f>
        <v/>
      </c>
      <c r="F3956">
        <f>Prices!F3956</f>
        <v/>
      </c>
      <c r="G3956">
        <f>IF(AND(3954&gt;=16,TEXT(A3956,"yyyy-mm")&lt;&gt;TEXT(A3957,"yyyy-mm")),1,0)</f>
        <v/>
      </c>
      <c r="H3956">
        <f>IF(OR(H3955=1,G3956=1),1,0)</f>
        <v/>
      </c>
      <c r="I3956">
        <f>IF(H3955=0,1,SUMPRODUCT(J3955:N3955,B3956:F3956)+O3955*(1+0.00023125256064071564))</f>
        <v/>
      </c>
      <c r="J3956">
        <f>IF(G3956=1,0.2*R3956/B3956,J3955)</f>
        <v/>
      </c>
      <c r="K3956">
        <f>IF(G3956=1,0.2*R3956/C3956,K3955)</f>
        <v/>
      </c>
      <c r="L3956">
        <f>IF(G3956=1,0.2*R3956/D3956,L3955)</f>
        <v/>
      </c>
      <c r="M3956">
        <f>IF(G3956=1,0.2*R3956/E3956,M3955)</f>
        <v/>
      </c>
      <c r="N3956">
        <f>IF(G3956=1,0.2*R3956/F3956,N3955)</f>
        <v/>
      </c>
      <c r="O3956">
        <f>IF(G3956=1,R3956*(1-1.0),IF(H3955=0,1,O3955*(1+0.00023125256064071564)))</f>
        <v/>
      </c>
      <c r="P3956">
        <f>IF(G3956=1,IF(H3955=0,1,ABS(0.2-J3955*B3956/I3956)+ABS(0.2-K3955*C3956/I3956)+ABS(0.2-L3955*D3956/I3956)+ABS(0.2-M3955*E3956/I3956)+ABS(0.2-N3955*F3956/I3956)),0)</f>
        <v/>
      </c>
      <c r="Q3956">
        <f>P3956*0.0015</f>
        <v/>
      </c>
      <c r="R3956">
        <f>I3956*(1-Q3956)</f>
        <v/>
      </c>
      <c r="S3956">
        <f>R3956/R3955-1</f>
        <v/>
      </c>
      <c r="T3956">
        <f>MAX(T3955,R3956)</f>
        <v/>
      </c>
      <c r="U3956">
        <f>R3956/T3956-1</f>
        <v/>
      </c>
      <c r="V3956" t="n">
        <v>12.34021184003752</v>
      </c>
      <c r="W3956" s="5">
        <f>R3956-V3956</f>
        <v/>
      </c>
    </row>
    <row r="3957">
      <c r="A3957" s="3" t="n">
        <v>44265</v>
      </c>
      <c r="B3957">
        <f>Prices!B3957</f>
        <v/>
      </c>
      <c r="C3957">
        <f>Prices!C3957</f>
        <v/>
      </c>
      <c r="D3957">
        <f>Prices!D3957</f>
        <v/>
      </c>
      <c r="E3957">
        <f>Prices!E3957</f>
        <v/>
      </c>
      <c r="F3957">
        <f>Prices!F3957</f>
        <v/>
      </c>
      <c r="G3957">
        <f>IF(AND(3955&gt;=16,TEXT(A3957,"yyyy-mm")&lt;&gt;TEXT(A3958,"yyyy-mm")),1,0)</f>
        <v/>
      </c>
      <c r="H3957">
        <f>IF(OR(H3956=1,G3957=1),1,0)</f>
        <v/>
      </c>
      <c r="I3957">
        <f>IF(H3956=0,1,SUMPRODUCT(J3956:N3956,B3957:F3957)+O3956*(1+0.00023125256064071564))</f>
        <v/>
      </c>
      <c r="J3957">
        <f>IF(G3957=1,0.2*R3957/B3957,J3956)</f>
        <v/>
      </c>
      <c r="K3957">
        <f>IF(G3957=1,0.2*R3957/C3957,K3956)</f>
        <v/>
      </c>
      <c r="L3957">
        <f>IF(G3957=1,0.2*R3957/D3957,L3956)</f>
        <v/>
      </c>
      <c r="M3957">
        <f>IF(G3957=1,0.2*R3957/E3957,M3956)</f>
        <v/>
      </c>
      <c r="N3957">
        <f>IF(G3957=1,0.2*R3957/F3957,N3956)</f>
        <v/>
      </c>
      <c r="O3957">
        <f>IF(G3957=1,R3957*(1-1.0),IF(H3956=0,1,O3956*(1+0.00023125256064071564)))</f>
        <v/>
      </c>
      <c r="P3957">
        <f>IF(G3957=1,IF(H3956=0,1,ABS(0.2-J3956*B3957/I3957)+ABS(0.2-K3956*C3957/I3957)+ABS(0.2-L3956*D3957/I3957)+ABS(0.2-M3956*E3957/I3957)+ABS(0.2-N3956*F3957/I3957)),0)</f>
        <v/>
      </c>
      <c r="Q3957">
        <f>P3957*0.0015</f>
        <v/>
      </c>
      <c r="R3957">
        <f>I3957*(1-Q3957)</f>
        <v/>
      </c>
      <c r="S3957">
        <f>R3957/R3956-1</f>
        <v/>
      </c>
      <c r="T3957">
        <f>MAX(T3956,R3957)</f>
        <v/>
      </c>
      <c r="U3957">
        <f>R3957/T3957-1</f>
        <v/>
      </c>
      <c r="V3957" t="n">
        <v>12.47216970901326</v>
      </c>
      <c r="W3957" s="5">
        <f>R3957-V3957</f>
        <v/>
      </c>
    </row>
    <row r="3958">
      <c r="A3958" s="3" t="n">
        <v>44267</v>
      </c>
      <c r="B3958">
        <f>Prices!B3958</f>
        <v/>
      </c>
      <c r="C3958">
        <f>Prices!C3958</f>
        <v/>
      </c>
      <c r="D3958">
        <f>Prices!D3958</f>
        <v/>
      </c>
      <c r="E3958">
        <f>Prices!E3958</f>
        <v/>
      </c>
      <c r="F3958">
        <f>Prices!F3958</f>
        <v/>
      </c>
      <c r="G3958">
        <f>IF(AND(3956&gt;=16,TEXT(A3958,"yyyy-mm")&lt;&gt;TEXT(A3959,"yyyy-mm")),1,0)</f>
        <v/>
      </c>
      <c r="H3958">
        <f>IF(OR(H3957=1,G3958=1),1,0)</f>
        <v/>
      </c>
      <c r="I3958">
        <f>IF(H3957=0,1,SUMPRODUCT(J3957:N3957,B3958:F3958)+O3957*(1+0.00023125256064071564))</f>
        <v/>
      </c>
      <c r="J3958">
        <f>IF(G3958=1,0.2*R3958/B3958,J3957)</f>
        <v/>
      </c>
      <c r="K3958">
        <f>IF(G3958=1,0.2*R3958/C3958,K3957)</f>
        <v/>
      </c>
      <c r="L3958">
        <f>IF(G3958=1,0.2*R3958/D3958,L3957)</f>
        <v/>
      </c>
      <c r="M3958">
        <f>IF(G3958=1,0.2*R3958/E3958,M3957)</f>
        <v/>
      </c>
      <c r="N3958">
        <f>IF(G3958=1,0.2*R3958/F3958,N3957)</f>
        <v/>
      </c>
      <c r="O3958">
        <f>IF(G3958=1,R3958*(1-1.0),IF(H3957=0,1,O3957*(1+0.00023125256064071564)))</f>
        <v/>
      </c>
      <c r="P3958">
        <f>IF(G3958=1,IF(H3957=0,1,ABS(0.2-J3957*B3958/I3958)+ABS(0.2-K3957*C3958/I3958)+ABS(0.2-L3957*D3958/I3958)+ABS(0.2-M3957*E3958/I3958)+ABS(0.2-N3957*F3958/I3958)),0)</f>
        <v/>
      </c>
      <c r="Q3958">
        <f>P3958*0.0015</f>
        <v/>
      </c>
      <c r="R3958">
        <f>I3958*(1-Q3958)</f>
        <v/>
      </c>
      <c r="S3958">
        <f>R3958/R3957-1</f>
        <v/>
      </c>
      <c r="T3958">
        <f>MAX(T3957,R3958)</f>
        <v/>
      </c>
      <c r="U3958">
        <f>R3958/T3958-1</f>
        <v/>
      </c>
      <c r="V3958" t="n">
        <v>12.42353665975116</v>
      </c>
      <c r="W3958" s="5">
        <f>R3958-V3958</f>
        <v/>
      </c>
    </row>
    <row r="3959">
      <c r="A3959" s="3" t="n">
        <v>44270</v>
      </c>
      <c r="B3959">
        <f>Prices!B3959</f>
        <v/>
      </c>
      <c r="C3959">
        <f>Prices!C3959</f>
        <v/>
      </c>
      <c r="D3959">
        <f>Prices!D3959</f>
        <v/>
      </c>
      <c r="E3959">
        <f>Prices!E3959</f>
        <v/>
      </c>
      <c r="F3959">
        <f>Prices!F3959</f>
        <v/>
      </c>
      <c r="G3959">
        <f>IF(AND(3957&gt;=16,TEXT(A3959,"yyyy-mm")&lt;&gt;TEXT(A3960,"yyyy-mm")),1,0)</f>
        <v/>
      </c>
      <c r="H3959">
        <f>IF(OR(H3958=1,G3959=1),1,0)</f>
        <v/>
      </c>
      <c r="I3959">
        <f>IF(H3958=0,1,SUMPRODUCT(J3958:N3958,B3959:F3959)+O3958*(1+0.00023125256064071564))</f>
        <v/>
      </c>
      <c r="J3959">
        <f>IF(G3959=1,0.2*R3959/B3959,J3958)</f>
        <v/>
      </c>
      <c r="K3959">
        <f>IF(G3959=1,0.2*R3959/C3959,K3958)</f>
        <v/>
      </c>
      <c r="L3959">
        <f>IF(G3959=1,0.2*R3959/D3959,L3958)</f>
        <v/>
      </c>
      <c r="M3959">
        <f>IF(G3959=1,0.2*R3959/E3959,M3958)</f>
        <v/>
      </c>
      <c r="N3959">
        <f>IF(G3959=1,0.2*R3959/F3959,N3958)</f>
        <v/>
      </c>
      <c r="O3959">
        <f>IF(G3959=1,R3959*(1-1.0),IF(H3958=0,1,O3958*(1+0.00023125256064071564)))</f>
        <v/>
      </c>
      <c r="P3959">
        <f>IF(G3959=1,IF(H3958=0,1,ABS(0.2-J3958*B3959/I3959)+ABS(0.2-K3958*C3959/I3959)+ABS(0.2-L3958*D3959/I3959)+ABS(0.2-M3958*E3959/I3959)+ABS(0.2-N3958*F3959/I3959)),0)</f>
        <v/>
      </c>
      <c r="Q3959">
        <f>P3959*0.0015</f>
        <v/>
      </c>
      <c r="R3959">
        <f>I3959*(1-Q3959)</f>
        <v/>
      </c>
      <c r="S3959">
        <f>R3959/R3958-1</f>
        <v/>
      </c>
      <c r="T3959">
        <f>MAX(T3958,R3959)</f>
        <v/>
      </c>
      <c r="U3959">
        <f>R3959/T3959-1</f>
        <v/>
      </c>
      <c r="V3959" t="n">
        <v>12.37816785161576</v>
      </c>
      <c r="W3959" s="5">
        <f>R3959-V3959</f>
        <v/>
      </c>
    </row>
    <row r="3960">
      <c r="A3960" s="3" t="n">
        <v>44271</v>
      </c>
      <c r="B3960">
        <f>Prices!B3960</f>
        <v/>
      </c>
      <c r="C3960">
        <f>Prices!C3960</f>
        <v/>
      </c>
      <c r="D3960">
        <f>Prices!D3960</f>
        <v/>
      </c>
      <c r="E3960">
        <f>Prices!E3960</f>
        <v/>
      </c>
      <c r="F3960">
        <f>Prices!F3960</f>
        <v/>
      </c>
      <c r="G3960">
        <f>IF(AND(3958&gt;=16,TEXT(A3960,"yyyy-mm")&lt;&gt;TEXT(A3961,"yyyy-mm")),1,0)</f>
        <v/>
      </c>
      <c r="H3960">
        <f>IF(OR(H3959=1,G3960=1),1,0)</f>
        <v/>
      </c>
      <c r="I3960">
        <f>IF(H3959=0,1,SUMPRODUCT(J3959:N3959,B3960:F3960)+O3959*(1+0.00023125256064071564))</f>
        <v/>
      </c>
      <c r="J3960">
        <f>IF(G3960=1,0.2*R3960/B3960,J3959)</f>
        <v/>
      </c>
      <c r="K3960">
        <f>IF(G3960=1,0.2*R3960/C3960,K3959)</f>
        <v/>
      </c>
      <c r="L3960">
        <f>IF(G3960=1,0.2*R3960/D3960,L3959)</f>
        <v/>
      </c>
      <c r="M3960">
        <f>IF(G3960=1,0.2*R3960/E3960,M3959)</f>
        <v/>
      </c>
      <c r="N3960">
        <f>IF(G3960=1,0.2*R3960/F3960,N3959)</f>
        <v/>
      </c>
      <c r="O3960">
        <f>IF(G3960=1,R3960*(1-1.0),IF(H3959=0,1,O3959*(1+0.00023125256064071564)))</f>
        <v/>
      </c>
      <c r="P3960">
        <f>IF(G3960=1,IF(H3959=0,1,ABS(0.2-J3959*B3960/I3960)+ABS(0.2-K3959*C3960/I3960)+ABS(0.2-L3959*D3960/I3960)+ABS(0.2-M3959*E3960/I3960)+ABS(0.2-N3959*F3960/I3960)),0)</f>
        <v/>
      </c>
      <c r="Q3960">
        <f>P3960*0.0015</f>
        <v/>
      </c>
      <c r="R3960">
        <f>I3960*(1-Q3960)</f>
        <v/>
      </c>
      <c r="S3960">
        <f>R3960/R3959-1</f>
        <v/>
      </c>
      <c r="T3960">
        <f>MAX(T3959,R3960)</f>
        <v/>
      </c>
      <c r="U3960">
        <f>R3960/T3960-1</f>
        <v/>
      </c>
      <c r="V3960" t="n">
        <v>12.4576243363536</v>
      </c>
      <c r="W3960" s="5">
        <f>R3960-V3960</f>
        <v/>
      </c>
    </row>
    <row r="3961">
      <c r="A3961" s="3" t="n">
        <v>44272</v>
      </c>
      <c r="B3961">
        <f>Prices!B3961</f>
        <v/>
      </c>
      <c r="C3961">
        <f>Prices!C3961</f>
        <v/>
      </c>
      <c r="D3961">
        <f>Prices!D3961</f>
        <v/>
      </c>
      <c r="E3961">
        <f>Prices!E3961</f>
        <v/>
      </c>
      <c r="F3961">
        <f>Prices!F3961</f>
        <v/>
      </c>
      <c r="G3961">
        <f>IF(AND(3959&gt;=16,TEXT(A3961,"yyyy-mm")&lt;&gt;TEXT(A3962,"yyyy-mm")),1,0)</f>
        <v/>
      </c>
      <c r="H3961">
        <f>IF(OR(H3960=1,G3961=1),1,0)</f>
        <v/>
      </c>
      <c r="I3961">
        <f>IF(H3960=0,1,SUMPRODUCT(J3960:N3960,B3961:F3961)+O3960*(1+0.00023125256064071564))</f>
        <v/>
      </c>
      <c r="J3961">
        <f>IF(G3961=1,0.2*R3961/B3961,J3960)</f>
        <v/>
      </c>
      <c r="K3961">
        <f>IF(G3961=1,0.2*R3961/C3961,K3960)</f>
        <v/>
      </c>
      <c r="L3961">
        <f>IF(G3961=1,0.2*R3961/D3961,L3960)</f>
        <v/>
      </c>
      <c r="M3961">
        <f>IF(G3961=1,0.2*R3961/E3961,M3960)</f>
        <v/>
      </c>
      <c r="N3961">
        <f>IF(G3961=1,0.2*R3961/F3961,N3960)</f>
        <v/>
      </c>
      <c r="O3961">
        <f>IF(G3961=1,R3961*(1-1.0),IF(H3960=0,1,O3960*(1+0.00023125256064071564)))</f>
        <v/>
      </c>
      <c r="P3961">
        <f>IF(G3961=1,IF(H3960=0,1,ABS(0.2-J3960*B3961/I3961)+ABS(0.2-K3960*C3961/I3961)+ABS(0.2-L3960*D3961/I3961)+ABS(0.2-M3960*E3961/I3961)+ABS(0.2-N3960*F3961/I3961)),0)</f>
        <v/>
      </c>
      <c r="Q3961">
        <f>P3961*0.0015</f>
        <v/>
      </c>
      <c r="R3961">
        <f>I3961*(1-Q3961)</f>
        <v/>
      </c>
      <c r="S3961">
        <f>R3961/R3960-1</f>
        <v/>
      </c>
      <c r="T3961">
        <f>MAX(T3960,R3961)</f>
        <v/>
      </c>
      <c r="U3961">
        <f>R3961/T3961-1</f>
        <v/>
      </c>
      <c r="V3961" t="n">
        <v>12.20180403914521</v>
      </c>
      <c r="W3961" s="5">
        <f>R3961-V3961</f>
        <v/>
      </c>
    </row>
    <row r="3962">
      <c r="A3962" s="3" t="n">
        <v>44273</v>
      </c>
      <c r="B3962">
        <f>Prices!B3962</f>
        <v/>
      </c>
      <c r="C3962">
        <f>Prices!C3962</f>
        <v/>
      </c>
      <c r="D3962">
        <f>Prices!D3962</f>
        <v/>
      </c>
      <c r="E3962">
        <f>Prices!E3962</f>
        <v/>
      </c>
      <c r="F3962">
        <f>Prices!F3962</f>
        <v/>
      </c>
      <c r="G3962">
        <f>IF(AND(3960&gt;=16,TEXT(A3962,"yyyy-mm")&lt;&gt;TEXT(A3963,"yyyy-mm")),1,0)</f>
        <v/>
      </c>
      <c r="H3962">
        <f>IF(OR(H3961=1,G3962=1),1,0)</f>
        <v/>
      </c>
      <c r="I3962">
        <f>IF(H3961=0,1,SUMPRODUCT(J3961:N3961,B3962:F3962)+O3961*(1+0.00023125256064071564))</f>
        <v/>
      </c>
      <c r="J3962">
        <f>IF(G3962=1,0.2*R3962/B3962,J3961)</f>
        <v/>
      </c>
      <c r="K3962">
        <f>IF(G3962=1,0.2*R3962/C3962,K3961)</f>
        <v/>
      </c>
      <c r="L3962">
        <f>IF(G3962=1,0.2*R3962/D3962,L3961)</f>
        <v/>
      </c>
      <c r="M3962">
        <f>IF(G3962=1,0.2*R3962/E3962,M3961)</f>
        <v/>
      </c>
      <c r="N3962">
        <f>IF(G3962=1,0.2*R3962/F3962,N3961)</f>
        <v/>
      </c>
      <c r="O3962">
        <f>IF(G3962=1,R3962*(1-1.0),IF(H3961=0,1,O3961*(1+0.00023125256064071564)))</f>
        <v/>
      </c>
      <c r="P3962">
        <f>IF(G3962=1,IF(H3961=0,1,ABS(0.2-J3961*B3962/I3962)+ABS(0.2-K3961*C3962/I3962)+ABS(0.2-L3961*D3962/I3962)+ABS(0.2-M3961*E3962/I3962)+ABS(0.2-N3961*F3962/I3962)),0)</f>
        <v/>
      </c>
      <c r="Q3962">
        <f>P3962*0.0015</f>
        <v/>
      </c>
      <c r="R3962">
        <f>I3962*(1-Q3962)</f>
        <v/>
      </c>
      <c r="S3962">
        <f>R3962/R3961-1</f>
        <v/>
      </c>
      <c r="T3962">
        <f>MAX(T3961,R3962)</f>
        <v/>
      </c>
      <c r="U3962">
        <f>R3962/T3962-1</f>
        <v/>
      </c>
      <c r="V3962" t="n">
        <v>12.03277800576231</v>
      </c>
      <c r="W3962" s="5">
        <f>R3962-V3962</f>
        <v/>
      </c>
    </row>
    <row r="3963">
      <c r="A3963" s="3" t="n">
        <v>44274</v>
      </c>
      <c r="B3963">
        <f>Prices!B3963</f>
        <v/>
      </c>
      <c r="C3963">
        <f>Prices!C3963</f>
        <v/>
      </c>
      <c r="D3963">
        <f>Prices!D3963</f>
        <v/>
      </c>
      <c r="E3963">
        <f>Prices!E3963</f>
        <v/>
      </c>
      <c r="F3963">
        <f>Prices!F3963</f>
        <v/>
      </c>
      <c r="G3963">
        <f>IF(AND(3961&gt;=16,TEXT(A3963,"yyyy-mm")&lt;&gt;TEXT(A3964,"yyyy-mm")),1,0)</f>
        <v/>
      </c>
      <c r="H3963">
        <f>IF(OR(H3962=1,G3963=1),1,0)</f>
        <v/>
      </c>
      <c r="I3963">
        <f>IF(H3962=0,1,SUMPRODUCT(J3962:N3962,B3963:F3963)+O3962*(1+0.00023125256064071564))</f>
        <v/>
      </c>
      <c r="J3963">
        <f>IF(G3963=1,0.2*R3963/B3963,J3962)</f>
        <v/>
      </c>
      <c r="K3963">
        <f>IF(G3963=1,0.2*R3963/C3963,K3962)</f>
        <v/>
      </c>
      <c r="L3963">
        <f>IF(G3963=1,0.2*R3963/D3963,L3962)</f>
        <v/>
      </c>
      <c r="M3963">
        <f>IF(G3963=1,0.2*R3963/E3963,M3962)</f>
        <v/>
      </c>
      <c r="N3963">
        <f>IF(G3963=1,0.2*R3963/F3963,N3962)</f>
        <v/>
      </c>
      <c r="O3963">
        <f>IF(G3963=1,R3963*(1-1.0),IF(H3962=0,1,O3962*(1+0.00023125256064071564)))</f>
        <v/>
      </c>
      <c r="P3963">
        <f>IF(G3963=1,IF(H3962=0,1,ABS(0.2-J3962*B3963/I3963)+ABS(0.2-K3962*C3963/I3963)+ABS(0.2-L3962*D3963/I3963)+ABS(0.2-M3962*E3963/I3963)+ABS(0.2-N3962*F3963/I3963)),0)</f>
        <v/>
      </c>
      <c r="Q3963">
        <f>P3963*0.0015</f>
        <v/>
      </c>
      <c r="R3963">
        <f>I3963*(1-Q3963)</f>
        <v/>
      </c>
      <c r="S3963">
        <f>R3963/R3962-1</f>
        <v/>
      </c>
      <c r="T3963">
        <f>MAX(T3962,R3963)</f>
        <v/>
      </c>
      <c r="U3963">
        <f>R3963/T3963-1</f>
        <v/>
      </c>
      <c r="V3963" t="n">
        <v>12.19433898042794</v>
      </c>
      <c r="W3963" s="5">
        <f>R3963-V3963</f>
        <v/>
      </c>
    </row>
    <row r="3964">
      <c r="A3964" s="3" t="n">
        <v>44277</v>
      </c>
      <c r="B3964">
        <f>Prices!B3964</f>
        <v/>
      </c>
      <c r="C3964">
        <f>Prices!C3964</f>
        <v/>
      </c>
      <c r="D3964">
        <f>Prices!D3964</f>
        <v/>
      </c>
      <c r="E3964">
        <f>Prices!E3964</f>
        <v/>
      </c>
      <c r="F3964">
        <f>Prices!F3964</f>
        <v/>
      </c>
      <c r="G3964">
        <f>IF(AND(3962&gt;=16,TEXT(A3964,"yyyy-mm")&lt;&gt;TEXT(A3965,"yyyy-mm")),1,0)</f>
        <v/>
      </c>
      <c r="H3964">
        <f>IF(OR(H3963=1,G3964=1),1,0)</f>
        <v/>
      </c>
      <c r="I3964">
        <f>IF(H3963=0,1,SUMPRODUCT(J3963:N3963,B3964:F3964)+O3963*(1+0.00023125256064071564))</f>
        <v/>
      </c>
      <c r="J3964">
        <f>IF(G3964=1,0.2*R3964/B3964,J3963)</f>
        <v/>
      </c>
      <c r="K3964">
        <f>IF(G3964=1,0.2*R3964/C3964,K3963)</f>
        <v/>
      </c>
      <c r="L3964">
        <f>IF(G3964=1,0.2*R3964/D3964,L3963)</f>
        <v/>
      </c>
      <c r="M3964">
        <f>IF(G3964=1,0.2*R3964/E3964,M3963)</f>
        <v/>
      </c>
      <c r="N3964">
        <f>IF(G3964=1,0.2*R3964/F3964,N3963)</f>
        <v/>
      </c>
      <c r="O3964">
        <f>IF(G3964=1,R3964*(1-1.0),IF(H3963=0,1,O3963*(1+0.00023125256064071564)))</f>
        <v/>
      </c>
      <c r="P3964">
        <f>IF(G3964=1,IF(H3963=0,1,ABS(0.2-J3963*B3964/I3964)+ABS(0.2-K3963*C3964/I3964)+ABS(0.2-L3963*D3964/I3964)+ABS(0.2-M3963*E3964/I3964)+ABS(0.2-N3963*F3964/I3964)),0)</f>
        <v/>
      </c>
      <c r="Q3964">
        <f>P3964*0.0015</f>
        <v/>
      </c>
      <c r="R3964">
        <f>I3964*(1-Q3964)</f>
        <v/>
      </c>
      <c r="S3964">
        <f>R3964/R3963-1</f>
        <v/>
      </c>
      <c r="T3964">
        <f>MAX(T3963,R3964)</f>
        <v/>
      </c>
      <c r="U3964">
        <f>R3964/T3964-1</f>
        <v/>
      </c>
      <c r="V3964" t="n">
        <v>12.31351023130485</v>
      </c>
      <c r="W3964" s="5">
        <f>R3964-V3964</f>
        <v/>
      </c>
    </row>
    <row r="3965">
      <c r="A3965" s="3" t="n">
        <v>44278</v>
      </c>
      <c r="B3965">
        <f>Prices!B3965</f>
        <v/>
      </c>
      <c r="C3965">
        <f>Prices!C3965</f>
        <v/>
      </c>
      <c r="D3965">
        <f>Prices!D3965</f>
        <v/>
      </c>
      <c r="E3965">
        <f>Prices!E3965</f>
        <v/>
      </c>
      <c r="F3965">
        <f>Prices!F3965</f>
        <v/>
      </c>
      <c r="G3965">
        <f>IF(AND(3963&gt;=16,TEXT(A3965,"yyyy-mm")&lt;&gt;TEXT(A3966,"yyyy-mm")),1,0)</f>
        <v/>
      </c>
      <c r="H3965">
        <f>IF(OR(H3964=1,G3965=1),1,0)</f>
        <v/>
      </c>
      <c r="I3965">
        <f>IF(H3964=0,1,SUMPRODUCT(J3964:N3964,B3965:F3965)+O3964*(1+0.00023125256064071564))</f>
        <v/>
      </c>
      <c r="J3965">
        <f>IF(G3965=1,0.2*R3965/B3965,J3964)</f>
        <v/>
      </c>
      <c r="K3965">
        <f>IF(G3965=1,0.2*R3965/C3965,K3964)</f>
        <v/>
      </c>
      <c r="L3965">
        <f>IF(G3965=1,0.2*R3965/D3965,L3964)</f>
        <v/>
      </c>
      <c r="M3965">
        <f>IF(G3965=1,0.2*R3965/E3965,M3964)</f>
        <v/>
      </c>
      <c r="N3965">
        <f>IF(G3965=1,0.2*R3965/F3965,N3964)</f>
        <v/>
      </c>
      <c r="O3965">
        <f>IF(G3965=1,R3965*(1-1.0),IF(H3964=0,1,O3964*(1+0.00023125256064071564)))</f>
        <v/>
      </c>
      <c r="P3965">
        <f>IF(G3965=1,IF(H3964=0,1,ABS(0.2-J3964*B3965/I3965)+ABS(0.2-K3964*C3965/I3965)+ABS(0.2-L3964*D3965/I3965)+ABS(0.2-M3964*E3965/I3965)+ABS(0.2-N3964*F3965/I3965)),0)</f>
        <v/>
      </c>
      <c r="Q3965">
        <f>P3965*0.0015</f>
        <v/>
      </c>
      <c r="R3965">
        <f>I3965*(1-Q3965)</f>
        <v/>
      </c>
      <c r="S3965">
        <f>R3965/R3964-1</f>
        <v/>
      </c>
      <c r="T3965">
        <f>MAX(T3964,R3965)</f>
        <v/>
      </c>
      <c r="U3965">
        <f>R3965/T3965-1</f>
        <v/>
      </c>
      <c r="V3965" t="n">
        <v>12.40254860759526</v>
      </c>
      <c r="W3965" s="5">
        <f>R3965-V3965</f>
        <v/>
      </c>
    </row>
    <row r="3966">
      <c r="A3966" s="3" t="n">
        <v>44279</v>
      </c>
      <c r="B3966">
        <f>Prices!B3966</f>
        <v/>
      </c>
      <c r="C3966">
        <f>Prices!C3966</f>
        <v/>
      </c>
      <c r="D3966">
        <f>Prices!D3966</f>
        <v/>
      </c>
      <c r="E3966">
        <f>Prices!E3966</f>
        <v/>
      </c>
      <c r="F3966">
        <f>Prices!F3966</f>
        <v/>
      </c>
      <c r="G3966">
        <f>IF(AND(3964&gt;=16,TEXT(A3966,"yyyy-mm")&lt;&gt;TEXT(A3967,"yyyy-mm")),1,0)</f>
        <v/>
      </c>
      <c r="H3966">
        <f>IF(OR(H3965=1,G3966=1),1,0)</f>
        <v/>
      </c>
      <c r="I3966">
        <f>IF(H3965=0,1,SUMPRODUCT(J3965:N3965,B3966:F3966)+O3965*(1+0.00023125256064071564))</f>
        <v/>
      </c>
      <c r="J3966">
        <f>IF(G3966=1,0.2*R3966/B3966,J3965)</f>
        <v/>
      </c>
      <c r="K3966">
        <f>IF(G3966=1,0.2*R3966/C3966,K3965)</f>
        <v/>
      </c>
      <c r="L3966">
        <f>IF(G3966=1,0.2*R3966/D3966,L3965)</f>
        <v/>
      </c>
      <c r="M3966">
        <f>IF(G3966=1,0.2*R3966/E3966,M3965)</f>
        <v/>
      </c>
      <c r="N3966">
        <f>IF(G3966=1,0.2*R3966/F3966,N3965)</f>
        <v/>
      </c>
      <c r="O3966">
        <f>IF(G3966=1,R3966*(1-1.0),IF(H3965=0,1,O3965*(1+0.00023125256064071564)))</f>
        <v/>
      </c>
      <c r="P3966">
        <f>IF(G3966=1,IF(H3965=0,1,ABS(0.2-J3965*B3966/I3966)+ABS(0.2-K3965*C3966/I3966)+ABS(0.2-L3965*D3966/I3966)+ABS(0.2-M3965*E3966/I3966)+ABS(0.2-N3965*F3966/I3966)),0)</f>
        <v/>
      </c>
      <c r="Q3966">
        <f>P3966*0.0015</f>
        <v/>
      </c>
      <c r="R3966">
        <f>I3966*(1-Q3966)</f>
        <v/>
      </c>
      <c r="S3966">
        <f>R3966/R3965-1</f>
        <v/>
      </c>
      <c r="T3966">
        <f>MAX(T3965,R3966)</f>
        <v/>
      </c>
      <c r="U3966">
        <f>R3966/T3966-1</f>
        <v/>
      </c>
      <c r="V3966" t="n">
        <v>12.21101133021392</v>
      </c>
      <c r="W3966" s="5">
        <f>R3966-V3966</f>
        <v/>
      </c>
    </row>
    <row r="3967">
      <c r="A3967" s="3" t="n">
        <v>44280</v>
      </c>
      <c r="B3967">
        <f>Prices!B3967</f>
        <v/>
      </c>
      <c r="C3967">
        <f>Prices!C3967</f>
        <v/>
      </c>
      <c r="D3967">
        <f>Prices!D3967</f>
        <v/>
      </c>
      <c r="E3967">
        <f>Prices!E3967</f>
        <v/>
      </c>
      <c r="F3967">
        <f>Prices!F3967</f>
        <v/>
      </c>
      <c r="G3967">
        <f>IF(AND(3965&gt;=16,TEXT(A3967,"yyyy-mm")&lt;&gt;TEXT(A3968,"yyyy-mm")),1,0)</f>
        <v/>
      </c>
      <c r="H3967">
        <f>IF(OR(H3966=1,G3967=1),1,0)</f>
        <v/>
      </c>
      <c r="I3967">
        <f>IF(H3966=0,1,SUMPRODUCT(J3966:N3966,B3967:F3967)+O3966*(1+0.00023125256064071564))</f>
        <v/>
      </c>
      <c r="J3967">
        <f>IF(G3967=1,0.2*R3967/B3967,J3966)</f>
        <v/>
      </c>
      <c r="K3967">
        <f>IF(G3967=1,0.2*R3967/C3967,K3966)</f>
        <v/>
      </c>
      <c r="L3967">
        <f>IF(G3967=1,0.2*R3967/D3967,L3966)</f>
        <v/>
      </c>
      <c r="M3967">
        <f>IF(G3967=1,0.2*R3967/E3967,M3966)</f>
        <v/>
      </c>
      <c r="N3967">
        <f>IF(G3967=1,0.2*R3967/F3967,N3966)</f>
        <v/>
      </c>
      <c r="O3967">
        <f>IF(G3967=1,R3967*(1-1.0),IF(H3966=0,1,O3966*(1+0.00023125256064071564)))</f>
        <v/>
      </c>
      <c r="P3967">
        <f>IF(G3967=1,IF(H3966=0,1,ABS(0.2-J3966*B3967/I3967)+ABS(0.2-K3966*C3967/I3967)+ABS(0.2-L3966*D3967/I3967)+ABS(0.2-M3966*E3967/I3967)+ABS(0.2-N3966*F3967/I3967)),0)</f>
        <v/>
      </c>
      <c r="Q3967">
        <f>P3967*0.0015</f>
        <v/>
      </c>
      <c r="R3967">
        <f>I3967*(1-Q3967)</f>
        <v/>
      </c>
      <c r="S3967">
        <f>R3967/R3966-1</f>
        <v/>
      </c>
      <c r="T3967">
        <f>MAX(T3966,R3967)</f>
        <v/>
      </c>
      <c r="U3967">
        <f>R3967/T3967-1</f>
        <v/>
      </c>
      <c r="V3967" t="n">
        <v>11.9614296197219</v>
      </c>
      <c r="W3967" s="5">
        <f>R3967-V3967</f>
        <v/>
      </c>
    </row>
    <row r="3968">
      <c r="A3968" s="3" t="n">
        <v>44281</v>
      </c>
      <c r="B3968">
        <f>Prices!B3968</f>
        <v/>
      </c>
      <c r="C3968">
        <f>Prices!C3968</f>
        <v/>
      </c>
      <c r="D3968">
        <f>Prices!D3968</f>
        <v/>
      </c>
      <c r="E3968">
        <f>Prices!E3968</f>
        <v/>
      </c>
      <c r="F3968">
        <f>Prices!F3968</f>
        <v/>
      </c>
      <c r="G3968">
        <f>IF(AND(3966&gt;=16,TEXT(A3968,"yyyy-mm")&lt;&gt;TEXT(A3969,"yyyy-mm")),1,0)</f>
        <v/>
      </c>
      <c r="H3968">
        <f>IF(OR(H3967=1,G3968=1),1,0)</f>
        <v/>
      </c>
      <c r="I3968">
        <f>IF(H3967=0,1,SUMPRODUCT(J3967:N3967,B3968:F3968)+O3967*(1+0.00023125256064071564))</f>
        <v/>
      </c>
      <c r="J3968">
        <f>IF(G3968=1,0.2*R3968/B3968,J3967)</f>
        <v/>
      </c>
      <c r="K3968">
        <f>IF(G3968=1,0.2*R3968/C3968,K3967)</f>
        <v/>
      </c>
      <c r="L3968">
        <f>IF(G3968=1,0.2*R3968/D3968,L3967)</f>
        <v/>
      </c>
      <c r="M3968">
        <f>IF(G3968=1,0.2*R3968/E3968,M3967)</f>
        <v/>
      </c>
      <c r="N3968">
        <f>IF(G3968=1,0.2*R3968/F3968,N3967)</f>
        <v/>
      </c>
      <c r="O3968">
        <f>IF(G3968=1,R3968*(1-1.0),IF(H3967=0,1,O3967*(1+0.00023125256064071564)))</f>
        <v/>
      </c>
      <c r="P3968">
        <f>IF(G3968=1,IF(H3967=0,1,ABS(0.2-J3967*B3968/I3968)+ABS(0.2-K3967*C3968/I3968)+ABS(0.2-L3967*D3968/I3968)+ABS(0.2-M3967*E3968/I3968)+ABS(0.2-N3967*F3968/I3968)),0)</f>
        <v/>
      </c>
      <c r="Q3968">
        <f>P3968*0.0015</f>
        <v/>
      </c>
      <c r="R3968">
        <f>I3968*(1-Q3968)</f>
        <v/>
      </c>
      <c r="S3968">
        <f>R3968/R3967-1</f>
        <v/>
      </c>
      <c r="T3968">
        <f>MAX(T3967,R3968)</f>
        <v/>
      </c>
      <c r="U3968">
        <f>R3968/T3968-1</f>
        <v/>
      </c>
      <c r="V3968" t="n">
        <v>12.12467974485605</v>
      </c>
      <c r="W3968" s="5">
        <f>R3968-V3968</f>
        <v/>
      </c>
    </row>
    <row r="3969">
      <c r="A3969" s="3" t="n">
        <v>44285</v>
      </c>
      <c r="B3969">
        <f>Prices!B3969</f>
        <v/>
      </c>
      <c r="C3969">
        <f>Prices!C3969</f>
        <v/>
      </c>
      <c r="D3969">
        <f>Prices!D3969</f>
        <v/>
      </c>
      <c r="E3969">
        <f>Prices!E3969</f>
        <v/>
      </c>
      <c r="F3969">
        <f>Prices!F3969</f>
        <v/>
      </c>
      <c r="G3969">
        <f>IF(AND(3967&gt;=16,TEXT(A3969,"yyyy-mm")&lt;&gt;TEXT(A3970,"yyyy-mm")),1,0)</f>
        <v/>
      </c>
      <c r="H3969">
        <f>IF(OR(H3968=1,G3969=1),1,0)</f>
        <v/>
      </c>
      <c r="I3969">
        <f>IF(H3968=0,1,SUMPRODUCT(J3968:N3968,B3969:F3969)+O3968*(1+0.00023125256064071564))</f>
        <v/>
      </c>
      <c r="J3969">
        <f>IF(G3969=1,0.2*R3969/B3969,J3968)</f>
        <v/>
      </c>
      <c r="K3969">
        <f>IF(G3969=1,0.2*R3969/C3969,K3968)</f>
        <v/>
      </c>
      <c r="L3969">
        <f>IF(G3969=1,0.2*R3969/D3969,L3968)</f>
        <v/>
      </c>
      <c r="M3969">
        <f>IF(G3969=1,0.2*R3969/E3969,M3968)</f>
        <v/>
      </c>
      <c r="N3969">
        <f>IF(G3969=1,0.2*R3969/F3969,N3968)</f>
        <v/>
      </c>
      <c r="O3969">
        <f>IF(G3969=1,R3969*(1-1.0),IF(H3968=0,1,O3968*(1+0.00023125256064071564)))</f>
        <v/>
      </c>
      <c r="P3969">
        <f>IF(G3969=1,IF(H3968=0,1,ABS(0.2-J3968*B3969/I3969)+ABS(0.2-K3968*C3969/I3969)+ABS(0.2-L3968*D3969/I3969)+ABS(0.2-M3968*E3969/I3969)+ABS(0.2-N3968*F3969/I3969)),0)</f>
        <v/>
      </c>
      <c r="Q3969">
        <f>P3969*0.0015</f>
        <v/>
      </c>
      <c r="R3969">
        <f>I3969*(1-Q3969)</f>
        <v/>
      </c>
      <c r="S3969">
        <f>R3969/R3968-1</f>
        <v/>
      </c>
      <c r="T3969">
        <f>MAX(T3968,R3969)</f>
        <v/>
      </c>
      <c r="U3969">
        <f>R3969/T3969-1</f>
        <v/>
      </c>
      <c r="V3969" t="n">
        <v>12.33901503352348</v>
      </c>
      <c r="W3969" s="5">
        <f>R3969-V3969</f>
        <v/>
      </c>
    </row>
    <row r="3970">
      <c r="A3970" s="3" t="n">
        <v>44286</v>
      </c>
      <c r="B3970">
        <f>Prices!B3970</f>
        <v/>
      </c>
      <c r="C3970">
        <f>Prices!C3970</f>
        <v/>
      </c>
      <c r="D3970">
        <f>Prices!D3970</f>
        <v/>
      </c>
      <c r="E3970">
        <f>Prices!E3970</f>
        <v/>
      </c>
      <c r="F3970">
        <f>Prices!F3970</f>
        <v/>
      </c>
      <c r="G3970">
        <f>IF(AND(3968&gt;=16,TEXT(A3970,"yyyy-mm")&lt;&gt;TEXT(A3971,"yyyy-mm")),1,0)</f>
        <v/>
      </c>
      <c r="H3970">
        <f>IF(OR(H3969=1,G3970=1),1,0)</f>
        <v/>
      </c>
      <c r="I3970">
        <f>IF(H3969=0,1,SUMPRODUCT(J3969:N3969,B3970:F3970)+O3969*(1+0.00023125256064071564))</f>
        <v/>
      </c>
      <c r="J3970">
        <f>IF(G3970=1,0.2*R3970/B3970,J3969)</f>
        <v/>
      </c>
      <c r="K3970">
        <f>IF(G3970=1,0.2*R3970/C3970,K3969)</f>
        <v/>
      </c>
      <c r="L3970">
        <f>IF(G3970=1,0.2*R3970/D3970,L3969)</f>
        <v/>
      </c>
      <c r="M3970">
        <f>IF(G3970=1,0.2*R3970/E3970,M3969)</f>
        <v/>
      </c>
      <c r="N3970">
        <f>IF(G3970=1,0.2*R3970/F3970,N3969)</f>
        <v/>
      </c>
      <c r="O3970">
        <f>IF(G3970=1,R3970*(1-1.0),IF(H3969=0,1,O3969*(1+0.00023125256064071564)))</f>
        <v/>
      </c>
      <c r="P3970">
        <f>IF(G3970=1,IF(H3969=0,1,ABS(0.2-J3969*B3970/I3970)+ABS(0.2-K3969*C3970/I3970)+ABS(0.2-L3969*D3970/I3970)+ABS(0.2-M3969*E3970/I3970)+ABS(0.2-N3969*F3970/I3970)),0)</f>
        <v/>
      </c>
      <c r="Q3970">
        <f>P3970*0.0015</f>
        <v/>
      </c>
      <c r="R3970">
        <f>I3970*(1-Q3970)</f>
        <v/>
      </c>
      <c r="S3970">
        <f>R3970/R3969-1</f>
        <v/>
      </c>
      <c r="T3970">
        <f>MAX(T3969,R3970)</f>
        <v/>
      </c>
      <c r="U3970">
        <f>R3970/T3970-1</f>
        <v/>
      </c>
      <c r="V3970" t="n">
        <v>12.37393477250688</v>
      </c>
      <c r="W3970" s="5">
        <f>R3970-V3970</f>
        <v/>
      </c>
    </row>
    <row r="3971">
      <c r="A3971" s="3" t="n">
        <v>44287</v>
      </c>
      <c r="B3971">
        <f>Prices!B3971</f>
        <v/>
      </c>
      <c r="C3971">
        <f>Prices!C3971</f>
        <v/>
      </c>
      <c r="D3971">
        <f>Prices!D3971</f>
        <v/>
      </c>
      <c r="E3971">
        <f>Prices!E3971</f>
        <v/>
      </c>
      <c r="F3971">
        <f>Prices!F3971</f>
        <v/>
      </c>
      <c r="G3971">
        <f>IF(AND(3969&gt;=16,TEXT(A3971,"yyyy-mm")&lt;&gt;TEXT(A3972,"yyyy-mm")),1,0)</f>
        <v/>
      </c>
      <c r="H3971">
        <f>IF(OR(H3970=1,G3971=1),1,0)</f>
        <v/>
      </c>
      <c r="I3971">
        <f>IF(H3970=0,1,SUMPRODUCT(J3970:N3970,B3971:F3971)+O3970*(1+0.00023125256064071564))</f>
        <v/>
      </c>
      <c r="J3971">
        <f>IF(G3971=1,0.2*R3971/B3971,J3970)</f>
        <v/>
      </c>
      <c r="K3971">
        <f>IF(G3971=1,0.2*R3971/C3971,K3970)</f>
        <v/>
      </c>
      <c r="L3971">
        <f>IF(G3971=1,0.2*R3971/D3971,L3970)</f>
        <v/>
      </c>
      <c r="M3971">
        <f>IF(G3971=1,0.2*R3971/E3971,M3970)</f>
        <v/>
      </c>
      <c r="N3971">
        <f>IF(G3971=1,0.2*R3971/F3971,N3970)</f>
        <v/>
      </c>
      <c r="O3971">
        <f>IF(G3971=1,R3971*(1-1.0),IF(H3970=0,1,O3970*(1+0.00023125256064071564)))</f>
        <v/>
      </c>
      <c r="P3971">
        <f>IF(G3971=1,IF(H3970=0,1,ABS(0.2-J3970*B3971/I3971)+ABS(0.2-K3970*C3971/I3971)+ABS(0.2-L3970*D3971/I3971)+ABS(0.2-M3970*E3971/I3971)+ABS(0.2-N3970*F3971/I3971)),0)</f>
        <v/>
      </c>
      <c r="Q3971">
        <f>P3971*0.0015</f>
        <v/>
      </c>
      <c r="R3971">
        <f>I3971*(1-Q3971)</f>
        <v/>
      </c>
      <c r="S3971">
        <f>R3971/R3970-1</f>
        <v/>
      </c>
      <c r="T3971">
        <f>MAX(T3970,R3971)</f>
        <v/>
      </c>
      <c r="U3971">
        <f>R3971/T3971-1</f>
        <v/>
      </c>
      <c r="V3971" t="n">
        <v>12.59672125928647</v>
      </c>
      <c r="W3971" s="5">
        <f>R3971-V3971</f>
        <v/>
      </c>
    </row>
    <row r="3972">
      <c r="A3972" s="3" t="n">
        <v>44291</v>
      </c>
      <c r="B3972">
        <f>Prices!B3972</f>
        <v/>
      </c>
      <c r="C3972">
        <f>Prices!C3972</f>
        <v/>
      </c>
      <c r="D3972">
        <f>Prices!D3972</f>
        <v/>
      </c>
      <c r="E3972">
        <f>Prices!E3972</f>
        <v/>
      </c>
      <c r="F3972">
        <f>Prices!F3972</f>
        <v/>
      </c>
      <c r="G3972">
        <f>IF(AND(3970&gt;=16,TEXT(A3972,"yyyy-mm")&lt;&gt;TEXT(A3973,"yyyy-mm")),1,0)</f>
        <v/>
      </c>
      <c r="H3972">
        <f>IF(OR(H3971=1,G3972=1),1,0)</f>
        <v/>
      </c>
      <c r="I3972">
        <f>IF(H3971=0,1,SUMPRODUCT(J3971:N3971,B3972:F3972)+O3971*(1+0.00023125256064071564))</f>
        <v/>
      </c>
      <c r="J3972">
        <f>IF(G3972=1,0.2*R3972/B3972,J3971)</f>
        <v/>
      </c>
      <c r="K3972">
        <f>IF(G3972=1,0.2*R3972/C3972,K3971)</f>
        <v/>
      </c>
      <c r="L3972">
        <f>IF(G3972=1,0.2*R3972/D3972,L3971)</f>
        <v/>
      </c>
      <c r="M3972">
        <f>IF(G3972=1,0.2*R3972/E3972,M3971)</f>
        <v/>
      </c>
      <c r="N3972">
        <f>IF(G3972=1,0.2*R3972/F3972,N3971)</f>
        <v/>
      </c>
      <c r="O3972">
        <f>IF(G3972=1,R3972*(1-1.0),IF(H3971=0,1,O3971*(1+0.00023125256064071564)))</f>
        <v/>
      </c>
      <c r="P3972">
        <f>IF(G3972=1,IF(H3971=0,1,ABS(0.2-J3971*B3972/I3972)+ABS(0.2-K3971*C3972/I3972)+ABS(0.2-L3971*D3972/I3972)+ABS(0.2-M3971*E3972/I3972)+ABS(0.2-N3971*F3972/I3972)),0)</f>
        <v/>
      </c>
      <c r="Q3972">
        <f>P3972*0.0015</f>
        <v/>
      </c>
      <c r="R3972">
        <f>I3972*(1-Q3972)</f>
        <v/>
      </c>
      <c r="S3972">
        <f>R3972/R3971-1</f>
        <v/>
      </c>
      <c r="T3972">
        <f>MAX(T3971,R3972)</f>
        <v/>
      </c>
      <c r="U3972">
        <f>R3972/T3972-1</f>
        <v/>
      </c>
      <c r="V3972" t="n">
        <v>12.56433832491499</v>
      </c>
      <c r="W3972" s="5">
        <f>R3972-V3972</f>
        <v/>
      </c>
    </row>
    <row r="3973">
      <c r="A3973" s="3" t="n">
        <v>44292</v>
      </c>
      <c r="B3973">
        <f>Prices!B3973</f>
        <v/>
      </c>
      <c r="C3973">
        <f>Prices!C3973</f>
        <v/>
      </c>
      <c r="D3973">
        <f>Prices!D3973</f>
        <v/>
      </c>
      <c r="E3973">
        <f>Prices!E3973</f>
        <v/>
      </c>
      <c r="F3973">
        <f>Prices!F3973</f>
        <v/>
      </c>
      <c r="G3973">
        <f>IF(AND(3971&gt;=16,TEXT(A3973,"yyyy-mm")&lt;&gt;TEXT(A3974,"yyyy-mm")),1,0)</f>
        <v/>
      </c>
      <c r="H3973">
        <f>IF(OR(H3972=1,G3973=1),1,0)</f>
        <v/>
      </c>
      <c r="I3973">
        <f>IF(H3972=0,1,SUMPRODUCT(J3972:N3972,B3973:F3973)+O3972*(1+0.00023125256064071564))</f>
        <v/>
      </c>
      <c r="J3973">
        <f>IF(G3973=1,0.2*R3973/B3973,J3972)</f>
        <v/>
      </c>
      <c r="K3973">
        <f>IF(G3973=1,0.2*R3973/C3973,K3972)</f>
        <v/>
      </c>
      <c r="L3973">
        <f>IF(G3973=1,0.2*R3973/D3973,L3972)</f>
        <v/>
      </c>
      <c r="M3973">
        <f>IF(G3973=1,0.2*R3973/E3973,M3972)</f>
        <v/>
      </c>
      <c r="N3973">
        <f>IF(G3973=1,0.2*R3973/F3973,N3972)</f>
        <v/>
      </c>
      <c r="O3973">
        <f>IF(G3973=1,R3973*(1-1.0),IF(H3972=0,1,O3972*(1+0.00023125256064071564)))</f>
        <v/>
      </c>
      <c r="P3973">
        <f>IF(G3973=1,IF(H3972=0,1,ABS(0.2-J3972*B3973/I3973)+ABS(0.2-K3972*C3973/I3973)+ABS(0.2-L3972*D3973/I3973)+ABS(0.2-M3972*E3973/I3973)+ABS(0.2-N3972*F3973/I3973)),0)</f>
        <v/>
      </c>
      <c r="Q3973">
        <f>P3973*0.0015</f>
        <v/>
      </c>
      <c r="R3973">
        <f>I3973*(1-Q3973)</f>
        <v/>
      </c>
      <c r="S3973">
        <f>R3973/R3972-1</f>
        <v/>
      </c>
      <c r="T3973">
        <f>MAX(T3972,R3973)</f>
        <v/>
      </c>
      <c r="U3973">
        <f>R3973/T3973-1</f>
        <v/>
      </c>
      <c r="V3973" t="n">
        <v>12.7205649788905</v>
      </c>
      <c r="W3973" s="5">
        <f>R3973-V3973</f>
        <v/>
      </c>
    </row>
    <row r="3974">
      <c r="A3974" s="3" t="n">
        <v>44293</v>
      </c>
      <c r="B3974">
        <f>Prices!B3974</f>
        <v/>
      </c>
      <c r="C3974">
        <f>Prices!C3974</f>
        <v/>
      </c>
      <c r="D3974">
        <f>Prices!D3974</f>
        <v/>
      </c>
      <c r="E3974">
        <f>Prices!E3974</f>
        <v/>
      </c>
      <c r="F3974">
        <f>Prices!F3974</f>
        <v/>
      </c>
      <c r="G3974">
        <f>IF(AND(3972&gt;=16,TEXT(A3974,"yyyy-mm")&lt;&gt;TEXT(A3975,"yyyy-mm")),1,0)</f>
        <v/>
      </c>
      <c r="H3974">
        <f>IF(OR(H3973=1,G3974=1),1,0)</f>
        <v/>
      </c>
      <c r="I3974">
        <f>IF(H3973=0,1,SUMPRODUCT(J3973:N3973,B3974:F3974)+O3973*(1+0.00023125256064071564))</f>
        <v/>
      </c>
      <c r="J3974">
        <f>IF(G3974=1,0.2*R3974/B3974,J3973)</f>
        <v/>
      </c>
      <c r="K3974">
        <f>IF(G3974=1,0.2*R3974/C3974,K3973)</f>
        <v/>
      </c>
      <c r="L3974">
        <f>IF(G3974=1,0.2*R3974/D3974,L3973)</f>
        <v/>
      </c>
      <c r="M3974">
        <f>IF(G3974=1,0.2*R3974/E3974,M3973)</f>
        <v/>
      </c>
      <c r="N3974">
        <f>IF(G3974=1,0.2*R3974/F3974,N3973)</f>
        <v/>
      </c>
      <c r="O3974">
        <f>IF(G3974=1,R3974*(1-1.0),IF(H3973=0,1,O3973*(1+0.00023125256064071564)))</f>
        <v/>
      </c>
      <c r="P3974">
        <f>IF(G3974=1,IF(H3973=0,1,ABS(0.2-J3973*B3974/I3974)+ABS(0.2-K3973*C3974/I3974)+ABS(0.2-L3973*D3974/I3974)+ABS(0.2-M3973*E3974/I3974)+ABS(0.2-N3973*F3974/I3974)),0)</f>
        <v/>
      </c>
      <c r="Q3974">
        <f>P3974*0.0015</f>
        <v/>
      </c>
      <c r="R3974">
        <f>I3974*(1-Q3974)</f>
        <v/>
      </c>
      <c r="S3974">
        <f>R3974/R3973-1</f>
        <v/>
      </c>
      <c r="T3974">
        <f>MAX(T3973,R3974)</f>
        <v/>
      </c>
      <c r="U3974">
        <f>R3974/T3974-1</f>
        <v/>
      </c>
      <c r="V3974" t="n">
        <v>12.83215572414393</v>
      </c>
      <c r="W3974" s="5">
        <f>R3974-V3974</f>
        <v/>
      </c>
    </row>
    <row r="3975">
      <c r="A3975" s="3" t="n">
        <v>44294</v>
      </c>
      <c r="B3975">
        <f>Prices!B3975</f>
        <v/>
      </c>
      <c r="C3975">
        <f>Prices!C3975</f>
        <v/>
      </c>
      <c r="D3975">
        <f>Prices!D3975</f>
        <v/>
      </c>
      <c r="E3975">
        <f>Prices!E3975</f>
        <v/>
      </c>
      <c r="F3975">
        <f>Prices!F3975</f>
        <v/>
      </c>
      <c r="G3975">
        <f>IF(AND(3973&gt;=16,TEXT(A3975,"yyyy-mm")&lt;&gt;TEXT(A3976,"yyyy-mm")),1,0)</f>
        <v/>
      </c>
      <c r="H3975">
        <f>IF(OR(H3974=1,G3975=1),1,0)</f>
        <v/>
      </c>
      <c r="I3975">
        <f>IF(H3974=0,1,SUMPRODUCT(J3974:N3974,B3975:F3975)+O3974*(1+0.00023125256064071564))</f>
        <v/>
      </c>
      <c r="J3975">
        <f>IF(G3975=1,0.2*R3975/B3975,J3974)</f>
        <v/>
      </c>
      <c r="K3975">
        <f>IF(G3975=1,0.2*R3975/C3975,K3974)</f>
        <v/>
      </c>
      <c r="L3975">
        <f>IF(G3975=1,0.2*R3975/D3975,L3974)</f>
        <v/>
      </c>
      <c r="M3975">
        <f>IF(G3975=1,0.2*R3975/E3975,M3974)</f>
        <v/>
      </c>
      <c r="N3975">
        <f>IF(G3975=1,0.2*R3975/F3975,N3974)</f>
        <v/>
      </c>
      <c r="O3975">
        <f>IF(G3975=1,R3975*(1-1.0),IF(H3974=0,1,O3974*(1+0.00023125256064071564)))</f>
        <v/>
      </c>
      <c r="P3975">
        <f>IF(G3975=1,IF(H3974=0,1,ABS(0.2-J3974*B3975/I3975)+ABS(0.2-K3974*C3975/I3975)+ABS(0.2-L3974*D3975/I3975)+ABS(0.2-M3974*E3975/I3975)+ABS(0.2-N3974*F3975/I3975)),0)</f>
        <v/>
      </c>
      <c r="Q3975">
        <f>P3975*0.0015</f>
        <v/>
      </c>
      <c r="R3975">
        <f>I3975*(1-Q3975)</f>
        <v/>
      </c>
      <c r="S3975">
        <f>R3975/R3974-1</f>
        <v/>
      </c>
      <c r="T3975">
        <f>MAX(T3974,R3975)</f>
        <v/>
      </c>
      <c r="U3975">
        <f>R3975/T3975-1</f>
        <v/>
      </c>
      <c r="V3975" t="n">
        <v>12.9109918362396</v>
      </c>
      <c r="W3975" s="5">
        <f>R3975-V3975</f>
        <v/>
      </c>
    </row>
    <row r="3976">
      <c r="A3976" s="3" t="n">
        <v>44295</v>
      </c>
      <c r="B3976">
        <f>Prices!B3976</f>
        <v/>
      </c>
      <c r="C3976">
        <f>Prices!C3976</f>
        <v/>
      </c>
      <c r="D3976">
        <f>Prices!D3976</f>
        <v/>
      </c>
      <c r="E3976">
        <f>Prices!E3976</f>
        <v/>
      </c>
      <c r="F3976">
        <f>Prices!F3976</f>
        <v/>
      </c>
      <c r="G3976">
        <f>IF(AND(3974&gt;=16,TEXT(A3976,"yyyy-mm")&lt;&gt;TEXT(A3977,"yyyy-mm")),1,0)</f>
        <v/>
      </c>
      <c r="H3976">
        <f>IF(OR(H3975=1,G3976=1),1,0)</f>
        <v/>
      </c>
      <c r="I3976">
        <f>IF(H3975=0,1,SUMPRODUCT(J3975:N3975,B3976:F3976)+O3975*(1+0.00023125256064071564))</f>
        <v/>
      </c>
      <c r="J3976">
        <f>IF(G3976=1,0.2*R3976/B3976,J3975)</f>
        <v/>
      </c>
      <c r="K3976">
        <f>IF(G3976=1,0.2*R3976/C3976,K3975)</f>
        <v/>
      </c>
      <c r="L3976">
        <f>IF(G3976=1,0.2*R3976/D3976,L3975)</f>
        <v/>
      </c>
      <c r="M3976">
        <f>IF(G3976=1,0.2*R3976/E3976,M3975)</f>
        <v/>
      </c>
      <c r="N3976">
        <f>IF(G3976=1,0.2*R3976/F3976,N3975)</f>
        <v/>
      </c>
      <c r="O3976">
        <f>IF(G3976=1,R3976*(1-1.0),IF(H3975=0,1,O3975*(1+0.00023125256064071564)))</f>
        <v/>
      </c>
      <c r="P3976">
        <f>IF(G3976=1,IF(H3975=0,1,ABS(0.2-J3975*B3976/I3976)+ABS(0.2-K3975*C3976/I3976)+ABS(0.2-L3975*D3976/I3976)+ABS(0.2-M3975*E3976/I3976)+ABS(0.2-N3975*F3976/I3976)),0)</f>
        <v/>
      </c>
      <c r="Q3976">
        <f>P3976*0.0015</f>
        <v/>
      </c>
      <c r="R3976">
        <f>I3976*(1-Q3976)</f>
        <v/>
      </c>
      <c r="S3976">
        <f>R3976/R3975-1</f>
        <v/>
      </c>
      <c r="T3976">
        <f>MAX(T3975,R3976)</f>
        <v/>
      </c>
      <c r="U3976">
        <f>R3976/T3976-1</f>
        <v/>
      </c>
      <c r="V3976" t="n">
        <v>12.99699951935816</v>
      </c>
      <c r="W3976" s="5">
        <f>R3976-V3976</f>
        <v/>
      </c>
    </row>
    <row r="3977">
      <c r="A3977" s="3" t="n">
        <v>44298</v>
      </c>
      <c r="B3977">
        <f>Prices!B3977</f>
        <v/>
      </c>
      <c r="C3977">
        <f>Prices!C3977</f>
        <v/>
      </c>
      <c r="D3977">
        <f>Prices!D3977</f>
        <v/>
      </c>
      <c r="E3977">
        <f>Prices!E3977</f>
        <v/>
      </c>
      <c r="F3977">
        <f>Prices!F3977</f>
        <v/>
      </c>
      <c r="G3977">
        <f>IF(AND(3975&gt;=16,TEXT(A3977,"yyyy-mm")&lt;&gt;TEXT(A3978,"yyyy-mm")),1,0)</f>
        <v/>
      </c>
      <c r="H3977">
        <f>IF(OR(H3976=1,G3977=1),1,0)</f>
        <v/>
      </c>
      <c r="I3977">
        <f>IF(H3976=0,1,SUMPRODUCT(J3976:N3976,B3977:F3977)+O3976*(1+0.00023125256064071564))</f>
        <v/>
      </c>
      <c r="J3977">
        <f>IF(G3977=1,0.2*R3977/B3977,J3976)</f>
        <v/>
      </c>
      <c r="K3977">
        <f>IF(G3977=1,0.2*R3977/C3977,K3976)</f>
        <v/>
      </c>
      <c r="L3977">
        <f>IF(G3977=1,0.2*R3977/D3977,L3976)</f>
        <v/>
      </c>
      <c r="M3977">
        <f>IF(G3977=1,0.2*R3977/E3977,M3976)</f>
        <v/>
      </c>
      <c r="N3977">
        <f>IF(G3977=1,0.2*R3977/F3977,N3976)</f>
        <v/>
      </c>
      <c r="O3977">
        <f>IF(G3977=1,R3977*(1-1.0),IF(H3976=0,1,O3976*(1+0.00023125256064071564)))</f>
        <v/>
      </c>
      <c r="P3977">
        <f>IF(G3977=1,IF(H3976=0,1,ABS(0.2-J3976*B3977/I3977)+ABS(0.2-K3976*C3977/I3977)+ABS(0.2-L3976*D3977/I3977)+ABS(0.2-M3976*E3977/I3977)+ABS(0.2-N3976*F3977/I3977)),0)</f>
        <v/>
      </c>
      <c r="Q3977">
        <f>P3977*0.0015</f>
        <v/>
      </c>
      <c r="R3977">
        <f>I3977*(1-Q3977)</f>
        <v/>
      </c>
      <c r="S3977">
        <f>R3977/R3976-1</f>
        <v/>
      </c>
      <c r="T3977">
        <f>MAX(T3976,R3977)</f>
        <v/>
      </c>
      <c r="U3977">
        <f>R3977/T3977-1</f>
        <v/>
      </c>
      <c r="V3977" t="n">
        <v>12.42704062465797</v>
      </c>
      <c r="W3977" s="5">
        <f>R3977-V3977</f>
        <v/>
      </c>
    </row>
    <row r="3978">
      <c r="A3978" s="3" t="n">
        <v>44299</v>
      </c>
      <c r="B3978">
        <f>Prices!B3978</f>
        <v/>
      </c>
      <c r="C3978">
        <f>Prices!C3978</f>
        <v/>
      </c>
      <c r="D3978">
        <f>Prices!D3978</f>
        <v/>
      </c>
      <c r="E3978">
        <f>Prices!E3978</f>
        <v/>
      </c>
      <c r="F3978">
        <f>Prices!F3978</f>
        <v/>
      </c>
      <c r="G3978">
        <f>IF(AND(3976&gt;=16,TEXT(A3978,"yyyy-mm")&lt;&gt;TEXT(A3979,"yyyy-mm")),1,0)</f>
        <v/>
      </c>
      <c r="H3978">
        <f>IF(OR(H3977=1,G3978=1),1,0)</f>
        <v/>
      </c>
      <c r="I3978">
        <f>IF(H3977=0,1,SUMPRODUCT(J3977:N3977,B3978:F3978)+O3977*(1+0.00023125256064071564))</f>
        <v/>
      </c>
      <c r="J3978">
        <f>IF(G3978=1,0.2*R3978/B3978,J3977)</f>
        <v/>
      </c>
      <c r="K3978">
        <f>IF(G3978=1,0.2*R3978/C3978,K3977)</f>
        <v/>
      </c>
      <c r="L3978">
        <f>IF(G3978=1,0.2*R3978/D3978,L3977)</f>
        <v/>
      </c>
      <c r="M3978">
        <f>IF(G3978=1,0.2*R3978/E3978,M3977)</f>
        <v/>
      </c>
      <c r="N3978">
        <f>IF(G3978=1,0.2*R3978/F3978,N3977)</f>
        <v/>
      </c>
      <c r="O3978">
        <f>IF(G3978=1,R3978*(1-1.0),IF(H3977=0,1,O3977*(1+0.00023125256064071564)))</f>
        <v/>
      </c>
      <c r="P3978">
        <f>IF(G3978=1,IF(H3977=0,1,ABS(0.2-J3977*B3978/I3978)+ABS(0.2-K3977*C3978/I3978)+ABS(0.2-L3977*D3978/I3978)+ABS(0.2-M3977*E3978/I3978)+ABS(0.2-N3977*F3978/I3978)),0)</f>
        <v/>
      </c>
      <c r="Q3978">
        <f>P3978*0.0015</f>
        <v/>
      </c>
      <c r="R3978">
        <f>I3978*(1-Q3978)</f>
        <v/>
      </c>
      <c r="S3978">
        <f>R3978/R3977-1</f>
        <v/>
      </c>
      <c r="T3978">
        <f>MAX(T3977,R3978)</f>
        <v/>
      </c>
      <c r="U3978">
        <f>R3978/T3978-1</f>
        <v/>
      </c>
      <c r="V3978" t="n">
        <v>12.51231615827005</v>
      </c>
      <c r="W3978" s="5">
        <f>R3978-V3978</f>
        <v/>
      </c>
    </row>
    <row r="3979">
      <c r="A3979" s="3" t="n">
        <v>44301</v>
      </c>
      <c r="B3979">
        <f>Prices!B3979</f>
        <v/>
      </c>
      <c r="C3979">
        <f>Prices!C3979</f>
        <v/>
      </c>
      <c r="D3979">
        <f>Prices!D3979</f>
        <v/>
      </c>
      <c r="E3979">
        <f>Prices!E3979</f>
        <v/>
      </c>
      <c r="F3979">
        <f>Prices!F3979</f>
        <v/>
      </c>
      <c r="G3979">
        <f>IF(AND(3977&gt;=16,TEXT(A3979,"yyyy-mm")&lt;&gt;TEXT(A3980,"yyyy-mm")),1,0)</f>
        <v/>
      </c>
      <c r="H3979">
        <f>IF(OR(H3978=1,G3979=1),1,0)</f>
        <v/>
      </c>
      <c r="I3979">
        <f>IF(H3978=0,1,SUMPRODUCT(J3978:N3978,B3979:F3979)+O3978*(1+0.00023125256064071564))</f>
        <v/>
      </c>
      <c r="J3979">
        <f>IF(G3979=1,0.2*R3979/B3979,J3978)</f>
        <v/>
      </c>
      <c r="K3979">
        <f>IF(G3979=1,0.2*R3979/C3979,K3978)</f>
        <v/>
      </c>
      <c r="L3979">
        <f>IF(G3979=1,0.2*R3979/D3979,L3978)</f>
        <v/>
      </c>
      <c r="M3979">
        <f>IF(G3979=1,0.2*R3979/E3979,M3978)</f>
        <v/>
      </c>
      <c r="N3979">
        <f>IF(G3979=1,0.2*R3979/F3979,N3978)</f>
        <v/>
      </c>
      <c r="O3979">
        <f>IF(G3979=1,R3979*(1-1.0),IF(H3978=0,1,O3978*(1+0.00023125256064071564)))</f>
        <v/>
      </c>
      <c r="P3979">
        <f>IF(G3979=1,IF(H3978=0,1,ABS(0.2-J3978*B3979/I3979)+ABS(0.2-K3978*C3979/I3979)+ABS(0.2-L3978*D3979/I3979)+ABS(0.2-M3978*E3979/I3979)+ABS(0.2-N3978*F3979/I3979)),0)</f>
        <v/>
      </c>
      <c r="Q3979">
        <f>P3979*0.0015</f>
        <v/>
      </c>
      <c r="R3979">
        <f>I3979*(1-Q3979)</f>
        <v/>
      </c>
      <c r="S3979">
        <f>R3979/R3978-1</f>
        <v/>
      </c>
      <c r="T3979">
        <f>MAX(T3978,R3979)</f>
        <v/>
      </c>
      <c r="U3979">
        <f>R3979/T3979-1</f>
        <v/>
      </c>
      <c r="V3979" t="n">
        <v>12.57038008823116</v>
      </c>
      <c r="W3979" s="5">
        <f>R3979-V3979</f>
        <v/>
      </c>
    </row>
    <row r="3980">
      <c r="A3980" s="3" t="n">
        <v>44302</v>
      </c>
      <c r="B3980">
        <f>Prices!B3980</f>
        <v/>
      </c>
      <c r="C3980">
        <f>Prices!C3980</f>
        <v/>
      </c>
      <c r="D3980">
        <f>Prices!D3980</f>
        <v/>
      </c>
      <c r="E3980">
        <f>Prices!E3980</f>
        <v/>
      </c>
      <c r="F3980">
        <f>Prices!F3980</f>
        <v/>
      </c>
      <c r="G3980">
        <f>IF(AND(3978&gt;=16,TEXT(A3980,"yyyy-mm")&lt;&gt;TEXT(A3981,"yyyy-mm")),1,0)</f>
        <v/>
      </c>
      <c r="H3980">
        <f>IF(OR(H3979=1,G3980=1),1,0)</f>
        <v/>
      </c>
      <c r="I3980">
        <f>IF(H3979=0,1,SUMPRODUCT(J3979:N3979,B3980:F3980)+O3979*(1+0.00023125256064071564))</f>
        <v/>
      </c>
      <c r="J3980">
        <f>IF(G3980=1,0.2*R3980/B3980,J3979)</f>
        <v/>
      </c>
      <c r="K3980">
        <f>IF(G3980=1,0.2*R3980/C3980,K3979)</f>
        <v/>
      </c>
      <c r="L3980">
        <f>IF(G3980=1,0.2*R3980/D3980,L3979)</f>
        <v/>
      </c>
      <c r="M3980">
        <f>IF(G3980=1,0.2*R3980/E3980,M3979)</f>
        <v/>
      </c>
      <c r="N3980">
        <f>IF(G3980=1,0.2*R3980/F3980,N3979)</f>
        <v/>
      </c>
      <c r="O3980">
        <f>IF(G3980=1,R3980*(1-1.0),IF(H3979=0,1,O3979*(1+0.00023125256064071564)))</f>
        <v/>
      </c>
      <c r="P3980">
        <f>IF(G3980=1,IF(H3979=0,1,ABS(0.2-J3979*B3980/I3980)+ABS(0.2-K3979*C3980/I3980)+ABS(0.2-L3979*D3980/I3980)+ABS(0.2-M3979*E3980/I3980)+ABS(0.2-N3979*F3980/I3980)),0)</f>
        <v/>
      </c>
      <c r="Q3980">
        <f>P3980*0.0015</f>
        <v/>
      </c>
      <c r="R3980">
        <f>I3980*(1-Q3980)</f>
        <v/>
      </c>
      <c r="S3980">
        <f>R3980/R3979-1</f>
        <v/>
      </c>
      <c r="T3980">
        <f>MAX(T3979,R3980)</f>
        <v/>
      </c>
      <c r="U3980">
        <f>R3980/T3980-1</f>
        <v/>
      </c>
      <c r="V3980" t="n">
        <v>12.71753134274586</v>
      </c>
      <c r="W3980" s="5">
        <f>R3980-V3980</f>
        <v/>
      </c>
    </row>
    <row r="3981">
      <c r="A3981" s="3" t="n">
        <v>44305</v>
      </c>
      <c r="B3981">
        <f>Prices!B3981</f>
        <v/>
      </c>
      <c r="C3981">
        <f>Prices!C3981</f>
        <v/>
      </c>
      <c r="D3981">
        <f>Prices!D3981</f>
        <v/>
      </c>
      <c r="E3981">
        <f>Prices!E3981</f>
        <v/>
      </c>
      <c r="F3981">
        <f>Prices!F3981</f>
        <v/>
      </c>
      <c r="G3981">
        <f>IF(AND(3979&gt;=16,TEXT(A3981,"yyyy-mm")&lt;&gt;TEXT(A3982,"yyyy-mm")),1,0)</f>
        <v/>
      </c>
      <c r="H3981">
        <f>IF(OR(H3980=1,G3981=1),1,0)</f>
        <v/>
      </c>
      <c r="I3981">
        <f>IF(H3980=0,1,SUMPRODUCT(J3980:N3980,B3981:F3981)+O3980*(1+0.00023125256064071564))</f>
        <v/>
      </c>
      <c r="J3981">
        <f>IF(G3981=1,0.2*R3981/B3981,J3980)</f>
        <v/>
      </c>
      <c r="K3981">
        <f>IF(G3981=1,0.2*R3981/C3981,K3980)</f>
        <v/>
      </c>
      <c r="L3981">
        <f>IF(G3981=1,0.2*R3981/D3981,L3980)</f>
        <v/>
      </c>
      <c r="M3981">
        <f>IF(G3981=1,0.2*R3981/E3981,M3980)</f>
        <v/>
      </c>
      <c r="N3981">
        <f>IF(G3981=1,0.2*R3981/F3981,N3980)</f>
        <v/>
      </c>
      <c r="O3981">
        <f>IF(G3981=1,R3981*(1-1.0),IF(H3980=0,1,O3980*(1+0.00023125256064071564)))</f>
        <v/>
      </c>
      <c r="P3981">
        <f>IF(G3981=1,IF(H3980=0,1,ABS(0.2-J3980*B3981/I3981)+ABS(0.2-K3980*C3981/I3981)+ABS(0.2-L3980*D3981/I3981)+ABS(0.2-M3980*E3981/I3981)+ABS(0.2-N3980*F3981/I3981)),0)</f>
        <v/>
      </c>
      <c r="Q3981">
        <f>P3981*0.0015</f>
        <v/>
      </c>
      <c r="R3981">
        <f>I3981*(1-Q3981)</f>
        <v/>
      </c>
      <c r="S3981">
        <f>R3981/R3980-1</f>
        <v/>
      </c>
      <c r="T3981">
        <f>MAX(T3980,R3981)</f>
        <v/>
      </c>
      <c r="U3981">
        <f>R3981/T3981-1</f>
        <v/>
      </c>
      <c r="V3981" t="n">
        <v>12.53096770483351</v>
      </c>
      <c r="W3981" s="5">
        <f>R3981-V3981</f>
        <v/>
      </c>
    </row>
    <row r="3982">
      <c r="A3982" s="3" t="n">
        <v>44306</v>
      </c>
      <c r="B3982">
        <f>Prices!B3982</f>
        <v/>
      </c>
      <c r="C3982">
        <f>Prices!C3982</f>
        <v/>
      </c>
      <c r="D3982">
        <f>Prices!D3982</f>
        <v/>
      </c>
      <c r="E3982">
        <f>Prices!E3982</f>
        <v/>
      </c>
      <c r="F3982">
        <f>Prices!F3982</f>
        <v/>
      </c>
      <c r="G3982">
        <f>IF(AND(3980&gt;=16,TEXT(A3982,"yyyy-mm")&lt;&gt;TEXT(A3983,"yyyy-mm")),1,0)</f>
        <v/>
      </c>
      <c r="H3982">
        <f>IF(OR(H3981=1,G3982=1),1,0)</f>
        <v/>
      </c>
      <c r="I3982">
        <f>IF(H3981=0,1,SUMPRODUCT(J3981:N3981,B3982:F3982)+O3981*(1+0.00023125256064071564))</f>
        <v/>
      </c>
      <c r="J3982">
        <f>IF(G3982=1,0.2*R3982/B3982,J3981)</f>
        <v/>
      </c>
      <c r="K3982">
        <f>IF(G3982=1,0.2*R3982/C3982,K3981)</f>
        <v/>
      </c>
      <c r="L3982">
        <f>IF(G3982=1,0.2*R3982/D3982,L3981)</f>
        <v/>
      </c>
      <c r="M3982">
        <f>IF(G3982=1,0.2*R3982/E3982,M3981)</f>
        <v/>
      </c>
      <c r="N3982">
        <f>IF(G3982=1,0.2*R3982/F3982,N3981)</f>
        <v/>
      </c>
      <c r="O3982">
        <f>IF(G3982=1,R3982*(1-1.0),IF(H3981=0,1,O3981*(1+0.00023125256064071564)))</f>
        <v/>
      </c>
      <c r="P3982">
        <f>IF(G3982=1,IF(H3981=0,1,ABS(0.2-J3981*B3982/I3982)+ABS(0.2-K3981*C3982/I3982)+ABS(0.2-L3981*D3982/I3982)+ABS(0.2-M3981*E3982/I3982)+ABS(0.2-N3981*F3982/I3982)),0)</f>
        <v/>
      </c>
      <c r="Q3982">
        <f>P3982*0.0015</f>
        <v/>
      </c>
      <c r="R3982">
        <f>I3982*(1-Q3982)</f>
        <v/>
      </c>
      <c r="S3982">
        <f>R3982/R3981-1</f>
        <v/>
      </c>
      <c r="T3982">
        <f>MAX(T3981,R3982)</f>
        <v/>
      </c>
      <c r="U3982">
        <f>R3982/T3982-1</f>
        <v/>
      </c>
      <c r="V3982" t="n">
        <v>12.53545730422337</v>
      </c>
      <c r="W3982" s="5">
        <f>R3982-V3982</f>
        <v/>
      </c>
    </row>
    <row r="3983">
      <c r="A3983" s="3" t="n">
        <v>44308</v>
      </c>
      <c r="B3983">
        <f>Prices!B3983</f>
        <v/>
      </c>
      <c r="C3983">
        <f>Prices!C3983</f>
        <v/>
      </c>
      <c r="D3983">
        <f>Prices!D3983</f>
        <v/>
      </c>
      <c r="E3983">
        <f>Prices!E3983</f>
        <v/>
      </c>
      <c r="F3983">
        <f>Prices!F3983</f>
        <v/>
      </c>
      <c r="G3983">
        <f>IF(AND(3981&gt;=16,TEXT(A3983,"yyyy-mm")&lt;&gt;TEXT(A3984,"yyyy-mm")),1,0)</f>
        <v/>
      </c>
      <c r="H3983">
        <f>IF(OR(H3982=1,G3983=1),1,0)</f>
        <v/>
      </c>
      <c r="I3983">
        <f>IF(H3982=0,1,SUMPRODUCT(J3982:N3982,B3983:F3983)+O3982*(1+0.00023125256064071564))</f>
        <v/>
      </c>
      <c r="J3983">
        <f>IF(G3983=1,0.2*R3983/B3983,J3982)</f>
        <v/>
      </c>
      <c r="K3983">
        <f>IF(G3983=1,0.2*R3983/C3983,K3982)</f>
        <v/>
      </c>
      <c r="L3983">
        <f>IF(G3983=1,0.2*R3983/D3983,L3982)</f>
        <v/>
      </c>
      <c r="M3983">
        <f>IF(G3983=1,0.2*R3983/E3983,M3982)</f>
        <v/>
      </c>
      <c r="N3983">
        <f>IF(G3983=1,0.2*R3983/F3983,N3982)</f>
        <v/>
      </c>
      <c r="O3983">
        <f>IF(G3983=1,R3983*(1-1.0),IF(H3982=0,1,O3982*(1+0.00023125256064071564)))</f>
        <v/>
      </c>
      <c r="P3983">
        <f>IF(G3983=1,IF(H3982=0,1,ABS(0.2-J3982*B3983/I3983)+ABS(0.2-K3982*C3983/I3983)+ABS(0.2-L3982*D3983/I3983)+ABS(0.2-M3982*E3983/I3983)+ABS(0.2-N3982*F3983/I3983)),0)</f>
        <v/>
      </c>
      <c r="Q3983">
        <f>P3983*0.0015</f>
        <v/>
      </c>
      <c r="R3983">
        <f>I3983*(1-Q3983)</f>
        <v/>
      </c>
      <c r="S3983">
        <f>R3983/R3982-1</f>
        <v/>
      </c>
      <c r="T3983">
        <f>MAX(T3982,R3983)</f>
        <v/>
      </c>
      <c r="U3983">
        <f>R3983/T3983-1</f>
        <v/>
      </c>
      <c r="V3983" t="n">
        <v>12.58525392551024</v>
      </c>
      <c r="W3983" s="5">
        <f>R3983-V3983</f>
        <v/>
      </c>
    </row>
    <row r="3984">
      <c r="A3984" s="3" t="n">
        <v>44309</v>
      </c>
      <c r="B3984">
        <f>Prices!B3984</f>
        <v/>
      </c>
      <c r="C3984">
        <f>Prices!C3984</f>
        <v/>
      </c>
      <c r="D3984">
        <f>Prices!D3984</f>
        <v/>
      </c>
      <c r="E3984">
        <f>Prices!E3984</f>
        <v/>
      </c>
      <c r="F3984">
        <f>Prices!F3984</f>
        <v/>
      </c>
      <c r="G3984">
        <f>IF(AND(3982&gt;=16,TEXT(A3984,"yyyy-mm")&lt;&gt;TEXT(A3985,"yyyy-mm")),1,0)</f>
        <v/>
      </c>
      <c r="H3984">
        <f>IF(OR(H3983=1,G3984=1),1,0)</f>
        <v/>
      </c>
      <c r="I3984">
        <f>IF(H3983=0,1,SUMPRODUCT(J3983:N3983,B3984:F3984)+O3983*(1+0.00023125256064071564))</f>
        <v/>
      </c>
      <c r="J3984">
        <f>IF(G3984=1,0.2*R3984/B3984,J3983)</f>
        <v/>
      </c>
      <c r="K3984">
        <f>IF(G3984=1,0.2*R3984/C3984,K3983)</f>
        <v/>
      </c>
      <c r="L3984">
        <f>IF(G3984=1,0.2*R3984/D3984,L3983)</f>
        <v/>
      </c>
      <c r="M3984">
        <f>IF(G3984=1,0.2*R3984/E3984,M3983)</f>
        <v/>
      </c>
      <c r="N3984">
        <f>IF(G3984=1,0.2*R3984/F3984,N3983)</f>
        <v/>
      </c>
      <c r="O3984">
        <f>IF(G3984=1,R3984*(1-1.0),IF(H3983=0,1,O3983*(1+0.00023125256064071564)))</f>
        <v/>
      </c>
      <c r="P3984">
        <f>IF(G3984=1,IF(H3983=0,1,ABS(0.2-J3983*B3984/I3984)+ABS(0.2-K3983*C3984/I3984)+ABS(0.2-L3983*D3984/I3984)+ABS(0.2-M3983*E3984/I3984)+ABS(0.2-N3983*F3984/I3984)),0)</f>
        <v/>
      </c>
      <c r="Q3984">
        <f>P3984*0.0015</f>
        <v/>
      </c>
      <c r="R3984">
        <f>I3984*(1-Q3984)</f>
        <v/>
      </c>
      <c r="S3984">
        <f>R3984/R3983-1</f>
        <v/>
      </c>
      <c r="T3984">
        <f>MAX(T3983,R3984)</f>
        <v/>
      </c>
      <c r="U3984">
        <f>R3984/T3984-1</f>
        <v/>
      </c>
      <c r="V3984" t="n">
        <v>12.58254868523714</v>
      </c>
      <c r="W3984" s="5">
        <f>R3984-V3984</f>
        <v/>
      </c>
    </row>
    <row r="3985">
      <c r="A3985" s="3" t="n">
        <v>44312</v>
      </c>
      <c r="B3985">
        <f>Prices!B3985</f>
        <v/>
      </c>
      <c r="C3985">
        <f>Prices!C3985</f>
        <v/>
      </c>
      <c r="D3985">
        <f>Prices!D3985</f>
        <v/>
      </c>
      <c r="E3985">
        <f>Prices!E3985</f>
        <v/>
      </c>
      <c r="F3985">
        <f>Prices!F3985</f>
        <v/>
      </c>
      <c r="G3985">
        <f>IF(AND(3983&gt;=16,TEXT(A3985,"yyyy-mm")&lt;&gt;TEXT(A3986,"yyyy-mm")),1,0)</f>
        <v/>
      </c>
      <c r="H3985">
        <f>IF(OR(H3984=1,G3985=1),1,0)</f>
        <v/>
      </c>
      <c r="I3985">
        <f>IF(H3984=0,1,SUMPRODUCT(J3984:N3984,B3985:F3985)+O3984*(1+0.00023125256064071564))</f>
        <v/>
      </c>
      <c r="J3985">
        <f>IF(G3985=1,0.2*R3985/B3985,J3984)</f>
        <v/>
      </c>
      <c r="K3985">
        <f>IF(G3985=1,0.2*R3985/C3985,K3984)</f>
        <v/>
      </c>
      <c r="L3985">
        <f>IF(G3985=1,0.2*R3985/D3985,L3984)</f>
        <v/>
      </c>
      <c r="M3985">
        <f>IF(G3985=1,0.2*R3985/E3985,M3984)</f>
        <v/>
      </c>
      <c r="N3985">
        <f>IF(G3985=1,0.2*R3985/F3985,N3984)</f>
        <v/>
      </c>
      <c r="O3985">
        <f>IF(G3985=1,R3985*(1-1.0),IF(H3984=0,1,O3984*(1+0.00023125256064071564)))</f>
        <v/>
      </c>
      <c r="P3985">
        <f>IF(G3985=1,IF(H3984=0,1,ABS(0.2-J3984*B3985/I3985)+ABS(0.2-K3984*C3985/I3985)+ABS(0.2-L3984*D3985/I3985)+ABS(0.2-M3984*E3985/I3985)+ABS(0.2-N3984*F3985/I3985)),0)</f>
        <v/>
      </c>
      <c r="Q3985">
        <f>P3985*0.0015</f>
        <v/>
      </c>
      <c r="R3985">
        <f>I3985*(1-Q3985)</f>
        <v/>
      </c>
      <c r="S3985">
        <f>R3985/R3984-1</f>
        <v/>
      </c>
      <c r="T3985">
        <f>MAX(T3984,R3985)</f>
        <v/>
      </c>
      <c r="U3985">
        <f>R3985/T3985-1</f>
        <v/>
      </c>
      <c r="V3985" t="n">
        <v>12.64698859939145</v>
      </c>
      <c r="W3985" s="5">
        <f>R3985-V3985</f>
        <v/>
      </c>
    </row>
    <row r="3986">
      <c r="A3986" s="3" t="n">
        <v>44313</v>
      </c>
      <c r="B3986">
        <f>Prices!B3986</f>
        <v/>
      </c>
      <c r="C3986">
        <f>Prices!C3986</f>
        <v/>
      </c>
      <c r="D3986">
        <f>Prices!D3986</f>
        <v/>
      </c>
      <c r="E3986">
        <f>Prices!E3986</f>
        <v/>
      </c>
      <c r="F3986">
        <f>Prices!F3986</f>
        <v/>
      </c>
      <c r="G3986">
        <f>IF(AND(3984&gt;=16,TEXT(A3986,"yyyy-mm")&lt;&gt;TEXT(A3987,"yyyy-mm")),1,0)</f>
        <v/>
      </c>
      <c r="H3986">
        <f>IF(OR(H3985=1,G3986=1),1,0)</f>
        <v/>
      </c>
      <c r="I3986">
        <f>IF(H3985=0,1,SUMPRODUCT(J3985:N3985,B3986:F3986)+O3985*(1+0.00023125256064071564))</f>
        <v/>
      </c>
      <c r="J3986">
        <f>IF(G3986=1,0.2*R3986/B3986,J3985)</f>
        <v/>
      </c>
      <c r="K3986">
        <f>IF(G3986=1,0.2*R3986/C3986,K3985)</f>
        <v/>
      </c>
      <c r="L3986">
        <f>IF(G3986=1,0.2*R3986/D3986,L3985)</f>
        <v/>
      </c>
      <c r="M3986">
        <f>IF(G3986=1,0.2*R3986/E3986,M3985)</f>
        <v/>
      </c>
      <c r="N3986">
        <f>IF(G3986=1,0.2*R3986/F3986,N3985)</f>
        <v/>
      </c>
      <c r="O3986">
        <f>IF(G3986=1,R3986*(1-1.0),IF(H3985=0,1,O3985*(1+0.00023125256064071564)))</f>
        <v/>
      </c>
      <c r="P3986">
        <f>IF(G3986=1,IF(H3985=0,1,ABS(0.2-J3985*B3986/I3986)+ABS(0.2-K3985*C3986/I3986)+ABS(0.2-L3985*D3986/I3986)+ABS(0.2-M3985*E3986/I3986)+ABS(0.2-N3985*F3986/I3986)),0)</f>
        <v/>
      </c>
      <c r="Q3986">
        <f>P3986*0.0015</f>
        <v/>
      </c>
      <c r="R3986">
        <f>I3986*(1-Q3986)</f>
        <v/>
      </c>
      <c r="S3986">
        <f>R3986/R3985-1</f>
        <v/>
      </c>
      <c r="T3986">
        <f>MAX(T3985,R3986)</f>
        <v/>
      </c>
      <c r="U3986">
        <f>R3986/T3986-1</f>
        <v/>
      </c>
      <c r="V3986" t="n">
        <v>12.79506515769014</v>
      </c>
      <c r="W3986" s="5">
        <f>R3986-V3986</f>
        <v/>
      </c>
    </row>
    <row r="3987">
      <c r="A3987" s="3" t="n">
        <v>44314</v>
      </c>
      <c r="B3987">
        <f>Prices!B3987</f>
        <v/>
      </c>
      <c r="C3987">
        <f>Prices!C3987</f>
        <v/>
      </c>
      <c r="D3987">
        <f>Prices!D3987</f>
        <v/>
      </c>
      <c r="E3987">
        <f>Prices!E3987</f>
        <v/>
      </c>
      <c r="F3987">
        <f>Prices!F3987</f>
        <v/>
      </c>
      <c r="G3987">
        <f>IF(AND(3985&gt;=16,TEXT(A3987,"yyyy-mm")&lt;&gt;TEXT(A3988,"yyyy-mm")),1,0)</f>
        <v/>
      </c>
      <c r="H3987">
        <f>IF(OR(H3986=1,G3987=1),1,0)</f>
        <v/>
      </c>
      <c r="I3987">
        <f>IF(H3986=0,1,SUMPRODUCT(J3986:N3986,B3987:F3987)+O3986*(1+0.00023125256064071564))</f>
        <v/>
      </c>
      <c r="J3987">
        <f>IF(G3987=1,0.2*R3987/B3987,J3986)</f>
        <v/>
      </c>
      <c r="K3987">
        <f>IF(G3987=1,0.2*R3987/C3987,K3986)</f>
        <v/>
      </c>
      <c r="L3987">
        <f>IF(G3987=1,0.2*R3987/D3987,L3986)</f>
        <v/>
      </c>
      <c r="M3987">
        <f>IF(G3987=1,0.2*R3987/E3987,M3986)</f>
        <v/>
      </c>
      <c r="N3987">
        <f>IF(G3987=1,0.2*R3987/F3987,N3986)</f>
        <v/>
      </c>
      <c r="O3987">
        <f>IF(G3987=1,R3987*(1-1.0),IF(H3986=0,1,O3986*(1+0.00023125256064071564)))</f>
        <v/>
      </c>
      <c r="P3987">
        <f>IF(G3987=1,IF(H3986=0,1,ABS(0.2-J3986*B3987/I3987)+ABS(0.2-K3986*C3987/I3987)+ABS(0.2-L3986*D3987/I3987)+ABS(0.2-M3986*E3987/I3987)+ABS(0.2-N3986*F3987/I3987)),0)</f>
        <v/>
      </c>
      <c r="Q3987">
        <f>P3987*0.0015</f>
        <v/>
      </c>
      <c r="R3987">
        <f>I3987*(1-Q3987)</f>
        <v/>
      </c>
      <c r="S3987">
        <f>R3987/R3986-1</f>
        <v/>
      </c>
      <c r="T3987">
        <f>MAX(T3986,R3987)</f>
        <v/>
      </c>
      <c r="U3987">
        <f>R3987/T3987-1</f>
        <v/>
      </c>
      <c r="V3987" t="n">
        <v>12.88624842587039</v>
      </c>
      <c r="W3987" s="5">
        <f>R3987-V3987</f>
        <v/>
      </c>
    </row>
    <row r="3988">
      <c r="A3988" s="3" t="n">
        <v>44315</v>
      </c>
      <c r="B3988">
        <f>Prices!B3988</f>
        <v/>
      </c>
      <c r="C3988">
        <f>Prices!C3988</f>
        <v/>
      </c>
      <c r="D3988">
        <f>Prices!D3988</f>
        <v/>
      </c>
      <c r="E3988">
        <f>Prices!E3988</f>
        <v/>
      </c>
      <c r="F3988">
        <f>Prices!F3988</f>
        <v/>
      </c>
      <c r="G3988">
        <f>IF(AND(3986&gt;=16,TEXT(A3988,"yyyy-mm")&lt;&gt;TEXT(A3989,"yyyy-mm")),1,0)</f>
        <v/>
      </c>
      <c r="H3988">
        <f>IF(OR(H3987=1,G3988=1),1,0)</f>
        <v/>
      </c>
      <c r="I3988">
        <f>IF(H3987=0,1,SUMPRODUCT(J3987:N3987,B3988:F3988)+O3987*(1+0.00023125256064071564))</f>
        <v/>
      </c>
      <c r="J3988">
        <f>IF(G3988=1,0.2*R3988/B3988,J3987)</f>
        <v/>
      </c>
      <c r="K3988">
        <f>IF(G3988=1,0.2*R3988/C3988,K3987)</f>
        <v/>
      </c>
      <c r="L3988">
        <f>IF(G3988=1,0.2*R3988/D3988,L3987)</f>
        <v/>
      </c>
      <c r="M3988">
        <f>IF(G3988=1,0.2*R3988/E3988,M3987)</f>
        <v/>
      </c>
      <c r="N3988">
        <f>IF(G3988=1,0.2*R3988/F3988,N3987)</f>
        <v/>
      </c>
      <c r="O3988">
        <f>IF(G3988=1,R3988*(1-1.0),IF(H3987=0,1,O3987*(1+0.00023125256064071564)))</f>
        <v/>
      </c>
      <c r="P3988">
        <f>IF(G3988=1,IF(H3987=0,1,ABS(0.2-J3987*B3988/I3988)+ABS(0.2-K3987*C3988/I3988)+ABS(0.2-L3987*D3988/I3988)+ABS(0.2-M3987*E3988/I3988)+ABS(0.2-N3987*F3988/I3988)),0)</f>
        <v/>
      </c>
      <c r="Q3988">
        <f>P3988*0.0015</f>
        <v/>
      </c>
      <c r="R3988">
        <f>I3988*(1-Q3988)</f>
        <v/>
      </c>
      <c r="S3988">
        <f>R3988/R3987-1</f>
        <v/>
      </c>
      <c r="T3988">
        <f>MAX(T3987,R3988)</f>
        <v/>
      </c>
      <c r="U3988">
        <f>R3988/T3988-1</f>
        <v/>
      </c>
      <c r="V3988" t="n">
        <v>12.89345890796901</v>
      </c>
      <c r="W3988" s="5">
        <f>R3988-V3988</f>
        <v/>
      </c>
    </row>
    <row r="3989">
      <c r="A3989" s="3" t="n">
        <v>44316</v>
      </c>
      <c r="B3989">
        <f>Prices!B3989</f>
        <v/>
      </c>
      <c r="C3989">
        <f>Prices!C3989</f>
        <v/>
      </c>
      <c r="D3989">
        <f>Prices!D3989</f>
        <v/>
      </c>
      <c r="E3989">
        <f>Prices!E3989</f>
        <v/>
      </c>
      <c r="F3989">
        <f>Prices!F3989</f>
        <v/>
      </c>
      <c r="G3989">
        <f>IF(AND(3987&gt;=16,TEXT(A3989,"yyyy-mm")&lt;&gt;TEXT(A3990,"yyyy-mm")),1,0)</f>
        <v/>
      </c>
      <c r="H3989">
        <f>IF(OR(H3988=1,G3989=1),1,0)</f>
        <v/>
      </c>
      <c r="I3989">
        <f>IF(H3988=0,1,SUMPRODUCT(J3988:N3988,B3989:F3989)+O3988*(1+0.00023125256064071564))</f>
        <v/>
      </c>
      <c r="J3989">
        <f>IF(G3989=1,0.2*R3989/B3989,J3988)</f>
        <v/>
      </c>
      <c r="K3989">
        <f>IF(G3989=1,0.2*R3989/C3989,K3988)</f>
        <v/>
      </c>
      <c r="L3989">
        <f>IF(G3989=1,0.2*R3989/D3989,L3988)</f>
        <v/>
      </c>
      <c r="M3989">
        <f>IF(G3989=1,0.2*R3989/E3989,M3988)</f>
        <v/>
      </c>
      <c r="N3989">
        <f>IF(G3989=1,0.2*R3989/F3989,N3988)</f>
        <v/>
      </c>
      <c r="O3989">
        <f>IF(G3989=1,R3989*(1-1.0),IF(H3988=0,1,O3988*(1+0.00023125256064071564)))</f>
        <v/>
      </c>
      <c r="P3989">
        <f>IF(G3989=1,IF(H3988=0,1,ABS(0.2-J3988*B3989/I3989)+ABS(0.2-K3988*C3989/I3989)+ABS(0.2-L3988*D3989/I3989)+ABS(0.2-M3988*E3989/I3989)+ABS(0.2-N3988*F3989/I3989)),0)</f>
        <v/>
      </c>
      <c r="Q3989">
        <f>P3989*0.0015</f>
        <v/>
      </c>
      <c r="R3989">
        <f>I3989*(1-Q3989)</f>
        <v/>
      </c>
      <c r="S3989">
        <f>R3989/R3988-1</f>
        <v/>
      </c>
      <c r="T3989">
        <f>MAX(T3988,R3989)</f>
        <v/>
      </c>
      <c r="U3989">
        <f>R3989/T3989-1</f>
        <v/>
      </c>
      <c r="V3989" t="n">
        <v>12.88195516850458</v>
      </c>
      <c r="W3989" s="5">
        <f>R3989-V3989</f>
        <v/>
      </c>
    </row>
    <row r="3990">
      <c r="A3990" s="3" t="n">
        <v>44319</v>
      </c>
      <c r="B3990">
        <f>Prices!B3990</f>
        <v/>
      </c>
      <c r="C3990">
        <f>Prices!C3990</f>
        <v/>
      </c>
      <c r="D3990">
        <f>Prices!D3990</f>
        <v/>
      </c>
      <c r="E3990">
        <f>Prices!E3990</f>
        <v/>
      </c>
      <c r="F3990">
        <f>Prices!F3990</f>
        <v/>
      </c>
      <c r="G3990">
        <f>IF(AND(3988&gt;=16,TEXT(A3990,"yyyy-mm")&lt;&gt;TEXT(A3991,"yyyy-mm")),1,0)</f>
        <v/>
      </c>
      <c r="H3990">
        <f>IF(OR(H3989=1,G3990=1),1,0)</f>
        <v/>
      </c>
      <c r="I3990">
        <f>IF(H3989=0,1,SUMPRODUCT(J3989:N3989,B3990:F3990)+O3989*(1+0.00023125256064071564))</f>
        <v/>
      </c>
      <c r="J3990">
        <f>IF(G3990=1,0.2*R3990/B3990,J3989)</f>
        <v/>
      </c>
      <c r="K3990">
        <f>IF(G3990=1,0.2*R3990/C3990,K3989)</f>
        <v/>
      </c>
      <c r="L3990">
        <f>IF(G3990=1,0.2*R3990/D3990,L3989)</f>
        <v/>
      </c>
      <c r="M3990">
        <f>IF(G3990=1,0.2*R3990/E3990,M3989)</f>
        <v/>
      </c>
      <c r="N3990">
        <f>IF(G3990=1,0.2*R3990/F3990,N3989)</f>
        <v/>
      </c>
      <c r="O3990">
        <f>IF(G3990=1,R3990*(1-1.0),IF(H3989=0,1,O3989*(1+0.00023125256064071564)))</f>
        <v/>
      </c>
      <c r="P3990">
        <f>IF(G3990=1,IF(H3989=0,1,ABS(0.2-J3989*B3990/I3990)+ABS(0.2-K3989*C3990/I3990)+ABS(0.2-L3989*D3990/I3990)+ABS(0.2-M3989*E3990/I3990)+ABS(0.2-N3989*F3990/I3990)),0)</f>
        <v/>
      </c>
      <c r="Q3990">
        <f>P3990*0.0015</f>
        <v/>
      </c>
      <c r="R3990">
        <f>I3990*(1-Q3990)</f>
        <v/>
      </c>
      <c r="S3990">
        <f>R3990/R3989-1</f>
        <v/>
      </c>
      <c r="T3990">
        <f>MAX(T3989,R3990)</f>
        <v/>
      </c>
      <c r="U3990">
        <f>R3990/T3990-1</f>
        <v/>
      </c>
      <c r="V3990" t="n">
        <v>13.02387247425257</v>
      </c>
      <c r="W3990" s="5">
        <f>R3990-V3990</f>
        <v/>
      </c>
    </row>
    <row r="3991">
      <c r="A3991" s="3" t="n">
        <v>44320</v>
      </c>
      <c r="B3991">
        <f>Prices!B3991</f>
        <v/>
      </c>
      <c r="C3991">
        <f>Prices!C3991</f>
        <v/>
      </c>
      <c r="D3991">
        <f>Prices!D3991</f>
        <v/>
      </c>
      <c r="E3991">
        <f>Prices!E3991</f>
        <v/>
      </c>
      <c r="F3991">
        <f>Prices!F3991</f>
        <v/>
      </c>
      <c r="G3991">
        <f>IF(AND(3989&gt;=16,TEXT(A3991,"yyyy-mm")&lt;&gt;TEXT(A3992,"yyyy-mm")),1,0)</f>
        <v/>
      </c>
      <c r="H3991">
        <f>IF(OR(H3990=1,G3991=1),1,0)</f>
        <v/>
      </c>
      <c r="I3991">
        <f>IF(H3990=0,1,SUMPRODUCT(J3990:N3990,B3991:F3991)+O3990*(1+0.00023125256064071564))</f>
        <v/>
      </c>
      <c r="J3991">
        <f>IF(G3991=1,0.2*R3991/B3991,J3990)</f>
        <v/>
      </c>
      <c r="K3991">
        <f>IF(G3991=1,0.2*R3991/C3991,K3990)</f>
        <v/>
      </c>
      <c r="L3991">
        <f>IF(G3991=1,0.2*R3991/D3991,L3990)</f>
        <v/>
      </c>
      <c r="M3991">
        <f>IF(G3991=1,0.2*R3991/E3991,M3990)</f>
        <v/>
      </c>
      <c r="N3991">
        <f>IF(G3991=1,0.2*R3991/F3991,N3990)</f>
        <v/>
      </c>
      <c r="O3991">
        <f>IF(G3991=1,R3991*(1-1.0),IF(H3990=0,1,O3990*(1+0.00023125256064071564)))</f>
        <v/>
      </c>
      <c r="P3991">
        <f>IF(G3991=1,IF(H3990=0,1,ABS(0.2-J3990*B3991/I3991)+ABS(0.2-K3990*C3991/I3991)+ABS(0.2-L3990*D3991/I3991)+ABS(0.2-M3990*E3991/I3991)+ABS(0.2-N3990*F3991/I3991)),0)</f>
        <v/>
      </c>
      <c r="Q3991">
        <f>P3991*0.0015</f>
        <v/>
      </c>
      <c r="R3991">
        <f>I3991*(1-Q3991)</f>
        <v/>
      </c>
      <c r="S3991">
        <f>R3991/R3990-1</f>
        <v/>
      </c>
      <c r="T3991">
        <f>MAX(T3990,R3991)</f>
        <v/>
      </c>
      <c r="U3991">
        <f>R3991/T3991-1</f>
        <v/>
      </c>
      <c r="V3991" t="n">
        <v>12.96539657041424</v>
      </c>
      <c r="W3991" s="5">
        <f>R3991-V3991</f>
        <v/>
      </c>
    </row>
    <row r="3992">
      <c r="A3992" s="3" t="n">
        <v>44321</v>
      </c>
      <c r="B3992">
        <f>Prices!B3992</f>
        <v/>
      </c>
      <c r="C3992">
        <f>Prices!C3992</f>
        <v/>
      </c>
      <c r="D3992">
        <f>Prices!D3992</f>
        <v/>
      </c>
      <c r="E3992">
        <f>Prices!E3992</f>
        <v/>
      </c>
      <c r="F3992">
        <f>Prices!F3992</f>
        <v/>
      </c>
      <c r="G3992">
        <f>IF(AND(3990&gt;=16,TEXT(A3992,"yyyy-mm")&lt;&gt;TEXT(A3993,"yyyy-mm")),1,0)</f>
        <v/>
      </c>
      <c r="H3992">
        <f>IF(OR(H3991=1,G3992=1),1,0)</f>
        <v/>
      </c>
      <c r="I3992">
        <f>IF(H3991=0,1,SUMPRODUCT(J3991:N3991,B3992:F3992)+O3991*(1+0.00023125256064071564))</f>
        <v/>
      </c>
      <c r="J3992">
        <f>IF(G3992=1,0.2*R3992/B3992,J3991)</f>
        <v/>
      </c>
      <c r="K3992">
        <f>IF(G3992=1,0.2*R3992/C3992,K3991)</f>
        <v/>
      </c>
      <c r="L3992">
        <f>IF(G3992=1,0.2*R3992/D3992,L3991)</f>
        <v/>
      </c>
      <c r="M3992">
        <f>IF(G3992=1,0.2*R3992/E3992,M3991)</f>
        <v/>
      </c>
      <c r="N3992">
        <f>IF(G3992=1,0.2*R3992/F3992,N3991)</f>
        <v/>
      </c>
      <c r="O3992">
        <f>IF(G3992=1,R3992*(1-1.0),IF(H3991=0,1,O3991*(1+0.00023125256064071564)))</f>
        <v/>
      </c>
      <c r="P3992">
        <f>IF(G3992=1,IF(H3991=0,1,ABS(0.2-J3991*B3992/I3992)+ABS(0.2-K3991*C3992/I3992)+ABS(0.2-L3991*D3992/I3992)+ABS(0.2-M3991*E3992/I3992)+ABS(0.2-N3991*F3992/I3992)),0)</f>
        <v/>
      </c>
      <c r="Q3992">
        <f>P3992*0.0015</f>
        <v/>
      </c>
      <c r="R3992">
        <f>I3992*(1-Q3992)</f>
        <v/>
      </c>
      <c r="S3992">
        <f>R3992/R3991-1</f>
        <v/>
      </c>
      <c r="T3992">
        <f>MAX(T3991,R3992)</f>
        <v/>
      </c>
      <c r="U3992">
        <f>R3992/T3992-1</f>
        <v/>
      </c>
      <c r="V3992" t="n">
        <v>13.08200320770547</v>
      </c>
      <c r="W3992" s="5">
        <f>R3992-V3992</f>
        <v/>
      </c>
    </row>
    <row r="3993">
      <c r="A3993" s="3" t="n">
        <v>44322</v>
      </c>
      <c r="B3993">
        <f>Prices!B3993</f>
        <v/>
      </c>
      <c r="C3993">
        <f>Prices!C3993</f>
        <v/>
      </c>
      <c r="D3993">
        <f>Prices!D3993</f>
        <v/>
      </c>
      <c r="E3993">
        <f>Prices!E3993</f>
        <v/>
      </c>
      <c r="F3993">
        <f>Prices!F3993</f>
        <v/>
      </c>
      <c r="G3993">
        <f>IF(AND(3991&gt;=16,TEXT(A3993,"yyyy-mm")&lt;&gt;TEXT(A3994,"yyyy-mm")),1,0)</f>
        <v/>
      </c>
      <c r="H3993">
        <f>IF(OR(H3992=1,G3993=1),1,0)</f>
        <v/>
      </c>
      <c r="I3993">
        <f>IF(H3992=0,1,SUMPRODUCT(J3992:N3992,B3993:F3993)+O3992*(1+0.00023125256064071564))</f>
        <v/>
      </c>
      <c r="J3993">
        <f>IF(G3993=1,0.2*R3993/B3993,J3992)</f>
        <v/>
      </c>
      <c r="K3993">
        <f>IF(G3993=1,0.2*R3993/C3993,K3992)</f>
        <v/>
      </c>
      <c r="L3993">
        <f>IF(G3993=1,0.2*R3993/D3993,L3992)</f>
        <v/>
      </c>
      <c r="M3993">
        <f>IF(G3993=1,0.2*R3993/E3993,M3992)</f>
        <v/>
      </c>
      <c r="N3993">
        <f>IF(G3993=1,0.2*R3993/F3993,N3992)</f>
        <v/>
      </c>
      <c r="O3993">
        <f>IF(G3993=1,R3993*(1-1.0),IF(H3992=0,1,O3992*(1+0.00023125256064071564)))</f>
        <v/>
      </c>
      <c r="P3993">
        <f>IF(G3993=1,IF(H3992=0,1,ABS(0.2-J3992*B3993/I3993)+ABS(0.2-K3992*C3993/I3993)+ABS(0.2-L3992*D3993/I3993)+ABS(0.2-M3992*E3993/I3993)+ABS(0.2-N3992*F3993/I3993)),0)</f>
        <v/>
      </c>
      <c r="Q3993">
        <f>P3993*0.0015</f>
        <v/>
      </c>
      <c r="R3993">
        <f>I3993*(1-Q3993)</f>
        <v/>
      </c>
      <c r="S3993">
        <f>R3993/R3992-1</f>
        <v/>
      </c>
      <c r="T3993">
        <f>MAX(T3992,R3993)</f>
        <v/>
      </c>
      <c r="U3993">
        <f>R3993/T3993-1</f>
        <v/>
      </c>
      <c r="V3993" t="n">
        <v>13.18899116326253</v>
      </c>
      <c r="W3993" s="5">
        <f>R3993-V3993</f>
        <v/>
      </c>
    </row>
    <row r="3994">
      <c r="A3994" s="3" t="n">
        <v>44323</v>
      </c>
      <c r="B3994">
        <f>Prices!B3994</f>
        <v/>
      </c>
      <c r="C3994">
        <f>Prices!C3994</f>
        <v/>
      </c>
      <c r="D3994">
        <f>Prices!D3994</f>
        <v/>
      </c>
      <c r="E3994">
        <f>Prices!E3994</f>
        <v/>
      </c>
      <c r="F3994">
        <f>Prices!F3994</f>
        <v/>
      </c>
      <c r="G3994">
        <f>IF(AND(3992&gt;=16,TEXT(A3994,"yyyy-mm")&lt;&gt;TEXT(A3995,"yyyy-mm")),1,0)</f>
        <v/>
      </c>
      <c r="H3994">
        <f>IF(OR(H3993=1,G3994=1),1,0)</f>
        <v/>
      </c>
      <c r="I3994">
        <f>IF(H3993=0,1,SUMPRODUCT(J3993:N3993,B3994:F3994)+O3993*(1+0.00023125256064071564))</f>
        <v/>
      </c>
      <c r="J3994">
        <f>IF(G3994=1,0.2*R3994/B3994,J3993)</f>
        <v/>
      </c>
      <c r="K3994">
        <f>IF(G3994=1,0.2*R3994/C3994,K3993)</f>
        <v/>
      </c>
      <c r="L3994">
        <f>IF(G3994=1,0.2*R3994/D3994,L3993)</f>
        <v/>
      </c>
      <c r="M3994">
        <f>IF(G3994=1,0.2*R3994/E3994,M3993)</f>
        <v/>
      </c>
      <c r="N3994">
        <f>IF(G3994=1,0.2*R3994/F3994,N3993)</f>
        <v/>
      </c>
      <c r="O3994">
        <f>IF(G3994=1,R3994*(1-1.0),IF(H3993=0,1,O3993*(1+0.00023125256064071564)))</f>
        <v/>
      </c>
      <c r="P3994">
        <f>IF(G3994=1,IF(H3993=0,1,ABS(0.2-J3993*B3994/I3994)+ABS(0.2-K3993*C3994/I3994)+ABS(0.2-L3993*D3994/I3994)+ABS(0.2-M3993*E3994/I3994)+ABS(0.2-N3993*F3994/I3994)),0)</f>
        <v/>
      </c>
      <c r="Q3994">
        <f>P3994*0.0015</f>
        <v/>
      </c>
      <c r="R3994">
        <f>I3994*(1-Q3994)</f>
        <v/>
      </c>
      <c r="S3994">
        <f>R3994/R3993-1</f>
        <v/>
      </c>
      <c r="T3994">
        <f>MAX(T3993,R3994)</f>
        <v/>
      </c>
      <c r="U3994">
        <f>R3994/T3994-1</f>
        <v/>
      </c>
      <c r="V3994" t="n">
        <v>13.22244620476561</v>
      </c>
      <c r="W3994" s="5">
        <f>R3994-V3994</f>
        <v/>
      </c>
    </row>
    <row r="3995">
      <c r="A3995" s="3" t="n">
        <v>44326</v>
      </c>
      <c r="B3995">
        <f>Prices!B3995</f>
        <v/>
      </c>
      <c r="C3995">
        <f>Prices!C3995</f>
        <v/>
      </c>
      <c r="D3995">
        <f>Prices!D3995</f>
        <v/>
      </c>
      <c r="E3995">
        <f>Prices!E3995</f>
        <v/>
      </c>
      <c r="F3995">
        <f>Prices!F3995</f>
        <v/>
      </c>
      <c r="G3995">
        <f>IF(AND(3993&gt;=16,TEXT(A3995,"yyyy-mm")&lt;&gt;TEXT(A3996,"yyyy-mm")),1,0)</f>
        <v/>
      </c>
      <c r="H3995">
        <f>IF(OR(H3994=1,G3995=1),1,0)</f>
        <v/>
      </c>
      <c r="I3995">
        <f>IF(H3994=0,1,SUMPRODUCT(J3994:N3994,B3995:F3995)+O3994*(1+0.00023125256064071564))</f>
        <v/>
      </c>
      <c r="J3995">
        <f>IF(G3995=1,0.2*R3995/B3995,J3994)</f>
        <v/>
      </c>
      <c r="K3995">
        <f>IF(G3995=1,0.2*R3995/C3995,K3994)</f>
        <v/>
      </c>
      <c r="L3995">
        <f>IF(G3995=1,0.2*R3995/D3995,L3994)</f>
        <v/>
      </c>
      <c r="M3995">
        <f>IF(G3995=1,0.2*R3995/E3995,M3994)</f>
        <v/>
      </c>
      <c r="N3995">
        <f>IF(G3995=1,0.2*R3995/F3995,N3994)</f>
        <v/>
      </c>
      <c r="O3995">
        <f>IF(G3995=1,R3995*(1-1.0),IF(H3994=0,1,O3994*(1+0.00023125256064071564)))</f>
        <v/>
      </c>
      <c r="P3995">
        <f>IF(G3995=1,IF(H3994=0,1,ABS(0.2-J3994*B3995/I3995)+ABS(0.2-K3994*C3995/I3995)+ABS(0.2-L3994*D3995/I3995)+ABS(0.2-M3994*E3995/I3995)+ABS(0.2-N3994*F3995/I3995)),0)</f>
        <v/>
      </c>
      <c r="Q3995">
        <f>P3995*0.0015</f>
        <v/>
      </c>
      <c r="R3995">
        <f>I3995*(1-Q3995)</f>
        <v/>
      </c>
      <c r="S3995">
        <f>R3995/R3994-1</f>
        <v/>
      </c>
      <c r="T3995">
        <f>MAX(T3994,R3995)</f>
        <v/>
      </c>
      <c r="U3995">
        <f>R3995/T3995-1</f>
        <v/>
      </c>
      <c r="V3995" t="n">
        <v>13.35032339461523</v>
      </c>
      <c r="W3995" s="5">
        <f>R3995-V3995</f>
        <v/>
      </c>
    </row>
    <row r="3996">
      <c r="A3996" s="3" t="n">
        <v>44327</v>
      </c>
      <c r="B3996">
        <f>Prices!B3996</f>
        <v/>
      </c>
      <c r="C3996">
        <f>Prices!C3996</f>
        <v/>
      </c>
      <c r="D3996">
        <f>Prices!D3996</f>
        <v/>
      </c>
      <c r="E3996">
        <f>Prices!E3996</f>
        <v/>
      </c>
      <c r="F3996">
        <f>Prices!F3996</f>
        <v/>
      </c>
      <c r="G3996">
        <f>IF(AND(3994&gt;=16,TEXT(A3996,"yyyy-mm")&lt;&gt;TEXT(A3997,"yyyy-mm")),1,0)</f>
        <v/>
      </c>
      <c r="H3996">
        <f>IF(OR(H3995=1,G3996=1),1,0)</f>
        <v/>
      </c>
      <c r="I3996">
        <f>IF(H3995=0,1,SUMPRODUCT(J3995:N3995,B3996:F3996)+O3995*(1+0.00023125256064071564))</f>
        <v/>
      </c>
      <c r="J3996">
        <f>IF(G3996=1,0.2*R3996/B3996,J3995)</f>
        <v/>
      </c>
      <c r="K3996">
        <f>IF(G3996=1,0.2*R3996/C3996,K3995)</f>
        <v/>
      </c>
      <c r="L3996">
        <f>IF(G3996=1,0.2*R3996/D3996,L3995)</f>
        <v/>
      </c>
      <c r="M3996">
        <f>IF(G3996=1,0.2*R3996/E3996,M3995)</f>
        <v/>
      </c>
      <c r="N3996">
        <f>IF(G3996=1,0.2*R3996/F3996,N3995)</f>
        <v/>
      </c>
      <c r="O3996">
        <f>IF(G3996=1,R3996*(1-1.0),IF(H3995=0,1,O3995*(1+0.00023125256064071564)))</f>
        <v/>
      </c>
      <c r="P3996">
        <f>IF(G3996=1,IF(H3995=0,1,ABS(0.2-J3995*B3996/I3996)+ABS(0.2-K3995*C3996/I3996)+ABS(0.2-L3995*D3996/I3996)+ABS(0.2-M3995*E3996/I3996)+ABS(0.2-N3995*F3996/I3996)),0)</f>
        <v/>
      </c>
      <c r="Q3996">
        <f>P3996*0.0015</f>
        <v/>
      </c>
      <c r="R3996">
        <f>I3996*(1-Q3996)</f>
        <v/>
      </c>
      <c r="S3996">
        <f>R3996/R3995-1</f>
        <v/>
      </c>
      <c r="T3996">
        <f>MAX(T3995,R3996)</f>
        <v/>
      </c>
      <c r="U3996">
        <f>R3996/T3996-1</f>
        <v/>
      </c>
      <c r="V3996" t="n">
        <v>13.39199597430011</v>
      </c>
      <c r="W3996" s="5">
        <f>R3996-V3996</f>
        <v/>
      </c>
    </row>
    <row r="3997">
      <c r="A3997" s="3" t="n">
        <v>44328</v>
      </c>
      <c r="B3997">
        <f>Prices!B3997</f>
        <v/>
      </c>
      <c r="C3997">
        <f>Prices!C3997</f>
        <v/>
      </c>
      <c r="D3997">
        <f>Prices!D3997</f>
        <v/>
      </c>
      <c r="E3997">
        <f>Prices!E3997</f>
        <v/>
      </c>
      <c r="F3997">
        <f>Prices!F3997</f>
        <v/>
      </c>
      <c r="G3997">
        <f>IF(AND(3995&gt;=16,TEXT(A3997,"yyyy-mm")&lt;&gt;TEXT(A3998,"yyyy-mm")),1,0)</f>
        <v/>
      </c>
      <c r="H3997">
        <f>IF(OR(H3996=1,G3997=1),1,0)</f>
        <v/>
      </c>
      <c r="I3997">
        <f>IF(H3996=0,1,SUMPRODUCT(J3996:N3996,B3997:F3997)+O3996*(1+0.00023125256064071564))</f>
        <v/>
      </c>
      <c r="J3997">
        <f>IF(G3997=1,0.2*R3997/B3997,J3996)</f>
        <v/>
      </c>
      <c r="K3997">
        <f>IF(G3997=1,0.2*R3997/C3997,K3996)</f>
        <v/>
      </c>
      <c r="L3997">
        <f>IF(G3997=1,0.2*R3997/D3997,L3996)</f>
        <v/>
      </c>
      <c r="M3997">
        <f>IF(G3997=1,0.2*R3997/E3997,M3996)</f>
        <v/>
      </c>
      <c r="N3997">
        <f>IF(G3997=1,0.2*R3997/F3997,N3996)</f>
        <v/>
      </c>
      <c r="O3997">
        <f>IF(G3997=1,R3997*(1-1.0),IF(H3996=0,1,O3996*(1+0.00023125256064071564)))</f>
        <v/>
      </c>
      <c r="P3997">
        <f>IF(G3997=1,IF(H3996=0,1,ABS(0.2-J3996*B3997/I3997)+ABS(0.2-K3996*C3997/I3997)+ABS(0.2-L3996*D3997/I3997)+ABS(0.2-M3996*E3997/I3997)+ABS(0.2-N3996*F3997/I3997)),0)</f>
        <v/>
      </c>
      <c r="Q3997">
        <f>P3997*0.0015</f>
        <v/>
      </c>
      <c r="R3997">
        <f>I3997*(1-Q3997)</f>
        <v/>
      </c>
      <c r="S3997">
        <f>R3997/R3996-1</f>
        <v/>
      </c>
      <c r="T3997">
        <f>MAX(T3996,R3997)</f>
        <v/>
      </c>
      <c r="U3997">
        <f>R3997/T3997-1</f>
        <v/>
      </c>
      <c r="V3997" t="n">
        <v>13.279612395527</v>
      </c>
      <c r="W3997" s="5">
        <f>R3997-V3997</f>
        <v/>
      </c>
    </row>
    <row r="3998">
      <c r="A3998" s="3" t="n">
        <v>44330</v>
      </c>
      <c r="B3998">
        <f>Prices!B3998</f>
        <v/>
      </c>
      <c r="C3998">
        <f>Prices!C3998</f>
        <v/>
      </c>
      <c r="D3998">
        <f>Prices!D3998</f>
        <v/>
      </c>
      <c r="E3998">
        <f>Prices!E3998</f>
        <v/>
      </c>
      <c r="F3998">
        <f>Prices!F3998</f>
        <v/>
      </c>
      <c r="G3998">
        <f>IF(AND(3996&gt;=16,TEXT(A3998,"yyyy-mm")&lt;&gt;TEXT(A3999,"yyyy-mm")),1,0)</f>
        <v/>
      </c>
      <c r="H3998">
        <f>IF(OR(H3997=1,G3998=1),1,0)</f>
        <v/>
      </c>
      <c r="I3998">
        <f>IF(H3997=0,1,SUMPRODUCT(J3997:N3997,B3998:F3998)+O3997*(1+0.00023125256064071564))</f>
        <v/>
      </c>
      <c r="J3998">
        <f>IF(G3998=1,0.2*R3998/B3998,J3997)</f>
        <v/>
      </c>
      <c r="K3998">
        <f>IF(G3998=1,0.2*R3998/C3998,K3997)</f>
        <v/>
      </c>
      <c r="L3998">
        <f>IF(G3998=1,0.2*R3998/D3998,L3997)</f>
        <v/>
      </c>
      <c r="M3998">
        <f>IF(G3998=1,0.2*R3998/E3998,M3997)</f>
        <v/>
      </c>
      <c r="N3998">
        <f>IF(G3998=1,0.2*R3998/F3998,N3997)</f>
        <v/>
      </c>
      <c r="O3998">
        <f>IF(G3998=1,R3998*(1-1.0),IF(H3997=0,1,O3997*(1+0.00023125256064071564)))</f>
        <v/>
      </c>
      <c r="P3998">
        <f>IF(G3998=1,IF(H3997=0,1,ABS(0.2-J3997*B3998/I3998)+ABS(0.2-K3997*C3998/I3998)+ABS(0.2-L3997*D3998/I3998)+ABS(0.2-M3997*E3998/I3998)+ABS(0.2-N3997*F3998/I3998)),0)</f>
        <v/>
      </c>
      <c r="Q3998">
        <f>P3998*0.0015</f>
        <v/>
      </c>
      <c r="R3998">
        <f>I3998*(1-Q3998)</f>
        <v/>
      </c>
      <c r="S3998">
        <f>R3998/R3997-1</f>
        <v/>
      </c>
      <c r="T3998">
        <f>MAX(T3997,R3998)</f>
        <v/>
      </c>
      <c r="U3998">
        <f>R3998/T3998-1</f>
        <v/>
      </c>
      <c r="V3998" t="n">
        <v>13.12111475736886</v>
      </c>
      <c r="W3998" s="5">
        <f>R3998-V3998</f>
        <v/>
      </c>
    </row>
    <row r="3999">
      <c r="A3999" s="3" t="n">
        <v>44333</v>
      </c>
      <c r="B3999">
        <f>Prices!B3999</f>
        <v/>
      </c>
      <c r="C3999">
        <f>Prices!C3999</f>
        <v/>
      </c>
      <c r="D3999">
        <f>Prices!D3999</f>
        <v/>
      </c>
      <c r="E3999">
        <f>Prices!E3999</f>
        <v/>
      </c>
      <c r="F3999">
        <f>Prices!F3999</f>
        <v/>
      </c>
      <c r="G3999">
        <f>IF(AND(3997&gt;=16,TEXT(A3999,"yyyy-mm")&lt;&gt;TEXT(A4000,"yyyy-mm")),1,0)</f>
        <v/>
      </c>
      <c r="H3999">
        <f>IF(OR(H3998=1,G3999=1),1,0)</f>
        <v/>
      </c>
      <c r="I3999">
        <f>IF(H3998=0,1,SUMPRODUCT(J3998:N3998,B3999:F3999)+O3998*(1+0.00023125256064071564))</f>
        <v/>
      </c>
      <c r="J3999">
        <f>IF(G3999=1,0.2*R3999/B3999,J3998)</f>
        <v/>
      </c>
      <c r="K3999">
        <f>IF(G3999=1,0.2*R3999/C3999,K3998)</f>
        <v/>
      </c>
      <c r="L3999">
        <f>IF(G3999=1,0.2*R3999/D3999,L3998)</f>
        <v/>
      </c>
      <c r="M3999">
        <f>IF(G3999=1,0.2*R3999/E3999,M3998)</f>
        <v/>
      </c>
      <c r="N3999">
        <f>IF(G3999=1,0.2*R3999/F3999,N3998)</f>
        <v/>
      </c>
      <c r="O3999">
        <f>IF(G3999=1,R3999*(1-1.0),IF(H3998=0,1,O3998*(1+0.00023125256064071564)))</f>
        <v/>
      </c>
      <c r="P3999">
        <f>IF(G3999=1,IF(H3998=0,1,ABS(0.2-J3998*B3999/I3999)+ABS(0.2-K3998*C3999/I3999)+ABS(0.2-L3998*D3999/I3999)+ABS(0.2-M3998*E3999/I3999)+ABS(0.2-N3998*F3999/I3999)),0)</f>
        <v/>
      </c>
      <c r="Q3999">
        <f>P3999*0.0015</f>
        <v/>
      </c>
      <c r="R3999">
        <f>I3999*(1-Q3999)</f>
        <v/>
      </c>
      <c r="S3999">
        <f>R3999/R3998-1</f>
        <v/>
      </c>
      <c r="T3999">
        <f>MAX(T3998,R3999)</f>
        <v/>
      </c>
      <c r="U3999">
        <f>R3999/T3999-1</f>
        <v/>
      </c>
      <c r="V3999" t="n">
        <v>13.30863652875356</v>
      </c>
      <c r="W3999" s="5">
        <f>R3999-V3999</f>
        <v/>
      </c>
    </row>
    <row r="4000">
      <c r="A4000" s="3" t="n">
        <v>44334</v>
      </c>
      <c r="B4000">
        <f>Prices!B4000</f>
        <v/>
      </c>
      <c r="C4000">
        <f>Prices!C4000</f>
        <v/>
      </c>
      <c r="D4000">
        <f>Prices!D4000</f>
        <v/>
      </c>
      <c r="E4000">
        <f>Prices!E4000</f>
        <v/>
      </c>
      <c r="F4000">
        <f>Prices!F4000</f>
        <v/>
      </c>
      <c r="G4000">
        <f>IF(AND(3998&gt;=16,TEXT(A4000,"yyyy-mm")&lt;&gt;TEXT(A4001,"yyyy-mm")),1,0)</f>
        <v/>
      </c>
      <c r="H4000">
        <f>IF(OR(H3999=1,G4000=1),1,0)</f>
        <v/>
      </c>
      <c r="I4000">
        <f>IF(H3999=0,1,SUMPRODUCT(J3999:N3999,B4000:F4000)+O3999*(1+0.00023125256064071564))</f>
        <v/>
      </c>
      <c r="J4000">
        <f>IF(G4000=1,0.2*R4000/B4000,J3999)</f>
        <v/>
      </c>
      <c r="K4000">
        <f>IF(G4000=1,0.2*R4000/C4000,K3999)</f>
        <v/>
      </c>
      <c r="L4000">
        <f>IF(G4000=1,0.2*R4000/D4000,L3999)</f>
        <v/>
      </c>
      <c r="M4000">
        <f>IF(G4000=1,0.2*R4000/E4000,M3999)</f>
        <v/>
      </c>
      <c r="N4000">
        <f>IF(G4000=1,0.2*R4000/F4000,N3999)</f>
        <v/>
      </c>
      <c r="O4000">
        <f>IF(G4000=1,R4000*(1-1.0),IF(H3999=0,1,O3999*(1+0.00023125256064071564)))</f>
        <v/>
      </c>
      <c r="P4000">
        <f>IF(G4000=1,IF(H3999=0,1,ABS(0.2-J3999*B4000/I4000)+ABS(0.2-K3999*C4000/I4000)+ABS(0.2-L3999*D4000/I4000)+ABS(0.2-M3999*E4000/I4000)+ABS(0.2-N3999*F4000/I4000)),0)</f>
        <v/>
      </c>
      <c r="Q4000">
        <f>P4000*0.0015</f>
        <v/>
      </c>
      <c r="R4000">
        <f>I4000*(1-Q4000)</f>
        <v/>
      </c>
      <c r="S4000">
        <f>R4000/R3999-1</f>
        <v/>
      </c>
      <c r="T4000">
        <f>MAX(T3999,R4000)</f>
        <v/>
      </c>
      <c r="U4000">
        <f>R4000/T4000-1</f>
        <v/>
      </c>
      <c r="V4000" t="n">
        <v>13.48080286649549</v>
      </c>
      <c r="W4000" s="5">
        <f>R4000-V4000</f>
        <v/>
      </c>
    </row>
    <row r="4001">
      <c r="A4001" s="3" t="n">
        <v>44335</v>
      </c>
      <c r="B4001">
        <f>Prices!B4001</f>
        <v/>
      </c>
      <c r="C4001">
        <f>Prices!C4001</f>
        <v/>
      </c>
      <c r="D4001">
        <f>Prices!D4001</f>
        <v/>
      </c>
      <c r="E4001">
        <f>Prices!E4001</f>
        <v/>
      </c>
      <c r="F4001">
        <f>Prices!F4001</f>
        <v/>
      </c>
      <c r="G4001">
        <f>IF(AND(3999&gt;=16,TEXT(A4001,"yyyy-mm")&lt;&gt;TEXT(A4002,"yyyy-mm")),1,0)</f>
        <v/>
      </c>
      <c r="H4001">
        <f>IF(OR(H4000=1,G4001=1),1,0)</f>
        <v/>
      </c>
      <c r="I4001">
        <f>IF(H4000=0,1,SUMPRODUCT(J4000:N4000,B4001:F4001)+O4000*(1+0.00023125256064071564))</f>
        <v/>
      </c>
      <c r="J4001">
        <f>IF(G4001=1,0.2*R4001/B4001,J4000)</f>
        <v/>
      </c>
      <c r="K4001">
        <f>IF(G4001=1,0.2*R4001/C4001,K4000)</f>
        <v/>
      </c>
      <c r="L4001">
        <f>IF(G4001=1,0.2*R4001/D4001,L4000)</f>
        <v/>
      </c>
      <c r="M4001">
        <f>IF(G4001=1,0.2*R4001/E4001,M4000)</f>
        <v/>
      </c>
      <c r="N4001">
        <f>IF(G4001=1,0.2*R4001/F4001,N4000)</f>
        <v/>
      </c>
      <c r="O4001">
        <f>IF(G4001=1,R4001*(1-1.0),IF(H4000=0,1,O4000*(1+0.00023125256064071564)))</f>
        <v/>
      </c>
      <c r="P4001">
        <f>IF(G4001=1,IF(H4000=0,1,ABS(0.2-J4000*B4001/I4001)+ABS(0.2-K4000*C4001/I4001)+ABS(0.2-L4000*D4001/I4001)+ABS(0.2-M4000*E4001/I4001)+ABS(0.2-N4000*F4001/I4001)),0)</f>
        <v/>
      </c>
      <c r="Q4001">
        <f>P4001*0.0015</f>
        <v/>
      </c>
      <c r="R4001">
        <f>I4001*(1-Q4001)</f>
        <v/>
      </c>
      <c r="S4001">
        <f>R4001/R4000-1</f>
        <v/>
      </c>
      <c r="T4001">
        <f>MAX(T4000,R4001)</f>
        <v/>
      </c>
      <c r="U4001">
        <f>R4001/T4001-1</f>
        <v/>
      </c>
      <c r="V4001" t="n">
        <v>13.5051267189059</v>
      </c>
      <c r="W4001" s="5">
        <f>R4001-V4001</f>
        <v/>
      </c>
    </row>
    <row r="4002">
      <c r="A4002" s="3" t="n">
        <v>44336</v>
      </c>
      <c r="B4002">
        <f>Prices!B4002</f>
        <v/>
      </c>
      <c r="C4002">
        <f>Prices!C4002</f>
        <v/>
      </c>
      <c r="D4002">
        <f>Prices!D4002</f>
        <v/>
      </c>
      <c r="E4002">
        <f>Prices!E4002</f>
        <v/>
      </c>
      <c r="F4002">
        <f>Prices!F4002</f>
        <v/>
      </c>
      <c r="G4002">
        <f>IF(AND(4000&gt;=16,TEXT(A4002,"yyyy-mm")&lt;&gt;TEXT(A4003,"yyyy-mm")),1,0)</f>
        <v/>
      </c>
      <c r="H4002">
        <f>IF(OR(H4001=1,G4002=1),1,0)</f>
        <v/>
      </c>
      <c r="I4002">
        <f>IF(H4001=0,1,SUMPRODUCT(J4001:N4001,B4002:F4002)+O4001*(1+0.00023125256064071564))</f>
        <v/>
      </c>
      <c r="J4002">
        <f>IF(G4002=1,0.2*R4002/B4002,J4001)</f>
        <v/>
      </c>
      <c r="K4002">
        <f>IF(G4002=1,0.2*R4002/C4002,K4001)</f>
        <v/>
      </c>
      <c r="L4002">
        <f>IF(G4002=1,0.2*R4002/D4002,L4001)</f>
        <v/>
      </c>
      <c r="M4002">
        <f>IF(G4002=1,0.2*R4002/E4002,M4001)</f>
        <v/>
      </c>
      <c r="N4002">
        <f>IF(G4002=1,0.2*R4002/F4002,N4001)</f>
        <v/>
      </c>
      <c r="O4002">
        <f>IF(G4002=1,R4002*(1-1.0),IF(H4001=0,1,O4001*(1+0.00023125256064071564)))</f>
        <v/>
      </c>
      <c r="P4002">
        <f>IF(G4002=1,IF(H4001=0,1,ABS(0.2-J4001*B4002/I4002)+ABS(0.2-K4001*C4002/I4002)+ABS(0.2-L4001*D4002/I4002)+ABS(0.2-M4001*E4002/I4002)+ABS(0.2-N4001*F4002/I4002)),0)</f>
        <v/>
      </c>
      <c r="Q4002">
        <f>P4002*0.0015</f>
        <v/>
      </c>
      <c r="R4002">
        <f>I4002*(1-Q4002)</f>
        <v/>
      </c>
      <c r="S4002">
        <f>R4002/R4001-1</f>
        <v/>
      </c>
      <c r="T4002">
        <f>MAX(T4001,R4002)</f>
        <v/>
      </c>
      <c r="U4002">
        <f>R4002/T4002-1</f>
        <v/>
      </c>
      <c r="V4002" t="n">
        <v>13.43304826310223</v>
      </c>
      <c r="W4002" s="5">
        <f>R4002-V4002</f>
        <v/>
      </c>
    </row>
    <row r="4003">
      <c r="A4003" s="3" t="n">
        <v>44337</v>
      </c>
      <c r="B4003">
        <f>Prices!B4003</f>
        <v/>
      </c>
      <c r="C4003">
        <f>Prices!C4003</f>
        <v/>
      </c>
      <c r="D4003">
        <f>Prices!D4003</f>
        <v/>
      </c>
      <c r="E4003">
        <f>Prices!E4003</f>
        <v/>
      </c>
      <c r="F4003">
        <f>Prices!F4003</f>
        <v/>
      </c>
      <c r="G4003">
        <f>IF(AND(4001&gt;=16,TEXT(A4003,"yyyy-mm")&lt;&gt;TEXT(A4004,"yyyy-mm")),1,0)</f>
        <v/>
      </c>
      <c r="H4003">
        <f>IF(OR(H4002=1,G4003=1),1,0)</f>
        <v/>
      </c>
      <c r="I4003">
        <f>IF(H4002=0,1,SUMPRODUCT(J4002:N4002,B4003:F4003)+O4002*(1+0.00023125256064071564))</f>
        <v/>
      </c>
      <c r="J4003">
        <f>IF(G4003=1,0.2*R4003/B4003,J4002)</f>
        <v/>
      </c>
      <c r="K4003">
        <f>IF(G4003=1,0.2*R4003/C4003,K4002)</f>
        <v/>
      </c>
      <c r="L4003">
        <f>IF(G4003=1,0.2*R4003/D4003,L4002)</f>
        <v/>
      </c>
      <c r="M4003">
        <f>IF(G4003=1,0.2*R4003/E4003,M4002)</f>
        <v/>
      </c>
      <c r="N4003">
        <f>IF(G4003=1,0.2*R4003/F4003,N4002)</f>
        <v/>
      </c>
      <c r="O4003">
        <f>IF(G4003=1,R4003*(1-1.0),IF(H4002=0,1,O4002*(1+0.00023125256064071564)))</f>
        <v/>
      </c>
      <c r="P4003">
        <f>IF(G4003=1,IF(H4002=0,1,ABS(0.2-J4002*B4003/I4003)+ABS(0.2-K4002*C4003/I4003)+ABS(0.2-L4002*D4003/I4003)+ABS(0.2-M4002*E4003/I4003)+ABS(0.2-N4002*F4003/I4003)),0)</f>
        <v/>
      </c>
      <c r="Q4003">
        <f>P4003*0.0015</f>
        <v/>
      </c>
      <c r="R4003">
        <f>I4003*(1-Q4003)</f>
        <v/>
      </c>
      <c r="S4003">
        <f>R4003/R4002-1</f>
        <v/>
      </c>
      <c r="T4003">
        <f>MAX(T4002,R4003)</f>
        <v/>
      </c>
      <c r="U4003">
        <f>R4003/T4003-1</f>
        <v/>
      </c>
      <c r="V4003" t="n">
        <v>13.51231811132731</v>
      </c>
      <c r="W4003" s="5">
        <f>R4003-V4003</f>
        <v/>
      </c>
    </row>
    <row r="4004">
      <c r="A4004" s="3" t="n">
        <v>44340</v>
      </c>
      <c r="B4004">
        <f>Prices!B4004</f>
        <v/>
      </c>
      <c r="C4004">
        <f>Prices!C4004</f>
        <v/>
      </c>
      <c r="D4004">
        <f>Prices!D4004</f>
        <v/>
      </c>
      <c r="E4004">
        <f>Prices!E4004</f>
        <v/>
      </c>
      <c r="F4004">
        <f>Prices!F4004</f>
        <v/>
      </c>
      <c r="G4004">
        <f>IF(AND(4002&gt;=16,TEXT(A4004,"yyyy-mm")&lt;&gt;TEXT(A4005,"yyyy-mm")),1,0)</f>
        <v/>
      </c>
      <c r="H4004">
        <f>IF(OR(H4003=1,G4004=1),1,0)</f>
        <v/>
      </c>
      <c r="I4004">
        <f>IF(H4003=0,1,SUMPRODUCT(J4003:N4003,B4004:F4004)+O4003*(1+0.00023125256064071564))</f>
        <v/>
      </c>
      <c r="J4004">
        <f>IF(G4004=1,0.2*R4004/B4004,J4003)</f>
        <v/>
      </c>
      <c r="K4004">
        <f>IF(G4004=1,0.2*R4004/C4004,K4003)</f>
        <v/>
      </c>
      <c r="L4004">
        <f>IF(G4004=1,0.2*R4004/D4004,L4003)</f>
        <v/>
      </c>
      <c r="M4004">
        <f>IF(G4004=1,0.2*R4004/E4004,M4003)</f>
        <v/>
      </c>
      <c r="N4004">
        <f>IF(G4004=1,0.2*R4004/F4004,N4003)</f>
        <v/>
      </c>
      <c r="O4004">
        <f>IF(G4004=1,R4004*(1-1.0),IF(H4003=0,1,O4003*(1+0.00023125256064071564)))</f>
        <v/>
      </c>
      <c r="P4004">
        <f>IF(G4004=1,IF(H4003=0,1,ABS(0.2-J4003*B4004/I4004)+ABS(0.2-K4003*C4004/I4004)+ABS(0.2-L4003*D4004/I4004)+ABS(0.2-M4003*E4004/I4004)+ABS(0.2-N4003*F4004/I4004)),0)</f>
        <v/>
      </c>
      <c r="Q4004">
        <f>P4004*0.0015</f>
        <v/>
      </c>
      <c r="R4004">
        <f>I4004*(1-Q4004)</f>
        <v/>
      </c>
      <c r="S4004">
        <f>R4004/R4003-1</f>
        <v/>
      </c>
      <c r="T4004">
        <f>MAX(T4003,R4004)</f>
        <v/>
      </c>
      <c r="U4004">
        <f>R4004/T4004-1</f>
        <v/>
      </c>
      <c r="V4004" t="n">
        <v>13.59371479707609</v>
      </c>
      <c r="W4004" s="5">
        <f>R4004-V4004</f>
        <v/>
      </c>
    </row>
    <row r="4005">
      <c r="A4005" s="3" t="n">
        <v>44341</v>
      </c>
      <c r="B4005">
        <f>Prices!B4005</f>
        <v/>
      </c>
      <c r="C4005">
        <f>Prices!C4005</f>
        <v/>
      </c>
      <c r="D4005">
        <f>Prices!D4005</f>
        <v/>
      </c>
      <c r="E4005">
        <f>Prices!E4005</f>
        <v/>
      </c>
      <c r="F4005">
        <f>Prices!F4005</f>
        <v/>
      </c>
      <c r="G4005">
        <f>IF(AND(4003&gt;=16,TEXT(A4005,"yyyy-mm")&lt;&gt;TEXT(A4006,"yyyy-mm")),1,0)</f>
        <v/>
      </c>
      <c r="H4005">
        <f>IF(OR(H4004=1,G4005=1),1,0)</f>
        <v/>
      </c>
      <c r="I4005">
        <f>IF(H4004=0,1,SUMPRODUCT(J4004:N4004,B4005:F4005)+O4004*(1+0.00023125256064071564))</f>
        <v/>
      </c>
      <c r="J4005">
        <f>IF(G4005=1,0.2*R4005/B4005,J4004)</f>
        <v/>
      </c>
      <c r="K4005">
        <f>IF(G4005=1,0.2*R4005/C4005,K4004)</f>
        <v/>
      </c>
      <c r="L4005">
        <f>IF(G4005=1,0.2*R4005/D4005,L4004)</f>
        <v/>
      </c>
      <c r="M4005">
        <f>IF(G4005=1,0.2*R4005/E4005,M4004)</f>
        <v/>
      </c>
      <c r="N4005">
        <f>IF(G4005=1,0.2*R4005/F4005,N4004)</f>
        <v/>
      </c>
      <c r="O4005">
        <f>IF(G4005=1,R4005*(1-1.0),IF(H4004=0,1,O4004*(1+0.00023125256064071564)))</f>
        <v/>
      </c>
      <c r="P4005">
        <f>IF(G4005=1,IF(H4004=0,1,ABS(0.2-J4004*B4005/I4005)+ABS(0.2-K4004*C4005/I4005)+ABS(0.2-L4004*D4005/I4005)+ABS(0.2-M4004*E4005/I4005)+ABS(0.2-N4004*F4005/I4005)),0)</f>
        <v/>
      </c>
      <c r="Q4005">
        <f>P4005*0.0015</f>
        <v/>
      </c>
      <c r="R4005">
        <f>I4005*(1-Q4005)</f>
        <v/>
      </c>
      <c r="S4005">
        <f>R4005/R4004-1</f>
        <v/>
      </c>
      <c r="T4005">
        <f>MAX(T4004,R4005)</f>
        <v/>
      </c>
      <c r="U4005">
        <f>R4005/T4005-1</f>
        <v/>
      </c>
      <c r="V4005" t="n">
        <v>13.62150963323215</v>
      </c>
      <c r="W4005" s="5">
        <f>R4005-V4005</f>
        <v/>
      </c>
    </row>
    <row r="4006">
      <c r="A4006" s="3" t="n">
        <v>44342</v>
      </c>
      <c r="B4006">
        <f>Prices!B4006</f>
        <v/>
      </c>
      <c r="C4006">
        <f>Prices!C4006</f>
        <v/>
      </c>
      <c r="D4006">
        <f>Prices!D4006</f>
        <v/>
      </c>
      <c r="E4006">
        <f>Prices!E4006</f>
        <v/>
      </c>
      <c r="F4006">
        <f>Prices!F4006</f>
        <v/>
      </c>
      <c r="G4006">
        <f>IF(AND(4004&gt;=16,TEXT(A4006,"yyyy-mm")&lt;&gt;TEXT(A4007,"yyyy-mm")),1,0)</f>
        <v/>
      </c>
      <c r="H4006">
        <f>IF(OR(H4005=1,G4006=1),1,0)</f>
        <v/>
      </c>
      <c r="I4006">
        <f>IF(H4005=0,1,SUMPRODUCT(J4005:N4005,B4006:F4006)+O4005*(1+0.00023125256064071564))</f>
        <v/>
      </c>
      <c r="J4006">
        <f>IF(G4006=1,0.2*R4006/B4006,J4005)</f>
        <v/>
      </c>
      <c r="K4006">
        <f>IF(G4006=1,0.2*R4006/C4006,K4005)</f>
        <v/>
      </c>
      <c r="L4006">
        <f>IF(G4006=1,0.2*R4006/D4006,L4005)</f>
        <v/>
      </c>
      <c r="M4006">
        <f>IF(G4006=1,0.2*R4006/E4006,M4005)</f>
        <v/>
      </c>
      <c r="N4006">
        <f>IF(G4006=1,0.2*R4006/F4006,N4005)</f>
        <v/>
      </c>
      <c r="O4006">
        <f>IF(G4006=1,R4006*(1-1.0),IF(H4005=0,1,O4005*(1+0.00023125256064071564)))</f>
        <v/>
      </c>
      <c r="P4006">
        <f>IF(G4006=1,IF(H4005=0,1,ABS(0.2-J4005*B4006/I4006)+ABS(0.2-K4005*C4006/I4006)+ABS(0.2-L4005*D4006/I4006)+ABS(0.2-M4005*E4006/I4006)+ABS(0.2-N4005*F4006/I4006)),0)</f>
        <v/>
      </c>
      <c r="Q4006">
        <f>P4006*0.0015</f>
        <v/>
      </c>
      <c r="R4006">
        <f>I4006*(1-Q4006)</f>
        <v/>
      </c>
      <c r="S4006">
        <f>R4006/R4005-1</f>
        <v/>
      </c>
      <c r="T4006">
        <f>MAX(T4005,R4006)</f>
        <v/>
      </c>
      <c r="U4006">
        <f>R4006/T4006-1</f>
        <v/>
      </c>
      <c r="V4006" t="n">
        <v>13.65937856234938</v>
      </c>
      <c r="W4006" s="5">
        <f>R4006-V4006</f>
        <v/>
      </c>
    </row>
    <row r="4007">
      <c r="A4007" s="3" t="n">
        <v>44343</v>
      </c>
      <c r="B4007">
        <f>Prices!B4007</f>
        <v/>
      </c>
      <c r="C4007">
        <f>Prices!C4007</f>
        <v/>
      </c>
      <c r="D4007">
        <f>Prices!D4007</f>
        <v/>
      </c>
      <c r="E4007">
        <f>Prices!E4007</f>
        <v/>
      </c>
      <c r="F4007">
        <f>Prices!F4007</f>
        <v/>
      </c>
      <c r="G4007">
        <f>IF(AND(4005&gt;=16,TEXT(A4007,"yyyy-mm")&lt;&gt;TEXT(A4008,"yyyy-mm")),1,0)</f>
        <v/>
      </c>
      <c r="H4007">
        <f>IF(OR(H4006=1,G4007=1),1,0)</f>
        <v/>
      </c>
      <c r="I4007">
        <f>IF(H4006=0,1,SUMPRODUCT(J4006:N4006,B4007:F4007)+O4006*(1+0.00023125256064071564))</f>
        <v/>
      </c>
      <c r="J4007">
        <f>IF(G4007=1,0.2*R4007/B4007,J4006)</f>
        <v/>
      </c>
      <c r="K4007">
        <f>IF(G4007=1,0.2*R4007/C4007,K4006)</f>
        <v/>
      </c>
      <c r="L4007">
        <f>IF(G4007=1,0.2*R4007/D4007,L4006)</f>
        <v/>
      </c>
      <c r="M4007">
        <f>IF(G4007=1,0.2*R4007/E4007,M4006)</f>
        <v/>
      </c>
      <c r="N4007">
        <f>IF(G4007=1,0.2*R4007/F4007,N4006)</f>
        <v/>
      </c>
      <c r="O4007">
        <f>IF(G4007=1,R4007*(1-1.0),IF(H4006=0,1,O4006*(1+0.00023125256064071564)))</f>
        <v/>
      </c>
      <c r="P4007">
        <f>IF(G4007=1,IF(H4006=0,1,ABS(0.2-J4006*B4007/I4007)+ABS(0.2-K4006*C4007/I4007)+ABS(0.2-L4006*D4007/I4007)+ABS(0.2-M4006*E4007/I4007)+ABS(0.2-N4006*F4007/I4007)),0)</f>
        <v/>
      </c>
      <c r="Q4007">
        <f>P4007*0.0015</f>
        <v/>
      </c>
      <c r="R4007">
        <f>I4007*(1-Q4007)</f>
        <v/>
      </c>
      <c r="S4007">
        <f>R4007/R4006-1</f>
        <v/>
      </c>
      <c r="T4007">
        <f>MAX(T4006,R4007)</f>
        <v/>
      </c>
      <c r="U4007">
        <f>R4007/T4007-1</f>
        <v/>
      </c>
      <c r="V4007" t="n">
        <v>13.72749014942474</v>
      </c>
      <c r="W4007" s="5">
        <f>R4007-V4007</f>
        <v/>
      </c>
    </row>
    <row r="4008">
      <c r="A4008" s="3" t="n">
        <v>44344</v>
      </c>
      <c r="B4008">
        <f>Prices!B4008</f>
        <v/>
      </c>
      <c r="C4008">
        <f>Prices!C4008</f>
        <v/>
      </c>
      <c r="D4008">
        <f>Prices!D4008</f>
        <v/>
      </c>
      <c r="E4008">
        <f>Prices!E4008</f>
        <v/>
      </c>
      <c r="F4008">
        <f>Prices!F4008</f>
        <v/>
      </c>
      <c r="G4008">
        <f>IF(AND(4006&gt;=16,TEXT(A4008,"yyyy-mm")&lt;&gt;TEXT(A4009,"yyyy-mm")),1,0)</f>
        <v/>
      </c>
      <c r="H4008">
        <f>IF(OR(H4007=1,G4008=1),1,0)</f>
        <v/>
      </c>
      <c r="I4008">
        <f>IF(H4007=0,1,SUMPRODUCT(J4007:N4007,B4008:F4008)+O4007*(1+0.00023125256064071564))</f>
        <v/>
      </c>
      <c r="J4008">
        <f>IF(G4008=1,0.2*R4008/B4008,J4007)</f>
        <v/>
      </c>
      <c r="K4008">
        <f>IF(G4008=1,0.2*R4008/C4008,K4007)</f>
        <v/>
      </c>
      <c r="L4008">
        <f>IF(G4008=1,0.2*R4008/D4008,L4007)</f>
        <v/>
      </c>
      <c r="M4008">
        <f>IF(G4008=1,0.2*R4008/E4008,M4007)</f>
        <v/>
      </c>
      <c r="N4008">
        <f>IF(G4008=1,0.2*R4008/F4008,N4007)</f>
        <v/>
      </c>
      <c r="O4008">
        <f>IF(G4008=1,R4008*(1-1.0),IF(H4007=0,1,O4007*(1+0.00023125256064071564)))</f>
        <v/>
      </c>
      <c r="P4008">
        <f>IF(G4008=1,IF(H4007=0,1,ABS(0.2-J4007*B4008/I4008)+ABS(0.2-K4007*C4008/I4008)+ABS(0.2-L4007*D4008/I4008)+ABS(0.2-M4007*E4008/I4008)+ABS(0.2-N4007*F4008/I4008)),0)</f>
        <v/>
      </c>
      <c r="Q4008">
        <f>P4008*0.0015</f>
        <v/>
      </c>
      <c r="R4008">
        <f>I4008*(1-Q4008)</f>
        <v/>
      </c>
      <c r="S4008">
        <f>R4008/R4007-1</f>
        <v/>
      </c>
      <c r="T4008">
        <f>MAX(T4007,R4008)</f>
        <v/>
      </c>
      <c r="U4008">
        <f>R4008/T4008-1</f>
        <v/>
      </c>
      <c r="V4008" t="n">
        <v>13.7162323183384</v>
      </c>
      <c r="W4008" s="5">
        <f>R4008-V4008</f>
        <v/>
      </c>
    </row>
    <row r="4009">
      <c r="A4009" s="3" t="n">
        <v>44347</v>
      </c>
      <c r="B4009">
        <f>Prices!B4009</f>
        <v/>
      </c>
      <c r="C4009">
        <f>Prices!C4009</f>
        <v/>
      </c>
      <c r="D4009">
        <f>Prices!D4009</f>
        <v/>
      </c>
      <c r="E4009">
        <f>Prices!E4009</f>
        <v/>
      </c>
      <c r="F4009">
        <f>Prices!F4009</f>
        <v/>
      </c>
      <c r="G4009">
        <f>IF(AND(4007&gt;=16,TEXT(A4009,"yyyy-mm")&lt;&gt;TEXT(A4010,"yyyy-mm")),1,0)</f>
        <v/>
      </c>
      <c r="H4009">
        <f>IF(OR(H4008=1,G4009=1),1,0)</f>
        <v/>
      </c>
      <c r="I4009">
        <f>IF(H4008=0,1,SUMPRODUCT(J4008:N4008,B4009:F4009)+O4008*(1+0.00023125256064071564))</f>
        <v/>
      </c>
      <c r="J4009">
        <f>IF(G4009=1,0.2*R4009/B4009,J4008)</f>
        <v/>
      </c>
      <c r="K4009">
        <f>IF(G4009=1,0.2*R4009/C4009,K4008)</f>
        <v/>
      </c>
      <c r="L4009">
        <f>IF(G4009=1,0.2*R4009/D4009,L4008)</f>
        <v/>
      </c>
      <c r="M4009">
        <f>IF(G4009=1,0.2*R4009/E4009,M4008)</f>
        <v/>
      </c>
      <c r="N4009">
        <f>IF(G4009=1,0.2*R4009/F4009,N4008)</f>
        <v/>
      </c>
      <c r="O4009">
        <f>IF(G4009=1,R4009*(1-1.0),IF(H4008=0,1,O4008*(1+0.00023125256064071564)))</f>
        <v/>
      </c>
      <c r="P4009">
        <f>IF(G4009=1,IF(H4008=0,1,ABS(0.2-J4008*B4009/I4009)+ABS(0.2-K4008*C4009/I4009)+ABS(0.2-L4008*D4009/I4009)+ABS(0.2-M4008*E4009/I4009)+ABS(0.2-N4008*F4009/I4009)),0)</f>
        <v/>
      </c>
      <c r="Q4009">
        <f>P4009*0.0015</f>
        <v/>
      </c>
      <c r="R4009">
        <f>I4009*(1-Q4009)</f>
        <v/>
      </c>
      <c r="S4009">
        <f>R4009/R4008-1</f>
        <v/>
      </c>
      <c r="T4009">
        <f>MAX(T4008,R4009)</f>
        <v/>
      </c>
      <c r="U4009">
        <f>R4009/T4009-1</f>
        <v/>
      </c>
      <c r="V4009" t="n">
        <v>13.81328225769451</v>
      </c>
      <c r="W4009" s="5">
        <f>R4009-V4009</f>
        <v/>
      </c>
    </row>
    <row r="4010">
      <c r="A4010" s="3" t="n">
        <v>44348</v>
      </c>
      <c r="B4010">
        <f>Prices!B4010</f>
        <v/>
      </c>
      <c r="C4010">
        <f>Prices!C4010</f>
        <v/>
      </c>
      <c r="D4010">
        <f>Prices!D4010</f>
        <v/>
      </c>
      <c r="E4010">
        <f>Prices!E4010</f>
        <v/>
      </c>
      <c r="F4010">
        <f>Prices!F4010</f>
        <v/>
      </c>
      <c r="G4010">
        <f>IF(AND(4008&gt;=16,TEXT(A4010,"yyyy-mm")&lt;&gt;TEXT(A4011,"yyyy-mm")),1,0)</f>
        <v/>
      </c>
      <c r="H4010">
        <f>IF(OR(H4009=1,G4010=1),1,0)</f>
        <v/>
      </c>
      <c r="I4010">
        <f>IF(H4009=0,1,SUMPRODUCT(J4009:N4009,B4010:F4010)+O4009*(1+0.00023125256064071564))</f>
        <v/>
      </c>
      <c r="J4010">
        <f>IF(G4010=1,0.2*R4010/B4010,J4009)</f>
        <v/>
      </c>
      <c r="K4010">
        <f>IF(G4010=1,0.2*R4010/C4010,K4009)</f>
        <v/>
      </c>
      <c r="L4010">
        <f>IF(G4010=1,0.2*R4010/D4010,L4009)</f>
        <v/>
      </c>
      <c r="M4010">
        <f>IF(G4010=1,0.2*R4010/E4010,M4009)</f>
        <v/>
      </c>
      <c r="N4010">
        <f>IF(G4010=1,0.2*R4010/F4010,N4009)</f>
        <v/>
      </c>
      <c r="O4010">
        <f>IF(G4010=1,R4010*(1-1.0),IF(H4009=0,1,O4009*(1+0.00023125256064071564)))</f>
        <v/>
      </c>
      <c r="P4010">
        <f>IF(G4010=1,IF(H4009=0,1,ABS(0.2-J4009*B4010/I4010)+ABS(0.2-K4009*C4010/I4010)+ABS(0.2-L4009*D4010/I4010)+ABS(0.2-M4009*E4010/I4010)+ABS(0.2-N4009*F4010/I4010)),0)</f>
        <v/>
      </c>
      <c r="Q4010">
        <f>P4010*0.0015</f>
        <v/>
      </c>
      <c r="R4010">
        <f>I4010*(1-Q4010)</f>
        <v/>
      </c>
      <c r="S4010">
        <f>R4010/R4009-1</f>
        <v/>
      </c>
      <c r="T4010">
        <f>MAX(T4009,R4010)</f>
        <v/>
      </c>
      <c r="U4010">
        <f>R4010/T4010-1</f>
        <v/>
      </c>
      <c r="V4010" t="n">
        <v>13.81885260545593</v>
      </c>
      <c r="W4010" s="5">
        <f>R4010-V4010</f>
        <v/>
      </c>
    </row>
    <row r="4011">
      <c r="A4011" s="3" t="n">
        <v>44349</v>
      </c>
      <c r="B4011">
        <f>Prices!B4011</f>
        <v/>
      </c>
      <c r="C4011">
        <f>Prices!C4011</f>
        <v/>
      </c>
      <c r="D4011">
        <f>Prices!D4011</f>
        <v/>
      </c>
      <c r="E4011">
        <f>Prices!E4011</f>
        <v/>
      </c>
      <c r="F4011">
        <f>Prices!F4011</f>
        <v/>
      </c>
      <c r="G4011">
        <f>IF(AND(4009&gt;=16,TEXT(A4011,"yyyy-mm")&lt;&gt;TEXT(A4012,"yyyy-mm")),1,0)</f>
        <v/>
      </c>
      <c r="H4011">
        <f>IF(OR(H4010=1,G4011=1),1,0)</f>
        <v/>
      </c>
      <c r="I4011">
        <f>IF(H4010=0,1,SUMPRODUCT(J4010:N4010,B4011:F4011)+O4010*(1+0.00023125256064071564))</f>
        <v/>
      </c>
      <c r="J4011">
        <f>IF(G4011=1,0.2*R4011/B4011,J4010)</f>
        <v/>
      </c>
      <c r="K4011">
        <f>IF(G4011=1,0.2*R4011/C4011,K4010)</f>
        <v/>
      </c>
      <c r="L4011">
        <f>IF(G4011=1,0.2*R4011/D4011,L4010)</f>
        <v/>
      </c>
      <c r="M4011">
        <f>IF(G4011=1,0.2*R4011/E4011,M4010)</f>
        <v/>
      </c>
      <c r="N4011">
        <f>IF(G4011=1,0.2*R4011/F4011,N4010)</f>
        <v/>
      </c>
      <c r="O4011">
        <f>IF(G4011=1,R4011*(1-1.0),IF(H4010=0,1,O4010*(1+0.00023125256064071564)))</f>
        <v/>
      </c>
      <c r="P4011">
        <f>IF(G4011=1,IF(H4010=0,1,ABS(0.2-J4010*B4011/I4011)+ABS(0.2-K4010*C4011/I4011)+ABS(0.2-L4010*D4011/I4011)+ABS(0.2-M4010*E4011/I4011)+ABS(0.2-N4010*F4011/I4011)),0)</f>
        <v/>
      </c>
      <c r="Q4011">
        <f>P4011*0.0015</f>
        <v/>
      </c>
      <c r="R4011">
        <f>I4011*(1-Q4011)</f>
        <v/>
      </c>
      <c r="S4011">
        <f>R4011/R4010-1</f>
        <v/>
      </c>
      <c r="T4011">
        <f>MAX(T4010,R4011)</f>
        <v/>
      </c>
      <c r="U4011">
        <f>R4011/T4011-1</f>
        <v/>
      </c>
      <c r="V4011" t="n">
        <v>13.96657591743426</v>
      </c>
      <c r="W4011" s="5">
        <f>R4011-V4011</f>
        <v/>
      </c>
    </row>
    <row r="4012">
      <c r="A4012" s="3" t="n">
        <v>44350</v>
      </c>
      <c r="B4012">
        <f>Prices!B4012</f>
        <v/>
      </c>
      <c r="C4012">
        <f>Prices!C4012</f>
        <v/>
      </c>
      <c r="D4012">
        <f>Prices!D4012</f>
        <v/>
      </c>
      <c r="E4012">
        <f>Prices!E4012</f>
        <v/>
      </c>
      <c r="F4012">
        <f>Prices!F4012</f>
        <v/>
      </c>
      <c r="G4012">
        <f>IF(AND(4010&gt;=16,TEXT(A4012,"yyyy-mm")&lt;&gt;TEXT(A4013,"yyyy-mm")),1,0)</f>
        <v/>
      </c>
      <c r="H4012">
        <f>IF(OR(H4011=1,G4012=1),1,0)</f>
        <v/>
      </c>
      <c r="I4012">
        <f>IF(H4011=0,1,SUMPRODUCT(J4011:N4011,B4012:F4012)+O4011*(1+0.00023125256064071564))</f>
        <v/>
      </c>
      <c r="J4012">
        <f>IF(G4012=1,0.2*R4012/B4012,J4011)</f>
        <v/>
      </c>
      <c r="K4012">
        <f>IF(G4012=1,0.2*R4012/C4012,K4011)</f>
        <v/>
      </c>
      <c r="L4012">
        <f>IF(G4012=1,0.2*R4012/D4012,L4011)</f>
        <v/>
      </c>
      <c r="M4012">
        <f>IF(G4012=1,0.2*R4012/E4012,M4011)</f>
        <v/>
      </c>
      <c r="N4012">
        <f>IF(G4012=1,0.2*R4012/F4012,N4011)</f>
        <v/>
      </c>
      <c r="O4012">
        <f>IF(G4012=1,R4012*(1-1.0),IF(H4011=0,1,O4011*(1+0.00023125256064071564)))</f>
        <v/>
      </c>
      <c r="P4012">
        <f>IF(G4012=1,IF(H4011=0,1,ABS(0.2-J4011*B4012/I4012)+ABS(0.2-K4011*C4012/I4012)+ABS(0.2-L4011*D4012/I4012)+ABS(0.2-M4011*E4012/I4012)+ABS(0.2-N4011*F4012/I4012)),0)</f>
        <v/>
      </c>
      <c r="Q4012">
        <f>P4012*0.0015</f>
        <v/>
      </c>
      <c r="R4012">
        <f>I4012*(1-Q4012)</f>
        <v/>
      </c>
      <c r="S4012">
        <f>R4012/R4011-1</f>
        <v/>
      </c>
      <c r="T4012">
        <f>MAX(T4011,R4012)</f>
        <v/>
      </c>
      <c r="U4012">
        <f>R4012/T4012-1</f>
        <v/>
      </c>
      <c r="V4012" t="n">
        <v>14.07542220458647</v>
      </c>
      <c r="W4012" s="5">
        <f>R4012-V4012</f>
        <v/>
      </c>
    </row>
    <row r="4013">
      <c r="A4013" s="3" t="n">
        <v>44351</v>
      </c>
      <c r="B4013">
        <f>Prices!B4013</f>
        <v/>
      </c>
      <c r="C4013">
        <f>Prices!C4013</f>
        <v/>
      </c>
      <c r="D4013">
        <f>Prices!D4013</f>
        <v/>
      </c>
      <c r="E4013">
        <f>Prices!E4013</f>
        <v/>
      </c>
      <c r="F4013">
        <f>Prices!F4013</f>
        <v/>
      </c>
      <c r="G4013">
        <f>IF(AND(4011&gt;=16,TEXT(A4013,"yyyy-mm")&lt;&gt;TEXT(A4014,"yyyy-mm")),1,0)</f>
        <v/>
      </c>
      <c r="H4013">
        <f>IF(OR(H4012=1,G4013=1),1,0)</f>
        <v/>
      </c>
      <c r="I4013">
        <f>IF(H4012=0,1,SUMPRODUCT(J4012:N4012,B4013:F4013)+O4012*(1+0.00023125256064071564))</f>
        <v/>
      </c>
      <c r="J4013">
        <f>IF(G4013=1,0.2*R4013/B4013,J4012)</f>
        <v/>
      </c>
      <c r="K4013">
        <f>IF(G4013=1,0.2*R4013/C4013,K4012)</f>
        <v/>
      </c>
      <c r="L4013">
        <f>IF(G4013=1,0.2*R4013/D4013,L4012)</f>
        <v/>
      </c>
      <c r="M4013">
        <f>IF(G4013=1,0.2*R4013/E4013,M4012)</f>
        <v/>
      </c>
      <c r="N4013">
        <f>IF(G4013=1,0.2*R4013/F4013,N4012)</f>
        <v/>
      </c>
      <c r="O4013">
        <f>IF(G4013=1,R4013*(1-1.0),IF(H4012=0,1,O4012*(1+0.00023125256064071564)))</f>
        <v/>
      </c>
      <c r="P4013">
        <f>IF(G4013=1,IF(H4012=0,1,ABS(0.2-J4012*B4013/I4013)+ABS(0.2-K4012*C4013/I4013)+ABS(0.2-L4012*D4013/I4013)+ABS(0.2-M4012*E4013/I4013)+ABS(0.2-N4012*F4013/I4013)),0)</f>
        <v/>
      </c>
      <c r="Q4013">
        <f>P4013*0.0015</f>
        <v/>
      </c>
      <c r="R4013">
        <f>I4013*(1-Q4013)</f>
        <v/>
      </c>
      <c r="S4013">
        <f>R4013/R4012-1</f>
        <v/>
      </c>
      <c r="T4013">
        <f>MAX(T4012,R4013)</f>
        <v/>
      </c>
      <c r="U4013">
        <f>R4013/T4013-1</f>
        <v/>
      </c>
      <c r="V4013" t="n">
        <v>14.17210469826274</v>
      </c>
      <c r="W4013" s="5">
        <f>R4013-V4013</f>
        <v/>
      </c>
    </row>
    <row r="4014">
      <c r="A4014" s="3" t="n">
        <v>44354</v>
      </c>
      <c r="B4014">
        <f>Prices!B4014</f>
        <v/>
      </c>
      <c r="C4014">
        <f>Prices!C4014</f>
        <v/>
      </c>
      <c r="D4014">
        <f>Prices!D4014</f>
        <v/>
      </c>
      <c r="E4014">
        <f>Prices!E4014</f>
        <v/>
      </c>
      <c r="F4014">
        <f>Prices!F4014</f>
        <v/>
      </c>
      <c r="G4014">
        <f>IF(AND(4012&gt;=16,TEXT(A4014,"yyyy-mm")&lt;&gt;TEXT(A4015,"yyyy-mm")),1,0)</f>
        <v/>
      </c>
      <c r="H4014">
        <f>IF(OR(H4013=1,G4014=1),1,0)</f>
        <v/>
      </c>
      <c r="I4014">
        <f>IF(H4013=0,1,SUMPRODUCT(J4013:N4013,B4014:F4014)+O4013*(1+0.00023125256064071564))</f>
        <v/>
      </c>
      <c r="J4014">
        <f>IF(G4014=1,0.2*R4014/B4014,J4013)</f>
        <v/>
      </c>
      <c r="K4014">
        <f>IF(G4014=1,0.2*R4014/C4014,K4013)</f>
        <v/>
      </c>
      <c r="L4014">
        <f>IF(G4014=1,0.2*R4014/D4014,L4013)</f>
        <v/>
      </c>
      <c r="M4014">
        <f>IF(G4014=1,0.2*R4014/E4014,M4013)</f>
        <v/>
      </c>
      <c r="N4014">
        <f>IF(G4014=1,0.2*R4014/F4014,N4013)</f>
        <v/>
      </c>
      <c r="O4014">
        <f>IF(G4014=1,R4014*(1-1.0),IF(H4013=0,1,O4013*(1+0.00023125256064071564)))</f>
        <v/>
      </c>
      <c r="P4014">
        <f>IF(G4014=1,IF(H4013=0,1,ABS(0.2-J4013*B4014/I4014)+ABS(0.2-K4013*C4014/I4014)+ABS(0.2-L4013*D4014/I4014)+ABS(0.2-M4013*E4014/I4014)+ABS(0.2-N4013*F4014/I4014)),0)</f>
        <v/>
      </c>
      <c r="Q4014">
        <f>P4014*0.0015</f>
        <v/>
      </c>
      <c r="R4014">
        <f>I4014*(1-Q4014)</f>
        <v/>
      </c>
      <c r="S4014">
        <f>R4014/R4013-1</f>
        <v/>
      </c>
      <c r="T4014">
        <f>MAX(T4013,R4014)</f>
        <v/>
      </c>
      <c r="U4014">
        <f>R4014/T4014-1</f>
        <v/>
      </c>
      <c r="V4014" t="n">
        <v>14.2603782129981</v>
      </c>
      <c r="W4014" s="5">
        <f>R4014-V4014</f>
        <v/>
      </c>
    </row>
    <row r="4015">
      <c r="A4015" s="3" t="n">
        <v>44355</v>
      </c>
      <c r="B4015">
        <f>Prices!B4015</f>
        <v/>
      </c>
      <c r="C4015">
        <f>Prices!C4015</f>
        <v/>
      </c>
      <c r="D4015">
        <f>Prices!D4015</f>
        <v/>
      </c>
      <c r="E4015">
        <f>Prices!E4015</f>
        <v/>
      </c>
      <c r="F4015">
        <f>Prices!F4015</f>
        <v/>
      </c>
      <c r="G4015">
        <f>IF(AND(4013&gt;=16,TEXT(A4015,"yyyy-mm")&lt;&gt;TEXT(A4016,"yyyy-mm")),1,0)</f>
        <v/>
      </c>
      <c r="H4015">
        <f>IF(OR(H4014=1,G4015=1),1,0)</f>
        <v/>
      </c>
      <c r="I4015">
        <f>IF(H4014=0,1,SUMPRODUCT(J4014:N4014,B4015:F4015)+O4014*(1+0.00023125256064071564))</f>
        <v/>
      </c>
      <c r="J4015">
        <f>IF(G4015=1,0.2*R4015/B4015,J4014)</f>
        <v/>
      </c>
      <c r="K4015">
        <f>IF(G4015=1,0.2*R4015/C4015,K4014)</f>
        <v/>
      </c>
      <c r="L4015">
        <f>IF(G4015=1,0.2*R4015/D4015,L4014)</f>
        <v/>
      </c>
      <c r="M4015">
        <f>IF(G4015=1,0.2*R4015/E4015,M4014)</f>
        <v/>
      </c>
      <c r="N4015">
        <f>IF(G4015=1,0.2*R4015/F4015,N4014)</f>
        <v/>
      </c>
      <c r="O4015">
        <f>IF(G4015=1,R4015*(1-1.0),IF(H4014=0,1,O4014*(1+0.00023125256064071564)))</f>
        <v/>
      </c>
      <c r="P4015">
        <f>IF(G4015=1,IF(H4014=0,1,ABS(0.2-J4014*B4015/I4015)+ABS(0.2-K4014*C4015/I4015)+ABS(0.2-L4014*D4015/I4015)+ABS(0.2-M4014*E4015/I4015)+ABS(0.2-N4014*F4015/I4015)),0)</f>
        <v/>
      </c>
      <c r="Q4015">
        <f>P4015*0.0015</f>
        <v/>
      </c>
      <c r="R4015">
        <f>I4015*(1-Q4015)</f>
        <v/>
      </c>
      <c r="S4015">
        <f>R4015/R4014-1</f>
        <v/>
      </c>
      <c r="T4015">
        <f>MAX(T4014,R4015)</f>
        <v/>
      </c>
      <c r="U4015">
        <f>R4015/T4015-1</f>
        <v/>
      </c>
      <c r="V4015" t="n">
        <v>14.35680223858274</v>
      </c>
      <c r="W4015" s="5">
        <f>R4015-V4015</f>
        <v/>
      </c>
    </row>
    <row r="4016">
      <c r="A4016" s="3" t="n">
        <v>44356</v>
      </c>
      <c r="B4016">
        <f>Prices!B4016</f>
        <v/>
      </c>
      <c r="C4016">
        <f>Prices!C4016</f>
        <v/>
      </c>
      <c r="D4016">
        <f>Prices!D4016</f>
        <v/>
      </c>
      <c r="E4016">
        <f>Prices!E4016</f>
        <v/>
      </c>
      <c r="F4016">
        <f>Prices!F4016</f>
        <v/>
      </c>
      <c r="G4016">
        <f>IF(AND(4014&gt;=16,TEXT(A4016,"yyyy-mm")&lt;&gt;TEXT(A4017,"yyyy-mm")),1,0)</f>
        <v/>
      </c>
      <c r="H4016">
        <f>IF(OR(H4015=1,G4016=1),1,0)</f>
        <v/>
      </c>
      <c r="I4016">
        <f>IF(H4015=0,1,SUMPRODUCT(J4015:N4015,B4016:F4016)+O4015*(1+0.00023125256064071564))</f>
        <v/>
      </c>
      <c r="J4016">
        <f>IF(G4016=1,0.2*R4016/B4016,J4015)</f>
        <v/>
      </c>
      <c r="K4016">
        <f>IF(G4016=1,0.2*R4016/C4016,K4015)</f>
        <v/>
      </c>
      <c r="L4016">
        <f>IF(G4016=1,0.2*R4016/D4016,L4015)</f>
        <v/>
      </c>
      <c r="M4016">
        <f>IF(G4016=1,0.2*R4016/E4016,M4015)</f>
        <v/>
      </c>
      <c r="N4016">
        <f>IF(G4016=1,0.2*R4016/F4016,N4015)</f>
        <v/>
      </c>
      <c r="O4016">
        <f>IF(G4016=1,R4016*(1-1.0),IF(H4015=0,1,O4015*(1+0.00023125256064071564)))</f>
        <v/>
      </c>
      <c r="P4016">
        <f>IF(G4016=1,IF(H4015=0,1,ABS(0.2-J4015*B4016/I4016)+ABS(0.2-K4015*C4016/I4016)+ABS(0.2-L4015*D4016/I4016)+ABS(0.2-M4015*E4016/I4016)+ABS(0.2-N4015*F4016/I4016)),0)</f>
        <v/>
      </c>
      <c r="Q4016">
        <f>P4016*0.0015</f>
        <v/>
      </c>
      <c r="R4016">
        <f>I4016*(1-Q4016)</f>
        <v/>
      </c>
      <c r="S4016">
        <f>R4016/R4015-1</f>
        <v/>
      </c>
      <c r="T4016">
        <f>MAX(T4015,R4016)</f>
        <v/>
      </c>
      <c r="U4016">
        <f>R4016/T4016-1</f>
        <v/>
      </c>
      <c r="V4016" t="n">
        <v>14.25135480505592</v>
      </c>
      <c r="W4016" s="5">
        <f>R4016-V4016</f>
        <v/>
      </c>
    </row>
    <row r="4017">
      <c r="A4017" s="3" t="n">
        <v>44357</v>
      </c>
      <c r="B4017">
        <f>Prices!B4017</f>
        <v/>
      </c>
      <c r="C4017">
        <f>Prices!C4017</f>
        <v/>
      </c>
      <c r="D4017">
        <f>Prices!D4017</f>
        <v/>
      </c>
      <c r="E4017">
        <f>Prices!E4017</f>
        <v/>
      </c>
      <c r="F4017">
        <f>Prices!F4017</f>
        <v/>
      </c>
      <c r="G4017">
        <f>IF(AND(4015&gt;=16,TEXT(A4017,"yyyy-mm")&lt;&gt;TEXT(A4018,"yyyy-mm")),1,0)</f>
        <v/>
      </c>
      <c r="H4017">
        <f>IF(OR(H4016=1,G4017=1),1,0)</f>
        <v/>
      </c>
      <c r="I4017">
        <f>IF(H4016=0,1,SUMPRODUCT(J4016:N4016,B4017:F4017)+O4016*(1+0.00023125256064071564))</f>
        <v/>
      </c>
      <c r="J4017">
        <f>IF(G4017=1,0.2*R4017/B4017,J4016)</f>
        <v/>
      </c>
      <c r="K4017">
        <f>IF(G4017=1,0.2*R4017/C4017,K4016)</f>
        <v/>
      </c>
      <c r="L4017">
        <f>IF(G4017=1,0.2*R4017/D4017,L4016)</f>
        <v/>
      </c>
      <c r="M4017">
        <f>IF(G4017=1,0.2*R4017/E4017,M4016)</f>
        <v/>
      </c>
      <c r="N4017">
        <f>IF(G4017=1,0.2*R4017/F4017,N4016)</f>
        <v/>
      </c>
      <c r="O4017">
        <f>IF(G4017=1,R4017*(1-1.0),IF(H4016=0,1,O4016*(1+0.00023125256064071564)))</f>
        <v/>
      </c>
      <c r="P4017">
        <f>IF(G4017=1,IF(H4016=0,1,ABS(0.2-J4016*B4017/I4017)+ABS(0.2-K4016*C4017/I4017)+ABS(0.2-L4016*D4017/I4017)+ABS(0.2-M4016*E4017/I4017)+ABS(0.2-N4016*F4017/I4017)),0)</f>
        <v/>
      </c>
      <c r="Q4017">
        <f>P4017*0.0015</f>
        <v/>
      </c>
      <c r="R4017">
        <f>I4017*(1-Q4017)</f>
        <v/>
      </c>
      <c r="S4017">
        <f>R4017/R4016-1</f>
        <v/>
      </c>
      <c r="T4017">
        <f>MAX(T4016,R4017)</f>
        <v/>
      </c>
      <c r="U4017">
        <f>R4017/T4017-1</f>
        <v/>
      </c>
      <c r="V4017" t="n">
        <v>14.41012681384172</v>
      </c>
      <c r="W4017" s="5">
        <f>R4017-V4017</f>
        <v/>
      </c>
    </row>
    <row r="4018">
      <c r="A4018" s="3" t="n">
        <v>44358</v>
      </c>
      <c r="B4018">
        <f>Prices!B4018</f>
        <v/>
      </c>
      <c r="C4018">
        <f>Prices!C4018</f>
        <v/>
      </c>
      <c r="D4018">
        <f>Prices!D4018</f>
        <v/>
      </c>
      <c r="E4018">
        <f>Prices!E4018</f>
        <v/>
      </c>
      <c r="F4018">
        <f>Prices!F4018</f>
        <v/>
      </c>
      <c r="G4018">
        <f>IF(AND(4016&gt;=16,TEXT(A4018,"yyyy-mm")&lt;&gt;TEXT(A4019,"yyyy-mm")),1,0)</f>
        <v/>
      </c>
      <c r="H4018">
        <f>IF(OR(H4017=1,G4018=1),1,0)</f>
        <v/>
      </c>
      <c r="I4018">
        <f>IF(H4017=0,1,SUMPRODUCT(J4017:N4017,B4018:F4018)+O4017*(1+0.00023125256064071564))</f>
        <v/>
      </c>
      <c r="J4018">
        <f>IF(G4018=1,0.2*R4018/B4018,J4017)</f>
        <v/>
      </c>
      <c r="K4018">
        <f>IF(G4018=1,0.2*R4018/C4018,K4017)</f>
        <v/>
      </c>
      <c r="L4018">
        <f>IF(G4018=1,0.2*R4018/D4018,L4017)</f>
        <v/>
      </c>
      <c r="M4018">
        <f>IF(G4018=1,0.2*R4018/E4018,M4017)</f>
        <v/>
      </c>
      <c r="N4018">
        <f>IF(G4018=1,0.2*R4018/F4018,N4017)</f>
        <v/>
      </c>
      <c r="O4018">
        <f>IF(G4018=1,R4018*(1-1.0),IF(H4017=0,1,O4017*(1+0.00023125256064071564)))</f>
        <v/>
      </c>
      <c r="P4018">
        <f>IF(G4018=1,IF(H4017=0,1,ABS(0.2-J4017*B4018/I4018)+ABS(0.2-K4017*C4018/I4018)+ABS(0.2-L4017*D4018/I4018)+ABS(0.2-M4017*E4018/I4018)+ABS(0.2-N4017*F4018/I4018)),0)</f>
        <v/>
      </c>
      <c r="Q4018">
        <f>P4018*0.0015</f>
        <v/>
      </c>
      <c r="R4018">
        <f>I4018*(1-Q4018)</f>
        <v/>
      </c>
      <c r="S4018">
        <f>R4018/R4017-1</f>
        <v/>
      </c>
      <c r="T4018">
        <f>MAX(T4017,R4018)</f>
        <v/>
      </c>
      <c r="U4018">
        <f>R4018/T4018-1</f>
        <v/>
      </c>
      <c r="V4018" t="n">
        <v>14.47130124098254</v>
      </c>
      <c r="W4018" s="5">
        <f>R4018-V4018</f>
        <v/>
      </c>
    </row>
    <row r="4019">
      <c r="A4019" s="3" t="n">
        <v>44361</v>
      </c>
      <c r="B4019">
        <f>Prices!B4019</f>
        <v/>
      </c>
      <c r="C4019">
        <f>Prices!C4019</f>
        <v/>
      </c>
      <c r="D4019">
        <f>Prices!D4019</f>
        <v/>
      </c>
      <c r="E4019">
        <f>Prices!E4019</f>
        <v/>
      </c>
      <c r="F4019">
        <f>Prices!F4019</f>
        <v/>
      </c>
      <c r="G4019">
        <f>IF(AND(4017&gt;=16,TEXT(A4019,"yyyy-mm")&lt;&gt;TEXT(A4020,"yyyy-mm")),1,0)</f>
        <v/>
      </c>
      <c r="H4019">
        <f>IF(OR(H4018=1,G4019=1),1,0)</f>
        <v/>
      </c>
      <c r="I4019">
        <f>IF(H4018=0,1,SUMPRODUCT(J4018:N4018,B4019:F4019)+O4018*(1+0.00023125256064071564))</f>
        <v/>
      </c>
      <c r="J4019">
        <f>IF(G4019=1,0.2*R4019/B4019,J4018)</f>
        <v/>
      </c>
      <c r="K4019">
        <f>IF(G4019=1,0.2*R4019/C4019,K4018)</f>
        <v/>
      </c>
      <c r="L4019">
        <f>IF(G4019=1,0.2*R4019/D4019,L4018)</f>
        <v/>
      </c>
      <c r="M4019">
        <f>IF(G4019=1,0.2*R4019/E4019,M4018)</f>
        <v/>
      </c>
      <c r="N4019">
        <f>IF(G4019=1,0.2*R4019/F4019,N4018)</f>
        <v/>
      </c>
      <c r="O4019">
        <f>IF(G4019=1,R4019*(1-1.0),IF(H4018=0,1,O4018*(1+0.00023125256064071564)))</f>
        <v/>
      </c>
      <c r="P4019">
        <f>IF(G4019=1,IF(H4018=0,1,ABS(0.2-J4018*B4019/I4019)+ABS(0.2-K4018*C4019/I4019)+ABS(0.2-L4018*D4019/I4019)+ABS(0.2-M4018*E4019/I4019)+ABS(0.2-N4018*F4019/I4019)),0)</f>
        <v/>
      </c>
      <c r="Q4019">
        <f>P4019*0.0015</f>
        <v/>
      </c>
      <c r="R4019">
        <f>I4019*(1-Q4019)</f>
        <v/>
      </c>
      <c r="S4019">
        <f>R4019/R4018-1</f>
        <v/>
      </c>
      <c r="T4019">
        <f>MAX(T4018,R4019)</f>
        <v/>
      </c>
      <c r="U4019">
        <f>R4019/T4019-1</f>
        <v/>
      </c>
      <c r="V4019" t="n">
        <v>14.41521008275536</v>
      </c>
      <c r="W4019" s="5">
        <f>R4019-V4019</f>
        <v/>
      </c>
    </row>
    <row r="4020">
      <c r="A4020" s="3" t="n">
        <v>44362</v>
      </c>
      <c r="B4020">
        <f>Prices!B4020</f>
        <v/>
      </c>
      <c r="C4020">
        <f>Prices!C4020</f>
        <v/>
      </c>
      <c r="D4020">
        <f>Prices!D4020</f>
        <v/>
      </c>
      <c r="E4020">
        <f>Prices!E4020</f>
        <v/>
      </c>
      <c r="F4020">
        <f>Prices!F4020</f>
        <v/>
      </c>
      <c r="G4020">
        <f>IF(AND(4018&gt;=16,TEXT(A4020,"yyyy-mm")&lt;&gt;TEXT(A4021,"yyyy-mm")),1,0)</f>
        <v/>
      </c>
      <c r="H4020">
        <f>IF(OR(H4019=1,G4020=1),1,0)</f>
        <v/>
      </c>
      <c r="I4020">
        <f>IF(H4019=0,1,SUMPRODUCT(J4019:N4019,B4020:F4020)+O4019*(1+0.00023125256064071564))</f>
        <v/>
      </c>
      <c r="J4020">
        <f>IF(G4020=1,0.2*R4020/B4020,J4019)</f>
        <v/>
      </c>
      <c r="K4020">
        <f>IF(G4020=1,0.2*R4020/C4020,K4019)</f>
        <v/>
      </c>
      <c r="L4020">
        <f>IF(G4020=1,0.2*R4020/D4020,L4019)</f>
        <v/>
      </c>
      <c r="M4020">
        <f>IF(G4020=1,0.2*R4020/E4020,M4019)</f>
        <v/>
      </c>
      <c r="N4020">
        <f>IF(G4020=1,0.2*R4020/F4020,N4019)</f>
        <v/>
      </c>
      <c r="O4020">
        <f>IF(G4020=1,R4020*(1-1.0),IF(H4019=0,1,O4019*(1+0.00023125256064071564)))</f>
        <v/>
      </c>
      <c r="P4020">
        <f>IF(G4020=1,IF(H4019=0,1,ABS(0.2-J4019*B4020/I4020)+ABS(0.2-K4019*C4020/I4020)+ABS(0.2-L4019*D4020/I4020)+ABS(0.2-M4019*E4020/I4020)+ABS(0.2-N4019*F4020/I4020)),0)</f>
        <v/>
      </c>
      <c r="Q4020">
        <f>P4020*0.0015</f>
        <v/>
      </c>
      <c r="R4020">
        <f>I4020*(1-Q4020)</f>
        <v/>
      </c>
      <c r="S4020">
        <f>R4020/R4019-1</f>
        <v/>
      </c>
      <c r="T4020">
        <f>MAX(T4019,R4020)</f>
        <v/>
      </c>
      <c r="U4020">
        <f>R4020/T4020-1</f>
        <v/>
      </c>
      <c r="V4020" t="n">
        <v>14.44524549549858</v>
      </c>
      <c r="W4020" s="5">
        <f>R4020-V4020</f>
        <v/>
      </c>
    </row>
    <row r="4021">
      <c r="A4021" s="3" t="n">
        <v>44363</v>
      </c>
      <c r="B4021">
        <f>Prices!B4021</f>
        <v/>
      </c>
      <c r="C4021">
        <f>Prices!C4021</f>
        <v/>
      </c>
      <c r="D4021">
        <f>Prices!D4021</f>
        <v/>
      </c>
      <c r="E4021">
        <f>Prices!E4021</f>
        <v/>
      </c>
      <c r="F4021">
        <f>Prices!F4021</f>
        <v/>
      </c>
      <c r="G4021">
        <f>IF(AND(4019&gt;=16,TEXT(A4021,"yyyy-mm")&lt;&gt;TEXT(A4022,"yyyy-mm")),1,0)</f>
        <v/>
      </c>
      <c r="H4021">
        <f>IF(OR(H4020=1,G4021=1),1,0)</f>
        <v/>
      </c>
      <c r="I4021">
        <f>IF(H4020=0,1,SUMPRODUCT(J4020:N4020,B4021:F4021)+O4020*(1+0.00023125256064071564))</f>
        <v/>
      </c>
      <c r="J4021">
        <f>IF(G4021=1,0.2*R4021/B4021,J4020)</f>
        <v/>
      </c>
      <c r="K4021">
        <f>IF(G4021=1,0.2*R4021/C4021,K4020)</f>
        <v/>
      </c>
      <c r="L4021">
        <f>IF(G4021=1,0.2*R4021/D4021,L4020)</f>
        <v/>
      </c>
      <c r="M4021">
        <f>IF(G4021=1,0.2*R4021/E4021,M4020)</f>
        <v/>
      </c>
      <c r="N4021">
        <f>IF(G4021=1,0.2*R4021/F4021,N4020)</f>
        <v/>
      </c>
      <c r="O4021">
        <f>IF(G4021=1,R4021*(1-1.0),IF(H4020=0,1,O4020*(1+0.00023125256064071564)))</f>
        <v/>
      </c>
      <c r="P4021">
        <f>IF(G4021=1,IF(H4020=0,1,ABS(0.2-J4020*B4021/I4021)+ABS(0.2-K4020*C4021/I4021)+ABS(0.2-L4020*D4021/I4021)+ABS(0.2-M4020*E4021/I4021)+ABS(0.2-N4020*F4021/I4021)),0)</f>
        <v/>
      </c>
      <c r="Q4021">
        <f>P4021*0.0015</f>
        <v/>
      </c>
      <c r="R4021">
        <f>I4021*(1-Q4021)</f>
        <v/>
      </c>
      <c r="S4021">
        <f>R4021/R4020-1</f>
        <v/>
      </c>
      <c r="T4021">
        <f>MAX(T4020,R4021)</f>
        <v/>
      </c>
      <c r="U4021">
        <f>R4021/T4021-1</f>
        <v/>
      </c>
      <c r="V4021" t="n">
        <v>14.33549632143812</v>
      </c>
      <c r="W4021" s="5">
        <f>R4021-V4021</f>
        <v/>
      </c>
    </row>
    <row r="4022">
      <c r="A4022" s="3" t="n">
        <v>44364</v>
      </c>
      <c r="B4022">
        <f>Prices!B4022</f>
        <v/>
      </c>
      <c r="C4022">
        <f>Prices!C4022</f>
        <v/>
      </c>
      <c r="D4022">
        <f>Prices!D4022</f>
        <v/>
      </c>
      <c r="E4022">
        <f>Prices!E4022</f>
        <v/>
      </c>
      <c r="F4022">
        <f>Prices!F4022</f>
        <v/>
      </c>
      <c r="G4022">
        <f>IF(AND(4020&gt;=16,TEXT(A4022,"yyyy-mm")&lt;&gt;TEXT(A4023,"yyyy-mm")),1,0)</f>
        <v/>
      </c>
      <c r="H4022">
        <f>IF(OR(H4021=1,G4022=1),1,0)</f>
        <v/>
      </c>
      <c r="I4022">
        <f>IF(H4021=0,1,SUMPRODUCT(J4021:N4021,B4022:F4022)+O4021*(1+0.00023125256064071564))</f>
        <v/>
      </c>
      <c r="J4022">
        <f>IF(G4022=1,0.2*R4022/B4022,J4021)</f>
        <v/>
      </c>
      <c r="K4022">
        <f>IF(G4022=1,0.2*R4022/C4022,K4021)</f>
        <v/>
      </c>
      <c r="L4022">
        <f>IF(G4022=1,0.2*R4022/D4022,L4021)</f>
        <v/>
      </c>
      <c r="M4022">
        <f>IF(G4022=1,0.2*R4022/E4022,M4021)</f>
        <v/>
      </c>
      <c r="N4022">
        <f>IF(G4022=1,0.2*R4022/F4022,N4021)</f>
        <v/>
      </c>
      <c r="O4022">
        <f>IF(G4022=1,R4022*(1-1.0),IF(H4021=0,1,O4021*(1+0.00023125256064071564)))</f>
        <v/>
      </c>
      <c r="P4022">
        <f>IF(G4022=1,IF(H4021=0,1,ABS(0.2-J4021*B4022/I4022)+ABS(0.2-K4021*C4022/I4022)+ABS(0.2-L4021*D4022/I4022)+ABS(0.2-M4021*E4022/I4022)+ABS(0.2-N4021*F4022/I4022)),0)</f>
        <v/>
      </c>
      <c r="Q4022">
        <f>P4022*0.0015</f>
        <v/>
      </c>
      <c r="R4022">
        <f>I4022*(1-Q4022)</f>
        <v/>
      </c>
      <c r="S4022">
        <f>R4022/R4021-1</f>
        <v/>
      </c>
      <c r="T4022">
        <f>MAX(T4021,R4022)</f>
        <v/>
      </c>
      <c r="U4022">
        <f>R4022/T4022-1</f>
        <v/>
      </c>
      <c r="V4022" t="n">
        <v>14.20330400192783</v>
      </c>
      <c r="W4022" s="5">
        <f>R4022-V4022</f>
        <v/>
      </c>
    </row>
    <row r="4023">
      <c r="A4023" s="3" t="n">
        <v>44365</v>
      </c>
      <c r="B4023">
        <f>Prices!B4023</f>
        <v/>
      </c>
      <c r="C4023">
        <f>Prices!C4023</f>
        <v/>
      </c>
      <c r="D4023">
        <f>Prices!D4023</f>
        <v/>
      </c>
      <c r="E4023">
        <f>Prices!E4023</f>
        <v/>
      </c>
      <c r="F4023">
        <f>Prices!F4023</f>
        <v/>
      </c>
      <c r="G4023">
        <f>IF(AND(4021&gt;=16,TEXT(A4023,"yyyy-mm")&lt;&gt;TEXT(A4024,"yyyy-mm")),1,0)</f>
        <v/>
      </c>
      <c r="H4023">
        <f>IF(OR(H4022=1,G4023=1),1,0)</f>
        <v/>
      </c>
      <c r="I4023">
        <f>IF(H4022=0,1,SUMPRODUCT(J4022:N4022,B4023:F4023)+O4022*(1+0.00023125256064071564))</f>
        <v/>
      </c>
      <c r="J4023">
        <f>IF(G4023=1,0.2*R4023/B4023,J4022)</f>
        <v/>
      </c>
      <c r="K4023">
        <f>IF(G4023=1,0.2*R4023/C4023,K4022)</f>
        <v/>
      </c>
      <c r="L4023">
        <f>IF(G4023=1,0.2*R4023/D4023,L4022)</f>
        <v/>
      </c>
      <c r="M4023">
        <f>IF(G4023=1,0.2*R4023/E4023,M4022)</f>
        <v/>
      </c>
      <c r="N4023">
        <f>IF(G4023=1,0.2*R4023/F4023,N4022)</f>
        <v/>
      </c>
      <c r="O4023">
        <f>IF(G4023=1,R4023*(1-1.0),IF(H4022=0,1,O4022*(1+0.00023125256064071564)))</f>
        <v/>
      </c>
      <c r="P4023">
        <f>IF(G4023=1,IF(H4022=0,1,ABS(0.2-J4022*B4023/I4023)+ABS(0.2-K4022*C4023/I4023)+ABS(0.2-L4022*D4023/I4023)+ABS(0.2-M4022*E4023/I4023)+ABS(0.2-N4022*F4023/I4023)),0)</f>
        <v/>
      </c>
      <c r="Q4023">
        <f>P4023*0.0015</f>
        <v/>
      </c>
      <c r="R4023">
        <f>I4023*(1-Q4023)</f>
        <v/>
      </c>
      <c r="S4023">
        <f>R4023/R4022-1</f>
        <v/>
      </c>
      <c r="T4023">
        <f>MAX(T4022,R4023)</f>
        <v/>
      </c>
      <c r="U4023">
        <f>R4023/T4023-1</f>
        <v/>
      </c>
      <c r="V4023" t="n">
        <v>14.09920715956296</v>
      </c>
      <c r="W4023" s="5">
        <f>R4023-V4023</f>
        <v/>
      </c>
    </row>
    <row r="4024">
      <c r="A4024" s="3" t="n">
        <v>44368</v>
      </c>
      <c r="B4024">
        <f>Prices!B4024</f>
        <v/>
      </c>
      <c r="C4024">
        <f>Prices!C4024</f>
        <v/>
      </c>
      <c r="D4024">
        <f>Prices!D4024</f>
        <v/>
      </c>
      <c r="E4024">
        <f>Prices!E4024</f>
        <v/>
      </c>
      <c r="F4024">
        <f>Prices!F4024</f>
        <v/>
      </c>
      <c r="G4024">
        <f>IF(AND(4022&gt;=16,TEXT(A4024,"yyyy-mm")&lt;&gt;TEXT(A4025,"yyyy-mm")),1,0)</f>
        <v/>
      </c>
      <c r="H4024">
        <f>IF(OR(H4023=1,G4024=1),1,0)</f>
        <v/>
      </c>
      <c r="I4024">
        <f>IF(H4023=0,1,SUMPRODUCT(J4023:N4023,B4024:F4024)+O4023*(1+0.00023125256064071564))</f>
        <v/>
      </c>
      <c r="J4024">
        <f>IF(G4024=1,0.2*R4024/B4024,J4023)</f>
        <v/>
      </c>
      <c r="K4024">
        <f>IF(G4024=1,0.2*R4024/C4024,K4023)</f>
        <v/>
      </c>
      <c r="L4024">
        <f>IF(G4024=1,0.2*R4024/D4024,L4023)</f>
        <v/>
      </c>
      <c r="M4024">
        <f>IF(G4024=1,0.2*R4024/E4024,M4023)</f>
        <v/>
      </c>
      <c r="N4024">
        <f>IF(G4024=1,0.2*R4024/F4024,N4023)</f>
        <v/>
      </c>
      <c r="O4024">
        <f>IF(G4024=1,R4024*(1-1.0),IF(H4023=0,1,O4023*(1+0.00023125256064071564)))</f>
        <v/>
      </c>
      <c r="P4024">
        <f>IF(G4024=1,IF(H4023=0,1,ABS(0.2-J4023*B4024/I4024)+ABS(0.2-K4023*C4024/I4024)+ABS(0.2-L4023*D4024/I4024)+ABS(0.2-M4023*E4024/I4024)+ABS(0.2-N4023*F4024/I4024)),0)</f>
        <v/>
      </c>
      <c r="Q4024">
        <f>P4024*0.0015</f>
        <v/>
      </c>
      <c r="R4024">
        <f>I4024*(1-Q4024)</f>
        <v/>
      </c>
      <c r="S4024">
        <f>R4024/R4023-1</f>
        <v/>
      </c>
      <c r="T4024">
        <f>MAX(T4023,R4024)</f>
        <v/>
      </c>
      <c r="U4024">
        <f>R4024/T4024-1</f>
        <v/>
      </c>
      <c r="V4024" t="n">
        <v>14.20554356883915</v>
      </c>
      <c r="W4024" s="5">
        <f>R4024-V4024</f>
        <v/>
      </c>
    </row>
    <row r="4025">
      <c r="A4025" s="3" t="n">
        <v>44369</v>
      </c>
      <c r="B4025">
        <f>Prices!B4025</f>
        <v/>
      </c>
      <c r="C4025">
        <f>Prices!C4025</f>
        <v/>
      </c>
      <c r="D4025">
        <f>Prices!D4025</f>
        <v/>
      </c>
      <c r="E4025">
        <f>Prices!E4025</f>
        <v/>
      </c>
      <c r="F4025">
        <f>Prices!F4025</f>
        <v/>
      </c>
      <c r="G4025">
        <f>IF(AND(4023&gt;=16,TEXT(A4025,"yyyy-mm")&lt;&gt;TEXT(A4026,"yyyy-mm")),1,0)</f>
        <v/>
      </c>
      <c r="H4025">
        <f>IF(OR(H4024=1,G4025=1),1,0)</f>
        <v/>
      </c>
      <c r="I4025">
        <f>IF(H4024=0,1,SUMPRODUCT(J4024:N4024,B4025:F4025)+O4024*(1+0.00023125256064071564))</f>
        <v/>
      </c>
      <c r="J4025">
        <f>IF(G4025=1,0.2*R4025/B4025,J4024)</f>
        <v/>
      </c>
      <c r="K4025">
        <f>IF(G4025=1,0.2*R4025/C4025,K4024)</f>
        <v/>
      </c>
      <c r="L4025">
        <f>IF(G4025=1,0.2*R4025/D4025,L4024)</f>
        <v/>
      </c>
      <c r="M4025">
        <f>IF(G4025=1,0.2*R4025/E4025,M4024)</f>
        <v/>
      </c>
      <c r="N4025">
        <f>IF(G4025=1,0.2*R4025/F4025,N4024)</f>
        <v/>
      </c>
      <c r="O4025">
        <f>IF(G4025=1,R4025*(1-1.0),IF(H4024=0,1,O4024*(1+0.00023125256064071564)))</f>
        <v/>
      </c>
      <c r="P4025">
        <f>IF(G4025=1,IF(H4024=0,1,ABS(0.2-J4024*B4025/I4025)+ABS(0.2-K4024*C4025/I4025)+ABS(0.2-L4024*D4025/I4025)+ABS(0.2-M4024*E4025/I4025)+ABS(0.2-N4024*F4025/I4025)),0)</f>
        <v/>
      </c>
      <c r="Q4025">
        <f>P4025*0.0015</f>
        <v/>
      </c>
      <c r="R4025">
        <f>I4025*(1-Q4025)</f>
        <v/>
      </c>
      <c r="S4025">
        <f>R4025/R4024-1</f>
        <v/>
      </c>
      <c r="T4025">
        <f>MAX(T4024,R4025)</f>
        <v/>
      </c>
      <c r="U4025">
        <f>R4025/T4025-1</f>
        <v/>
      </c>
      <c r="V4025" t="n">
        <v>14.26562190775799</v>
      </c>
      <c r="W4025" s="5">
        <f>R4025-V4025</f>
        <v/>
      </c>
    </row>
    <row r="4026">
      <c r="A4026" s="3" t="n">
        <v>44370</v>
      </c>
      <c r="B4026">
        <f>Prices!B4026</f>
        <v/>
      </c>
      <c r="C4026">
        <f>Prices!C4026</f>
        <v/>
      </c>
      <c r="D4026">
        <f>Prices!D4026</f>
        <v/>
      </c>
      <c r="E4026">
        <f>Prices!E4026</f>
        <v/>
      </c>
      <c r="F4026">
        <f>Prices!F4026</f>
        <v/>
      </c>
      <c r="G4026">
        <f>IF(AND(4024&gt;=16,TEXT(A4026,"yyyy-mm")&lt;&gt;TEXT(A4027,"yyyy-mm")),1,0)</f>
        <v/>
      </c>
      <c r="H4026">
        <f>IF(OR(H4025=1,G4026=1),1,0)</f>
        <v/>
      </c>
      <c r="I4026">
        <f>IF(H4025=0,1,SUMPRODUCT(J4025:N4025,B4026:F4026)+O4025*(1+0.00023125256064071564))</f>
        <v/>
      </c>
      <c r="J4026">
        <f>IF(G4026=1,0.2*R4026/B4026,J4025)</f>
        <v/>
      </c>
      <c r="K4026">
        <f>IF(G4026=1,0.2*R4026/C4026,K4025)</f>
        <v/>
      </c>
      <c r="L4026">
        <f>IF(G4026=1,0.2*R4026/D4026,L4025)</f>
        <v/>
      </c>
      <c r="M4026">
        <f>IF(G4026=1,0.2*R4026/E4026,M4025)</f>
        <v/>
      </c>
      <c r="N4026">
        <f>IF(G4026=1,0.2*R4026/F4026,N4025)</f>
        <v/>
      </c>
      <c r="O4026">
        <f>IF(G4026=1,R4026*(1-1.0),IF(H4025=0,1,O4025*(1+0.00023125256064071564)))</f>
        <v/>
      </c>
      <c r="P4026">
        <f>IF(G4026=1,IF(H4025=0,1,ABS(0.2-J4025*B4026/I4026)+ABS(0.2-K4025*C4026/I4026)+ABS(0.2-L4025*D4026/I4026)+ABS(0.2-M4025*E4026/I4026)+ABS(0.2-N4025*F4026/I4026)),0)</f>
        <v/>
      </c>
      <c r="Q4026">
        <f>P4026*0.0015</f>
        <v/>
      </c>
      <c r="R4026">
        <f>I4026*(1-Q4026)</f>
        <v/>
      </c>
      <c r="S4026">
        <f>R4026/R4025-1</f>
        <v/>
      </c>
      <c r="T4026">
        <f>MAX(T4025,R4026)</f>
        <v/>
      </c>
      <c r="U4026">
        <f>R4026/T4026-1</f>
        <v/>
      </c>
      <c r="V4026" t="n">
        <v>14.1601077415954</v>
      </c>
      <c r="W4026" s="5">
        <f>R4026-V4026</f>
        <v/>
      </c>
    </row>
    <row r="4027">
      <c r="A4027" s="3" t="n">
        <v>44371</v>
      </c>
      <c r="B4027">
        <f>Prices!B4027</f>
        <v/>
      </c>
      <c r="C4027">
        <f>Prices!C4027</f>
        <v/>
      </c>
      <c r="D4027">
        <f>Prices!D4027</f>
        <v/>
      </c>
      <c r="E4027">
        <f>Prices!E4027</f>
        <v/>
      </c>
      <c r="F4027">
        <f>Prices!F4027</f>
        <v/>
      </c>
      <c r="G4027">
        <f>IF(AND(4025&gt;=16,TEXT(A4027,"yyyy-mm")&lt;&gt;TEXT(A4028,"yyyy-mm")),1,0)</f>
        <v/>
      </c>
      <c r="H4027">
        <f>IF(OR(H4026=1,G4027=1),1,0)</f>
        <v/>
      </c>
      <c r="I4027">
        <f>IF(H4026=0,1,SUMPRODUCT(J4026:N4026,B4027:F4027)+O4026*(1+0.00023125256064071564))</f>
        <v/>
      </c>
      <c r="J4027">
        <f>IF(G4027=1,0.2*R4027/B4027,J4026)</f>
        <v/>
      </c>
      <c r="K4027">
        <f>IF(G4027=1,0.2*R4027/C4027,K4026)</f>
        <v/>
      </c>
      <c r="L4027">
        <f>IF(G4027=1,0.2*R4027/D4027,L4026)</f>
        <v/>
      </c>
      <c r="M4027">
        <f>IF(G4027=1,0.2*R4027/E4027,M4026)</f>
        <v/>
      </c>
      <c r="N4027">
        <f>IF(G4027=1,0.2*R4027/F4027,N4026)</f>
        <v/>
      </c>
      <c r="O4027">
        <f>IF(G4027=1,R4027*(1-1.0),IF(H4026=0,1,O4026*(1+0.00023125256064071564)))</f>
        <v/>
      </c>
      <c r="P4027">
        <f>IF(G4027=1,IF(H4026=0,1,ABS(0.2-J4026*B4027/I4027)+ABS(0.2-K4026*C4027/I4027)+ABS(0.2-L4026*D4027/I4027)+ABS(0.2-M4026*E4027/I4027)+ABS(0.2-N4026*F4027/I4027)),0)</f>
        <v/>
      </c>
      <c r="Q4027">
        <f>P4027*0.0015</f>
        <v/>
      </c>
      <c r="R4027">
        <f>I4027*(1-Q4027)</f>
        <v/>
      </c>
      <c r="S4027">
        <f>R4027/R4026-1</f>
        <v/>
      </c>
      <c r="T4027">
        <f>MAX(T4026,R4027)</f>
        <v/>
      </c>
      <c r="U4027">
        <f>R4027/T4027-1</f>
        <v/>
      </c>
      <c r="V4027" t="n">
        <v>14.16463575102412</v>
      </c>
      <c r="W4027" s="5">
        <f>R4027-V4027</f>
        <v/>
      </c>
    </row>
    <row r="4028">
      <c r="A4028" s="3" t="n">
        <v>44372</v>
      </c>
      <c r="B4028">
        <f>Prices!B4028</f>
        <v/>
      </c>
      <c r="C4028">
        <f>Prices!C4028</f>
        <v/>
      </c>
      <c r="D4028">
        <f>Prices!D4028</f>
        <v/>
      </c>
      <c r="E4028">
        <f>Prices!E4028</f>
        <v/>
      </c>
      <c r="F4028">
        <f>Prices!F4028</f>
        <v/>
      </c>
      <c r="G4028">
        <f>IF(AND(4026&gt;=16,TEXT(A4028,"yyyy-mm")&lt;&gt;TEXT(A4029,"yyyy-mm")),1,0)</f>
        <v/>
      </c>
      <c r="H4028">
        <f>IF(OR(H4027=1,G4028=1),1,0)</f>
        <v/>
      </c>
      <c r="I4028">
        <f>IF(H4027=0,1,SUMPRODUCT(J4027:N4027,B4028:F4028)+O4027*(1+0.00023125256064071564))</f>
        <v/>
      </c>
      <c r="J4028">
        <f>IF(G4028=1,0.2*R4028/B4028,J4027)</f>
        <v/>
      </c>
      <c r="K4028">
        <f>IF(G4028=1,0.2*R4028/C4028,K4027)</f>
        <v/>
      </c>
      <c r="L4028">
        <f>IF(G4028=1,0.2*R4028/D4028,L4027)</f>
        <v/>
      </c>
      <c r="M4028">
        <f>IF(G4028=1,0.2*R4028/E4028,M4027)</f>
        <v/>
      </c>
      <c r="N4028">
        <f>IF(G4028=1,0.2*R4028/F4028,N4027)</f>
        <v/>
      </c>
      <c r="O4028">
        <f>IF(G4028=1,R4028*(1-1.0),IF(H4027=0,1,O4027*(1+0.00023125256064071564)))</f>
        <v/>
      </c>
      <c r="P4028">
        <f>IF(G4028=1,IF(H4027=0,1,ABS(0.2-J4027*B4028/I4028)+ABS(0.2-K4027*C4028/I4028)+ABS(0.2-L4027*D4028/I4028)+ABS(0.2-M4027*E4028/I4028)+ABS(0.2-N4027*F4028/I4028)),0)</f>
        <v/>
      </c>
      <c r="Q4028">
        <f>P4028*0.0015</f>
        <v/>
      </c>
      <c r="R4028">
        <f>I4028*(1-Q4028)</f>
        <v/>
      </c>
      <c r="S4028">
        <f>R4028/R4027-1</f>
        <v/>
      </c>
      <c r="T4028">
        <f>MAX(T4027,R4028)</f>
        <v/>
      </c>
      <c r="U4028">
        <f>R4028/T4028-1</f>
        <v/>
      </c>
      <c r="V4028" t="n">
        <v>14.23711253617379</v>
      </c>
      <c r="W4028" s="5">
        <f>R4028-V4028</f>
        <v/>
      </c>
    </row>
    <row r="4029">
      <c r="A4029" s="3" t="n">
        <v>44375</v>
      </c>
      <c r="B4029">
        <f>Prices!B4029</f>
        <v/>
      </c>
      <c r="C4029">
        <f>Prices!C4029</f>
        <v/>
      </c>
      <c r="D4029">
        <f>Prices!D4029</f>
        <v/>
      </c>
      <c r="E4029">
        <f>Prices!E4029</f>
        <v/>
      </c>
      <c r="F4029">
        <f>Prices!F4029</f>
        <v/>
      </c>
      <c r="G4029">
        <f>IF(AND(4027&gt;=16,TEXT(A4029,"yyyy-mm")&lt;&gt;TEXT(A4030,"yyyy-mm")),1,0)</f>
        <v/>
      </c>
      <c r="H4029">
        <f>IF(OR(H4028=1,G4029=1),1,0)</f>
        <v/>
      </c>
      <c r="I4029">
        <f>IF(H4028=0,1,SUMPRODUCT(J4028:N4028,B4029:F4029)+O4028*(1+0.00023125256064071564))</f>
        <v/>
      </c>
      <c r="J4029">
        <f>IF(G4029=1,0.2*R4029/B4029,J4028)</f>
        <v/>
      </c>
      <c r="K4029">
        <f>IF(G4029=1,0.2*R4029/C4029,K4028)</f>
        <v/>
      </c>
      <c r="L4029">
        <f>IF(G4029=1,0.2*R4029/D4029,L4028)</f>
        <v/>
      </c>
      <c r="M4029">
        <f>IF(G4029=1,0.2*R4029/E4029,M4028)</f>
        <v/>
      </c>
      <c r="N4029">
        <f>IF(G4029=1,0.2*R4029/F4029,N4028)</f>
        <v/>
      </c>
      <c r="O4029">
        <f>IF(G4029=1,R4029*(1-1.0),IF(H4028=0,1,O4028*(1+0.00023125256064071564)))</f>
        <v/>
      </c>
      <c r="P4029">
        <f>IF(G4029=1,IF(H4028=0,1,ABS(0.2-J4028*B4029/I4029)+ABS(0.2-K4028*C4029/I4029)+ABS(0.2-L4028*D4029/I4029)+ABS(0.2-M4028*E4029/I4029)+ABS(0.2-N4028*F4029/I4029)),0)</f>
        <v/>
      </c>
      <c r="Q4029">
        <f>P4029*0.0015</f>
        <v/>
      </c>
      <c r="R4029">
        <f>I4029*(1-Q4029)</f>
        <v/>
      </c>
      <c r="S4029">
        <f>R4029/R4028-1</f>
        <v/>
      </c>
      <c r="T4029">
        <f>MAX(T4028,R4029)</f>
        <v/>
      </c>
      <c r="U4029">
        <f>R4029/T4029-1</f>
        <v/>
      </c>
      <c r="V4029" t="n">
        <v>14.27219292050932</v>
      </c>
      <c r="W4029" s="5">
        <f>R4029-V4029</f>
        <v/>
      </c>
    </row>
    <row r="4030">
      <c r="A4030" s="3" t="n">
        <v>44376</v>
      </c>
      <c r="B4030">
        <f>Prices!B4030</f>
        <v/>
      </c>
      <c r="C4030">
        <f>Prices!C4030</f>
        <v/>
      </c>
      <c r="D4030">
        <f>Prices!D4030</f>
        <v/>
      </c>
      <c r="E4030">
        <f>Prices!E4030</f>
        <v/>
      </c>
      <c r="F4030">
        <f>Prices!F4030</f>
        <v/>
      </c>
      <c r="G4030">
        <f>IF(AND(4028&gt;=16,TEXT(A4030,"yyyy-mm")&lt;&gt;TEXT(A4031,"yyyy-mm")),1,0)</f>
        <v/>
      </c>
      <c r="H4030">
        <f>IF(OR(H4029=1,G4030=1),1,0)</f>
        <v/>
      </c>
      <c r="I4030">
        <f>IF(H4029=0,1,SUMPRODUCT(J4029:N4029,B4030:F4030)+O4029*(1+0.00023125256064071564))</f>
        <v/>
      </c>
      <c r="J4030">
        <f>IF(G4030=1,0.2*R4030/B4030,J4029)</f>
        <v/>
      </c>
      <c r="K4030">
        <f>IF(G4030=1,0.2*R4030/C4030,K4029)</f>
        <v/>
      </c>
      <c r="L4030">
        <f>IF(G4030=1,0.2*R4030/D4030,L4029)</f>
        <v/>
      </c>
      <c r="M4030">
        <f>IF(G4030=1,0.2*R4030/E4030,M4029)</f>
        <v/>
      </c>
      <c r="N4030">
        <f>IF(G4030=1,0.2*R4030/F4030,N4029)</f>
        <v/>
      </c>
      <c r="O4030">
        <f>IF(G4030=1,R4030*(1-1.0),IF(H4029=0,1,O4029*(1+0.00023125256064071564)))</f>
        <v/>
      </c>
      <c r="P4030">
        <f>IF(G4030=1,IF(H4029=0,1,ABS(0.2-J4029*B4030/I4030)+ABS(0.2-K4029*C4030/I4030)+ABS(0.2-L4029*D4030/I4030)+ABS(0.2-M4029*E4030/I4030)+ABS(0.2-N4029*F4030/I4030)),0)</f>
        <v/>
      </c>
      <c r="Q4030">
        <f>P4030*0.0015</f>
        <v/>
      </c>
      <c r="R4030">
        <f>I4030*(1-Q4030)</f>
        <v/>
      </c>
      <c r="S4030">
        <f>R4030/R4029-1</f>
        <v/>
      </c>
      <c r="T4030">
        <f>MAX(T4029,R4030)</f>
        <v/>
      </c>
      <c r="U4030">
        <f>R4030/T4030-1</f>
        <v/>
      </c>
      <c r="V4030" t="n">
        <v>14.25924559586231</v>
      </c>
      <c r="W4030" s="5">
        <f>R4030-V4030</f>
        <v/>
      </c>
    </row>
    <row r="4031">
      <c r="A4031" s="3" t="n">
        <v>44377</v>
      </c>
      <c r="B4031">
        <f>Prices!B4031</f>
        <v/>
      </c>
      <c r="C4031">
        <f>Prices!C4031</f>
        <v/>
      </c>
      <c r="D4031">
        <f>Prices!D4031</f>
        <v/>
      </c>
      <c r="E4031">
        <f>Prices!E4031</f>
        <v/>
      </c>
      <c r="F4031">
        <f>Prices!F4031</f>
        <v/>
      </c>
      <c r="G4031">
        <f>IF(AND(4029&gt;=16,TEXT(A4031,"yyyy-mm")&lt;&gt;TEXT(A4032,"yyyy-mm")),1,0)</f>
        <v/>
      </c>
      <c r="H4031">
        <f>IF(OR(H4030=1,G4031=1),1,0)</f>
        <v/>
      </c>
      <c r="I4031">
        <f>IF(H4030=0,1,SUMPRODUCT(J4030:N4030,B4031:F4031)+O4030*(1+0.00023125256064071564))</f>
        <v/>
      </c>
      <c r="J4031">
        <f>IF(G4031=1,0.2*R4031/B4031,J4030)</f>
        <v/>
      </c>
      <c r="K4031">
        <f>IF(G4031=1,0.2*R4031/C4031,K4030)</f>
        <v/>
      </c>
      <c r="L4031">
        <f>IF(G4031=1,0.2*R4031/D4031,L4030)</f>
        <v/>
      </c>
      <c r="M4031">
        <f>IF(G4031=1,0.2*R4031/E4031,M4030)</f>
        <v/>
      </c>
      <c r="N4031">
        <f>IF(G4031=1,0.2*R4031/F4031,N4030)</f>
        <v/>
      </c>
      <c r="O4031">
        <f>IF(G4031=1,R4031*(1-1.0),IF(H4030=0,1,O4030*(1+0.00023125256064071564)))</f>
        <v/>
      </c>
      <c r="P4031">
        <f>IF(G4031=1,IF(H4030=0,1,ABS(0.2-J4030*B4031/I4031)+ABS(0.2-K4030*C4031/I4031)+ABS(0.2-L4030*D4031/I4031)+ABS(0.2-M4030*E4031/I4031)+ABS(0.2-N4030*F4031/I4031)),0)</f>
        <v/>
      </c>
      <c r="Q4031">
        <f>P4031*0.0015</f>
        <v/>
      </c>
      <c r="R4031">
        <f>I4031*(1-Q4031)</f>
        <v/>
      </c>
      <c r="S4031">
        <f>R4031/R4030-1</f>
        <v/>
      </c>
      <c r="T4031">
        <f>MAX(T4030,R4031)</f>
        <v/>
      </c>
      <c r="U4031">
        <f>R4031/T4031-1</f>
        <v/>
      </c>
      <c r="V4031" t="n">
        <v>14.28360580012446</v>
      </c>
      <c r="W4031" s="5">
        <f>R4031-V4031</f>
        <v/>
      </c>
    </row>
    <row r="4032">
      <c r="A4032" s="3" t="n">
        <v>44378</v>
      </c>
      <c r="B4032">
        <f>Prices!B4032</f>
        <v/>
      </c>
      <c r="C4032">
        <f>Prices!C4032</f>
        <v/>
      </c>
      <c r="D4032">
        <f>Prices!D4032</f>
        <v/>
      </c>
      <c r="E4032">
        <f>Prices!E4032</f>
        <v/>
      </c>
      <c r="F4032">
        <f>Prices!F4032</f>
        <v/>
      </c>
      <c r="G4032">
        <f>IF(AND(4030&gt;=16,TEXT(A4032,"yyyy-mm")&lt;&gt;TEXT(A4033,"yyyy-mm")),1,0)</f>
        <v/>
      </c>
      <c r="H4032">
        <f>IF(OR(H4031=1,G4032=1),1,0)</f>
        <v/>
      </c>
      <c r="I4032">
        <f>IF(H4031=0,1,SUMPRODUCT(J4031:N4031,B4032:F4032)+O4031*(1+0.00023125256064071564))</f>
        <v/>
      </c>
      <c r="J4032">
        <f>IF(G4032=1,0.2*R4032/B4032,J4031)</f>
        <v/>
      </c>
      <c r="K4032">
        <f>IF(G4032=1,0.2*R4032/C4032,K4031)</f>
        <v/>
      </c>
      <c r="L4032">
        <f>IF(G4032=1,0.2*R4032/D4032,L4031)</f>
        <v/>
      </c>
      <c r="M4032">
        <f>IF(G4032=1,0.2*R4032/E4032,M4031)</f>
        <v/>
      </c>
      <c r="N4032">
        <f>IF(G4032=1,0.2*R4032/F4032,N4031)</f>
        <v/>
      </c>
      <c r="O4032">
        <f>IF(G4032=1,R4032*(1-1.0),IF(H4031=0,1,O4031*(1+0.00023125256064071564)))</f>
        <v/>
      </c>
      <c r="P4032">
        <f>IF(G4032=1,IF(H4031=0,1,ABS(0.2-J4031*B4032/I4032)+ABS(0.2-K4031*C4032/I4032)+ABS(0.2-L4031*D4032/I4032)+ABS(0.2-M4031*E4032/I4032)+ABS(0.2-N4031*F4032/I4032)),0)</f>
        <v/>
      </c>
      <c r="Q4032">
        <f>P4032*0.0015</f>
        <v/>
      </c>
      <c r="R4032">
        <f>I4032*(1-Q4032)</f>
        <v/>
      </c>
      <c r="S4032">
        <f>R4032/R4031-1</f>
        <v/>
      </c>
      <c r="T4032">
        <f>MAX(T4031,R4032)</f>
        <v/>
      </c>
      <c r="U4032">
        <f>R4032/T4032-1</f>
        <v/>
      </c>
      <c r="V4032" t="n">
        <v>14.27937193594254</v>
      </c>
      <c r="W4032" s="5">
        <f>R4032-V4032</f>
        <v/>
      </c>
    </row>
    <row r="4033">
      <c r="A4033" s="3" t="n">
        <v>44379</v>
      </c>
      <c r="B4033">
        <f>Prices!B4033</f>
        <v/>
      </c>
      <c r="C4033">
        <f>Prices!C4033</f>
        <v/>
      </c>
      <c r="D4033">
        <f>Prices!D4033</f>
        <v/>
      </c>
      <c r="E4033">
        <f>Prices!E4033</f>
        <v/>
      </c>
      <c r="F4033">
        <f>Prices!F4033</f>
        <v/>
      </c>
      <c r="G4033">
        <f>IF(AND(4031&gt;=16,TEXT(A4033,"yyyy-mm")&lt;&gt;TEXT(A4034,"yyyy-mm")),1,0)</f>
        <v/>
      </c>
      <c r="H4033">
        <f>IF(OR(H4032=1,G4033=1),1,0)</f>
        <v/>
      </c>
      <c r="I4033">
        <f>IF(H4032=0,1,SUMPRODUCT(J4032:N4032,B4033:F4033)+O4032*(1+0.00023125256064071564))</f>
        <v/>
      </c>
      <c r="J4033">
        <f>IF(G4033=1,0.2*R4033/B4033,J4032)</f>
        <v/>
      </c>
      <c r="K4033">
        <f>IF(G4033=1,0.2*R4033/C4033,K4032)</f>
        <v/>
      </c>
      <c r="L4033">
        <f>IF(G4033=1,0.2*R4033/D4033,L4032)</f>
        <v/>
      </c>
      <c r="M4033">
        <f>IF(G4033=1,0.2*R4033/E4033,M4032)</f>
        <v/>
      </c>
      <c r="N4033">
        <f>IF(G4033=1,0.2*R4033/F4033,N4032)</f>
        <v/>
      </c>
      <c r="O4033">
        <f>IF(G4033=1,R4033*(1-1.0),IF(H4032=0,1,O4032*(1+0.00023125256064071564)))</f>
        <v/>
      </c>
      <c r="P4033">
        <f>IF(G4033=1,IF(H4032=0,1,ABS(0.2-J4032*B4033/I4033)+ABS(0.2-K4032*C4033/I4033)+ABS(0.2-L4032*D4033/I4033)+ABS(0.2-M4032*E4033/I4033)+ABS(0.2-N4032*F4033/I4033)),0)</f>
        <v/>
      </c>
      <c r="Q4033">
        <f>P4033*0.0015</f>
        <v/>
      </c>
      <c r="R4033">
        <f>I4033*(1-Q4033)</f>
        <v/>
      </c>
      <c r="S4033">
        <f>R4033/R4032-1</f>
        <v/>
      </c>
      <c r="T4033">
        <f>MAX(T4032,R4033)</f>
        <v/>
      </c>
      <c r="U4033">
        <f>R4033/T4033-1</f>
        <v/>
      </c>
      <c r="V4033" t="n">
        <v>14.28129839706117</v>
      </c>
      <c r="W4033" s="5">
        <f>R4033-V4033</f>
        <v/>
      </c>
    </row>
    <row r="4034">
      <c r="A4034" s="3" t="n">
        <v>44382</v>
      </c>
      <c r="B4034">
        <f>Prices!B4034</f>
        <v/>
      </c>
      <c r="C4034">
        <f>Prices!C4034</f>
        <v/>
      </c>
      <c r="D4034">
        <f>Prices!D4034</f>
        <v/>
      </c>
      <c r="E4034">
        <f>Prices!E4034</f>
        <v/>
      </c>
      <c r="F4034">
        <f>Prices!F4034</f>
        <v/>
      </c>
      <c r="G4034">
        <f>IF(AND(4032&gt;=16,TEXT(A4034,"yyyy-mm")&lt;&gt;TEXT(A4035,"yyyy-mm")),1,0)</f>
        <v/>
      </c>
      <c r="H4034">
        <f>IF(OR(H4033=1,G4034=1),1,0)</f>
        <v/>
      </c>
      <c r="I4034">
        <f>IF(H4033=0,1,SUMPRODUCT(J4033:N4033,B4034:F4034)+O4033*(1+0.00023125256064071564))</f>
        <v/>
      </c>
      <c r="J4034">
        <f>IF(G4034=1,0.2*R4034/B4034,J4033)</f>
        <v/>
      </c>
      <c r="K4034">
        <f>IF(G4034=1,0.2*R4034/C4034,K4033)</f>
        <v/>
      </c>
      <c r="L4034">
        <f>IF(G4034=1,0.2*R4034/D4034,L4033)</f>
        <v/>
      </c>
      <c r="M4034">
        <f>IF(G4034=1,0.2*R4034/E4034,M4033)</f>
        <v/>
      </c>
      <c r="N4034">
        <f>IF(G4034=1,0.2*R4034/F4034,N4033)</f>
        <v/>
      </c>
      <c r="O4034">
        <f>IF(G4034=1,R4034*(1-1.0),IF(H4033=0,1,O4033*(1+0.00023125256064071564)))</f>
        <v/>
      </c>
      <c r="P4034">
        <f>IF(G4034=1,IF(H4033=0,1,ABS(0.2-J4033*B4034/I4034)+ABS(0.2-K4033*C4034/I4034)+ABS(0.2-L4033*D4034/I4034)+ABS(0.2-M4033*E4034/I4034)+ABS(0.2-N4033*F4034/I4034)),0)</f>
        <v/>
      </c>
      <c r="Q4034">
        <f>P4034*0.0015</f>
        <v/>
      </c>
      <c r="R4034">
        <f>I4034*(1-Q4034)</f>
        <v/>
      </c>
      <c r="S4034">
        <f>R4034/R4033-1</f>
        <v/>
      </c>
      <c r="T4034">
        <f>MAX(T4033,R4034)</f>
        <v/>
      </c>
      <c r="U4034">
        <f>R4034/T4034-1</f>
        <v/>
      </c>
      <c r="V4034" t="n">
        <v>14.33588875948865</v>
      </c>
      <c r="W4034" s="5">
        <f>R4034-V4034</f>
        <v/>
      </c>
    </row>
    <row r="4035">
      <c r="A4035" s="3" t="n">
        <v>44383</v>
      </c>
      <c r="B4035">
        <f>Prices!B4035</f>
        <v/>
      </c>
      <c r="C4035">
        <f>Prices!C4035</f>
        <v/>
      </c>
      <c r="D4035">
        <f>Prices!D4035</f>
        <v/>
      </c>
      <c r="E4035">
        <f>Prices!E4035</f>
        <v/>
      </c>
      <c r="F4035">
        <f>Prices!F4035</f>
        <v/>
      </c>
      <c r="G4035">
        <f>IF(AND(4033&gt;=16,TEXT(A4035,"yyyy-mm")&lt;&gt;TEXT(A4036,"yyyy-mm")),1,0)</f>
        <v/>
      </c>
      <c r="H4035">
        <f>IF(OR(H4034=1,G4035=1),1,0)</f>
        <v/>
      </c>
      <c r="I4035">
        <f>IF(H4034=0,1,SUMPRODUCT(J4034:N4034,B4035:F4035)+O4034*(1+0.00023125256064071564))</f>
        <v/>
      </c>
      <c r="J4035">
        <f>IF(G4035=1,0.2*R4035/B4035,J4034)</f>
        <v/>
      </c>
      <c r="K4035">
        <f>IF(G4035=1,0.2*R4035/C4035,K4034)</f>
        <v/>
      </c>
      <c r="L4035">
        <f>IF(G4035=1,0.2*R4035/D4035,L4034)</f>
        <v/>
      </c>
      <c r="M4035">
        <f>IF(G4035=1,0.2*R4035/E4035,M4034)</f>
        <v/>
      </c>
      <c r="N4035">
        <f>IF(G4035=1,0.2*R4035/F4035,N4034)</f>
        <v/>
      </c>
      <c r="O4035">
        <f>IF(G4035=1,R4035*(1-1.0),IF(H4034=0,1,O4034*(1+0.00023125256064071564)))</f>
        <v/>
      </c>
      <c r="P4035">
        <f>IF(G4035=1,IF(H4034=0,1,ABS(0.2-J4034*B4035/I4035)+ABS(0.2-K4034*C4035/I4035)+ABS(0.2-L4034*D4035/I4035)+ABS(0.2-M4034*E4035/I4035)+ABS(0.2-N4034*F4035/I4035)),0)</f>
        <v/>
      </c>
      <c r="Q4035">
        <f>P4035*0.0015</f>
        <v/>
      </c>
      <c r="R4035">
        <f>I4035*(1-Q4035)</f>
        <v/>
      </c>
      <c r="S4035">
        <f>R4035/R4034-1</f>
        <v/>
      </c>
      <c r="T4035">
        <f>MAX(T4034,R4035)</f>
        <v/>
      </c>
      <c r="U4035">
        <f>R4035/T4035-1</f>
        <v/>
      </c>
      <c r="V4035" t="n">
        <v>14.26416195599336</v>
      </c>
      <c r="W4035" s="5">
        <f>R4035-V4035</f>
        <v/>
      </c>
    </row>
    <row r="4036">
      <c r="A4036" s="3" t="n">
        <v>44384</v>
      </c>
      <c r="B4036">
        <f>Prices!B4036</f>
        <v/>
      </c>
      <c r="C4036">
        <f>Prices!C4036</f>
        <v/>
      </c>
      <c r="D4036">
        <f>Prices!D4036</f>
        <v/>
      </c>
      <c r="E4036">
        <f>Prices!E4036</f>
        <v/>
      </c>
      <c r="F4036">
        <f>Prices!F4036</f>
        <v/>
      </c>
      <c r="G4036">
        <f>IF(AND(4034&gt;=16,TEXT(A4036,"yyyy-mm")&lt;&gt;TEXT(A4037,"yyyy-mm")),1,0)</f>
        <v/>
      </c>
      <c r="H4036">
        <f>IF(OR(H4035=1,G4036=1),1,0)</f>
        <v/>
      </c>
      <c r="I4036">
        <f>IF(H4035=0,1,SUMPRODUCT(J4035:N4035,B4036:F4036)+O4035*(1+0.00023125256064071564))</f>
        <v/>
      </c>
      <c r="J4036">
        <f>IF(G4036=1,0.2*R4036/B4036,J4035)</f>
        <v/>
      </c>
      <c r="K4036">
        <f>IF(G4036=1,0.2*R4036/C4036,K4035)</f>
        <v/>
      </c>
      <c r="L4036">
        <f>IF(G4036=1,0.2*R4036/D4036,L4035)</f>
        <v/>
      </c>
      <c r="M4036">
        <f>IF(G4036=1,0.2*R4036/E4036,M4035)</f>
        <v/>
      </c>
      <c r="N4036">
        <f>IF(G4036=1,0.2*R4036/F4036,N4035)</f>
        <v/>
      </c>
      <c r="O4036">
        <f>IF(G4036=1,R4036*(1-1.0),IF(H4035=0,1,O4035*(1+0.00023125256064071564)))</f>
        <v/>
      </c>
      <c r="P4036">
        <f>IF(G4036=1,IF(H4035=0,1,ABS(0.2-J4035*B4036/I4036)+ABS(0.2-K4035*C4036/I4036)+ABS(0.2-L4035*D4036/I4036)+ABS(0.2-M4035*E4036/I4036)+ABS(0.2-N4035*F4036/I4036)),0)</f>
        <v/>
      </c>
      <c r="Q4036">
        <f>P4036*0.0015</f>
        <v/>
      </c>
      <c r="R4036">
        <f>I4036*(1-Q4036)</f>
        <v/>
      </c>
      <c r="S4036">
        <f>R4036/R4035-1</f>
        <v/>
      </c>
      <c r="T4036">
        <f>MAX(T4035,R4036)</f>
        <v/>
      </c>
      <c r="U4036">
        <f>R4036/T4036-1</f>
        <v/>
      </c>
      <c r="V4036" t="n">
        <v>14.33005108774138</v>
      </c>
      <c r="W4036" s="5">
        <f>R4036-V4036</f>
        <v/>
      </c>
    </row>
    <row r="4037">
      <c r="A4037" s="3" t="n">
        <v>44385</v>
      </c>
      <c r="B4037">
        <f>Prices!B4037</f>
        <v/>
      </c>
      <c r="C4037">
        <f>Prices!C4037</f>
        <v/>
      </c>
      <c r="D4037">
        <f>Prices!D4037</f>
        <v/>
      </c>
      <c r="E4037">
        <f>Prices!E4037</f>
        <v/>
      </c>
      <c r="F4037">
        <f>Prices!F4037</f>
        <v/>
      </c>
      <c r="G4037">
        <f>IF(AND(4035&gt;=16,TEXT(A4037,"yyyy-mm")&lt;&gt;TEXT(A4038,"yyyy-mm")),1,0)</f>
        <v/>
      </c>
      <c r="H4037">
        <f>IF(OR(H4036=1,G4037=1),1,0)</f>
        <v/>
      </c>
      <c r="I4037">
        <f>IF(H4036=0,1,SUMPRODUCT(J4036:N4036,B4037:F4037)+O4036*(1+0.00023125256064071564))</f>
        <v/>
      </c>
      <c r="J4037">
        <f>IF(G4037=1,0.2*R4037/B4037,J4036)</f>
        <v/>
      </c>
      <c r="K4037">
        <f>IF(G4037=1,0.2*R4037/C4037,K4036)</f>
        <v/>
      </c>
      <c r="L4037">
        <f>IF(G4037=1,0.2*R4037/D4037,L4036)</f>
        <v/>
      </c>
      <c r="M4037">
        <f>IF(G4037=1,0.2*R4037/E4037,M4036)</f>
        <v/>
      </c>
      <c r="N4037">
        <f>IF(G4037=1,0.2*R4037/F4037,N4036)</f>
        <v/>
      </c>
      <c r="O4037">
        <f>IF(G4037=1,R4037*(1-1.0),IF(H4036=0,1,O4036*(1+0.00023125256064071564)))</f>
        <v/>
      </c>
      <c r="P4037">
        <f>IF(G4037=1,IF(H4036=0,1,ABS(0.2-J4036*B4037/I4037)+ABS(0.2-K4036*C4037/I4037)+ABS(0.2-L4036*D4037/I4037)+ABS(0.2-M4036*E4037/I4037)+ABS(0.2-N4036*F4037/I4037)),0)</f>
        <v/>
      </c>
      <c r="Q4037">
        <f>P4037*0.0015</f>
        <v/>
      </c>
      <c r="R4037">
        <f>I4037*(1-Q4037)</f>
        <v/>
      </c>
      <c r="S4037">
        <f>R4037/R4036-1</f>
        <v/>
      </c>
      <c r="T4037">
        <f>MAX(T4036,R4037)</f>
        <v/>
      </c>
      <c r="U4037">
        <f>R4037/T4037-1</f>
        <v/>
      </c>
      <c r="V4037" t="n">
        <v>14.26431203525116</v>
      </c>
      <c r="W4037" s="5">
        <f>R4037-V4037</f>
        <v/>
      </c>
    </row>
    <row r="4038">
      <c r="A4038" s="3" t="n">
        <v>44386</v>
      </c>
      <c r="B4038">
        <f>Prices!B4038</f>
        <v/>
      </c>
      <c r="C4038">
        <f>Prices!C4038</f>
        <v/>
      </c>
      <c r="D4038">
        <f>Prices!D4038</f>
        <v/>
      </c>
      <c r="E4038">
        <f>Prices!E4038</f>
        <v/>
      </c>
      <c r="F4038">
        <f>Prices!F4038</f>
        <v/>
      </c>
      <c r="G4038">
        <f>IF(AND(4036&gt;=16,TEXT(A4038,"yyyy-mm")&lt;&gt;TEXT(A4039,"yyyy-mm")),1,0)</f>
        <v/>
      </c>
      <c r="H4038">
        <f>IF(OR(H4037=1,G4038=1),1,0)</f>
        <v/>
      </c>
      <c r="I4038">
        <f>IF(H4037=0,1,SUMPRODUCT(J4037:N4037,B4038:F4038)+O4037*(1+0.00023125256064071564))</f>
        <v/>
      </c>
      <c r="J4038">
        <f>IF(G4038=1,0.2*R4038/B4038,J4037)</f>
        <v/>
      </c>
      <c r="K4038">
        <f>IF(G4038=1,0.2*R4038/C4038,K4037)</f>
        <v/>
      </c>
      <c r="L4038">
        <f>IF(G4038=1,0.2*R4038/D4038,L4037)</f>
        <v/>
      </c>
      <c r="M4038">
        <f>IF(G4038=1,0.2*R4038/E4038,M4037)</f>
        <v/>
      </c>
      <c r="N4038">
        <f>IF(G4038=1,0.2*R4038/F4038,N4037)</f>
        <v/>
      </c>
      <c r="O4038">
        <f>IF(G4038=1,R4038*(1-1.0),IF(H4037=0,1,O4037*(1+0.00023125256064071564)))</f>
        <v/>
      </c>
      <c r="P4038">
        <f>IF(G4038=1,IF(H4037=0,1,ABS(0.2-J4037*B4038/I4038)+ABS(0.2-K4037*C4038/I4038)+ABS(0.2-L4037*D4038/I4038)+ABS(0.2-M4037*E4038/I4038)+ABS(0.2-N4037*F4038/I4038)),0)</f>
        <v/>
      </c>
      <c r="Q4038">
        <f>P4038*0.0015</f>
        <v/>
      </c>
      <c r="R4038">
        <f>I4038*(1-Q4038)</f>
        <v/>
      </c>
      <c r="S4038">
        <f>R4038/R4037-1</f>
        <v/>
      </c>
      <c r="T4038">
        <f>MAX(T4037,R4038)</f>
        <v/>
      </c>
      <c r="U4038">
        <f>R4038/T4038-1</f>
        <v/>
      </c>
      <c r="V4038" t="n">
        <v>14.32664910075524</v>
      </c>
      <c r="W4038" s="5">
        <f>R4038-V4038</f>
        <v/>
      </c>
    </row>
    <row r="4039">
      <c r="A4039" s="3" t="n">
        <v>44389</v>
      </c>
      <c r="B4039">
        <f>Prices!B4039</f>
        <v/>
      </c>
      <c r="C4039">
        <f>Prices!C4039</f>
        <v/>
      </c>
      <c r="D4039">
        <f>Prices!D4039</f>
        <v/>
      </c>
      <c r="E4039">
        <f>Prices!E4039</f>
        <v/>
      </c>
      <c r="F4039">
        <f>Prices!F4039</f>
        <v/>
      </c>
      <c r="G4039">
        <f>IF(AND(4037&gt;=16,TEXT(A4039,"yyyy-mm")&lt;&gt;TEXT(A4040,"yyyy-mm")),1,0)</f>
        <v/>
      </c>
      <c r="H4039">
        <f>IF(OR(H4038=1,G4039=1),1,0)</f>
        <v/>
      </c>
      <c r="I4039">
        <f>IF(H4038=0,1,SUMPRODUCT(J4038:N4038,B4039:F4039)+O4038*(1+0.00023125256064071564))</f>
        <v/>
      </c>
      <c r="J4039">
        <f>IF(G4039=1,0.2*R4039/B4039,J4038)</f>
        <v/>
      </c>
      <c r="K4039">
        <f>IF(G4039=1,0.2*R4039/C4039,K4038)</f>
        <v/>
      </c>
      <c r="L4039">
        <f>IF(G4039=1,0.2*R4039/D4039,L4038)</f>
        <v/>
      </c>
      <c r="M4039">
        <f>IF(G4039=1,0.2*R4039/E4039,M4038)</f>
        <v/>
      </c>
      <c r="N4039">
        <f>IF(G4039=1,0.2*R4039/F4039,N4038)</f>
        <v/>
      </c>
      <c r="O4039">
        <f>IF(G4039=1,R4039*(1-1.0),IF(H4038=0,1,O4038*(1+0.00023125256064071564)))</f>
        <v/>
      </c>
      <c r="P4039">
        <f>IF(G4039=1,IF(H4038=0,1,ABS(0.2-J4038*B4039/I4039)+ABS(0.2-K4038*C4039/I4039)+ABS(0.2-L4038*D4039/I4039)+ABS(0.2-M4038*E4039/I4039)+ABS(0.2-N4038*F4039/I4039)),0)</f>
        <v/>
      </c>
      <c r="Q4039">
        <f>P4039*0.0015</f>
        <v/>
      </c>
      <c r="R4039">
        <f>I4039*(1-Q4039)</f>
        <v/>
      </c>
      <c r="S4039">
        <f>R4039/R4038-1</f>
        <v/>
      </c>
      <c r="T4039">
        <f>MAX(T4038,R4039)</f>
        <v/>
      </c>
      <c r="U4039">
        <f>R4039/T4039-1</f>
        <v/>
      </c>
      <c r="V4039" t="n">
        <v>14.37160319209808</v>
      </c>
      <c r="W4039" s="5">
        <f>R4039-V4039</f>
        <v/>
      </c>
    </row>
    <row r="4040">
      <c r="A4040" s="3" t="n">
        <v>44390</v>
      </c>
      <c r="B4040">
        <f>Prices!B4040</f>
        <v/>
      </c>
      <c r="C4040">
        <f>Prices!C4040</f>
        <v/>
      </c>
      <c r="D4040">
        <f>Prices!D4040</f>
        <v/>
      </c>
      <c r="E4040">
        <f>Prices!E4040</f>
        <v/>
      </c>
      <c r="F4040">
        <f>Prices!F4040</f>
        <v/>
      </c>
      <c r="G4040">
        <f>IF(AND(4038&gt;=16,TEXT(A4040,"yyyy-mm")&lt;&gt;TEXT(A4041,"yyyy-mm")),1,0)</f>
        <v/>
      </c>
      <c r="H4040">
        <f>IF(OR(H4039=1,G4040=1),1,0)</f>
        <v/>
      </c>
      <c r="I4040">
        <f>IF(H4039=0,1,SUMPRODUCT(J4039:N4039,B4040:F4040)+O4039*(1+0.00023125256064071564))</f>
        <v/>
      </c>
      <c r="J4040">
        <f>IF(G4040=1,0.2*R4040/B4040,J4039)</f>
        <v/>
      </c>
      <c r="K4040">
        <f>IF(G4040=1,0.2*R4040/C4040,K4039)</f>
        <v/>
      </c>
      <c r="L4040">
        <f>IF(G4040=1,0.2*R4040/D4040,L4039)</f>
        <v/>
      </c>
      <c r="M4040">
        <f>IF(G4040=1,0.2*R4040/E4040,M4039)</f>
        <v/>
      </c>
      <c r="N4040">
        <f>IF(G4040=1,0.2*R4040/F4040,N4039)</f>
        <v/>
      </c>
      <c r="O4040">
        <f>IF(G4040=1,R4040*(1-1.0),IF(H4039=0,1,O4039*(1+0.00023125256064071564)))</f>
        <v/>
      </c>
      <c r="P4040">
        <f>IF(G4040=1,IF(H4039=0,1,ABS(0.2-J4039*B4040/I4040)+ABS(0.2-K4039*C4040/I4040)+ABS(0.2-L4039*D4040/I4040)+ABS(0.2-M4039*E4040/I4040)+ABS(0.2-N4039*F4040/I4040)),0)</f>
        <v/>
      </c>
      <c r="Q4040">
        <f>P4040*0.0015</f>
        <v/>
      </c>
      <c r="R4040">
        <f>I4040*(1-Q4040)</f>
        <v/>
      </c>
      <c r="S4040">
        <f>R4040/R4039-1</f>
        <v/>
      </c>
      <c r="T4040">
        <f>MAX(T4039,R4040)</f>
        <v/>
      </c>
      <c r="U4040">
        <f>R4040/T4040-1</f>
        <v/>
      </c>
      <c r="V4040" t="n">
        <v>14.442586375146</v>
      </c>
      <c r="W4040" s="5">
        <f>R4040-V4040</f>
        <v/>
      </c>
    </row>
    <row r="4041">
      <c r="A4041" s="3" t="n">
        <v>44391</v>
      </c>
      <c r="B4041">
        <f>Prices!B4041</f>
        <v/>
      </c>
      <c r="C4041">
        <f>Prices!C4041</f>
        <v/>
      </c>
      <c r="D4041">
        <f>Prices!D4041</f>
        <v/>
      </c>
      <c r="E4041">
        <f>Prices!E4041</f>
        <v/>
      </c>
      <c r="F4041">
        <f>Prices!F4041</f>
        <v/>
      </c>
      <c r="G4041">
        <f>IF(AND(4039&gt;=16,TEXT(A4041,"yyyy-mm")&lt;&gt;TEXT(A4042,"yyyy-mm")),1,0)</f>
        <v/>
      </c>
      <c r="H4041">
        <f>IF(OR(H4040=1,G4041=1),1,0)</f>
        <v/>
      </c>
      <c r="I4041">
        <f>IF(H4040=0,1,SUMPRODUCT(J4040:N4040,B4041:F4041)+O4040*(1+0.00023125256064071564))</f>
        <v/>
      </c>
      <c r="J4041">
        <f>IF(G4041=1,0.2*R4041/B4041,J4040)</f>
        <v/>
      </c>
      <c r="K4041">
        <f>IF(G4041=1,0.2*R4041/C4041,K4040)</f>
        <v/>
      </c>
      <c r="L4041">
        <f>IF(G4041=1,0.2*R4041/D4041,L4040)</f>
        <v/>
      </c>
      <c r="M4041">
        <f>IF(G4041=1,0.2*R4041/E4041,M4040)</f>
        <v/>
      </c>
      <c r="N4041">
        <f>IF(G4041=1,0.2*R4041/F4041,N4040)</f>
        <v/>
      </c>
      <c r="O4041">
        <f>IF(G4041=1,R4041*(1-1.0),IF(H4040=0,1,O4040*(1+0.00023125256064071564)))</f>
        <v/>
      </c>
      <c r="P4041">
        <f>IF(G4041=1,IF(H4040=0,1,ABS(0.2-J4040*B4041/I4041)+ABS(0.2-K4040*C4041/I4041)+ABS(0.2-L4040*D4041/I4041)+ABS(0.2-M4040*E4041/I4041)+ABS(0.2-N4040*F4041/I4041)),0)</f>
        <v/>
      </c>
      <c r="Q4041">
        <f>P4041*0.0015</f>
        <v/>
      </c>
      <c r="R4041">
        <f>I4041*(1-Q4041)</f>
        <v/>
      </c>
      <c r="S4041">
        <f>R4041/R4040-1</f>
        <v/>
      </c>
      <c r="T4041">
        <f>MAX(T4040,R4041)</f>
        <v/>
      </c>
      <c r="U4041">
        <f>R4041/T4041-1</f>
        <v/>
      </c>
      <c r="V4041" t="n">
        <v>14.47830686437976</v>
      </c>
      <c r="W4041" s="5">
        <f>R4041-V4041</f>
        <v/>
      </c>
    </row>
    <row r="4042">
      <c r="A4042" s="3" t="n">
        <v>44392</v>
      </c>
      <c r="B4042">
        <f>Prices!B4042</f>
        <v/>
      </c>
      <c r="C4042">
        <f>Prices!C4042</f>
        <v/>
      </c>
      <c r="D4042">
        <f>Prices!D4042</f>
        <v/>
      </c>
      <c r="E4042">
        <f>Prices!E4042</f>
        <v/>
      </c>
      <c r="F4042">
        <f>Prices!F4042</f>
        <v/>
      </c>
      <c r="G4042">
        <f>IF(AND(4040&gt;=16,TEXT(A4042,"yyyy-mm")&lt;&gt;TEXT(A4043,"yyyy-mm")),1,0)</f>
        <v/>
      </c>
      <c r="H4042">
        <f>IF(OR(H4041=1,G4042=1),1,0)</f>
        <v/>
      </c>
      <c r="I4042">
        <f>IF(H4041=0,1,SUMPRODUCT(J4041:N4041,B4042:F4042)+O4041*(1+0.00023125256064071564))</f>
        <v/>
      </c>
      <c r="J4042">
        <f>IF(G4042=1,0.2*R4042/B4042,J4041)</f>
        <v/>
      </c>
      <c r="K4042">
        <f>IF(G4042=1,0.2*R4042/C4042,K4041)</f>
        <v/>
      </c>
      <c r="L4042">
        <f>IF(G4042=1,0.2*R4042/D4042,L4041)</f>
        <v/>
      </c>
      <c r="M4042">
        <f>IF(G4042=1,0.2*R4042/E4042,M4041)</f>
        <v/>
      </c>
      <c r="N4042">
        <f>IF(G4042=1,0.2*R4042/F4042,N4041)</f>
        <v/>
      </c>
      <c r="O4042">
        <f>IF(G4042=1,R4042*(1-1.0),IF(H4041=0,1,O4041*(1+0.00023125256064071564)))</f>
        <v/>
      </c>
      <c r="P4042">
        <f>IF(G4042=1,IF(H4041=0,1,ABS(0.2-J4041*B4042/I4042)+ABS(0.2-K4041*C4042/I4042)+ABS(0.2-L4041*D4042/I4042)+ABS(0.2-M4041*E4042/I4042)+ABS(0.2-N4041*F4042/I4042)),0)</f>
        <v/>
      </c>
      <c r="Q4042">
        <f>P4042*0.0015</f>
        <v/>
      </c>
      <c r="R4042">
        <f>I4042*(1-Q4042)</f>
        <v/>
      </c>
      <c r="S4042">
        <f>R4042/R4041-1</f>
        <v/>
      </c>
      <c r="T4042">
        <f>MAX(T4041,R4042)</f>
        <v/>
      </c>
      <c r="U4042">
        <f>R4042/T4042-1</f>
        <v/>
      </c>
      <c r="V4042" t="n">
        <v>14.6076764205054</v>
      </c>
      <c r="W4042" s="5">
        <f>R4042-V4042</f>
        <v/>
      </c>
    </row>
    <row r="4043">
      <c r="A4043" s="3" t="n">
        <v>44393</v>
      </c>
      <c r="B4043">
        <f>Prices!B4043</f>
        <v/>
      </c>
      <c r="C4043">
        <f>Prices!C4043</f>
        <v/>
      </c>
      <c r="D4043">
        <f>Prices!D4043</f>
        <v/>
      </c>
      <c r="E4043">
        <f>Prices!E4043</f>
        <v/>
      </c>
      <c r="F4043">
        <f>Prices!F4043</f>
        <v/>
      </c>
      <c r="G4043">
        <f>IF(AND(4041&gt;=16,TEXT(A4043,"yyyy-mm")&lt;&gt;TEXT(A4044,"yyyy-mm")),1,0)</f>
        <v/>
      </c>
      <c r="H4043">
        <f>IF(OR(H4042=1,G4043=1),1,0)</f>
        <v/>
      </c>
      <c r="I4043">
        <f>IF(H4042=0,1,SUMPRODUCT(J4042:N4042,B4043:F4043)+O4042*(1+0.00023125256064071564))</f>
        <v/>
      </c>
      <c r="J4043">
        <f>IF(G4043=1,0.2*R4043/B4043,J4042)</f>
        <v/>
      </c>
      <c r="K4043">
        <f>IF(G4043=1,0.2*R4043/C4043,K4042)</f>
        <v/>
      </c>
      <c r="L4043">
        <f>IF(G4043=1,0.2*R4043/D4043,L4042)</f>
        <v/>
      </c>
      <c r="M4043">
        <f>IF(G4043=1,0.2*R4043/E4043,M4042)</f>
        <v/>
      </c>
      <c r="N4043">
        <f>IF(G4043=1,0.2*R4043/F4043,N4042)</f>
        <v/>
      </c>
      <c r="O4043">
        <f>IF(G4043=1,R4043*(1-1.0),IF(H4042=0,1,O4042*(1+0.00023125256064071564)))</f>
        <v/>
      </c>
      <c r="P4043">
        <f>IF(G4043=1,IF(H4042=0,1,ABS(0.2-J4042*B4043/I4043)+ABS(0.2-K4042*C4043/I4043)+ABS(0.2-L4042*D4043/I4043)+ABS(0.2-M4042*E4043/I4043)+ABS(0.2-N4042*F4043/I4043)),0)</f>
        <v/>
      </c>
      <c r="Q4043">
        <f>P4043*0.0015</f>
        <v/>
      </c>
      <c r="R4043">
        <f>I4043*(1-Q4043)</f>
        <v/>
      </c>
      <c r="S4043">
        <f>R4043/R4042-1</f>
        <v/>
      </c>
      <c r="T4043">
        <f>MAX(T4042,R4043)</f>
        <v/>
      </c>
      <c r="U4043">
        <f>R4043/T4043-1</f>
        <v/>
      </c>
      <c r="V4043" t="n">
        <v>14.67086332619968</v>
      </c>
      <c r="W4043" s="5">
        <f>R4043-V4043</f>
        <v/>
      </c>
    </row>
    <row r="4044">
      <c r="A4044" s="3" t="n">
        <v>44396</v>
      </c>
      <c r="B4044">
        <f>Prices!B4044</f>
        <v/>
      </c>
      <c r="C4044">
        <f>Prices!C4044</f>
        <v/>
      </c>
      <c r="D4044">
        <f>Prices!D4044</f>
        <v/>
      </c>
      <c r="E4044">
        <f>Prices!E4044</f>
        <v/>
      </c>
      <c r="F4044">
        <f>Prices!F4044</f>
        <v/>
      </c>
      <c r="G4044">
        <f>IF(AND(4042&gt;=16,TEXT(A4044,"yyyy-mm")&lt;&gt;TEXT(A4045,"yyyy-mm")),1,0)</f>
        <v/>
      </c>
      <c r="H4044">
        <f>IF(OR(H4043=1,G4044=1),1,0)</f>
        <v/>
      </c>
      <c r="I4044">
        <f>IF(H4043=0,1,SUMPRODUCT(J4043:N4043,B4044:F4044)+O4043*(1+0.00023125256064071564))</f>
        <v/>
      </c>
      <c r="J4044">
        <f>IF(G4044=1,0.2*R4044/B4044,J4043)</f>
        <v/>
      </c>
      <c r="K4044">
        <f>IF(G4044=1,0.2*R4044/C4044,K4043)</f>
        <v/>
      </c>
      <c r="L4044">
        <f>IF(G4044=1,0.2*R4044/D4044,L4043)</f>
        <v/>
      </c>
      <c r="M4044">
        <f>IF(G4044=1,0.2*R4044/E4044,M4043)</f>
        <v/>
      </c>
      <c r="N4044">
        <f>IF(G4044=1,0.2*R4044/F4044,N4043)</f>
        <v/>
      </c>
      <c r="O4044">
        <f>IF(G4044=1,R4044*(1-1.0),IF(H4043=0,1,O4043*(1+0.00023125256064071564)))</f>
        <v/>
      </c>
      <c r="P4044">
        <f>IF(G4044=1,IF(H4043=0,1,ABS(0.2-J4043*B4044/I4044)+ABS(0.2-K4043*C4044/I4044)+ABS(0.2-L4043*D4044/I4044)+ABS(0.2-M4043*E4044/I4044)+ABS(0.2-N4043*F4044/I4044)),0)</f>
        <v/>
      </c>
      <c r="Q4044">
        <f>P4044*0.0015</f>
        <v/>
      </c>
      <c r="R4044">
        <f>I4044*(1-Q4044)</f>
        <v/>
      </c>
      <c r="S4044">
        <f>R4044/R4043-1</f>
        <v/>
      </c>
      <c r="T4044">
        <f>MAX(T4043,R4044)</f>
        <v/>
      </c>
      <c r="U4044">
        <f>R4044/T4044-1</f>
        <v/>
      </c>
      <c r="V4044" t="n">
        <v>14.59106490949084</v>
      </c>
      <c r="W4044" s="5">
        <f>R4044-V4044</f>
        <v/>
      </c>
    </row>
    <row r="4045">
      <c r="A4045" s="3" t="n">
        <v>44397</v>
      </c>
      <c r="B4045">
        <f>Prices!B4045</f>
        <v/>
      </c>
      <c r="C4045">
        <f>Prices!C4045</f>
        <v/>
      </c>
      <c r="D4045">
        <f>Prices!D4045</f>
        <v/>
      </c>
      <c r="E4045">
        <f>Prices!E4045</f>
        <v/>
      </c>
      <c r="F4045">
        <f>Prices!F4045</f>
        <v/>
      </c>
      <c r="G4045">
        <f>IF(AND(4043&gt;=16,TEXT(A4045,"yyyy-mm")&lt;&gt;TEXT(A4046,"yyyy-mm")),1,0)</f>
        <v/>
      </c>
      <c r="H4045">
        <f>IF(OR(H4044=1,G4045=1),1,0)</f>
        <v/>
      </c>
      <c r="I4045">
        <f>IF(H4044=0,1,SUMPRODUCT(J4044:N4044,B4045:F4045)+O4044*(1+0.00023125256064071564))</f>
        <v/>
      </c>
      <c r="J4045">
        <f>IF(G4045=1,0.2*R4045/B4045,J4044)</f>
        <v/>
      </c>
      <c r="K4045">
        <f>IF(G4045=1,0.2*R4045/C4045,K4044)</f>
        <v/>
      </c>
      <c r="L4045">
        <f>IF(G4045=1,0.2*R4045/D4045,L4044)</f>
        <v/>
      </c>
      <c r="M4045">
        <f>IF(G4045=1,0.2*R4045/E4045,M4044)</f>
        <v/>
      </c>
      <c r="N4045">
        <f>IF(G4045=1,0.2*R4045/F4045,N4044)</f>
        <v/>
      </c>
      <c r="O4045">
        <f>IF(G4045=1,R4045*(1-1.0),IF(H4044=0,1,O4044*(1+0.00023125256064071564)))</f>
        <v/>
      </c>
      <c r="P4045">
        <f>IF(G4045=1,IF(H4044=0,1,ABS(0.2-J4044*B4045/I4045)+ABS(0.2-K4044*C4045/I4045)+ABS(0.2-L4044*D4045/I4045)+ABS(0.2-M4044*E4045/I4045)+ABS(0.2-N4044*F4045/I4045)),0)</f>
        <v/>
      </c>
      <c r="Q4045">
        <f>P4045*0.0015</f>
        <v/>
      </c>
      <c r="R4045">
        <f>I4045*(1-Q4045)</f>
        <v/>
      </c>
      <c r="S4045">
        <f>R4045/R4044-1</f>
        <v/>
      </c>
      <c r="T4045">
        <f>MAX(T4044,R4045)</f>
        <v/>
      </c>
      <c r="U4045">
        <f>R4045/T4045-1</f>
        <v/>
      </c>
      <c r="V4045" t="n">
        <v>14.45073822625848</v>
      </c>
      <c r="W4045" s="5">
        <f>R4045-V4045</f>
        <v/>
      </c>
    </row>
    <row r="4046">
      <c r="A4046" s="3" t="n">
        <v>44399</v>
      </c>
      <c r="B4046">
        <f>Prices!B4046</f>
        <v/>
      </c>
      <c r="C4046">
        <f>Prices!C4046</f>
        <v/>
      </c>
      <c r="D4046">
        <f>Prices!D4046</f>
        <v/>
      </c>
      <c r="E4046">
        <f>Prices!E4046</f>
        <v/>
      </c>
      <c r="F4046">
        <f>Prices!F4046</f>
        <v/>
      </c>
      <c r="G4046">
        <f>IF(AND(4044&gt;=16,TEXT(A4046,"yyyy-mm")&lt;&gt;TEXT(A4047,"yyyy-mm")),1,0)</f>
        <v/>
      </c>
      <c r="H4046">
        <f>IF(OR(H4045=1,G4046=1),1,0)</f>
        <v/>
      </c>
      <c r="I4046">
        <f>IF(H4045=0,1,SUMPRODUCT(J4045:N4045,B4046:F4046)+O4045*(1+0.00023125256064071564))</f>
        <v/>
      </c>
      <c r="J4046">
        <f>IF(G4046=1,0.2*R4046/B4046,J4045)</f>
        <v/>
      </c>
      <c r="K4046">
        <f>IF(G4046=1,0.2*R4046/C4046,K4045)</f>
        <v/>
      </c>
      <c r="L4046">
        <f>IF(G4046=1,0.2*R4046/D4046,L4045)</f>
        <v/>
      </c>
      <c r="M4046">
        <f>IF(G4046=1,0.2*R4046/E4046,M4045)</f>
        <v/>
      </c>
      <c r="N4046">
        <f>IF(G4046=1,0.2*R4046/F4046,N4045)</f>
        <v/>
      </c>
      <c r="O4046">
        <f>IF(G4046=1,R4046*(1-1.0),IF(H4045=0,1,O4045*(1+0.00023125256064071564)))</f>
        <v/>
      </c>
      <c r="P4046">
        <f>IF(G4046=1,IF(H4045=0,1,ABS(0.2-J4045*B4046/I4046)+ABS(0.2-K4045*C4046/I4046)+ABS(0.2-L4045*D4046/I4046)+ABS(0.2-M4045*E4046/I4046)+ABS(0.2-N4045*F4046/I4046)),0)</f>
        <v/>
      </c>
      <c r="Q4046">
        <f>P4046*0.0015</f>
        <v/>
      </c>
      <c r="R4046">
        <f>I4046*(1-Q4046)</f>
        <v/>
      </c>
      <c r="S4046">
        <f>R4046/R4045-1</f>
        <v/>
      </c>
      <c r="T4046">
        <f>MAX(T4045,R4046)</f>
        <v/>
      </c>
      <c r="U4046">
        <f>R4046/T4046-1</f>
        <v/>
      </c>
      <c r="V4046" t="n">
        <v>14.6461098589201</v>
      </c>
      <c r="W4046" s="5">
        <f>R4046-V4046</f>
        <v/>
      </c>
    </row>
    <row r="4047">
      <c r="A4047" s="3" t="n">
        <v>44400</v>
      </c>
      <c r="B4047">
        <f>Prices!B4047</f>
        <v/>
      </c>
      <c r="C4047">
        <f>Prices!C4047</f>
        <v/>
      </c>
      <c r="D4047">
        <f>Prices!D4047</f>
        <v/>
      </c>
      <c r="E4047">
        <f>Prices!E4047</f>
        <v/>
      </c>
      <c r="F4047">
        <f>Prices!F4047</f>
        <v/>
      </c>
      <c r="G4047">
        <f>IF(AND(4045&gt;=16,TEXT(A4047,"yyyy-mm")&lt;&gt;TEXT(A4048,"yyyy-mm")),1,0)</f>
        <v/>
      </c>
      <c r="H4047">
        <f>IF(OR(H4046=1,G4047=1),1,0)</f>
        <v/>
      </c>
      <c r="I4047">
        <f>IF(H4046=0,1,SUMPRODUCT(J4046:N4046,B4047:F4047)+O4046*(1+0.00023125256064071564))</f>
        <v/>
      </c>
      <c r="J4047">
        <f>IF(G4047=1,0.2*R4047/B4047,J4046)</f>
        <v/>
      </c>
      <c r="K4047">
        <f>IF(G4047=1,0.2*R4047/C4047,K4046)</f>
        <v/>
      </c>
      <c r="L4047">
        <f>IF(G4047=1,0.2*R4047/D4047,L4046)</f>
        <v/>
      </c>
      <c r="M4047">
        <f>IF(G4047=1,0.2*R4047/E4047,M4046)</f>
        <v/>
      </c>
      <c r="N4047">
        <f>IF(G4047=1,0.2*R4047/F4047,N4046)</f>
        <v/>
      </c>
      <c r="O4047">
        <f>IF(G4047=1,R4047*(1-1.0),IF(H4046=0,1,O4046*(1+0.00023125256064071564)))</f>
        <v/>
      </c>
      <c r="P4047">
        <f>IF(G4047=1,IF(H4046=0,1,ABS(0.2-J4046*B4047/I4047)+ABS(0.2-K4046*C4047/I4047)+ABS(0.2-L4046*D4047/I4047)+ABS(0.2-M4046*E4047/I4047)+ABS(0.2-N4046*F4047/I4047)),0)</f>
        <v/>
      </c>
      <c r="Q4047">
        <f>P4047*0.0015</f>
        <v/>
      </c>
      <c r="R4047">
        <f>I4047*(1-Q4047)</f>
        <v/>
      </c>
      <c r="S4047">
        <f>R4047/R4046-1</f>
        <v/>
      </c>
      <c r="T4047">
        <f>MAX(T4046,R4047)</f>
        <v/>
      </c>
      <c r="U4047">
        <f>R4047/T4047-1</f>
        <v/>
      </c>
      <c r="V4047" t="n">
        <v>14.68697037840632</v>
      </c>
      <c r="W4047" s="5">
        <f>R4047-V4047</f>
        <v/>
      </c>
    </row>
    <row r="4048">
      <c r="A4048" s="3" t="n">
        <v>44403</v>
      </c>
      <c r="B4048">
        <f>Prices!B4048</f>
        <v/>
      </c>
      <c r="C4048">
        <f>Prices!C4048</f>
        <v/>
      </c>
      <c r="D4048">
        <f>Prices!D4048</f>
        <v/>
      </c>
      <c r="E4048">
        <f>Prices!E4048</f>
        <v/>
      </c>
      <c r="F4048">
        <f>Prices!F4048</f>
        <v/>
      </c>
      <c r="G4048">
        <f>IF(AND(4046&gt;=16,TEXT(A4048,"yyyy-mm")&lt;&gt;TEXT(A4049,"yyyy-mm")),1,0)</f>
        <v/>
      </c>
      <c r="H4048">
        <f>IF(OR(H4047=1,G4048=1),1,0)</f>
        <v/>
      </c>
      <c r="I4048">
        <f>IF(H4047=0,1,SUMPRODUCT(J4047:N4047,B4048:F4048)+O4047*(1+0.00023125256064071564))</f>
        <v/>
      </c>
      <c r="J4048">
        <f>IF(G4048=1,0.2*R4048/B4048,J4047)</f>
        <v/>
      </c>
      <c r="K4048">
        <f>IF(G4048=1,0.2*R4048/C4048,K4047)</f>
        <v/>
      </c>
      <c r="L4048">
        <f>IF(G4048=1,0.2*R4048/D4048,L4047)</f>
        <v/>
      </c>
      <c r="M4048">
        <f>IF(G4048=1,0.2*R4048/E4048,M4047)</f>
        <v/>
      </c>
      <c r="N4048">
        <f>IF(G4048=1,0.2*R4048/F4048,N4047)</f>
        <v/>
      </c>
      <c r="O4048">
        <f>IF(G4048=1,R4048*(1-1.0),IF(H4047=0,1,O4047*(1+0.00023125256064071564)))</f>
        <v/>
      </c>
      <c r="P4048">
        <f>IF(G4048=1,IF(H4047=0,1,ABS(0.2-J4047*B4048/I4048)+ABS(0.2-K4047*C4048/I4048)+ABS(0.2-L4047*D4048/I4048)+ABS(0.2-M4047*E4048/I4048)+ABS(0.2-N4047*F4048/I4048)),0)</f>
        <v/>
      </c>
      <c r="Q4048">
        <f>P4048*0.0015</f>
        <v/>
      </c>
      <c r="R4048">
        <f>I4048*(1-Q4048)</f>
        <v/>
      </c>
      <c r="S4048">
        <f>R4048/R4047-1</f>
        <v/>
      </c>
      <c r="T4048">
        <f>MAX(T4047,R4048)</f>
        <v/>
      </c>
      <c r="U4048">
        <f>R4048/T4048-1</f>
        <v/>
      </c>
      <c r="V4048" t="n">
        <v>14.71746634408056</v>
      </c>
      <c r="W4048" s="5">
        <f>R4048-V4048</f>
        <v/>
      </c>
    </row>
    <row r="4049">
      <c r="A4049" s="3" t="n">
        <v>44404</v>
      </c>
      <c r="B4049">
        <f>Prices!B4049</f>
        <v/>
      </c>
      <c r="C4049">
        <f>Prices!C4049</f>
        <v/>
      </c>
      <c r="D4049">
        <f>Prices!D4049</f>
        <v/>
      </c>
      <c r="E4049">
        <f>Prices!E4049</f>
        <v/>
      </c>
      <c r="F4049">
        <f>Prices!F4049</f>
        <v/>
      </c>
      <c r="G4049">
        <f>IF(AND(4047&gt;=16,TEXT(A4049,"yyyy-mm")&lt;&gt;TEXT(A4050,"yyyy-mm")),1,0)</f>
        <v/>
      </c>
      <c r="H4049">
        <f>IF(OR(H4048=1,G4049=1),1,0)</f>
        <v/>
      </c>
      <c r="I4049">
        <f>IF(H4048=0,1,SUMPRODUCT(J4048:N4048,B4049:F4049)+O4048*(1+0.00023125256064071564))</f>
        <v/>
      </c>
      <c r="J4049">
        <f>IF(G4049=1,0.2*R4049/B4049,J4048)</f>
        <v/>
      </c>
      <c r="K4049">
        <f>IF(G4049=1,0.2*R4049/C4049,K4048)</f>
        <v/>
      </c>
      <c r="L4049">
        <f>IF(G4049=1,0.2*R4049/D4049,L4048)</f>
        <v/>
      </c>
      <c r="M4049">
        <f>IF(G4049=1,0.2*R4049/E4049,M4048)</f>
        <v/>
      </c>
      <c r="N4049">
        <f>IF(G4049=1,0.2*R4049/F4049,N4048)</f>
        <v/>
      </c>
      <c r="O4049">
        <f>IF(G4049=1,R4049*(1-1.0),IF(H4048=0,1,O4048*(1+0.00023125256064071564)))</f>
        <v/>
      </c>
      <c r="P4049">
        <f>IF(G4049=1,IF(H4048=0,1,ABS(0.2-J4048*B4049/I4049)+ABS(0.2-K4048*C4049/I4049)+ABS(0.2-L4048*D4049/I4049)+ABS(0.2-M4048*E4049/I4049)+ABS(0.2-N4048*F4049/I4049)),0)</f>
        <v/>
      </c>
      <c r="Q4049">
        <f>P4049*0.0015</f>
        <v/>
      </c>
      <c r="R4049">
        <f>I4049*(1-Q4049)</f>
        <v/>
      </c>
      <c r="S4049">
        <f>R4049/R4048-1</f>
        <v/>
      </c>
      <c r="T4049">
        <f>MAX(T4048,R4049)</f>
        <v/>
      </c>
      <c r="U4049">
        <f>R4049/T4049-1</f>
        <v/>
      </c>
      <c r="V4049" t="n">
        <v>14.65239283334359</v>
      </c>
      <c r="W4049" s="5">
        <f>R4049-V4049</f>
        <v/>
      </c>
    </row>
    <row r="4050">
      <c r="A4050" s="3" t="n">
        <v>44405</v>
      </c>
      <c r="B4050">
        <f>Prices!B4050</f>
        <v/>
      </c>
      <c r="C4050">
        <f>Prices!C4050</f>
        <v/>
      </c>
      <c r="D4050">
        <f>Prices!D4050</f>
        <v/>
      </c>
      <c r="E4050">
        <f>Prices!E4050</f>
        <v/>
      </c>
      <c r="F4050">
        <f>Prices!F4050</f>
        <v/>
      </c>
      <c r="G4050">
        <f>IF(AND(4048&gt;=16,TEXT(A4050,"yyyy-mm")&lt;&gt;TEXT(A4051,"yyyy-mm")),1,0)</f>
        <v/>
      </c>
      <c r="H4050">
        <f>IF(OR(H4049=1,G4050=1),1,0)</f>
        <v/>
      </c>
      <c r="I4050">
        <f>IF(H4049=0,1,SUMPRODUCT(J4049:N4049,B4050:F4050)+O4049*(1+0.00023125256064071564))</f>
        <v/>
      </c>
      <c r="J4050">
        <f>IF(G4050=1,0.2*R4050/B4050,J4049)</f>
        <v/>
      </c>
      <c r="K4050">
        <f>IF(G4050=1,0.2*R4050/C4050,K4049)</f>
        <v/>
      </c>
      <c r="L4050">
        <f>IF(G4050=1,0.2*R4050/D4050,L4049)</f>
        <v/>
      </c>
      <c r="M4050">
        <f>IF(G4050=1,0.2*R4050/E4050,M4049)</f>
        <v/>
      </c>
      <c r="N4050">
        <f>IF(G4050=1,0.2*R4050/F4050,N4049)</f>
        <v/>
      </c>
      <c r="O4050">
        <f>IF(G4050=1,R4050*(1-1.0),IF(H4049=0,1,O4049*(1+0.00023125256064071564)))</f>
        <v/>
      </c>
      <c r="P4050">
        <f>IF(G4050=1,IF(H4049=0,1,ABS(0.2-J4049*B4050/I4050)+ABS(0.2-K4049*C4050/I4050)+ABS(0.2-L4049*D4050/I4050)+ABS(0.2-M4049*E4050/I4050)+ABS(0.2-N4049*F4050/I4050)),0)</f>
        <v/>
      </c>
      <c r="Q4050">
        <f>P4050*0.0015</f>
        <v/>
      </c>
      <c r="R4050">
        <f>I4050*(1-Q4050)</f>
        <v/>
      </c>
      <c r="S4050">
        <f>R4050/R4049-1</f>
        <v/>
      </c>
      <c r="T4050">
        <f>MAX(T4049,R4050)</f>
        <v/>
      </c>
      <c r="U4050">
        <f>R4050/T4050-1</f>
        <v/>
      </c>
      <c r="V4050" t="n">
        <v>14.59720756726367</v>
      </c>
      <c r="W4050" s="5">
        <f>R4050-V4050</f>
        <v/>
      </c>
    </row>
    <row r="4051">
      <c r="A4051" s="3" t="n">
        <v>44406</v>
      </c>
      <c r="B4051">
        <f>Prices!B4051</f>
        <v/>
      </c>
      <c r="C4051">
        <f>Prices!C4051</f>
        <v/>
      </c>
      <c r="D4051">
        <f>Prices!D4051</f>
        <v/>
      </c>
      <c r="E4051">
        <f>Prices!E4051</f>
        <v/>
      </c>
      <c r="F4051">
        <f>Prices!F4051</f>
        <v/>
      </c>
      <c r="G4051">
        <f>IF(AND(4049&gt;=16,TEXT(A4051,"yyyy-mm")&lt;&gt;TEXT(A4052,"yyyy-mm")),1,0)</f>
        <v/>
      </c>
      <c r="H4051">
        <f>IF(OR(H4050=1,G4051=1),1,0)</f>
        <v/>
      </c>
      <c r="I4051">
        <f>IF(H4050=0,1,SUMPRODUCT(J4050:N4050,B4051:F4051)+O4050*(1+0.00023125256064071564))</f>
        <v/>
      </c>
      <c r="J4051">
        <f>IF(G4051=1,0.2*R4051/B4051,J4050)</f>
        <v/>
      </c>
      <c r="K4051">
        <f>IF(G4051=1,0.2*R4051/C4051,K4050)</f>
        <v/>
      </c>
      <c r="L4051">
        <f>IF(G4051=1,0.2*R4051/D4051,L4050)</f>
        <v/>
      </c>
      <c r="M4051">
        <f>IF(G4051=1,0.2*R4051/E4051,M4050)</f>
        <v/>
      </c>
      <c r="N4051">
        <f>IF(G4051=1,0.2*R4051/F4051,N4050)</f>
        <v/>
      </c>
      <c r="O4051">
        <f>IF(G4051=1,R4051*(1-1.0),IF(H4050=0,1,O4050*(1+0.00023125256064071564)))</f>
        <v/>
      </c>
      <c r="P4051">
        <f>IF(G4051=1,IF(H4050=0,1,ABS(0.2-J4050*B4051/I4051)+ABS(0.2-K4050*C4051/I4051)+ABS(0.2-L4050*D4051/I4051)+ABS(0.2-M4050*E4051/I4051)+ABS(0.2-N4050*F4051/I4051)),0)</f>
        <v/>
      </c>
      <c r="Q4051">
        <f>P4051*0.0015</f>
        <v/>
      </c>
      <c r="R4051">
        <f>I4051*(1-Q4051)</f>
        <v/>
      </c>
      <c r="S4051">
        <f>R4051/R4050-1</f>
        <v/>
      </c>
      <c r="T4051">
        <f>MAX(T4050,R4051)</f>
        <v/>
      </c>
      <c r="U4051">
        <f>R4051/T4051-1</f>
        <v/>
      </c>
      <c r="V4051" t="n">
        <v>14.68857058111703</v>
      </c>
      <c r="W4051" s="5">
        <f>R4051-V4051</f>
        <v/>
      </c>
    </row>
    <row r="4052">
      <c r="A4052" s="3" t="n">
        <v>44407</v>
      </c>
      <c r="B4052">
        <f>Prices!B4052</f>
        <v/>
      </c>
      <c r="C4052">
        <f>Prices!C4052</f>
        <v/>
      </c>
      <c r="D4052">
        <f>Prices!D4052</f>
        <v/>
      </c>
      <c r="E4052">
        <f>Prices!E4052</f>
        <v/>
      </c>
      <c r="F4052">
        <f>Prices!F4052</f>
        <v/>
      </c>
      <c r="G4052">
        <f>IF(AND(4050&gt;=16,TEXT(A4052,"yyyy-mm")&lt;&gt;TEXT(A4053,"yyyy-mm")),1,0)</f>
        <v/>
      </c>
      <c r="H4052">
        <f>IF(OR(H4051=1,G4052=1),1,0)</f>
        <v/>
      </c>
      <c r="I4052">
        <f>IF(H4051=0,1,SUMPRODUCT(J4051:N4051,B4052:F4052)+O4051*(1+0.00023125256064071564))</f>
        <v/>
      </c>
      <c r="J4052">
        <f>IF(G4052=1,0.2*R4052/B4052,J4051)</f>
        <v/>
      </c>
      <c r="K4052">
        <f>IF(G4052=1,0.2*R4052/C4052,K4051)</f>
        <v/>
      </c>
      <c r="L4052">
        <f>IF(G4052=1,0.2*R4052/D4052,L4051)</f>
        <v/>
      </c>
      <c r="M4052">
        <f>IF(G4052=1,0.2*R4052/E4052,M4051)</f>
        <v/>
      </c>
      <c r="N4052">
        <f>IF(G4052=1,0.2*R4052/F4052,N4051)</f>
        <v/>
      </c>
      <c r="O4052">
        <f>IF(G4052=1,R4052*(1-1.0),IF(H4051=0,1,O4051*(1+0.00023125256064071564)))</f>
        <v/>
      </c>
      <c r="P4052">
        <f>IF(G4052=1,IF(H4051=0,1,ABS(0.2-J4051*B4052/I4052)+ABS(0.2-K4051*C4052/I4052)+ABS(0.2-L4051*D4052/I4052)+ABS(0.2-M4051*E4052/I4052)+ABS(0.2-N4051*F4052/I4052)),0)</f>
        <v/>
      </c>
      <c r="Q4052">
        <f>P4052*0.0015</f>
        <v/>
      </c>
      <c r="R4052">
        <f>I4052*(1-Q4052)</f>
        <v/>
      </c>
      <c r="S4052">
        <f>R4052/R4051-1</f>
        <v/>
      </c>
      <c r="T4052">
        <f>MAX(T4051,R4052)</f>
        <v/>
      </c>
      <c r="U4052">
        <f>R4052/T4052-1</f>
        <v/>
      </c>
      <c r="V4052" t="n">
        <v>14.74892784550832</v>
      </c>
      <c r="W4052" s="5">
        <f>R4052-V4052</f>
        <v/>
      </c>
    </row>
    <row r="4053">
      <c r="A4053" s="3" t="n">
        <v>44410</v>
      </c>
      <c r="B4053">
        <f>Prices!B4053</f>
        <v/>
      </c>
      <c r="C4053">
        <f>Prices!C4053</f>
        <v/>
      </c>
      <c r="D4053">
        <f>Prices!D4053</f>
        <v/>
      </c>
      <c r="E4053">
        <f>Prices!E4053</f>
        <v/>
      </c>
      <c r="F4053">
        <f>Prices!F4053</f>
        <v/>
      </c>
      <c r="G4053">
        <f>IF(AND(4051&gt;=16,TEXT(A4053,"yyyy-mm")&lt;&gt;TEXT(A4054,"yyyy-mm")),1,0)</f>
        <v/>
      </c>
      <c r="H4053">
        <f>IF(OR(H4052=1,G4053=1),1,0)</f>
        <v/>
      </c>
      <c r="I4053">
        <f>IF(H4052=0,1,SUMPRODUCT(J4052:N4052,B4053:F4053)+O4052*(1+0.00023125256064071564))</f>
        <v/>
      </c>
      <c r="J4053">
        <f>IF(G4053=1,0.2*R4053/B4053,J4052)</f>
        <v/>
      </c>
      <c r="K4053">
        <f>IF(G4053=1,0.2*R4053/C4053,K4052)</f>
        <v/>
      </c>
      <c r="L4053">
        <f>IF(G4053=1,0.2*R4053/D4053,L4052)</f>
        <v/>
      </c>
      <c r="M4053">
        <f>IF(G4053=1,0.2*R4053/E4053,M4052)</f>
        <v/>
      </c>
      <c r="N4053">
        <f>IF(G4053=1,0.2*R4053/F4053,N4052)</f>
        <v/>
      </c>
      <c r="O4053">
        <f>IF(G4053=1,R4053*(1-1.0),IF(H4052=0,1,O4052*(1+0.00023125256064071564)))</f>
        <v/>
      </c>
      <c r="P4053">
        <f>IF(G4053=1,IF(H4052=0,1,ABS(0.2-J4052*B4053/I4053)+ABS(0.2-K4052*C4053/I4053)+ABS(0.2-L4052*D4053/I4053)+ABS(0.2-M4052*E4053/I4053)+ABS(0.2-N4052*F4053/I4053)),0)</f>
        <v/>
      </c>
      <c r="Q4053">
        <f>P4053*0.0015</f>
        <v/>
      </c>
      <c r="R4053">
        <f>I4053*(1-Q4053)</f>
        <v/>
      </c>
      <c r="S4053">
        <f>R4053/R4052-1</f>
        <v/>
      </c>
      <c r="T4053">
        <f>MAX(T4052,R4053)</f>
        <v/>
      </c>
      <c r="U4053">
        <f>R4053/T4053-1</f>
        <v/>
      </c>
      <c r="V4053" t="n">
        <v>14.89154475345716</v>
      </c>
      <c r="W4053" s="5">
        <f>R4053-V4053</f>
        <v/>
      </c>
    </row>
    <row r="4054">
      <c r="A4054" s="3" t="n">
        <v>44411</v>
      </c>
      <c r="B4054">
        <f>Prices!B4054</f>
        <v/>
      </c>
      <c r="C4054">
        <f>Prices!C4054</f>
        <v/>
      </c>
      <c r="D4054">
        <f>Prices!D4054</f>
        <v/>
      </c>
      <c r="E4054">
        <f>Prices!E4054</f>
        <v/>
      </c>
      <c r="F4054">
        <f>Prices!F4054</f>
        <v/>
      </c>
      <c r="G4054">
        <f>IF(AND(4052&gt;=16,TEXT(A4054,"yyyy-mm")&lt;&gt;TEXT(A4055,"yyyy-mm")),1,0)</f>
        <v/>
      </c>
      <c r="H4054">
        <f>IF(OR(H4053=1,G4054=1),1,0)</f>
        <v/>
      </c>
      <c r="I4054">
        <f>IF(H4053=0,1,SUMPRODUCT(J4053:N4053,B4054:F4054)+O4053*(1+0.00023125256064071564))</f>
        <v/>
      </c>
      <c r="J4054">
        <f>IF(G4054=1,0.2*R4054/B4054,J4053)</f>
        <v/>
      </c>
      <c r="K4054">
        <f>IF(G4054=1,0.2*R4054/C4054,K4053)</f>
        <v/>
      </c>
      <c r="L4054">
        <f>IF(G4054=1,0.2*R4054/D4054,L4053)</f>
        <v/>
      </c>
      <c r="M4054">
        <f>IF(G4054=1,0.2*R4054/E4054,M4053)</f>
        <v/>
      </c>
      <c r="N4054">
        <f>IF(G4054=1,0.2*R4054/F4054,N4053)</f>
        <v/>
      </c>
      <c r="O4054">
        <f>IF(G4054=1,R4054*(1-1.0),IF(H4053=0,1,O4053*(1+0.00023125256064071564)))</f>
        <v/>
      </c>
      <c r="P4054">
        <f>IF(G4054=1,IF(H4053=0,1,ABS(0.2-J4053*B4054/I4054)+ABS(0.2-K4053*C4054/I4054)+ABS(0.2-L4053*D4054/I4054)+ABS(0.2-M4053*E4054/I4054)+ABS(0.2-N4053*F4054/I4054)),0)</f>
        <v/>
      </c>
      <c r="Q4054">
        <f>P4054*0.0015</f>
        <v/>
      </c>
      <c r="R4054">
        <f>I4054*(1-Q4054)</f>
        <v/>
      </c>
      <c r="S4054">
        <f>R4054/R4053-1</f>
        <v/>
      </c>
      <c r="T4054">
        <f>MAX(T4053,R4054)</f>
        <v/>
      </c>
      <c r="U4054">
        <f>R4054/T4054-1</f>
        <v/>
      </c>
      <c r="V4054" t="n">
        <v>14.95770103679354</v>
      </c>
      <c r="W4054" s="5">
        <f>R4054-V4054</f>
        <v/>
      </c>
    </row>
    <row r="4055">
      <c r="A4055" s="3" t="n">
        <v>44412</v>
      </c>
      <c r="B4055">
        <f>Prices!B4055</f>
        <v/>
      </c>
      <c r="C4055">
        <f>Prices!C4055</f>
        <v/>
      </c>
      <c r="D4055">
        <f>Prices!D4055</f>
        <v/>
      </c>
      <c r="E4055">
        <f>Prices!E4055</f>
        <v/>
      </c>
      <c r="F4055">
        <f>Prices!F4055</f>
        <v/>
      </c>
      <c r="G4055">
        <f>IF(AND(4053&gt;=16,TEXT(A4055,"yyyy-mm")&lt;&gt;TEXT(A4056,"yyyy-mm")),1,0)</f>
        <v/>
      </c>
      <c r="H4055">
        <f>IF(OR(H4054=1,G4055=1),1,0)</f>
        <v/>
      </c>
      <c r="I4055">
        <f>IF(H4054=0,1,SUMPRODUCT(J4054:N4054,B4055:F4055)+O4054*(1+0.00023125256064071564))</f>
        <v/>
      </c>
      <c r="J4055">
        <f>IF(G4055=1,0.2*R4055/B4055,J4054)</f>
        <v/>
      </c>
      <c r="K4055">
        <f>IF(G4055=1,0.2*R4055/C4055,K4054)</f>
        <v/>
      </c>
      <c r="L4055">
        <f>IF(G4055=1,0.2*R4055/D4055,L4054)</f>
        <v/>
      </c>
      <c r="M4055">
        <f>IF(G4055=1,0.2*R4055/E4055,M4054)</f>
        <v/>
      </c>
      <c r="N4055">
        <f>IF(G4055=1,0.2*R4055/F4055,N4054)</f>
        <v/>
      </c>
      <c r="O4055">
        <f>IF(G4055=1,R4055*(1-1.0),IF(H4054=0,1,O4054*(1+0.00023125256064071564)))</f>
        <v/>
      </c>
      <c r="P4055">
        <f>IF(G4055=1,IF(H4054=0,1,ABS(0.2-J4054*B4055/I4055)+ABS(0.2-K4054*C4055/I4055)+ABS(0.2-L4054*D4055/I4055)+ABS(0.2-M4054*E4055/I4055)+ABS(0.2-N4054*F4055/I4055)),0)</f>
        <v/>
      </c>
      <c r="Q4055">
        <f>P4055*0.0015</f>
        <v/>
      </c>
      <c r="R4055">
        <f>I4055*(1-Q4055)</f>
        <v/>
      </c>
      <c r="S4055">
        <f>R4055/R4054-1</f>
        <v/>
      </c>
      <c r="T4055">
        <f>MAX(T4054,R4055)</f>
        <v/>
      </c>
      <c r="U4055">
        <f>R4055/T4055-1</f>
        <v/>
      </c>
      <c r="V4055" t="n">
        <v>14.86202063901602</v>
      </c>
      <c r="W4055" s="5">
        <f>R4055-V4055</f>
        <v/>
      </c>
    </row>
    <row r="4056">
      <c r="A4056" s="3" t="n">
        <v>44413</v>
      </c>
      <c r="B4056">
        <f>Prices!B4056</f>
        <v/>
      </c>
      <c r="C4056">
        <f>Prices!C4056</f>
        <v/>
      </c>
      <c r="D4056">
        <f>Prices!D4056</f>
        <v/>
      </c>
      <c r="E4056">
        <f>Prices!E4056</f>
        <v/>
      </c>
      <c r="F4056">
        <f>Prices!F4056</f>
        <v/>
      </c>
      <c r="G4056">
        <f>IF(AND(4054&gt;=16,TEXT(A4056,"yyyy-mm")&lt;&gt;TEXT(A4057,"yyyy-mm")),1,0)</f>
        <v/>
      </c>
      <c r="H4056">
        <f>IF(OR(H4055=1,G4056=1),1,0)</f>
        <v/>
      </c>
      <c r="I4056">
        <f>IF(H4055=0,1,SUMPRODUCT(J4055:N4055,B4056:F4056)+O4055*(1+0.00023125256064071564))</f>
        <v/>
      </c>
      <c r="J4056">
        <f>IF(G4056=1,0.2*R4056/B4056,J4055)</f>
        <v/>
      </c>
      <c r="K4056">
        <f>IF(G4056=1,0.2*R4056/C4056,K4055)</f>
        <v/>
      </c>
      <c r="L4056">
        <f>IF(G4056=1,0.2*R4056/D4056,L4055)</f>
        <v/>
      </c>
      <c r="M4056">
        <f>IF(G4056=1,0.2*R4056/E4056,M4055)</f>
        <v/>
      </c>
      <c r="N4056">
        <f>IF(G4056=1,0.2*R4056/F4056,N4055)</f>
        <v/>
      </c>
      <c r="O4056">
        <f>IF(G4056=1,R4056*(1-1.0),IF(H4055=0,1,O4055*(1+0.00023125256064071564)))</f>
        <v/>
      </c>
      <c r="P4056">
        <f>IF(G4056=1,IF(H4055=0,1,ABS(0.2-J4055*B4056/I4056)+ABS(0.2-K4055*C4056/I4056)+ABS(0.2-L4055*D4056/I4056)+ABS(0.2-M4055*E4056/I4056)+ABS(0.2-N4055*F4056/I4056)),0)</f>
        <v/>
      </c>
      <c r="Q4056">
        <f>P4056*0.0015</f>
        <v/>
      </c>
      <c r="R4056">
        <f>I4056*(1-Q4056)</f>
        <v/>
      </c>
      <c r="S4056">
        <f>R4056/R4055-1</f>
        <v/>
      </c>
      <c r="T4056">
        <f>MAX(T4055,R4056)</f>
        <v/>
      </c>
      <c r="U4056">
        <f>R4056/T4056-1</f>
        <v/>
      </c>
      <c r="V4056" t="n">
        <v>14.88588494027251</v>
      </c>
      <c r="W4056" s="5">
        <f>R4056-V4056</f>
        <v/>
      </c>
    </row>
    <row r="4057">
      <c r="A4057" s="3" t="n">
        <v>44414</v>
      </c>
      <c r="B4057">
        <f>Prices!B4057</f>
        <v/>
      </c>
      <c r="C4057">
        <f>Prices!C4057</f>
        <v/>
      </c>
      <c r="D4057">
        <f>Prices!D4057</f>
        <v/>
      </c>
      <c r="E4057">
        <f>Prices!E4057</f>
        <v/>
      </c>
      <c r="F4057">
        <f>Prices!F4057</f>
        <v/>
      </c>
      <c r="G4057">
        <f>IF(AND(4055&gt;=16,TEXT(A4057,"yyyy-mm")&lt;&gt;TEXT(A4058,"yyyy-mm")),1,0)</f>
        <v/>
      </c>
      <c r="H4057">
        <f>IF(OR(H4056=1,G4057=1),1,0)</f>
        <v/>
      </c>
      <c r="I4057">
        <f>IF(H4056=0,1,SUMPRODUCT(J4056:N4056,B4057:F4057)+O4056*(1+0.00023125256064071564))</f>
        <v/>
      </c>
      <c r="J4057">
        <f>IF(G4057=1,0.2*R4057/B4057,J4056)</f>
        <v/>
      </c>
      <c r="K4057">
        <f>IF(G4057=1,0.2*R4057/C4057,K4056)</f>
        <v/>
      </c>
      <c r="L4057">
        <f>IF(G4057=1,0.2*R4057/D4057,L4056)</f>
        <v/>
      </c>
      <c r="M4057">
        <f>IF(G4057=1,0.2*R4057/E4057,M4056)</f>
        <v/>
      </c>
      <c r="N4057">
        <f>IF(G4057=1,0.2*R4057/F4057,N4056)</f>
        <v/>
      </c>
      <c r="O4057">
        <f>IF(G4057=1,R4057*(1-1.0),IF(H4056=0,1,O4056*(1+0.00023125256064071564)))</f>
        <v/>
      </c>
      <c r="P4057">
        <f>IF(G4057=1,IF(H4056=0,1,ABS(0.2-J4056*B4057/I4057)+ABS(0.2-K4056*C4057/I4057)+ABS(0.2-L4056*D4057/I4057)+ABS(0.2-M4056*E4057/I4057)+ABS(0.2-N4056*F4057/I4057)),0)</f>
        <v/>
      </c>
      <c r="Q4057">
        <f>P4057*0.0015</f>
        <v/>
      </c>
      <c r="R4057">
        <f>I4057*(1-Q4057)</f>
        <v/>
      </c>
      <c r="S4057">
        <f>R4057/R4056-1</f>
        <v/>
      </c>
      <c r="T4057">
        <f>MAX(T4056,R4057)</f>
        <v/>
      </c>
      <c r="U4057">
        <f>R4057/T4057-1</f>
        <v/>
      </c>
      <c r="V4057" t="n">
        <v>14.90518640701568</v>
      </c>
      <c r="W4057" s="5">
        <f>R4057-V4057</f>
        <v/>
      </c>
    </row>
    <row r="4058">
      <c r="A4058" s="3" t="n">
        <v>44417</v>
      </c>
      <c r="B4058">
        <f>Prices!B4058</f>
        <v/>
      </c>
      <c r="C4058">
        <f>Prices!C4058</f>
        <v/>
      </c>
      <c r="D4058">
        <f>Prices!D4058</f>
        <v/>
      </c>
      <c r="E4058">
        <f>Prices!E4058</f>
        <v/>
      </c>
      <c r="F4058">
        <f>Prices!F4058</f>
        <v/>
      </c>
      <c r="G4058">
        <f>IF(AND(4056&gt;=16,TEXT(A4058,"yyyy-mm")&lt;&gt;TEXT(A4059,"yyyy-mm")),1,0)</f>
        <v/>
      </c>
      <c r="H4058">
        <f>IF(OR(H4057=1,G4058=1),1,0)</f>
        <v/>
      </c>
      <c r="I4058">
        <f>IF(H4057=0,1,SUMPRODUCT(J4057:N4057,B4058:F4058)+O4057*(1+0.00023125256064071564))</f>
        <v/>
      </c>
      <c r="J4058">
        <f>IF(G4058=1,0.2*R4058/B4058,J4057)</f>
        <v/>
      </c>
      <c r="K4058">
        <f>IF(G4058=1,0.2*R4058/C4058,K4057)</f>
        <v/>
      </c>
      <c r="L4058">
        <f>IF(G4058=1,0.2*R4058/D4058,L4057)</f>
        <v/>
      </c>
      <c r="M4058">
        <f>IF(G4058=1,0.2*R4058/E4058,M4057)</f>
        <v/>
      </c>
      <c r="N4058">
        <f>IF(G4058=1,0.2*R4058/F4058,N4057)</f>
        <v/>
      </c>
      <c r="O4058">
        <f>IF(G4058=1,R4058*(1-1.0),IF(H4057=0,1,O4057*(1+0.00023125256064071564)))</f>
        <v/>
      </c>
      <c r="P4058">
        <f>IF(G4058=1,IF(H4057=0,1,ABS(0.2-J4057*B4058/I4058)+ABS(0.2-K4057*C4058/I4058)+ABS(0.2-L4057*D4058/I4058)+ABS(0.2-M4057*E4058/I4058)+ABS(0.2-N4057*F4058/I4058)),0)</f>
        <v/>
      </c>
      <c r="Q4058">
        <f>P4058*0.0015</f>
        <v/>
      </c>
      <c r="R4058">
        <f>I4058*(1-Q4058)</f>
        <v/>
      </c>
      <c r="S4058">
        <f>R4058/R4057-1</f>
        <v/>
      </c>
      <c r="T4058">
        <f>MAX(T4057,R4058)</f>
        <v/>
      </c>
      <c r="U4058">
        <f>R4058/T4058-1</f>
        <v/>
      </c>
      <c r="V4058" t="n">
        <v>14.79195766588028</v>
      </c>
      <c r="W4058" s="5">
        <f>R4058-V4058</f>
        <v/>
      </c>
    </row>
    <row r="4059">
      <c r="A4059" s="3" t="n">
        <v>44418</v>
      </c>
      <c r="B4059">
        <f>Prices!B4059</f>
        <v/>
      </c>
      <c r="C4059">
        <f>Prices!C4059</f>
        <v/>
      </c>
      <c r="D4059">
        <f>Prices!D4059</f>
        <v/>
      </c>
      <c r="E4059">
        <f>Prices!E4059</f>
        <v/>
      </c>
      <c r="F4059">
        <f>Prices!F4059</f>
        <v/>
      </c>
      <c r="G4059">
        <f>IF(AND(4057&gt;=16,TEXT(A4059,"yyyy-mm")&lt;&gt;TEXT(A4060,"yyyy-mm")),1,0)</f>
        <v/>
      </c>
      <c r="H4059">
        <f>IF(OR(H4058=1,G4059=1),1,0)</f>
        <v/>
      </c>
      <c r="I4059">
        <f>IF(H4058=0,1,SUMPRODUCT(J4058:N4058,B4059:F4059)+O4058*(1+0.00023125256064071564))</f>
        <v/>
      </c>
      <c r="J4059">
        <f>IF(G4059=1,0.2*R4059/B4059,J4058)</f>
        <v/>
      </c>
      <c r="K4059">
        <f>IF(G4059=1,0.2*R4059/C4059,K4058)</f>
        <v/>
      </c>
      <c r="L4059">
        <f>IF(G4059=1,0.2*R4059/D4059,L4058)</f>
        <v/>
      </c>
      <c r="M4059">
        <f>IF(G4059=1,0.2*R4059/E4059,M4058)</f>
        <v/>
      </c>
      <c r="N4059">
        <f>IF(G4059=1,0.2*R4059/F4059,N4058)</f>
        <v/>
      </c>
      <c r="O4059">
        <f>IF(G4059=1,R4059*(1-1.0),IF(H4058=0,1,O4058*(1+0.00023125256064071564)))</f>
        <v/>
      </c>
      <c r="P4059">
        <f>IF(G4059=1,IF(H4058=0,1,ABS(0.2-J4058*B4059/I4059)+ABS(0.2-K4058*C4059/I4059)+ABS(0.2-L4058*D4059/I4059)+ABS(0.2-M4058*E4059/I4059)+ABS(0.2-N4058*F4059/I4059)),0)</f>
        <v/>
      </c>
      <c r="Q4059">
        <f>P4059*0.0015</f>
        <v/>
      </c>
      <c r="R4059">
        <f>I4059*(1-Q4059)</f>
        <v/>
      </c>
      <c r="S4059">
        <f>R4059/R4058-1</f>
        <v/>
      </c>
      <c r="T4059">
        <f>MAX(T4058,R4059)</f>
        <v/>
      </c>
      <c r="U4059">
        <f>R4059/T4059-1</f>
        <v/>
      </c>
      <c r="V4059" t="n">
        <v>14.59067459890517</v>
      </c>
      <c r="W4059" s="5">
        <f>R4059-V4059</f>
        <v/>
      </c>
    </row>
    <row r="4060">
      <c r="A4060" s="3" t="n">
        <v>44419</v>
      </c>
      <c r="B4060">
        <f>Prices!B4060</f>
        <v/>
      </c>
      <c r="C4060">
        <f>Prices!C4060</f>
        <v/>
      </c>
      <c r="D4060">
        <f>Prices!D4060</f>
        <v/>
      </c>
      <c r="E4060">
        <f>Prices!E4060</f>
        <v/>
      </c>
      <c r="F4060">
        <f>Prices!F4060</f>
        <v/>
      </c>
      <c r="G4060">
        <f>IF(AND(4058&gt;=16,TEXT(A4060,"yyyy-mm")&lt;&gt;TEXT(A4061,"yyyy-mm")),1,0)</f>
        <v/>
      </c>
      <c r="H4060">
        <f>IF(OR(H4059=1,G4060=1),1,0)</f>
        <v/>
      </c>
      <c r="I4060">
        <f>IF(H4059=0,1,SUMPRODUCT(J4059:N4059,B4060:F4060)+O4059*(1+0.00023125256064071564))</f>
        <v/>
      </c>
      <c r="J4060">
        <f>IF(G4060=1,0.2*R4060/B4060,J4059)</f>
        <v/>
      </c>
      <c r="K4060">
        <f>IF(G4060=1,0.2*R4060/C4060,K4059)</f>
        <v/>
      </c>
      <c r="L4060">
        <f>IF(G4060=1,0.2*R4060/D4060,L4059)</f>
        <v/>
      </c>
      <c r="M4060">
        <f>IF(G4060=1,0.2*R4060/E4060,M4059)</f>
        <v/>
      </c>
      <c r="N4060">
        <f>IF(G4060=1,0.2*R4060/F4060,N4059)</f>
        <v/>
      </c>
      <c r="O4060">
        <f>IF(G4060=1,R4060*(1-1.0),IF(H4059=0,1,O4059*(1+0.00023125256064071564)))</f>
        <v/>
      </c>
      <c r="P4060">
        <f>IF(G4060=1,IF(H4059=0,1,ABS(0.2-J4059*B4060/I4060)+ABS(0.2-K4059*C4060/I4060)+ABS(0.2-L4059*D4060/I4060)+ABS(0.2-M4059*E4060/I4060)+ABS(0.2-N4059*F4060/I4060)),0)</f>
        <v/>
      </c>
      <c r="Q4060">
        <f>P4060*0.0015</f>
        <v/>
      </c>
      <c r="R4060">
        <f>I4060*(1-Q4060)</f>
        <v/>
      </c>
      <c r="S4060">
        <f>R4060/R4059-1</f>
        <v/>
      </c>
      <c r="T4060">
        <f>MAX(T4059,R4060)</f>
        <v/>
      </c>
      <c r="U4060">
        <f>R4060/T4060-1</f>
        <v/>
      </c>
      <c r="V4060" t="n">
        <v>14.59747083316523</v>
      </c>
      <c r="W4060" s="5">
        <f>R4060-V4060</f>
        <v/>
      </c>
    </row>
    <row r="4061">
      <c r="A4061" s="3" t="n">
        <v>44420</v>
      </c>
      <c r="B4061">
        <f>Prices!B4061</f>
        <v/>
      </c>
      <c r="C4061">
        <f>Prices!C4061</f>
        <v/>
      </c>
      <c r="D4061">
        <f>Prices!D4061</f>
        <v/>
      </c>
      <c r="E4061">
        <f>Prices!E4061</f>
        <v/>
      </c>
      <c r="F4061">
        <f>Prices!F4061</f>
        <v/>
      </c>
      <c r="G4061">
        <f>IF(AND(4059&gt;=16,TEXT(A4061,"yyyy-mm")&lt;&gt;TEXT(A4062,"yyyy-mm")),1,0)</f>
        <v/>
      </c>
      <c r="H4061">
        <f>IF(OR(H4060=1,G4061=1),1,0)</f>
        <v/>
      </c>
      <c r="I4061">
        <f>IF(H4060=0,1,SUMPRODUCT(J4060:N4060,B4061:F4061)+O4060*(1+0.00023125256064071564))</f>
        <v/>
      </c>
      <c r="J4061">
        <f>IF(G4061=1,0.2*R4061/B4061,J4060)</f>
        <v/>
      </c>
      <c r="K4061">
        <f>IF(G4061=1,0.2*R4061/C4061,K4060)</f>
        <v/>
      </c>
      <c r="L4061">
        <f>IF(G4061=1,0.2*R4061/D4061,L4060)</f>
        <v/>
      </c>
      <c r="M4061">
        <f>IF(G4061=1,0.2*R4061/E4061,M4060)</f>
        <v/>
      </c>
      <c r="N4061">
        <f>IF(G4061=1,0.2*R4061/F4061,N4060)</f>
        <v/>
      </c>
      <c r="O4061">
        <f>IF(G4061=1,R4061*(1-1.0),IF(H4060=0,1,O4060*(1+0.00023125256064071564)))</f>
        <v/>
      </c>
      <c r="P4061">
        <f>IF(G4061=1,IF(H4060=0,1,ABS(0.2-J4060*B4061/I4061)+ABS(0.2-K4060*C4061/I4061)+ABS(0.2-L4060*D4061/I4061)+ABS(0.2-M4060*E4061/I4061)+ABS(0.2-N4060*F4061/I4061)),0)</f>
        <v/>
      </c>
      <c r="Q4061">
        <f>P4061*0.0015</f>
        <v/>
      </c>
      <c r="R4061">
        <f>I4061*(1-Q4061)</f>
        <v/>
      </c>
      <c r="S4061">
        <f>R4061/R4060-1</f>
        <v/>
      </c>
      <c r="T4061">
        <f>MAX(T4060,R4061)</f>
        <v/>
      </c>
      <c r="U4061">
        <f>R4061/T4061-1</f>
        <v/>
      </c>
      <c r="V4061" t="n">
        <v>14.75723118559934</v>
      </c>
      <c r="W4061" s="5">
        <f>R4061-V4061</f>
        <v/>
      </c>
    </row>
    <row r="4062">
      <c r="A4062" s="3" t="n">
        <v>44421</v>
      </c>
      <c r="B4062">
        <f>Prices!B4062</f>
        <v/>
      </c>
      <c r="C4062">
        <f>Prices!C4062</f>
        <v/>
      </c>
      <c r="D4062">
        <f>Prices!D4062</f>
        <v/>
      </c>
      <c r="E4062">
        <f>Prices!E4062</f>
        <v/>
      </c>
      <c r="F4062">
        <f>Prices!F4062</f>
        <v/>
      </c>
      <c r="G4062">
        <f>IF(AND(4060&gt;=16,TEXT(A4062,"yyyy-mm")&lt;&gt;TEXT(A4063,"yyyy-mm")),1,0)</f>
        <v/>
      </c>
      <c r="H4062">
        <f>IF(OR(H4061=1,G4062=1),1,0)</f>
        <v/>
      </c>
      <c r="I4062">
        <f>IF(H4061=0,1,SUMPRODUCT(J4061:N4061,B4062:F4062)+O4061*(1+0.00023125256064071564))</f>
        <v/>
      </c>
      <c r="J4062">
        <f>IF(G4062=1,0.2*R4062/B4062,J4061)</f>
        <v/>
      </c>
      <c r="K4062">
        <f>IF(G4062=1,0.2*R4062/C4062,K4061)</f>
        <v/>
      </c>
      <c r="L4062">
        <f>IF(G4062=1,0.2*R4062/D4062,L4061)</f>
        <v/>
      </c>
      <c r="M4062">
        <f>IF(G4062=1,0.2*R4062/E4062,M4061)</f>
        <v/>
      </c>
      <c r="N4062">
        <f>IF(G4062=1,0.2*R4062/F4062,N4061)</f>
        <v/>
      </c>
      <c r="O4062">
        <f>IF(G4062=1,R4062*(1-1.0),IF(H4061=0,1,O4061*(1+0.00023125256064071564)))</f>
        <v/>
      </c>
      <c r="P4062">
        <f>IF(G4062=1,IF(H4061=0,1,ABS(0.2-J4061*B4062/I4062)+ABS(0.2-K4061*C4062/I4062)+ABS(0.2-L4061*D4062/I4062)+ABS(0.2-M4061*E4062/I4062)+ABS(0.2-N4061*F4062/I4062)),0)</f>
        <v/>
      </c>
      <c r="Q4062">
        <f>P4062*0.0015</f>
        <v/>
      </c>
      <c r="R4062">
        <f>I4062*(1-Q4062)</f>
        <v/>
      </c>
      <c r="S4062">
        <f>R4062/R4061-1</f>
        <v/>
      </c>
      <c r="T4062">
        <f>MAX(T4061,R4062)</f>
        <v/>
      </c>
      <c r="U4062">
        <f>R4062/T4062-1</f>
        <v/>
      </c>
      <c r="V4062" t="n">
        <v>14.79069470446193</v>
      </c>
      <c r="W4062" s="5">
        <f>R4062-V4062</f>
        <v/>
      </c>
    </row>
    <row r="4063">
      <c r="A4063" s="3" t="n">
        <v>44424</v>
      </c>
      <c r="B4063">
        <f>Prices!B4063</f>
        <v/>
      </c>
      <c r="C4063">
        <f>Prices!C4063</f>
        <v/>
      </c>
      <c r="D4063">
        <f>Prices!D4063</f>
        <v/>
      </c>
      <c r="E4063">
        <f>Prices!E4063</f>
        <v/>
      </c>
      <c r="F4063">
        <f>Prices!F4063</f>
        <v/>
      </c>
      <c r="G4063">
        <f>IF(AND(4061&gt;=16,TEXT(A4063,"yyyy-mm")&lt;&gt;TEXT(A4064,"yyyy-mm")),1,0)</f>
        <v/>
      </c>
      <c r="H4063">
        <f>IF(OR(H4062=1,G4063=1),1,0)</f>
        <v/>
      </c>
      <c r="I4063">
        <f>IF(H4062=0,1,SUMPRODUCT(J4062:N4062,B4063:F4063)+O4062*(1+0.00023125256064071564))</f>
        <v/>
      </c>
      <c r="J4063">
        <f>IF(G4063=1,0.2*R4063/B4063,J4062)</f>
        <v/>
      </c>
      <c r="K4063">
        <f>IF(G4063=1,0.2*R4063/C4063,K4062)</f>
        <v/>
      </c>
      <c r="L4063">
        <f>IF(G4063=1,0.2*R4063/D4063,L4062)</f>
        <v/>
      </c>
      <c r="M4063">
        <f>IF(G4063=1,0.2*R4063/E4063,M4062)</f>
        <v/>
      </c>
      <c r="N4063">
        <f>IF(G4063=1,0.2*R4063/F4063,N4062)</f>
        <v/>
      </c>
      <c r="O4063">
        <f>IF(G4063=1,R4063*(1-1.0),IF(H4062=0,1,O4062*(1+0.00023125256064071564)))</f>
        <v/>
      </c>
      <c r="P4063">
        <f>IF(G4063=1,IF(H4062=0,1,ABS(0.2-J4062*B4063/I4063)+ABS(0.2-K4062*C4063/I4063)+ABS(0.2-L4062*D4063/I4063)+ABS(0.2-M4062*E4063/I4063)+ABS(0.2-N4062*F4063/I4063)),0)</f>
        <v/>
      </c>
      <c r="Q4063">
        <f>P4063*0.0015</f>
        <v/>
      </c>
      <c r="R4063">
        <f>I4063*(1-Q4063)</f>
        <v/>
      </c>
      <c r="S4063">
        <f>R4063/R4062-1</f>
        <v/>
      </c>
      <c r="T4063">
        <f>MAX(T4062,R4063)</f>
        <v/>
      </c>
      <c r="U4063">
        <f>R4063/T4063-1</f>
        <v/>
      </c>
      <c r="V4063" t="n">
        <v>14.78605351302144</v>
      </c>
      <c r="W4063" s="5">
        <f>R4063-V4063</f>
        <v/>
      </c>
    </row>
    <row r="4064">
      <c r="A4064" s="3" t="n">
        <v>44425</v>
      </c>
      <c r="B4064">
        <f>Prices!B4064</f>
        <v/>
      </c>
      <c r="C4064">
        <f>Prices!C4064</f>
        <v/>
      </c>
      <c r="D4064">
        <f>Prices!D4064</f>
        <v/>
      </c>
      <c r="E4064">
        <f>Prices!E4064</f>
        <v/>
      </c>
      <c r="F4064">
        <f>Prices!F4064</f>
        <v/>
      </c>
      <c r="G4064">
        <f>IF(AND(4062&gt;=16,TEXT(A4064,"yyyy-mm")&lt;&gt;TEXT(A4065,"yyyy-mm")),1,0)</f>
        <v/>
      </c>
      <c r="H4064">
        <f>IF(OR(H4063=1,G4064=1),1,0)</f>
        <v/>
      </c>
      <c r="I4064">
        <f>IF(H4063=0,1,SUMPRODUCT(J4063:N4063,B4064:F4064)+O4063*(1+0.00023125256064071564))</f>
        <v/>
      </c>
      <c r="J4064">
        <f>IF(G4064=1,0.2*R4064/B4064,J4063)</f>
        <v/>
      </c>
      <c r="K4064">
        <f>IF(G4064=1,0.2*R4064/C4064,K4063)</f>
        <v/>
      </c>
      <c r="L4064">
        <f>IF(G4064=1,0.2*R4064/D4064,L4063)</f>
        <v/>
      </c>
      <c r="M4064">
        <f>IF(G4064=1,0.2*R4064/E4064,M4063)</f>
        <v/>
      </c>
      <c r="N4064">
        <f>IF(G4064=1,0.2*R4064/F4064,N4063)</f>
        <v/>
      </c>
      <c r="O4064">
        <f>IF(G4064=1,R4064*(1-1.0),IF(H4063=0,1,O4063*(1+0.00023125256064071564)))</f>
        <v/>
      </c>
      <c r="P4064">
        <f>IF(G4064=1,IF(H4063=0,1,ABS(0.2-J4063*B4064/I4064)+ABS(0.2-K4063*C4064/I4064)+ABS(0.2-L4063*D4064/I4064)+ABS(0.2-M4063*E4064/I4064)+ABS(0.2-N4063*F4064/I4064)),0)</f>
        <v/>
      </c>
      <c r="Q4064">
        <f>P4064*0.0015</f>
        <v/>
      </c>
      <c r="R4064">
        <f>I4064*(1-Q4064)</f>
        <v/>
      </c>
      <c r="S4064">
        <f>R4064/R4063-1</f>
        <v/>
      </c>
      <c r="T4064">
        <f>MAX(T4063,R4064)</f>
        <v/>
      </c>
      <c r="U4064">
        <f>R4064/T4064-1</f>
        <v/>
      </c>
      <c r="V4064" t="n">
        <v>14.84443173150818</v>
      </c>
      <c r="W4064" s="5">
        <f>R4064-V4064</f>
        <v/>
      </c>
    </row>
    <row r="4065">
      <c r="A4065" s="3" t="n">
        <v>44426</v>
      </c>
      <c r="B4065">
        <f>Prices!B4065</f>
        <v/>
      </c>
      <c r="C4065">
        <f>Prices!C4065</f>
        <v/>
      </c>
      <c r="D4065">
        <f>Prices!D4065</f>
        <v/>
      </c>
      <c r="E4065">
        <f>Prices!E4065</f>
        <v/>
      </c>
      <c r="F4065">
        <f>Prices!F4065</f>
        <v/>
      </c>
      <c r="G4065">
        <f>IF(AND(4063&gt;=16,TEXT(A4065,"yyyy-mm")&lt;&gt;TEXT(A4066,"yyyy-mm")),1,0)</f>
        <v/>
      </c>
      <c r="H4065">
        <f>IF(OR(H4064=1,G4065=1),1,0)</f>
        <v/>
      </c>
      <c r="I4065">
        <f>IF(H4064=0,1,SUMPRODUCT(J4064:N4064,B4065:F4065)+O4064*(1+0.00023125256064071564))</f>
        <v/>
      </c>
      <c r="J4065">
        <f>IF(G4065=1,0.2*R4065/B4065,J4064)</f>
        <v/>
      </c>
      <c r="K4065">
        <f>IF(G4065=1,0.2*R4065/C4065,K4064)</f>
        <v/>
      </c>
      <c r="L4065">
        <f>IF(G4065=1,0.2*R4065/D4065,L4064)</f>
        <v/>
      </c>
      <c r="M4065">
        <f>IF(G4065=1,0.2*R4065/E4065,M4064)</f>
        <v/>
      </c>
      <c r="N4065">
        <f>IF(G4065=1,0.2*R4065/F4065,N4064)</f>
        <v/>
      </c>
      <c r="O4065">
        <f>IF(G4065=1,R4065*(1-1.0),IF(H4064=0,1,O4064*(1+0.00023125256064071564)))</f>
        <v/>
      </c>
      <c r="P4065">
        <f>IF(G4065=1,IF(H4064=0,1,ABS(0.2-J4064*B4065/I4065)+ABS(0.2-K4064*C4065/I4065)+ABS(0.2-L4064*D4065/I4065)+ABS(0.2-M4064*E4065/I4065)+ABS(0.2-N4064*F4065/I4065)),0)</f>
        <v/>
      </c>
      <c r="Q4065">
        <f>P4065*0.0015</f>
        <v/>
      </c>
      <c r="R4065">
        <f>I4065*(1-Q4065)</f>
        <v/>
      </c>
      <c r="S4065">
        <f>R4065/R4064-1</f>
        <v/>
      </c>
      <c r="T4065">
        <f>MAX(T4064,R4065)</f>
        <v/>
      </c>
      <c r="U4065">
        <f>R4065/T4065-1</f>
        <v/>
      </c>
      <c r="V4065" t="n">
        <v>14.85325136103891</v>
      </c>
      <c r="W4065" s="5">
        <f>R4065-V4065</f>
        <v/>
      </c>
    </row>
    <row r="4066">
      <c r="A4066" s="3" t="n">
        <v>44428</v>
      </c>
      <c r="B4066">
        <f>Prices!B4066</f>
        <v/>
      </c>
      <c r="C4066">
        <f>Prices!C4066</f>
        <v/>
      </c>
      <c r="D4066">
        <f>Prices!D4066</f>
        <v/>
      </c>
      <c r="E4066">
        <f>Prices!E4066</f>
        <v/>
      </c>
      <c r="F4066">
        <f>Prices!F4066</f>
        <v/>
      </c>
      <c r="G4066">
        <f>IF(AND(4064&gt;=16,TEXT(A4066,"yyyy-mm")&lt;&gt;TEXT(A4067,"yyyy-mm")),1,0)</f>
        <v/>
      </c>
      <c r="H4066">
        <f>IF(OR(H4065=1,G4066=1),1,0)</f>
        <v/>
      </c>
      <c r="I4066">
        <f>IF(H4065=0,1,SUMPRODUCT(J4065:N4065,B4066:F4066)+O4065*(1+0.00023125256064071564))</f>
        <v/>
      </c>
      <c r="J4066">
        <f>IF(G4066=1,0.2*R4066/B4066,J4065)</f>
        <v/>
      </c>
      <c r="K4066">
        <f>IF(G4066=1,0.2*R4066/C4066,K4065)</f>
        <v/>
      </c>
      <c r="L4066">
        <f>IF(G4066=1,0.2*R4066/D4066,L4065)</f>
        <v/>
      </c>
      <c r="M4066">
        <f>IF(G4066=1,0.2*R4066/E4066,M4065)</f>
        <v/>
      </c>
      <c r="N4066">
        <f>IF(G4066=1,0.2*R4066/F4066,N4065)</f>
        <v/>
      </c>
      <c r="O4066">
        <f>IF(G4066=1,R4066*(1-1.0),IF(H4065=0,1,O4065*(1+0.00023125256064071564)))</f>
        <v/>
      </c>
      <c r="P4066">
        <f>IF(G4066=1,IF(H4065=0,1,ABS(0.2-J4065*B4066/I4066)+ABS(0.2-K4065*C4066/I4066)+ABS(0.2-L4065*D4066/I4066)+ABS(0.2-M4065*E4066/I4066)+ABS(0.2-N4065*F4066/I4066)),0)</f>
        <v/>
      </c>
      <c r="Q4066">
        <f>P4066*0.0015</f>
        <v/>
      </c>
      <c r="R4066">
        <f>I4066*(1-Q4066)</f>
        <v/>
      </c>
      <c r="S4066">
        <f>R4066/R4065-1</f>
        <v/>
      </c>
      <c r="T4066">
        <f>MAX(T4065,R4066)</f>
        <v/>
      </c>
      <c r="U4066">
        <f>R4066/T4066-1</f>
        <v/>
      </c>
      <c r="V4066" t="n">
        <v>14.62106145941743</v>
      </c>
      <c r="W4066" s="5">
        <f>R4066-V4066</f>
        <v/>
      </c>
    </row>
    <row r="4067">
      <c r="A4067" s="3" t="n">
        <v>44431</v>
      </c>
      <c r="B4067">
        <f>Prices!B4067</f>
        <v/>
      </c>
      <c r="C4067">
        <f>Prices!C4067</f>
        <v/>
      </c>
      <c r="D4067">
        <f>Prices!D4067</f>
        <v/>
      </c>
      <c r="E4067">
        <f>Prices!E4067</f>
        <v/>
      </c>
      <c r="F4067">
        <f>Prices!F4067</f>
        <v/>
      </c>
      <c r="G4067">
        <f>IF(AND(4065&gt;=16,TEXT(A4067,"yyyy-mm")&lt;&gt;TEXT(A4068,"yyyy-mm")),1,0)</f>
        <v/>
      </c>
      <c r="H4067">
        <f>IF(OR(H4066=1,G4067=1),1,0)</f>
        <v/>
      </c>
      <c r="I4067">
        <f>IF(H4066=0,1,SUMPRODUCT(J4066:N4066,B4067:F4067)+O4066*(1+0.00023125256064071564))</f>
        <v/>
      </c>
      <c r="J4067">
        <f>IF(G4067=1,0.2*R4067/B4067,J4066)</f>
        <v/>
      </c>
      <c r="K4067">
        <f>IF(G4067=1,0.2*R4067/C4067,K4066)</f>
        <v/>
      </c>
      <c r="L4067">
        <f>IF(G4067=1,0.2*R4067/D4067,L4066)</f>
        <v/>
      </c>
      <c r="M4067">
        <f>IF(G4067=1,0.2*R4067/E4067,M4066)</f>
        <v/>
      </c>
      <c r="N4067">
        <f>IF(G4067=1,0.2*R4067/F4067,N4066)</f>
        <v/>
      </c>
      <c r="O4067">
        <f>IF(G4067=1,R4067*(1-1.0),IF(H4066=0,1,O4066*(1+0.00023125256064071564)))</f>
        <v/>
      </c>
      <c r="P4067">
        <f>IF(G4067=1,IF(H4066=0,1,ABS(0.2-J4066*B4067/I4067)+ABS(0.2-K4066*C4067/I4067)+ABS(0.2-L4066*D4067/I4067)+ABS(0.2-M4066*E4067/I4067)+ABS(0.2-N4066*F4067/I4067)),0)</f>
        <v/>
      </c>
      <c r="Q4067">
        <f>P4067*0.0015</f>
        <v/>
      </c>
      <c r="R4067">
        <f>I4067*(1-Q4067)</f>
        <v/>
      </c>
      <c r="S4067">
        <f>R4067/R4066-1</f>
        <v/>
      </c>
      <c r="T4067">
        <f>MAX(T4066,R4067)</f>
        <v/>
      </c>
      <c r="U4067">
        <f>R4067/T4067-1</f>
        <v/>
      </c>
      <c r="V4067" t="n">
        <v>14.50600560925177</v>
      </c>
      <c r="W4067" s="5">
        <f>R4067-V4067</f>
        <v/>
      </c>
    </row>
    <row r="4068">
      <c r="A4068" s="3" t="n">
        <v>44432</v>
      </c>
      <c r="B4068">
        <f>Prices!B4068</f>
        <v/>
      </c>
      <c r="C4068">
        <f>Prices!C4068</f>
        <v/>
      </c>
      <c r="D4068">
        <f>Prices!D4068</f>
        <v/>
      </c>
      <c r="E4068">
        <f>Prices!E4068</f>
        <v/>
      </c>
      <c r="F4068">
        <f>Prices!F4068</f>
        <v/>
      </c>
      <c r="G4068">
        <f>IF(AND(4066&gt;=16,TEXT(A4068,"yyyy-mm")&lt;&gt;TEXT(A4069,"yyyy-mm")),1,0)</f>
        <v/>
      </c>
      <c r="H4068">
        <f>IF(OR(H4067=1,G4068=1),1,0)</f>
        <v/>
      </c>
      <c r="I4068">
        <f>IF(H4067=0,1,SUMPRODUCT(J4067:N4067,B4068:F4068)+O4067*(1+0.00023125256064071564))</f>
        <v/>
      </c>
      <c r="J4068">
        <f>IF(G4068=1,0.2*R4068/B4068,J4067)</f>
        <v/>
      </c>
      <c r="K4068">
        <f>IF(G4068=1,0.2*R4068/C4068,K4067)</f>
        <v/>
      </c>
      <c r="L4068">
        <f>IF(G4068=1,0.2*R4068/D4068,L4067)</f>
        <v/>
      </c>
      <c r="M4068">
        <f>IF(G4068=1,0.2*R4068/E4068,M4067)</f>
        <v/>
      </c>
      <c r="N4068">
        <f>IF(G4068=1,0.2*R4068/F4068,N4067)</f>
        <v/>
      </c>
      <c r="O4068">
        <f>IF(G4068=1,R4068*(1-1.0),IF(H4067=0,1,O4067*(1+0.00023125256064071564)))</f>
        <v/>
      </c>
      <c r="P4068">
        <f>IF(G4068=1,IF(H4067=0,1,ABS(0.2-J4067*B4068/I4068)+ABS(0.2-K4067*C4068/I4068)+ABS(0.2-L4067*D4068/I4068)+ABS(0.2-M4067*E4068/I4068)+ABS(0.2-N4067*F4068/I4068)),0)</f>
        <v/>
      </c>
      <c r="Q4068">
        <f>P4068*0.0015</f>
        <v/>
      </c>
      <c r="R4068">
        <f>I4068*(1-Q4068)</f>
        <v/>
      </c>
      <c r="S4068">
        <f>R4068/R4067-1</f>
        <v/>
      </c>
      <c r="T4068">
        <f>MAX(T4067,R4068)</f>
        <v/>
      </c>
      <c r="U4068">
        <f>R4068/T4068-1</f>
        <v/>
      </c>
      <c r="V4068" t="n">
        <v>14.70139096743412</v>
      </c>
      <c r="W4068" s="5">
        <f>R4068-V4068</f>
        <v/>
      </c>
    </row>
    <row r="4069">
      <c r="A4069" s="3" t="n">
        <v>44433</v>
      </c>
      <c r="B4069">
        <f>Prices!B4069</f>
        <v/>
      </c>
      <c r="C4069">
        <f>Prices!C4069</f>
        <v/>
      </c>
      <c r="D4069">
        <f>Prices!D4069</f>
        <v/>
      </c>
      <c r="E4069">
        <f>Prices!E4069</f>
        <v/>
      </c>
      <c r="F4069">
        <f>Prices!F4069</f>
        <v/>
      </c>
      <c r="G4069">
        <f>IF(AND(4067&gt;=16,TEXT(A4069,"yyyy-mm")&lt;&gt;TEXT(A4070,"yyyy-mm")),1,0)</f>
        <v/>
      </c>
      <c r="H4069">
        <f>IF(OR(H4068=1,G4069=1),1,0)</f>
        <v/>
      </c>
      <c r="I4069">
        <f>IF(H4068=0,1,SUMPRODUCT(J4068:N4068,B4069:F4069)+O4068*(1+0.00023125256064071564))</f>
        <v/>
      </c>
      <c r="J4069">
        <f>IF(G4069=1,0.2*R4069/B4069,J4068)</f>
        <v/>
      </c>
      <c r="K4069">
        <f>IF(G4069=1,0.2*R4069/C4069,K4068)</f>
        <v/>
      </c>
      <c r="L4069">
        <f>IF(G4069=1,0.2*R4069/D4069,L4068)</f>
        <v/>
      </c>
      <c r="M4069">
        <f>IF(G4069=1,0.2*R4069/E4069,M4068)</f>
        <v/>
      </c>
      <c r="N4069">
        <f>IF(G4069=1,0.2*R4069/F4069,N4068)</f>
        <v/>
      </c>
      <c r="O4069">
        <f>IF(G4069=1,R4069*(1-1.0),IF(H4068=0,1,O4068*(1+0.00023125256064071564)))</f>
        <v/>
      </c>
      <c r="P4069">
        <f>IF(G4069=1,IF(H4068=0,1,ABS(0.2-J4068*B4069/I4069)+ABS(0.2-K4068*C4069/I4069)+ABS(0.2-L4068*D4069/I4069)+ABS(0.2-M4068*E4069/I4069)+ABS(0.2-N4068*F4069/I4069)),0)</f>
        <v/>
      </c>
      <c r="Q4069">
        <f>P4069*0.0015</f>
        <v/>
      </c>
      <c r="R4069">
        <f>I4069*(1-Q4069)</f>
        <v/>
      </c>
      <c r="S4069">
        <f>R4069/R4068-1</f>
        <v/>
      </c>
      <c r="T4069">
        <f>MAX(T4068,R4069)</f>
        <v/>
      </c>
      <c r="U4069">
        <f>R4069/T4069-1</f>
        <v/>
      </c>
      <c r="V4069" t="n">
        <v>14.79787958198917</v>
      </c>
      <c r="W4069" s="5">
        <f>R4069-V4069</f>
        <v/>
      </c>
    </row>
    <row r="4070">
      <c r="A4070" s="3" t="n">
        <v>44434</v>
      </c>
      <c r="B4070">
        <f>Prices!B4070</f>
        <v/>
      </c>
      <c r="C4070">
        <f>Prices!C4070</f>
        <v/>
      </c>
      <c r="D4070">
        <f>Prices!D4070</f>
        <v/>
      </c>
      <c r="E4070">
        <f>Prices!E4070</f>
        <v/>
      </c>
      <c r="F4070">
        <f>Prices!F4070</f>
        <v/>
      </c>
      <c r="G4070">
        <f>IF(AND(4068&gt;=16,TEXT(A4070,"yyyy-mm")&lt;&gt;TEXT(A4071,"yyyy-mm")),1,0)</f>
        <v/>
      </c>
      <c r="H4070">
        <f>IF(OR(H4069=1,G4070=1),1,0)</f>
        <v/>
      </c>
      <c r="I4070">
        <f>IF(H4069=0,1,SUMPRODUCT(J4069:N4069,B4070:F4070)+O4069*(1+0.00023125256064071564))</f>
        <v/>
      </c>
      <c r="J4070">
        <f>IF(G4070=1,0.2*R4070/B4070,J4069)</f>
        <v/>
      </c>
      <c r="K4070">
        <f>IF(G4070=1,0.2*R4070/C4070,K4069)</f>
        <v/>
      </c>
      <c r="L4070">
        <f>IF(G4070=1,0.2*R4070/D4070,L4069)</f>
        <v/>
      </c>
      <c r="M4070">
        <f>IF(G4070=1,0.2*R4070/E4070,M4069)</f>
        <v/>
      </c>
      <c r="N4070">
        <f>IF(G4070=1,0.2*R4070/F4070,N4069)</f>
        <v/>
      </c>
      <c r="O4070">
        <f>IF(G4070=1,R4070*(1-1.0),IF(H4069=0,1,O4069*(1+0.00023125256064071564)))</f>
        <v/>
      </c>
      <c r="P4070">
        <f>IF(G4070=1,IF(H4069=0,1,ABS(0.2-J4069*B4070/I4070)+ABS(0.2-K4069*C4070/I4070)+ABS(0.2-L4069*D4070/I4070)+ABS(0.2-M4069*E4070/I4070)+ABS(0.2-N4069*F4070/I4070)),0)</f>
        <v/>
      </c>
      <c r="Q4070">
        <f>P4070*0.0015</f>
        <v/>
      </c>
      <c r="R4070">
        <f>I4070*(1-Q4070)</f>
        <v/>
      </c>
      <c r="S4070">
        <f>R4070/R4069-1</f>
        <v/>
      </c>
      <c r="T4070">
        <f>MAX(T4069,R4070)</f>
        <v/>
      </c>
      <c r="U4070">
        <f>R4070/T4070-1</f>
        <v/>
      </c>
      <c r="V4070" t="n">
        <v>14.82453282027505</v>
      </c>
      <c r="W4070" s="5">
        <f>R4070-V4070</f>
        <v/>
      </c>
    </row>
    <row r="4071">
      <c r="A4071" s="3" t="n">
        <v>44435</v>
      </c>
      <c r="B4071">
        <f>Prices!B4071</f>
        <v/>
      </c>
      <c r="C4071">
        <f>Prices!C4071</f>
        <v/>
      </c>
      <c r="D4071">
        <f>Prices!D4071</f>
        <v/>
      </c>
      <c r="E4071">
        <f>Prices!E4071</f>
        <v/>
      </c>
      <c r="F4071">
        <f>Prices!F4071</f>
        <v/>
      </c>
      <c r="G4071">
        <f>IF(AND(4069&gt;=16,TEXT(A4071,"yyyy-mm")&lt;&gt;TEXT(A4072,"yyyy-mm")),1,0)</f>
        <v/>
      </c>
      <c r="H4071">
        <f>IF(OR(H4070=1,G4071=1),1,0)</f>
        <v/>
      </c>
      <c r="I4071">
        <f>IF(H4070=0,1,SUMPRODUCT(J4070:N4070,B4071:F4071)+O4070*(1+0.00023125256064071564))</f>
        <v/>
      </c>
      <c r="J4071">
        <f>IF(G4071=1,0.2*R4071/B4071,J4070)</f>
        <v/>
      </c>
      <c r="K4071">
        <f>IF(G4071=1,0.2*R4071/C4071,K4070)</f>
        <v/>
      </c>
      <c r="L4071">
        <f>IF(G4071=1,0.2*R4071/D4071,L4070)</f>
        <v/>
      </c>
      <c r="M4071">
        <f>IF(G4071=1,0.2*R4071/E4071,M4070)</f>
        <v/>
      </c>
      <c r="N4071">
        <f>IF(G4071=1,0.2*R4071/F4071,N4070)</f>
        <v/>
      </c>
      <c r="O4071">
        <f>IF(G4071=1,R4071*(1-1.0),IF(H4070=0,1,O4070*(1+0.00023125256064071564)))</f>
        <v/>
      </c>
      <c r="P4071">
        <f>IF(G4071=1,IF(H4070=0,1,ABS(0.2-J4070*B4071/I4071)+ABS(0.2-K4070*C4071/I4071)+ABS(0.2-L4070*D4071/I4071)+ABS(0.2-M4070*E4071/I4071)+ABS(0.2-N4070*F4071/I4071)),0)</f>
        <v/>
      </c>
      <c r="Q4071">
        <f>P4071*0.0015</f>
        <v/>
      </c>
      <c r="R4071">
        <f>I4071*(1-Q4071)</f>
        <v/>
      </c>
      <c r="S4071">
        <f>R4071/R4070-1</f>
        <v/>
      </c>
      <c r="T4071">
        <f>MAX(T4070,R4071)</f>
        <v/>
      </c>
      <c r="U4071">
        <f>R4071/T4071-1</f>
        <v/>
      </c>
      <c r="V4071" t="n">
        <v>14.96324248617933</v>
      </c>
      <c r="W4071" s="5">
        <f>R4071-V4071</f>
        <v/>
      </c>
    </row>
    <row r="4072">
      <c r="A4072" s="3" t="n">
        <v>44438</v>
      </c>
      <c r="B4072">
        <f>Prices!B4072</f>
        <v/>
      </c>
      <c r="C4072">
        <f>Prices!C4072</f>
        <v/>
      </c>
      <c r="D4072">
        <f>Prices!D4072</f>
        <v/>
      </c>
      <c r="E4072">
        <f>Prices!E4072</f>
        <v/>
      </c>
      <c r="F4072">
        <f>Prices!F4072</f>
        <v/>
      </c>
      <c r="G4072">
        <f>IF(AND(4070&gt;=16,TEXT(A4072,"yyyy-mm")&lt;&gt;TEXT(A4073,"yyyy-mm")),1,0)</f>
        <v/>
      </c>
      <c r="H4072">
        <f>IF(OR(H4071=1,G4072=1),1,0)</f>
        <v/>
      </c>
      <c r="I4072">
        <f>IF(H4071=0,1,SUMPRODUCT(J4071:N4071,B4072:F4072)+O4071*(1+0.00023125256064071564))</f>
        <v/>
      </c>
      <c r="J4072">
        <f>IF(G4072=1,0.2*R4072/B4072,J4071)</f>
        <v/>
      </c>
      <c r="K4072">
        <f>IF(G4072=1,0.2*R4072/C4072,K4071)</f>
        <v/>
      </c>
      <c r="L4072">
        <f>IF(G4072=1,0.2*R4072/D4072,L4071)</f>
        <v/>
      </c>
      <c r="M4072">
        <f>IF(G4072=1,0.2*R4072/E4072,M4071)</f>
        <v/>
      </c>
      <c r="N4072">
        <f>IF(G4072=1,0.2*R4072/F4072,N4071)</f>
        <v/>
      </c>
      <c r="O4072">
        <f>IF(G4072=1,R4072*(1-1.0),IF(H4071=0,1,O4071*(1+0.00023125256064071564)))</f>
        <v/>
      </c>
      <c r="P4072">
        <f>IF(G4072=1,IF(H4071=0,1,ABS(0.2-J4071*B4072/I4072)+ABS(0.2-K4071*C4072/I4072)+ABS(0.2-L4071*D4072/I4072)+ABS(0.2-M4071*E4072/I4072)+ABS(0.2-N4071*F4072/I4072)),0)</f>
        <v/>
      </c>
      <c r="Q4072">
        <f>P4072*0.0015</f>
        <v/>
      </c>
      <c r="R4072">
        <f>I4072*(1-Q4072)</f>
        <v/>
      </c>
      <c r="S4072">
        <f>R4072/R4071-1</f>
        <v/>
      </c>
      <c r="T4072">
        <f>MAX(T4071,R4072)</f>
        <v/>
      </c>
      <c r="U4072">
        <f>R4072/T4072-1</f>
        <v/>
      </c>
      <c r="V4072" t="n">
        <v>15.19571303817873</v>
      </c>
      <c r="W4072" s="5">
        <f>R4072-V4072</f>
        <v/>
      </c>
    </row>
    <row r="4073">
      <c r="A4073" s="3" t="n">
        <v>44439</v>
      </c>
      <c r="B4073">
        <f>Prices!B4073</f>
        <v/>
      </c>
      <c r="C4073">
        <f>Prices!C4073</f>
        <v/>
      </c>
      <c r="D4073">
        <f>Prices!D4073</f>
        <v/>
      </c>
      <c r="E4073">
        <f>Prices!E4073</f>
        <v/>
      </c>
      <c r="F4073">
        <f>Prices!F4073</f>
        <v/>
      </c>
      <c r="G4073">
        <f>IF(AND(4071&gt;=16,TEXT(A4073,"yyyy-mm")&lt;&gt;TEXT(A4074,"yyyy-mm")),1,0)</f>
        <v/>
      </c>
      <c r="H4073">
        <f>IF(OR(H4072=1,G4073=1),1,0)</f>
        <v/>
      </c>
      <c r="I4073">
        <f>IF(H4072=0,1,SUMPRODUCT(J4072:N4072,B4073:F4073)+O4072*(1+0.00023125256064071564))</f>
        <v/>
      </c>
      <c r="J4073">
        <f>IF(G4073=1,0.2*R4073/B4073,J4072)</f>
        <v/>
      </c>
      <c r="K4073">
        <f>IF(G4073=1,0.2*R4073/C4073,K4072)</f>
        <v/>
      </c>
      <c r="L4073">
        <f>IF(G4073=1,0.2*R4073/D4073,L4072)</f>
        <v/>
      </c>
      <c r="M4073">
        <f>IF(G4073=1,0.2*R4073/E4073,M4072)</f>
        <v/>
      </c>
      <c r="N4073">
        <f>IF(G4073=1,0.2*R4073/F4073,N4072)</f>
        <v/>
      </c>
      <c r="O4073">
        <f>IF(G4073=1,R4073*(1-1.0),IF(H4072=0,1,O4072*(1+0.00023125256064071564)))</f>
        <v/>
      </c>
      <c r="P4073">
        <f>IF(G4073=1,IF(H4072=0,1,ABS(0.2-J4072*B4073/I4073)+ABS(0.2-K4072*C4073/I4073)+ABS(0.2-L4072*D4073/I4073)+ABS(0.2-M4072*E4073/I4073)+ABS(0.2-N4072*F4073/I4073)),0)</f>
        <v/>
      </c>
      <c r="Q4073">
        <f>P4073*0.0015</f>
        <v/>
      </c>
      <c r="R4073">
        <f>I4073*(1-Q4073)</f>
        <v/>
      </c>
      <c r="S4073">
        <f>R4073/R4072-1</f>
        <v/>
      </c>
      <c r="T4073">
        <f>MAX(T4072,R4073)</f>
        <v/>
      </c>
      <c r="U4073">
        <f>R4073/T4073-1</f>
        <v/>
      </c>
      <c r="V4073" t="n">
        <v>15.34867392428629</v>
      </c>
      <c r="W4073" s="5">
        <f>R4073-V4073</f>
        <v/>
      </c>
    </row>
    <row r="4074">
      <c r="A4074" s="3" t="n">
        <v>44440</v>
      </c>
      <c r="B4074">
        <f>Prices!B4074</f>
        <v/>
      </c>
      <c r="C4074">
        <f>Prices!C4074</f>
        <v/>
      </c>
      <c r="D4074">
        <f>Prices!D4074</f>
        <v/>
      </c>
      <c r="E4074">
        <f>Prices!E4074</f>
        <v/>
      </c>
      <c r="F4074">
        <f>Prices!F4074</f>
        <v/>
      </c>
      <c r="G4074">
        <f>IF(AND(4072&gt;=16,TEXT(A4074,"yyyy-mm")&lt;&gt;TEXT(A4075,"yyyy-mm")),1,0)</f>
        <v/>
      </c>
      <c r="H4074">
        <f>IF(OR(H4073=1,G4074=1),1,0)</f>
        <v/>
      </c>
      <c r="I4074">
        <f>IF(H4073=0,1,SUMPRODUCT(J4073:N4073,B4074:F4074)+O4073*(1+0.00023125256064071564))</f>
        <v/>
      </c>
      <c r="J4074">
        <f>IF(G4074=1,0.2*R4074/B4074,J4073)</f>
        <v/>
      </c>
      <c r="K4074">
        <f>IF(G4074=1,0.2*R4074/C4074,K4073)</f>
        <v/>
      </c>
      <c r="L4074">
        <f>IF(G4074=1,0.2*R4074/D4074,L4073)</f>
        <v/>
      </c>
      <c r="M4074">
        <f>IF(G4074=1,0.2*R4074/E4074,M4073)</f>
        <v/>
      </c>
      <c r="N4074">
        <f>IF(G4074=1,0.2*R4074/F4074,N4073)</f>
        <v/>
      </c>
      <c r="O4074">
        <f>IF(G4074=1,R4074*(1-1.0),IF(H4073=0,1,O4073*(1+0.00023125256064071564)))</f>
        <v/>
      </c>
      <c r="P4074">
        <f>IF(G4074=1,IF(H4073=0,1,ABS(0.2-J4073*B4074/I4074)+ABS(0.2-K4073*C4074/I4074)+ABS(0.2-L4073*D4074/I4074)+ABS(0.2-M4073*E4074/I4074)+ABS(0.2-N4073*F4074/I4074)),0)</f>
        <v/>
      </c>
      <c r="Q4074">
        <f>P4074*0.0015</f>
        <v/>
      </c>
      <c r="R4074">
        <f>I4074*(1-Q4074)</f>
        <v/>
      </c>
      <c r="S4074">
        <f>R4074/R4073-1</f>
        <v/>
      </c>
      <c r="T4074">
        <f>MAX(T4073,R4074)</f>
        <v/>
      </c>
      <c r="U4074">
        <f>R4074/T4074-1</f>
        <v/>
      </c>
      <c r="V4074" t="n">
        <v>15.40036328180064</v>
      </c>
      <c r="W4074" s="5">
        <f>R4074-V4074</f>
        <v/>
      </c>
    </row>
    <row r="4075">
      <c r="A4075" s="3" t="n">
        <v>44441</v>
      </c>
      <c r="B4075">
        <f>Prices!B4075</f>
        <v/>
      </c>
      <c r="C4075">
        <f>Prices!C4075</f>
        <v/>
      </c>
      <c r="D4075">
        <f>Prices!D4075</f>
        <v/>
      </c>
      <c r="E4075">
        <f>Prices!E4075</f>
        <v/>
      </c>
      <c r="F4075">
        <f>Prices!F4075</f>
        <v/>
      </c>
      <c r="G4075">
        <f>IF(AND(4073&gt;=16,TEXT(A4075,"yyyy-mm")&lt;&gt;TEXT(A4076,"yyyy-mm")),1,0)</f>
        <v/>
      </c>
      <c r="H4075">
        <f>IF(OR(H4074=1,G4075=1),1,0)</f>
        <v/>
      </c>
      <c r="I4075">
        <f>IF(H4074=0,1,SUMPRODUCT(J4074:N4074,B4075:F4075)+O4074*(1+0.00023125256064071564))</f>
        <v/>
      </c>
      <c r="J4075">
        <f>IF(G4075=1,0.2*R4075/B4075,J4074)</f>
        <v/>
      </c>
      <c r="K4075">
        <f>IF(G4075=1,0.2*R4075/C4075,K4074)</f>
        <v/>
      </c>
      <c r="L4075">
        <f>IF(G4075=1,0.2*R4075/D4075,L4074)</f>
        <v/>
      </c>
      <c r="M4075">
        <f>IF(G4075=1,0.2*R4075/E4075,M4074)</f>
        <v/>
      </c>
      <c r="N4075">
        <f>IF(G4075=1,0.2*R4075/F4075,N4074)</f>
        <v/>
      </c>
      <c r="O4075">
        <f>IF(G4075=1,R4075*(1-1.0),IF(H4074=0,1,O4074*(1+0.00023125256064071564)))</f>
        <v/>
      </c>
      <c r="P4075">
        <f>IF(G4075=1,IF(H4074=0,1,ABS(0.2-J4074*B4075/I4075)+ABS(0.2-K4074*C4075/I4075)+ABS(0.2-L4074*D4075/I4075)+ABS(0.2-M4074*E4075/I4075)+ABS(0.2-N4074*F4075/I4075)),0)</f>
        <v/>
      </c>
      <c r="Q4075">
        <f>P4075*0.0015</f>
        <v/>
      </c>
      <c r="R4075">
        <f>I4075*(1-Q4075)</f>
        <v/>
      </c>
      <c r="S4075">
        <f>R4075/R4074-1</f>
        <v/>
      </c>
      <c r="T4075">
        <f>MAX(T4074,R4075)</f>
        <v/>
      </c>
      <c r="U4075">
        <f>R4075/T4075-1</f>
        <v/>
      </c>
      <c r="V4075" t="n">
        <v>15.52706592802516</v>
      </c>
      <c r="W4075" s="5">
        <f>R4075-V4075</f>
        <v/>
      </c>
    </row>
    <row r="4076">
      <c r="A4076" s="3" t="n">
        <v>44442</v>
      </c>
      <c r="B4076">
        <f>Prices!B4076</f>
        <v/>
      </c>
      <c r="C4076">
        <f>Prices!C4076</f>
        <v/>
      </c>
      <c r="D4076">
        <f>Prices!D4076</f>
        <v/>
      </c>
      <c r="E4076">
        <f>Prices!E4076</f>
        <v/>
      </c>
      <c r="F4076">
        <f>Prices!F4076</f>
        <v/>
      </c>
      <c r="G4076">
        <f>IF(AND(4074&gt;=16,TEXT(A4076,"yyyy-mm")&lt;&gt;TEXT(A4077,"yyyy-mm")),1,0)</f>
        <v/>
      </c>
      <c r="H4076">
        <f>IF(OR(H4075=1,G4076=1),1,0)</f>
        <v/>
      </c>
      <c r="I4076">
        <f>IF(H4075=0,1,SUMPRODUCT(J4075:N4075,B4076:F4076)+O4075*(1+0.00023125256064071564))</f>
        <v/>
      </c>
      <c r="J4076">
        <f>IF(G4076=1,0.2*R4076/B4076,J4075)</f>
        <v/>
      </c>
      <c r="K4076">
        <f>IF(G4076=1,0.2*R4076/C4076,K4075)</f>
        <v/>
      </c>
      <c r="L4076">
        <f>IF(G4076=1,0.2*R4076/D4076,L4075)</f>
        <v/>
      </c>
      <c r="M4076">
        <f>IF(G4076=1,0.2*R4076/E4076,M4075)</f>
        <v/>
      </c>
      <c r="N4076">
        <f>IF(G4076=1,0.2*R4076/F4076,N4075)</f>
        <v/>
      </c>
      <c r="O4076">
        <f>IF(G4076=1,R4076*(1-1.0),IF(H4075=0,1,O4075*(1+0.00023125256064071564)))</f>
        <v/>
      </c>
      <c r="P4076">
        <f>IF(G4076=1,IF(H4075=0,1,ABS(0.2-J4075*B4076/I4076)+ABS(0.2-K4075*C4076/I4076)+ABS(0.2-L4075*D4076/I4076)+ABS(0.2-M4075*E4076/I4076)+ABS(0.2-N4075*F4076/I4076)),0)</f>
        <v/>
      </c>
      <c r="Q4076">
        <f>P4076*0.0015</f>
        <v/>
      </c>
      <c r="R4076">
        <f>I4076*(1-Q4076)</f>
        <v/>
      </c>
      <c r="S4076">
        <f>R4076/R4075-1</f>
        <v/>
      </c>
      <c r="T4076">
        <f>MAX(T4075,R4076)</f>
        <v/>
      </c>
      <c r="U4076">
        <f>R4076/T4076-1</f>
        <v/>
      </c>
      <c r="V4076" t="n">
        <v>15.61821940437064</v>
      </c>
      <c r="W4076" s="5">
        <f>R4076-V4076</f>
        <v/>
      </c>
    </row>
    <row r="4077">
      <c r="A4077" s="3" t="n">
        <v>44445</v>
      </c>
      <c r="B4077">
        <f>Prices!B4077</f>
        <v/>
      </c>
      <c r="C4077">
        <f>Prices!C4077</f>
        <v/>
      </c>
      <c r="D4077">
        <f>Prices!D4077</f>
        <v/>
      </c>
      <c r="E4077">
        <f>Prices!E4077</f>
        <v/>
      </c>
      <c r="F4077">
        <f>Prices!F4077</f>
        <v/>
      </c>
      <c r="G4077">
        <f>IF(AND(4075&gt;=16,TEXT(A4077,"yyyy-mm")&lt;&gt;TEXT(A4078,"yyyy-mm")),1,0)</f>
        <v/>
      </c>
      <c r="H4077">
        <f>IF(OR(H4076=1,G4077=1),1,0)</f>
        <v/>
      </c>
      <c r="I4077">
        <f>IF(H4076=0,1,SUMPRODUCT(J4076:N4076,B4077:F4077)+O4076*(1+0.00023125256064071564))</f>
        <v/>
      </c>
      <c r="J4077">
        <f>IF(G4077=1,0.2*R4077/B4077,J4076)</f>
        <v/>
      </c>
      <c r="K4077">
        <f>IF(G4077=1,0.2*R4077/C4077,K4076)</f>
        <v/>
      </c>
      <c r="L4077">
        <f>IF(G4077=1,0.2*R4077/D4077,L4076)</f>
        <v/>
      </c>
      <c r="M4077">
        <f>IF(G4077=1,0.2*R4077/E4077,M4076)</f>
        <v/>
      </c>
      <c r="N4077">
        <f>IF(G4077=1,0.2*R4077/F4077,N4076)</f>
        <v/>
      </c>
      <c r="O4077">
        <f>IF(G4077=1,R4077*(1-1.0),IF(H4076=0,1,O4076*(1+0.00023125256064071564)))</f>
        <v/>
      </c>
      <c r="P4077">
        <f>IF(G4077=1,IF(H4076=0,1,ABS(0.2-J4076*B4077/I4077)+ABS(0.2-K4076*C4077/I4077)+ABS(0.2-L4076*D4077/I4077)+ABS(0.2-M4076*E4077/I4077)+ABS(0.2-N4076*F4077/I4077)),0)</f>
        <v/>
      </c>
      <c r="Q4077">
        <f>P4077*0.0015</f>
        <v/>
      </c>
      <c r="R4077">
        <f>I4077*(1-Q4077)</f>
        <v/>
      </c>
      <c r="S4077">
        <f>R4077/R4076-1</f>
        <v/>
      </c>
      <c r="T4077">
        <f>MAX(T4076,R4077)</f>
        <v/>
      </c>
      <c r="U4077">
        <f>R4077/T4077-1</f>
        <v/>
      </c>
      <c r="V4077" t="n">
        <v>15.62690131893022</v>
      </c>
      <c r="W4077" s="5">
        <f>R4077-V4077</f>
        <v/>
      </c>
    </row>
    <row r="4078">
      <c r="A4078" s="3" t="n">
        <v>44446</v>
      </c>
      <c r="B4078">
        <f>Prices!B4078</f>
        <v/>
      </c>
      <c r="C4078">
        <f>Prices!C4078</f>
        <v/>
      </c>
      <c r="D4078">
        <f>Prices!D4078</f>
        <v/>
      </c>
      <c r="E4078">
        <f>Prices!E4078</f>
        <v/>
      </c>
      <c r="F4078">
        <f>Prices!F4078</f>
        <v/>
      </c>
      <c r="G4078">
        <f>IF(AND(4076&gt;=16,TEXT(A4078,"yyyy-mm")&lt;&gt;TEXT(A4079,"yyyy-mm")),1,0)</f>
        <v/>
      </c>
      <c r="H4078">
        <f>IF(OR(H4077=1,G4078=1),1,0)</f>
        <v/>
      </c>
      <c r="I4078">
        <f>IF(H4077=0,1,SUMPRODUCT(J4077:N4077,B4078:F4078)+O4077*(1+0.00023125256064071564))</f>
        <v/>
      </c>
      <c r="J4078">
        <f>IF(G4078=1,0.2*R4078/B4078,J4077)</f>
        <v/>
      </c>
      <c r="K4078">
        <f>IF(G4078=1,0.2*R4078/C4078,K4077)</f>
        <v/>
      </c>
      <c r="L4078">
        <f>IF(G4078=1,0.2*R4078/D4078,L4077)</f>
        <v/>
      </c>
      <c r="M4078">
        <f>IF(G4078=1,0.2*R4078/E4078,M4077)</f>
        <v/>
      </c>
      <c r="N4078">
        <f>IF(G4078=1,0.2*R4078/F4078,N4077)</f>
        <v/>
      </c>
      <c r="O4078">
        <f>IF(G4078=1,R4078*(1-1.0),IF(H4077=0,1,O4077*(1+0.00023125256064071564)))</f>
        <v/>
      </c>
      <c r="P4078">
        <f>IF(G4078=1,IF(H4077=0,1,ABS(0.2-J4077*B4078/I4078)+ABS(0.2-K4077*C4078/I4078)+ABS(0.2-L4077*D4078/I4078)+ABS(0.2-M4077*E4078/I4078)+ABS(0.2-N4077*F4078/I4078)),0)</f>
        <v/>
      </c>
      <c r="Q4078">
        <f>P4078*0.0015</f>
        <v/>
      </c>
      <c r="R4078">
        <f>I4078*(1-Q4078)</f>
        <v/>
      </c>
      <c r="S4078">
        <f>R4078/R4077-1</f>
        <v/>
      </c>
      <c r="T4078">
        <f>MAX(T4077,R4078)</f>
        <v/>
      </c>
      <c r="U4078">
        <f>R4078/T4078-1</f>
        <v/>
      </c>
      <c r="V4078" t="n">
        <v>15.57376985790997</v>
      </c>
      <c r="W4078" s="5">
        <f>R4078-V4078</f>
        <v/>
      </c>
    </row>
    <row r="4079">
      <c r="A4079" s="3" t="n">
        <v>44447</v>
      </c>
      <c r="B4079">
        <f>Prices!B4079</f>
        <v/>
      </c>
      <c r="C4079">
        <f>Prices!C4079</f>
        <v/>
      </c>
      <c r="D4079">
        <f>Prices!D4079</f>
        <v/>
      </c>
      <c r="E4079">
        <f>Prices!E4079</f>
        <v/>
      </c>
      <c r="F4079">
        <f>Prices!F4079</f>
        <v/>
      </c>
      <c r="G4079">
        <f>IF(AND(4077&gt;=16,TEXT(A4079,"yyyy-mm")&lt;&gt;TEXT(A4080,"yyyy-mm")),1,0)</f>
        <v/>
      </c>
      <c r="H4079">
        <f>IF(OR(H4078=1,G4079=1),1,0)</f>
        <v/>
      </c>
      <c r="I4079">
        <f>IF(H4078=0,1,SUMPRODUCT(J4078:N4078,B4079:F4079)+O4078*(1+0.00023125256064071564))</f>
        <v/>
      </c>
      <c r="J4079">
        <f>IF(G4079=1,0.2*R4079/B4079,J4078)</f>
        <v/>
      </c>
      <c r="K4079">
        <f>IF(G4079=1,0.2*R4079/C4079,K4078)</f>
        <v/>
      </c>
      <c r="L4079">
        <f>IF(G4079=1,0.2*R4079/D4079,L4078)</f>
        <v/>
      </c>
      <c r="M4079">
        <f>IF(G4079=1,0.2*R4079/E4079,M4078)</f>
        <v/>
      </c>
      <c r="N4079">
        <f>IF(G4079=1,0.2*R4079/F4079,N4078)</f>
        <v/>
      </c>
      <c r="O4079">
        <f>IF(G4079=1,R4079*(1-1.0),IF(H4078=0,1,O4078*(1+0.00023125256064071564)))</f>
        <v/>
      </c>
      <c r="P4079">
        <f>IF(G4079=1,IF(H4078=0,1,ABS(0.2-J4078*B4079/I4079)+ABS(0.2-K4078*C4079/I4079)+ABS(0.2-L4078*D4079/I4079)+ABS(0.2-M4078*E4079/I4079)+ABS(0.2-N4078*F4079/I4079)),0)</f>
        <v/>
      </c>
      <c r="Q4079">
        <f>P4079*0.0015</f>
        <v/>
      </c>
      <c r="R4079">
        <f>I4079*(1-Q4079)</f>
        <v/>
      </c>
      <c r="S4079">
        <f>R4079/R4078-1</f>
        <v/>
      </c>
      <c r="T4079">
        <f>MAX(T4078,R4079)</f>
        <v/>
      </c>
      <c r="U4079">
        <f>R4079/T4079-1</f>
        <v/>
      </c>
      <c r="V4079" t="n">
        <v>15.61359870162652</v>
      </c>
      <c r="W4079" s="5">
        <f>R4079-V4079</f>
        <v/>
      </c>
    </row>
    <row r="4080">
      <c r="A4080" s="3" t="n">
        <v>44448</v>
      </c>
      <c r="B4080">
        <f>Prices!B4080</f>
        <v/>
      </c>
      <c r="C4080">
        <f>Prices!C4080</f>
        <v/>
      </c>
      <c r="D4080">
        <f>Prices!D4080</f>
        <v/>
      </c>
      <c r="E4080">
        <f>Prices!E4080</f>
        <v/>
      </c>
      <c r="F4080">
        <f>Prices!F4080</f>
        <v/>
      </c>
      <c r="G4080">
        <f>IF(AND(4078&gt;=16,TEXT(A4080,"yyyy-mm")&lt;&gt;TEXT(A4081,"yyyy-mm")),1,0)</f>
        <v/>
      </c>
      <c r="H4080">
        <f>IF(OR(H4079=1,G4080=1),1,0)</f>
        <v/>
      </c>
      <c r="I4080">
        <f>IF(H4079=0,1,SUMPRODUCT(J4079:N4079,B4080:F4080)+O4079*(1+0.00023125256064071564))</f>
        <v/>
      </c>
      <c r="J4080">
        <f>IF(G4080=1,0.2*R4080/B4080,J4079)</f>
        <v/>
      </c>
      <c r="K4080">
        <f>IF(G4080=1,0.2*R4080/C4080,K4079)</f>
        <v/>
      </c>
      <c r="L4080">
        <f>IF(G4080=1,0.2*R4080/D4080,L4079)</f>
        <v/>
      </c>
      <c r="M4080">
        <f>IF(G4080=1,0.2*R4080/E4080,M4079)</f>
        <v/>
      </c>
      <c r="N4080">
        <f>IF(G4080=1,0.2*R4080/F4080,N4079)</f>
        <v/>
      </c>
      <c r="O4080">
        <f>IF(G4080=1,R4080*(1-1.0),IF(H4079=0,1,O4079*(1+0.00023125256064071564)))</f>
        <v/>
      </c>
      <c r="P4080">
        <f>IF(G4080=1,IF(H4079=0,1,ABS(0.2-J4079*B4080/I4080)+ABS(0.2-K4079*C4080/I4080)+ABS(0.2-L4079*D4080/I4080)+ABS(0.2-M4079*E4080/I4080)+ABS(0.2-N4079*F4080/I4080)),0)</f>
        <v/>
      </c>
      <c r="Q4080">
        <f>P4080*0.0015</f>
        <v/>
      </c>
      <c r="R4080">
        <f>I4080*(1-Q4080)</f>
        <v/>
      </c>
      <c r="S4080">
        <f>R4080/R4079-1</f>
        <v/>
      </c>
      <c r="T4080">
        <f>MAX(T4079,R4080)</f>
        <v/>
      </c>
      <c r="U4080">
        <f>R4080/T4080-1</f>
        <v/>
      </c>
      <c r="V4080" t="n">
        <v>15.72903061087402</v>
      </c>
      <c r="W4080" s="5">
        <f>R4080-V4080</f>
        <v/>
      </c>
    </row>
    <row r="4081">
      <c r="A4081" s="3" t="n">
        <v>44452</v>
      </c>
      <c r="B4081">
        <f>Prices!B4081</f>
        <v/>
      </c>
      <c r="C4081">
        <f>Prices!C4081</f>
        <v/>
      </c>
      <c r="D4081">
        <f>Prices!D4081</f>
        <v/>
      </c>
      <c r="E4081">
        <f>Prices!E4081</f>
        <v/>
      </c>
      <c r="F4081">
        <f>Prices!F4081</f>
        <v/>
      </c>
      <c r="G4081">
        <f>IF(AND(4079&gt;=16,TEXT(A4081,"yyyy-mm")&lt;&gt;TEXT(A4082,"yyyy-mm")),1,0)</f>
        <v/>
      </c>
      <c r="H4081">
        <f>IF(OR(H4080=1,G4081=1),1,0)</f>
        <v/>
      </c>
      <c r="I4081">
        <f>IF(H4080=0,1,SUMPRODUCT(J4080:N4080,B4081:F4081)+O4080*(1+0.00023125256064071564))</f>
        <v/>
      </c>
      <c r="J4081">
        <f>IF(G4081=1,0.2*R4081/B4081,J4080)</f>
        <v/>
      </c>
      <c r="K4081">
        <f>IF(G4081=1,0.2*R4081/C4081,K4080)</f>
        <v/>
      </c>
      <c r="L4081">
        <f>IF(G4081=1,0.2*R4081/D4081,L4080)</f>
        <v/>
      </c>
      <c r="M4081">
        <f>IF(G4081=1,0.2*R4081/E4081,M4080)</f>
        <v/>
      </c>
      <c r="N4081">
        <f>IF(G4081=1,0.2*R4081/F4081,N4080)</f>
        <v/>
      </c>
      <c r="O4081">
        <f>IF(G4081=1,R4081*(1-1.0),IF(H4080=0,1,O4080*(1+0.00023125256064071564)))</f>
        <v/>
      </c>
      <c r="P4081">
        <f>IF(G4081=1,IF(H4080=0,1,ABS(0.2-J4080*B4081/I4081)+ABS(0.2-K4080*C4081/I4081)+ABS(0.2-L4080*D4081/I4081)+ABS(0.2-M4080*E4081/I4081)+ABS(0.2-N4080*F4081/I4081)),0)</f>
        <v/>
      </c>
      <c r="Q4081">
        <f>P4081*0.0015</f>
        <v/>
      </c>
      <c r="R4081">
        <f>I4081*(1-Q4081)</f>
        <v/>
      </c>
      <c r="S4081">
        <f>R4081/R4080-1</f>
        <v/>
      </c>
      <c r="T4081">
        <f>MAX(T4080,R4081)</f>
        <v/>
      </c>
      <c r="U4081">
        <f>R4081/T4081-1</f>
        <v/>
      </c>
      <c r="V4081" t="n">
        <v>15.87235830338035</v>
      </c>
      <c r="W4081" s="5">
        <f>R4081-V4081</f>
        <v/>
      </c>
    </row>
    <row r="4082">
      <c r="A4082" s="3" t="n">
        <v>44453</v>
      </c>
      <c r="B4082">
        <f>Prices!B4082</f>
        <v/>
      </c>
      <c r="C4082">
        <f>Prices!C4082</f>
        <v/>
      </c>
      <c r="D4082">
        <f>Prices!D4082</f>
        <v/>
      </c>
      <c r="E4082">
        <f>Prices!E4082</f>
        <v/>
      </c>
      <c r="F4082">
        <f>Prices!F4082</f>
        <v/>
      </c>
      <c r="G4082">
        <f>IF(AND(4080&gt;=16,TEXT(A4082,"yyyy-mm")&lt;&gt;TEXT(A4083,"yyyy-mm")),1,0)</f>
        <v/>
      </c>
      <c r="H4082">
        <f>IF(OR(H4081=1,G4082=1),1,0)</f>
        <v/>
      </c>
      <c r="I4082">
        <f>IF(H4081=0,1,SUMPRODUCT(J4081:N4081,B4082:F4082)+O4081*(1+0.00023125256064071564))</f>
        <v/>
      </c>
      <c r="J4082">
        <f>IF(G4082=1,0.2*R4082/B4082,J4081)</f>
        <v/>
      </c>
      <c r="K4082">
        <f>IF(G4082=1,0.2*R4082/C4082,K4081)</f>
        <v/>
      </c>
      <c r="L4082">
        <f>IF(G4082=1,0.2*R4082/D4082,L4081)</f>
        <v/>
      </c>
      <c r="M4082">
        <f>IF(G4082=1,0.2*R4082/E4082,M4081)</f>
        <v/>
      </c>
      <c r="N4082">
        <f>IF(G4082=1,0.2*R4082/F4082,N4081)</f>
        <v/>
      </c>
      <c r="O4082">
        <f>IF(G4082=1,R4082*(1-1.0),IF(H4081=0,1,O4081*(1+0.00023125256064071564)))</f>
        <v/>
      </c>
      <c r="P4082">
        <f>IF(G4082=1,IF(H4081=0,1,ABS(0.2-J4081*B4082/I4082)+ABS(0.2-K4081*C4082/I4082)+ABS(0.2-L4081*D4082/I4082)+ABS(0.2-M4081*E4082/I4082)+ABS(0.2-N4081*F4082/I4082)),0)</f>
        <v/>
      </c>
      <c r="Q4082">
        <f>P4082*0.0015</f>
        <v/>
      </c>
      <c r="R4082">
        <f>I4082*(1-Q4082)</f>
        <v/>
      </c>
      <c r="S4082">
        <f>R4082/R4081-1</f>
        <v/>
      </c>
      <c r="T4082">
        <f>MAX(T4081,R4082)</f>
        <v/>
      </c>
      <c r="U4082">
        <f>R4082/T4082-1</f>
        <v/>
      </c>
      <c r="V4082" t="n">
        <v>15.92875760626174</v>
      </c>
      <c r="W4082" s="5">
        <f>R4082-V4082</f>
        <v/>
      </c>
    </row>
    <row r="4083">
      <c r="A4083" s="3" t="n">
        <v>44454</v>
      </c>
      <c r="B4083">
        <f>Prices!B4083</f>
        <v/>
      </c>
      <c r="C4083">
        <f>Prices!C4083</f>
        <v/>
      </c>
      <c r="D4083">
        <f>Prices!D4083</f>
        <v/>
      </c>
      <c r="E4083">
        <f>Prices!E4083</f>
        <v/>
      </c>
      <c r="F4083">
        <f>Prices!F4083</f>
        <v/>
      </c>
      <c r="G4083">
        <f>IF(AND(4081&gt;=16,TEXT(A4083,"yyyy-mm")&lt;&gt;TEXT(A4084,"yyyy-mm")),1,0)</f>
        <v/>
      </c>
      <c r="H4083">
        <f>IF(OR(H4082=1,G4083=1),1,0)</f>
        <v/>
      </c>
      <c r="I4083">
        <f>IF(H4082=0,1,SUMPRODUCT(J4082:N4082,B4083:F4083)+O4082*(1+0.00023125256064071564))</f>
        <v/>
      </c>
      <c r="J4083">
        <f>IF(G4083=1,0.2*R4083/B4083,J4082)</f>
        <v/>
      </c>
      <c r="K4083">
        <f>IF(G4083=1,0.2*R4083/C4083,K4082)</f>
        <v/>
      </c>
      <c r="L4083">
        <f>IF(G4083=1,0.2*R4083/D4083,L4082)</f>
        <v/>
      </c>
      <c r="M4083">
        <f>IF(G4083=1,0.2*R4083/E4083,M4082)</f>
        <v/>
      </c>
      <c r="N4083">
        <f>IF(G4083=1,0.2*R4083/F4083,N4082)</f>
        <v/>
      </c>
      <c r="O4083">
        <f>IF(G4083=1,R4083*(1-1.0),IF(H4082=0,1,O4082*(1+0.00023125256064071564)))</f>
        <v/>
      </c>
      <c r="P4083">
        <f>IF(G4083=1,IF(H4082=0,1,ABS(0.2-J4082*B4083/I4083)+ABS(0.2-K4082*C4083/I4083)+ABS(0.2-L4082*D4083/I4083)+ABS(0.2-M4082*E4083/I4083)+ABS(0.2-N4082*F4083/I4083)),0)</f>
        <v/>
      </c>
      <c r="Q4083">
        <f>P4083*0.0015</f>
        <v/>
      </c>
      <c r="R4083">
        <f>I4083*(1-Q4083)</f>
        <v/>
      </c>
      <c r="S4083">
        <f>R4083/R4082-1</f>
        <v/>
      </c>
      <c r="T4083">
        <f>MAX(T4082,R4083)</f>
        <v/>
      </c>
      <c r="U4083">
        <f>R4083/T4083-1</f>
        <v/>
      </c>
      <c r="V4083" t="n">
        <v>16.07170940855496</v>
      </c>
      <c r="W4083" s="5">
        <f>R4083-V4083</f>
        <v/>
      </c>
    </row>
    <row r="4084">
      <c r="A4084" s="3" t="n">
        <v>44455</v>
      </c>
      <c r="B4084">
        <f>Prices!B4084</f>
        <v/>
      </c>
      <c r="C4084">
        <f>Prices!C4084</f>
        <v/>
      </c>
      <c r="D4084">
        <f>Prices!D4084</f>
        <v/>
      </c>
      <c r="E4084">
        <f>Prices!E4084</f>
        <v/>
      </c>
      <c r="F4084">
        <f>Prices!F4084</f>
        <v/>
      </c>
      <c r="G4084">
        <f>IF(AND(4082&gt;=16,TEXT(A4084,"yyyy-mm")&lt;&gt;TEXT(A4085,"yyyy-mm")),1,0)</f>
        <v/>
      </c>
      <c r="H4084">
        <f>IF(OR(H4083=1,G4084=1),1,0)</f>
        <v/>
      </c>
      <c r="I4084">
        <f>IF(H4083=0,1,SUMPRODUCT(J4083:N4083,B4084:F4084)+O4083*(1+0.00023125256064071564))</f>
        <v/>
      </c>
      <c r="J4084">
        <f>IF(G4084=1,0.2*R4084/B4084,J4083)</f>
        <v/>
      </c>
      <c r="K4084">
        <f>IF(G4084=1,0.2*R4084/C4084,K4083)</f>
        <v/>
      </c>
      <c r="L4084">
        <f>IF(G4084=1,0.2*R4084/D4084,L4083)</f>
        <v/>
      </c>
      <c r="M4084">
        <f>IF(G4084=1,0.2*R4084/E4084,M4083)</f>
        <v/>
      </c>
      <c r="N4084">
        <f>IF(G4084=1,0.2*R4084/F4084,N4083)</f>
        <v/>
      </c>
      <c r="O4084">
        <f>IF(G4084=1,R4084*(1-1.0),IF(H4083=0,1,O4083*(1+0.00023125256064071564)))</f>
        <v/>
      </c>
      <c r="P4084">
        <f>IF(G4084=1,IF(H4083=0,1,ABS(0.2-J4083*B4084/I4084)+ABS(0.2-K4083*C4084/I4084)+ABS(0.2-L4083*D4084/I4084)+ABS(0.2-M4083*E4084/I4084)+ABS(0.2-N4083*F4084/I4084)),0)</f>
        <v/>
      </c>
      <c r="Q4084">
        <f>P4084*0.0015</f>
        <v/>
      </c>
      <c r="R4084">
        <f>I4084*(1-Q4084)</f>
        <v/>
      </c>
      <c r="S4084">
        <f>R4084/R4083-1</f>
        <v/>
      </c>
      <c r="T4084">
        <f>MAX(T4083,R4084)</f>
        <v/>
      </c>
      <c r="U4084">
        <f>R4084/T4084-1</f>
        <v/>
      </c>
      <c r="V4084" t="n">
        <v>16.10822865790567</v>
      </c>
      <c r="W4084" s="5">
        <f>R4084-V4084</f>
        <v/>
      </c>
    </row>
    <row r="4085">
      <c r="A4085" s="3" t="n">
        <v>44456</v>
      </c>
      <c r="B4085">
        <f>Prices!B4085</f>
        <v/>
      </c>
      <c r="C4085">
        <f>Prices!C4085</f>
        <v/>
      </c>
      <c r="D4085">
        <f>Prices!D4085</f>
        <v/>
      </c>
      <c r="E4085">
        <f>Prices!E4085</f>
        <v/>
      </c>
      <c r="F4085">
        <f>Prices!F4085</f>
        <v/>
      </c>
      <c r="G4085">
        <f>IF(AND(4083&gt;=16,TEXT(A4085,"yyyy-mm")&lt;&gt;TEXT(A4086,"yyyy-mm")),1,0)</f>
        <v/>
      </c>
      <c r="H4085">
        <f>IF(OR(H4084=1,G4085=1),1,0)</f>
        <v/>
      </c>
      <c r="I4085">
        <f>IF(H4084=0,1,SUMPRODUCT(J4084:N4084,B4085:F4085)+O4084*(1+0.00023125256064071564))</f>
        <v/>
      </c>
      <c r="J4085">
        <f>IF(G4085=1,0.2*R4085/B4085,J4084)</f>
        <v/>
      </c>
      <c r="K4085">
        <f>IF(G4085=1,0.2*R4085/C4085,K4084)</f>
        <v/>
      </c>
      <c r="L4085">
        <f>IF(G4085=1,0.2*R4085/D4085,L4084)</f>
        <v/>
      </c>
      <c r="M4085">
        <f>IF(G4085=1,0.2*R4085/E4085,M4084)</f>
        <v/>
      </c>
      <c r="N4085">
        <f>IF(G4085=1,0.2*R4085/F4085,N4084)</f>
        <v/>
      </c>
      <c r="O4085">
        <f>IF(G4085=1,R4085*(1-1.0),IF(H4084=0,1,O4084*(1+0.00023125256064071564)))</f>
        <v/>
      </c>
      <c r="P4085">
        <f>IF(G4085=1,IF(H4084=0,1,ABS(0.2-J4084*B4085/I4085)+ABS(0.2-K4084*C4085/I4085)+ABS(0.2-L4084*D4085/I4085)+ABS(0.2-M4084*E4085/I4085)+ABS(0.2-N4084*F4085/I4085)),0)</f>
        <v/>
      </c>
      <c r="Q4085">
        <f>P4085*0.0015</f>
        <v/>
      </c>
      <c r="R4085">
        <f>I4085*(1-Q4085)</f>
        <v/>
      </c>
      <c r="S4085">
        <f>R4085/R4084-1</f>
        <v/>
      </c>
      <c r="T4085">
        <f>MAX(T4084,R4085)</f>
        <v/>
      </c>
      <c r="U4085">
        <f>R4085/T4085-1</f>
        <v/>
      </c>
      <c r="V4085" t="n">
        <v>15.95950640020209</v>
      </c>
      <c r="W4085" s="5">
        <f>R4085-V4085</f>
        <v/>
      </c>
    </row>
    <row r="4086">
      <c r="A4086" s="3" t="n">
        <v>44459</v>
      </c>
      <c r="B4086">
        <f>Prices!B4086</f>
        <v/>
      </c>
      <c r="C4086">
        <f>Prices!C4086</f>
        <v/>
      </c>
      <c r="D4086">
        <f>Prices!D4086</f>
        <v/>
      </c>
      <c r="E4086">
        <f>Prices!E4086</f>
        <v/>
      </c>
      <c r="F4086">
        <f>Prices!F4086</f>
        <v/>
      </c>
      <c r="G4086">
        <f>IF(AND(4084&gt;=16,TEXT(A4086,"yyyy-mm")&lt;&gt;TEXT(A4087,"yyyy-mm")),1,0)</f>
        <v/>
      </c>
      <c r="H4086">
        <f>IF(OR(H4085=1,G4086=1),1,0)</f>
        <v/>
      </c>
      <c r="I4086">
        <f>IF(H4085=0,1,SUMPRODUCT(J4085:N4085,B4086:F4086)+O4085*(1+0.00023125256064071564))</f>
        <v/>
      </c>
      <c r="J4086">
        <f>IF(G4086=1,0.2*R4086/B4086,J4085)</f>
        <v/>
      </c>
      <c r="K4086">
        <f>IF(G4086=1,0.2*R4086/C4086,K4085)</f>
        <v/>
      </c>
      <c r="L4086">
        <f>IF(G4086=1,0.2*R4086/D4086,L4085)</f>
        <v/>
      </c>
      <c r="M4086">
        <f>IF(G4086=1,0.2*R4086/E4086,M4085)</f>
        <v/>
      </c>
      <c r="N4086">
        <f>IF(G4086=1,0.2*R4086/F4086,N4085)</f>
        <v/>
      </c>
      <c r="O4086">
        <f>IF(G4086=1,R4086*(1-1.0),IF(H4085=0,1,O4085*(1+0.00023125256064071564)))</f>
        <v/>
      </c>
      <c r="P4086">
        <f>IF(G4086=1,IF(H4085=0,1,ABS(0.2-J4085*B4086/I4086)+ABS(0.2-K4085*C4086/I4086)+ABS(0.2-L4085*D4086/I4086)+ABS(0.2-M4085*E4086/I4086)+ABS(0.2-N4085*F4086/I4086)),0)</f>
        <v/>
      </c>
      <c r="Q4086">
        <f>P4086*0.0015</f>
        <v/>
      </c>
      <c r="R4086">
        <f>I4086*(1-Q4086)</f>
        <v/>
      </c>
      <c r="S4086">
        <f>R4086/R4085-1</f>
        <v/>
      </c>
      <c r="T4086">
        <f>MAX(T4085,R4086)</f>
        <v/>
      </c>
      <c r="U4086">
        <f>R4086/T4086-1</f>
        <v/>
      </c>
      <c r="V4086" t="n">
        <v>15.65268301388953</v>
      </c>
      <c r="W4086" s="5">
        <f>R4086-V4086</f>
        <v/>
      </c>
    </row>
    <row r="4087">
      <c r="A4087" s="3" t="n">
        <v>44460</v>
      </c>
      <c r="B4087">
        <f>Prices!B4087</f>
        <v/>
      </c>
      <c r="C4087">
        <f>Prices!C4087</f>
        <v/>
      </c>
      <c r="D4087">
        <f>Prices!D4087</f>
        <v/>
      </c>
      <c r="E4087">
        <f>Prices!E4087</f>
        <v/>
      </c>
      <c r="F4087">
        <f>Prices!F4087</f>
        <v/>
      </c>
      <c r="G4087">
        <f>IF(AND(4085&gt;=16,TEXT(A4087,"yyyy-mm")&lt;&gt;TEXT(A4088,"yyyy-mm")),1,0)</f>
        <v/>
      </c>
      <c r="H4087">
        <f>IF(OR(H4086=1,G4087=1),1,0)</f>
        <v/>
      </c>
      <c r="I4087">
        <f>IF(H4086=0,1,SUMPRODUCT(J4086:N4086,B4087:F4087)+O4086*(1+0.00023125256064071564))</f>
        <v/>
      </c>
      <c r="J4087">
        <f>IF(G4087=1,0.2*R4087/B4087,J4086)</f>
        <v/>
      </c>
      <c r="K4087">
        <f>IF(G4087=1,0.2*R4087/C4087,K4086)</f>
        <v/>
      </c>
      <c r="L4087">
        <f>IF(G4087=1,0.2*R4087/D4087,L4086)</f>
        <v/>
      </c>
      <c r="M4087">
        <f>IF(G4087=1,0.2*R4087/E4087,M4086)</f>
        <v/>
      </c>
      <c r="N4087">
        <f>IF(G4087=1,0.2*R4087/F4087,N4086)</f>
        <v/>
      </c>
      <c r="O4087">
        <f>IF(G4087=1,R4087*(1-1.0),IF(H4086=0,1,O4086*(1+0.00023125256064071564)))</f>
        <v/>
      </c>
      <c r="P4087">
        <f>IF(G4087=1,IF(H4086=0,1,ABS(0.2-J4086*B4087/I4087)+ABS(0.2-K4086*C4087/I4087)+ABS(0.2-L4086*D4087/I4087)+ABS(0.2-M4086*E4087/I4087)+ABS(0.2-N4086*F4087/I4087)),0)</f>
        <v/>
      </c>
      <c r="Q4087">
        <f>P4087*0.0015</f>
        <v/>
      </c>
      <c r="R4087">
        <f>I4087*(1-Q4087)</f>
        <v/>
      </c>
      <c r="S4087">
        <f>R4087/R4086-1</f>
        <v/>
      </c>
      <c r="T4087">
        <f>MAX(T4086,R4087)</f>
        <v/>
      </c>
      <c r="U4087">
        <f>R4087/T4087-1</f>
        <v/>
      </c>
      <c r="V4087" t="n">
        <v>15.74507386417451</v>
      </c>
      <c r="W4087" s="5">
        <f>R4087-V4087</f>
        <v/>
      </c>
    </row>
    <row r="4088">
      <c r="A4088" s="3" t="n">
        <v>44461</v>
      </c>
      <c r="B4088">
        <f>Prices!B4088</f>
        <v/>
      </c>
      <c r="C4088">
        <f>Prices!C4088</f>
        <v/>
      </c>
      <c r="D4088">
        <f>Prices!D4088</f>
        <v/>
      </c>
      <c r="E4088">
        <f>Prices!E4088</f>
        <v/>
      </c>
      <c r="F4088">
        <f>Prices!F4088</f>
        <v/>
      </c>
      <c r="G4088">
        <f>IF(AND(4086&gt;=16,TEXT(A4088,"yyyy-mm")&lt;&gt;TEXT(A4089,"yyyy-mm")),1,0)</f>
        <v/>
      </c>
      <c r="H4088">
        <f>IF(OR(H4087=1,G4088=1),1,0)</f>
        <v/>
      </c>
      <c r="I4088">
        <f>IF(H4087=0,1,SUMPRODUCT(J4087:N4087,B4088:F4088)+O4087*(1+0.00023125256064071564))</f>
        <v/>
      </c>
      <c r="J4088">
        <f>IF(G4088=1,0.2*R4088/B4088,J4087)</f>
        <v/>
      </c>
      <c r="K4088">
        <f>IF(G4088=1,0.2*R4088/C4088,K4087)</f>
        <v/>
      </c>
      <c r="L4088">
        <f>IF(G4088=1,0.2*R4088/D4088,L4087)</f>
        <v/>
      </c>
      <c r="M4088">
        <f>IF(G4088=1,0.2*R4088/E4088,M4087)</f>
        <v/>
      </c>
      <c r="N4088">
        <f>IF(G4088=1,0.2*R4088/F4088,N4087)</f>
        <v/>
      </c>
      <c r="O4088">
        <f>IF(G4088=1,R4088*(1-1.0),IF(H4087=0,1,O4087*(1+0.00023125256064071564)))</f>
        <v/>
      </c>
      <c r="P4088">
        <f>IF(G4088=1,IF(H4087=0,1,ABS(0.2-J4087*B4088/I4088)+ABS(0.2-K4087*C4088/I4088)+ABS(0.2-L4087*D4088/I4088)+ABS(0.2-M4087*E4088/I4088)+ABS(0.2-N4087*F4088/I4088)),0)</f>
        <v/>
      </c>
      <c r="Q4088">
        <f>P4088*0.0015</f>
        <v/>
      </c>
      <c r="R4088">
        <f>I4088*(1-Q4088)</f>
        <v/>
      </c>
      <c r="S4088">
        <f>R4088/R4087-1</f>
        <v/>
      </c>
      <c r="T4088">
        <f>MAX(T4087,R4088)</f>
        <v/>
      </c>
      <c r="U4088">
        <f>R4088/T4088-1</f>
        <v/>
      </c>
      <c r="V4088" t="n">
        <v>15.87792248537521</v>
      </c>
      <c r="W4088" s="5">
        <f>R4088-V4088</f>
        <v/>
      </c>
    </row>
    <row r="4089">
      <c r="A4089" s="3" t="n">
        <v>44462</v>
      </c>
      <c r="B4089">
        <f>Prices!B4089</f>
        <v/>
      </c>
      <c r="C4089">
        <f>Prices!C4089</f>
        <v/>
      </c>
      <c r="D4089">
        <f>Prices!D4089</f>
        <v/>
      </c>
      <c r="E4089">
        <f>Prices!E4089</f>
        <v/>
      </c>
      <c r="F4089">
        <f>Prices!F4089</f>
        <v/>
      </c>
      <c r="G4089">
        <f>IF(AND(4087&gt;=16,TEXT(A4089,"yyyy-mm")&lt;&gt;TEXT(A4090,"yyyy-mm")),1,0)</f>
        <v/>
      </c>
      <c r="H4089">
        <f>IF(OR(H4088=1,G4089=1),1,0)</f>
        <v/>
      </c>
      <c r="I4089">
        <f>IF(H4088=0,1,SUMPRODUCT(J4088:N4088,B4089:F4089)+O4088*(1+0.00023125256064071564))</f>
        <v/>
      </c>
      <c r="J4089">
        <f>IF(G4089=1,0.2*R4089/B4089,J4088)</f>
        <v/>
      </c>
      <c r="K4089">
        <f>IF(G4089=1,0.2*R4089/C4089,K4088)</f>
        <v/>
      </c>
      <c r="L4089">
        <f>IF(G4089=1,0.2*R4089/D4089,L4088)</f>
        <v/>
      </c>
      <c r="M4089">
        <f>IF(G4089=1,0.2*R4089/E4089,M4088)</f>
        <v/>
      </c>
      <c r="N4089">
        <f>IF(G4089=1,0.2*R4089/F4089,N4088)</f>
        <v/>
      </c>
      <c r="O4089">
        <f>IF(G4089=1,R4089*(1-1.0),IF(H4088=0,1,O4088*(1+0.00023125256064071564)))</f>
        <v/>
      </c>
      <c r="P4089">
        <f>IF(G4089=1,IF(H4088=0,1,ABS(0.2-J4088*B4089/I4089)+ABS(0.2-K4088*C4089/I4089)+ABS(0.2-L4088*D4089/I4089)+ABS(0.2-M4088*E4089/I4089)+ABS(0.2-N4088*F4089/I4089)),0)</f>
        <v/>
      </c>
      <c r="Q4089">
        <f>P4089*0.0015</f>
        <v/>
      </c>
      <c r="R4089">
        <f>I4089*(1-Q4089)</f>
        <v/>
      </c>
      <c r="S4089">
        <f>R4089/R4088-1</f>
        <v/>
      </c>
      <c r="T4089">
        <f>MAX(T4088,R4089)</f>
        <v/>
      </c>
      <c r="U4089">
        <f>R4089/T4089-1</f>
        <v/>
      </c>
      <c r="V4089" t="n">
        <v>16.0477560393542</v>
      </c>
      <c r="W4089" s="5">
        <f>R4089-V4089</f>
        <v/>
      </c>
    </row>
    <row r="4090">
      <c r="A4090" s="3" t="n">
        <v>44463</v>
      </c>
      <c r="B4090">
        <f>Prices!B4090</f>
        <v/>
      </c>
      <c r="C4090">
        <f>Prices!C4090</f>
        <v/>
      </c>
      <c r="D4090">
        <f>Prices!D4090</f>
        <v/>
      </c>
      <c r="E4090">
        <f>Prices!E4090</f>
        <v/>
      </c>
      <c r="F4090">
        <f>Prices!F4090</f>
        <v/>
      </c>
      <c r="G4090">
        <f>IF(AND(4088&gt;=16,TEXT(A4090,"yyyy-mm")&lt;&gt;TEXT(A4091,"yyyy-mm")),1,0)</f>
        <v/>
      </c>
      <c r="H4090">
        <f>IF(OR(H4089=1,G4090=1),1,0)</f>
        <v/>
      </c>
      <c r="I4090">
        <f>IF(H4089=0,1,SUMPRODUCT(J4089:N4089,B4090:F4090)+O4089*(1+0.00023125256064071564))</f>
        <v/>
      </c>
      <c r="J4090">
        <f>IF(G4090=1,0.2*R4090/B4090,J4089)</f>
        <v/>
      </c>
      <c r="K4090">
        <f>IF(G4090=1,0.2*R4090/C4090,K4089)</f>
        <v/>
      </c>
      <c r="L4090">
        <f>IF(G4090=1,0.2*R4090/D4090,L4089)</f>
        <v/>
      </c>
      <c r="M4090">
        <f>IF(G4090=1,0.2*R4090/E4090,M4089)</f>
        <v/>
      </c>
      <c r="N4090">
        <f>IF(G4090=1,0.2*R4090/F4090,N4089)</f>
        <v/>
      </c>
      <c r="O4090">
        <f>IF(G4090=1,R4090*(1-1.0),IF(H4089=0,1,O4089*(1+0.00023125256064071564)))</f>
        <v/>
      </c>
      <c r="P4090">
        <f>IF(G4090=1,IF(H4089=0,1,ABS(0.2-J4089*B4090/I4090)+ABS(0.2-K4089*C4090/I4090)+ABS(0.2-L4089*D4090/I4090)+ABS(0.2-M4089*E4090/I4090)+ABS(0.2-N4089*F4090/I4090)),0)</f>
        <v/>
      </c>
      <c r="Q4090">
        <f>P4090*0.0015</f>
        <v/>
      </c>
      <c r="R4090">
        <f>I4090*(1-Q4090)</f>
        <v/>
      </c>
      <c r="S4090">
        <f>R4090/R4089-1</f>
        <v/>
      </c>
      <c r="T4090">
        <f>MAX(T4089,R4090)</f>
        <v/>
      </c>
      <c r="U4090">
        <f>R4090/T4090-1</f>
        <v/>
      </c>
      <c r="V4090" t="n">
        <v>15.99193301265115</v>
      </c>
      <c r="W4090" s="5">
        <f>R4090-V4090</f>
        <v/>
      </c>
    </row>
    <row r="4091">
      <c r="A4091" s="3" t="n">
        <v>44466</v>
      </c>
      <c r="B4091">
        <f>Prices!B4091</f>
        <v/>
      </c>
      <c r="C4091">
        <f>Prices!C4091</f>
        <v/>
      </c>
      <c r="D4091">
        <f>Prices!D4091</f>
        <v/>
      </c>
      <c r="E4091">
        <f>Prices!E4091</f>
        <v/>
      </c>
      <c r="F4091">
        <f>Prices!F4091</f>
        <v/>
      </c>
      <c r="G4091">
        <f>IF(AND(4089&gt;=16,TEXT(A4091,"yyyy-mm")&lt;&gt;TEXT(A4092,"yyyy-mm")),1,0)</f>
        <v/>
      </c>
      <c r="H4091">
        <f>IF(OR(H4090=1,G4091=1),1,0)</f>
        <v/>
      </c>
      <c r="I4091">
        <f>IF(H4090=0,1,SUMPRODUCT(J4090:N4090,B4091:F4091)+O4090*(1+0.00023125256064071564))</f>
        <v/>
      </c>
      <c r="J4091">
        <f>IF(G4091=1,0.2*R4091/B4091,J4090)</f>
        <v/>
      </c>
      <c r="K4091">
        <f>IF(G4091=1,0.2*R4091/C4091,K4090)</f>
        <v/>
      </c>
      <c r="L4091">
        <f>IF(G4091=1,0.2*R4091/D4091,L4090)</f>
        <v/>
      </c>
      <c r="M4091">
        <f>IF(G4091=1,0.2*R4091/E4091,M4090)</f>
        <v/>
      </c>
      <c r="N4091">
        <f>IF(G4091=1,0.2*R4091/F4091,N4090)</f>
        <v/>
      </c>
      <c r="O4091">
        <f>IF(G4091=1,R4091*(1-1.0),IF(H4090=0,1,O4090*(1+0.00023125256064071564)))</f>
        <v/>
      </c>
      <c r="P4091">
        <f>IF(G4091=1,IF(H4090=0,1,ABS(0.2-J4090*B4091/I4091)+ABS(0.2-K4090*C4091/I4091)+ABS(0.2-L4090*D4091/I4091)+ABS(0.2-M4090*E4091/I4091)+ABS(0.2-N4090*F4091/I4091)),0)</f>
        <v/>
      </c>
      <c r="Q4091">
        <f>P4091*0.0015</f>
        <v/>
      </c>
      <c r="R4091">
        <f>I4091*(1-Q4091)</f>
        <v/>
      </c>
      <c r="S4091">
        <f>R4091/R4090-1</f>
        <v/>
      </c>
      <c r="T4091">
        <f>MAX(T4090,R4091)</f>
        <v/>
      </c>
      <c r="U4091">
        <f>R4091/T4091-1</f>
        <v/>
      </c>
      <c r="V4091" t="n">
        <v>15.95139155431777</v>
      </c>
      <c r="W4091" s="5">
        <f>R4091-V4091</f>
        <v/>
      </c>
    </row>
    <row r="4092">
      <c r="A4092" s="3" t="n">
        <v>44467</v>
      </c>
      <c r="B4092">
        <f>Prices!B4092</f>
        <v/>
      </c>
      <c r="C4092">
        <f>Prices!C4092</f>
        <v/>
      </c>
      <c r="D4092">
        <f>Prices!D4092</f>
        <v/>
      </c>
      <c r="E4092">
        <f>Prices!E4092</f>
        <v/>
      </c>
      <c r="F4092">
        <f>Prices!F4092</f>
        <v/>
      </c>
      <c r="G4092">
        <f>IF(AND(4090&gt;=16,TEXT(A4092,"yyyy-mm")&lt;&gt;TEXT(A4093,"yyyy-mm")),1,0)</f>
        <v/>
      </c>
      <c r="H4092">
        <f>IF(OR(H4091=1,G4092=1),1,0)</f>
        <v/>
      </c>
      <c r="I4092">
        <f>IF(H4091=0,1,SUMPRODUCT(J4091:N4091,B4092:F4092)+O4091*(1+0.00023125256064071564))</f>
        <v/>
      </c>
      <c r="J4092">
        <f>IF(G4092=1,0.2*R4092/B4092,J4091)</f>
        <v/>
      </c>
      <c r="K4092">
        <f>IF(G4092=1,0.2*R4092/C4092,K4091)</f>
        <v/>
      </c>
      <c r="L4092">
        <f>IF(G4092=1,0.2*R4092/D4092,L4091)</f>
        <v/>
      </c>
      <c r="M4092">
        <f>IF(G4092=1,0.2*R4092/E4092,M4091)</f>
        <v/>
      </c>
      <c r="N4092">
        <f>IF(G4092=1,0.2*R4092/F4092,N4091)</f>
        <v/>
      </c>
      <c r="O4092">
        <f>IF(G4092=1,R4092*(1-1.0),IF(H4091=0,1,O4091*(1+0.00023125256064071564)))</f>
        <v/>
      </c>
      <c r="P4092">
        <f>IF(G4092=1,IF(H4091=0,1,ABS(0.2-J4091*B4092/I4092)+ABS(0.2-K4091*C4092/I4092)+ABS(0.2-L4091*D4092/I4092)+ABS(0.2-M4091*E4092/I4092)+ABS(0.2-N4091*F4092/I4092)),0)</f>
        <v/>
      </c>
      <c r="Q4092">
        <f>P4092*0.0015</f>
        <v/>
      </c>
      <c r="R4092">
        <f>I4092*(1-Q4092)</f>
        <v/>
      </c>
      <c r="S4092">
        <f>R4092/R4091-1</f>
        <v/>
      </c>
      <c r="T4092">
        <f>MAX(T4091,R4092)</f>
        <v/>
      </c>
      <c r="U4092">
        <f>R4092/T4092-1</f>
        <v/>
      </c>
      <c r="V4092" t="n">
        <v>15.92276701019656</v>
      </c>
      <c r="W4092" s="5">
        <f>R4092-V4092</f>
        <v/>
      </c>
    </row>
    <row r="4093">
      <c r="A4093" s="3" t="n">
        <v>44468</v>
      </c>
      <c r="B4093">
        <f>Prices!B4093</f>
        <v/>
      </c>
      <c r="C4093">
        <f>Prices!C4093</f>
        <v/>
      </c>
      <c r="D4093">
        <f>Prices!D4093</f>
        <v/>
      </c>
      <c r="E4093">
        <f>Prices!E4093</f>
        <v/>
      </c>
      <c r="F4093">
        <f>Prices!F4093</f>
        <v/>
      </c>
      <c r="G4093">
        <f>IF(AND(4091&gt;=16,TEXT(A4093,"yyyy-mm")&lt;&gt;TEXT(A4094,"yyyy-mm")),1,0)</f>
        <v/>
      </c>
      <c r="H4093">
        <f>IF(OR(H4092=1,G4093=1),1,0)</f>
        <v/>
      </c>
      <c r="I4093">
        <f>IF(H4092=0,1,SUMPRODUCT(J4092:N4092,B4093:F4093)+O4092*(1+0.00023125256064071564))</f>
        <v/>
      </c>
      <c r="J4093">
        <f>IF(G4093=1,0.2*R4093/B4093,J4092)</f>
        <v/>
      </c>
      <c r="K4093">
        <f>IF(G4093=1,0.2*R4093/C4093,K4092)</f>
        <v/>
      </c>
      <c r="L4093">
        <f>IF(G4093=1,0.2*R4093/D4093,L4092)</f>
        <v/>
      </c>
      <c r="M4093">
        <f>IF(G4093=1,0.2*R4093/E4093,M4092)</f>
        <v/>
      </c>
      <c r="N4093">
        <f>IF(G4093=1,0.2*R4093/F4093,N4092)</f>
        <v/>
      </c>
      <c r="O4093">
        <f>IF(G4093=1,R4093*(1-1.0),IF(H4092=0,1,O4092*(1+0.00023125256064071564)))</f>
        <v/>
      </c>
      <c r="P4093">
        <f>IF(G4093=1,IF(H4092=0,1,ABS(0.2-J4092*B4093/I4093)+ABS(0.2-K4092*C4093/I4093)+ABS(0.2-L4092*D4093/I4093)+ABS(0.2-M4092*E4093/I4093)+ABS(0.2-N4092*F4093/I4093)),0)</f>
        <v/>
      </c>
      <c r="Q4093">
        <f>P4093*0.0015</f>
        <v/>
      </c>
      <c r="R4093">
        <f>I4093*(1-Q4093)</f>
        <v/>
      </c>
      <c r="S4093">
        <f>R4093/R4092-1</f>
        <v/>
      </c>
      <c r="T4093">
        <f>MAX(T4092,R4093)</f>
        <v/>
      </c>
      <c r="U4093">
        <f>R4093/T4093-1</f>
        <v/>
      </c>
      <c r="V4093" t="n">
        <v>16.07798405797594</v>
      </c>
      <c r="W4093" s="5">
        <f>R4093-V4093</f>
        <v/>
      </c>
    </row>
    <row r="4094">
      <c r="A4094" s="3" t="n">
        <v>44469</v>
      </c>
      <c r="B4094">
        <f>Prices!B4094</f>
        <v/>
      </c>
      <c r="C4094">
        <f>Prices!C4094</f>
        <v/>
      </c>
      <c r="D4094">
        <f>Prices!D4094</f>
        <v/>
      </c>
      <c r="E4094">
        <f>Prices!E4094</f>
        <v/>
      </c>
      <c r="F4094">
        <f>Prices!F4094</f>
        <v/>
      </c>
      <c r="G4094">
        <f>IF(AND(4092&gt;=16,TEXT(A4094,"yyyy-mm")&lt;&gt;TEXT(A4095,"yyyy-mm")),1,0)</f>
        <v/>
      </c>
      <c r="H4094">
        <f>IF(OR(H4093=1,G4094=1),1,0)</f>
        <v/>
      </c>
      <c r="I4094">
        <f>IF(H4093=0,1,SUMPRODUCT(J4093:N4093,B4094:F4094)+O4093*(1+0.00023125256064071564))</f>
        <v/>
      </c>
      <c r="J4094">
        <f>IF(G4094=1,0.2*R4094/B4094,J4093)</f>
        <v/>
      </c>
      <c r="K4094">
        <f>IF(G4094=1,0.2*R4094/C4094,K4093)</f>
        <v/>
      </c>
      <c r="L4094">
        <f>IF(G4094=1,0.2*R4094/D4094,L4093)</f>
        <v/>
      </c>
      <c r="M4094">
        <f>IF(G4094=1,0.2*R4094/E4094,M4093)</f>
        <v/>
      </c>
      <c r="N4094">
        <f>IF(G4094=1,0.2*R4094/F4094,N4093)</f>
        <v/>
      </c>
      <c r="O4094">
        <f>IF(G4094=1,R4094*(1-1.0),IF(H4093=0,1,O4093*(1+0.00023125256064071564)))</f>
        <v/>
      </c>
      <c r="P4094">
        <f>IF(G4094=1,IF(H4093=0,1,ABS(0.2-J4093*B4094/I4094)+ABS(0.2-K4093*C4094/I4094)+ABS(0.2-L4093*D4094/I4094)+ABS(0.2-M4093*E4094/I4094)+ABS(0.2-N4093*F4094/I4094)),0)</f>
        <v/>
      </c>
      <c r="Q4094">
        <f>P4094*0.0015</f>
        <v/>
      </c>
      <c r="R4094">
        <f>I4094*(1-Q4094)</f>
        <v/>
      </c>
      <c r="S4094">
        <f>R4094/R4093-1</f>
        <v/>
      </c>
      <c r="T4094">
        <f>MAX(T4093,R4094)</f>
        <v/>
      </c>
      <c r="U4094">
        <f>R4094/T4094-1</f>
        <v/>
      </c>
      <c r="V4094" t="n">
        <v>16.083835959247</v>
      </c>
      <c r="W4094" s="5">
        <f>R4094-V4094</f>
        <v/>
      </c>
    </row>
    <row r="4095">
      <c r="A4095" s="3" t="n">
        <v>44470</v>
      </c>
      <c r="B4095">
        <f>Prices!B4095</f>
        <v/>
      </c>
      <c r="C4095">
        <f>Prices!C4095</f>
        <v/>
      </c>
      <c r="D4095">
        <f>Prices!D4095</f>
        <v/>
      </c>
      <c r="E4095">
        <f>Prices!E4095</f>
        <v/>
      </c>
      <c r="F4095">
        <f>Prices!F4095</f>
        <v/>
      </c>
      <c r="G4095">
        <f>IF(AND(4093&gt;=16,TEXT(A4095,"yyyy-mm")&lt;&gt;TEXT(A4096,"yyyy-mm")),1,0)</f>
        <v/>
      </c>
      <c r="H4095">
        <f>IF(OR(H4094=1,G4095=1),1,0)</f>
        <v/>
      </c>
      <c r="I4095">
        <f>IF(H4094=0,1,SUMPRODUCT(J4094:N4094,B4095:F4095)+O4094*(1+0.00023125256064071564))</f>
        <v/>
      </c>
      <c r="J4095">
        <f>IF(G4095=1,0.2*R4095/B4095,J4094)</f>
        <v/>
      </c>
      <c r="K4095">
        <f>IF(G4095=1,0.2*R4095/C4095,K4094)</f>
        <v/>
      </c>
      <c r="L4095">
        <f>IF(G4095=1,0.2*R4095/D4095,L4094)</f>
        <v/>
      </c>
      <c r="M4095">
        <f>IF(G4095=1,0.2*R4095/E4095,M4094)</f>
        <v/>
      </c>
      <c r="N4095">
        <f>IF(G4095=1,0.2*R4095/F4095,N4094)</f>
        <v/>
      </c>
      <c r="O4095">
        <f>IF(G4095=1,R4095*(1-1.0),IF(H4094=0,1,O4094*(1+0.00023125256064071564)))</f>
        <v/>
      </c>
      <c r="P4095">
        <f>IF(G4095=1,IF(H4094=0,1,ABS(0.2-J4094*B4095/I4095)+ABS(0.2-K4094*C4095/I4095)+ABS(0.2-L4094*D4095/I4095)+ABS(0.2-M4094*E4095/I4095)+ABS(0.2-N4094*F4095/I4095)),0)</f>
        <v/>
      </c>
      <c r="Q4095">
        <f>P4095*0.0015</f>
        <v/>
      </c>
      <c r="R4095">
        <f>I4095*(1-Q4095)</f>
        <v/>
      </c>
      <c r="S4095">
        <f>R4095/R4094-1</f>
        <v/>
      </c>
      <c r="T4095">
        <f>MAX(T4094,R4095)</f>
        <v/>
      </c>
      <c r="U4095">
        <f>R4095/T4095-1</f>
        <v/>
      </c>
      <c r="V4095" t="n">
        <v>16.12105516973228</v>
      </c>
      <c r="W4095" s="5">
        <f>R4095-V4095</f>
        <v/>
      </c>
    </row>
    <row r="4096">
      <c r="A4096" s="3" t="n">
        <v>44473</v>
      </c>
      <c r="B4096">
        <f>Prices!B4096</f>
        <v/>
      </c>
      <c r="C4096">
        <f>Prices!C4096</f>
        <v/>
      </c>
      <c r="D4096">
        <f>Prices!D4096</f>
        <v/>
      </c>
      <c r="E4096">
        <f>Prices!E4096</f>
        <v/>
      </c>
      <c r="F4096">
        <f>Prices!F4096</f>
        <v/>
      </c>
      <c r="G4096">
        <f>IF(AND(4094&gt;=16,TEXT(A4096,"yyyy-mm")&lt;&gt;TEXT(A4097,"yyyy-mm")),1,0)</f>
        <v/>
      </c>
      <c r="H4096">
        <f>IF(OR(H4095=1,G4096=1),1,0)</f>
        <v/>
      </c>
      <c r="I4096">
        <f>IF(H4095=0,1,SUMPRODUCT(J4095:N4095,B4096:F4096)+O4095*(1+0.00023125256064071564))</f>
        <v/>
      </c>
      <c r="J4096">
        <f>IF(G4096=1,0.2*R4096/B4096,J4095)</f>
        <v/>
      </c>
      <c r="K4096">
        <f>IF(G4096=1,0.2*R4096/C4096,K4095)</f>
        <v/>
      </c>
      <c r="L4096">
        <f>IF(G4096=1,0.2*R4096/D4096,L4095)</f>
        <v/>
      </c>
      <c r="M4096">
        <f>IF(G4096=1,0.2*R4096/E4096,M4095)</f>
        <v/>
      </c>
      <c r="N4096">
        <f>IF(G4096=1,0.2*R4096/F4096,N4095)</f>
        <v/>
      </c>
      <c r="O4096">
        <f>IF(G4096=1,R4096*(1-1.0),IF(H4095=0,1,O4095*(1+0.00023125256064071564)))</f>
        <v/>
      </c>
      <c r="P4096">
        <f>IF(G4096=1,IF(H4095=0,1,ABS(0.2-J4095*B4096/I4096)+ABS(0.2-K4095*C4096/I4096)+ABS(0.2-L4095*D4096/I4096)+ABS(0.2-M4095*E4096/I4096)+ABS(0.2-N4095*F4096/I4096)),0)</f>
        <v/>
      </c>
      <c r="Q4096">
        <f>P4096*0.0015</f>
        <v/>
      </c>
      <c r="R4096">
        <f>I4096*(1-Q4096)</f>
        <v/>
      </c>
      <c r="S4096">
        <f>R4096/R4095-1</f>
        <v/>
      </c>
      <c r="T4096">
        <f>MAX(T4095,R4096)</f>
        <v/>
      </c>
      <c r="U4096">
        <f>R4096/T4096-1</f>
        <v/>
      </c>
      <c r="V4096" t="n">
        <v>16.36698511682967</v>
      </c>
      <c r="W4096" s="5">
        <f>R4096-V4096</f>
        <v/>
      </c>
    </row>
    <row r="4097">
      <c r="A4097" s="3" t="n">
        <v>44474</v>
      </c>
      <c r="B4097">
        <f>Prices!B4097</f>
        <v/>
      </c>
      <c r="C4097">
        <f>Prices!C4097</f>
        <v/>
      </c>
      <c r="D4097">
        <f>Prices!D4097</f>
        <v/>
      </c>
      <c r="E4097">
        <f>Prices!E4097</f>
        <v/>
      </c>
      <c r="F4097">
        <f>Prices!F4097</f>
        <v/>
      </c>
      <c r="G4097">
        <f>IF(AND(4095&gt;=16,TEXT(A4097,"yyyy-mm")&lt;&gt;TEXT(A4098,"yyyy-mm")),1,0)</f>
        <v/>
      </c>
      <c r="H4097">
        <f>IF(OR(H4096=1,G4097=1),1,0)</f>
        <v/>
      </c>
      <c r="I4097">
        <f>IF(H4096=0,1,SUMPRODUCT(J4096:N4096,B4097:F4097)+O4096*(1+0.00023125256064071564))</f>
        <v/>
      </c>
      <c r="J4097">
        <f>IF(G4097=1,0.2*R4097/B4097,J4096)</f>
        <v/>
      </c>
      <c r="K4097">
        <f>IF(G4097=1,0.2*R4097/C4097,K4096)</f>
        <v/>
      </c>
      <c r="L4097">
        <f>IF(G4097=1,0.2*R4097/D4097,L4096)</f>
        <v/>
      </c>
      <c r="M4097">
        <f>IF(G4097=1,0.2*R4097/E4097,M4096)</f>
        <v/>
      </c>
      <c r="N4097">
        <f>IF(G4097=1,0.2*R4097/F4097,N4096)</f>
        <v/>
      </c>
      <c r="O4097">
        <f>IF(G4097=1,R4097*(1-1.0),IF(H4096=0,1,O4096*(1+0.00023125256064071564)))</f>
        <v/>
      </c>
      <c r="P4097">
        <f>IF(G4097=1,IF(H4096=0,1,ABS(0.2-J4096*B4097/I4097)+ABS(0.2-K4096*C4097/I4097)+ABS(0.2-L4096*D4097/I4097)+ABS(0.2-M4096*E4097/I4097)+ABS(0.2-N4096*F4097/I4097)),0)</f>
        <v/>
      </c>
      <c r="Q4097">
        <f>P4097*0.0015</f>
        <v/>
      </c>
      <c r="R4097">
        <f>I4097*(1-Q4097)</f>
        <v/>
      </c>
      <c r="S4097">
        <f>R4097/R4096-1</f>
        <v/>
      </c>
      <c r="T4097">
        <f>MAX(T4096,R4097)</f>
        <v/>
      </c>
      <c r="U4097">
        <f>R4097/T4097-1</f>
        <v/>
      </c>
      <c r="V4097" t="n">
        <v>16.49453528432754</v>
      </c>
      <c r="W4097" s="5">
        <f>R4097-V4097</f>
        <v/>
      </c>
    </row>
    <row r="4098">
      <c r="A4098" s="3" t="n">
        <v>44475</v>
      </c>
      <c r="B4098">
        <f>Prices!B4098</f>
        <v/>
      </c>
      <c r="C4098">
        <f>Prices!C4098</f>
        <v/>
      </c>
      <c r="D4098">
        <f>Prices!D4098</f>
        <v/>
      </c>
      <c r="E4098">
        <f>Prices!E4098</f>
        <v/>
      </c>
      <c r="F4098">
        <f>Prices!F4098</f>
        <v/>
      </c>
      <c r="G4098">
        <f>IF(AND(4096&gt;=16,TEXT(A4098,"yyyy-mm")&lt;&gt;TEXT(A4099,"yyyy-mm")),1,0)</f>
        <v/>
      </c>
      <c r="H4098">
        <f>IF(OR(H4097=1,G4098=1),1,0)</f>
        <v/>
      </c>
      <c r="I4098">
        <f>IF(H4097=0,1,SUMPRODUCT(J4097:N4097,B4098:F4098)+O4097*(1+0.00023125256064071564))</f>
        <v/>
      </c>
      <c r="J4098">
        <f>IF(G4098=1,0.2*R4098/B4098,J4097)</f>
        <v/>
      </c>
      <c r="K4098">
        <f>IF(G4098=1,0.2*R4098/C4098,K4097)</f>
        <v/>
      </c>
      <c r="L4098">
        <f>IF(G4098=1,0.2*R4098/D4098,L4097)</f>
        <v/>
      </c>
      <c r="M4098">
        <f>IF(G4098=1,0.2*R4098/E4098,M4097)</f>
        <v/>
      </c>
      <c r="N4098">
        <f>IF(G4098=1,0.2*R4098/F4098,N4097)</f>
        <v/>
      </c>
      <c r="O4098">
        <f>IF(G4098=1,R4098*(1-1.0),IF(H4097=0,1,O4097*(1+0.00023125256064071564)))</f>
        <v/>
      </c>
      <c r="P4098">
        <f>IF(G4098=1,IF(H4097=0,1,ABS(0.2-J4097*B4098/I4098)+ABS(0.2-K4097*C4098/I4098)+ABS(0.2-L4097*D4098/I4098)+ABS(0.2-M4097*E4098/I4098)+ABS(0.2-N4097*F4098/I4098)),0)</f>
        <v/>
      </c>
      <c r="Q4098">
        <f>P4098*0.0015</f>
        <v/>
      </c>
      <c r="R4098">
        <f>I4098*(1-Q4098)</f>
        <v/>
      </c>
      <c r="S4098">
        <f>R4098/R4097-1</f>
        <v/>
      </c>
      <c r="T4098">
        <f>MAX(T4097,R4098)</f>
        <v/>
      </c>
      <c r="U4098">
        <f>R4098/T4098-1</f>
        <v/>
      </c>
      <c r="V4098" t="n">
        <v>16.36537208204469</v>
      </c>
      <c r="W4098" s="5">
        <f>R4098-V4098</f>
        <v/>
      </c>
    </row>
    <row r="4099">
      <c r="A4099" s="3" t="n">
        <v>44476</v>
      </c>
      <c r="B4099">
        <f>Prices!B4099</f>
        <v/>
      </c>
      <c r="C4099">
        <f>Prices!C4099</f>
        <v/>
      </c>
      <c r="D4099">
        <f>Prices!D4099</f>
        <v/>
      </c>
      <c r="E4099">
        <f>Prices!E4099</f>
        <v/>
      </c>
      <c r="F4099">
        <f>Prices!F4099</f>
        <v/>
      </c>
      <c r="G4099">
        <f>IF(AND(4097&gt;=16,TEXT(A4099,"yyyy-mm")&lt;&gt;TEXT(A4100,"yyyy-mm")),1,0)</f>
        <v/>
      </c>
      <c r="H4099">
        <f>IF(OR(H4098=1,G4099=1),1,0)</f>
        <v/>
      </c>
      <c r="I4099">
        <f>IF(H4098=0,1,SUMPRODUCT(J4098:N4098,B4099:F4099)+O4098*(1+0.00023125256064071564))</f>
        <v/>
      </c>
      <c r="J4099">
        <f>IF(G4099=1,0.2*R4099/B4099,J4098)</f>
        <v/>
      </c>
      <c r="K4099">
        <f>IF(G4099=1,0.2*R4099/C4099,K4098)</f>
        <v/>
      </c>
      <c r="L4099">
        <f>IF(G4099=1,0.2*R4099/D4099,L4098)</f>
        <v/>
      </c>
      <c r="M4099">
        <f>IF(G4099=1,0.2*R4099/E4099,M4098)</f>
        <v/>
      </c>
      <c r="N4099">
        <f>IF(G4099=1,0.2*R4099/F4099,N4098)</f>
        <v/>
      </c>
      <c r="O4099">
        <f>IF(G4099=1,R4099*(1-1.0),IF(H4098=0,1,O4098*(1+0.00023125256064071564)))</f>
        <v/>
      </c>
      <c r="P4099">
        <f>IF(G4099=1,IF(H4098=0,1,ABS(0.2-J4098*B4099/I4099)+ABS(0.2-K4098*C4099/I4099)+ABS(0.2-L4098*D4099/I4099)+ABS(0.2-M4098*E4099/I4099)+ABS(0.2-N4098*F4099/I4099)),0)</f>
        <v/>
      </c>
      <c r="Q4099">
        <f>P4099*0.0015</f>
        <v/>
      </c>
      <c r="R4099">
        <f>I4099*(1-Q4099)</f>
        <v/>
      </c>
      <c r="S4099">
        <f>R4099/R4098-1</f>
        <v/>
      </c>
      <c r="T4099">
        <f>MAX(T4098,R4099)</f>
        <v/>
      </c>
      <c r="U4099">
        <f>R4099/T4099-1</f>
        <v/>
      </c>
      <c r="V4099" t="n">
        <v>16.54833399560369</v>
      </c>
      <c r="W4099" s="5">
        <f>R4099-V4099</f>
        <v/>
      </c>
    </row>
    <row r="4100">
      <c r="A4100" s="3" t="n">
        <v>44477</v>
      </c>
      <c r="B4100">
        <f>Prices!B4100</f>
        <v/>
      </c>
      <c r="C4100">
        <f>Prices!C4100</f>
        <v/>
      </c>
      <c r="D4100">
        <f>Prices!D4100</f>
        <v/>
      </c>
      <c r="E4100">
        <f>Prices!E4100</f>
        <v/>
      </c>
      <c r="F4100">
        <f>Prices!F4100</f>
        <v/>
      </c>
      <c r="G4100">
        <f>IF(AND(4098&gt;=16,TEXT(A4100,"yyyy-mm")&lt;&gt;TEXT(A4101,"yyyy-mm")),1,0)</f>
        <v/>
      </c>
      <c r="H4100">
        <f>IF(OR(H4099=1,G4100=1),1,0)</f>
        <v/>
      </c>
      <c r="I4100">
        <f>IF(H4099=0,1,SUMPRODUCT(J4099:N4099,B4100:F4100)+O4099*(1+0.00023125256064071564))</f>
        <v/>
      </c>
      <c r="J4100">
        <f>IF(G4100=1,0.2*R4100/B4100,J4099)</f>
        <v/>
      </c>
      <c r="K4100">
        <f>IF(G4100=1,0.2*R4100/C4100,K4099)</f>
        <v/>
      </c>
      <c r="L4100">
        <f>IF(G4100=1,0.2*R4100/D4100,L4099)</f>
        <v/>
      </c>
      <c r="M4100">
        <f>IF(G4100=1,0.2*R4100/E4100,M4099)</f>
        <v/>
      </c>
      <c r="N4100">
        <f>IF(G4100=1,0.2*R4100/F4100,N4099)</f>
        <v/>
      </c>
      <c r="O4100">
        <f>IF(G4100=1,R4100*(1-1.0),IF(H4099=0,1,O4099*(1+0.00023125256064071564)))</f>
        <v/>
      </c>
      <c r="P4100">
        <f>IF(G4100=1,IF(H4099=0,1,ABS(0.2-J4099*B4100/I4100)+ABS(0.2-K4099*C4100/I4100)+ABS(0.2-L4099*D4100/I4100)+ABS(0.2-M4099*E4100/I4100)+ABS(0.2-N4099*F4100/I4100)),0)</f>
        <v/>
      </c>
      <c r="Q4100">
        <f>P4100*0.0015</f>
        <v/>
      </c>
      <c r="R4100">
        <f>I4100*(1-Q4100)</f>
        <v/>
      </c>
      <c r="S4100">
        <f>R4100/R4099-1</f>
        <v/>
      </c>
      <c r="T4100">
        <f>MAX(T4099,R4100)</f>
        <v/>
      </c>
      <c r="U4100">
        <f>R4100/T4100-1</f>
        <v/>
      </c>
      <c r="V4100" t="n">
        <v>16.60010037860306</v>
      </c>
      <c r="W4100" s="5">
        <f>R4100-V4100</f>
        <v/>
      </c>
    </row>
    <row r="4101">
      <c r="A4101" s="3" t="n">
        <v>44480</v>
      </c>
      <c r="B4101">
        <f>Prices!B4101</f>
        <v/>
      </c>
      <c r="C4101">
        <f>Prices!C4101</f>
        <v/>
      </c>
      <c r="D4101">
        <f>Prices!D4101</f>
        <v/>
      </c>
      <c r="E4101">
        <f>Prices!E4101</f>
        <v/>
      </c>
      <c r="F4101">
        <f>Prices!F4101</f>
        <v/>
      </c>
      <c r="G4101">
        <f>IF(AND(4099&gt;=16,TEXT(A4101,"yyyy-mm")&lt;&gt;TEXT(A4102,"yyyy-mm")),1,0)</f>
        <v/>
      </c>
      <c r="H4101">
        <f>IF(OR(H4100=1,G4101=1),1,0)</f>
        <v/>
      </c>
      <c r="I4101">
        <f>IF(H4100=0,1,SUMPRODUCT(J4100:N4100,B4101:F4101)+O4100*(1+0.00023125256064071564))</f>
        <v/>
      </c>
      <c r="J4101">
        <f>IF(G4101=1,0.2*R4101/B4101,J4100)</f>
        <v/>
      </c>
      <c r="K4101">
        <f>IF(G4101=1,0.2*R4101/C4101,K4100)</f>
        <v/>
      </c>
      <c r="L4101">
        <f>IF(G4101=1,0.2*R4101/D4101,L4100)</f>
        <v/>
      </c>
      <c r="M4101">
        <f>IF(G4101=1,0.2*R4101/E4101,M4100)</f>
        <v/>
      </c>
      <c r="N4101">
        <f>IF(G4101=1,0.2*R4101/F4101,N4100)</f>
        <v/>
      </c>
      <c r="O4101">
        <f>IF(G4101=1,R4101*(1-1.0),IF(H4100=0,1,O4100*(1+0.00023125256064071564)))</f>
        <v/>
      </c>
      <c r="P4101">
        <f>IF(G4101=1,IF(H4100=0,1,ABS(0.2-J4100*B4101/I4101)+ABS(0.2-K4100*C4101/I4101)+ABS(0.2-L4100*D4101/I4101)+ABS(0.2-M4100*E4101/I4101)+ABS(0.2-N4100*F4101/I4101)),0)</f>
        <v/>
      </c>
      <c r="Q4101">
        <f>P4101*0.0015</f>
        <v/>
      </c>
      <c r="R4101">
        <f>I4101*(1-Q4101)</f>
        <v/>
      </c>
      <c r="S4101">
        <f>R4101/R4100-1</f>
        <v/>
      </c>
      <c r="T4101">
        <f>MAX(T4100,R4101)</f>
        <v/>
      </c>
      <c r="U4101">
        <f>R4101/T4101-1</f>
        <v/>
      </c>
      <c r="V4101" t="n">
        <v>16.70572110734331</v>
      </c>
      <c r="W4101" s="5">
        <f>R4101-V4101</f>
        <v/>
      </c>
    </row>
    <row r="4102">
      <c r="A4102" s="3" t="n">
        <v>44481</v>
      </c>
      <c r="B4102">
        <f>Prices!B4102</f>
        <v/>
      </c>
      <c r="C4102">
        <f>Prices!C4102</f>
        <v/>
      </c>
      <c r="D4102">
        <f>Prices!D4102</f>
        <v/>
      </c>
      <c r="E4102">
        <f>Prices!E4102</f>
        <v/>
      </c>
      <c r="F4102">
        <f>Prices!F4102</f>
        <v/>
      </c>
      <c r="G4102">
        <f>IF(AND(4100&gt;=16,TEXT(A4102,"yyyy-mm")&lt;&gt;TEXT(A4103,"yyyy-mm")),1,0)</f>
        <v/>
      </c>
      <c r="H4102">
        <f>IF(OR(H4101=1,G4102=1),1,0)</f>
        <v/>
      </c>
      <c r="I4102">
        <f>IF(H4101=0,1,SUMPRODUCT(J4101:N4101,B4102:F4102)+O4101*(1+0.00023125256064071564))</f>
        <v/>
      </c>
      <c r="J4102">
        <f>IF(G4102=1,0.2*R4102/B4102,J4101)</f>
        <v/>
      </c>
      <c r="K4102">
        <f>IF(G4102=1,0.2*R4102/C4102,K4101)</f>
        <v/>
      </c>
      <c r="L4102">
        <f>IF(G4102=1,0.2*R4102/D4102,L4101)</f>
        <v/>
      </c>
      <c r="M4102">
        <f>IF(G4102=1,0.2*R4102/E4102,M4101)</f>
        <v/>
      </c>
      <c r="N4102">
        <f>IF(G4102=1,0.2*R4102/F4102,N4101)</f>
        <v/>
      </c>
      <c r="O4102">
        <f>IF(G4102=1,R4102*(1-1.0),IF(H4101=0,1,O4101*(1+0.00023125256064071564)))</f>
        <v/>
      </c>
      <c r="P4102">
        <f>IF(G4102=1,IF(H4101=0,1,ABS(0.2-J4101*B4102/I4102)+ABS(0.2-K4101*C4102/I4102)+ABS(0.2-L4101*D4102/I4102)+ABS(0.2-M4101*E4102/I4102)+ABS(0.2-N4101*F4102/I4102)),0)</f>
        <v/>
      </c>
      <c r="Q4102">
        <f>P4102*0.0015</f>
        <v/>
      </c>
      <c r="R4102">
        <f>I4102*(1-Q4102)</f>
        <v/>
      </c>
      <c r="S4102">
        <f>R4102/R4101-1</f>
        <v/>
      </c>
      <c r="T4102">
        <f>MAX(T4101,R4102)</f>
        <v/>
      </c>
      <c r="U4102">
        <f>R4102/T4102-1</f>
        <v/>
      </c>
      <c r="V4102" t="n">
        <v>16.72701288264777</v>
      </c>
      <c r="W4102" s="5">
        <f>R4102-V4102</f>
        <v/>
      </c>
    </row>
    <row r="4103">
      <c r="A4103" s="3" t="n">
        <v>44482</v>
      </c>
      <c r="B4103">
        <f>Prices!B4103</f>
        <v/>
      </c>
      <c r="C4103">
        <f>Prices!C4103</f>
        <v/>
      </c>
      <c r="D4103">
        <f>Prices!D4103</f>
        <v/>
      </c>
      <c r="E4103">
        <f>Prices!E4103</f>
        <v/>
      </c>
      <c r="F4103">
        <f>Prices!F4103</f>
        <v/>
      </c>
      <c r="G4103">
        <f>IF(AND(4101&gt;=16,TEXT(A4103,"yyyy-mm")&lt;&gt;TEXT(A4104,"yyyy-mm")),1,0)</f>
        <v/>
      </c>
      <c r="H4103">
        <f>IF(OR(H4102=1,G4103=1),1,0)</f>
        <v/>
      </c>
      <c r="I4103">
        <f>IF(H4102=0,1,SUMPRODUCT(J4102:N4102,B4103:F4103)+O4102*(1+0.00023125256064071564))</f>
        <v/>
      </c>
      <c r="J4103">
        <f>IF(G4103=1,0.2*R4103/B4103,J4102)</f>
        <v/>
      </c>
      <c r="K4103">
        <f>IF(G4103=1,0.2*R4103/C4103,K4102)</f>
        <v/>
      </c>
      <c r="L4103">
        <f>IF(G4103=1,0.2*R4103/D4103,L4102)</f>
        <v/>
      </c>
      <c r="M4103">
        <f>IF(G4103=1,0.2*R4103/E4103,M4102)</f>
        <v/>
      </c>
      <c r="N4103">
        <f>IF(G4103=1,0.2*R4103/F4103,N4102)</f>
        <v/>
      </c>
      <c r="O4103">
        <f>IF(G4103=1,R4103*(1-1.0),IF(H4102=0,1,O4102*(1+0.00023125256064071564)))</f>
        <v/>
      </c>
      <c r="P4103">
        <f>IF(G4103=1,IF(H4102=0,1,ABS(0.2-J4102*B4103/I4103)+ABS(0.2-K4102*C4103/I4103)+ABS(0.2-L4102*D4103/I4103)+ABS(0.2-M4102*E4103/I4103)+ABS(0.2-N4102*F4103/I4103)),0)</f>
        <v/>
      </c>
      <c r="Q4103">
        <f>P4103*0.0015</f>
        <v/>
      </c>
      <c r="R4103">
        <f>I4103*(1-Q4103)</f>
        <v/>
      </c>
      <c r="S4103">
        <f>R4103/R4102-1</f>
        <v/>
      </c>
      <c r="T4103">
        <f>MAX(T4102,R4103)</f>
        <v/>
      </c>
      <c r="U4103">
        <f>R4103/T4103-1</f>
        <v/>
      </c>
      <c r="V4103" t="n">
        <v>17.0044569490215</v>
      </c>
      <c r="W4103" s="5">
        <f>R4103-V4103</f>
        <v/>
      </c>
    </row>
    <row r="4104">
      <c r="A4104" s="3" t="n">
        <v>44483</v>
      </c>
      <c r="B4104">
        <f>Prices!B4104</f>
        <v/>
      </c>
      <c r="C4104">
        <f>Prices!C4104</f>
        <v/>
      </c>
      <c r="D4104">
        <f>Prices!D4104</f>
        <v/>
      </c>
      <c r="E4104">
        <f>Prices!E4104</f>
        <v/>
      </c>
      <c r="F4104">
        <f>Prices!F4104</f>
        <v/>
      </c>
      <c r="G4104">
        <f>IF(AND(4102&gt;=16,TEXT(A4104,"yyyy-mm")&lt;&gt;TEXT(A4105,"yyyy-mm")),1,0)</f>
        <v/>
      </c>
      <c r="H4104">
        <f>IF(OR(H4103=1,G4104=1),1,0)</f>
        <v/>
      </c>
      <c r="I4104">
        <f>IF(H4103=0,1,SUMPRODUCT(J4103:N4103,B4104:F4104)+O4103*(1+0.00023125256064071564))</f>
        <v/>
      </c>
      <c r="J4104">
        <f>IF(G4104=1,0.2*R4104/B4104,J4103)</f>
        <v/>
      </c>
      <c r="K4104">
        <f>IF(G4104=1,0.2*R4104/C4104,K4103)</f>
        <v/>
      </c>
      <c r="L4104">
        <f>IF(G4104=1,0.2*R4104/D4104,L4103)</f>
        <v/>
      </c>
      <c r="M4104">
        <f>IF(G4104=1,0.2*R4104/E4104,M4103)</f>
        <v/>
      </c>
      <c r="N4104">
        <f>IF(G4104=1,0.2*R4104/F4104,N4103)</f>
        <v/>
      </c>
      <c r="O4104">
        <f>IF(G4104=1,R4104*(1-1.0),IF(H4103=0,1,O4103*(1+0.00023125256064071564)))</f>
        <v/>
      </c>
      <c r="P4104">
        <f>IF(G4104=1,IF(H4103=0,1,ABS(0.2-J4103*B4104/I4104)+ABS(0.2-K4103*C4104/I4104)+ABS(0.2-L4103*D4104/I4104)+ABS(0.2-M4103*E4104/I4104)+ABS(0.2-N4103*F4104/I4104)),0)</f>
        <v/>
      </c>
      <c r="Q4104">
        <f>P4104*0.0015</f>
        <v/>
      </c>
      <c r="R4104">
        <f>I4104*(1-Q4104)</f>
        <v/>
      </c>
      <c r="S4104">
        <f>R4104/R4103-1</f>
        <v/>
      </c>
      <c r="T4104">
        <f>MAX(T4103,R4104)</f>
        <v/>
      </c>
      <c r="U4104">
        <f>R4104/T4104-1</f>
        <v/>
      </c>
      <c r="V4104" t="n">
        <v>17.15557272924361</v>
      </c>
      <c r="W4104" s="5">
        <f>R4104-V4104</f>
        <v/>
      </c>
    </row>
    <row r="4105">
      <c r="A4105" s="3" t="n">
        <v>44487</v>
      </c>
      <c r="B4105">
        <f>Prices!B4105</f>
        <v/>
      </c>
      <c r="C4105">
        <f>Prices!C4105</f>
        <v/>
      </c>
      <c r="D4105">
        <f>Prices!D4105</f>
        <v/>
      </c>
      <c r="E4105">
        <f>Prices!E4105</f>
        <v/>
      </c>
      <c r="F4105">
        <f>Prices!F4105</f>
        <v/>
      </c>
      <c r="G4105">
        <f>IF(AND(4103&gt;=16,TEXT(A4105,"yyyy-mm")&lt;&gt;TEXT(A4106,"yyyy-mm")),1,0)</f>
        <v/>
      </c>
      <c r="H4105">
        <f>IF(OR(H4104=1,G4105=1),1,0)</f>
        <v/>
      </c>
      <c r="I4105">
        <f>IF(H4104=0,1,SUMPRODUCT(J4104:N4104,B4105:F4105)+O4104*(1+0.00023125256064071564))</f>
        <v/>
      </c>
      <c r="J4105">
        <f>IF(G4105=1,0.2*R4105/B4105,J4104)</f>
        <v/>
      </c>
      <c r="K4105">
        <f>IF(G4105=1,0.2*R4105/C4105,K4104)</f>
        <v/>
      </c>
      <c r="L4105">
        <f>IF(G4105=1,0.2*R4105/D4105,L4104)</f>
        <v/>
      </c>
      <c r="M4105">
        <f>IF(G4105=1,0.2*R4105/E4105,M4104)</f>
        <v/>
      </c>
      <c r="N4105">
        <f>IF(G4105=1,0.2*R4105/F4105,N4104)</f>
        <v/>
      </c>
      <c r="O4105">
        <f>IF(G4105=1,R4105*(1-1.0),IF(H4104=0,1,O4104*(1+0.00023125256064071564)))</f>
        <v/>
      </c>
      <c r="P4105">
        <f>IF(G4105=1,IF(H4104=0,1,ABS(0.2-J4104*B4105/I4105)+ABS(0.2-K4104*C4105/I4105)+ABS(0.2-L4104*D4105/I4105)+ABS(0.2-M4104*E4105/I4105)+ABS(0.2-N4104*F4105/I4105)),0)</f>
        <v/>
      </c>
      <c r="Q4105">
        <f>P4105*0.0015</f>
        <v/>
      </c>
      <c r="R4105">
        <f>I4105*(1-Q4105)</f>
        <v/>
      </c>
      <c r="S4105">
        <f>R4105/R4104-1</f>
        <v/>
      </c>
      <c r="T4105">
        <f>MAX(T4104,R4105)</f>
        <v/>
      </c>
      <c r="U4105">
        <f>R4105/T4105-1</f>
        <v/>
      </c>
      <c r="V4105" t="n">
        <v>17.32658128890702</v>
      </c>
      <c r="W4105" s="5">
        <f>R4105-V4105</f>
        <v/>
      </c>
    </row>
    <row r="4106">
      <c r="A4106" s="3" t="n">
        <v>44488</v>
      </c>
      <c r="B4106">
        <f>Prices!B4106</f>
        <v/>
      </c>
      <c r="C4106">
        <f>Prices!C4106</f>
        <v/>
      </c>
      <c r="D4106">
        <f>Prices!D4106</f>
        <v/>
      </c>
      <c r="E4106">
        <f>Prices!E4106</f>
        <v/>
      </c>
      <c r="F4106">
        <f>Prices!F4106</f>
        <v/>
      </c>
      <c r="G4106">
        <f>IF(AND(4104&gt;=16,TEXT(A4106,"yyyy-mm")&lt;&gt;TEXT(A4107,"yyyy-mm")),1,0)</f>
        <v/>
      </c>
      <c r="H4106">
        <f>IF(OR(H4105=1,G4106=1),1,0)</f>
        <v/>
      </c>
      <c r="I4106">
        <f>IF(H4105=0,1,SUMPRODUCT(J4105:N4105,B4106:F4106)+O4105*(1+0.00023125256064071564))</f>
        <v/>
      </c>
      <c r="J4106">
        <f>IF(G4106=1,0.2*R4106/B4106,J4105)</f>
        <v/>
      </c>
      <c r="K4106">
        <f>IF(G4106=1,0.2*R4106/C4106,K4105)</f>
        <v/>
      </c>
      <c r="L4106">
        <f>IF(G4106=1,0.2*R4106/D4106,L4105)</f>
        <v/>
      </c>
      <c r="M4106">
        <f>IF(G4106=1,0.2*R4106/E4106,M4105)</f>
        <v/>
      </c>
      <c r="N4106">
        <f>IF(G4106=1,0.2*R4106/F4106,N4105)</f>
        <v/>
      </c>
      <c r="O4106">
        <f>IF(G4106=1,R4106*(1-1.0),IF(H4105=0,1,O4105*(1+0.00023125256064071564)))</f>
        <v/>
      </c>
      <c r="P4106">
        <f>IF(G4106=1,IF(H4105=0,1,ABS(0.2-J4105*B4106/I4106)+ABS(0.2-K4105*C4106/I4106)+ABS(0.2-L4105*D4106/I4106)+ABS(0.2-M4105*E4106/I4106)+ABS(0.2-N4105*F4106/I4106)),0)</f>
        <v/>
      </c>
      <c r="Q4106">
        <f>P4106*0.0015</f>
        <v/>
      </c>
      <c r="R4106">
        <f>I4106*(1-Q4106)</f>
        <v/>
      </c>
      <c r="S4106">
        <f>R4106/R4105-1</f>
        <v/>
      </c>
      <c r="T4106">
        <f>MAX(T4105,R4106)</f>
        <v/>
      </c>
      <c r="U4106">
        <f>R4106/T4106-1</f>
        <v/>
      </c>
      <c r="V4106" t="n">
        <v>17.04723888483359</v>
      </c>
      <c r="W4106" s="5">
        <f>R4106-V4106</f>
        <v/>
      </c>
    </row>
    <row r="4107">
      <c r="A4107" s="3" t="n">
        <v>44489</v>
      </c>
      <c r="B4107">
        <f>Prices!B4107</f>
        <v/>
      </c>
      <c r="C4107">
        <f>Prices!C4107</f>
        <v/>
      </c>
      <c r="D4107">
        <f>Prices!D4107</f>
        <v/>
      </c>
      <c r="E4107">
        <f>Prices!E4107</f>
        <v/>
      </c>
      <c r="F4107">
        <f>Prices!F4107</f>
        <v/>
      </c>
      <c r="G4107">
        <f>IF(AND(4105&gt;=16,TEXT(A4107,"yyyy-mm")&lt;&gt;TEXT(A4108,"yyyy-mm")),1,0)</f>
        <v/>
      </c>
      <c r="H4107">
        <f>IF(OR(H4106=1,G4107=1),1,0)</f>
        <v/>
      </c>
      <c r="I4107">
        <f>IF(H4106=0,1,SUMPRODUCT(J4106:N4106,B4107:F4107)+O4106*(1+0.00023125256064071564))</f>
        <v/>
      </c>
      <c r="J4107">
        <f>IF(G4107=1,0.2*R4107/B4107,J4106)</f>
        <v/>
      </c>
      <c r="K4107">
        <f>IF(G4107=1,0.2*R4107/C4107,K4106)</f>
        <v/>
      </c>
      <c r="L4107">
        <f>IF(G4107=1,0.2*R4107/D4107,L4106)</f>
        <v/>
      </c>
      <c r="M4107">
        <f>IF(G4107=1,0.2*R4107/E4107,M4106)</f>
        <v/>
      </c>
      <c r="N4107">
        <f>IF(G4107=1,0.2*R4107/F4107,N4106)</f>
        <v/>
      </c>
      <c r="O4107">
        <f>IF(G4107=1,R4107*(1-1.0),IF(H4106=0,1,O4106*(1+0.00023125256064071564)))</f>
        <v/>
      </c>
      <c r="P4107">
        <f>IF(G4107=1,IF(H4106=0,1,ABS(0.2-J4106*B4107/I4107)+ABS(0.2-K4106*C4107/I4107)+ABS(0.2-L4106*D4107/I4107)+ABS(0.2-M4106*E4107/I4107)+ABS(0.2-N4106*F4107/I4107)),0)</f>
        <v/>
      </c>
      <c r="Q4107">
        <f>P4107*0.0015</f>
        <v/>
      </c>
      <c r="R4107">
        <f>I4107*(1-Q4107)</f>
        <v/>
      </c>
      <c r="S4107">
        <f>R4107/R4106-1</f>
        <v/>
      </c>
      <c r="T4107">
        <f>MAX(T4106,R4107)</f>
        <v/>
      </c>
      <c r="U4107">
        <f>R4107/T4107-1</f>
        <v/>
      </c>
      <c r="V4107" t="n">
        <v>16.75479295727309</v>
      </c>
      <c r="W4107" s="5">
        <f>R4107-V4107</f>
        <v/>
      </c>
    </row>
    <row r="4108">
      <c r="A4108" s="3" t="n">
        <v>44490</v>
      </c>
      <c r="B4108">
        <f>Prices!B4108</f>
        <v/>
      </c>
      <c r="C4108">
        <f>Prices!C4108</f>
        <v/>
      </c>
      <c r="D4108">
        <f>Prices!D4108</f>
        <v/>
      </c>
      <c r="E4108">
        <f>Prices!E4108</f>
        <v/>
      </c>
      <c r="F4108">
        <f>Prices!F4108</f>
        <v/>
      </c>
      <c r="G4108">
        <f>IF(AND(4106&gt;=16,TEXT(A4108,"yyyy-mm")&lt;&gt;TEXT(A4109,"yyyy-mm")),1,0)</f>
        <v/>
      </c>
      <c r="H4108">
        <f>IF(OR(H4107=1,G4108=1),1,0)</f>
        <v/>
      </c>
      <c r="I4108">
        <f>IF(H4107=0,1,SUMPRODUCT(J4107:N4107,B4108:F4108)+O4107*(1+0.00023125256064071564))</f>
        <v/>
      </c>
      <c r="J4108">
        <f>IF(G4108=1,0.2*R4108/B4108,J4107)</f>
        <v/>
      </c>
      <c r="K4108">
        <f>IF(G4108=1,0.2*R4108/C4108,K4107)</f>
        <v/>
      </c>
      <c r="L4108">
        <f>IF(G4108=1,0.2*R4108/D4108,L4107)</f>
        <v/>
      </c>
      <c r="M4108">
        <f>IF(G4108=1,0.2*R4108/E4108,M4107)</f>
        <v/>
      </c>
      <c r="N4108">
        <f>IF(G4108=1,0.2*R4108/F4108,N4107)</f>
        <v/>
      </c>
      <c r="O4108">
        <f>IF(G4108=1,R4108*(1-1.0),IF(H4107=0,1,O4107*(1+0.00023125256064071564)))</f>
        <v/>
      </c>
      <c r="P4108">
        <f>IF(G4108=1,IF(H4107=0,1,ABS(0.2-J4107*B4108/I4108)+ABS(0.2-K4107*C4108/I4108)+ABS(0.2-L4107*D4108/I4108)+ABS(0.2-M4107*E4108/I4108)+ABS(0.2-N4107*F4108/I4108)),0)</f>
        <v/>
      </c>
      <c r="Q4108">
        <f>P4108*0.0015</f>
        <v/>
      </c>
      <c r="R4108">
        <f>I4108*(1-Q4108)</f>
        <v/>
      </c>
      <c r="S4108">
        <f>R4108/R4107-1</f>
        <v/>
      </c>
      <c r="T4108">
        <f>MAX(T4107,R4108)</f>
        <v/>
      </c>
      <c r="U4108">
        <f>R4108/T4108-1</f>
        <v/>
      </c>
      <c r="V4108" t="n">
        <v>16.61561736980517</v>
      </c>
      <c r="W4108" s="5">
        <f>R4108-V4108</f>
        <v/>
      </c>
    </row>
    <row r="4109">
      <c r="A4109" s="3" t="n">
        <v>44491</v>
      </c>
      <c r="B4109">
        <f>Prices!B4109</f>
        <v/>
      </c>
      <c r="C4109">
        <f>Prices!C4109</f>
        <v/>
      </c>
      <c r="D4109">
        <f>Prices!D4109</f>
        <v/>
      </c>
      <c r="E4109">
        <f>Prices!E4109</f>
        <v/>
      </c>
      <c r="F4109">
        <f>Prices!F4109</f>
        <v/>
      </c>
      <c r="G4109">
        <f>IF(AND(4107&gt;=16,TEXT(A4109,"yyyy-mm")&lt;&gt;TEXT(A4110,"yyyy-mm")),1,0)</f>
        <v/>
      </c>
      <c r="H4109">
        <f>IF(OR(H4108=1,G4109=1),1,0)</f>
        <v/>
      </c>
      <c r="I4109">
        <f>IF(H4108=0,1,SUMPRODUCT(J4108:N4108,B4109:F4109)+O4108*(1+0.00023125256064071564))</f>
        <v/>
      </c>
      <c r="J4109">
        <f>IF(G4109=1,0.2*R4109/B4109,J4108)</f>
        <v/>
      </c>
      <c r="K4109">
        <f>IF(G4109=1,0.2*R4109/C4109,K4108)</f>
        <v/>
      </c>
      <c r="L4109">
        <f>IF(G4109=1,0.2*R4109/D4109,L4108)</f>
        <v/>
      </c>
      <c r="M4109">
        <f>IF(G4109=1,0.2*R4109/E4109,M4108)</f>
        <v/>
      </c>
      <c r="N4109">
        <f>IF(G4109=1,0.2*R4109/F4109,N4108)</f>
        <v/>
      </c>
      <c r="O4109">
        <f>IF(G4109=1,R4109*(1-1.0),IF(H4108=0,1,O4108*(1+0.00023125256064071564)))</f>
        <v/>
      </c>
      <c r="P4109">
        <f>IF(G4109=1,IF(H4108=0,1,ABS(0.2-J4108*B4109/I4109)+ABS(0.2-K4108*C4109/I4109)+ABS(0.2-L4108*D4109/I4109)+ABS(0.2-M4108*E4109/I4109)+ABS(0.2-N4108*F4109/I4109)),0)</f>
        <v/>
      </c>
      <c r="Q4109">
        <f>P4109*0.0015</f>
        <v/>
      </c>
      <c r="R4109">
        <f>I4109*(1-Q4109)</f>
        <v/>
      </c>
      <c r="S4109">
        <f>R4109/R4108-1</f>
        <v/>
      </c>
      <c r="T4109">
        <f>MAX(T4108,R4109)</f>
        <v/>
      </c>
      <c r="U4109">
        <f>R4109/T4109-1</f>
        <v/>
      </c>
      <c r="V4109" t="n">
        <v>16.40011982104505</v>
      </c>
      <c r="W4109" s="5">
        <f>R4109-V4109</f>
        <v/>
      </c>
    </row>
    <row r="4110">
      <c r="A4110" s="3" t="n">
        <v>44494</v>
      </c>
      <c r="B4110">
        <f>Prices!B4110</f>
        <v/>
      </c>
      <c r="C4110">
        <f>Prices!C4110</f>
        <v/>
      </c>
      <c r="D4110">
        <f>Prices!D4110</f>
        <v/>
      </c>
      <c r="E4110">
        <f>Prices!E4110</f>
        <v/>
      </c>
      <c r="F4110">
        <f>Prices!F4110</f>
        <v/>
      </c>
      <c r="G4110">
        <f>IF(AND(4108&gt;=16,TEXT(A4110,"yyyy-mm")&lt;&gt;TEXT(A4111,"yyyy-mm")),1,0)</f>
        <v/>
      </c>
      <c r="H4110">
        <f>IF(OR(H4109=1,G4110=1),1,0)</f>
        <v/>
      </c>
      <c r="I4110">
        <f>IF(H4109=0,1,SUMPRODUCT(J4109:N4109,B4110:F4110)+O4109*(1+0.00023125256064071564))</f>
        <v/>
      </c>
      <c r="J4110">
        <f>IF(G4110=1,0.2*R4110/B4110,J4109)</f>
        <v/>
      </c>
      <c r="K4110">
        <f>IF(G4110=1,0.2*R4110/C4110,K4109)</f>
        <v/>
      </c>
      <c r="L4110">
        <f>IF(G4110=1,0.2*R4110/D4110,L4109)</f>
        <v/>
      </c>
      <c r="M4110">
        <f>IF(G4110=1,0.2*R4110/E4110,M4109)</f>
        <v/>
      </c>
      <c r="N4110">
        <f>IF(G4110=1,0.2*R4110/F4110,N4109)</f>
        <v/>
      </c>
      <c r="O4110">
        <f>IF(G4110=1,R4110*(1-1.0),IF(H4109=0,1,O4109*(1+0.00023125256064071564)))</f>
        <v/>
      </c>
      <c r="P4110">
        <f>IF(G4110=1,IF(H4109=0,1,ABS(0.2-J4109*B4110/I4110)+ABS(0.2-K4109*C4110/I4110)+ABS(0.2-L4109*D4110/I4110)+ABS(0.2-M4109*E4110/I4110)+ABS(0.2-N4109*F4110/I4110)),0)</f>
        <v/>
      </c>
      <c r="Q4110">
        <f>P4110*0.0015</f>
        <v/>
      </c>
      <c r="R4110">
        <f>I4110*(1-Q4110)</f>
        <v/>
      </c>
      <c r="S4110">
        <f>R4110/R4109-1</f>
        <v/>
      </c>
      <c r="T4110">
        <f>MAX(T4109,R4110)</f>
        <v/>
      </c>
      <c r="U4110">
        <f>R4110/T4110-1</f>
        <v/>
      </c>
      <c r="V4110" t="n">
        <v>16.21051291295306</v>
      </c>
      <c r="W4110" s="5">
        <f>R4110-V4110</f>
        <v/>
      </c>
    </row>
    <row r="4111">
      <c r="A4111" s="3" t="n">
        <v>44495</v>
      </c>
      <c r="B4111">
        <f>Prices!B4111</f>
        <v/>
      </c>
      <c r="C4111">
        <f>Prices!C4111</f>
        <v/>
      </c>
      <c r="D4111">
        <f>Prices!D4111</f>
        <v/>
      </c>
      <c r="E4111">
        <f>Prices!E4111</f>
        <v/>
      </c>
      <c r="F4111">
        <f>Prices!F4111</f>
        <v/>
      </c>
      <c r="G4111">
        <f>IF(AND(4109&gt;=16,TEXT(A4111,"yyyy-mm")&lt;&gt;TEXT(A4112,"yyyy-mm")),1,0)</f>
        <v/>
      </c>
      <c r="H4111">
        <f>IF(OR(H4110=1,G4111=1),1,0)</f>
        <v/>
      </c>
      <c r="I4111">
        <f>IF(H4110=0,1,SUMPRODUCT(J4110:N4110,B4111:F4111)+O4110*(1+0.00023125256064071564))</f>
        <v/>
      </c>
      <c r="J4111">
        <f>IF(G4111=1,0.2*R4111/B4111,J4110)</f>
        <v/>
      </c>
      <c r="K4111">
        <f>IF(G4111=1,0.2*R4111/C4111,K4110)</f>
        <v/>
      </c>
      <c r="L4111">
        <f>IF(G4111=1,0.2*R4111/D4111,L4110)</f>
        <v/>
      </c>
      <c r="M4111">
        <f>IF(G4111=1,0.2*R4111/E4111,M4110)</f>
        <v/>
      </c>
      <c r="N4111">
        <f>IF(G4111=1,0.2*R4111/F4111,N4110)</f>
        <v/>
      </c>
      <c r="O4111">
        <f>IF(G4111=1,R4111*(1-1.0),IF(H4110=0,1,O4110*(1+0.00023125256064071564)))</f>
        <v/>
      </c>
      <c r="P4111">
        <f>IF(G4111=1,IF(H4110=0,1,ABS(0.2-J4110*B4111/I4111)+ABS(0.2-K4110*C4111/I4111)+ABS(0.2-L4110*D4111/I4111)+ABS(0.2-M4110*E4111/I4111)+ABS(0.2-N4110*F4111/I4111)),0)</f>
        <v/>
      </c>
      <c r="Q4111">
        <f>P4111*0.0015</f>
        <v/>
      </c>
      <c r="R4111">
        <f>I4111*(1-Q4111)</f>
        <v/>
      </c>
      <c r="S4111">
        <f>R4111/R4110-1</f>
        <v/>
      </c>
      <c r="T4111">
        <f>MAX(T4110,R4111)</f>
        <v/>
      </c>
      <c r="U4111">
        <f>R4111/T4111-1</f>
        <v/>
      </c>
      <c r="V4111" t="n">
        <v>16.49697991899551</v>
      </c>
      <c r="W4111" s="5">
        <f>R4111-V4111</f>
        <v/>
      </c>
    </row>
    <row r="4112">
      <c r="A4112" s="3" t="n">
        <v>44496</v>
      </c>
      <c r="B4112">
        <f>Prices!B4112</f>
        <v/>
      </c>
      <c r="C4112">
        <f>Prices!C4112</f>
        <v/>
      </c>
      <c r="D4112">
        <f>Prices!D4112</f>
        <v/>
      </c>
      <c r="E4112">
        <f>Prices!E4112</f>
        <v/>
      </c>
      <c r="F4112">
        <f>Prices!F4112</f>
        <v/>
      </c>
      <c r="G4112">
        <f>IF(AND(4110&gt;=16,TEXT(A4112,"yyyy-mm")&lt;&gt;TEXT(A4113,"yyyy-mm")),1,0)</f>
        <v/>
      </c>
      <c r="H4112">
        <f>IF(OR(H4111=1,G4112=1),1,0)</f>
        <v/>
      </c>
      <c r="I4112">
        <f>IF(H4111=0,1,SUMPRODUCT(J4111:N4111,B4112:F4112)+O4111*(1+0.00023125256064071564))</f>
        <v/>
      </c>
      <c r="J4112">
        <f>IF(G4112=1,0.2*R4112/B4112,J4111)</f>
        <v/>
      </c>
      <c r="K4112">
        <f>IF(G4112=1,0.2*R4112/C4112,K4111)</f>
        <v/>
      </c>
      <c r="L4112">
        <f>IF(G4112=1,0.2*R4112/D4112,L4111)</f>
        <v/>
      </c>
      <c r="M4112">
        <f>IF(G4112=1,0.2*R4112/E4112,M4111)</f>
        <v/>
      </c>
      <c r="N4112">
        <f>IF(G4112=1,0.2*R4112/F4112,N4111)</f>
        <v/>
      </c>
      <c r="O4112">
        <f>IF(G4112=1,R4112*(1-1.0),IF(H4111=0,1,O4111*(1+0.00023125256064071564)))</f>
        <v/>
      </c>
      <c r="P4112">
        <f>IF(G4112=1,IF(H4111=0,1,ABS(0.2-J4111*B4112/I4112)+ABS(0.2-K4111*C4112/I4112)+ABS(0.2-L4111*D4112/I4112)+ABS(0.2-M4111*E4112/I4112)+ABS(0.2-N4111*F4112/I4112)),0)</f>
        <v/>
      </c>
      <c r="Q4112">
        <f>P4112*0.0015</f>
        <v/>
      </c>
      <c r="R4112">
        <f>I4112*(1-Q4112)</f>
        <v/>
      </c>
      <c r="S4112">
        <f>R4112/R4111-1</f>
        <v/>
      </c>
      <c r="T4112">
        <f>MAX(T4111,R4112)</f>
        <v/>
      </c>
      <c r="U4112">
        <f>R4112/T4112-1</f>
        <v/>
      </c>
      <c r="V4112" t="n">
        <v>16.56159692532672</v>
      </c>
      <c r="W4112" s="5">
        <f>R4112-V4112</f>
        <v/>
      </c>
    </row>
    <row r="4113">
      <c r="A4113" s="3" t="n">
        <v>44497</v>
      </c>
      <c r="B4113">
        <f>Prices!B4113</f>
        <v/>
      </c>
      <c r="C4113">
        <f>Prices!C4113</f>
        <v/>
      </c>
      <c r="D4113">
        <f>Prices!D4113</f>
        <v/>
      </c>
      <c r="E4113">
        <f>Prices!E4113</f>
        <v/>
      </c>
      <c r="F4113">
        <f>Prices!F4113</f>
        <v/>
      </c>
      <c r="G4113">
        <f>IF(AND(4111&gt;=16,TEXT(A4113,"yyyy-mm")&lt;&gt;TEXT(A4114,"yyyy-mm")),1,0)</f>
        <v/>
      </c>
      <c r="H4113">
        <f>IF(OR(H4112=1,G4113=1),1,0)</f>
        <v/>
      </c>
      <c r="I4113">
        <f>IF(H4112=0,1,SUMPRODUCT(J4112:N4112,B4113:F4113)+O4112*(1+0.00023125256064071564))</f>
        <v/>
      </c>
      <c r="J4113">
        <f>IF(G4113=1,0.2*R4113/B4113,J4112)</f>
        <v/>
      </c>
      <c r="K4113">
        <f>IF(G4113=1,0.2*R4113/C4113,K4112)</f>
        <v/>
      </c>
      <c r="L4113">
        <f>IF(G4113=1,0.2*R4113/D4113,L4112)</f>
        <v/>
      </c>
      <c r="M4113">
        <f>IF(G4113=1,0.2*R4113/E4113,M4112)</f>
        <v/>
      </c>
      <c r="N4113">
        <f>IF(G4113=1,0.2*R4113/F4113,N4112)</f>
        <v/>
      </c>
      <c r="O4113">
        <f>IF(G4113=1,R4113*(1-1.0),IF(H4112=0,1,O4112*(1+0.00023125256064071564)))</f>
        <v/>
      </c>
      <c r="P4113">
        <f>IF(G4113=1,IF(H4112=0,1,ABS(0.2-J4112*B4113/I4113)+ABS(0.2-K4112*C4113/I4113)+ABS(0.2-L4112*D4113/I4113)+ABS(0.2-M4112*E4113/I4113)+ABS(0.2-N4112*F4113/I4113)),0)</f>
        <v/>
      </c>
      <c r="Q4113">
        <f>P4113*0.0015</f>
        <v/>
      </c>
      <c r="R4113">
        <f>I4113*(1-Q4113)</f>
        <v/>
      </c>
      <c r="S4113">
        <f>R4113/R4112-1</f>
        <v/>
      </c>
      <c r="T4113">
        <f>MAX(T4112,R4113)</f>
        <v/>
      </c>
      <c r="U4113">
        <f>R4113/T4113-1</f>
        <v/>
      </c>
      <c r="V4113" t="n">
        <v>16.15869213304371</v>
      </c>
      <c r="W4113" s="5">
        <f>R4113-V4113</f>
        <v/>
      </c>
    </row>
    <row r="4114">
      <c r="A4114" s="3" t="n">
        <v>44498</v>
      </c>
      <c r="B4114">
        <f>Prices!B4114</f>
        <v/>
      </c>
      <c r="C4114">
        <f>Prices!C4114</f>
        <v/>
      </c>
      <c r="D4114">
        <f>Prices!D4114</f>
        <v/>
      </c>
      <c r="E4114">
        <f>Prices!E4114</f>
        <v/>
      </c>
      <c r="F4114">
        <f>Prices!F4114</f>
        <v/>
      </c>
      <c r="G4114">
        <f>IF(AND(4112&gt;=16,TEXT(A4114,"yyyy-mm")&lt;&gt;TEXT(A4115,"yyyy-mm")),1,0)</f>
        <v/>
      </c>
      <c r="H4114">
        <f>IF(OR(H4113=1,G4114=1),1,0)</f>
        <v/>
      </c>
      <c r="I4114">
        <f>IF(H4113=0,1,SUMPRODUCT(J4113:N4113,B4114:F4114)+O4113*(1+0.00023125256064071564))</f>
        <v/>
      </c>
      <c r="J4114">
        <f>IF(G4114=1,0.2*R4114/B4114,J4113)</f>
        <v/>
      </c>
      <c r="K4114">
        <f>IF(G4114=1,0.2*R4114/C4114,K4113)</f>
        <v/>
      </c>
      <c r="L4114">
        <f>IF(G4114=1,0.2*R4114/D4114,L4113)</f>
        <v/>
      </c>
      <c r="M4114">
        <f>IF(G4114=1,0.2*R4114/E4114,M4113)</f>
        <v/>
      </c>
      <c r="N4114">
        <f>IF(G4114=1,0.2*R4114/F4114,N4113)</f>
        <v/>
      </c>
      <c r="O4114">
        <f>IF(G4114=1,R4114*(1-1.0),IF(H4113=0,1,O4113*(1+0.00023125256064071564)))</f>
        <v/>
      </c>
      <c r="P4114">
        <f>IF(G4114=1,IF(H4113=0,1,ABS(0.2-J4113*B4114/I4114)+ABS(0.2-K4113*C4114/I4114)+ABS(0.2-L4113*D4114/I4114)+ABS(0.2-M4113*E4114/I4114)+ABS(0.2-N4113*F4114/I4114)),0)</f>
        <v/>
      </c>
      <c r="Q4114">
        <f>P4114*0.0015</f>
        <v/>
      </c>
      <c r="R4114">
        <f>I4114*(1-Q4114)</f>
        <v/>
      </c>
      <c r="S4114">
        <f>R4114/R4113-1</f>
        <v/>
      </c>
      <c r="T4114">
        <f>MAX(T4113,R4114)</f>
        <v/>
      </c>
      <c r="U4114">
        <f>R4114/T4114-1</f>
        <v/>
      </c>
      <c r="V4114" t="n">
        <v>16.11522237477915</v>
      </c>
      <c r="W4114" s="5">
        <f>R4114-V4114</f>
        <v/>
      </c>
    </row>
    <row r="4115">
      <c r="A4115" s="3" t="n">
        <v>44501</v>
      </c>
      <c r="B4115">
        <f>Prices!B4115</f>
        <v/>
      </c>
      <c r="C4115">
        <f>Prices!C4115</f>
        <v/>
      </c>
      <c r="D4115">
        <f>Prices!D4115</f>
        <v/>
      </c>
      <c r="E4115">
        <f>Prices!E4115</f>
        <v/>
      </c>
      <c r="F4115">
        <f>Prices!F4115</f>
        <v/>
      </c>
      <c r="G4115">
        <f>IF(AND(4113&gt;=16,TEXT(A4115,"yyyy-mm")&lt;&gt;TEXT(A4116,"yyyy-mm")),1,0)</f>
        <v/>
      </c>
      <c r="H4115">
        <f>IF(OR(H4114=1,G4115=1),1,0)</f>
        <v/>
      </c>
      <c r="I4115">
        <f>IF(H4114=0,1,SUMPRODUCT(J4114:N4114,B4115:F4115)+O4114*(1+0.00023125256064071564))</f>
        <v/>
      </c>
      <c r="J4115">
        <f>IF(G4115=1,0.2*R4115/B4115,J4114)</f>
        <v/>
      </c>
      <c r="K4115">
        <f>IF(G4115=1,0.2*R4115/C4115,K4114)</f>
        <v/>
      </c>
      <c r="L4115">
        <f>IF(G4115=1,0.2*R4115/D4115,L4114)</f>
        <v/>
      </c>
      <c r="M4115">
        <f>IF(G4115=1,0.2*R4115/E4115,M4114)</f>
        <v/>
      </c>
      <c r="N4115">
        <f>IF(G4115=1,0.2*R4115/F4115,N4114)</f>
        <v/>
      </c>
      <c r="O4115">
        <f>IF(G4115=1,R4115*(1-1.0),IF(H4114=0,1,O4114*(1+0.00023125256064071564)))</f>
        <v/>
      </c>
      <c r="P4115">
        <f>IF(G4115=1,IF(H4114=0,1,ABS(0.2-J4114*B4115/I4115)+ABS(0.2-K4114*C4115/I4115)+ABS(0.2-L4114*D4115/I4115)+ABS(0.2-M4114*E4115/I4115)+ABS(0.2-N4114*F4115/I4115)),0)</f>
        <v/>
      </c>
      <c r="Q4115">
        <f>P4115*0.0015</f>
        <v/>
      </c>
      <c r="R4115">
        <f>I4115*(1-Q4115)</f>
        <v/>
      </c>
      <c r="S4115">
        <f>R4115/R4114-1</f>
        <v/>
      </c>
      <c r="T4115">
        <f>MAX(T4114,R4115)</f>
        <v/>
      </c>
      <c r="U4115">
        <f>R4115/T4115-1</f>
        <v/>
      </c>
      <c r="V4115" t="n">
        <v>16.39900014342927</v>
      </c>
      <c r="W4115" s="5">
        <f>R4115-V4115</f>
        <v/>
      </c>
    </row>
    <row r="4116">
      <c r="A4116" s="3" t="n">
        <v>44502</v>
      </c>
      <c r="B4116">
        <f>Prices!B4116</f>
        <v/>
      </c>
      <c r="C4116">
        <f>Prices!C4116</f>
        <v/>
      </c>
      <c r="D4116">
        <f>Prices!D4116</f>
        <v/>
      </c>
      <c r="E4116">
        <f>Prices!E4116</f>
        <v/>
      </c>
      <c r="F4116">
        <f>Prices!F4116</f>
        <v/>
      </c>
      <c r="G4116">
        <f>IF(AND(4114&gt;=16,TEXT(A4116,"yyyy-mm")&lt;&gt;TEXT(A4117,"yyyy-mm")),1,0)</f>
        <v/>
      </c>
      <c r="H4116">
        <f>IF(OR(H4115=1,G4116=1),1,0)</f>
        <v/>
      </c>
      <c r="I4116">
        <f>IF(H4115=0,1,SUMPRODUCT(J4115:N4115,B4116:F4116)+O4115*(1+0.00023125256064071564))</f>
        <v/>
      </c>
      <c r="J4116">
        <f>IF(G4116=1,0.2*R4116/B4116,J4115)</f>
        <v/>
      </c>
      <c r="K4116">
        <f>IF(G4116=1,0.2*R4116/C4116,K4115)</f>
        <v/>
      </c>
      <c r="L4116">
        <f>IF(G4116=1,0.2*R4116/D4116,L4115)</f>
        <v/>
      </c>
      <c r="M4116">
        <f>IF(G4116=1,0.2*R4116/E4116,M4115)</f>
        <v/>
      </c>
      <c r="N4116">
        <f>IF(G4116=1,0.2*R4116/F4116,N4115)</f>
        <v/>
      </c>
      <c r="O4116">
        <f>IF(G4116=1,R4116*(1-1.0),IF(H4115=0,1,O4115*(1+0.00023125256064071564)))</f>
        <v/>
      </c>
      <c r="P4116">
        <f>IF(G4116=1,IF(H4115=0,1,ABS(0.2-J4115*B4116/I4116)+ABS(0.2-K4115*C4116/I4116)+ABS(0.2-L4115*D4116/I4116)+ABS(0.2-M4115*E4116/I4116)+ABS(0.2-N4115*F4116/I4116)),0)</f>
        <v/>
      </c>
      <c r="Q4116">
        <f>P4116*0.0015</f>
        <v/>
      </c>
      <c r="R4116">
        <f>I4116*(1-Q4116)</f>
        <v/>
      </c>
      <c r="S4116">
        <f>R4116/R4115-1</f>
        <v/>
      </c>
      <c r="T4116">
        <f>MAX(T4115,R4116)</f>
        <v/>
      </c>
      <c r="U4116">
        <f>R4116/T4116-1</f>
        <v/>
      </c>
      <c r="V4116" t="n">
        <v>16.40535982295578</v>
      </c>
      <c r="W4116" s="5">
        <f>R4116-V4116</f>
        <v/>
      </c>
    </row>
    <row r="4117">
      <c r="A4117" s="3" t="n">
        <v>44503</v>
      </c>
      <c r="B4117">
        <f>Prices!B4117</f>
        <v/>
      </c>
      <c r="C4117">
        <f>Prices!C4117</f>
        <v/>
      </c>
      <c r="D4117">
        <f>Prices!D4117</f>
        <v/>
      </c>
      <c r="E4117">
        <f>Prices!E4117</f>
        <v/>
      </c>
      <c r="F4117">
        <f>Prices!F4117</f>
        <v/>
      </c>
      <c r="G4117">
        <f>IF(AND(4115&gt;=16,TEXT(A4117,"yyyy-mm")&lt;&gt;TEXT(A4118,"yyyy-mm")),1,0)</f>
        <v/>
      </c>
      <c r="H4117">
        <f>IF(OR(H4116=1,G4117=1),1,0)</f>
        <v/>
      </c>
      <c r="I4117">
        <f>IF(H4116=0,1,SUMPRODUCT(J4116:N4116,B4117:F4117)+O4116*(1+0.00023125256064071564))</f>
        <v/>
      </c>
      <c r="J4117">
        <f>IF(G4117=1,0.2*R4117/B4117,J4116)</f>
        <v/>
      </c>
      <c r="K4117">
        <f>IF(G4117=1,0.2*R4117/C4117,K4116)</f>
        <v/>
      </c>
      <c r="L4117">
        <f>IF(G4117=1,0.2*R4117/D4117,L4116)</f>
        <v/>
      </c>
      <c r="M4117">
        <f>IF(G4117=1,0.2*R4117/E4117,M4116)</f>
        <v/>
      </c>
      <c r="N4117">
        <f>IF(G4117=1,0.2*R4117/F4117,N4116)</f>
        <v/>
      </c>
      <c r="O4117">
        <f>IF(G4117=1,R4117*(1-1.0),IF(H4116=0,1,O4116*(1+0.00023125256064071564)))</f>
        <v/>
      </c>
      <c r="P4117">
        <f>IF(G4117=1,IF(H4116=0,1,ABS(0.2-J4116*B4117/I4117)+ABS(0.2-K4116*C4117/I4117)+ABS(0.2-L4116*D4117/I4117)+ABS(0.2-M4116*E4117/I4117)+ABS(0.2-N4116*F4117/I4117)),0)</f>
        <v/>
      </c>
      <c r="Q4117">
        <f>P4117*0.0015</f>
        <v/>
      </c>
      <c r="R4117">
        <f>I4117*(1-Q4117)</f>
        <v/>
      </c>
      <c r="S4117">
        <f>R4117/R4116-1</f>
        <v/>
      </c>
      <c r="T4117">
        <f>MAX(T4116,R4117)</f>
        <v/>
      </c>
      <c r="U4117">
        <f>R4117/T4117-1</f>
        <v/>
      </c>
      <c r="V4117" t="n">
        <v>16.41675175158045</v>
      </c>
      <c r="W4117" s="5">
        <f>R4117-V4117</f>
        <v/>
      </c>
    </row>
    <row r="4118">
      <c r="A4118" s="3" t="n">
        <v>44504</v>
      </c>
      <c r="B4118">
        <f>Prices!B4118</f>
        <v/>
      </c>
      <c r="C4118">
        <f>Prices!C4118</f>
        <v/>
      </c>
      <c r="D4118">
        <f>Prices!D4118</f>
        <v/>
      </c>
      <c r="E4118">
        <f>Prices!E4118</f>
        <v/>
      </c>
      <c r="F4118">
        <f>Prices!F4118</f>
        <v/>
      </c>
      <c r="G4118">
        <f>IF(AND(4116&gt;=16,TEXT(A4118,"yyyy-mm")&lt;&gt;TEXT(A4119,"yyyy-mm")),1,0)</f>
        <v/>
      </c>
      <c r="H4118">
        <f>IF(OR(H4117=1,G4118=1),1,0)</f>
        <v/>
      </c>
      <c r="I4118">
        <f>IF(H4117=0,1,SUMPRODUCT(J4117:N4117,B4118:F4118)+O4117*(1+0.00023125256064071564))</f>
        <v/>
      </c>
      <c r="J4118">
        <f>IF(G4118=1,0.2*R4118/B4118,J4117)</f>
        <v/>
      </c>
      <c r="K4118">
        <f>IF(G4118=1,0.2*R4118/C4118,K4117)</f>
        <v/>
      </c>
      <c r="L4118">
        <f>IF(G4118=1,0.2*R4118/D4118,L4117)</f>
        <v/>
      </c>
      <c r="M4118">
        <f>IF(G4118=1,0.2*R4118/E4118,M4117)</f>
        <v/>
      </c>
      <c r="N4118">
        <f>IF(G4118=1,0.2*R4118/F4118,N4117)</f>
        <v/>
      </c>
      <c r="O4118">
        <f>IF(G4118=1,R4118*(1-1.0),IF(H4117=0,1,O4117*(1+0.00023125256064071564)))</f>
        <v/>
      </c>
      <c r="P4118">
        <f>IF(G4118=1,IF(H4117=0,1,ABS(0.2-J4117*B4118/I4118)+ABS(0.2-K4117*C4118/I4118)+ABS(0.2-L4117*D4118/I4118)+ABS(0.2-M4117*E4118/I4118)+ABS(0.2-N4117*F4118/I4118)),0)</f>
        <v/>
      </c>
      <c r="Q4118">
        <f>P4118*0.0015</f>
        <v/>
      </c>
      <c r="R4118">
        <f>I4118*(1-Q4118)</f>
        <v/>
      </c>
      <c r="S4118">
        <f>R4118/R4117-1</f>
        <v/>
      </c>
      <c r="T4118">
        <f>MAX(T4117,R4118)</f>
        <v/>
      </c>
      <c r="U4118">
        <f>R4118/T4118-1</f>
        <v/>
      </c>
      <c r="V4118" t="n">
        <v>16.53553358494796</v>
      </c>
      <c r="W4118" s="5">
        <f>R4118-V4118</f>
        <v/>
      </c>
    </row>
    <row r="4119">
      <c r="A4119" s="3" t="n">
        <v>44508</v>
      </c>
      <c r="B4119">
        <f>Prices!B4119</f>
        <v/>
      </c>
      <c r="C4119">
        <f>Prices!C4119</f>
        <v/>
      </c>
      <c r="D4119">
        <f>Prices!D4119</f>
        <v/>
      </c>
      <c r="E4119">
        <f>Prices!E4119</f>
        <v/>
      </c>
      <c r="F4119">
        <f>Prices!F4119</f>
        <v/>
      </c>
      <c r="G4119">
        <f>IF(AND(4117&gt;=16,TEXT(A4119,"yyyy-mm")&lt;&gt;TEXT(A4120,"yyyy-mm")),1,0)</f>
        <v/>
      </c>
      <c r="H4119">
        <f>IF(OR(H4118=1,G4119=1),1,0)</f>
        <v/>
      </c>
      <c r="I4119">
        <f>IF(H4118=0,1,SUMPRODUCT(J4118:N4118,B4119:F4119)+O4118*(1+0.00023125256064071564))</f>
        <v/>
      </c>
      <c r="J4119">
        <f>IF(G4119=1,0.2*R4119/B4119,J4118)</f>
        <v/>
      </c>
      <c r="K4119">
        <f>IF(G4119=1,0.2*R4119/C4119,K4118)</f>
        <v/>
      </c>
      <c r="L4119">
        <f>IF(G4119=1,0.2*R4119/D4119,L4118)</f>
        <v/>
      </c>
      <c r="M4119">
        <f>IF(G4119=1,0.2*R4119/E4119,M4118)</f>
        <v/>
      </c>
      <c r="N4119">
        <f>IF(G4119=1,0.2*R4119/F4119,N4118)</f>
        <v/>
      </c>
      <c r="O4119">
        <f>IF(G4119=1,R4119*(1-1.0),IF(H4118=0,1,O4118*(1+0.00023125256064071564)))</f>
        <v/>
      </c>
      <c r="P4119">
        <f>IF(G4119=1,IF(H4118=0,1,ABS(0.2-J4118*B4119/I4119)+ABS(0.2-K4118*C4119/I4119)+ABS(0.2-L4118*D4119/I4119)+ABS(0.2-M4118*E4119/I4119)+ABS(0.2-N4118*F4119/I4119)),0)</f>
        <v/>
      </c>
      <c r="Q4119">
        <f>P4119*0.0015</f>
        <v/>
      </c>
      <c r="R4119">
        <f>I4119*(1-Q4119)</f>
        <v/>
      </c>
      <c r="S4119">
        <f>R4119/R4118-1</f>
        <v/>
      </c>
      <c r="T4119">
        <f>MAX(T4118,R4119)</f>
        <v/>
      </c>
      <c r="U4119">
        <f>R4119/T4119-1</f>
        <v/>
      </c>
      <c r="V4119" t="n">
        <v>16.70222895415181</v>
      </c>
      <c r="W4119" s="5">
        <f>R4119-V4119</f>
        <v/>
      </c>
    </row>
    <row r="4120">
      <c r="A4120" s="3" t="n">
        <v>44509</v>
      </c>
      <c r="B4120">
        <f>Prices!B4120</f>
        <v/>
      </c>
      <c r="C4120">
        <f>Prices!C4120</f>
        <v/>
      </c>
      <c r="D4120">
        <f>Prices!D4120</f>
        <v/>
      </c>
      <c r="E4120">
        <f>Prices!E4120</f>
        <v/>
      </c>
      <c r="F4120">
        <f>Prices!F4120</f>
        <v/>
      </c>
      <c r="G4120">
        <f>IF(AND(4118&gt;=16,TEXT(A4120,"yyyy-mm")&lt;&gt;TEXT(A4121,"yyyy-mm")),1,0)</f>
        <v/>
      </c>
      <c r="H4120">
        <f>IF(OR(H4119=1,G4120=1),1,0)</f>
        <v/>
      </c>
      <c r="I4120">
        <f>IF(H4119=0,1,SUMPRODUCT(J4119:N4119,B4120:F4120)+O4119*(1+0.00023125256064071564))</f>
        <v/>
      </c>
      <c r="J4120">
        <f>IF(G4120=1,0.2*R4120/B4120,J4119)</f>
        <v/>
      </c>
      <c r="K4120">
        <f>IF(G4120=1,0.2*R4120/C4120,K4119)</f>
        <v/>
      </c>
      <c r="L4120">
        <f>IF(G4120=1,0.2*R4120/D4120,L4119)</f>
        <v/>
      </c>
      <c r="M4120">
        <f>IF(G4120=1,0.2*R4120/E4120,M4119)</f>
        <v/>
      </c>
      <c r="N4120">
        <f>IF(G4120=1,0.2*R4120/F4120,N4119)</f>
        <v/>
      </c>
      <c r="O4120">
        <f>IF(G4120=1,R4120*(1-1.0),IF(H4119=0,1,O4119*(1+0.00023125256064071564)))</f>
        <v/>
      </c>
      <c r="P4120">
        <f>IF(G4120=1,IF(H4119=0,1,ABS(0.2-J4119*B4120/I4120)+ABS(0.2-K4119*C4120/I4120)+ABS(0.2-L4119*D4120/I4120)+ABS(0.2-M4119*E4120/I4120)+ABS(0.2-N4119*F4120/I4120)),0)</f>
        <v/>
      </c>
      <c r="Q4120">
        <f>P4120*0.0015</f>
        <v/>
      </c>
      <c r="R4120">
        <f>I4120*(1-Q4120)</f>
        <v/>
      </c>
      <c r="S4120">
        <f>R4120/R4119-1</f>
        <v/>
      </c>
      <c r="T4120">
        <f>MAX(T4119,R4120)</f>
        <v/>
      </c>
      <c r="U4120">
        <f>R4120/T4120-1</f>
        <v/>
      </c>
      <c r="V4120" t="n">
        <v>16.79515797055773</v>
      </c>
      <c r="W4120" s="5">
        <f>R4120-V4120</f>
        <v/>
      </c>
    </row>
    <row r="4121">
      <c r="A4121" s="3" t="n">
        <v>44510</v>
      </c>
      <c r="B4121">
        <f>Prices!B4121</f>
        <v/>
      </c>
      <c r="C4121">
        <f>Prices!C4121</f>
        <v/>
      </c>
      <c r="D4121">
        <f>Prices!D4121</f>
        <v/>
      </c>
      <c r="E4121">
        <f>Prices!E4121</f>
        <v/>
      </c>
      <c r="F4121">
        <f>Prices!F4121</f>
        <v/>
      </c>
      <c r="G4121">
        <f>IF(AND(4119&gt;=16,TEXT(A4121,"yyyy-mm")&lt;&gt;TEXT(A4122,"yyyy-mm")),1,0)</f>
        <v/>
      </c>
      <c r="H4121">
        <f>IF(OR(H4120=1,G4121=1),1,0)</f>
        <v/>
      </c>
      <c r="I4121">
        <f>IF(H4120=0,1,SUMPRODUCT(J4120:N4120,B4121:F4121)+O4120*(1+0.00023125256064071564))</f>
        <v/>
      </c>
      <c r="J4121">
        <f>IF(G4121=1,0.2*R4121/B4121,J4120)</f>
        <v/>
      </c>
      <c r="K4121">
        <f>IF(G4121=1,0.2*R4121/C4121,K4120)</f>
        <v/>
      </c>
      <c r="L4121">
        <f>IF(G4121=1,0.2*R4121/D4121,L4120)</f>
        <v/>
      </c>
      <c r="M4121">
        <f>IF(G4121=1,0.2*R4121/E4121,M4120)</f>
        <v/>
      </c>
      <c r="N4121">
        <f>IF(G4121=1,0.2*R4121/F4121,N4120)</f>
        <v/>
      </c>
      <c r="O4121">
        <f>IF(G4121=1,R4121*(1-1.0),IF(H4120=0,1,O4120*(1+0.00023125256064071564)))</f>
        <v/>
      </c>
      <c r="P4121">
        <f>IF(G4121=1,IF(H4120=0,1,ABS(0.2-J4120*B4121/I4121)+ABS(0.2-K4120*C4121/I4121)+ABS(0.2-L4120*D4121/I4121)+ABS(0.2-M4120*E4121/I4121)+ABS(0.2-N4120*F4121/I4121)),0)</f>
        <v/>
      </c>
      <c r="Q4121">
        <f>P4121*0.0015</f>
        <v/>
      </c>
      <c r="R4121">
        <f>I4121*(1-Q4121)</f>
        <v/>
      </c>
      <c r="S4121">
        <f>R4121/R4120-1</f>
        <v/>
      </c>
      <c r="T4121">
        <f>MAX(T4120,R4121)</f>
        <v/>
      </c>
      <c r="U4121">
        <f>R4121/T4121-1</f>
        <v/>
      </c>
      <c r="V4121" t="n">
        <v>16.76078559617821</v>
      </c>
      <c r="W4121" s="5">
        <f>R4121-V4121</f>
        <v/>
      </c>
    </row>
    <row r="4122">
      <c r="A4122" s="3" t="n">
        <v>44511</v>
      </c>
      <c r="B4122">
        <f>Prices!B4122</f>
        <v/>
      </c>
      <c r="C4122">
        <f>Prices!C4122</f>
        <v/>
      </c>
      <c r="D4122">
        <f>Prices!D4122</f>
        <v/>
      </c>
      <c r="E4122">
        <f>Prices!E4122</f>
        <v/>
      </c>
      <c r="F4122">
        <f>Prices!F4122</f>
        <v/>
      </c>
      <c r="G4122">
        <f>IF(AND(4120&gt;=16,TEXT(A4122,"yyyy-mm")&lt;&gt;TEXT(A4123,"yyyy-mm")),1,0)</f>
        <v/>
      </c>
      <c r="H4122">
        <f>IF(OR(H4121=1,G4122=1),1,0)</f>
        <v/>
      </c>
      <c r="I4122">
        <f>IF(H4121=0,1,SUMPRODUCT(J4121:N4121,B4122:F4122)+O4121*(1+0.00023125256064071564))</f>
        <v/>
      </c>
      <c r="J4122">
        <f>IF(G4122=1,0.2*R4122/B4122,J4121)</f>
        <v/>
      </c>
      <c r="K4122">
        <f>IF(G4122=1,0.2*R4122/C4122,K4121)</f>
        <v/>
      </c>
      <c r="L4122">
        <f>IF(G4122=1,0.2*R4122/D4122,L4121)</f>
        <v/>
      </c>
      <c r="M4122">
        <f>IF(G4122=1,0.2*R4122/E4122,M4121)</f>
        <v/>
      </c>
      <c r="N4122">
        <f>IF(G4122=1,0.2*R4122/F4122,N4121)</f>
        <v/>
      </c>
      <c r="O4122">
        <f>IF(G4122=1,R4122*(1-1.0),IF(H4121=0,1,O4121*(1+0.00023125256064071564)))</f>
        <v/>
      </c>
      <c r="P4122">
        <f>IF(G4122=1,IF(H4121=0,1,ABS(0.2-J4121*B4122/I4122)+ABS(0.2-K4121*C4122/I4122)+ABS(0.2-L4121*D4122/I4122)+ABS(0.2-M4121*E4122/I4122)+ABS(0.2-N4121*F4122/I4122)),0)</f>
        <v/>
      </c>
      <c r="Q4122">
        <f>P4122*0.0015</f>
        <v/>
      </c>
      <c r="R4122">
        <f>I4122*(1-Q4122)</f>
        <v/>
      </c>
      <c r="S4122">
        <f>R4122/R4121-1</f>
        <v/>
      </c>
      <c r="T4122">
        <f>MAX(T4121,R4122)</f>
        <v/>
      </c>
      <c r="U4122">
        <f>R4122/T4122-1</f>
        <v/>
      </c>
      <c r="V4122" t="n">
        <v>16.68554555719055</v>
      </c>
      <c r="W4122" s="5">
        <f>R4122-V4122</f>
        <v/>
      </c>
    </row>
    <row r="4123">
      <c r="A4123" s="3" t="n">
        <v>44512</v>
      </c>
      <c r="B4123">
        <f>Prices!B4123</f>
        <v/>
      </c>
      <c r="C4123">
        <f>Prices!C4123</f>
        <v/>
      </c>
      <c r="D4123">
        <f>Prices!D4123</f>
        <v/>
      </c>
      <c r="E4123">
        <f>Prices!E4123</f>
        <v/>
      </c>
      <c r="F4123">
        <f>Prices!F4123</f>
        <v/>
      </c>
      <c r="G4123">
        <f>IF(AND(4121&gt;=16,TEXT(A4123,"yyyy-mm")&lt;&gt;TEXT(A4124,"yyyy-mm")),1,0)</f>
        <v/>
      </c>
      <c r="H4123">
        <f>IF(OR(H4122=1,G4123=1),1,0)</f>
        <v/>
      </c>
      <c r="I4123">
        <f>IF(H4122=0,1,SUMPRODUCT(J4122:N4122,B4123:F4123)+O4122*(1+0.00023125256064071564))</f>
        <v/>
      </c>
      <c r="J4123">
        <f>IF(G4123=1,0.2*R4123/B4123,J4122)</f>
        <v/>
      </c>
      <c r="K4123">
        <f>IF(G4123=1,0.2*R4123/C4123,K4122)</f>
        <v/>
      </c>
      <c r="L4123">
        <f>IF(G4123=1,0.2*R4123/D4123,L4122)</f>
        <v/>
      </c>
      <c r="M4123">
        <f>IF(G4123=1,0.2*R4123/E4123,M4122)</f>
        <v/>
      </c>
      <c r="N4123">
        <f>IF(G4123=1,0.2*R4123/F4123,N4122)</f>
        <v/>
      </c>
      <c r="O4123">
        <f>IF(G4123=1,R4123*(1-1.0),IF(H4122=0,1,O4122*(1+0.00023125256064071564)))</f>
        <v/>
      </c>
      <c r="P4123">
        <f>IF(G4123=1,IF(H4122=0,1,ABS(0.2-J4122*B4123/I4123)+ABS(0.2-K4122*C4123/I4123)+ABS(0.2-L4122*D4123/I4123)+ABS(0.2-M4122*E4123/I4123)+ABS(0.2-N4122*F4123/I4123)),0)</f>
        <v/>
      </c>
      <c r="Q4123">
        <f>P4123*0.0015</f>
        <v/>
      </c>
      <c r="R4123">
        <f>I4123*(1-Q4123)</f>
        <v/>
      </c>
      <c r="S4123">
        <f>R4123/R4122-1</f>
        <v/>
      </c>
      <c r="T4123">
        <f>MAX(T4122,R4123)</f>
        <v/>
      </c>
      <c r="U4123">
        <f>R4123/T4123-1</f>
        <v/>
      </c>
      <c r="V4123" t="n">
        <v>16.81151299007354</v>
      </c>
      <c r="W4123" s="5">
        <f>R4123-V4123</f>
        <v/>
      </c>
    </row>
    <row r="4124">
      <c r="A4124" s="3" t="n">
        <v>44515</v>
      </c>
      <c r="B4124">
        <f>Prices!B4124</f>
        <v/>
      </c>
      <c r="C4124">
        <f>Prices!C4124</f>
        <v/>
      </c>
      <c r="D4124">
        <f>Prices!D4124</f>
        <v/>
      </c>
      <c r="E4124">
        <f>Prices!E4124</f>
        <v/>
      </c>
      <c r="F4124">
        <f>Prices!F4124</f>
        <v/>
      </c>
      <c r="G4124">
        <f>IF(AND(4122&gt;=16,TEXT(A4124,"yyyy-mm")&lt;&gt;TEXT(A4125,"yyyy-mm")),1,0)</f>
        <v/>
      </c>
      <c r="H4124">
        <f>IF(OR(H4123=1,G4124=1),1,0)</f>
        <v/>
      </c>
      <c r="I4124">
        <f>IF(H4123=0,1,SUMPRODUCT(J4123:N4123,B4124:F4124)+O4123*(1+0.00023125256064071564))</f>
        <v/>
      </c>
      <c r="J4124">
        <f>IF(G4124=1,0.2*R4124/B4124,J4123)</f>
        <v/>
      </c>
      <c r="K4124">
        <f>IF(G4124=1,0.2*R4124/C4124,K4123)</f>
        <v/>
      </c>
      <c r="L4124">
        <f>IF(G4124=1,0.2*R4124/D4124,L4123)</f>
        <v/>
      </c>
      <c r="M4124">
        <f>IF(G4124=1,0.2*R4124/E4124,M4123)</f>
        <v/>
      </c>
      <c r="N4124">
        <f>IF(G4124=1,0.2*R4124/F4124,N4123)</f>
        <v/>
      </c>
      <c r="O4124">
        <f>IF(G4124=1,R4124*(1-1.0),IF(H4123=0,1,O4123*(1+0.00023125256064071564)))</f>
        <v/>
      </c>
      <c r="P4124">
        <f>IF(G4124=1,IF(H4123=0,1,ABS(0.2-J4123*B4124/I4124)+ABS(0.2-K4123*C4124/I4124)+ABS(0.2-L4123*D4124/I4124)+ABS(0.2-M4123*E4124/I4124)+ABS(0.2-N4123*F4124/I4124)),0)</f>
        <v/>
      </c>
      <c r="Q4124">
        <f>P4124*0.0015</f>
        <v/>
      </c>
      <c r="R4124">
        <f>I4124*(1-Q4124)</f>
        <v/>
      </c>
      <c r="S4124">
        <f>R4124/R4123-1</f>
        <v/>
      </c>
      <c r="T4124">
        <f>MAX(T4123,R4124)</f>
        <v/>
      </c>
      <c r="U4124">
        <f>R4124/T4124-1</f>
        <v/>
      </c>
      <c r="V4124" t="n">
        <v>16.82963319192134</v>
      </c>
      <c r="W4124" s="5">
        <f>R4124-V4124</f>
        <v/>
      </c>
    </row>
    <row r="4125">
      <c r="A4125" s="3" t="n">
        <v>44516</v>
      </c>
      <c r="B4125">
        <f>Prices!B4125</f>
        <v/>
      </c>
      <c r="C4125">
        <f>Prices!C4125</f>
        <v/>
      </c>
      <c r="D4125">
        <f>Prices!D4125</f>
        <v/>
      </c>
      <c r="E4125">
        <f>Prices!E4125</f>
        <v/>
      </c>
      <c r="F4125">
        <f>Prices!F4125</f>
        <v/>
      </c>
      <c r="G4125">
        <f>IF(AND(4123&gt;=16,TEXT(A4125,"yyyy-mm")&lt;&gt;TEXT(A4126,"yyyy-mm")),1,0)</f>
        <v/>
      </c>
      <c r="H4125">
        <f>IF(OR(H4124=1,G4125=1),1,0)</f>
        <v/>
      </c>
      <c r="I4125">
        <f>IF(H4124=0,1,SUMPRODUCT(J4124:N4124,B4125:F4125)+O4124*(1+0.00023125256064071564))</f>
        <v/>
      </c>
      <c r="J4125">
        <f>IF(G4125=1,0.2*R4125/B4125,J4124)</f>
        <v/>
      </c>
      <c r="K4125">
        <f>IF(G4125=1,0.2*R4125/C4125,K4124)</f>
        <v/>
      </c>
      <c r="L4125">
        <f>IF(G4125=1,0.2*R4125/D4125,L4124)</f>
        <v/>
      </c>
      <c r="M4125">
        <f>IF(G4125=1,0.2*R4125/E4125,M4124)</f>
        <v/>
      </c>
      <c r="N4125">
        <f>IF(G4125=1,0.2*R4125/F4125,N4124)</f>
        <v/>
      </c>
      <c r="O4125">
        <f>IF(G4125=1,R4125*(1-1.0),IF(H4124=0,1,O4124*(1+0.00023125256064071564)))</f>
        <v/>
      </c>
      <c r="P4125">
        <f>IF(G4125=1,IF(H4124=0,1,ABS(0.2-J4124*B4125/I4125)+ABS(0.2-K4124*C4125/I4125)+ABS(0.2-L4124*D4125/I4125)+ABS(0.2-M4124*E4125/I4125)+ABS(0.2-N4124*F4125/I4125)),0)</f>
        <v/>
      </c>
      <c r="Q4125">
        <f>P4125*0.0015</f>
        <v/>
      </c>
      <c r="R4125">
        <f>I4125*(1-Q4125)</f>
        <v/>
      </c>
      <c r="S4125">
        <f>R4125/R4124-1</f>
        <v/>
      </c>
      <c r="T4125">
        <f>MAX(T4124,R4125)</f>
        <v/>
      </c>
      <c r="U4125">
        <f>R4125/T4125-1</f>
        <v/>
      </c>
      <c r="V4125" t="n">
        <v>16.79065814829584</v>
      </c>
      <c r="W4125" s="5">
        <f>R4125-V4125</f>
        <v/>
      </c>
    </row>
    <row r="4126">
      <c r="A4126" s="3" t="n">
        <v>44517</v>
      </c>
      <c r="B4126">
        <f>Prices!B4126</f>
        <v/>
      </c>
      <c r="C4126">
        <f>Prices!C4126</f>
        <v/>
      </c>
      <c r="D4126">
        <f>Prices!D4126</f>
        <v/>
      </c>
      <c r="E4126">
        <f>Prices!E4126</f>
        <v/>
      </c>
      <c r="F4126">
        <f>Prices!F4126</f>
        <v/>
      </c>
      <c r="G4126">
        <f>IF(AND(4124&gt;=16,TEXT(A4126,"yyyy-mm")&lt;&gt;TEXT(A4127,"yyyy-mm")),1,0)</f>
        <v/>
      </c>
      <c r="H4126">
        <f>IF(OR(H4125=1,G4126=1),1,0)</f>
        <v/>
      </c>
      <c r="I4126">
        <f>IF(H4125=0,1,SUMPRODUCT(J4125:N4125,B4126:F4126)+O4125*(1+0.00023125256064071564))</f>
        <v/>
      </c>
      <c r="J4126">
        <f>IF(G4126=1,0.2*R4126/B4126,J4125)</f>
        <v/>
      </c>
      <c r="K4126">
        <f>IF(G4126=1,0.2*R4126/C4126,K4125)</f>
        <v/>
      </c>
      <c r="L4126">
        <f>IF(G4126=1,0.2*R4126/D4126,L4125)</f>
        <v/>
      </c>
      <c r="M4126">
        <f>IF(G4126=1,0.2*R4126/E4126,M4125)</f>
        <v/>
      </c>
      <c r="N4126">
        <f>IF(G4126=1,0.2*R4126/F4126,N4125)</f>
        <v/>
      </c>
      <c r="O4126">
        <f>IF(G4126=1,R4126*(1-1.0),IF(H4125=0,1,O4125*(1+0.00023125256064071564)))</f>
        <v/>
      </c>
      <c r="P4126">
        <f>IF(G4126=1,IF(H4125=0,1,ABS(0.2-J4125*B4126/I4126)+ABS(0.2-K4125*C4126/I4126)+ABS(0.2-L4125*D4126/I4126)+ABS(0.2-M4125*E4126/I4126)+ABS(0.2-N4125*F4126/I4126)),0)</f>
        <v/>
      </c>
      <c r="Q4126">
        <f>P4126*0.0015</f>
        <v/>
      </c>
      <c r="R4126">
        <f>I4126*(1-Q4126)</f>
        <v/>
      </c>
      <c r="S4126">
        <f>R4126/R4125-1</f>
        <v/>
      </c>
      <c r="T4126">
        <f>MAX(T4125,R4126)</f>
        <v/>
      </c>
      <c r="U4126">
        <f>R4126/T4126-1</f>
        <v/>
      </c>
      <c r="V4126" t="n">
        <v>16.77887755222541</v>
      </c>
      <c r="W4126" s="5">
        <f>R4126-V4126</f>
        <v/>
      </c>
    </row>
    <row r="4127">
      <c r="A4127" s="3" t="n">
        <v>44518</v>
      </c>
      <c r="B4127">
        <f>Prices!B4127</f>
        <v/>
      </c>
      <c r="C4127">
        <f>Prices!C4127</f>
        <v/>
      </c>
      <c r="D4127">
        <f>Prices!D4127</f>
        <v/>
      </c>
      <c r="E4127">
        <f>Prices!E4127</f>
        <v/>
      </c>
      <c r="F4127">
        <f>Prices!F4127</f>
        <v/>
      </c>
      <c r="G4127">
        <f>IF(AND(4125&gt;=16,TEXT(A4127,"yyyy-mm")&lt;&gt;TEXT(A4128,"yyyy-mm")),1,0)</f>
        <v/>
      </c>
      <c r="H4127">
        <f>IF(OR(H4126=1,G4127=1),1,0)</f>
        <v/>
      </c>
      <c r="I4127">
        <f>IF(H4126=0,1,SUMPRODUCT(J4126:N4126,B4127:F4127)+O4126*(1+0.00023125256064071564))</f>
        <v/>
      </c>
      <c r="J4127">
        <f>IF(G4127=1,0.2*R4127/B4127,J4126)</f>
        <v/>
      </c>
      <c r="K4127">
        <f>IF(G4127=1,0.2*R4127/C4127,K4126)</f>
        <v/>
      </c>
      <c r="L4127">
        <f>IF(G4127=1,0.2*R4127/D4127,L4126)</f>
        <v/>
      </c>
      <c r="M4127">
        <f>IF(G4127=1,0.2*R4127/E4127,M4126)</f>
        <v/>
      </c>
      <c r="N4127">
        <f>IF(G4127=1,0.2*R4127/F4127,N4126)</f>
        <v/>
      </c>
      <c r="O4127">
        <f>IF(G4127=1,R4127*(1-1.0),IF(H4126=0,1,O4126*(1+0.00023125256064071564)))</f>
        <v/>
      </c>
      <c r="P4127">
        <f>IF(G4127=1,IF(H4126=0,1,ABS(0.2-J4126*B4127/I4127)+ABS(0.2-K4126*C4127/I4127)+ABS(0.2-L4126*D4127/I4127)+ABS(0.2-M4126*E4127/I4127)+ABS(0.2-N4126*F4127/I4127)),0)</f>
        <v/>
      </c>
      <c r="Q4127">
        <f>P4127*0.0015</f>
        <v/>
      </c>
      <c r="R4127">
        <f>I4127*(1-Q4127)</f>
        <v/>
      </c>
      <c r="S4127">
        <f>R4127/R4126-1</f>
        <v/>
      </c>
      <c r="T4127">
        <f>MAX(T4126,R4127)</f>
        <v/>
      </c>
      <c r="U4127">
        <f>R4127/T4127-1</f>
        <v/>
      </c>
      <c r="V4127" t="n">
        <v>16.53402677259768</v>
      </c>
      <c r="W4127" s="5">
        <f>R4127-V4127</f>
        <v/>
      </c>
    </row>
    <row r="4128">
      <c r="A4128" s="3" t="n">
        <v>44522</v>
      </c>
      <c r="B4128">
        <f>Prices!B4128</f>
        <v/>
      </c>
      <c r="C4128">
        <f>Prices!C4128</f>
        <v/>
      </c>
      <c r="D4128">
        <f>Prices!D4128</f>
        <v/>
      </c>
      <c r="E4128">
        <f>Prices!E4128</f>
        <v/>
      </c>
      <c r="F4128">
        <f>Prices!F4128</f>
        <v/>
      </c>
      <c r="G4128">
        <f>IF(AND(4126&gt;=16,TEXT(A4128,"yyyy-mm")&lt;&gt;TEXT(A4129,"yyyy-mm")),1,0)</f>
        <v/>
      </c>
      <c r="H4128">
        <f>IF(OR(H4127=1,G4128=1),1,0)</f>
        <v/>
      </c>
      <c r="I4128">
        <f>IF(H4127=0,1,SUMPRODUCT(J4127:N4127,B4128:F4128)+O4127*(1+0.00023125256064071564))</f>
        <v/>
      </c>
      <c r="J4128">
        <f>IF(G4128=1,0.2*R4128/B4128,J4127)</f>
        <v/>
      </c>
      <c r="K4128">
        <f>IF(G4128=1,0.2*R4128/C4128,K4127)</f>
        <v/>
      </c>
      <c r="L4128">
        <f>IF(G4128=1,0.2*R4128/D4128,L4127)</f>
        <v/>
      </c>
      <c r="M4128">
        <f>IF(G4128=1,0.2*R4128/E4128,M4127)</f>
        <v/>
      </c>
      <c r="N4128">
        <f>IF(G4128=1,0.2*R4128/F4128,N4127)</f>
        <v/>
      </c>
      <c r="O4128">
        <f>IF(G4128=1,R4128*(1-1.0),IF(H4127=0,1,O4127*(1+0.00023125256064071564)))</f>
        <v/>
      </c>
      <c r="P4128">
        <f>IF(G4128=1,IF(H4127=0,1,ABS(0.2-J4127*B4128/I4128)+ABS(0.2-K4127*C4128/I4128)+ABS(0.2-L4127*D4128/I4128)+ABS(0.2-M4127*E4128/I4128)+ABS(0.2-N4127*F4128/I4128)),0)</f>
        <v/>
      </c>
      <c r="Q4128">
        <f>P4128*0.0015</f>
        <v/>
      </c>
      <c r="R4128">
        <f>I4128*(1-Q4128)</f>
        <v/>
      </c>
      <c r="S4128">
        <f>R4128/R4127-1</f>
        <v/>
      </c>
      <c r="T4128">
        <f>MAX(T4127,R4128)</f>
        <v/>
      </c>
      <c r="U4128">
        <f>R4128/T4128-1</f>
        <v/>
      </c>
      <c r="V4128" t="n">
        <v>16.14002885957134</v>
      </c>
      <c r="W4128" s="5">
        <f>R4128-V4128</f>
        <v/>
      </c>
    </row>
    <row r="4129">
      <c r="A4129" s="3" t="n">
        <v>44523</v>
      </c>
      <c r="B4129">
        <f>Prices!B4129</f>
        <v/>
      </c>
      <c r="C4129">
        <f>Prices!C4129</f>
        <v/>
      </c>
      <c r="D4129">
        <f>Prices!D4129</f>
        <v/>
      </c>
      <c r="E4129">
        <f>Prices!E4129</f>
        <v/>
      </c>
      <c r="F4129">
        <f>Prices!F4129</f>
        <v/>
      </c>
      <c r="G4129">
        <f>IF(AND(4127&gt;=16,TEXT(A4129,"yyyy-mm")&lt;&gt;TEXT(A4130,"yyyy-mm")),1,0)</f>
        <v/>
      </c>
      <c r="H4129">
        <f>IF(OR(H4128=1,G4129=1),1,0)</f>
        <v/>
      </c>
      <c r="I4129">
        <f>IF(H4128=0,1,SUMPRODUCT(J4128:N4128,B4129:F4129)+O4128*(1+0.00023125256064071564))</f>
        <v/>
      </c>
      <c r="J4129">
        <f>IF(G4129=1,0.2*R4129/B4129,J4128)</f>
        <v/>
      </c>
      <c r="K4129">
        <f>IF(G4129=1,0.2*R4129/C4129,K4128)</f>
        <v/>
      </c>
      <c r="L4129">
        <f>IF(G4129=1,0.2*R4129/D4129,L4128)</f>
        <v/>
      </c>
      <c r="M4129">
        <f>IF(G4129=1,0.2*R4129/E4129,M4128)</f>
        <v/>
      </c>
      <c r="N4129">
        <f>IF(G4129=1,0.2*R4129/F4129,N4128)</f>
        <v/>
      </c>
      <c r="O4129">
        <f>IF(G4129=1,R4129*(1-1.0),IF(H4128=0,1,O4128*(1+0.00023125256064071564)))</f>
        <v/>
      </c>
      <c r="P4129">
        <f>IF(G4129=1,IF(H4128=0,1,ABS(0.2-J4128*B4129/I4129)+ABS(0.2-K4128*C4129/I4129)+ABS(0.2-L4128*D4129/I4129)+ABS(0.2-M4128*E4129/I4129)+ABS(0.2-N4128*F4129/I4129)),0)</f>
        <v/>
      </c>
      <c r="Q4129">
        <f>P4129*0.0015</f>
        <v/>
      </c>
      <c r="R4129">
        <f>I4129*(1-Q4129)</f>
        <v/>
      </c>
      <c r="S4129">
        <f>R4129/R4128-1</f>
        <v/>
      </c>
      <c r="T4129">
        <f>MAX(T4128,R4129)</f>
        <v/>
      </c>
      <c r="U4129">
        <f>R4129/T4129-1</f>
        <v/>
      </c>
      <c r="V4129" t="n">
        <v>16.38862603742465</v>
      </c>
      <c r="W4129" s="5">
        <f>R4129-V4129</f>
        <v/>
      </c>
    </row>
    <row r="4130">
      <c r="A4130" s="3" t="n">
        <v>44524</v>
      </c>
      <c r="B4130">
        <f>Prices!B4130</f>
        <v/>
      </c>
      <c r="C4130">
        <f>Prices!C4130</f>
        <v/>
      </c>
      <c r="D4130">
        <f>Prices!D4130</f>
        <v/>
      </c>
      <c r="E4130">
        <f>Prices!E4130</f>
        <v/>
      </c>
      <c r="F4130">
        <f>Prices!F4130</f>
        <v/>
      </c>
      <c r="G4130">
        <f>IF(AND(4128&gt;=16,TEXT(A4130,"yyyy-mm")&lt;&gt;TEXT(A4131,"yyyy-mm")),1,0)</f>
        <v/>
      </c>
      <c r="H4130">
        <f>IF(OR(H4129=1,G4130=1),1,0)</f>
        <v/>
      </c>
      <c r="I4130">
        <f>IF(H4129=0,1,SUMPRODUCT(J4129:N4129,B4130:F4130)+O4129*(1+0.00023125256064071564))</f>
        <v/>
      </c>
      <c r="J4130">
        <f>IF(G4130=1,0.2*R4130/B4130,J4129)</f>
        <v/>
      </c>
      <c r="K4130">
        <f>IF(G4130=1,0.2*R4130/C4130,K4129)</f>
        <v/>
      </c>
      <c r="L4130">
        <f>IF(G4130=1,0.2*R4130/D4130,L4129)</f>
        <v/>
      </c>
      <c r="M4130">
        <f>IF(G4130=1,0.2*R4130/E4130,M4129)</f>
        <v/>
      </c>
      <c r="N4130">
        <f>IF(G4130=1,0.2*R4130/F4130,N4129)</f>
        <v/>
      </c>
      <c r="O4130">
        <f>IF(G4130=1,R4130*(1-1.0),IF(H4129=0,1,O4129*(1+0.00023125256064071564)))</f>
        <v/>
      </c>
      <c r="P4130">
        <f>IF(G4130=1,IF(H4129=0,1,ABS(0.2-J4129*B4130/I4130)+ABS(0.2-K4129*C4130/I4130)+ABS(0.2-L4129*D4130/I4130)+ABS(0.2-M4129*E4130/I4130)+ABS(0.2-N4129*F4130/I4130)),0)</f>
        <v/>
      </c>
      <c r="Q4130">
        <f>P4130*0.0015</f>
        <v/>
      </c>
      <c r="R4130">
        <f>I4130*(1-Q4130)</f>
        <v/>
      </c>
      <c r="S4130">
        <f>R4130/R4129-1</f>
        <v/>
      </c>
      <c r="T4130">
        <f>MAX(T4129,R4130)</f>
        <v/>
      </c>
      <c r="U4130">
        <f>R4130/T4130-1</f>
        <v/>
      </c>
      <c r="V4130" t="n">
        <v>16.35505472936939</v>
      </c>
      <c r="W4130" s="5">
        <f>R4130-V4130</f>
        <v/>
      </c>
    </row>
    <row r="4131">
      <c r="A4131" s="3" t="n">
        <v>44525</v>
      </c>
      <c r="B4131">
        <f>Prices!B4131</f>
        <v/>
      </c>
      <c r="C4131">
        <f>Prices!C4131</f>
        <v/>
      </c>
      <c r="D4131">
        <f>Prices!D4131</f>
        <v/>
      </c>
      <c r="E4131">
        <f>Prices!E4131</f>
        <v/>
      </c>
      <c r="F4131">
        <f>Prices!F4131</f>
        <v/>
      </c>
      <c r="G4131">
        <f>IF(AND(4129&gt;=16,TEXT(A4131,"yyyy-mm")&lt;&gt;TEXT(A4132,"yyyy-mm")),1,0)</f>
        <v/>
      </c>
      <c r="H4131">
        <f>IF(OR(H4130=1,G4131=1),1,0)</f>
        <v/>
      </c>
      <c r="I4131">
        <f>IF(H4130=0,1,SUMPRODUCT(J4130:N4130,B4131:F4131)+O4130*(1+0.00023125256064071564))</f>
        <v/>
      </c>
      <c r="J4131">
        <f>IF(G4131=1,0.2*R4131/B4131,J4130)</f>
        <v/>
      </c>
      <c r="K4131">
        <f>IF(G4131=1,0.2*R4131/C4131,K4130)</f>
        <v/>
      </c>
      <c r="L4131">
        <f>IF(G4131=1,0.2*R4131/D4131,L4130)</f>
        <v/>
      </c>
      <c r="M4131">
        <f>IF(G4131=1,0.2*R4131/E4131,M4130)</f>
        <v/>
      </c>
      <c r="N4131">
        <f>IF(G4131=1,0.2*R4131/F4131,N4130)</f>
        <v/>
      </c>
      <c r="O4131">
        <f>IF(G4131=1,R4131*(1-1.0),IF(H4130=0,1,O4130*(1+0.00023125256064071564)))</f>
        <v/>
      </c>
      <c r="P4131">
        <f>IF(G4131=1,IF(H4130=0,1,ABS(0.2-J4130*B4131/I4131)+ABS(0.2-K4130*C4131/I4131)+ABS(0.2-L4130*D4131/I4131)+ABS(0.2-M4130*E4131/I4131)+ABS(0.2-N4130*F4131/I4131)),0)</f>
        <v/>
      </c>
      <c r="Q4131">
        <f>P4131*0.0015</f>
        <v/>
      </c>
      <c r="R4131">
        <f>I4131*(1-Q4131)</f>
        <v/>
      </c>
      <c r="S4131">
        <f>R4131/R4130-1</f>
        <v/>
      </c>
      <c r="T4131">
        <f>MAX(T4130,R4131)</f>
        <v/>
      </c>
      <c r="U4131">
        <f>R4131/T4131-1</f>
        <v/>
      </c>
      <c r="V4131" t="n">
        <v>16.42247203051749</v>
      </c>
      <c r="W4131" s="5">
        <f>R4131-V4131</f>
        <v/>
      </c>
    </row>
    <row r="4132">
      <c r="A4132" s="3" t="n">
        <v>44526</v>
      </c>
      <c r="B4132">
        <f>Prices!B4132</f>
        <v/>
      </c>
      <c r="C4132">
        <f>Prices!C4132</f>
        <v/>
      </c>
      <c r="D4132">
        <f>Prices!D4132</f>
        <v/>
      </c>
      <c r="E4132">
        <f>Prices!E4132</f>
        <v/>
      </c>
      <c r="F4132">
        <f>Prices!F4132</f>
        <v/>
      </c>
      <c r="G4132">
        <f>IF(AND(4130&gt;=16,TEXT(A4132,"yyyy-mm")&lt;&gt;TEXT(A4133,"yyyy-mm")),1,0)</f>
        <v/>
      </c>
      <c r="H4132">
        <f>IF(OR(H4131=1,G4132=1),1,0)</f>
        <v/>
      </c>
      <c r="I4132">
        <f>IF(H4131=0,1,SUMPRODUCT(J4131:N4131,B4132:F4132)+O4131*(1+0.00023125256064071564))</f>
        <v/>
      </c>
      <c r="J4132">
        <f>IF(G4132=1,0.2*R4132/B4132,J4131)</f>
        <v/>
      </c>
      <c r="K4132">
        <f>IF(G4132=1,0.2*R4132/C4132,K4131)</f>
        <v/>
      </c>
      <c r="L4132">
        <f>IF(G4132=1,0.2*R4132/D4132,L4131)</f>
        <v/>
      </c>
      <c r="M4132">
        <f>IF(G4132=1,0.2*R4132/E4132,M4131)</f>
        <v/>
      </c>
      <c r="N4132">
        <f>IF(G4132=1,0.2*R4132/F4132,N4131)</f>
        <v/>
      </c>
      <c r="O4132">
        <f>IF(G4132=1,R4132*(1-1.0),IF(H4131=0,1,O4131*(1+0.00023125256064071564)))</f>
        <v/>
      </c>
      <c r="P4132">
        <f>IF(G4132=1,IF(H4131=0,1,ABS(0.2-J4131*B4132/I4132)+ABS(0.2-K4131*C4132/I4132)+ABS(0.2-L4131*D4132/I4132)+ABS(0.2-M4131*E4132/I4132)+ABS(0.2-N4131*F4132/I4132)),0)</f>
        <v/>
      </c>
      <c r="Q4132">
        <f>P4132*0.0015</f>
        <v/>
      </c>
      <c r="R4132">
        <f>I4132*(1-Q4132)</f>
        <v/>
      </c>
      <c r="S4132">
        <f>R4132/R4131-1</f>
        <v/>
      </c>
      <c r="T4132">
        <f>MAX(T4131,R4132)</f>
        <v/>
      </c>
      <c r="U4132">
        <f>R4132/T4132-1</f>
        <v/>
      </c>
      <c r="V4132" t="n">
        <v>15.96824600829093</v>
      </c>
      <c r="W4132" s="5">
        <f>R4132-V4132</f>
        <v/>
      </c>
    </row>
    <row r="4133">
      <c r="A4133" s="3" t="n">
        <v>44529</v>
      </c>
      <c r="B4133">
        <f>Prices!B4133</f>
        <v/>
      </c>
      <c r="C4133">
        <f>Prices!C4133</f>
        <v/>
      </c>
      <c r="D4133">
        <f>Prices!D4133</f>
        <v/>
      </c>
      <c r="E4133">
        <f>Prices!E4133</f>
        <v/>
      </c>
      <c r="F4133">
        <f>Prices!F4133</f>
        <v/>
      </c>
      <c r="G4133">
        <f>IF(AND(4131&gt;=16,TEXT(A4133,"yyyy-mm")&lt;&gt;TEXT(A4134,"yyyy-mm")),1,0)</f>
        <v/>
      </c>
      <c r="H4133">
        <f>IF(OR(H4132=1,G4133=1),1,0)</f>
        <v/>
      </c>
      <c r="I4133">
        <f>IF(H4132=0,1,SUMPRODUCT(J4132:N4132,B4133:F4133)+O4132*(1+0.00023125256064071564))</f>
        <v/>
      </c>
      <c r="J4133">
        <f>IF(G4133=1,0.2*R4133/B4133,J4132)</f>
        <v/>
      </c>
      <c r="K4133">
        <f>IF(G4133=1,0.2*R4133/C4133,K4132)</f>
        <v/>
      </c>
      <c r="L4133">
        <f>IF(G4133=1,0.2*R4133/D4133,L4132)</f>
        <v/>
      </c>
      <c r="M4133">
        <f>IF(G4133=1,0.2*R4133/E4133,M4132)</f>
        <v/>
      </c>
      <c r="N4133">
        <f>IF(G4133=1,0.2*R4133/F4133,N4132)</f>
        <v/>
      </c>
      <c r="O4133">
        <f>IF(G4133=1,R4133*(1-1.0),IF(H4132=0,1,O4132*(1+0.00023125256064071564)))</f>
        <v/>
      </c>
      <c r="P4133">
        <f>IF(G4133=1,IF(H4132=0,1,ABS(0.2-J4132*B4133/I4133)+ABS(0.2-K4132*C4133/I4133)+ABS(0.2-L4132*D4133/I4133)+ABS(0.2-M4132*E4133/I4133)+ABS(0.2-N4132*F4133/I4133)),0)</f>
        <v/>
      </c>
      <c r="Q4133">
        <f>P4133*0.0015</f>
        <v/>
      </c>
      <c r="R4133">
        <f>I4133*(1-Q4133)</f>
        <v/>
      </c>
      <c r="S4133">
        <f>R4133/R4132-1</f>
        <v/>
      </c>
      <c r="T4133">
        <f>MAX(T4132,R4133)</f>
        <v/>
      </c>
      <c r="U4133">
        <f>R4133/T4133-1</f>
        <v/>
      </c>
      <c r="V4133" t="n">
        <v>15.77254363877608</v>
      </c>
      <c r="W4133" s="5">
        <f>R4133-V4133</f>
        <v/>
      </c>
    </row>
    <row r="4134">
      <c r="A4134" s="3" t="n">
        <v>44530</v>
      </c>
      <c r="B4134">
        <f>Prices!B4134</f>
        <v/>
      </c>
      <c r="C4134">
        <f>Prices!C4134</f>
        <v/>
      </c>
      <c r="D4134">
        <f>Prices!D4134</f>
        <v/>
      </c>
      <c r="E4134">
        <f>Prices!E4134</f>
        <v/>
      </c>
      <c r="F4134">
        <f>Prices!F4134</f>
        <v/>
      </c>
      <c r="G4134">
        <f>IF(AND(4132&gt;=16,TEXT(A4134,"yyyy-mm")&lt;&gt;TEXT(A4135,"yyyy-mm")),1,0)</f>
        <v/>
      </c>
      <c r="H4134">
        <f>IF(OR(H4133=1,G4134=1),1,0)</f>
        <v/>
      </c>
      <c r="I4134">
        <f>IF(H4133=0,1,SUMPRODUCT(J4133:N4133,B4134:F4134)+O4133*(1+0.00023125256064071564))</f>
        <v/>
      </c>
      <c r="J4134">
        <f>IF(G4134=1,0.2*R4134/B4134,J4133)</f>
        <v/>
      </c>
      <c r="K4134">
        <f>IF(G4134=1,0.2*R4134/C4134,K4133)</f>
        <v/>
      </c>
      <c r="L4134">
        <f>IF(G4134=1,0.2*R4134/D4134,L4133)</f>
        <v/>
      </c>
      <c r="M4134">
        <f>IF(G4134=1,0.2*R4134/E4134,M4133)</f>
        <v/>
      </c>
      <c r="N4134">
        <f>IF(G4134=1,0.2*R4134/F4134,N4133)</f>
        <v/>
      </c>
      <c r="O4134">
        <f>IF(G4134=1,R4134*(1-1.0),IF(H4133=0,1,O4133*(1+0.00023125256064071564)))</f>
        <v/>
      </c>
      <c r="P4134">
        <f>IF(G4134=1,IF(H4133=0,1,ABS(0.2-J4133*B4134/I4134)+ABS(0.2-K4133*C4134/I4134)+ABS(0.2-L4133*D4134/I4134)+ABS(0.2-M4133*E4134/I4134)+ABS(0.2-N4133*F4134/I4134)),0)</f>
        <v/>
      </c>
      <c r="Q4134">
        <f>P4134*0.0015</f>
        <v/>
      </c>
      <c r="R4134">
        <f>I4134*(1-Q4134)</f>
        <v/>
      </c>
      <c r="S4134">
        <f>R4134/R4133-1</f>
        <v/>
      </c>
      <c r="T4134">
        <f>MAX(T4133,R4134)</f>
        <v/>
      </c>
      <c r="U4134">
        <f>R4134/T4134-1</f>
        <v/>
      </c>
      <c r="V4134" t="n">
        <v>15.83433737209443</v>
      </c>
      <c r="W4134" s="5">
        <f>R4134-V4134</f>
        <v/>
      </c>
    </row>
    <row r="4135">
      <c r="A4135" s="3" t="n">
        <v>44531</v>
      </c>
      <c r="B4135">
        <f>Prices!B4135</f>
        <v/>
      </c>
      <c r="C4135">
        <f>Prices!C4135</f>
        <v/>
      </c>
      <c r="D4135">
        <f>Prices!D4135</f>
        <v/>
      </c>
      <c r="E4135">
        <f>Prices!E4135</f>
        <v/>
      </c>
      <c r="F4135">
        <f>Prices!F4135</f>
        <v/>
      </c>
      <c r="G4135">
        <f>IF(AND(4133&gt;=16,TEXT(A4135,"yyyy-mm")&lt;&gt;TEXT(A4136,"yyyy-mm")),1,0)</f>
        <v/>
      </c>
      <c r="H4135">
        <f>IF(OR(H4134=1,G4135=1),1,0)</f>
        <v/>
      </c>
      <c r="I4135">
        <f>IF(H4134=0,1,SUMPRODUCT(J4134:N4134,B4135:F4135)+O4134*(1+0.00023125256064071564))</f>
        <v/>
      </c>
      <c r="J4135">
        <f>IF(G4135=1,0.2*R4135/B4135,J4134)</f>
        <v/>
      </c>
      <c r="K4135">
        <f>IF(G4135=1,0.2*R4135/C4135,K4134)</f>
        <v/>
      </c>
      <c r="L4135">
        <f>IF(G4135=1,0.2*R4135/D4135,L4134)</f>
        <v/>
      </c>
      <c r="M4135">
        <f>IF(G4135=1,0.2*R4135/E4135,M4134)</f>
        <v/>
      </c>
      <c r="N4135">
        <f>IF(G4135=1,0.2*R4135/F4135,N4134)</f>
        <v/>
      </c>
      <c r="O4135">
        <f>IF(G4135=1,R4135*(1-1.0),IF(H4134=0,1,O4134*(1+0.00023125256064071564)))</f>
        <v/>
      </c>
      <c r="P4135">
        <f>IF(G4135=1,IF(H4134=0,1,ABS(0.2-J4134*B4135/I4135)+ABS(0.2-K4134*C4135/I4135)+ABS(0.2-L4134*D4135/I4135)+ABS(0.2-M4134*E4135/I4135)+ABS(0.2-N4134*F4135/I4135)),0)</f>
        <v/>
      </c>
      <c r="Q4135">
        <f>P4135*0.0015</f>
        <v/>
      </c>
      <c r="R4135">
        <f>I4135*(1-Q4135)</f>
        <v/>
      </c>
      <c r="S4135">
        <f>R4135/R4134-1</f>
        <v/>
      </c>
      <c r="T4135">
        <f>MAX(T4134,R4135)</f>
        <v/>
      </c>
      <c r="U4135">
        <f>R4135/T4135-1</f>
        <v/>
      </c>
      <c r="V4135" t="n">
        <v>15.94798837850795</v>
      </c>
      <c r="W4135" s="5">
        <f>R4135-V4135</f>
        <v/>
      </c>
    </row>
    <row r="4136">
      <c r="A4136" s="3" t="n">
        <v>44532</v>
      </c>
      <c r="B4136">
        <f>Prices!B4136</f>
        <v/>
      </c>
      <c r="C4136">
        <f>Prices!C4136</f>
        <v/>
      </c>
      <c r="D4136">
        <f>Prices!D4136</f>
        <v/>
      </c>
      <c r="E4136">
        <f>Prices!E4136</f>
        <v/>
      </c>
      <c r="F4136">
        <f>Prices!F4136</f>
        <v/>
      </c>
      <c r="G4136">
        <f>IF(AND(4134&gt;=16,TEXT(A4136,"yyyy-mm")&lt;&gt;TEXT(A4137,"yyyy-mm")),1,0)</f>
        <v/>
      </c>
      <c r="H4136">
        <f>IF(OR(H4135=1,G4136=1),1,0)</f>
        <v/>
      </c>
      <c r="I4136">
        <f>IF(H4135=0,1,SUMPRODUCT(J4135:N4135,B4136:F4136)+O4135*(1+0.00023125256064071564))</f>
        <v/>
      </c>
      <c r="J4136">
        <f>IF(G4136=1,0.2*R4136/B4136,J4135)</f>
        <v/>
      </c>
      <c r="K4136">
        <f>IF(G4136=1,0.2*R4136/C4136,K4135)</f>
        <v/>
      </c>
      <c r="L4136">
        <f>IF(G4136=1,0.2*R4136/D4136,L4135)</f>
        <v/>
      </c>
      <c r="M4136">
        <f>IF(G4136=1,0.2*R4136/E4136,M4135)</f>
        <v/>
      </c>
      <c r="N4136">
        <f>IF(G4136=1,0.2*R4136/F4136,N4135)</f>
        <v/>
      </c>
      <c r="O4136">
        <f>IF(G4136=1,R4136*(1-1.0),IF(H4135=0,1,O4135*(1+0.00023125256064071564)))</f>
        <v/>
      </c>
      <c r="P4136">
        <f>IF(G4136=1,IF(H4135=0,1,ABS(0.2-J4135*B4136/I4136)+ABS(0.2-K4135*C4136/I4136)+ABS(0.2-L4135*D4136/I4136)+ABS(0.2-M4135*E4136/I4136)+ABS(0.2-N4135*F4136/I4136)),0)</f>
        <v/>
      </c>
      <c r="Q4136">
        <f>P4136*0.0015</f>
        <v/>
      </c>
      <c r="R4136">
        <f>I4136*(1-Q4136)</f>
        <v/>
      </c>
      <c r="S4136">
        <f>R4136/R4135-1</f>
        <v/>
      </c>
      <c r="T4136">
        <f>MAX(T4135,R4136)</f>
        <v/>
      </c>
      <c r="U4136">
        <f>R4136/T4136-1</f>
        <v/>
      </c>
      <c r="V4136" t="n">
        <v>16.19727250745092</v>
      </c>
      <c r="W4136" s="5">
        <f>R4136-V4136</f>
        <v/>
      </c>
    </row>
    <row r="4137">
      <c r="A4137" s="3" t="n">
        <v>44533</v>
      </c>
      <c r="B4137">
        <f>Prices!B4137</f>
        <v/>
      </c>
      <c r="C4137">
        <f>Prices!C4137</f>
        <v/>
      </c>
      <c r="D4137">
        <f>Prices!D4137</f>
        <v/>
      </c>
      <c r="E4137">
        <f>Prices!E4137</f>
        <v/>
      </c>
      <c r="F4137">
        <f>Prices!F4137</f>
        <v/>
      </c>
      <c r="G4137">
        <f>IF(AND(4135&gt;=16,TEXT(A4137,"yyyy-mm")&lt;&gt;TEXT(A4138,"yyyy-mm")),1,0)</f>
        <v/>
      </c>
      <c r="H4137">
        <f>IF(OR(H4136=1,G4137=1),1,0)</f>
        <v/>
      </c>
      <c r="I4137">
        <f>IF(H4136=0,1,SUMPRODUCT(J4136:N4136,B4137:F4137)+O4136*(1+0.00023125256064071564))</f>
        <v/>
      </c>
      <c r="J4137">
        <f>IF(G4137=1,0.2*R4137/B4137,J4136)</f>
        <v/>
      </c>
      <c r="K4137">
        <f>IF(G4137=1,0.2*R4137/C4137,K4136)</f>
        <v/>
      </c>
      <c r="L4137">
        <f>IF(G4137=1,0.2*R4137/D4137,L4136)</f>
        <v/>
      </c>
      <c r="M4137">
        <f>IF(G4137=1,0.2*R4137/E4137,M4136)</f>
        <v/>
      </c>
      <c r="N4137">
        <f>IF(G4137=1,0.2*R4137/F4137,N4136)</f>
        <v/>
      </c>
      <c r="O4137">
        <f>IF(G4137=1,R4137*(1-1.0),IF(H4136=0,1,O4136*(1+0.00023125256064071564)))</f>
        <v/>
      </c>
      <c r="P4137">
        <f>IF(G4137=1,IF(H4136=0,1,ABS(0.2-J4136*B4137/I4137)+ABS(0.2-K4136*C4137/I4137)+ABS(0.2-L4136*D4137/I4137)+ABS(0.2-M4136*E4137/I4137)+ABS(0.2-N4136*F4137/I4137)),0)</f>
        <v/>
      </c>
      <c r="Q4137">
        <f>P4137*0.0015</f>
        <v/>
      </c>
      <c r="R4137">
        <f>I4137*(1-Q4137)</f>
        <v/>
      </c>
      <c r="S4137">
        <f>R4137/R4136-1</f>
        <v/>
      </c>
      <c r="T4137">
        <f>MAX(T4136,R4137)</f>
        <v/>
      </c>
      <c r="U4137">
        <f>R4137/T4137-1</f>
        <v/>
      </c>
      <c r="V4137" t="n">
        <v>16.12688873160526</v>
      </c>
      <c r="W4137" s="5">
        <f>R4137-V4137</f>
        <v/>
      </c>
    </row>
    <row r="4138">
      <c r="A4138" s="3" t="n">
        <v>44536</v>
      </c>
      <c r="B4138">
        <f>Prices!B4138</f>
        <v/>
      </c>
      <c r="C4138">
        <f>Prices!C4138</f>
        <v/>
      </c>
      <c r="D4138">
        <f>Prices!D4138</f>
        <v/>
      </c>
      <c r="E4138">
        <f>Prices!E4138</f>
        <v/>
      </c>
      <c r="F4138">
        <f>Prices!F4138</f>
        <v/>
      </c>
      <c r="G4138">
        <f>IF(AND(4136&gt;=16,TEXT(A4138,"yyyy-mm")&lt;&gt;TEXT(A4139,"yyyy-mm")),1,0)</f>
        <v/>
      </c>
      <c r="H4138">
        <f>IF(OR(H4137=1,G4138=1),1,0)</f>
        <v/>
      </c>
      <c r="I4138">
        <f>IF(H4137=0,1,SUMPRODUCT(J4137:N4137,B4138:F4138)+O4137*(1+0.00023125256064071564))</f>
        <v/>
      </c>
      <c r="J4138">
        <f>IF(G4138=1,0.2*R4138/B4138,J4137)</f>
        <v/>
      </c>
      <c r="K4138">
        <f>IF(G4138=1,0.2*R4138/C4138,K4137)</f>
        <v/>
      </c>
      <c r="L4138">
        <f>IF(G4138=1,0.2*R4138/D4138,L4137)</f>
        <v/>
      </c>
      <c r="M4138">
        <f>IF(G4138=1,0.2*R4138/E4138,M4137)</f>
        <v/>
      </c>
      <c r="N4138">
        <f>IF(G4138=1,0.2*R4138/F4138,N4137)</f>
        <v/>
      </c>
      <c r="O4138">
        <f>IF(G4138=1,R4138*(1-1.0),IF(H4137=0,1,O4137*(1+0.00023125256064071564)))</f>
        <v/>
      </c>
      <c r="P4138">
        <f>IF(G4138=1,IF(H4137=0,1,ABS(0.2-J4137*B4138/I4138)+ABS(0.2-K4137*C4138/I4138)+ABS(0.2-L4137*D4138/I4138)+ABS(0.2-M4137*E4138/I4138)+ABS(0.2-N4137*F4138/I4138)),0)</f>
        <v/>
      </c>
      <c r="Q4138">
        <f>P4138*0.0015</f>
        <v/>
      </c>
      <c r="R4138">
        <f>I4138*(1-Q4138)</f>
        <v/>
      </c>
      <c r="S4138">
        <f>R4138/R4137-1</f>
        <v/>
      </c>
      <c r="T4138">
        <f>MAX(T4137,R4138)</f>
        <v/>
      </c>
      <c r="U4138">
        <f>R4138/T4138-1</f>
        <v/>
      </c>
      <c r="V4138" t="n">
        <v>15.86225193860457</v>
      </c>
      <c r="W4138" s="5">
        <f>R4138-V4138</f>
        <v/>
      </c>
    </row>
    <row r="4139">
      <c r="A4139" s="3" t="n">
        <v>44537</v>
      </c>
      <c r="B4139">
        <f>Prices!B4139</f>
        <v/>
      </c>
      <c r="C4139">
        <f>Prices!C4139</f>
        <v/>
      </c>
      <c r="D4139">
        <f>Prices!D4139</f>
        <v/>
      </c>
      <c r="E4139">
        <f>Prices!E4139</f>
        <v/>
      </c>
      <c r="F4139">
        <f>Prices!F4139</f>
        <v/>
      </c>
      <c r="G4139">
        <f>IF(AND(4137&gt;=16,TEXT(A4139,"yyyy-mm")&lt;&gt;TEXT(A4140,"yyyy-mm")),1,0)</f>
        <v/>
      </c>
      <c r="H4139">
        <f>IF(OR(H4138=1,G4139=1),1,0)</f>
        <v/>
      </c>
      <c r="I4139">
        <f>IF(H4138=0,1,SUMPRODUCT(J4138:N4138,B4139:F4139)+O4138*(1+0.00023125256064071564))</f>
        <v/>
      </c>
      <c r="J4139">
        <f>IF(G4139=1,0.2*R4139/B4139,J4138)</f>
        <v/>
      </c>
      <c r="K4139">
        <f>IF(G4139=1,0.2*R4139/C4139,K4138)</f>
        <v/>
      </c>
      <c r="L4139">
        <f>IF(G4139=1,0.2*R4139/D4139,L4138)</f>
        <v/>
      </c>
      <c r="M4139">
        <f>IF(G4139=1,0.2*R4139/E4139,M4138)</f>
        <v/>
      </c>
      <c r="N4139">
        <f>IF(G4139=1,0.2*R4139/F4139,N4138)</f>
        <v/>
      </c>
      <c r="O4139">
        <f>IF(G4139=1,R4139*(1-1.0),IF(H4138=0,1,O4138*(1+0.00023125256064071564)))</f>
        <v/>
      </c>
      <c r="P4139">
        <f>IF(G4139=1,IF(H4138=0,1,ABS(0.2-J4138*B4139/I4139)+ABS(0.2-K4138*C4139/I4139)+ABS(0.2-L4138*D4139/I4139)+ABS(0.2-M4138*E4139/I4139)+ABS(0.2-N4138*F4139/I4139)),0)</f>
        <v/>
      </c>
      <c r="Q4139">
        <f>P4139*0.0015</f>
        <v/>
      </c>
      <c r="R4139">
        <f>I4139*(1-Q4139)</f>
        <v/>
      </c>
      <c r="S4139">
        <f>R4139/R4138-1</f>
        <v/>
      </c>
      <c r="T4139">
        <f>MAX(T4138,R4139)</f>
        <v/>
      </c>
      <c r="U4139">
        <f>R4139/T4139-1</f>
        <v/>
      </c>
      <c r="V4139" t="n">
        <v>16.08959627985766</v>
      </c>
      <c r="W4139" s="5">
        <f>R4139-V4139</f>
        <v/>
      </c>
    </row>
    <row r="4140">
      <c r="A4140" s="3" t="n">
        <v>44538</v>
      </c>
      <c r="B4140">
        <f>Prices!B4140</f>
        <v/>
      </c>
      <c r="C4140">
        <f>Prices!C4140</f>
        <v/>
      </c>
      <c r="D4140">
        <f>Prices!D4140</f>
        <v/>
      </c>
      <c r="E4140">
        <f>Prices!E4140</f>
        <v/>
      </c>
      <c r="F4140">
        <f>Prices!F4140</f>
        <v/>
      </c>
      <c r="G4140">
        <f>IF(AND(4138&gt;=16,TEXT(A4140,"yyyy-mm")&lt;&gt;TEXT(A4141,"yyyy-mm")),1,0)</f>
        <v/>
      </c>
      <c r="H4140">
        <f>IF(OR(H4139=1,G4140=1),1,0)</f>
        <v/>
      </c>
      <c r="I4140">
        <f>IF(H4139=0,1,SUMPRODUCT(J4139:N4139,B4140:F4140)+O4139*(1+0.00023125256064071564))</f>
        <v/>
      </c>
      <c r="J4140">
        <f>IF(G4140=1,0.2*R4140/B4140,J4139)</f>
        <v/>
      </c>
      <c r="K4140">
        <f>IF(G4140=1,0.2*R4140/C4140,K4139)</f>
        <v/>
      </c>
      <c r="L4140">
        <f>IF(G4140=1,0.2*R4140/D4140,L4139)</f>
        <v/>
      </c>
      <c r="M4140">
        <f>IF(G4140=1,0.2*R4140/E4140,M4139)</f>
        <v/>
      </c>
      <c r="N4140">
        <f>IF(G4140=1,0.2*R4140/F4140,N4139)</f>
        <v/>
      </c>
      <c r="O4140">
        <f>IF(G4140=1,R4140*(1-1.0),IF(H4139=0,1,O4139*(1+0.00023125256064071564)))</f>
        <v/>
      </c>
      <c r="P4140">
        <f>IF(G4140=1,IF(H4139=0,1,ABS(0.2-J4139*B4140/I4140)+ABS(0.2-K4139*C4140/I4140)+ABS(0.2-L4139*D4140/I4140)+ABS(0.2-M4139*E4140/I4140)+ABS(0.2-N4139*F4140/I4140)),0)</f>
        <v/>
      </c>
      <c r="Q4140">
        <f>P4140*0.0015</f>
        <v/>
      </c>
      <c r="R4140">
        <f>I4140*(1-Q4140)</f>
        <v/>
      </c>
      <c r="S4140">
        <f>R4140/R4139-1</f>
        <v/>
      </c>
      <c r="T4140">
        <f>MAX(T4139,R4140)</f>
        <v/>
      </c>
      <c r="U4140">
        <f>R4140/T4140-1</f>
        <v/>
      </c>
      <c r="V4140" t="n">
        <v>16.34232638435711</v>
      </c>
      <c r="W4140" s="5">
        <f>R4140-V4140</f>
        <v/>
      </c>
    </row>
    <row r="4141">
      <c r="A4141" s="3" t="n">
        <v>44539</v>
      </c>
      <c r="B4141">
        <f>Prices!B4141</f>
        <v/>
      </c>
      <c r="C4141">
        <f>Prices!C4141</f>
        <v/>
      </c>
      <c r="D4141">
        <f>Prices!D4141</f>
        <v/>
      </c>
      <c r="E4141">
        <f>Prices!E4141</f>
        <v/>
      </c>
      <c r="F4141">
        <f>Prices!F4141</f>
        <v/>
      </c>
      <c r="G4141">
        <f>IF(AND(4139&gt;=16,TEXT(A4141,"yyyy-mm")&lt;&gt;TEXT(A4142,"yyyy-mm")),1,0)</f>
        <v/>
      </c>
      <c r="H4141">
        <f>IF(OR(H4140=1,G4141=1),1,0)</f>
        <v/>
      </c>
      <c r="I4141">
        <f>IF(H4140=0,1,SUMPRODUCT(J4140:N4140,B4141:F4141)+O4140*(1+0.00023125256064071564))</f>
        <v/>
      </c>
      <c r="J4141">
        <f>IF(G4141=1,0.2*R4141/B4141,J4140)</f>
        <v/>
      </c>
      <c r="K4141">
        <f>IF(G4141=1,0.2*R4141/C4141,K4140)</f>
        <v/>
      </c>
      <c r="L4141">
        <f>IF(G4141=1,0.2*R4141/D4141,L4140)</f>
        <v/>
      </c>
      <c r="M4141">
        <f>IF(G4141=1,0.2*R4141/E4141,M4140)</f>
        <v/>
      </c>
      <c r="N4141">
        <f>IF(G4141=1,0.2*R4141/F4141,N4140)</f>
        <v/>
      </c>
      <c r="O4141">
        <f>IF(G4141=1,R4141*(1-1.0),IF(H4140=0,1,O4140*(1+0.00023125256064071564)))</f>
        <v/>
      </c>
      <c r="P4141">
        <f>IF(G4141=1,IF(H4140=0,1,ABS(0.2-J4140*B4141/I4141)+ABS(0.2-K4140*C4141/I4141)+ABS(0.2-L4140*D4141/I4141)+ABS(0.2-M4140*E4141/I4141)+ABS(0.2-N4140*F4141/I4141)),0)</f>
        <v/>
      </c>
      <c r="Q4141">
        <f>P4141*0.0015</f>
        <v/>
      </c>
      <c r="R4141">
        <f>I4141*(1-Q4141)</f>
        <v/>
      </c>
      <c r="S4141">
        <f>R4141/R4140-1</f>
        <v/>
      </c>
      <c r="T4141">
        <f>MAX(T4140,R4141)</f>
        <v/>
      </c>
      <c r="U4141">
        <f>R4141/T4141-1</f>
        <v/>
      </c>
      <c r="V4141" t="n">
        <v>16.42199350392461</v>
      </c>
      <c r="W4141" s="5">
        <f>R4141-V4141</f>
        <v/>
      </c>
    </row>
    <row r="4142">
      <c r="A4142" s="3" t="n">
        <v>44540</v>
      </c>
      <c r="B4142">
        <f>Prices!B4142</f>
        <v/>
      </c>
      <c r="C4142">
        <f>Prices!C4142</f>
        <v/>
      </c>
      <c r="D4142">
        <f>Prices!D4142</f>
        <v/>
      </c>
      <c r="E4142">
        <f>Prices!E4142</f>
        <v/>
      </c>
      <c r="F4142">
        <f>Prices!F4142</f>
        <v/>
      </c>
      <c r="G4142">
        <f>IF(AND(4140&gt;=16,TEXT(A4142,"yyyy-mm")&lt;&gt;TEXT(A4143,"yyyy-mm")),1,0)</f>
        <v/>
      </c>
      <c r="H4142">
        <f>IF(OR(H4141=1,G4142=1),1,0)</f>
        <v/>
      </c>
      <c r="I4142">
        <f>IF(H4141=0,1,SUMPRODUCT(J4141:N4141,B4142:F4142)+O4141*(1+0.00023125256064071564))</f>
        <v/>
      </c>
      <c r="J4142">
        <f>IF(G4142=1,0.2*R4142/B4142,J4141)</f>
        <v/>
      </c>
      <c r="K4142">
        <f>IF(G4142=1,0.2*R4142/C4142,K4141)</f>
        <v/>
      </c>
      <c r="L4142">
        <f>IF(G4142=1,0.2*R4142/D4142,L4141)</f>
        <v/>
      </c>
      <c r="M4142">
        <f>IF(G4142=1,0.2*R4142/E4142,M4141)</f>
        <v/>
      </c>
      <c r="N4142">
        <f>IF(G4142=1,0.2*R4142/F4142,N4141)</f>
        <v/>
      </c>
      <c r="O4142">
        <f>IF(G4142=1,R4142*(1-1.0),IF(H4141=0,1,O4141*(1+0.00023125256064071564)))</f>
        <v/>
      </c>
      <c r="P4142">
        <f>IF(G4142=1,IF(H4141=0,1,ABS(0.2-J4141*B4142/I4142)+ABS(0.2-K4141*C4142/I4142)+ABS(0.2-L4141*D4142/I4142)+ABS(0.2-M4141*E4142/I4142)+ABS(0.2-N4141*F4142/I4142)),0)</f>
        <v/>
      </c>
      <c r="Q4142">
        <f>P4142*0.0015</f>
        <v/>
      </c>
      <c r="R4142">
        <f>I4142*(1-Q4142)</f>
        <v/>
      </c>
      <c r="S4142">
        <f>R4142/R4141-1</f>
        <v/>
      </c>
      <c r="T4142">
        <f>MAX(T4141,R4142)</f>
        <v/>
      </c>
      <c r="U4142">
        <f>R4142/T4142-1</f>
        <v/>
      </c>
      <c r="V4142" t="n">
        <v>16.50358783002322</v>
      </c>
      <c r="W4142" s="5">
        <f>R4142-V4142</f>
        <v/>
      </c>
    </row>
    <row r="4143">
      <c r="A4143" s="3" t="n">
        <v>44543</v>
      </c>
      <c r="B4143">
        <f>Prices!B4143</f>
        <v/>
      </c>
      <c r="C4143">
        <f>Prices!C4143</f>
        <v/>
      </c>
      <c r="D4143">
        <f>Prices!D4143</f>
        <v/>
      </c>
      <c r="E4143">
        <f>Prices!E4143</f>
        <v/>
      </c>
      <c r="F4143">
        <f>Prices!F4143</f>
        <v/>
      </c>
      <c r="G4143">
        <f>IF(AND(4141&gt;=16,TEXT(A4143,"yyyy-mm")&lt;&gt;TEXT(A4144,"yyyy-mm")),1,0)</f>
        <v/>
      </c>
      <c r="H4143">
        <f>IF(OR(H4142=1,G4143=1),1,0)</f>
        <v/>
      </c>
      <c r="I4143">
        <f>IF(H4142=0,1,SUMPRODUCT(J4142:N4142,B4143:F4143)+O4142*(1+0.00023125256064071564))</f>
        <v/>
      </c>
      <c r="J4143">
        <f>IF(G4143=1,0.2*R4143/B4143,J4142)</f>
        <v/>
      </c>
      <c r="K4143">
        <f>IF(G4143=1,0.2*R4143/C4143,K4142)</f>
        <v/>
      </c>
      <c r="L4143">
        <f>IF(G4143=1,0.2*R4143/D4143,L4142)</f>
        <v/>
      </c>
      <c r="M4143">
        <f>IF(G4143=1,0.2*R4143/E4143,M4142)</f>
        <v/>
      </c>
      <c r="N4143">
        <f>IF(G4143=1,0.2*R4143/F4143,N4142)</f>
        <v/>
      </c>
      <c r="O4143">
        <f>IF(G4143=1,R4143*(1-1.0),IF(H4142=0,1,O4142*(1+0.00023125256064071564)))</f>
        <v/>
      </c>
      <c r="P4143">
        <f>IF(G4143=1,IF(H4142=0,1,ABS(0.2-J4142*B4143/I4143)+ABS(0.2-K4142*C4143/I4143)+ABS(0.2-L4142*D4143/I4143)+ABS(0.2-M4142*E4143/I4143)+ABS(0.2-N4142*F4143/I4143)),0)</f>
        <v/>
      </c>
      <c r="Q4143">
        <f>P4143*0.0015</f>
        <v/>
      </c>
      <c r="R4143">
        <f>I4143*(1-Q4143)</f>
        <v/>
      </c>
      <c r="S4143">
        <f>R4143/R4142-1</f>
        <v/>
      </c>
      <c r="T4143">
        <f>MAX(T4142,R4143)</f>
        <v/>
      </c>
      <c r="U4143">
        <f>R4143/T4143-1</f>
        <v/>
      </c>
      <c r="V4143" t="n">
        <v>16.45634036185951</v>
      </c>
      <c r="W4143" s="5">
        <f>R4143-V4143</f>
        <v/>
      </c>
    </row>
    <row r="4144">
      <c r="A4144" s="3" t="n">
        <v>44544</v>
      </c>
      <c r="B4144">
        <f>Prices!B4144</f>
        <v/>
      </c>
      <c r="C4144">
        <f>Prices!C4144</f>
        <v/>
      </c>
      <c r="D4144">
        <f>Prices!D4144</f>
        <v/>
      </c>
      <c r="E4144">
        <f>Prices!E4144</f>
        <v/>
      </c>
      <c r="F4144">
        <f>Prices!F4144</f>
        <v/>
      </c>
      <c r="G4144">
        <f>IF(AND(4142&gt;=16,TEXT(A4144,"yyyy-mm")&lt;&gt;TEXT(A4145,"yyyy-mm")),1,0)</f>
        <v/>
      </c>
      <c r="H4144">
        <f>IF(OR(H4143=1,G4144=1),1,0)</f>
        <v/>
      </c>
      <c r="I4144">
        <f>IF(H4143=0,1,SUMPRODUCT(J4143:N4143,B4144:F4144)+O4143*(1+0.00023125256064071564))</f>
        <v/>
      </c>
      <c r="J4144">
        <f>IF(G4144=1,0.2*R4144/B4144,J4143)</f>
        <v/>
      </c>
      <c r="K4144">
        <f>IF(G4144=1,0.2*R4144/C4144,K4143)</f>
        <v/>
      </c>
      <c r="L4144">
        <f>IF(G4144=1,0.2*R4144/D4144,L4143)</f>
        <v/>
      </c>
      <c r="M4144">
        <f>IF(G4144=1,0.2*R4144/E4144,M4143)</f>
        <v/>
      </c>
      <c r="N4144">
        <f>IF(G4144=1,0.2*R4144/F4144,N4143)</f>
        <v/>
      </c>
      <c r="O4144">
        <f>IF(G4144=1,R4144*(1-1.0),IF(H4143=0,1,O4143*(1+0.00023125256064071564)))</f>
        <v/>
      </c>
      <c r="P4144">
        <f>IF(G4144=1,IF(H4143=0,1,ABS(0.2-J4143*B4144/I4144)+ABS(0.2-K4143*C4144/I4144)+ABS(0.2-L4143*D4144/I4144)+ABS(0.2-M4143*E4144/I4144)+ABS(0.2-N4143*F4144/I4144)),0)</f>
        <v/>
      </c>
      <c r="Q4144">
        <f>P4144*0.0015</f>
        <v/>
      </c>
      <c r="R4144">
        <f>I4144*(1-Q4144)</f>
        <v/>
      </c>
      <c r="S4144">
        <f>R4144/R4143-1</f>
        <v/>
      </c>
      <c r="T4144">
        <f>MAX(T4143,R4144)</f>
        <v/>
      </c>
      <c r="U4144">
        <f>R4144/T4144-1</f>
        <v/>
      </c>
      <c r="V4144" t="n">
        <v>16.50216378791526</v>
      </c>
      <c r="W4144" s="5">
        <f>R4144-V4144</f>
        <v/>
      </c>
    </row>
    <row r="4145">
      <c r="A4145" s="3" t="n">
        <v>44545</v>
      </c>
      <c r="B4145">
        <f>Prices!B4145</f>
        <v/>
      </c>
      <c r="C4145">
        <f>Prices!C4145</f>
        <v/>
      </c>
      <c r="D4145">
        <f>Prices!D4145</f>
        <v/>
      </c>
      <c r="E4145">
        <f>Prices!E4145</f>
        <v/>
      </c>
      <c r="F4145">
        <f>Prices!F4145</f>
        <v/>
      </c>
      <c r="G4145">
        <f>IF(AND(4143&gt;=16,TEXT(A4145,"yyyy-mm")&lt;&gt;TEXT(A4146,"yyyy-mm")),1,0)</f>
        <v/>
      </c>
      <c r="H4145">
        <f>IF(OR(H4144=1,G4145=1),1,0)</f>
        <v/>
      </c>
      <c r="I4145">
        <f>IF(H4144=0,1,SUMPRODUCT(J4144:N4144,B4145:F4145)+O4144*(1+0.00023125256064071564))</f>
        <v/>
      </c>
      <c r="J4145">
        <f>IF(G4145=1,0.2*R4145/B4145,J4144)</f>
        <v/>
      </c>
      <c r="K4145">
        <f>IF(G4145=1,0.2*R4145/C4145,K4144)</f>
        <v/>
      </c>
      <c r="L4145">
        <f>IF(G4145=1,0.2*R4145/D4145,L4144)</f>
        <v/>
      </c>
      <c r="M4145">
        <f>IF(G4145=1,0.2*R4145/E4145,M4144)</f>
        <v/>
      </c>
      <c r="N4145">
        <f>IF(G4145=1,0.2*R4145/F4145,N4144)</f>
        <v/>
      </c>
      <c r="O4145">
        <f>IF(G4145=1,R4145*(1-1.0),IF(H4144=0,1,O4144*(1+0.00023125256064071564)))</f>
        <v/>
      </c>
      <c r="P4145">
        <f>IF(G4145=1,IF(H4144=0,1,ABS(0.2-J4144*B4145/I4145)+ABS(0.2-K4144*C4145/I4145)+ABS(0.2-L4144*D4145/I4145)+ABS(0.2-M4144*E4145/I4145)+ABS(0.2-N4144*F4145/I4145)),0)</f>
        <v/>
      </c>
      <c r="Q4145">
        <f>P4145*0.0015</f>
        <v/>
      </c>
      <c r="R4145">
        <f>I4145*(1-Q4145)</f>
        <v/>
      </c>
      <c r="S4145">
        <f>R4145/R4144-1</f>
        <v/>
      </c>
      <c r="T4145">
        <f>MAX(T4144,R4145)</f>
        <v/>
      </c>
      <c r="U4145">
        <f>R4145/T4145-1</f>
        <v/>
      </c>
      <c r="V4145" t="n">
        <v>16.39896895601272</v>
      </c>
      <c r="W4145" s="5">
        <f>R4145-V4145</f>
        <v/>
      </c>
    </row>
    <row r="4146">
      <c r="A4146" s="3" t="n">
        <v>44546</v>
      </c>
      <c r="B4146">
        <f>Prices!B4146</f>
        <v/>
      </c>
      <c r="C4146">
        <f>Prices!C4146</f>
        <v/>
      </c>
      <c r="D4146">
        <f>Prices!D4146</f>
        <v/>
      </c>
      <c r="E4146">
        <f>Prices!E4146</f>
        <v/>
      </c>
      <c r="F4146">
        <f>Prices!F4146</f>
        <v/>
      </c>
      <c r="G4146">
        <f>IF(AND(4144&gt;=16,TEXT(A4146,"yyyy-mm")&lt;&gt;TEXT(A4147,"yyyy-mm")),1,0)</f>
        <v/>
      </c>
      <c r="H4146">
        <f>IF(OR(H4145=1,G4146=1),1,0)</f>
        <v/>
      </c>
      <c r="I4146">
        <f>IF(H4145=0,1,SUMPRODUCT(J4145:N4145,B4146:F4146)+O4145*(1+0.00023125256064071564))</f>
        <v/>
      </c>
      <c r="J4146">
        <f>IF(G4146=1,0.2*R4146/B4146,J4145)</f>
        <v/>
      </c>
      <c r="K4146">
        <f>IF(G4146=1,0.2*R4146/C4146,K4145)</f>
        <v/>
      </c>
      <c r="L4146">
        <f>IF(G4146=1,0.2*R4146/D4146,L4145)</f>
        <v/>
      </c>
      <c r="M4146">
        <f>IF(G4146=1,0.2*R4146/E4146,M4145)</f>
        <v/>
      </c>
      <c r="N4146">
        <f>IF(G4146=1,0.2*R4146/F4146,N4145)</f>
        <v/>
      </c>
      <c r="O4146">
        <f>IF(G4146=1,R4146*(1-1.0),IF(H4145=0,1,O4145*(1+0.00023125256064071564)))</f>
        <v/>
      </c>
      <c r="P4146">
        <f>IF(G4146=1,IF(H4145=0,1,ABS(0.2-J4145*B4146/I4146)+ABS(0.2-K4145*C4146/I4146)+ABS(0.2-L4145*D4146/I4146)+ABS(0.2-M4145*E4146/I4146)+ABS(0.2-N4145*F4146/I4146)),0)</f>
        <v/>
      </c>
      <c r="Q4146">
        <f>P4146*0.0015</f>
        <v/>
      </c>
      <c r="R4146">
        <f>I4146*(1-Q4146)</f>
        <v/>
      </c>
      <c r="S4146">
        <f>R4146/R4145-1</f>
        <v/>
      </c>
      <c r="T4146">
        <f>MAX(T4145,R4146)</f>
        <v/>
      </c>
      <c r="U4146">
        <f>R4146/T4146-1</f>
        <v/>
      </c>
      <c r="V4146" t="n">
        <v>16.35288727339615</v>
      </c>
      <c r="W4146" s="5">
        <f>R4146-V4146</f>
        <v/>
      </c>
    </row>
    <row r="4147">
      <c r="A4147" s="3" t="n">
        <v>44547</v>
      </c>
      <c r="B4147">
        <f>Prices!B4147</f>
        <v/>
      </c>
      <c r="C4147">
        <f>Prices!C4147</f>
        <v/>
      </c>
      <c r="D4147">
        <f>Prices!D4147</f>
        <v/>
      </c>
      <c r="E4147">
        <f>Prices!E4147</f>
        <v/>
      </c>
      <c r="F4147">
        <f>Prices!F4147</f>
        <v/>
      </c>
      <c r="G4147">
        <f>IF(AND(4145&gt;=16,TEXT(A4147,"yyyy-mm")&lt;&gt;TEXT(A4148,"yyyy-mm")),1,0)</f>
        <v/>
      </c>
      <c r="H4147">
        <f>IF(OR(H4146=1,G4147=1),1,0)</f>
        <v/>
      </c>
      <c r="I4147">
        <f>IF(H4146=0,1,SUMPRODUCT(J4146:N4146,B4147:F4147)+O4146*(1+0.00023125256064071564))</f>
        <v/>
      </c>
      <c r="J4147">
        <f>IF(G4147=1,0.2*R4147/B4147,J4146)</f>
        <v/>
      </c>
      <c r="K4147">
        <f>IF(G4147=1,0.2*R4147/C4147,K4146)</f>
        <v/>
      </c>
      <c r="L4147">
        <f>IF(G4147=1,0.2*R4147/D4147,L4146)</f>
        <v/>
      </c>
      <c r="M4147">
        <f>IF(G4147=1,0.2*R4147/E4147,M4146)</f>
        <v/>
      </c>
      <c r="N4147">
        <f>IF(G4147=1,0.2*R4147/F4147,N4146)</f>
        <v/>
      </c>
      <c r="O4147">
        <f>IF(G4147=1,R4147*(1-1.0),IF(H4146=0,1,O4146*(1+0.00023125256064071564)))</f>
        <v/>
      </c>
      <c r="P4147">
        <f>IF(G4147=1,IF(H4146=0,1,ABS(0.2-J4146*B4147/I4147)+ABS(0.2-K4146*C4147/I4147)+ABS(0.2-L4146*D4147/I4147)+ABS(0.2-M4146*E4147/I4147)+ABS(0.2-N4146*F4147/I4147)),0)</f>
        <v/>
      </c>
      <c r="Q4147">
        <f>P4147*0.0015</f>
        <v/>
      </c>
      <c r="R4147">
        <f>I4147*(1-Q4147)</f>
        <v/>
      </c>
      <c r="S4147">
        <f>R4147/R4146-1</f>
        <v/>
      </c>
      <c r="T4147">
        <f>MAX(T4146,R4147)</f>
        <v/>
      </c>
      <c r="U4147">
        <f>R4147/T4147-1</f>
        <v/>
      </c>
      <c r="V4147" t="n">
        <v>16.03583993204794</v>
      </c>
      <c r="W4147" s="5">
        <f>R4147-V4147</f>
        <v/>
      </c>
    </row>
    <row r="4148">
      <c r="A4148" s="3" t="n">
        <v>44550</v>
      </c>
      <c r="B4148">
        <f>Prices!B4148</f>
        <v/>
      </c>
      <c r="C4148">
        <f>Prices!C4148</f>
        <v/>
      </c>
      <c r="D4148">
        <f>Prices!D4148</f>
        <v/>
      </c>
      <c r="E4148">
        <f>Prices!E4148</f>
        <v/>
      </c>
      <c r="F4148">
        <f>Prices!F4148</f>
        <v/>
      </c>
      <c r="G4148">
        <f>IF(AND(4146&gt;=16,TEXT(A4148,"yyyy-mm")&lt;&gt;TEXT(A4149,"yyyy-mm")),1,0)</f>
        <v/>
      </c>
      <c r="H4148">
        <f>IF(OR(H4147=1,G4148=1),1,0)</f>
        <v/>
      </c>
      <c r="I4148">
        <f>IF(H4147=0,1,SUMPRODUCT(J4147:N4147,B4148:F4148)+O4147*(1+0.00023125256064071564))</f>
        <v/>
      </c>
      <c r="J4148">
        <f>IF(G4148=1,0.2*R4148/B4148,J4147)</f>
        <v/>
      </c>
      <c r="K4148">
        <f>IF(G4148=1,0.2*R4148/C4148,K4147)</f>
        <v/>
      </c>
      <c r="L4148">
        <f>IF(G4148=1,0.2*R4148/D4148,L4147)</f>
        <v/>
      </c>
      <c r="M4148">
        <f>IF(G4148=1,0.2*R4148/E4148,M4147)</f>
        <v/>
      </c>
      <c r="N4148">
        <f>IF(G4148=1,0.2*R4148/F4148,N4147)</f>
        <v/>
      </c>
      <c r="O4148">
        <f>IF(G4148=1,R4148*(1-1.0),IF(H4147=0,1,O4147*(1+0.00023125256064071564)))</f>
        <v/>
      </c>
      <c r="P4148">
        <f>IF(G4148=1,IF(H4147=0,1,ABS(0.2-J4147*B4148/I4148)+ABS(0.2-K4147*C4148/I4148)+ABS(0.2-L4147*D4148/I4148)+ABS(0.2-M4147*E4148/I4148)+ABS(0.2-N4147*F4148/I4148)),0)</f>
        <v/>
      </c>
      <c r="Q4148">
        <f>P4148*0.0015</f>
        <v/>
      </c>
      <c r="R4148">
        <f>I4148*(1-Q4148)</f>
        <v/>
      </c>
      <c r="S4148">
        <f>R4148/R4147-1</f>
        <v/>
      </c>
      <c r="T4148">
        <f>MAX(T4147,R4148)</f>
        <v/>
      </c>
      <c r="U4148">
        <f>R4148/T4148-1</f>
        <v/>
      </c>
      <c r="V4148" t="n">
        <v>15.51235436970016</v>
      </c>
      <c r="W4148" s="5">
        <f>R4148-V4148</f>
        <v/>
      </c>
    </row>
    <row r="4149">
      <c r="A4149" s="3" t="n">
        <v>44551</v>
      </c>
      <c r="B4149">
        <f>Prices!B4149</f>
        <v/>
      </c>
      <c r="C4149">
        <f>Prices!C4149</f>
        <v/>
      </c>
      <c r="D4149">
        <f>Prices!D4149</f>
        <v/>
      </c>
      <c r="E4149">
        <f>Prices!E4149</f>
        <v/>
      </c>
      <c r="F4149">
        <f>Prices!F4149</f>
        <v/>
      </c>
      <c r="G4149">
        <f>IF(AND(4147&gt;=16,TEXT(A4149,"yyyy-mm")&lt;&gt;TEXT(A4150,"yyyy-mm")),1,0)</f>
        <v/>
      </c>
      <c r="H4149">
        <f>IF(OR(H4148=1,G4149=1),1,0)</f>
        <v/>
      </c>
      <c r="I4149">
        <f>IF(H4148=0,1,SUMPRODUCT(J4148:N4148,B4149:F4149)+O4148*(1+0.00023125256064071564))</f>
        <v/>
      </c>
      <c r="J4149">
        <f>IF(G4149=1,0.2*R4149/B4149,J4148)</f>
        <v/>
      </c>
      <c r="K4149">
        <f>IF(G4149=1,0.2*R4149/C4149,K4148)</f>
        <v/>
      </c>
      <c r="L4149">
        <f>IF(G4149=1,0.2*R4149/D4149,L4148)</f>
        <v/>
      </c>
      <c r="M4149">
        <f>IF(G4149=1,0.2*R4149/E4149,M4148)</f>
        <v/>
      </c>
      <c r="N4149">
        <f>IF(G4149=1,0.2*R4149/F4149,N4148)</f>
        <v/>
      </c>
      <c r="O4149">
        <f>IF(G4149=1,R4149*(1-1.0),IF(H4148=0,1,O4148*(1+0.00023125256064071564)))</f>
        <v/>
      </c>
      <c r="P4149">
        <f>IF(G4149=1,IF(H4148=0,1,ABS(0.2-J4148*B4149/I4149)+ABS(0.2-K4148*C4149/I4149)+ABS(0.2-L4148*D4149/I4149)+ABS(0.2-M4148*E4149/I4149)+ABS(0.2-N4148*F4149/I4149)),0)</f>
        <v/>
      </c>
      <c r="Q4149">
        <f>P4149*0.0015</f>
        <v/>
      </c>
      <c r="R4149">
        <f>I4149*(1-Q4149)</f>
        <v/>
      </c>
      <c r="S4149">
        <f>R4149/R4148-1</f>
        <v/>
      </c>
      <c r="T4149">
        <f>MAX(T4148,R4149)</f>
        <v/>
      </c>
      <c r="U4149">
        <f>R4149/T4149-1</f>
        <v/>
      </c>
      <c r="V4149" t="n">
        <v>15.72841137352096</v>
      </c>
      <c r="W4149" s="5">
        <f>R4149-V4149</f>
        <v/>
      </c>
    </row>
    <row r="4150">
      <c r="A4150" s="3" t="n">
        <v>44552</v>
      </c>
      <c r="B4150">
        <f>Prices!B4150</f>
        <v/>
      </c>
      <c r="C4150">
        <f>Prices!C4150</f>
        <v/>
      </c>
      <c r="D4150">
        <f>Prices!D4150</f>
        <v/>
      </c>
      <c r="E4150">
        <f>Prices!E4150</f>
        <v/>
      </c>
      <c r="F4150">
        <f>Prices!F4150</f>
        <v/>
      </c>
      <c r="G4150">
        <f>IF(AND(4148&gt;=16,TEXT(A4150,"yyyy-mm")&lt;&gt;TEXT(A4151,"yyyy-mm")),1,0)</f>
        <v/>
      </c>
      <c r="H4150">
        <f>IF(OR(H4149=1,G4150=1),1,0)</f>
        <v/>
      </c>
      <c r="I4150">
        <f>IF(H4149=0,1,SUMPRODUCT(J4149:N4149,B4150:F4150)+O4149*(1+0.00023125256064071564))</f>
        <v/>
      </c>
      <c r="J4150">
        <f>IF(G4150=1,0.2*R4150/B4150,J4149)</f>
        <v/>
      </c>
      <c r="K4150">
        <f>IF(G4150=1,0.2*R4150/C4150,K4149)</f>
        <v/>
      </c>
      <c r="L4150">
        <f>IF(G4150=1,0.2*R4150/D4150,L4149)</f>
        <v/>
      </c>
      <c r="M4150">
        <f>IF(G4150=1,0.2*R4150/E4150,M4149)</f>
        <v/>
      </c>
      <c r="N4150">
        <f>IF(G4150=1,0.2*R4150/F4150,N4149)</f>
        <v/>
      </c>
      <c r="O4150">
        <f>IF(G4150=1,R4150*(1-1.0),IF(H4149=0,1,O4149*(1+0.00023125256064071564)))</f>
        <v/>
      </c>
      <c r="P4150">
        <f>IF(G4150=1,IF(H4149=0,1,ABS(0.2-J4149*B4150/I4150)+ABS(0.2-K4149*C4150/I4150)+ABS(0.2-L4149*D4150/I4150)+ABS(0.2-M4149*E4150/I4150)+ABS(0.2-N4149*F4150/I4150)),0)</f>
        <v/>
      </c>
      <c r="Q4150">
        <f>P4150*0.0015</f>
        <v/>
      </c>
      <c r="R4150">
        <f>I4150*(1-Q4150)</f>
        <v/>
      </c>
      <c r="S4150">
        <f>R4150/R4149-1</f>
        <v/>
      </c>
      <c r="T4150">
        <f>MAX(T4149,R4150)</f>
        <v/>
      </c>
      <c r="U4150">
        <f>R4150/T4150-1</f>
        <v/>
      </c>
      <c r="V4150" t="n">
        <v>15.94531242929121</v>
      </c>
      <c r="W4150" s="5">
        <f>R4150-V4150</f>
        <v/>
      </c>
    </row>
    <row r="4151">
      <c r="A4151" s="3" t="n">
        <v>44553</v>
      </c>
      <c r="B4151">
        <f>Prices!B4151</f>
        <v/>
      </c>
      <c r="C4151">
        <f>Prices!C4151</f>
        <v/>
      </c>
      <c r="D4151">
        <f>Prices!D4151</f>
        <v/>
      </c>
      <c r="E4151">
        <f>Prices!E4151</f>
        <v/>
      </c>
      <c r="F4151">
        <f>Prices!F4151</f>
        <v/>
      </c>
      <c r="G4151">
        <f>IF(AND(4149&gt;=16,TEXT(A4151,"yyyy-mm")&lt;&gt;TEXT(A4152,"yyyy-mm")),1,0)</f>
        <v/>
      </c>
      <c r="H4151">
        <f>IF(OR(H4150=1,G4151=1),1,0)</f>
        <v/>
      </c>
      <c r="I4151">
        <f>IF(H4150=0,1,SUMPRODUCT(J4150:N4150,B4151:F4151)+O4150*(1+0.00023125256064071564))</f>
        <v/>
      </c>
      <c r="J4151">
        <f>IF(G4151=1,0.2*R4151/B4151,J4150)</f>
        <v/>
      </c>
      <c r="K4151">
        <f>IF(G4151=1,0.2*R4151/C4151,K4150)</f>
        <v/>
      </c>
      <c r="L4151">
        <f>IF(G4151=1,0.2*R4151/D4151,L4150)</f>
        <v/>
      </c>
      <c r="M4151">
        <f>IF(G4151=1,0.2*R4151/E4151,M4150)</f>
        <v/>
      </c>
      <c r="N4151">
        <f>IF(G4151=1,0.2*R4151/F4151,N4150)</f>
        <v/>
      </c>
      <c r="O4151">
        <f>IF(G4151=1,R4151*(1-1.0),IF(H4150=0,1,O4150*(1+0.00023125256064071564)))</f>
        <v/>
      </c>
      <c r="P4151">
        <f>IF(G4151=1,IF(H4150=0,1,ABS(0.2-J4150*B4151/I4151)+ABS(0.2-K4150*C4151/I4151)+ABS(0.2-L4150*D4151/I4151)+ABS(0.2-M4150*E4151/I4151)+ABS(0.2-N4150*F4151/I4151)),0)</f>
        <v/>
      </c>
      <c r="Q4151">
        <f>P4151*0.0015</f>
        <v/>
      </c>
      <c r="R4151">
        <f>I4151*(1-Q4151)</f>
        <v/>
      </c>
      <c r="S4151">
        <f>R4151/R4150-1</f>
        <v/>
      </c>
      <c r="T4151">
        <f>MAX(T4150,R4151)</f>
        <v/>
      </c>
      <c r="U4151">
        <f>R4151/T4151-1</f>
        <v/>
      </c>
      <c r="V4151" t="n">
        <v>16.10215706763138</v>
      </c>
      <c r="W4151" s="5">
        <f>R4151-V4151</f>
        <v/>
      </c>
    </row>
    <row r="4152">
      <c r="A4152" s="3" t="n">
        <v>44554</v>
      </c>
      <c r="B4152">
        <f>Prices!B4152</f>
        <v/>
      </c>
      <c r="C4152">
        <f>Prices!C4152</f>
        <v/>
      </c>
      <c r="D4152">
        <f>Prices!D4152</f>
        <v/>
      </c>
      <c r="E4152">
        <f>Prices!E4152</f>
        <v/>
      </c>
      <c r="F4152">
        <f>Prices!F4152</f>
        <v/>
      </c>
      <c r="G4152">
        <f>IF(AND(4150&gt;=16,TEXT(A4152,"yyyy-mm")&lt;&gt;TEXT(A4153,"yyyy-mm")),1,0)</f>
        <v/>
      </c>
      <c r="H4152">
        <f>IF(OR(H4151=1,G4152=1),1,0)</f>
        <v/>
      </c>
      <c r="I4152">
        <f>IF(H4151=0,1,SUMPRODUCT(J4151:N4151,B4152:F4152)+O4151*(1+0.00023125256064071564))</f>
        <v/>
      </c>
      <c r="J4152">
        <f>IF(G4152=1,0.2*R4152/B4152,J4151)</f>
        <v/>
      </c>
      <c r="K4152">
        <f>IF(G4152=1,0.2*R4152/C4152,K4151)</f>
        <v/>
      </c>
      <c r="L4152">
        <f>IF(G4152=1,0.2*R4152/D4152,L4151)</f>
        <v/>
      </c>
      <c r="M4152">
        <f>IF(G4152=1,0.2*R4152/E4152,M4151)</f>
        <v/>
      </c>
      <c r="N4152">
        <f>IF(G4152=1,0.2*R4152/F4152,N4151)</f>
        <v/>
      </c>
      <c r="O4152">
        <f>IF(G4152=1,R4152*(1-1.0),IF(H4151=0,1,O4151*(1+0.00023125256064071564)))</f>
        <v/>
      </c>
      <c r="P4152">
        <f>IF(G4152=1,IF(H4151=0,1,ABS(0.2-J4151*B4152/I4152)+ABS(0.2-K4151*C4152/I4152)+ABS(0.2-L4151*D4152/I4152)+ABS(0.2-M4151*E4152/I4152)+ABS(0.2-N4151*F4152/I4152)),0)</f>
        <v/>
      </c>
      <c r="Q4152">
        <f>P4152*0.0015</f>
        <v/>
      </c>
      <c r="R4152">
        <f>I4152*(1-Q4152)</f>
        <v/>
      </c>
      <c r="S4152">
        <f>R4152/R4151-1</f>
        <v/>
      </c>
      <c r="T4152">
        <f>MAX(T4151,R4152)</f>
        <v/>
      </c>
      <c r="U4152">
        <f>R4152/T4152-1</f>
        <v/>
      </c>
      <c r="V4152" t="n">
        <v>15.99446859324027</v>
      </c>
      <c r="W4152" s="5">
        <f>R4152-V4152</f>
        <v/>
      </c>
    </row>
    <row r="4153">
      <c r="A4153" s="3" t="n">
        <v>44557</v>
      </c>
      <c r="B4153">
        <f>Prices!B4153</f>
        <v/>
      </c>
      <c r="C4153">
        <f>Prices!C4153</f>
        <v/>
      </c>
      <c r="D4153">
        <f>Prices!D4153</f>
        <v/>
      </c>
      <c r="E4153">
        <f>Prices!E4153</f>
        <v/>
      </c>
      <c r="F4153">
        <f>Prices!F4153</f>
        <v/>
      </c>
      <c r="G4153">
        <f>IF(AND(4151&gt;=16,TEXT(A4153,"yyyy-mm")&lt;&gt;TEXT(A4154,"yyyy-mm")),1,0)</f>
        <v/>
      </c>
      <c r="H4153">
        <f>IF(OR(H4152=1,G4153=1),1,0)</f>
        <v/>
      </c>
      <c r="I4153">
        <f>IF(H4152=0,1,SUMPRODUCT(J4152:N4152,B4153:F4153)+O4152*(1+0.00023125256064071564))</f>
        <v/>
      </c>
      <c r="J4153">
        <f>IF(G4153=1,0.2*R4153/B4153,J4152)</f>
        <v/>
      </c>
      <c r="K4153">
        <f>IF(G4153=1,0.2*R4153/C4153,K4152)</f>
        <v/>
      </c>
      <c r="L4153">
        <f>IF(G4153=1,0.2*R4153/D4153,L4152)</f>
        <v/>
      </c>
      <c r="M4153">
        <f>IF(G4153=1,0.2*R4153/E4153,M4152)</f>
        <v/>
      </c>
      <c r="N4153">
        <f>IF(G4153=1,0.2*R4153/F4153,N4152)</f>
        <v/>
      </c>
      <c r="O4153">
        <f>IF(G4153=1,R4153*(1-1.0),IF(H4152=0,1,O4152*(1+0.00023125256064071564)))</f>
        <v/>
      </c>
      <c r="P4153">
        <f>IF(G4153=1,IF(H4152=0,1,ABS(0.2-J4152*B4153/I4153)+ABS(0.2-K4152*C4153/I4153)+ABS(0.2-L4152*D4153/I4153)+ABS(0.2-M4152*E4153/I4153)+ABS(0.2-N4152*F4153/I4153)),0)</f>
        <v/>
      </c>
      <c r="Q4153">
        <f>P4153*0.0015</f>
        <v/>
      </c>
      <c r="R4153">
        <f>I4153*(1-Q4153)</f>
        <v/>
      </c>
      <c r="S4153">
        <f>R4153/R4152-1</f>
        <v/>
      </c>
      <c r="T4153">
        <f>MAX(T4152,R4153)</f>
        <v/>
      </c>
      <c r="U4153">
        <f>R4153/T4153-1</f>
        <v/>
      </c>
      <c r="V4153" t="n">
        <v>16.0552492964231</v>
      </c>
      <c r="W4153" s="5">
        <f>R4153-V4153</f>
        <v/>
      </c>
    </row>
    <row r="4154">
      <c r="A4154" s="3" t="n">
        <v>44558</v>
      </c>
      <c r="B4154">
        <f>Prices!B4154</f>
        <v/>
      </c>
      <c r="C4154">
        <f>Prices!C4154</f>
        <v/>
      </c>
      <c r="D4154">
        <f>Prices!D4154</f>
        <v/>
      </c>
      <c r="E4154">
        <f>Prices!E4154</f>
        <v/>
      </c>
      <c r="F4154">
        <f>Prices!F4154</f>
        <v/>
      </c>
      <c r="G4154">
        <f>IF(AND(4152&gt;=16,TEXT(A4154,"yyyy-mm")&lt;&gt;TEXT(A4155,"yyyy-mm")),1,0)</f>
        <v/>
      </c>
      <c r="H4154">
        <f>IF(OR(H4153=1,G4154=1),1,0)</f>
        <v/>
      </c>
      <c r="I4154">
        <f>IF(H4153=0,1,SUMPRODUCT(J4153:N4153,B4154:F4154)+O4153*(1+0.00023125256064071564))</f>
        <v/>
      </c>
      <c r="J4154">
        <f>IF(G4154=1,0.2*R4154/B4154,J4153)</f>
        <v/>
      </c>
      <c r="K4154">
        <f>IF(G4154=1,0.2*R4154/C4154,K4153)</f>
        <v/>
      </c>
      <c r="L4154">
        <f>IF(G4154=1,0.2*R4154/D4154,L4153)</f>
        <v/>
      </c>
      <c r="M4154">
        <f>IF(G4154=1,0.2*R4154/E4154,M4153)</f>
        <v/>
      </c>
      <c r="N4154">
        <f>IF(G4154=1,0.2*R4154/F4154,N4153)</f>
        <v/>
      </c>
      <c r="O4154">
        <f>IF(G4154=1,R4154*(1-1.0),IF(H4153=0,1,O4153*(1+0.00023125256064071564)))</f>
        <v/>
      </c>
      <c r="P4154">
        <f>IF(G4154=1,IF(H4153=0,1,ABS(0.2-J4153*B4154/I4154)+ABS(0.2-K4153*C4154/I4154)+ABS(0.2-L4153*D4154/I4154)+ABS(0.2-M4153*E4154/I4154)+ABS(0.2-N4153*F4154/I4154)),0)</f>
        <v/>
      </c>
      <c r="Q4154">
        <f>P4154*0.0015</f>
        <v/>
      </c>
      <c r="R4154">
        <f>I4154*(1-Q4154)</f>
        <v/>
      </c>
      <c r="S4154">
        <f>R4154/R4153-1</f>
        <v/>
      </c>
      <c r="T4154">
        <f>MAX(T4153,R4154)</f>
        <v/>
      </c>
      <c r="U4154">
        <f>R4154/T4154-1</f>
        <v/>
      </c>
      <c r="V4154" t="n">
        <v>16.25711332172448</v>
      </c>
      <c r="W4154" s="5">
        <f>R4154-V4154</f>
        <v/>
      </c>
    </row>
    <row r="4155">
      <c r="A4155" s="3" t="n">
        <v>44559</v>
      </c>
      <c r="B4155">
        <f>Prices!B4155</f>
        <v/>
      </c>
      <c r="C4155">
        <f>Prices!C4155</f>
        <v/>
      </c>
      <c r="D4155">
        <f>Prices!D4155</f>
        <v/>
      </c>
      <c r="E4155">
        <f>Prices!E4155</f>
        <v/>
      </c>
      <c r="F4155">
        <f>Prices!F4155</f>
        <v/>
      </c>
      <c r="G4155">
        <f>IF(AND(4153&gt;=16,TEXT(A4155,"yyyy-mm")&lt;&gt;TEXT(A4156,"yyyy-mm")),1,0)</f>
        <v/>
      </c>
      <c r="H4155">
        <f>IF(OR(H4154=1,G4155=1),1,0)</f>
        <v/>
      </c>
      <c r="I4155">
        <f>IF(H4154=0,1,SUMPRODUCT(J4154:N4154,B4155:F4155)+O4154*(1+0.00023125256064071564))</f>
        <v/>
      </c>
      <c r="J4155">
        <f>IF(G4155=1,0.2*R4155/B4155,J4154)</f>
        <v/>
      </c>
      <c r="K4155">
        <f>IF(G4155=1,0.2*R4155/C4155,K4154)</f>
        <v/>
      </c>
      <c r="L4155">
        <f>IF(G4155=1,0.2*R4155/D4155,L4154)</f>
        <v/>
      </c>
      <c r="M4155">
        <f>IF(G4155=1,0.2*R4155/E4155,M4154)</f>
        <v/>
      </c>
      <c r="N4155">
        <f>IF(G4155=1,0.2*R4155/F4155,N4154)</f>
        <v/>
      </c>
      <c r="O4155">
        <f>IF(G4155=1,R4155*(1-1.0),IF(H4154=0,1,O4154*(1+0.00023125256064071564)))</f>
        <v/>
      </c>
      <c r="P4155">
        <f>IF(G4155=1,IF(H4154=0,1,ABS(0.2-J4154*B4155/I4155)+ABS(0.2-K4154*C4155/I4155)+ABS(0.2-L4154*D4155/I4155)+ABS(0.2-M4154*E4155/I4155)+ABS(0.2-N4154*F4155/I4155)),0)</f>
        <v/>
      </c>
      <c r="Q4155">
        <f>P4155*0.0015</f>
        <v/>
      </c>
      <c r="R4155">
        <f>I4155*(1-Q4155)</f>
        <v/>
      </c>
      <c r="S4155">
        <f>R4155/R4154-1</f>
        <v/>
      </c>
      <c r="T4155">
        <f>MAX(T4154,R4155)</f>
        <v/>
      </c>
      <c r="U4155">
        <f>R4155/T4155-1</f>
        <v/>
      </c>
      <c r="V4155" t="n">
        <v>16.25591683681738</v>
      </c>
      <c r="W4155" s="5">
        <f>R4155-V4155</f>
        <v/>
      </c>
    </row>
    <row r="4156">
      <c r="A4156" s="3" t="n">
        <v>44560</v>
      </c>
      <c r="B4156">
        <f>Prices!B4156</f>
        <v/>
      </c>
      <c r="C4156">
        <f>Prices!C4156</f>
        <v/>
      </c>
      <c r="D4156">
        <f>Prices!D4156</f>
        <v/>
      </c>
      <c r="E4156">
        <f>Prices!E4156</f>
        <v/>
      </c>
      <c r="F4156">
        <f>Prices!F4156</f>
        <v/>
      </c>
      <c r="G4156">
        <f>IF(AND(4154&gt;=16,TEXT(A4156,"yyyy-mm")&lt;&gt;TEXT(A4157,"yyyy-mm")),1,0)</f>
        <v/>
      </c>
      <c r="H4156">
        <f>IF(OR(H4155=1,G4156=1),1,0)</f>
        <v/>
      </c>
      <c r="I4156">
        <f>IF(H4155=0,1,SUMPRODUCT(J4155:N4155,B4156:F4156)+O4155*(1+0.00023125256064071564))</f>
        <v/>
      </c>
      <c r="J4156">
        <f>IF(G4156=1,0.2*R4156/B4156,J4155)</f>
        <v/>
      </c>
      <c r="K4156">
        <f>IF(G4156=1,0.2*R4156/C4156,K4155)</f>
        <v/>
      </c>
      <c r="L4156">
        <f>IF(G4156=1,0.2*R4156/D4156,L4155)</f>
        <v/>
      </c>
      <c r="M4156">
        <f>IF(G4156=1,0.2*R4156/E4156,M4155)</f>
        <v/>
      </c>
      <c r="N4156">
        <f>IF(G4156=1,0.2*R4156/F4156,N4155)</f>
        <v/>
      </c>
      <c r="O4156">
        <f>IF(G4156=1,R4156*(1-1.0),IF(H4155=0,1,O4155*(1+0.00023125256064071564)))</f>
        <v/>
      </c>
      <c r="P4156">
        <f>IF(G4156=1,IF(H4155=0,1,ABS(0.2-J4155*B4156/I4156)+ABS(0.2-K4155*C4156/I4156)+ABS(0.2-L4155*D4156/I4156)+ABS(0.2-M4155*E4156/I4156)+ABS(0.2-N4155*F4156/I4156)),0)</f>
        <v/>
      </c>
      <c r="Q4156">
        <f>P4156*0.0015</f>
        <v/>
      </c>
      <c r="R4156">
        <f>I4156*(1-Q4156)</f>
        <v/>
      </c>
      <c r="S4156">
        <f>R4156/R4155-1</f>
        <v/>
      </c>
      <c r="T4156">
        <f>MAX(T4155,R4156)</f>
        <v/>
      </c>
      <c r="U4156">
        <f>R4156/T4156-1</f>
        <v/>
      </c>
      <c r="V4156" t="n">
        <v>16.26834089671508</v>
      </c>
      <c r="W4156" s="5">
        <f>R4156-V4156</f>
        <v/>
      </c>
    </row>
    <row r="4157">
      <c r="A4157" s="3" t="n">
        <v>44561</v>
      </c>
      <c r="B4157">
        <f>Prices!B4157</f>
        <v/>
      </c>
      <c r="C4157">
        <f>Prices!C4157</f>
        <v/>
      </c>
      <c r="D4157">
        <f>Prices!D4157</f>
        <v/>
      </c>
      <c r="E4157">
        <f>Prices!E4157</f>
        <v/>
      </c>
      <c r="F4157">
        <f>Prices!F4157</f>
        <v/>
      </c>
      <c r="G4157">
        <f>IF(AND(4155&gt;=16,TEXT(A4157,"yyyy-mm")&lt;&gt;TEXT(A4158,"yyyy-mm")),1,0)</f>
        <v/>
      </c>
      <c r="H4157">
        <f>IF(OR(H4156=1,G4157=1),1,0)</f>
        <v/>
      </c>
      <c r="I4157">
        <f>IF(H4156=0,1,SUMPRODUCT(J4156:N4156,B4157:F4157)+O4156*(1+0.00023125256064071564))</f>
        <v/>
      </c>
      <c r="J4157">
        <f>IF(G4157=1,0.2*R4157/B4157,J4156)</f>
        <v/>
      </c>
      <c r="K4157">
        <f>IF(G4157=1,0.2*R4157/C4157,K4156)</f>
        <v/>
      </c>
      <c r="L4157">
        <f>IF(G4157=1,0.2*R4157/D4157,L4156)</f>
        <v/>
      </c>
      <c r="M4157">
        <f>IF(G4157=1,0.2*R4157/E4157,M4156)</f>
        <v/>
      </c>
      <c r="N4157">
        <f>IF(G4157=1,0.2*R4157/F4157,N4156)</f>
        <v/>
      </c>
      <c r="O4157">
        <f>IF(G4157=1,R4157*(1-1.0),IF(H4156=0,1,O4156*(1+0.00023125256064071564)))</f>
        <v/>
      </c>
      <c r="P4157">
        <f>IF(G4157=1,IF(H4156=0,1,ABS(0.2-J4156*B4157/I4157)+ABS(0.2-K4156*C4157/I4157)+ABS(0.2-L4156*D4157/I4157)+ABS(0.2-M4156*E4157/I4157)+ABS(0.2-N4156*F4157/I4157)),0)</f>
        <v/>
      </c>
      <c r="Q4157">
        <f>P4157*0.0015</f>
        <v/>
      </c>
      <c r="R4157">
        <f>I4157*(1-Q4157)</f>
        <v/>
      </c>
      <c r="S4157">
        <f>R4157/R4156-1</f>
        <v/>
      </c>
      <c r="T4157">
        <f>MAX(T4156,R4157)</f>
        <v/>
      </c>
      <c r="U4157">
        <f>R4157/T4157-1</f>
        <v/>
      </c>
      <c r="V4157" t="n">
        <v>16.45480151433256</v>
      </c>
      <c r="W4157" s="5">
        <f>R4157-V4157</f>
        <v/>
      </c>
    </row>
    <row r="4158">
      <c r="A4158" s="3" t="n">
        <v>44564</v>
      </c>
      <c r="B4158">
        <f>Prices!B4158</f>
        <v/>
      </c>
      <c r="C4158">
        <f>Prices!C4158</f>
        <v/>
      </c>
      <c r="D4158">
        <f>Prices!D4158</f>
        <v/>
      </c>
      <c r="E4158">
        <f>Prices!E4158</f>
        <v/>
      </c>
      <c r="F4158">
        <f>Prices!F4158</f>
        <v/>
      </c>
      <c r="G4158">
        <f>IF(AND(4156&gt;=16,TEXT(A4158,"yyyy-mm")&lt;&gt;TEXT(A4159,"yyyy-mm")),1,0)</f>
        <v/>
      </c>
      <c r="H4158">
        <f>IF(OR(H4157=1,G4158=1),1,0)</f>
        <v/>
      </c>
      <c r="I4158">
        <f>IF(H4157=0,1,SUMPRODUCT(J4157:N4157,B4158:F4158)+O4157*(1+0.00023125256064071564))</f>
        <v/>
      </c>
      <c r="J4158">
        <f>IF(G4158=1,0.2*R4158/B4158,J4157)</f>
        <v/>
      </c>
      <c r="K4158">
        <f>IF(G4158=1,0.2*R4158/C4158,K4157)</f>
        <v/>
      </c>
      <c r="L4158">
        <f>IF(G4158=1,0.2*R4158/D4158,L4157)</f>
        <v/>
      </c>
      <c r="M4158">
        <f>IF(G4158=1,0.2*R4158/E4158,M4157)</f>
        <v/>
      </c>
      <c r="N4158">
        <f>IF(G4158=1,0.2*R4158/F4158,N4157)</f>
        <v/>
      </c>
      <c r="O4158">
        <f>IF(G4158=1,R4158*(1-1.0),IF(H4157=0,1,O4157*(1+0.00023125256064071564)))</f>
        <v/>
      </c>
      <c r="P4158">
        <f>IF(G4158=1,IF(H4157=0,1,ABS(0.2-J4157*B4158/I4158)+ABS(0.2-K4157*C4158/I4158)+ABS(0.2-L4157*D4158/I4158)+ABS(0.2-M4157*E4158/I4158)+ABS(0.2-N4157*F4158/I4158)),0)</f>
        <v/>
      </c>
      <c r="Q4158">
        <f>P4158*0.0015</f>
        <v/>
      </c>
      <c r="R4158">
        <f>I4158*(1-Q4158)</f>
        <v/>
      </c>
      <c r="S4158">
        <f>R4158/R4157-1</f>
        <v/>
      </c>
      <c r="T4158">
        <f>MAX(T4157,R4158)</f>
        <v/>
      </c>
      <c r="U4158">
        <f>R4158/T4158-1</f>
        <v/>
      </c>
      <c r="V4158" t="n">
        <v>16.63230575168916</v>
      </c>
      <c r="W4158" s="5">
        <f>R4158-V4158</f>
        <v/>
      </c>
    </row>
    <row r="4159">
      <c r="A4159" s="3" t="n">
        <v>44565</v>
      </c>
      <c r="B4159">
        <f>Prices!B4159</f>
        <v/>
      </c>
      <c r="C4159">
        <f>Prices!C4159</f>
        <v/>
      </c>
      <c r="D4159">
        <f>Prices!D4159</f>
        <v/>
      </c>
      <c r="E4159">
        <f>Prices!E4159</f>
        <v/>
      </c>
      <c r="F4159">
        <f>Prices!F4159</f>
        <v/>
      </c>
      <c r="G4159">
        <f>IF(AND(4157&gt;=16,TEXT(A4159,"yyyy-mm")&lt;&gt;TEXT(A4160,"yyyy-mm")),1,0)</f>
        <v/>
      </c>
      <c r="H4159">
        <f>IF(OR(H4158=1,G4159=1),1,0)</f>
        <v/>
      </c>
      <c r="I4159">
        <f>IF(H4158=0,1,SUMPRODUCT(J4158:N4158,B4159:F4159)+O4158*(1+0.00023125256064071564))</f>
        <v/>
      </c>
      <c r="J4159">
        <f>IF(G4159=1,0.2*R4159/B4159,J4158)</f>
        <v/>
      </c>
      <c r="K4159">
        <f>IF(G4159=1,0.2*R4159/C4159,K4158)</f>
        <v/>
      </c>
      <c r="L4159">
        <f>IF(G4159=1,0.2*R4159/D4159,L4158)</f>
        <v/>
      </c>
      <c r="M4159">
        <f>IF(G4159=1,0.2*R4159/E4159,M4158)</f>
        <v/>
      </c>
      <c r="N4159">
        <f>IF(G4159=1,0.2*R4159/F4159,N4158)</f>
        <v/>
      </c>
      <c r="O4159">
        <f>IF(G4159=1,R4159*(1-1.0),IF(H4158=0,1,O4158*(1+0.00023125256064071564)))</f>
        <v/>
      </c>
      <c r="P4159">
        <f>IF(G4159=1,IF(H4158=0,1,ABS(0.2-J4158*B4159/I4159)+ABS(0.2-K4158*C4159/I4159)+ABS(0.2-L4158*D4159/I4159)+ABS(0.2-M4158*E4159/I4159)+ABS(0.2-N4158*F4159/I4159)),0)</f>
        <v/>
      </c>
      <c r="Q4159">
        <f>P4159*0.0015</f>
        <v/>
      </c>
      <c r="R4159">
        <f>I4159*(1-Q4159)</f>
        <v/>
      </c>
      <c r="S4159">
        <f>R4159/R4158-1</f>
        <v/>
      </c>
      <c r="T4159">
        <f>MAX(T4158,R4159)</f>
        <v/>
      </c>
      <c r="U4159">
        <f>R4159/T4159-1</f>
        <v/>
      </c>
      <c r="V4159" t="n">
        <v>16.68149336012079</v>
      </c>
      <c r="W4159" s="5">
        <f>R4159-V4159</f>
        <v/>
      </c>
    </row>
    <row r="4160">
      <c r="A4160" s="3" t="n">
        <v>44566</v>
      </c>
      <c r="B4160">
        <f>Prices!B4160</f>
        <v/>
      </c>
      <c r="C4160">
        <f>Prices!C4160</f>
        <v/>
      </c>
      <c r="D4160">
        <f>Prices!D4160</f>
        <v/>
      </c>
      <c r="E4160">
        <f>Prices!E4160</f>
        <v/>
      </c>
      <c r="F4160">
        <f>Prices!F4160</f>
        <v/>
      </c>
      <c r="G4160">
        <f>IF(AND(4158&gt;=16,TEXT(A4160,"yyyy-mm")&lt;&gt;TEXT(A4161,"yyyy-mm")),1,0)</f>
        <v/>
      </c>
      <c r="H4160">
        <f>IF(OR(H4159=1,G4160=1),1,0)</f>
        <v/>
      </c>
      <c r="I4160">
        <f>IF(H4159=0,1,SUMPRODUCT(J4159:N4159,B4160:F4160)+O4159*(1+0.00023125256064071564))</f>
        <v/>
      </c>
      <c r="J4160">
        <f>IF(G4160=1,0.2*R4160/B4160,J4159)</f>
        <v/>
      </c>
      <c r="K4160">
        <f>IF(G4160=1,0.2*R4160/C4160,K4159)</f>
        <v/>
      </c>
      <c r="L4160">
        <f>IF(G4160=1,0.2*R4160/D4160,L4159)</f>
        <v/>
      </c>
      <c r="M4160">
        <f>IF(G4160=1,0.2*R4160/E4160,M4159)</f>
        <v/>
      </c>
      <c r="N4160">
        <f>IF(G4160=1,0.2*R4160/F4160,N4159)</f>
        <v/>
      </c>
      <c r="O4160">
        <f>IF(G4160=1,R4160*(1-1.0),IF(H4159=0,1,O4159*(1+0.00023125256064071564)))</f>
        <v/>
      </c>
      <c r="P4160">
        <f>IF(G4160=1,IF(H4159=0,1,ABS(0.2-J4159*B4160/I4160)+ABS(0.2-K4159*C4160/I4160)+ABS(0.2-L4159*D4160/I4160)+ABS(0.2-M4159*E4160/I4160)+ABS(0.2-N4159*F4160/I4160)),0)</f>
        <v/>
      </c>
      <c r="Q4160">
        <f>P4160*0.0015</f>
        <v/>
      </c>
      <c r="R4160">
        <f>I4160*(1-Q4160)</f>
        <v/>
      </c>
      <c r="S4160">
        <f>R4160/R4159-1</f>
        <v/>
      </c>
      <c r="T4160">
        <f>MAX(T4159,R4160)</f>
        <v/>
      </c>
      <c r="U4160">
        <f>R4160/T4160-1</f>
        <v/>
      </c>
      <c r="V4160" t="n">
        <v>16.69013511322129</v>
      </c>
      <c r="W4160" s="5">
        <f>R4160-V4160</f>
        <v/>
      </c>
    </row>
    <row r="4161">
      <c r="A4161" s="3" t="n">
        <v>44567</v>
      </c>
      <c r="B4161">
        <f>Prices!B4161</f>
        <v/>
      </c>
      <c r="C4161">
        <f>Prices!C4161</f>
        <v/>
      </c>
      <c r="D4161">
        <f>Prices!D4161</f>
        <v/>
      </c>
      <c r="E4161">
        <f>Prices!E4161</f>
        <v/>
      </c>
      <c r="F4161">
        <f>Prices!F4161</f>
        <v/>
      </c>
      <c r="G4161">
        <f>IF(AND(4159&gt;=16,TEXT(A4161,"yyyy-mm")&lt;&gt;TEXT(A4162,"yyyy-mm")),1,0)</f>
        <v/>
      </c>
      <c r="H4161">
        <f>IF(OR(H4160=1,G4161=1),1,0)</f>
        <v/>
      </c>
      <c r="I4161">
        <f>IF(H4160=0,1,SUMPRODUCT(J4160:N4160,B4161:F4161)+O4160*(1+0.00023125256064071564))</f>
        <v/>
      </c>
      <c r="J4161">
        <f>IF(G4161=1,0.2*R4161/B4161,J4160)</f>
        <v/>
      </c>
      <c r="K4161">
        <f>IF(G4161=1,0.2*R4161/C4161,K4160)</f>
        <v/>
      </c>
      <c r="L4161">
        <f>IF(G4161=1,0.2*R4161/D4161,L4160)</f>
        <v/>
      </c>
      <c r="M4161">
        <f>IF(G4161=1,0.2*R4161/E4161,M4160)</f>
        <v/>
      </c>
      <c r="N4161">
        <f>IF(G4161=1,0.2*R4161/F4161,N4160)</f>
        <v/>
      </c>
      <c r="O4161">
        <f>IF(G4161=1,R4161*(1-1.0),IF(H4160=0,1,O4160*(1+0.00023125256064071564)))</f>
        <v/>
      </c>
      <c r="P4161">
        <f>IF(G4161=1,IF(H4160=0,1,ABS(0.2-J4160*B4161/I4161)+ABS(0.2-K4160*C4161/I4161)+ABS(0.2-L4160*D4161/I4161)+ABS(0.2-M4160*E4161/I4161)+ABS(0.2-N4160*F4161/I4161)),0)</f>
        <v/>
      </c>
      <c r="Q4161">
        <f>P4161*0.0015</f>
        <v/>
      </c>
      <c r="R4161">
        <f>I4161*(1-Q4161)</f>
        <v/>
      </c>
      <c r="S4161">
        <f>R4161/R4160-1</f>
        <v/>
      </c>
      <c r="T4161">
        <f>MAX(T4160,R4161)</f>
        <v/>
      </c>
      <c r="U4161">
        <f>R4161/T4161-1</f>
        <v/>
      </c>
      <c r="V4161" t="n">
        <v>16.65620826410384</v>
      </c>
      <c r="W4161" s="5">
        <f>R4161-V4161</f>
        <v/>
      </c>
    </row>
    <row r="4162">
      <c r="A4162" s="3" t="n">
        <v>44568</v>
      </c>
      <c r="B4162">
        <f>Prices!B4162</f>
        <v/>
      </c>
      <c r="C4162">
        <f>Prices!C4162</f>
        <v/>
      </c>
      <c r="D4162">
        <f>Prices!D4162</f>
        <v/>
      </c>
      <c r="E4162">
        <f>Prices!E4162</f>
        <v/>
      </c>
      <c r="F4162">
        <f>Prices!F4162</f>
        <v/>
      </c>
      <c r="G4162">
        <f>IF(AND(4160&gt;=16,TEXT(A4162,"yyyy-mm")&lt;&gt;TEXT(A4163,"yyyy-mm")),1,0)</f>
        <v/>
      </c>
      <c r="H4162">
        <f>IF(OR(H4161=1,G4162=1),1,0)</f>
        <v/>
      </c>
      <c r="I4162">
        <f>IF(H4161=0,1,SUMPRODUCT(J4161:N4161,B4162:F4162)+O4161*(1+0.00023125256064071564))</f>
        <v/>
      </c>
      <c r="J4162">
        <f>IF(G4162=1,0.2*R4162/B4162,J4161)</f>
        <v/>
      </c>
      <c r="K4162">
        <f>IF(G4162=1,0.2*R4162/C4162,K4161)</f>
        <v/>
      </c>
      <c r="L4162">
        <f>IF(G4162=1,0.2*R4162/D4162,L4161)</f>
        <v/>
      </c>
      <c r="M4162">
        <f>IF(G4162=1,0.2*R4162/E4162,M4161)</f>
        <v/>
      </c>
      <c r="N4162">
        <f>IF(G4162=1,0.2*R4162/F4162,N4161)</f>
        <v/>
      </c>
      <c r="O4162">
        <f>IF(G4162=1,R4162*(1-1.0),IF(H4161=0,1,O4161*(1+0.00023125256064071564)))</f>
        <v/>
      </c>
      <c r="P4162">
        <f>IF(G4162=1,IF(H4161=0,1,ABS(0.2-J4161*B4162/I4162)+ABS(0.2-K4161*C4162/I4162)+ABS(0.2-L4161*D4162/I4162)+ABS(0.2-M4161*E4162/I4162)+ABS(0.2-N4161*F4162/I4162)),0)</f>
        <v/>
      </c>
      <c r="Q4162">
        <f>P4162*0.0015</f>
        <v/>
      </c>
      <c r="R4162">
        <f>I4162*(1-Q4162)</f>
        <v/>
      </c>
      <c r="S4162">
        <f>R4162/R4161-1</f>
        <v/>
      </c>
      <c r="T4162">
        <f>MAX(T4161,R4162)</f>
        <v/>
      </c>
      <c r="U4162">
        <f>R4162/T4162-1</f>
        <v/>
      </c>
      <c r="V4162" t="n">
        <v>16.75891015221259</v>
      </c>
      <c r="W4162" s="5">
        <f>R4162-V4162</f>
        <v/>
      </c>
    </row>
    <row r="4163">
      <c r="A4163" s="3" t="n">
        <v>44571</v>
      </c>
      <c r="B4163">
        <f>Prices!B4163</f>
        <v/>
      </c>
      <c r="C4163">
        <f>Prices!C4163</f>
        <v/>
      </c>
      <c r="D4163">
        <f>Prices!D4163</f>
        <v/>
      </c>
      <c r="E4163">
        <f>Prices!E4163</f>
        <v/>
      </c>
      <c r="F4163">
        <f>Prices!F4163</f>
        <v/>
      </c>
      <c r="G4163">
        <f>IF(AND(4161&gt;=16,TEXT(A4163,"yyyy-mm")&lt;&gt;TEXT(A4164,"yyyy-mm")),1,0)</f>
        <v/>
      </c>
      <c r="H4163">
        <f>IF(OR(H4162=1,G4163=1),1,0)</f>
        <v/>
      </c>
      <c r="I4163">
        <f>IF(H4162=0,1,SUMPRODUCT(J4162:N4162,B4163:F4163)+O4162*(1+0.00023125256064071564))</f>
        <v/>
      </c>
      <c r="J4163">
        <f>IF(G4163=1,0.2*R4163/B4163,J4162)</f>
        <v/>
      </c>
      <c r="K4163">
        <f>IF(G4163=1,0.2*R4163/C4163,K4162)</f>
        <v/>
      </c>
      <c r="L4163">
        <f>IF(G4163=1,0.2*R4163/D4163,L4162)</f>
        <v/>
      </c>
      <c r="M4163">
        <f>IF(G4163=1,0.2*R4163/E4163,M4162)</f>
        <v/>
      </c>
      <c r="N4163">
        <f>IF(G4163=1,0.2*R4163/F4163,N4162)</f>
        <v/>
      </c>
      <c r="O4163">
        <f>IF(G4163=1,R4163*(1-1.0),IF(H4162=0,1,O4162*(1+0.00023125256064071564)))</f>
        <v/>
      </c>
      <c r="P4163">
        <f>IF(G4163=1,IF(H4162=0,1,ABS(0.2-J4162*B4163/I4163)+ABS(0.2-K4162*C4163/I4163)+ABS(0.2-L4162*D4163/I4163)+ABS(0.2-M4162*E4163/I4163)+ABS(0.2-N4162*F4163/I4163)),0)</f>
        <v/>
      </c>
      <c r="Q4163">
        <f>P4163*0.0015</f>
        <v/>
      </c>
      <c r="R4163">
        <f>I4163*(1-Q4163)</f>
        <v/>
      </c>
      <c r="S4163">
        <f>R4163/R4162-1</f>
        <v/>
      </c>
      <c r="T4163">
        <f>MAX(T4162,R4163)</f>
        <v/>
      </c>
      <c r="U4163">
        <f>R4163/T4163-1</f>
        <v/>
      </c>
      <c r="V4163" t="n">
        <v>16.87198734742201</v>
      </c>
      <c r="W4163" s="5">
        <f>R4163-V4163</f>
        <v/>
      </c>
    </row>
    <row r="4164">
      <c r="A4164" s="3" t="n">
        <v>44572</v>
      </c>
      <c r="B4164">
        <f>Prices!B4164</f>
        <v/>
      </c>
      <c r="C4164">
        <f>Prices!C4164</f>
        <v/>
      </c>
      <c r="D4164">
        <f>Prices!D4164</f>
        <v/>
      </c>
      <c r="E4164">
        <f>Prices!E4164</f>
        <v/>
      </c>
      <c r="F4164">
        <f>Prices!F4164</f>
        <v/>
      </c>
      <c r="G4164">
        <f>IF(AND(4162&gt;=16,TEXT(A4164,"yyyy-mm")&lt;&gt;TEXT(A4165,"yyyy-mm")),1,0)</f>
        <v/>
      </c>
      <c r="H4164">
        <f>IF(OR(H4163=1,G4164=1),1,0)</f>
        <v/>
      </c>
      <c r="I4164">
        <f>IF(H4163=0,1,SUMPRODUCT(J4163:N4163,B4164:F4164)+O4163*(1+0.00023125256064071564))</f>
        <v/>
      </c>
      <c r="J4164">
        <f>IF(G4164=1,0.2*R4164/B4164,J4163)</f>
        <v/>
      </c>
      <c r="K4164">
        <f>IF(G4164=1,0.2*R4164/C4164,K4163)</f>
        <v/>
      </c>
      <c r="L4164">
        <f>IF(G4164=1,0.2*R4164/D4164,L4163)</f>
        <v/>
      </c>
      <c r="M4164">
        <f>IF(G4164=1,0.2*R4164/E4164,M4163)</f>
        <v/>
      </c>
      <c r="N4164">
        <f>IF(G4164=1,0.2*R4164/F4164,N4163)</f>
        <v/>
      </c>
      <c r="O4164">
        <f>IF(G4164=1,R4164*(1-1.0),IF(H4163=0,1,O4163*(1+0.00023125256064071564)))</f>
        <v/>
      </c>
      <c r="P4164">
        <f>IF(G4164=1,IF(H4163=0,1,ABS(0.2-J4163*B4164/I4164)+ABS(0.2-K4163*C4164/I4164)+ABS(0.2-L4163*D4164/I4164)+ABS(0.2-M4163*E4164/I4164)+ABS(0.2-N4163*F4164/I4164)),0)</f>
        <v/>
      </c>
      <c r="Q4164">
        <f>P4164*0.0015</f>
        <v/>
      </c>
      <c r="R4164">
        <f>I4164*(1-Q4164)</f>
        <v/>
      </c>
      <c r="S4164">
        <f>R4164/R4163-1</f>
        <v/>
      </c>
      <c r="T4164">
        <f>MAX(T4163,R4164)</f>
        <v/>
      </c>
      <c r="U4164">
        <f>R4164/T4164-1</f>
        <v/>
      </c>
      <c r="V4164" t="n">
        <v>16.847859492429</v>
      </c>
      <c r="W4164" s="5">
        <f>R4164-V4164</f>
        <v/>
      </c>
    </row>
    <row r="4165">
      <c r="A4165" s="3" t="n">
        <v>44573</v>
      </c>
      <c r="B4165">
        <f>Prices!B4165</f>
        <v/>
      </c>
      <c r="C4165">
        <f>Prices!C4165</f>
        <v/>
      </c>
      <c r="D4165">
        <f>Prices!D4165</f>
        <v/>
      </c>
      <c r="E4165">
        <f>Prices!E4165</f>
        <v/>
      </c>
      <c r="F4165">
        <f>Prices!F4165</f>
        <v/>
      </c>
      <c r="G4165">
        <f>IF(AND(4163&gt;=16,TEXT(A4165,"yyyy-mm")&lt;&gt;TEXT(A4166,"yyyy-mm")),1,0)</f>
        <v/>
      </c>
      <c r="H4165">
        <f>IF(OR(H4164=1,G4165=1),1,0)</f>
        <v/>
      </c>
      <c r="I4165">
        <f>IF(H4164=0,1,SUMPRODUCT(J4164:N4164,B4165:F4165)+O4164*(1+0.00023125256064071564))</f>
        <v/>
      </c>
      <c r="J4165">
        <f>IF(G4165=1,0.2*R4165/B4165,J4164)</f>
        <v/>
      </c>
      <c r="K4165">
        <f>IF(G4165=1,0.2*R4165/C4165,K4164)</f>
        <v/>
      </c>
      <c r="L4165">
        <f>IF(G4165=1,0.2*R4165/D4165,L4164)</f>
        <v/>
      </c>
      <c r="M4165">
        <f>IF(G4165=1,0.2*R4165/E4165,M4164)</f>
        <v/>
      </c>
      <c r="N4165">
        <f>IF(G4165=1,0.2*R4165/F4165,N4164)</f>
        <v/>
      </c>
      <c r="O4165">
        <f>IF(G4165=1,R4165*(1-1.0),IF(H4164=0,1,O4164*(1+0.00023125256064071564)))</f>
        <v/>
      </c>
      <c r="P4165">
        <f>IF(G4165=1,IF(H4164=0,1,ABS(0.2-J4164*B4165/I4165)+ABS(0.2-K4164*C4165/I4165)+ABS(0.2-L4164*D4165/I4165)+ABS(0.2-M4164*E4165/I4165)+ABS(0.2-N4164*F4165/I4165)),0)</f>
        <v/>
      </c>
      <c r="Q4165">
        <f>P4165*0.0015</f>
        <v/>
      </c>
      <c r="R4165">
        <f>I4165*(1-Q4165)</f>
        <v/>
      </c>
      <c r="S4165">
        <f>R4165/R4164-1</f>
        <v/>
      </c>
      <c r="T4165">
        <f>MAX(T4164,R4165)</f>
        <v/>
      </c>
      <c r="U4165">
        <f>R4165/T4165-1</f>
        <v/>
      </c>
      <c r="V4165" t="n">
        <v>16.9437503677527</v>
      </c>
      <c r="W4165" s="5">
        <f>R4165-V4165</f>
        <v/>
      </c>
    </row>
    <row r="4166">
      <c r="A4166" s="3" t="n">
        <v>44574</v>
      </c>
      <c r="B4166">
        <f>Prices!B4166</f>
        <v/>
      </c>
      <c r="C4166">
        <f>Prices!C4166</f>
        <v/>
      </c>
      <c r="D4166">
        <f>Prices!D4166</f>
        <v/>
      </c>
      <c r="E4166">
        <f>Prices!E4166</f>
        <v/>
      </c>
      <c r="F4166">
        <f>Prices!F4166</f>
        <v/>
      </c>
      <c r="G4166">
        <f>IF(AND(4164&gt;=16,TEXT(A4166,"yyyy-mm")&lt;&gt;TEXT(A4167,"yyyy-mm")),1,0)</f>
        <v/>
      </c>
      <c r="H4166">
        <f>IF(OR(H4165=1,G4166=1),1,0)</f>
        <v/>
      </c>
      <c r="I4166">
        <f>IF(H4165=0,1,SUMPRODUCT(J4165:N4165,B4166:F4166)+O4165*(1+0.00023125256064071564))</f>
        <v/>
      </c>
      <c r="J4166">
        <f>IF(G4166=1,0.2*R4166/B4166,J4165)</f>
        <v/>
      </c>
      <c r="K4166">
        <f>IF(G4166=1,0.2*R4166/C4166,K4165)</f>
        <v/>
      </c>
      <c r="L4166">
        <f>IF(G4166=1,0.2*R4166/D4166,L4165)</f>
        <v/>
      </c>
      <c r="M4166">
        <f>IF(G4166=1,0.2*R4166/E4166,M4165)</f>
        <v/>
      </c>
      <c r="N4166">
        <f>IF(G4166=1,0.2*R4166/F4166,N4165)</f>
        <v/>
      </c>
      <c r="O4166">
        <f>IF(G4166=1,R4166*(1-1.0),IF(H4165=0,1,O4165*(1+0.00023125256064071564)))</f>
        <v/>
      </c>
      <c r="P4166">
        <f>IF(G4166=1,IF(H4165=0,1,ABS(0.2-J4165*B4166/I4166)+ABS(0.2-K4165*C4166/I4166)+ABS(0.2-L4165*D4166/I4166)+ABS(0.2-M4165*E4166/I4166)+ABS(0.2-N4165*F4166/I4166)),0)</f>
        <v/>
      </c>
      <c r="Q4166">
        <f>P4166*0.0015</f>
        <v/>
      </c>
      <c r="R4166">
        <f>I4166*(1-Q4166)</f>
        <v/>
      </c>
      <c r="S4166">
        <f>R4166/R4165-1</f>
        <v/>
      </c>
      <c r="T4166">
        <f>MAX(T4165,R4166)</f>
        <v/>
      </c>
      <c r="U4166">
        <f>R4166/T4166-1</f>
        <v/>
      </c>
      <c r="V4166" t="n">
        <v>17.07468918323547</v>
      </c>
      <c r="W4166" s="5">
        <f>R4166-V4166</f>
        <v/>
      </c>
    </row>
    <row r="4167">
      <c r="A4167" s="3" t="n">
        <v>44575</v>
      </c>
      <c r="B4167">
        <f>Prices!B4167</f>
        <v/>
      </c>
      <c r="C4167">
        <f>Prices!C4167</f>
        <v/>
      </c>
      <c r="D4167">
        <f>Prices!D4167</f>
        <v/>
      </c>
      <c r="E4167">
        <f>Prices!E4167</f>
        <v/>
      </c>
      <c r="F4167">
        <f>Prices!F4167</f>
        <v/>
      </c>
      <c r="G4167">
        <f>IF(AND(4165&gt;=16,TEXT(A4167,"yyyy-mm")&lt;&gt;TEXT(A4168,"yyyy-mm")),1,0)</f>
        <v/>
      </c>
      <c r="H4167">
        <f>IF(OR(H4166=1,G4167=1),1,0)</f>
        <v/>
      </c>
      <c r="I4167">
        <f>IF(H4166=0,1,SUMPRODUCT(J4166:N4166,B4167:F4167)+O4166*(1+0.00023125256064071564))</f>
        <v/>
      </c>
      <c r="J4167">
        <f>IF(G4167=1,0.2*R4167/B4167,J4166)</f>
        <v/>
      </c>
      <c r="K4167">
        <f>IF(G4167=1,0.2*R4167/C4167,K4166)</f>
        <v/>
      </c>
      <c r="L4167">
        <f>IF(G4167=1,0.2*R4167/D4167,L4166)</f>
        <v/>
      </c>
      <c r="M4167">
        <f>IF(G4167=1,0.2*R4167/E4167,M4166)</f>
        <v/>
      </c>
      <c r="N4167">
        <f>IF(G4167=1,0.2*R4167/F4167,N4166)</f>
        <v/>
      </c>
      <c r="O4167">
        <f>IF(G4167=1,R4167*(1-1.0),IF(H4166=0,1,O4166*(1+0.00023125256064071564)))</f>
        <v/>
      </c>
      <c r="P4167">
        <f>IF(G4167=1,IF(H4166=0,1,ABS(0.2-J4166*B4167/I4167)+ABS(0.2-K4166*C4167/I4167)+ABS(0.2-L4166*D4167/I4167)+ABS(0.2-M4166*E4167/I4167)+ABS(0.2-N4166*F4167/I4167)),0)</f>
        <v/>
      </c>
      <c r="Q4167">
        <f>P4167*0.0015</f>
        <v/>
      </c>
      <c r="R4167">
        <f>I4167*(1-Q4167)</f>
        <v/>
      </c>
      <c r="S4167">
        <f>R4167/R4166-1</f>
        <v/>
      </c>
      <c r="T4167">
        <f>MAX(T4166,R4167)</f>
        <v/>
      </c>
      <c r="U4167">
        <f>R4167/T4167-1</f>
        <v/>
      </c>
      <c r="V4167" t="n">
        <v>17.04914091063927</v>
      </c>
      <c r="W4167" s="5">
        <f>R4167-V4167</f>
        <v/>
      </c>
    </row>
    <row r="4168">
      <c r="A4168" s="3" t="n">
        <v>44578</v>
      </c>
      <c r="B4168">
        <f>Prices!B4168</f>
        <v/>
      </c>
      <c r="C4168">
        <f>Prices!C4168</f>
        <v/>
      </c>
      <c r="D4168">
        <f>Prices!D4168</f>
        <v/>
      </c>
      <c r="E4168">
        <f>Prices!E4168</f>
        <v/>
      </c>
      <c r="F4168">
        <f>Prices!F4168</f>
        <v/>
      </c>
      <c r="G4168">
        <f>IF(AND(4166&gt;=16,TEXT(A4168,"yyyy-mm")&lt;&gt;TEXT(A4169,"yyyy-mm")),1,0)</f>
        <v/>
      </c>
      <c r="H4168">
        <f>IF(OR(H4167=1,G4168=1),1,0)</f>
        <v/>
      </c>
      <c r="I4168">
        <f>IF(H4167=0,1,SUMPRODUCT(J4167:N4167,B4168:F4168)+O4167*(1+0.00023125256064071564))</f>
        <v/>
      </c>
      <c r="J4168">
        <f>IF(G4168=1,0.2*R4168/B4168,J4167)</f>
        <v/>
      </c>
      <c r="K4168">
        <f>IF(G4168=1,0.2*R4168/C4168,K4167)</f>
        <v/>
      </c>
      <c r="L4168">
        <f>IF(G4168=1,0.2*R4168/D4168,L4167)</f>
        <v/>
      </c>
      <c r="M4168">
        <f>IF(G4168=1,0.2*R4168/E4168,M4167)</f>
        <v/>
      </c>
      <c r="N4168">
        <f>IF(G4168=1,0.2*R4168/F4168,N4167)</f>
        <v/>
      </c>
      <c r="O4168">
        <f>IF(G4168=1,R4168*(1-1.0),IF(H4167=0,1,O4167*(1+0.00023125256064071564)))</f>
        <v/>
      </c>
      <c r="P4168">
        <f>IF(G4168=1,IF(H4167=0,1,ABS(0.2-J4167*B4168/I4168)+ABS(0.2-K4167*C4168/I4168)+ABS(0.2-L4167*D4168/I4168)+ABS(0.2-M4167*E4168/I4168)+ABS(0.2-N4167*F4168/I4168)),0)</f>
        <v/>
      </c>
      <c r="Q4168">
        <f>P4168*0.0015</f>
        <v/>
      </c>
      <c r="R4168">
        <f>I4168*(1-Q4168)</f>
        <v/>
      </c>
      <c r="S4168">
        <f>R4168/R4167-1</f>
        <v/>
      </c>
      <c r="T4168">
        <f>MAX(T4167,R4168)</f>
        <v/>
      </c>
      <c r="U4168">
        <f>R4168/T4168-1</f>
        <v/>
      </c>
      <c r="V4168" t="n">
        <v>17.11354758493163</v>
      </c>
      <c r="W4168" s="5">
        <f>R4168-V4168</f>
        <v/>
      </c>
    </row>
    <row r="4169">
      <c r="A4169" s="3" t="n">
        <v>44579</v>
      </c>
      <c r="B4169">
        <f>Prices!B4169</f>
        <v/>
      </c>
      <c r="C4169">
        <f>Prices!C4169</f>
        <v/>
      </c>
      <c r="D4169">
        <f>Prices!D4169</f>
        <v/>
      </c>
      <c r="E4169">
        <f>Prices!E4169</f>
        <v/>
      </c>
      <c r="F4169">
        <f>Prices!F4169</f>
        <v/>
      </c>
      <c r="G4169">
        <f>IF(AND(4167&gt;=16,TEXT(A4169,"yyyy-mm")&lt;&gt;TEXT(A4170,"yyyy-mm")),1,0)</f>
        <v/>
      </c>
      <c r="H4169">
        <f>IF(OR(H4168=1,G4169=1),1,0)</f>
        <v/>
      </c>
      <c r="I4169">
        <f>IF(H4168=0,1,SUMPRODUCT(J4168:N4168,B4169:F4169)+O4168*(1+0.00023125256064071564))</f>
        <v/>
      </c>
      <c r="J4169">
        <f>IF(G4169=1,0.2*R4169/B4169,J4168)</f>
        <v/>
      </c>
      <c r="K4169">
        <f>IF(G4169=1,0.2*R4169/C4169,K4168)</f>
        <v/>
      </c>
      <c r="L4169">
        <f>IF(G4169=1,0.2*R4169/D4169,L4168)</f>
        <v/>
      </c>
      <c r="M4169">
        <f>IF(G4169=1,0.2*R4169/E4169,M4168)</f>
        <v/>
      </c>
      <c r="N4169">
        <f>IF(G4169=1,0.2*R4169/F4169,N4168)</f>
        <v/>
      </c>
      <c r="O4169">
        <f>IF(G4169=1,R4169*(1-1.0),IF(H4168=0,1,O4168*(1+0.00023125256064071564)))</f>
        <v/>
      </c>
      <c r="P4169">
        <f>IF(G4169=1,IF(H4168=0,1,ABS(0.2-J4168*B4169/I4169)+ABS(0.2-K4168*C4169/I4169)+ABS(0.2-L4168*D4169/I4169)+ABS(0.2-M4168*E4169/I4169)+ABS(0.2-N4168*F4169/I4169)),0)</f>
        <v/>
      </c>
      <c r="Q4169">
        <f>P4169*0.0015</f>
        <v/>
      </c>
      <c r="R4169">
        <f>I4169*(1-Q4169)</f>
        <v/>
      </c>
      <c r="S4169">
        <f>R4169/R4168-1</f>
        <v/>
      </c>
      <c r="T4169">
        <f>MAX(T4168,R4169)</f>
        <v/>
      </c>
      <c r="U4169">
        <f>R4169/T4169-1</f>
        <v/>
      </c>
      <c r="V4169" t="n">
        <v>16.77865770906793</v>
      </c>
      <c r="W4169" s="5">
        <f>R4169-V4169</f>
        <v/>
      </c>
    </row>
    <row r="4170">
      <c r="A4170" s="3" t="n">
        <v>44580</v>
      </c>
      <c r="B4170">
        <f>Prices!B4170</f>
        <v/>
      </c>
      <c r="C4170">
        <f>Prices!C4170</f>
        <v/>
      </c>
      <c r="D4170">
        <f>Prices!D4170</f>
        <v/>
      </c>
      <c r="E4170">
        <f>Prices!E4170</f>
        <v/>
      </c>
      <c r="F4170">
        <f>Prices!F4170</f>
        <v/>
      </c>
      <c r="G4170">
        <f>IF(AND(4168&gt;=16,TEXT(A4170,"yyyy-mm")&lt;&gt;TEXT(A4171,"yyyy-mm")),1,0)</f>
        <v/>
      </c>
      <c r="H4170">
        <f>IF(OR(H4169=1,G4170=1),1,0)</f>
        <v/>
      </c>
      <c r="I4170">
        <f>IF(H4169=0,1,SUMPRODUCT(J4169:N4169,B4170:F4170)+O4169*(1+0.00023125256064071564))</f>
        <v/>
      </c>
      <c r="J4170">
        <f>IF(G4170=1,0.2*R4170/B4170,J4169)</f>
        <v/>
      </c>
      <c r="K4170">
        <f>IF(G4170=1,0.2*R4170/C4170,K4169)</f>
        <v/>
      </c>
      <c r="L4170">
        <f>IF(G4170=1,0.2*R4170/D4170,L4169)</f>
        <v/>
      </c>
      <c r="M4170">
        <f>IF(G4170=1,0.2*R4170/E4170,M4169)</f>
        <v/>
      </c>
      <c r="N4170">
        <f>IF(G4170=1,0.2*R4170/F4170,N4169)</f>
        <v/>
      </c>
      <c r="O4170">
        <f>IF(G4170=1,R4170*(1-1.0),IF(H4169=0,1,O4169*(1+0.00023125256064071564)))</f>
        <v/>
      </c>
      <c r="P4170">
        <f>IF(G4170=1,IF(H4169=0,1,ABS(0.2-J4169*B4170/I4170)+ABS(0.2-K4169*C4170/I4170)+ABS(0.2-L4169*D4170/I4170)+ABS(0.2-M4169*E4170/I4170)+ABS(0.2-N4169*F4170/I4170)),0)</f>
        <v/>
      </c>
      <c r="Q4170">
        <f>P4170*0.0015</f>
        <v/>
      </c>
      <c r="R4170">
        <f>I4170*(1-Q4170)</f>
        <v/>
      </c>
      <c r="S4170">
        <f>R4170/R4169-1</f>
        <v/>
      </c>
      <c r="T4170">
        <f>MAX(T4169,R4170)</f>
        <v/>
      </c>
      <c r="U4170">
        <f>R4170/T4170-1</f>
        <v/>
      </c>
      <c r="V4170" t="n">
        <v>16.78713826896665</v>
      </c>
      <c r="W4170" s="5">
        <f>R4170-V4170</f>
        <v/>
      </c>
    </row>
    <row r="4171">
      <c r="A4171" s="3" t="n">
        <v>44581</v>
      </c>
      <c r="B4171">
        <f>Prices!B4171</f>
        <v/>
      </c>
      <c r="C4171">
        <f>Prices!C4171</f>
        <v/>
      </c>
      <c r="D4171">
        <f>Prices!D4171</f>
        <v/>
      </c>
      <c r="E4171">
        <f>Prices!E4171</f>
        <v/>
      </c>
      <c r="F4171">
        <f>Prices!F4171</f>
        <v/>
      </c>
      <c r="G4171">
        <f>IF(AND(4169&gt;=16,TEXT(A4171,"yyyy-mm")&lt;&gt;TEXT(A4172,"yyyy-mm")),1,0)</f>
        <v/>
      </c>
      <c r="H4171">
        <f>IF(OR(H4170=1,G4171=1),1,0)</f>
        <v/>
      </c>
      <c r="I4171">
        <f>IF(H4170=0,1,SUMPRODUCT(J4170:N4170,B4171:F4171)+O4170*(1+0.00023125256064071564))</f>
        <v/>
      </c>
      <c r="J4171">
        <f>IF(G4171=1,0.2*R4171/B4171,J4170)</f>
        <v/>
      </c>
      <c r="K4171">
        <f>IF(G4171=1,0.2*R4171/C4171,K4170)</f>
        <v/>
      </c>
      <c r="L4171">
        <f>IF(G4171=1,0.2*R4171/D4171,L4170)</f>
        <v/>
      </c>
      <c r="M4171">
        <f>IF(G4171=1,0.2*R4171/E4171,M4170)</f>
        <v/>
      </c>
      <c r="N4171">
        <f>IF(G4171=1,0.2*R4171/F4171,N4170)</f>
        <v/>
      </c>
      <c r="O4171">
        <f>IF(G4171=1,R4171*(1-1.0),IF(H4170=0,1,O4170*(1+0.00023125256064071564)))</f>
        <v/>
      </c>
      <c r="P4171">
        <f>IF(G4171=1,IF(H4170=0,1,ABS(0.2-J4170*B4171/I4171)+ABS(0.2-K4170*C4171/I4171)+ABS(0.2-L4170*D4171/I4171)+ABS(0.2-M4170*E4171/I4171)+ABS(0.2-N4170*F4171/I4171)),0)</f>
        <v/>
      </c>
      <c r="Q4171">
        <f>P4171*0.0015</f>
        <v/>
      </c>
      <c r="R4171">
        <f>I4171*(1-Q4171)</f>
        <v/>
      </c>
      <c r="S4171">
        <f>R4171/R4170-1</f>
        <v/>
      </c>
      <c r="T4171">
        <f>MAX(T4170,R4171)</f>
        <v/>
      </c>
      <c r="U4171">
        <f>R4171/T4171-1</f>
        <v/>
      </c>
      <c r="V4171" t="n">
        <v>16.7719163727661</v>
      </c>
      <c r="W4171" s="5">
        <f>R4171-V4171</f>
        <v/>
      </c>
    </row>
    <row r="4172">
      <c r="A4172" s="3" t="n">
        <v>44582</v>
      </c>
      <c r="B4172">
        <f>Prices!B4172</f>
        <v/>
      </c>
      <c r="C4172">
        <f>Prices!C4172</f>
        <v/>
      </c>
      <c r="D4172">
        <f>Prices!D4172</f>
        <v/>
      </c>
      <c r="E4172">
        <f>Prices!E4172</f>
        <v/>
      </c>
      <c r="F4172">
        <f>Prices!F4172</f>
        <v/>
      </c>
      <c r="G4172">
        <f>IF(AND(4170&gt;=16,TEXT(A4172,"yyyy-mm")&lt;&gt;TEXT(A4173,"yyyy-mm")),1,0)</f>
        <v/>
      </c>
      <c r="H4172">
        <f>IF(OR(H4171=1,G4172=1),1,0)</f>
        <v/>
      </c>
      <c r="I4172">
        <f>IF(H4171=0,1,SUMPRODUCT(J4171:N4171,B4172:F4172)+O4171*(1+0.00023125256064071564))</f>
        <v/>
      </c>
      <c r="J4172">
        <f>IF(G4172=1,0.2*R4172/B4172,J4171)</f>
        <v/>
      </c>
      <c r="K4172">
        <f>IF(G4172=1,0.2*R4172/C4172,K4171)</f>
        <v/>
      </c>
      <c r="L4172">
        <f>IF(G4172=1,0.2*R4172/D4172,L4171)</f>
        <v/>
      </c>
      <c r="M4172">
        <f>IF(G4172=1,0.2*R4172/E4172,M4171)</f>
        <v/>
      </c>
      <c r="N4172">
        <f>IF(G4172=1,0.2*R4172/F4172,N4171)</f>
        <v/>
      </c>
      <c r="O4172">
        <f>IF(G4172=1,R4172*(1-1.0),IF(H4171=0,1,O4171*(1+0.00023125256064071564)))</f>
        <v/>
      </c>
      <c r="P4172">
        <f>IF(G4172=1,IF(H4171=0,1,ABS(0.2-J4171*B4172/I4172)+ABS(0.2-K4171*C4172/I4172)+ABS(0.2-L4171*D4172/I4172)+ABS(0.2-M4171*E4172/I4172)+ABS(0.2-N4171*F4172/I4172)),0)</f>
        <v/>
      </c>
      <c r="Q4172">
        <f>P4172*0.0015</f>
        <v/>
      </c>
      <c r="R4172">
        <f>I4172*(1-Q4172)</f>
        <v/>
      </c>
      <c r="S4172">
        <f>R4172/R4171-1</f>
        <v/>
      </c>
      <c r="T4172">
        <f>MAX(T4171,R4172)</f>
        <v/>
      </c>
      <c r="U4172">
        <f>R4172/T4172-1</f>
        <v/>
      </c>
      <c r="V4172" t="n">
        <v>16.46565160898908</v>
      </c>
      <c r="W4172" s="5">
        <f>R4172-V4172</f>
        <v/>
      </c>
    </row>
    <row r="4173">
      <c r="A4173" s="3" t="n">
        <v>44585</v>
      </c>
      <c r="B4173">
        <f>Prices!B4173</f>
        <v/>
      </c>
      <c r="C4173">
        <f>Prices!C4173</f>
        <v/>
      </c>
      <c r="D4173">
        <f>Prices!D4173</f>
        <v/>
      </c>
      <c r="E4173">
        <f>Prices!E4173</f>
        <v/>
      </c>
      <c r="F4173">
        <f>Prices!F4173</f>
        <v/>
      </c>
      <c r="G4173">
        <f>IF(AND(4171&gt;=16,TEXT(A4173,"yyyy-mm")&lt;&gt;TEXT(A4174,"yyyy-mm")),1,0)</f>
        <v/>
      </c>
      <c r="H4173">
        <f>IF(OR(H4172=1,G4173=1),1,0)</f>
        <v/>
      </c>
      <c r="I4173">
        <f>IF(H4172=0,1,SUMPRODUCT(J4172:N4172,B4173:F4173)+O4172*(1+0.00023125256064071564))</f>
        <v/>
      </c>
      <c r="J4173">
        <f>IF(G4173=1,0.2*R4173/B4173,J4172)</f>
        <v/>
      </c>
      <c r="K4173">
        <f>IF(G4173=1,0.2*R4173/C4173,K4172)</f>
        <v/>
      </c>
      <c r="L4173">
        <f>IF(G4173=1,0.2*R4173/D4173,L4172)</f>
        <v/>
      </c>
      <c r="M4173">
        <f>IF(G4173=1,0.2*R4173/E4173,M4172)</f>
        <v/>
      </c>
      <c r="N4173">
        <f>IF(G4173=1,0.2*R4173/F4173,N4172)</f>
        <v/>
      </c>
      <c r="O4173">
        <f>IF(G4173=1,R4173*(1-1.0),IF(H4172=0,1,O4172*(1+0.00023125256064071564)))</f>
        <v/>
      </c>
      <c r="P4173">
        <f>IF(G4173=1,IF(H4172=0,1,ABS(0.2-J4172*B4173/I4173)+ABS(0.2-K4172*C4173/I4173)+ABS(0.2-L4172*D4173/I4173)+ABS(0.2-M4172*E4173/I4173)+ABS(0.2-N4172*F4173/I4173)),0)</f>
        <v/>
      </c>
      <c r="Q4173">
        <f>P4173*0.0015</f>
        <v/>
      </c>
      <c r="R4173">
        <f>I4173*(1-Q4173)</f>
        <v/>
      </c>
      <c r="S4173">
        <f>R4173/R4172-1</f>
        <v/>
      </c>
      <c r="T4173">
        <f>MAX(T4172,R4173)</f>
        <v/>
      </c>
      <c r="U4173">
        <f>R4173/T4173-1</f>
        <v/>
      </c>
      <c r="V4173" t="n">
        <v>15.87722744178368</v>
      </c>
      <c r="W4173" s="5">
        <f>R4173-V4173</f>
        <v/>
      </c>
    </row>
    <row r="4174">
      <c r="A4174" s="3" t="n">
        <v>44586</v>
      </c>
      <c r="B4174">
        <f>Prices!B4174</f>
        <v/>
      </c>
      <c r="C4174">
        <f>Prices!C4174</f>
        <v/>
      </c>
      <c r="D4174">
        <f>Prices!D4174</f>
        <v/>
      </c>
      <c r="E4174">
        <f>Prices!E4174</f>
        <v/>
      </c>
      <c r="F4174">
        <f>Prices!F4174</f>
        <v/>
      </c>
      <c r="G4174">
        <f>IF(AND(4172&gt;=16,TEXT(A4174,"yyyy-mm")&lt;&gt;TEXT(A4175,"yyyy-mm")),1,0)</f>
        <v/>
      </c>
      <c r="H4174">
        <f>IF(OR(H4173=1,G4174=1),1,0)</f>
        <v/>
      </c>
      <c r="I4174">
        <f>IF(H4173=0,1,SUMPRODUCT(J4173:N4173,B4174:F4174)+O4173*(1+0.00023125256064071564))</f>
        <v/>
      </c>
      <c r="J4174">
        <f>IF(G4174=1,0.2*R4174/B4174,J4173)</f>
        <v/>
      </c>
      <c r="K4174">
        <f>IF(G4174=1,0.2*R4174/C4174,K4173)</f>
        <v/>
      </c>
      <c r="L4174">
        <f>IF(G4174=1,0.2*R4174/D4174,L4173)</f>
        <v/>
      </c>
      <c r="M4174">
        <f>IF(G4174=1,0.2*R4174/E4174,M4173)</f>
        <v/>
      </c>
      <c r="N4174">
        <f>IF(G4174=1,0.2*R4174/F4174,N4173)</f>
        <v/>
      </c>
      <c r="O4174">
        <f>IF(G4174=1,R4174*(1-1.0),IF(H4173=0,1,O4173*(1+0.00023125256064071564)))</f>
        <v/>
      </c>
      <c r="P4174">
        <f>IF(G4174=1,IF(H4173=0,1,ABS(0.2-J4173*B4174/I4174)+ABS(0.2-K4173*C4174/I4174)+ABS(0.2-L4173*D4174/I4174)+ABS(0.2-M4173*E4174/I4174)+ABS(0.2-N4173*F4174/I4174)),0)</f>
        <v/>
      </c>
      <c r="Q4174">
        <f>P4174*0.0015</f>
        <v/>
      </c>
      <c r="R4174">
        <f>I4174*(1-Q4174)</f>
        <v/>
      </c>
      <c r="S4174">
        <f>R4174/R4173-1</f>
        <v/>
      </c>
      <c r="T4174">
        <f>MAX(T4173,R4174)</f>
        <v/>
      </c>
      <c r="U4174">
        <f>R4174/T4174-1</f>
        <v/>
      </c>
      <c r="V4174" t="n">
        <v>16.04725998356866</v>
      </c>
      <c r="W4174" s="5">
        <f>R4174-V4174</f>
        <v/>
      </c>
    </row>
    <row r="4175">
      <c r="A4175" s="3" t="n">
        <v>44588</v>
      </c>
      <c r="B4175">
        <f>Prices!B4175</f>
        <v/>
      </c>
      <c r="C4175">
        <f>Prices!C4175</f>
        <v/>
      </c>
      <c r="D4175">
        <f>Prices!D4175</f>
        <v/>
      </c>
      <c r="E4175">
        <f>Prices!E4175</f>
        <v/>
      </c>
      <c r="F4175">
        <f>Prices!F4175</f>
        <v/>
      </c>
      <c r="G4175">
        <f>IF(AND(4173&gt;=16,TEXT(A4175,"yyyy-mm")&lt;&gt;TEXT(A4176,"yyyy-mm")),1,0)</f>
        <v/>
      </c>
      <c r="H4175">
        <f>IF(OR(H4174=1,G4175=1),1,0)</f>
        <v/>
      </c>
      <c r="I4175">
        <f>IF(H4174=0,1,SUMPRODUCT(J4174:N4174,B4175:F4175)+O4174*(1+0.00023125256064071564))</f>
        <v/>
      </c>
      <c r="J4175">
        <f>IF(G4175=1,0.2*R4175/B4175,J4174)</f>
        <v/>
      </c>
      <c r="K4175">
        <f>IF(G4175=1,0.2*R4175/C4175,K4174)</f>
        <v/>
      </c>
      <c r="L4175">
        <f>IF(G4175=1,0.2*R4175/D4175,L4174)</f>
        <v/>
      </c>
      <c r="M4175">
        <f>IF(G4175=1,0.2*R4175/E4175,M4174)</f>
        <v/>
      </c>
      <c r="N4175">
        <f>IF(G4175=1,0.2*R4175/F4175,N4174)</f>
        <v/>
      </c>
      <c r="O4175">
        <f>IF(G4175=1,R4175*(1-1.0),IF(H4174=0,1,O4174*(1+0.00023125256064071564)))</f>
        <v/>
      </c>
      <c r="P4175">
        <f>IF(G4175=1,IF(H4174=0,1,ABS(0.2-J4174*B4175/I4175)+ABS(0.2-K4174*C4175/I4175)+ABS(0.2-L4174*D4175/I4175)+ABS(0.2-M4174*E4175/I4175)+ABS(0.2-N4174*F4175/I4175)),0)</f>
        <v/>
      </c>
      <c r="Q4175">
        <f>P4175*0.0015</f>
        <v/>
      </c>
      <c r="R4175">
        <f>I4175*(1-Q4175)</f>
        <v/>
      </c>
      <c r="S4175">
        <f>R4175/R4174-1</f>
        <v/>
      </c>
      <c r="T4175">
        <f>MAX(T4174,R4175)</f>
        <v/>
      </c>
      <c r="U4175">
        <f>R4175/T4175-1</f>
        <v/>
      </c>
      <c r="V4175" t="n">
        <v>15.8246230816579</v>
      </c>
      <c r="W4175" s="5">
        <f>R4175-V4175</f>
        <v/>
      </c>
    </row>
    <row r="4176">
      <c r="A4176" s="3" t="n">
        <v>44589</v>
      </c>
      <c r="B4176">
        <f>Prices!B4176</f>
        <v/>
      </c>
      <c r="C4176">
        <f>Prices!C4176</f>
        <v/>
      </c>
      <c r="D4176">
        <f>Prices!D4176</f>
        <v/>
      </c>
      <c r="E4176">
        <f>Prices!E4176</f>
        <v/>
      </c>
      <c r="F4176">
        <f>Prices!F4176</f>
        <v/>
      </c>
      <c r="G4176">
        <f>IF(AND(4174&gt;=16,TEXT(A4176,"yyyy-mm")&lt;&gt;TEXT(A4177,"yyyy-mm")),1,0)</f>
        <v/>
      </c>
      <c r="H4176">
        <f>IF(OR(H4175=1,G4176=1),1,0)</f>
        <v/>
      </c>
      <c r="I4176">
        <f>IF(H4175=0,1,SUMPRODUCT(J4175:N4175,B4176:F4176)+O4175*(1+0.00023125256064071564))</f>
        <v/>
      </c>
      <c r="J4176">
        <f>IF(G4176=1,0.2*R4176/B4176,J4175)</f>
        <v/>
      </c>
      <c r="K4176">
        <f>IF(G4176=1,0.2*R4176/C4176,K4175)</f>
        <v/>
      </c>
      <c r="L4176">
        <f>IF(G4176=1,0.2*R4176/D4176,L4175)</f>
        <v/>
      </c>
      <c r="M4176">
        <f>IF(G4176=1,0.2*R4176/E4176,M4175)</f>
        <v/>
      </c>
      <c r="N4176">
        <f>IF(G4176=1,0.2*R4176/F4176,N4175)</f>
        <v/>
      </c>
      <c r="O4176">
        <f>IF(G4176=1,R4176*(1-1.0),IF(H4175=0,1,O4175*(1+0.00023125256064071564)))</f>
        <v/>
      </c>
      <c r="P4176">
        <f>IF(G4176=1,IF(H4175=0,1,ABS(0.2-J4175*B4176/I4176)+ABS(0.2-K4175*C4176/I4176)+ABS(0.2-L4175*D4176/I4176)+ABS(0.2-M4175*E4176/I4176)+ABS(0.2-N4175*F4176/I4176)),0)</f>
        <v/>
      </c>
      <c r="Q4176">
        <f>P4176*0.0015</f>
        <v/>
      </c>
      <c r="R4176">
        <f>I4176*(1-Q4176)</f>
        <v/>
      </c>
      <c r="S4176">
        <f>R4176/R4175-1</f>
        <v/>
      </c>
      <c r="T4176">
        <f>MAX(T4175,R4176)</f>
        <v/>
      </c>
      <c r="U4176">
        <f>R4176/T4176-1</f>
        <v/>
      </c>
      <c r="V4176" t="n">
        <v>15.98705131746735</v>
      </c>
      <c r="W4176" s="5">
        <f>R4176-V4176</f>
        <v/>
      </c>
    </row>
    <row r="4177">
      <c r="A4177" s="3" t="n">
        <v>44592</v>
      </c>
      <c r="B4177">
        <f>Prices!B4177</f>
        <v/>
      </c>
      <c r="C4177">
        <f>Prices!C4177</f>
        <v/>
      </c>
      <c r="D4177">
        <f>Prices!D4177</f>
        <v/>
      </c>
      <c r="E4177">
        <f>Prices!E4177</f>
        <v/>
      </c>
      <c r="F4177">
        <f>Prices!F4177</f>
        <v/>
      </c>
      <c r="G4177">
        <f>IF(AND(4175&gt;=16,TEXT(A4177,"yyyy-mm")&lt;&gt;TEXT(A4178,"yyyy-mm")),1,0)</f>
        <v/>
      </c>
      <c r="H4177">
        <f>IF(OR(H4176=1,G4177=1),1,0)</f>
        <v/>
      </c>
      <c r="I4177">
        <f>IF(H4176=0,1,SUMPRODUCT(J4176:N4176,B4177:F4177)+O4176*(1+0.00023125256064071564))</f>
        <v/>
      </c>
      <c r="J4177">
        <f>IF(G4177=1,0.2*R4177/B4177,J4176)</f>
        <v/>
      </c>
      <c r="K4177">
        <f>IF(G4177=1,0.2*R4177/C4177,K4176)</f>
        <v/>
      </c>
      <c r="L4177">
        <f>IF(G4177=1,0.2*R4177/D4177,L4176)</f>
        <v/>
      </c>
      <c r="M4177">
        <f>IF(G4177=1,0.2*R4177/E4177,M4176)</f>
        <v/>
      </c>
      <c r="N4177">
        <f>IF(G4177=1,0.2*R4177/F4177,N4176)</f>
        <v/>
      </c>
      <c r="O4177">
        <f>IF(G4177=1,R4177*(1-1.0),IF(H4176=0,1,O4176*(1+0.00023125256064071564)))</f>
        <v/>
      </c>
      <c r="P4177">
        <f>IF(G4177=1,IF(H4176=0,1,ABS(0.2-J4176*B4177/I4177)+ABS(0.2-K4176*C4177/I4177)+ABS(0.2-L4176*D4177/I4177)+ABS(0.2-M4176*E4177/I4177)+ABS(0.2-N4176*F4177/I4177)),0)</f>
        <v/>
      </c>
      <c r="Q4177">
        <f>P4177*0.0015</f>
        <v/>
      </c>
      <c r="R4177">
        <f>I4177*(1-Q4177)</f>
        <v/>
      </c>
      <c r="S4177">
        <f>R4177/R4176-1</f>
        <v/>
      </c>
      <c r="T4177">
        <f>MAX(T4176,R4177)</f>
        <v/>
      </c>
      <c r="U4177">
        <f>R4177/T4177-1</f>
        <v/>
      </c>
      <c r="V4177" t="n">
        <v>16.22922157494882</v>
      </c>
      <c r="W4177" s="5">
        <f>R4177-V4177</f>
        <v/>
      </c>
    </row>
    <row r="4178">
      <c r="A4178" s="3" t="n">
        <v>44593</v>
      </c>
      <c r="B4178">
        <f>Prices!B4178</f>
        <v/>
      </c>
      <c r="C4178">
        <f>Prices!C4178</f>
        <v/>
      </c>
      <c r="D4178">
        <f>Prices!D4178</f>
        <v/>
      </c>
      <c r="E4178">
        <f>Prices!E4178</f>
        <v/>
      </c>
      <c r="F4178">
        <f>Prices!F4178</f>
        <v/>
      </c>
      <c r="G4178">
        <f>IF(AND(4176&gt;=16,TEXT(A4178,"yyyy-mm")&lt;&gt;TEXT(A4179,"yyyy-mm")),1,0)</f>
        <v/>
      </c>
      <c r="H4178">
        <f>IF(OR(H4177=1,G4178=1),1,0)</f>
        <v/>
      </c>
      <c r="I4178">
        <f>IF(H4177=0,1,SUMPRODUCT(J4177:N4177,B4178:F4178)+O4177*(1+0.00023125256064071564))</f>
        <v/>
      </c>
      <c r="J4178">
        <f>IF(G4178=1,0.2*R4178/B4178,J4177)</f>
        <v/>
      </c>
      <c r="K4178">
        <f>IF(G4178=1,0.2*R4178/C4178,K4177)</f>
        <v/>
      </c>
      <c r="L4178">
        <f>IF(G4178=1,0.2*R4178/D4178,L4177)</f>
        <v/>
      </c>
      <c r="M4178">
        <f>IF(G4178=1,0.2*R4178/E4178,M4177)</f>
        <v/>
      </c>
      <c r="N4178">
        <f>IF(G4178=1,0.2*R4178/F4178,N4177)</f>
        <v/>
      </c>
      <c r="O4178">
        <f>IF(G4178=1,R4178*(1-1.0),IF(H4177=0,1,O4177*(1+0.00023125256064071564)))</f>
        <v/>
      </c>
      <c r="P4178">
        <f>IF(G4178=1,IF(H4177=0,1,ABS(0.2-J4177*B4178/I4178)+ABS(0.2-K4177*C4178/I4178)+ABS(0.2-L4177*D4178/I4178)+ABS(0.2-M4177*E4178/I4178)+ABS(0.2-N4177*F4178/I4178)),0)</f>
        <v/>
      </c>
      <c r="Q4178">
        <f>P4178*0.0015</f>
        <v/>
      </c>
      <c r="R4178">
        <f>I4178*(1-Q4178)</f>
        <v/>
      </c>
      <c r="S4178">
        <f>R4178/R4177-1</f>
        <v/>
      </c>
      <c r="T4178">
        <f>MAX(T4177,R4178)</f>
        <v/>
      </c>
      <c r="U4178">
        <f>R4178/T4178-1</f>
        <v/>
      </c>
      <c r="V4178" t="n">
        <v>16.3666508522235</v>
      </c>
      <c r="W4178" s="5">
        <f>R4178-V4178</f>
        <v/>
      </c>
    </row>
    <row r="4179">
      <c r="A4179" s="3" t="n">
        <v>44594</v>
      </c>
      <c r="B4179">
        <f>Prices!B4179</f>
        <v/>
      </c>
      <c r="C4179">
        <f>Prices!C4179</f>
        <v/>
      </c>
      <c r="D4179">
        <f>Prices!D4179</f>
        <v/>
      </c>
      <c r="E4179">
        <f>Prices!E4179</f>
        <v/>
      </c>
      <c r="F4179">
        <f>Prices!F4179</f>
        <v/>
      </c>
      <c r="G4179">
        <f>IF(AND(4177&gt;=16,TEXT(A4179,"yyyy-mm")&lt;&gt;TEXT(A4180,"yyyy-mm")),1,0)</f>
        <v/>
      </c>
      <c r="H4179">
        <f>IF(OR(H4178=1,G4179=1),1,0)</f>
        <v/>
      </c>
      <c r="I4179">
        <f>IF(H4178=0,1,SUMPRODUCT(J4178:N4178,B4179:F4179)+O4178*(1+0.00023125256064071564))</f>
        <v/>
      </c>
      <c r="J4179">
        <f>IF(G4179=1,0.2*R4179/B4179,J4178)</f>
        <v/>
      </c>
      <c r="K4179">
        <f>IF(G4179=1,0.2*R4179/C4179,K4178)</f>
        <v/>
      </c>
      <c r="L4179">
        <f>IF(G4179=1,0.2*R4179/D4179,L4178)</f>
        <v/>
      </c>
      <c r="M4179">
        <f>IF(G4179=1,0.2*R4179/E4179,M4178)</f>
        <v/>
      </c>
      <c r="N4179">
        <f>IF(G4179=1,0.2*R4179/F4179,N4178)</f>
        <v/>
      </c>
      <c r="O4179">
        <f>IF(G4179=1,R4179*(1-1.0),IF(H4178=0,1,O4178*(1+0.00023125256064071564)))</f>
        <v/>
      </c>
      <c r="P4179">
        <f>IF(G4179=1,IF(H4178=0,1,ABS(0.2-J4178*B4179/I4179)+ABS(0.2-K4178*C4179/I4179)+ABS(0.2-L4178*D4179/I4179)+ABS(0.2-M4178*E4179/I4179)+ABS(0.2-N4178*F4179/I4179)),0)</f>
        <v/>
      </c>
      <c r="Q4179">
        <f>P4179*0.0015</f>
        <v/>
      </c>
      <c r="R4179">
        <f>I4179*(1-Q4179)</f>
        <v/>
      </c>
      <c r="S4179">
        <f>R4179/R4178-1</f>
        <v/>
      </c>
      <c r="T4179">
        <f>MAX(T4178,R4179)</f>
        <v/>
      </c>
      <c r="U4179">
        <f>R4179/T4179-1</f>
        <v/>
      </c>
      <c r="V4179" t="n">
        <v>16.58005371868212</v>
      </c>
      <c r="W4179" s="5">
        <f>R4179-V4179</f>
        <v/>
      </c>
    </row>
    <row r="4180">
      <c r="A4180" s="3" t="n">
        <v>44595</v>
      </c>
      <c r="B4180">
        <f>Prices!B4180</f>
        <v/>
      </c>
      <c r="C4180">
        <f>Prices!C4180</f>
        <v/>
      </c>
      <c r="D4180">
        <f>Prices!D4180</f>
        <v/>
      </c>
      <c r="E4180">
        <f>Prices!E4180</f>
        <v/>
      </c>
      <c r="F4180">
        <f>Prices!F4180</f>
        <v/>
      </c>
      <c r="G4180">
        <f>IF(AND(4178&gt;=16,TEXT(A4180,"yyyy-mm")&lt;&gt;TEXT(A4181,"yyyy-mm")),1,0)</f>
        <v/>
      </c>
      <c r="H4180">
        <f>IF(OR(H4179=1,G4180=1),1,0)</f>
        <v/>
      </c>
      <c r="I4180">
        <f>IF(H4179=0,1,SUMPRODUCT(J4179:N4179,B4180:F4180)+O4179*(1+0.00023125256064071564))</f>
        <v/>
      </c>
      <c r="J4180">
        <f>IF(G4180=1,0.2*R4180/B4180,J4179)</f>
        <v/>
      </c>
      <c r="K4180">
        <f>IF(G4180=1,0.2*R4180/C4180,K4179)</f>
        <v/>
      </c>
      <c r="L4180">
        <f>IF(G4180=1,0.2*R4180/D4180,L4179)</f>
        <v/>
      </c>
      <c r="M4180">
        <f>IF(G4180=1,0.2*R4180/E4180,M4179)</f>
        <v/>
      </c>
      <c r="N4180">
        <f>IF(G4180=1,0.2*R4180/F4180,N4179)</f>
        <v/>
      </c>
      <c r="O4180">
        <f>IF(G4180=1,R4180*(1-1.0),IF(H4179=0,1,O4179*(1+0.00023125256064071564)))</f>
        <v/>
      </c>
      <c r="P4180">
        <f>IF(G4180=1,IF(H4179=0,1,ABS(0.2-J4179*B4180/I4180)+ABS(0.2-K4179*C4180/I4180)+ABS(0.2-L4179*D4180/I4180)+ABS(0.2-M4179*E4180/I4180)+ABS(0.2-N4179*F4180/I4180)),0)</f>
        <v/>
      </c>
      <c r="Q4180">
        <f>P4180*0.0015</f>
        <v/>
      </c>
      <c r="R4180">
        <f>I4180*(1-Q4180)</f>
        <v/>
      </c>
      <c r="S4180">
        <f>R4180/R4179-1</f>
        <v/>
      </c>
      <c r="T4180">
        <f>MAX(T4179,R4180)</f>
        <v/>
      </c>
      <c r="U4180">
        <f>R4180/T4180-1</f>
        <v/>
      </c>
      <c r="V4180" t="n">
        <v>16.43298515920414</v>
      </c>
      <c r="W4180" s="5">
        <f>R4180-V4180</f>
        <v/>
      </c>
    </row>
    <row r="4181">
      <c r="A4181" s="3" t="n">
        <v>44596</v>
      </c>
      <c r="B4181">
        <f>Prices!B4181</f>
        <v/>
      </c>
      <c r="C4181">
        <f>Prices!C4181</f>
        <v/>
      </c>
      <c r="D4181">
        <f>Prices!D4181</f>
        <v/>
      </c>
      <c r="E4181">
        <f>Prices!E4181</f>
        <v/>
      </c>
      <c r="F4181">
        <f>Prices!F4181</f>
        <v/>
      </c>
      <c r="G4181">
        <f>IF(AND(4179&gt;=16,TEXT(A4181,"yyyy-mm")&lt;&gt;TEXT(A4182,"yyyy-mm")),1,0)</f>
        <v/>
      </c>
      <c r="H4181">
        <f>IF(OR(H4180=1,G4181=1),1,0)</f>
        <v/>
      </c>
      <c r="I4181">
        <f>IF(H4180=0,1,SUMPRODUCT(J4180:N4180,B4181:F4181)+O4180*(1+0.00023125256064071564))</f>
        <v/>
      </c>
      <c r="J4181">
        <f>IF(G4181=1,0.2*R4181/B4181,J4180)</f>
        <v/>
      </c>
      <c r="K4181">
        <f>IF(G4181=1,0.2*R4181/C4181,K4180)</f>
        <v/>
      </c>
      <c r="L4181">
        <f>IF(G4181=1,0.2*R4181/D4181,L4180)</f>
        <v/>
      </c>
      <c r="M4181">
        <f>IF(G4181=1,0.2*R4181/E4181,M4180)</f>
        <v/>
      </c>
      <c r="N4181">
        <f>IF(G4181=1,0.2*R4181/F4181,N4180)</f>
        <v/>
      </c>
      <c r="O4181">
        <f>IF(G4181=1,R4181*(1-1.0),IF(H4180=0,1,O4180*(1+0.00023125256064071564)))</f>
        <v/>
      </c>
      <c r="P4181">
        <f>IF(G4181=1,IF(H4180=0,1,ABS(0.2-J4180*B4181/I4181)+ABS(0.2-K4180*C4181/I4181)+ABS(0.2-L4180*D4181/I4181)+ABS(0.2-M4180*E4181/I4181)+ABS(0.2-N4180*F4181/I4181)),0)</f>
        <v/>
      </c>
      <c r="Q4181">
        <f>P4181*0.0015</f>
        <v/>
      </c>
      <c r="R4181">
        <f>I4181*(1-Q4181)</f>
        <v/>
      </c>
      <c r="S4181">
        <f>R4181/R4180-1</f>
        <v/>
      </c>
      <c r="T4181">
        <f>MAX(T4180,R4181)</f>
        <v/>
      </c>
      <c r="U4181">
        <f>R4181/T4181-1</f>
        <v/>
      </c>
      <c r="V4181" t="n">
        <v>16.38137568829343</v>
      </c>
      <c r="W4181" s="5">
        <f>R4181-V4181</f>
        <v/>
      </c>
    </row>
    <row r="4182">
      <c r="A4182" s="3" t="n">
        <v>44599</v>
      </c>
      <c r="B4182">
        <f>Prices!B4182</f>
        <v/>
      </c>
      <c r="C4182">
        <f>Prices!C4182</f>
        <v/>
      </c>
      <c r="D4182">
        <f>Prices!D4182</f>
        <v/>
      </c>
      <c r="E4182">
        <f>Prices!E4182</f>
        <v/>
      </c>
      <c r="F4182">
        <f>Prices!F4182</f>
        <v/>
      </c>
      <c r="G4182">
        <f>IF(AND(4180&gt;=16,TEXT(A4182,"yyyy-mm")&lt;&gt;TEXT(A4183,"yyyy-mm")),1,0)</f>
        <v/>
      </c>
      <c r="H4182">
        <f>IF(OR(H4181=1,G4182=1),1,0)</f>
        <v/>
      </c>
      <c r="I4182">
        <f>IF(H4181=0,1,SUMPRODUCT(J4181:N4181,B4182:F4182)+O4181*(1+0.00023125256064071564))</f>
        <v/>
      </c>
      <c r="J4182">
        <f>IF(G4182=1,0.2*R4182/B4182,J4181)</f>
        <v/>
      </c>
      <c r="K4182">
        <f>IF(G4182=1,0.2*R4182/C4182,K4181)</f>
        <v/>
      </c>
      <c r="L4182">
        <f>IF(G4182=1,0.2*R4182/D4182,L4181)</f>
        <v/>
      </c>
      <c r="M4182">
        <f>IF(G4182=1,0.2*R4182/E4182,M4181)</f>
        <v/>
      </c>
      <c r="N4182">
        <f>IF(G4182=1,0.2*R4182/F4182,N4181)</f>
        <v/>
      </c>
      <c r="O4182">
        <f>IF(G4182=1,R4182*(1-1.0),IF(H4181=0,1,O4181*(1+0.00023125256064071564)))</f>
        <v/>
      </c>
      <c r="P4182">
        <f>IF(G4182=1,IF(H4181=0,1,ABS(0.2-J4181*B4182/I4182)+ABS(0.2-K4181*C4182/I4182)+ABS(0.2-L4181*D4182/I4182)+ABS(0.2-M4181*E4182/I4182)+ABS(0.2-N4181*F4182/I4182)),0)</f>
        <v/>
      </c>
      <c r="Q4182">
        <f>P4182*0.0015</f>
        <v/>
      </c>
      <c r="R4182">
        <f>I4182*(1-Q4182)</f>
        <v/>
      </c>
      <c r="S4182">
        <f>R4182/R4181-1</f>
        <v/>
      </c>
      <c r="T4182">
        <f>MAX(T4181,R4182)</f>
        <v/>
      </c>
      <c r="U4182">
        <f>R4182/T4182-1</f>
        <v/>
      </c>
      <c r="V4182" t="n">
        <v>16.22065250890203</v>
      </c>
      <c r="W4182" s="5">
        <f>R4182-V4182</f>
        <v/>
      </c>
    </row>
    <row r="4183">
      <c r="A4183" s="3" t="n">
        <v>44600</v>
      </c>
      <c r="B4183">
        <f>Prices!B4183</f>
        <v/>
      </c>
      <c r="C4183">
        <f>Prices!C4183</f>
        <v/>
      </c>
      <c r="D4183">
        <f>Prices!D4183</f>
        <v/>
      </c>
      <c r="E4183">
        <f>Prices!E4183</f>
        <v/>
      </c>
      <c r="F4183">
        <f>Prices!F4183</f>
        <v/>
      </c>
      <c r="G4183">
        <f>IF(AND(4181&gt;=16,TEXT(A4183,"yyyy-mm")&lt;&gt;TEXT(A4184,"yyyy-mm")),1,0)</f>
        <v/>
      </c>
      <c r="H4183">
        <f>IF(OR(H4182=1,G4183=1),1,0)</f>
        <v/>
      </c>
      <c r="I4183">
        <f>IF(H4182=0,1,SUMPRODUCT(J4182:N4182,B4183:F4183)+O4182*(1+0.00023125256064071564))</f>
        <v/>
      </c>
      <c r="J4183">
        <f>IF(G4183=1,0.2*R4183/B4183,J4182)</f>
        <v/>
      </c>
      <c r="K4183">
        <f>IF(G4183=1,0.2*R4183/C4183,K4182)</f>
        <v/>
      </c>
      <c r="L4183">
        <f>IF(G4183=1,0.2*R4183/D4183,L4182)</f>
        <v/>
      </c>
      <c r="M4183">
        <f>IF(G4183=1,0.2*R4183/E4183,M4182)</f>
        <v/>
      </c>
      <c r="N4183">
        <f>IF(G4183=1,0.2*R4183/F4183,N4182)</f>
        <v/>
      </c>
      <c r="O4183">
        <f>IF(G4183=1,R4183*(1-1.0),IF(H4182=0,1,O4182*(1+0.00023125256064071564)))</f>
        <v/>
      </c>
      <c r="P4183">
        <f>IF(G4183=1,IF(H4182=0,1,ABS(0.2-J4182*B4183/I4183)+ABS(0.2-K4182*C4183/I4183)+ABS(0.2-L4182*D4183/I4183)+ABS(0.2-M4182*E4183/I4183)+ABS(0.2-N4182*F4183/I4183)),0)</f>
        <v/>
      </c>
      <c r="Q4183">
        <f>P4183*0.0015</f>
        <v/>
      </c>
      <c r="R4183">
        <f>I4183*(1-Q4183)</f>
        <v/>
      </c>
      <c r="S4183">
        <f>R4183/R4182-1</f>
        <v/>
      </c>
      <c r="T4183">
        <f>MAX(T4182,R4183)</f>
        <v/>
      </c>
      <c r="U4183">
        <f>R4183/T4183-1</f>
        <v/>
      </c>
      <c r="V4183" t="n">
        <v>16.1308286719406</v>
      </c>
      <c r="W4183" s="5">
        <f>R4183-V4183</f>
        <v/>
      </c>
    </row>
    <row r="4184">
      <c r="A4184" s="3" t="n">
        <v>44601</v>
      </c>
      <c r="B4184">
        <f>Prices!B4184</f>
        <v/>
      </c>
      <c r="C4184">
        <f>Prices!C4184</f>
        <v/>
      </c>
      <c r="D4184">
        <f>Prices!D4184</f>
        <v/>
      </c>
      <c r="E4184">
        <f>Prices!E4184</f>
        <v/>
      </c>
      <c r="F4184">
        <f>Prices!F4184</f>
        <v/>
      </c>
      <c r="G4184">
        <f>IF(AND(4182&gt;=16,TEXT(A4184,"yyyy-mm")&lt;&gt;TEXT(A4185,"yyyy-mm")),1,0)</f>
        <v/>
      </c>
      <c r="H4184">
        <f>IF(OR(H4183=1,G4184=1),1,0)</f>
        <v/>
      </c>
      <c r="I4184">
        <f>IF(H4183=0,1,SUMPRODUCT(J4183:N4183,B4184:F4184)+O4183*(1+0.00023125256064071564))</f>
        <v/>
      </c>
      <c r="J4184">
        <f>IF(G4184=1,0.2*R4184/B4184,J4183)</f>
        <v/>
      </c>
      <c r="K4184">
        <f>IF(G4184=1,0.2*R4184/C4184,K4183)</f>
        <v/>
      </c>
      <c r="L4184">
        <f>IF(G4184=1,0.2*R4184/D4184,L4183)</f>
        <v/>
      </c>
      <c r="M4184">
        <f>IF(G4184=1,0.2*R4184/E4184,M4183)</f>
        <v/>
      </c>
      <c r="N4184">
        <f>IF(G4184=1,0.2*R4184/F4184,N4183)</f>
        <v/>
      </c>
      <c r="O4184">
        <f>IF(G4184=1,R4184*(1-1.0),IF(H4183=0,1,O4183*(1+0.00023125256064071564)))</f>
        <v/>
      </c>
      <c r="P4184">
        <f>IF(G4184=1,IF(H4183=0,1,ABS(0.2-J4183*B4184/I4184)+ABS(0.2-K4183*C4184/I4184)+ABS(0.2-L4183*D4184/I4184)+ABS(0.2-M4183*E4184/I4184)+ABS(0.2-N4183*F4184/I4184)),0)</f>
        <v/>
      </c>
      <c r="Q4184">
        <f>P4184*0.0015</f>
        <v/>
      </c>
      <c r="R4184">
        <f>I4184*(1-Q4184)</f>
        <v/>
      </c>
      <c r="S4184">
        <f>R4184/R4183-1</f>
        <v/>
      </c>
      <c r="T4184">
        <f>MAX(T4183,R4184)</f>
        <v/>
      </c>
      <c r="U4184">
        <f>R4184/T4184-1</f>
        <v/>
      </c>
      <c r="V4184" t="n">
        <v>16.32102354158255</v>
      </c>
      <c r="W4184" s="5">
        <f>R4184-V4184</f>
        <v/>
      </c>
    </row>
    <row r="4185">
      <c r="A4185" s="3" t="n">
        <v>44602</v>
      </c>
      <c r="B4185">
        <f>Prices!B4185</f>
        <v/>
      </c>
      <c r="C4185">
        <f>Prices!C4185</f>
        <v/>
      </c>
      <c r="D4185">
        <f>Prices!D4185</f>
        <v/>
      </c>
      <c r="E4185">
        <f>Prices!E4185</f>
        <v/>
      </c>
      <c r="F4185">
        <f>Prices!F4185</f>
        <v/>
      </c>
      <c r="G4185">
        <f>IF(AND(4183&gt;=16,TEXT(A4185,"yyyy-mm")&lt;&gt;TEXT(A4186,"yyyy-mm")),1,0)</f>
        <v/>
      </c>
      <c r="H4185">
        <f>IF(OR(H4184=1,G4185=1),1,0)</f>
        <v/>
      </c>
      <c r="I4185">
        <f>IF(H4184=0,1,SUMPRODUCT(J4184:N4184,B4185:F4185)+O4184*(1+0.00023125256064071564))</f>
        <v/>
      </c>
      <c r="J4185">
        <f>IF(G4185=1,0.2*R4185/B4185,J4184)</f>
        <v/>
      </c>
      <c r="K4185">
        <f>IF(G4185=1,0.2*R4185/C4185,K4184)</f>
        <v/>
      </c>
      <c r="L4185">
        <f>IF(G4185=1,0.2*R4185/D4185,L4184)</f>
        <v/>
      </c>
      <c r="M4185">
        <f>IF(G4185=1,0.2*R4185/E4185,M4184)</f>
        <v/>
      </c>
      <c r="N4185">
        <f>IF(G4185=1,0.2*R4185/F4185,N4184)</f>
        <v/>
      </c>
      <c r="O4185">
        <f>IF(G4185=1,R4185*(1-1.0),IF(H4184=0,1,O4184*(1+0.00023125256064071564)))</f>
        <v/>
      </c>
      <c r="P4185">
        <f>IF(G4185=1,IF(H4184=0,1,ABS(0.2-J4184*B4185/I4185)+ABS(0.2-K4184*C4185/I4185)+ABS(0.2-L4184*D4185/I4185)+ABS(0.2-M4184*E4185/I4185)+ABS(0.2-N4184*F4185/I4185)),0)</f>
        <v/>
      </c>
      <c r="Q4185">
        <f>P4185*0.0015</f>
        <v/>
      </c>
      <c r="R4185">
        <f>I4185*(1-Q4185)</f>
        <v/>
      </c>
      <c r="S4185">
        <f>R4185/R4184-1</f>
        <v/>
      </c>
      <c r="T4185">
        <f>MAX(T4184,R4185)</f>
        <v/>
      </c>
      <c r="U4185">
        <f>R4185/T4185-1</f>
        <v/>
      </c>
      <c r="V4185" t="n">
        <v>16.42319269785509</v>
      </c>
      <c r="W4185" s="5">
        <f>R4185-V4185</f>
        <v/>
      </c>
    </row>
    <row r="4186">
      <c r="A4186" s="3" t="n">
        <v>44603</v>
      </c>
      <c r="B4186">
        <f>Prices!B4186</f>
        <v/>
      </c>
      <c r="C4186">
        <f>Prices!C4186</f>
        <v/>
      </c>
      <c r="D4186">
        <f>Prices!D4186</f>
        <v/>
      </c>
      <c r="E4186">
        <f>Prices!E4186</f>
        <v/>
      </c>
      <c r="F4186">
        <f>Prices!F4186</f>
        <v/>
      </c>
      <c r="G4186">
        <f>IF(AND(4184&gt;=16,TEXT(A4186,"yyyy-mm")&lt;&gt;TEXT(A4187,"yyyy-mm")),1,0)</f>
        <v/>
      </c>
      <c r="H4186">
        <f>IF(OR(H4185=1,G4186=1),1,0)</f>
        <v/>
      </c>
      <c r="I4186">
        <f>IF(H4185=0,1,SUMPRODUCT(J4185:N4185,B4186:F4186)+O4185*(1+0.00023125256064071564))</f>
        <v/>
      </c>
      <c r="J4186">
        <f>IF(G4186=1,0.2*R4186/B4186,J4185)</f>
        <v/>
      </c>
      <c r="K4186">
        <f>IF(G4186=1,0.2*R4186/C4186,K4185)</f>
        <v/>
      </c>
      <c r="L4186">
        <f>IF(G4186=1,0.2*R4186/D4186,L4185)</f>
        <v/>
      </c>
      <c r="M4186">
        <f>IF(G4186=1,0.2*R4186/E4186,M4185)</f>
        <v/>
      </c>
      <c r="N4186">
        <f>IF(G4186=1,0.2*R4186/F4186,N4185)</f>
        <v/>
      </c>
      <c r="O4186">
        <f>IF(G4186=1,R4186*(1-1.0),IF(H4185=0,1,O4185*(1+0.00023125256064071564)))</f>
        <v/>
      </c>
      <c r="P4186">
        <f>IF(G4186=1,IF(H4185=0,1,ABS(0.2-J4185*B4186/I4186)+ABS(0.2-K4185*C4186/I4186)+ABS(0.2-L4185*D4186/I4186)+ABS(0.2-M4185*E4186/I4186)+ABS(0.2-N4185*F4186/I4186)),0)</f>
        <v/>
      </c>
      <c r="Q4186">
        <f>P4186*0.0015</f>
        <v/>
      </c>
      <c r="R4186">
        <f>I4186*(1-Q4186)</f>
        <v/>
      </c>
      <c r="S4186">
        <f>R4186/R4185-1</f>
        <v/>
      </c>
      <c r="T4186">
        <f>MAX(T4185,R4186)</f>
        <v/>
      </c>
      <c r="U4186">
        <f>R4186/T4186-1</f>
        <v/>
      </c>
      <c r="V4186" t="n">
        <v>16.15651178737278</v>
      </c>
      <c r="W4186" s="5">
        <f>R4186-V4186</f>
        <v/>
      </c>
    </row>
    <row r="4187">
      <c r="A4187" s="3" t="n">
        <v>44606</v>
      </c>
      <c r="B4187">
        <f>Prices!B4187</f>
        <v/>
      </c>
      <c r="C4187">
        <f>Prices!C4187</f>
        <v/>
      </c>
      <c r="D4187">
        <f>Prices!D4187</f>
        <v/>
      </c>
      <c r="E4187">
        <f>Prices!E4187</f>
        <v/>
      </c>
      <c r="F4187">
        <f>Prices!F4187</f>
        <v/>
      </c>
      <c r="G4187">
        <f>IF(AND(4185&gt;=16,TEXT(A4187,"yyyy-mm")&lt;&gt;TEXT(A4188,"yyyy-mm")),1,0)</f>
        <v/>
      </c>
      <c r="H4187">
        <f>IF(OR(H4186=1,G4187=1),1,0)</f>
        <v/>
      </c>
      <c r="I4187">
        <f>IF(H4186=0,1,SUMPRODUCT(J4186:N4186,B4187:F4187)+O4186*(1+0.00023125256064071564))</f>
        <v/>
      </c>
      <c r="J4187">
        <f>IF(G4187=1,0.2*R4187/B4187,J4186)</f>
        <v/>
      </c>
      <c r="K4187">
        <f>IF(G4187=1,0.2*R4187/C4187,K4186)</f>
        <v/>
      </c>
      <c r="L4187">
        <f>IF(G4187=1,0.2*R4187/D4187,L4186)</f>
        <v/>
      </c>
      <c r="M4187">
        <f>IF(G4187=1,0.2*R4187/E4187,M4186)</f>
        <v/>
      </c>
      <c r="N4187">
        <f>IF(G4187=1,0.2*R4187/F4187,N4186)</f>
        <v/>
      </c>
      <c r="O4187">
        <f>IF(G4187=1,R4187*(1-1.0),IF(H4186=0,1,O4186*(1+0.00023125256064071564)))</f>
        <v/>
      </c>
      <c r="P4187">
        <f>IF(G4187=1,IF(H4186=0,1,ABS(0.2-J4186*B4187/I4187)+ABS(0.2-K4186*C4187/I4187)+ABS(0.2-L4186*D4187/I4187)+ABS(0.2-M4186*E4187/I4187)+ABS(0.2-N4186*F4187/I4187)),0)</f>
        <v/>
      </c>
      <c r="Q4187">
        <f>P4187*0.0015</f>
        <v/>
      </c>
      <c r="R4187">
        <f>I4187*(1-Q4187)</f>
        <v/>
      </c>
      <c r="S4187">
        <f>R4187/R4186-1</f>
        <v/>
      </c>
      <c r="T4187">
        <f>MAX(T4186,R4187)</f>
        <v/>
      </c>
      <c r="U4187">
        <f>R4187/T4187-1</f>
        <v/>
      </c>
      <c r="V4187" t="n">
        <v>15.56989394657152</v>
      </c>
      <c r="W4187" s="5">
        <f>R4187-V4187</f>
        <v/>
      </c>
    </row>
    <row r="4188">
      <c r="A4188" s="3" t="n">
        <v>44607</v>
      </c>
      <c r="B4188">
        <f>Prices!B4188</f>
        <v/>
      </c>
      <c r="C4188">
        <f>Prices!C4188</f>
        <v/>
      </c>
      <c r="D4188">
        <f>Prices!D4188</f>
        <v/>
      </c>
      <c r="E4188">
        <f>Prices!E4188</f>
        <v/>
      </c>
      <c r="F4188">
        <f>Prices!F4188</f>
        <v/>
      </c>
      <c r="G4188">
        <f>IF(AND(4186&gt;=16,TEXT(A4188,"yyyy-mm")&lt;&gt;TEXT(A4189,"yyyy-mm")),1,0)</f>
        <v/>
      </c>
      <c r="H4188">
        <f>IF(OR(H4187=1,G4188=1),1,0)</f>
        <v/>
      </c>
      <c r="I4188">
        <f>IF(H4187=0,1,SUMPRODUCT(J4187:N4187,B4188:F4188)+O4187*(1+0.00023125256064071564))</f>
        <v/>
      </c>
      <c r="J4188">
        <f>IF(G4188=1,0.2*R4188/B4188,J4187)</f>
        <v/>
      </c>
      <c r="K4188">
        <f>IF(G4188=1,0.2*R4188/C4188,K4187)</f>
        <v/>
      </c>
      <c r="L4188">
        <f>IF(G4188=1,0.2*R4188/D4188,L4187)</f>
        <v/>
      </c>
      <c r="M4188">
        <f>IF(G4188=1,0.2*R4188/E4188,M4187)</f>
        <v/>
      </c>
      <c r="N4188">
        <f>IF(G4188=1,0.2*R4188/F4188,N4187)</f>
        <v/>
      </c>
      <c r="O4188">
        <f>IF(G4188=1,R4188*(1-1.0),IF(H4187=0,1,O4187*(1+0.00023125256064071564)))</f>
        <v/>
      </c>
      <c r="P4188">
        <f>IF(G4188=1,IF(H4187=0,1,ABS(0.2-J4187*B4188/I4188)+ABS(0.2-K4187*C4188/I4188)+ABS(0.2-L4187*D4188/I4188)+ABS(0.2-M4187*E4188/I4188)+ABS(0.2-N4187*F4188/I4188)),0)</f>
        <v/>
      </c>
      <c r="Q4188">
        <f>P4188*0.0015</f>
        <v/>
      </c>
      <c r="R4188">
        <f>I4188*(1-Q4188)</f>
        <v/>
      </c>
      <c r="S4188">
        <f>R4188/R4187-1</f>
        <v/>
      </c>
      <c r="T4188">
        <f>MAX(T4187,R4188)</f>
        <v/>
      </c>
      <c r="U4188">
        <f>R4188/T4188-1</f>
        <v/>
      </c>
      <c r="V4188" t="n">
        <v>15.96355265805225</v>
      </c>
      <c r="W4188" s="5">
        <f>R4188-V4188</f>
        <v/>
      </c>
    </row>
    <row r="4189">
      <c r="A4189" s="3" t="n">
        <v>44608</v>
      </c>
      <c r="B4189">
        <f>Prices!B4189</f>
        <v/>
      </c>
      <c r="C4189">
        <f>Prices!C4189</f>
        <v/>
      </c>
      <c r="D4189">
        <f>Prices!D4189</f>
        <v/>
      </c>
      <c r="E4189">
        <f>Prices!E4189</f>
        <v/>
      </c>
      <c r="F4189">
        <f>Prices!F4189</f>
        <v/>
      </c>
      <c r="G4189">
        <f>IF(AND(4187&gt;=16,TEXT(A4189,"yyyy-mm")&lt;&gt;TEXT(A4190,"yyyy-mm")),1,0)</f>
        <v/>
      </c>
      <c r="H4189">
        <f>IF(OR(H4188=1,G4189=1),1,0)</f>
        <v/>
      </c>
      <c r="I4189">
        <f>IF(H4188=0,1,SUMPRODUCT(J4188:N4188,B4189:F4189)+O4188*(1+0.00023125256064071564))</f>
        <v/>
      </c>
      <c r="J4189">
        <f>IF(G4189=1,0.2*R4189/B4189,J4188)</f>
        <v/>
      </c>
      <c r="K4189">
        <f>IF(G4189=1,0.2*R4189/C4189,K4188)</f>
        <v/>
      </c>
      <c r="L4189">
        <f>IF(G4189=1,0.2*R4189/D4189,L4188)</f>
        <v/>
      </c>
      <c r="M4189">
        <f>IF(G4189=1,0.2*R4189/E4189,M4188)</f>
        <v/>
      </c>
      <c r="N4189">
        <f>IF(G4189=1,0.2*R4189/F4189,N4188)</f>
        <v/>
      </c>
      <c r="O4189">
        <f>IF(G4189=1,R4189*(1-1.0),IF(H4188=0,1,O4188*(1+0.00023125256064071564)))</f>
        <v/>
      </c>
      <c r="P4189">
        <f>IF(G4189=1,IF(H4188=0,1,ABS(0.2-J4188*B4189/I4189)+ABS(0.2-K4188*C4189/I4189)+ABS(0.2-L4188*D4189/I4189)+ABS(0.2-M4188*E4189/I4189)+ABS(0.2-N4188*F4189/I4189)),0)</f>
        <v/>
      </c>
      <c r="Q4189">
        <f>P4189*0.0015</f>
        <v/>
      </c>
      <c r="R4189">
        <f>I4189*(1-Q4189)</f>
        <v/>
      </c>
      <c r="S4189">
        <f>R4189/R4188-1</f>
        <v/>
      </c>
      <c r="T4189">
        <f>MAX(T4188,R4189)</f>
        <v/>
      </c>
      <c r="U4189">
        <f>R4189/T4189-1</f>
        <v/>
      </c>
      <c r="V4189" t="n">
        <v>15.95565141116391</v>
      </c>
      <c r="W4189" s="5">
        <f>R4189-V4189</f>
        <v/>
      </c>
    </row>
    <row r="4190">
      <c r="A4190" s="3" t="n">
        <v>44609</v>
      </c>
      <c r="B4190">
        <f>Prices!B4190</f>
        <v/>
      </c>
      <c r="C4190">
        <f>Prices!C4190</f>
        <v/>
      </c>
      <c r="D4190">
        <f>Prices!D4190</f>
        <v/>
      </c>
      <c r="E4190">
        <f>Prices!E4190</f>
        <v/>
      </c>
      <c r="F4190">
        <f>Prices!F4190</f>
        <v/>
      </c>
      <c r="G4190">
        <f>IF(AND(4188&gt;=16,TEXT(A4190,"yyyy-mm")&lt;&gt;TEXT(A4191,"yyyy-mm")),1,0)</f>
        <v/>
      </c>
      <c r="H4190">
        <f>IF(OR(H4189=1,G4190=1),1,0)</f>
        <v/>
      </c>
      <c r="I4190">
        <f>IF(H4189=0,1,SUMPRODUCT(J4189:N4189,B4190:F4190)+O4189*(1+0.00023125256064071564))</f>
        <v/>
      </c>
      <c r="J4190">
        <f>IF(G4190=1,0.2*R4190/B4190,J4189)</f>
        <v/>
      </c>
      <c r="K4190">
        <f>IF(G4190=1,0.2*R4190/C4190,K4189)</f>
        <v/>
      </c>
      <c r="L4190">
        <f>IF(G4190=1,0.2*R4190/D4190,L4189)</f>
        <v/>
      </c>
      <c r="M4190">
        <f>IF(G4190=1,0.2*R4190/E4190,M4189)</f>
        <v/>
      </c>
      <c r="N4190">
        <f>IF(G4190=1,0.2*R4190/F4190,N4189)</f>
        <v/>
      </c>
      <c r="O4190">
        <f>IF(G4190=1,R4190*(1-1.0),IF(H4189=0,1,O4189*(1+0.00023125256064071564)))</f>
        <v/>
      </c>
      <c r="P4190">
        <f>IF(G4190=1,IF(H4189=0,1,ABS(0.2-J4189*B4190/I4190)+ABS(0.2-K4189*C4190/I4190)+ABS(0.2-L4189*D4190/I4190)+ABS(0.2-M4189*E4190/I4190)+ABS(0.2-N4189*F4190/I4190)),0)</f>
        <v/>
      </c>
      <c r="Q4190">
        <f>P4190*0.0015</f>
        <v/>
      </c>
      <c r="R4190">
        <f>I4190*(1-Q4190)</f>
        <v/>
      </c>
      <c r="S4190">
        <f>R4190/R4189-1</f>
        <v/>
      </c>
      <c r="T4190">
        <f>MAX(T4189,R4190)</f>
        <v/>
      </c>
      <c r="U4190">
        <f>R4190/T4190-1</f>
        <v/>
      </c>
      <c r="V4190" t="n">
        <v>15.89427602658211</v>
      </c>
      <c r="W4190" s="5">
        <f>R4190-V4190</f>
        <v/>
      </c>
    </row>
    <row r="4191">
      <c r="A4191" s="3" t="n">
        <v>44610</v>
      </c>
      <c r="B4191">
        <f>Prices!B4191</f>
        <v/>
      </c>
      <c r="C4191">
        <f>Prices!C4191</f>
        <v/>
      </c>
      <c r="D4191">
        <f>Prices!D4191</f>
        <v/>
      </c>
      <c r="E4191">
        <f>Prices!E4191</f>
        <v/>
      </c>
      <c r="F4191">
        <f>Prices!F4191</f>
        <v/>
      </c>
      <c r="G4191">
        <f>IF(AND(4189&gt;=16,TEXT(A4191,"yyyy-mm")&lt;&gt;TEXT(A4192,"yyyy-mm")),1,0)</f>
        <v/>
      </c>
      <c r="H4191">
        <f>IF(OR(H4190=1,G4191=1),1,0)</f>
        <v/>
      </c>
      <c r="I4191">
        <f>IF(H4190=0,1,SUMPRODUCT(J4190:N4190,B4191:F4191)+O4190*(1+0.00023125256064071564))</f>
        <v/>
      </c>
      <c r="J4191">
        <f>IF(G4191=1,0.2*R4191/B4191,J4190)</f>
        <v/>
      </c>
      <c r="K4191">
        <f>IF(G4191=1,0.2*R4191/C4191,K4190)</f>
        <v/>
      </c>
      <c r="L4191">
        <f>IF(G4191=1,0.2*R4191/D4191,L4190)</f>
        <v/>
      </c>
      <c r="M4191">
        <f>IF(G4191=1,0.2*R4191/E4191,M4190)</f>
        <v/>
      </c>
      <c r="N4191">
        <f>IF(G4191=1,0.2*R4191/F4191,N4190)</f>
        <v/>
      </c>
      <c r="O4191">
        <f>IF(G4191=1,R4191*(1-1.0),IF(H4190=0,1,O4190*(1+0.00023125256064071564)))</f>
        <v/>
      </c>
      <c r="P4191">
        <f>IF(G4191=1,IF(H4190=0,1,ABS(0.2-J4190*B4191/I4191)+ABS(0.2-K4190*C4191/I4191)+ABS(0.2-L4190*D4191/I4191)+ABS(0.2-M4190*E4191/I4191)+ABS(0.2-N4190*F4191/I4191)),0)</f>
        <v/>
      </c>
      <c r="Q4191">
        <f>P4191*0.0015</f>
        <v/>
      </c>
      <c r="R4191">
        <f>I4191*(1-Q4191)</f>
        <v/>
      </c>
      <c r="S4191">
        <f>R4191/R4190-1</f>
        <v/>
      </c>
      <c r="T4191">
        <f>MAX(T4190,R4191)</f>
        <v/>
      </c>
      <c r="U4191">
        <f>R4191/T4191-1</f>
        <v/>
      </c>
      <c r="V4191" t="n">
        <v>15.79951462025579</v>
      </c>
      <c r="W4191" s="5">
        <f>R4191-V4191</f>
        <v/>
      </c>
    </row>
    <row r="4192">
      <c r="A4192" s="3" t="n">
        <v>44613</v>
      </c>
      <c r="B4192">
        <f>Prices!B4192</f>
        <v/>
      </c>
      <c r="C4192">
        <f>Prices!C4192</f>
        <v/>
      </c>
      <c r="D4192">
        <f>Prices!D4192</f>
        <v/>
      </c>
      <c r="E4192">
        <f>Prices!E4192</f>
        <v/>
      </c>
      <c r="F4192">
        <f>Prices!F4192</f>
        <v/>
      </c>
      <c r="G4192">
        <f>IF(AND(4190&gt;=16,TEXT(A4192,"yyyy-mm")&lt;&gt;TEXT(A4193,"yyyy-mm")),1,0)</f>
        <v/>
      </c>
      <c r="H4192">
        <f>IF(OR(H4191=1,G4192=1),1,0)</f>
        <v/>
      </c>
      <c r="I4192">
        <f>IF(H4191=0,1,SUMPRODUCT(J4191:N4191,B4192:F4192)+O4191*(1+0.00023125256064071564))</f>
        <v/>
      </c>
      <c r="J4192">
        <f>IF(G4192=1,0.2*R4192/B4192,J4191)</f>
        <v/>
      </c>
      <c r="K4192">
        <f>IF(G4192=1,0.2*R4192/C4192,K4191)</f>
        <v/>
      </c>
      <c r="L4192">
        <f>IF(G4192=1,0.2*R4192/D4192,L4191)</f>
        <v/>
      </c>
      <c r="M4192">
        <f>IF(G4192=1,0.2*R4192/E4192,M4191)</f>
        <v/>
      </c>
      <c r="N4192">
        <f>IF(G4192=1,0.2*R4192/F4192,N4191)</f>
        <v/>
      </c>
      <c r="O4192">
        <f>IF(G4192=1,R4192*(1-1.0),IF(H4191=0,1,O4191*(1+0.00023125256064071564)))</f>
        <v/>
      </c>
      <c r="P4192">
        <f>IF(G4192=1,IF(H4191=0,1,ABS(0.2-J4191*B4192/I4192)+ABS(0.2-K4191*C4192/I4192)+ABS(0.2-L4191*D4192/I4192)+ABS(0.2-M4191*E4192/I4192)+ABS(0.2-N4191*F4192/I4192)),0)</f>
        <v/>
      </c>
      <c r="Q4192">
        <f>P4192*0.0015</f>
        <v/>
      </c>
      <c r="R4192">
        <f>I4192*(1-Q4192)</f>
        <v/>
      </c>
      <c r="S4192">
        <f>R4192/R4191-1</f>
        <v/>
      </c>
      <c r="T4192">
        <f>MAX(T4191,R4192)</f>
        <v/>
      </c>
      <c r="U4192">
        <f>R4192/T4192-1</f>
        <v/>
      </c>
      <c r="V4192" t="n">
        <v>15.59143898220117</v>
      </c>
      <c r="W4192" s="5">
        <f>R4192-V4192</f>
        <v/>
      </c>
    </row>
    <row r="4193">
      <c r="A4193" s="3" t="n">
        <v>44614</v>
      </c>
      <c r="B4193">
        <f>Prices!B4193</f>
        <v/>
      </c>
      <c r="C4193">
        <f>Prices!C4193</f>
        <v/>
      </c>
      <c r="D4193">
        <f>Prices!D4193</f>
        <v/>
      </c>
      <c r="E4193">
        <f>Prices!E4193</f>
        <v/>
      </c>
      <c r="F4193">
        <f>Prices!F4193</f>
        <v/>
      </c>
      <c r="G4193">
        <f>IF(AND(4191&gt;=16,TEXT(A4193,"yyyy-mm")&lt;&gt;TEXT(A4194,"yyyy-mm")),1,0)</f>
        <v/>
      </c>
      <c r="H4193">
        <f>IF(OR(H4192=1,G4193=1),1,0)</f>
        <v/>
      </c>
      <c r="I4193">
        <f>IF(H4192=0,1,SUMPRODUCT(J4192:N4192,B4193:F4193)+O4192*(1+0.00023125256064071564))</f>
        <v/>
      </c>
      <c r="J4193">
        <f>IF(G4193=1,0.2*R4193/B4193,J4192)</f>
        <v/>
      </c>
      <c r="K4193">
        <f>IF(G4193=1,0.2*R4193/C4193,K4192)</f>
        <v/>
      </c>
      <c r="L4193">
        <f>IF(G4193=1,0.2*R4193/D4193,L4192)</f>
        <v/>
      </c>
      <c r="M4193">
        <f>IF(G4193=1,0.2*R4193/E4193,M4192)</f>
        <v/>
      </c>
      <c r="N4193">
        <f>IF(G4193=1,0.2*R4193/F4193,N4192)</f>
        <v/>
      </c>
      <c r="O4193">
        <f>IF(G4193=1,R4193*(1-1.0),IF(H4192=0,1,O4192*(1+0.00023125256064071564)))</f>
        <v/>
      </c>
      <c r="P4193">
        <f>IF(G4193=1,IF(H4192=0,1,ABS(0.2-J4192*B4193/I4193)+ABS(0.2-K4192*C4193/I4193)+ABS(0.2-L4192*D4193/I4193)+ABS(0.2-M4192*E4193/I4193)+ABS(0.2-N4192*F4193/I4193)),0)</f>
        <v/>
      </c>
      <c r="Q4193">
        <f>P4193*0.0015</f>
        <v/>
      </c>
      <c r="R4193">
        <f>I4193*(1-Q4193)</f>
        <v/>
      </c>
      <c r="S4193">
        <f>R4193/R4192-1</f>
        <v/>
      </c>
      <c r="T4193">
        <f>MAX(T4192,R4193)</f>
        <v/>
      </c>
      <c r="U4193">
        <f>R4193/T4193-1</f>
        <v/>
      </c>
      <c r="V4193" t="n">
        <v>15.49080886675274</v>
      </c>
      <c r="W4193" s="5">
        <f>R4193-V4193</f>
        <v/>
      </c>
    </row>
    <row r="4194">
      <c r="A4194" s="3" t="n">
        <v>44615</v>
      </c>
      <c r="B4194">
        <f>Prices!B4194</f>
        <v/>
      </c>
      <c r="C4194">
        <f>Prices!C4194</f>
        <v/>
      </c>
      <c r="D4194">
        <f>Prices!D4194</f>
        <v/>
      </c>
      <c r="E4194">
        <f>Prices!E4194</f>
        <v/>
      </c>
      <c r="F4194">
        <f>Prices!F4194</f>
        <v/>
      </c>
      <c r="G4194">
        <f>IF(AND(4192&gt;=16,TEXT(A4194,"yyyy-mm")&lt;&gt;TEXT(A4195,"yyyy-mm")),1,0)</f>
        <v/>
      </c>
      <c r="H4194">
        <f>IF(OR(H4193=1,G4194=1),1,0)</f>
        <v/>
      </c>
      <c r="I4194">
        <f>IF(H4193=0,1,SUMPRODUCT(J4193:N4193,B4194:F4194)+O4193*(1+0.00023125256064071564))</f>
        <v/>
      </c>
      <c r="J4194">
        <f>IF(G4194=1,0.2*R4194/B4194,J4193)</f>
        <v/>
      </c>
      <c r="K4194">
        <f>IF(G4194=1,0.2*R4194/C4194,K4193)</f>
        <v/>
      </c>
      <c r="L4194">
        <f>IF(G4194=1,0.2*R4194/D4194,L4193)</f>
        <v/>
      </c>
      <c r="M4194">
        <f>IF(G4194=1,0.2*R4194/E4194,M4193)</f>
        <v/>
      </c>
      <c r="N4194">
        <f>IF(G4194=1,0.2*R4194/F4194,N4193)</f>
        <v/>
      </c>
      <c r="O4194">
        <f>IF(G4194=1,R4194*(1-1.0),IF(H4193=0,1,O4193*(1+0.00023125256064071564)))</f>
        <v/>
      </c>
      <c r="P4194">
        <f>IF(G4194=1,IF(H4193=0,1,ABS(0.2-J4193*B4194/I4194)+ABS(0.2-K4193*C4194/I4194)+ABS(0.2-L4193*D4194/I4194)+ABS(0.2-M4193*E4194/I4194)+ABS(0.2-N4193*F4194/I4194)),0)</f>
        <v/>
      </c>
      <c r="Q4194">
        <f>P4194*0.0015</f>
        <v/>
      </c>
      <c r="R4194">
        <f>I4194*(1-Q4194)</f>
        <v/>
      </c>
      <c r="S4194">
        <f>R4194/R4193-1</f>
        <v/>
      </c>
      <c r="T4194">
        <f>MAX(T4193,R4194)</f>
        <v/>
      </c>
      <c r="U4194">
        <f>R4194/T4194-1</f>
        <v/>
      </c>
      <c r="V4194" t="n">
        <v>15.54901919235658</v>
      </c>
      <c r="W4194" s="5">
        <f>R4194-V4194</f>
        <v/>
      </c>
    </row>
    <row r="4195">
      <c r="A4195" s="3" t="n">
        <v>44616</v>
      </c>
      <c r="B4195">
        <f>Prices!B4195</f>
        <v/>
      </c>
      <c r="C4195">
        <f>Prices!C4195</f>
        <v/>
      </c>
      <c r="D4195">
        <f>Prices!D4195</f>
        <v/>
      </c>
      <c r="E4195">
        <f>Prices!E4195</f>
        <v/>
      </c>
      <c r="F4195">
        <f>Prices!F4195</f>
        <v/>
      </c>
      <c r="G4195">
        <f>IF(AND(4193&gt;=16,TEXT(A4195,"yyyy-mm")&lt;&gt;TEXT(A4196,"yyyy-mm")),1,0)</f>
        <v/>
      </c>
      <c r="H4195">
        <f>IF(OR(H4194=1,G4195=1),1,0)</f>
        <v/>
      </c>
      <c r="I4195">
        <f>IF(H4194=0,1,SUMPRODUCT(J4194:N4194,B4195:F4195)+O4194*(1+0.00023125256064071564))</f>
        <v/>
      </c>
      <c r="J4195">
        <f>IF(G4195=1,0.2*R4195/B4195,J4194)</f>
        <v/>
      </c>
      <c r="K4195">
        <f>IF(G4195=1,0.2*R4195/C4195,K4194)</f>
        <v/>
      </c>
      <c r="L4195">
        <f>IF(G4195=1,0.2*R4195/D4195,L4194)</f>
        <v/>
      </c>
      <c r="M4195">
        <f>IF(G4195=1,0.2*R4195/E4195,M4194)</f>
        <v/>
      </c>
      <c r="N4195">
        <f>IF(G4195=1,0.2*R4195/F4195,N4194)</f>
        <v/>
      </c>
      <c r="O4195">
        <f>IF(G4195=1,R4195*(1-1.0),IF(H4194=0,1,O4194*(1+0.00023125256064071564)))</f>
        <v/>
      </c>
      <c r="P4195">
        <f>IF(G4195=1,IF(H4194=0,1,ABS(0.2-J4194*B4195/I4195)+ABS(0.2-K4194*C4195/I4195)+ABS(0.2-L4194*D4195/I4195)+ABS(0.2-M4194*E4195/I4195)+ABS(0.2-N4194*F4195/I4195)),0)</f>
        <v/>
      </c>
      <c r="Q4195">
        <f>P4195*0.0015</f>
        <v/>
      </c>
      <c r="R4195">
        <f>I4195*(1-Q4195)</f>
        <v/>
      </c>
      <c r="S4195">
        <f>R4195/R4194-1</f>
        <v/>
      </c>
      <c r="T4195">
        <f>MAX(T4194,R4195)</f>
        <v/>
      </c>
      <c r="U4195">
        <f>R4195/T4195-1</f>
        <v/>
      </c>
      <c r="V4195" t="n">
        <v>14.69321963700791</v>
      </c>
      <c r="W4195" s="5">
        <f>R4195-V4195</f>
        <v/>
      </c>
    </row>
    <row r="4196">
      <c r="A4196" s="3" t="n">
        <v>44617</v>
      </c>
      <c r="B4196">
        <f>Prices!B4196</f>
        <v/>
      </c>
      <c r="C4196">
        <f>Prices!C4196</f>
        <v/>
      </c>
      <c r="D4196">
        <f>Prices!D4196</f>
        <v/>
      </c>
      <c r="E4196">
        <f>Prices!E4196</f>
        <v/>
      </c>
      <c r="F4196">
        <f>Prices!F4196</f>
        <v/>
      </c>
      <c r="G4196">
        <f>IF(AND(4194&gt;=16,TEXT(A4196,"yyyy-mm")&lt;&gt;TEXT(A4197,"yyyy-mm")),1,0)</f>
        <v/>
      </c>
      <c r="H4196">
        <f>IF(OR(H4195=1,G4196=1),1,0)</f>
        <v/>
      </c>
      <c r="I4196">
        <f>IF(H4195=0,1,SUMPRODUCT(J4195:N4195,B4196:F4196)+O4195*(1+0.00023125256064071564))</f>
        <v/>
      </c>
      <c r="J4196">
        <f>IF(G4196=1,0.2*R4196/B4196,J4195)</f>
        <v/>
      </c>
      <c r="K4196">
        <f>IF(G4196=1,0.2*R4196/C4196,K4195)</f>
        <v/>
      </c>
      <c r="L4196">
        <f>IF(G4196=1,0.2*R4196/D4196,L4195)</f>
        <v/>
      </c>
      <c r="M4196">
        <f>IF(G4196=1,0.2*R4196/E4196,M4195)</f>
        <v/>
      </c>
      <c r="N4196">
        <f>IF(G4196=1,0.2*R4196/F4196,N4195)</f>
        <v/>
      </c>
      <c r="O4196">
        <f>IF(G4196=1,R4196*(1-1.0),IF(H4195=0,1,O4195*(1+0.00023125256064071564)))</f>
        <v/>
      </c>
      <c r="P4196">
        <f>IF(G4196=1,IF(H4195=0,1,ABS(0.2-J4195*B4196/I4196)+ABS(0.2-K4195*C4196/I4196)+ABS(0.2-L4195*D4196/I4196)+ABS(0.2-M4195*E4196/I4196)+ABS(0.2-N4195*F4196/I4196)),0)</f>
        <v/>
      </c>
      <c r="Q4196">
        <f>P4196*0.0015</f>
        <v/>
      </c>
      <c r="R4196">
        <f>I4196*(1-Q4196)</f>
        <v/>
      </c>
      <c r="S4196">
        <f>R4196/R4195-1</f>
        <v/>
      </c>
      <c r="T4196">
        <f>MAX(T4195,R4196)</f>
        <v/>
      </c>
      <c r="U4196">
        <f>R4196/T4196-1</f>
        <v/>
      </c>
      <c r="V4196" t="n">
        <v>15.25940271118677</v>
      </c>
      <c r="W4196" s="5">
        <f>R4196-V4196</f>
        <v/>
      </c>
    </row>
    <row r="4197">
      <c r="A4197" s="3" t="n">
        <v>44620</v>
      </c>
      <c r="B4197">
        <f>Prices!B4197</f>
        <v/>
      </c>
      <c r="C4197">
        <f>Prices!C4197</f>
        <v/>
      </c>
      <c r="D4197">
        <f>Prices!D4197</f>
        <v/>
      </c>
      <c r="E4197">
        <f>Prices!E4197</f>
        <v/>
      </c>
      <c r="F4197">
        <f>Prices!F4197</f>
        <v/>
      </c>
      <c r="G4197">
        <f>IF(AND(4195&gt;=16,TEXT(A4197,"yyyy-mm")&lt;&gt;TEXT(A4198,"yyyy-mm")),1,0)</f>
        <v/>
      </c>
      <c r="H4197">
        <f>IF(OR(H4196=1,G4197=1),1,0)</f>
        <v/>
      </c>
      <c r="I4197">
        <f>IF(H4196=0,1,SUMPRODUCT(J4196:N4196,B4197:F4197)+O4196*(1+0.00023125256064071564))</f>
        <v/>
      </c>
      <c r="J4197">
        <f>IF(G4197=1,0.2*R4197/B4197,J4196)</f>
        <v/>
      </c>
      <c r="K4197">
        <f>IF(G4197=1,0.2*R4197/C4197,K4196)</f>
        <v/>
      </c>
      <c r="L4197">
        <f>IF(G4197=1,0.2*R4197/D4197,L4196)</f>
        <v/>
      </c>
      <c r="M4197">
        <f>IF(G4197=1,0.2*R4197/E4197,M4196)</f>
        <v/>
      </c>
      <c r="N4197">
        <f>IF(G4197=1,0.2*R4197/F4197,N4196)</f>
        <v/>
      </c>
      <c r="O4197">
        <f>IF(G4197=1,R4197*(1-1.0),IF(H4196=0,1,O4196*(1+0.00023125256064071564)))</f>
        <v/>
      </c>
      <c r="P4197">
        <f>IF(G4197=1,IF(H4196=0,1,ABS(0.2-J4196*B4197/I4197)+ABS(0.2-K4196*C4197/I4197)+ABS(0.2-L4196*D4197/I4197)+ABS(0.2-M4196*E4197/I4197)+ABS(0.2-N4196*F4197/I4197)),0)</f>
        <v/>
      </c>
      <c r="Q4197">
        <f>P4197*0.0015</f>
        <v/>
      </c>
      <c r="R4197">
        <f>I4197*(1-Q4197)</f>
        <v/>
      </c>
      <c r="S4197">
        <f>R4197/R4196-1</f>
        <v/>
      </c>
      <c r="T4197">
        <f>MAX(T4196,R4197)</f>
        <v/>
      </c>
      <c r="U4197">
        <f>R4197/T4197-1</f>
        <v/>
      </c>
      <c r="V4197" t="n">
        <v>15.48687026559501</v>
      </c>
      <c r="W4197" s="5">
        <f>R4197-V4197</f>
        <v/>
      </c>
    </row>
    <row r="4198">
      <c r="A4198" s="3" t="n">
        <v>44622</v>
      </c>
      <c r="B4198">
        <f>Prices!B4198</f>
        <v/>
      </c>
      <c r="C4198">
        <f>Prices!C4198</f>
        <v/>
      </c>
      <c r="D4198">
        <f>Prices!D4198</f>
        <v/>
      </c>
      <c r="E4198">
        <f>Prices!E4198</f>
        <v/>
      </c>
      <c r="F4198">
        <f>Prices!F4198</f>
        <v/>
      </c>
      <c r="G4198">
        <f>IF(AND(4196&gt;=16,TEXT(A4198,"yyyy-mm")&lt;&gt;TEXT(A4199,"yyyy-mm")),1,0)</f>
        <v/>
      </c>
      <c r="H4198">
        <f>IF(OR(H4197=1,G4198=1),1,0)</f>
        <v/>
      </c>
      <c r="I4198">
        <f>IF(H4197=0,1,SUMPRODUCT(J4197:N4197,B4198:F4198)+O4197*(1+0.00023125256064071564))</f>
        <v/>
      </c>
      <c r="J4198">
        <f>IF(G4198=1,0.2*R4198/B4198,J4197)</f>
        <v/>
      </c>
      <c r="K4198">
        <f>IF(G4198=1,0.2*R4198/C4198,K4197)</f>
        <v/>
      </c>
      <c r="L4198">
        <f>IF(G4198=1,0.2*R4198/D4198,L4197)</f>
        <v/>
      </c>
      <c r="M4198">
        <f>IF(G4198=1,0.2*R4198/E4198,M4197)</f>
        <v/>
      </c>
      <c r="N4198">
        <f>IF(G4198=1,0.2*R4198/F4198,N4197)</f>
        <v/>
      </c>
      <c r="O4198">
        <f>IF(G4198=1,R4198*(1-1.0),IF(H4197=0,1,O4197*(1+0.00023125256064071564)))</f>
        <v/>
      </c>
      <c r="P4198">
        <f>IF(G4198=1,IF(H4197=0,1,ABS(0.2-J4197*B4198/I4198)+ABS(0.2-K4197*C4198/I4198)+ABS(0.2-L4197*D4198/I4198)+ABS(0.2-M4197*E4198/I4198)+ABS(0.2-N4197*F4198/I4198)),0)</f>
        <v/>
      </c>
      <c r="Q4198">
        <f>P4198*0.0015</f>
        <v/>
      </c>
      <c r="R4198">
        <f>I4198*(1-Q4198)</f>
        <v/>
      </c>
      <c r="S4198">
        <f>R4198/R4197-1</f>
        <v/>
      </c>
      <c r="T4198">
        <f>MAX(T4197,R4198)</f>
        <v/>
      </c>
      <c r="U4198">
        <f>R4198/T4198-1</f>
        <v/>
      </c>
      <c r="V4198" t="n">
        <v>15.51839450513229</v>
      </c>
      <c r="W4198" s="5">
        <f>R4198-V4198</f>
        <v/>
      </c>
    </row>
    <row r="4199">
      <c r="A4199" s="3" t="n">
        <v>44623</v>
      </c>
      <c r="B4199">
        <f>Prices!B4199</f>
        <v/>
      </c>
      <c r="C4199">
        <f>Prices!C4199</f>
        <v/>
      </c>
      <c r="D4199">
        <f>Prices!D4199</f>
        <v/>
      </c>
      <c r="E4199">
        <f>Prices!E4199</f>
        <v/>
      </c>
      <c r="F4199">
        <f>Prices!F4199</f>
        <v/>
      </c>
      <c r="G4199">
        <f>IF(AND(4197&gt;=16,TEXT(A4199,"yyyy-mm")&lt;&gt;TEXT(A4200,"yyyy-mm")),1,0)</f>
        <v/>
      </c>
      <c r="H4199">
        <f>IF(OR(H4198=1,G4199=1),1,0)</f>
        <v/>
      </c>
      <c r="I4199">
        <f>IF(H4198=0,1,SUMPRODUCT(J4198:N4198,B4199:F4199)+O4198*(1+0.00023125256064071564))</f>
        <v/>
      </c>
      <c r="J4199">
        <f>IF(G4199=1,0.2*R4199/B4199,J4198)</f>
        <v/>
      </c>
      <c r="K4199">
        <f>IF(G4199=1,0.2*R4199/C4199,K4198)</f>
        <v/>
      </c>
      <c r="L4199">
        <f>IF(G4199=1,0.2*R4199/D4199,L4198)</f>
        <v/>
      </c>
      <c r="M4199">
        <f>IF(G4199=1,0.2*R4199/E4199,M4198)</f>
        <v/>
      </c>
      <c r="N4199">
        <f>IF(G4199=1,0.2*R4199/F4199,N4198)</f>
        <v/>
      </c>
      <c r="O4199">
        <f>IF(G4199=1,R4199*(1-1.0),IF(H4198=0,1,O4198*(1+0.00023125256064071564)))</f>
        <v/>
      </c>
      <c r="P4199">
        <f>IF(G4199=1,IF(H4198=0,1,ABS(0.2-J4198*B4199/I4199)+ABS(0.2-K4198*C4199/I4199)+ABS(0.2-L4198*D4199/I4199)+ABS(0.2-M4198*E4199/I4199)+ABS(0.2-N4198*F4199/I4199)),0)</f>
        <v/>
      </c>
      <c r="Q4199">
        <f>P4199*0.0015</f>
        <v/>
      </c>
      <c r="R4199">
        <f>I4199*(1-Q4199)</f>
        <v/>
      </c>
      <c r="S4199">
        <f>R4199/R4198-1</f>
        <v/>
      </c>
      <c r="T4199">
        <f>MAX(T4198,R4199)</f>
        <v/>
      </c>
      <c r="U4199">
        <f>R4199/T4199-1</f>
        <v/>
      </c>
      <c r="V4199" t="n">
        <v>15.58305065054041</v>
      </c>
      <c r="W4199" s="5">
        <f>R4199-V4199</f>
        <v/>
      </c>
    </row>
    <row r="4200">
      <c r="A4200" s="3" t="n">
        <v>44624</v>
      </c>
      <c r="B4200">
        <f>Prices!B4200</f>
        <v/>
      </c>
      <c r="C4200">
        <f>Prices!C4200</f>
        <v/>
      </c>
      <c r="D4200">
        <f>Prices!D4200</f>
        <v/>
      </c>
      <c r="E4200">
        <f>Prices!E4200</f>
        <v/>
      </c>
      <c r="F4200">
        <f>Prices!F4200</f>
        <v/>
      </c>
      <c r="G4200">
        <f>IF(AND(4198&gt;=16,TEXT(A4200,"yyyy-mm")&lt;&gt;TEXT(A4201,"yyyy-mm")),1,0)</f>
        <v/>
      </c>
      <c r="H4200">
        <f>IF(OR(H4199=1,G4200=1),1,0)</f>
        <v/>
      </c>
      <c r="I4200">
        <f>IF(H4199=0,1,SUMPRODUCT(J4199:N4199,B4200:F4200)+O4199*(1+0.00023125256064071564))</f>
        <v/>
      </c>
      <c r="J4200">
        <f>IF(G4200=1,0.2*R4200/B4200,J4199)</f>
        <v/>
      </c>
      <c r="K4200">
        <f>IF(G4200=1,0.2*R4200/C4200,K4199)</f>
        <v/>
      </c>
      <c r="L4200">
        <f>IF(G4200=1,0.2*R4200/D4200,L4199)</f>
        <v/>
      </c>
      <c r="M4200">
        <f>IF(G4200=1,0.2*R4200/E4200,M4199)</f>
        <v/>
      </c>
      <c r="N4200">
        <f>IF(G4200=1,0.2*R4200/F4200,N4199)</f>
        <v/>
      </c>
      <c r="O4200">
        <f>IF(G4200=1,R4200*(1-1.0),IF(H4199=0,1,O4199*(1+0.00023125256064071564)))</f>
        <v/>
      </c>
      <c r="P4200">
        <f>IF(G4200=1,IF(H4199=0,1,ABS(0.2-J4199*B4200/I4200)+ABS(0.2-K4199*C4200/I4200)+ABS(0.2-L4199*D4200/I4200)+ABS(0.2-M4199*E4200/I4200)+ABS(0.2-N4199*F4200/I4200)),0)</f>
        <v/>
      </c>
      <c r="Q4200">
        <f>P4200*0.0015</f>
        <v/>
      </c>
      <c r="R4200">
        <f>I4200*(1-Q4200)</f>
        <v/>
      </c>
      <c r="S4200">
        <f>R4200/R4199-1</f>
        <v/>
      </c>
      <c r="T4200">
        <f>MAX(T4199,R4200)</f>
        <v/>
      </c>
      <c r="U4200">
        <f>R4200/T4200-1</f>
        <v/>
      </c>
      <c r="V4200" t="n">
        <v>15.34463354241685</v>
      </c>
      <c r="W4200" s="5">
        <f>R4200-V4200</f>
        <v/>
      </c>
    </row>
    <row r="4201">
      <c r="A4201" s="3" t="n">
        <v>44627</v>
      </c>
      <c r="B4201">
        <f>Prices!B4201</f>
        <v/>
      </c>
      <c r="C4201">
        <f>Prices!C4201</f>
        <v/>
      </c>
      <c r="D4201">
        <f>Prices!D4201</f>
        <v/>
      </c>
      <c r="E4201">
        <f>Prices!E4201</f>
        <v/>
      </c>
      <c r="F4201">
        <f>Prices!F4201</f>
        <v/>
      </c>
      <c r="G4201">
        <f>IF(AND(4199&gt;=16,TEXT(A4201,"yyyy-mm")&lt;&gt;TEXT(A4202,"yyyy-mm")),1,0)</f>
        <v/>
      </c>
      <c r="H4201">
        <f>IF(OR(H4200=1,G4201=1),1,0)</f>
        <v/>
      </c>
      <c r="I4201">
        <f>IF(H4200=0,1,SUMPRODUCT(J4200:N4200,B4201:F4201)+O4200*(1+0.00023125256064071564))</f>
        <v/>
      </c>
      <c r="J4201">
        <f>IF(G4201=1,0.2*R4201/B4201,J4200)</f>
        <v/>
      </c>
      <c r="K4201">
        <f>IF(G4201=1,0.2*R4201/C4201,K4200)</f>
        <v/>
      </c>
      <c r="L4201">
        <f>IF(G4201=1,0.2*R4201/D4201,L4200)</f>
        <v/>
      </c>
      <c r="M4201">
        <f>IF(G4201=1,0.2*R4201/E4201,M4200)</f>
        <v/>
      </c>
      <c r="N4201">
        <f>IF(G4201=1,0.2*R4201/F4201,N4200)</f>
        <v/>
      </c>
      <c r="O4201">
        <f>IF(G4201=1,R4201*(1-1.0),IF(H4200=0,1,O4200*(1+0.00023125256064071564)))</f>
        <v/>
      </c>
      <c r="P4201">
        <f>IF(G4201=1,IF(H4200=0,1,ABS(0.2-J4200*B4201/I4201)+ABS(0.2-K4200*C4201/I4201)+ABS(0.2-L4200*D4201/I4201)+ABS(0.2-M4200*E4201/I4201)+ABS(0.2-N4200*F4201/I4201)),0)</f>
        <v/>
      </c>
      <c r="Q4201">
        <f>P4201*0.0015</f>
        <v/>
      </c>
      <c r="R4201">
        <f>I4201*(1-Q4201)</f>
        <v/>
      </c>
      <c r="S4201">
        <f>R4201/R4200-1</f>
        <v/>
      </c>
      <c r="T4201">
        <f>MAX(T4200,R4201)</f>
        <v/>
      </c>
      <c r="U4201">
        <f>R4201/T4201-1</f>
        <v/>
      </c>
      <c r="V4201" t="n">
        <v>15.1160768603994</v>
      </c>
      <c r="W4201" s="5">
        <f>R4201-V4201</f>
        <v/>
      </c>
    </row>
    <row r="4202">
      <c r="A4202" s="3" t="n">
        <v>44628</v>
      </c>
      <c r="B4202">
        <f>Prices!B4202</f>
        <v/>
      </c>
      <c r="C4202">
        <f>Prices!C4202</f>
        <v/>
      </c>
      <c r="D4202">
        <f>Prices!D4202</f>
        <v/>
      </c>
      <c r="E4202">
        <f>Prices!E4202</f>
        <v/>
      </c>
      <c r="F4202">
        <f>Prices!F4202</f>
        <v/>
      </c>
      <c r="G4202">
        <f>IF(AND(4200&gt;=16,TEXT(A4202,"yyyy-mm")&lt;&gt;TEXT(A4203,"yyyy-mm")),1,0)</f>
        <v/>
      </c>
      <c r="H4202">
        <f>IF(OR(H4201=1,G4202=1),1,0)</f>
        <v/>
      </c>
      <c r="I4202">
        <f>IF(H4201=0,1,SUMPRODUCT(J4201:N4201,B4202:F4202)+O4201*(1+0.00023125256064071564))</f>
        <v/>
      </c>
      <c r="J4202">
        <f>IF(G4202=1,0.2*R4202/B4202,J4201)</f>
        <v/>
      </c>
      <c r="K4202">
        <f>IF(G4202=1,0.2*R4202/C4202,K4201)</f>
        <v/>
      </c>
      <c r="L4202">
        <f>IF(G4202=1,0.2*R4202/D4202,L4201)</f>
        <v/>
      </c>
      <c r="M4202">
        <f>IF(G4202=1,0.2*R4202/E4202,M4201)</f>
        <v/>
      </c>
      <c r="N4202">
        <f>IF(G4202=1,0.2*R4202/F4202,N4201)</f>
        <v/>
      </c>
      <c r="O4202">
        <f>IF(G4202=1,R4202*(1-1.0),IF(H4201=0,1,O4201*(1+0.00023125256064071564)))</f>
        <v/>
      </c>
      <c r="P4202">
        <f>IF(G4202=1,IF(H4201=0,1,ABS(0.2-J4201*B4202/I4202)+ABS(0.2-K4201*C4202/I4202)+ABS(0.2-L4201*D4202/I4202)+ABS(0.2-M4201*E4202/I4202)+ABS(0.2-N4201*F4202/I4202)),0)</f>
        <v/>
      </c>
      <c r="Q4202">
        <f>P4202*0.0015</f>
        <v/>
      </c>
      <c r="R4202">
        <f>I4202*(1-Q4202)</f>
        <v/>
      </c>
      <c r="S4202">
        <f>R4202/R4201-1</f>
        <v/>
      </c>
      <c r="T4202">
        <f>MAX(T4201,R4202)</f>
        <v/>
      </c>
      <c r="U4202">
        <f>R4202/T4202-1</f>
        <v/>
      </c>
      <c r="V4202" t="n">
        <v>15.31636121463333</v>
      </c>
      <c r="W4202" s="5">
        <f>R4202-V4202</f>
        <v/>
      </c>
    </row>
    <row r="4203">
      <c r="A4203" s="3" t="n">
        <v>44629</v>
      </c>
      <c r="B4203">
        <f>Prices!B4203</f>
        <v/>
      </c>
      <c r="C4203">
        <f>Prices!C4203</f>
        <v/>
      </c>
      <c r="D4203">
        <f>Prices!D4203</f>
        <v/>
      </c>
      <c r="E4203">
        <f>Prices!E4203</f>
        <v/>
      </c>
      <c r="F4203">
        <f>Prices!F4203</f>
        <v/>
      </c>
      <c r="G4203">
        <f>IF(AND(4201&gt;=16,TEXT(A4203,"yyyy-mm")&lt;&gt;TEXT(A4204,"yyyy-mm")),1,0)</f>
        <v/>
      </c>
      <c r="H4203">
        <f>IF(OR(H4202=1,G4203=1),1,0)</f>
        <v/>
      </c>
      <c r="I4203">
        <f>IF(H4202=0,1,SUMPRODUCT(J4202:N4202,B4203:F4203)+O4202*(1+0.00023125256064071564))</f>
        <v/>
      </c>
      <c r="J4203">
        <f>IF(G4203=1,0.2*R4203/B4203,J4202)</f>
        <v/>
      </c>
      <c r="K4203">
        <f>IF(G4203=1,0.2*R4203/C4203,K4202)</f>
        <v/>
      </c>
      <c r="L4203">
        <f>IF(G4203=1,0.2*R4203/D4203,L4202)</f>
        <v/>
      </c>
      <c r="M4203">
        <f>IF(G4203=1,0.2*R4203/E4203,M4202)</f>
        <v/>
      </c>
      <c r="N4203">
        <f>IF(G4203=1,0.2*R4203/F4203,N4202)</f>
        <v/>
      </c>
      <c r="O4203">
        <f>IF(G4203=1,R4203*(1-1.0),IF(H4202=0,1,O4202*(1+0.00023125256064071564)))</f>
        <v/>
      </c>
      <c r="P4203">
        <f>IF(G4203=1,IF(H4202=0,1,ABS(0.2-J4202*B4203/I4203)+ABS(0.2-K4202*C4203/I4203)+ABS(0.2-L4202*D4203/I4203)+ABS(0.2-M4202*E4203/I4203)+ABS(0.2-N4202*F4203/I4203)),0)</f>
        <v/>
      </c>
      <c r="Q4203">
        <f>P4203*0.0015</f>
        <v/>
      </c>
      <c r="R4203">
        <f>I4203*(1-Q4203)</f>
        <v/>
      </c>
      <c r="S4203">
        <f>R4203/R4202-1</f>
        <v/>
      </c>
      <c r="T4203">
        <f>MAX(T4202,R4203)</f>
        <v/>
      </c>
      <c r="U4203">
        <f>R4203/T4203-1</f>
        <v/>
      </c>
      <c r="V4203" t="n">
        <v>15.51783395335471</v>
      </c>
      <c r="W4203" s="5">
        <f>R4203-V4203</f>
        <v/>
      </c>
    </row>
    <row r="4204">
      <c r="A4204" s="3" t="n">
        <v>44630</v>
      </c>
      <c r="B4204">
        <f>Prices!B4204</f>
        <v/>
      </c>
      <c r="C4204">
        <f>Prices!C4204</f>
        <v/>
      </c>
      <c r="D4204">
        <f>Prices!D4204</f>
        <v/>
      </c>
      <c r="E4204">
        <f>Prices!E4204</f>
        <v/>
      </c>
      <c r="F4204">
        <f>Prices!F4204</f>
        <v/>
      </c>
      <c r="G4204">
        <f>IF(AND(4202&gt;=16,TEXT(A4204,"yyyy-mm")&lt;&gt;TEXT(A4205,"yyyy-mm")),1,0)</f>
        <v/>
      </c>
      <c r="H4204">
        <f>IF(OR(H4203=1,G4204=1),1,0)</f>
        <v/>
      </c>
      <c r="I4204">
        <f>IF(H4203=0,1,SUMPRODUCT(J4203:N4203,B4204:F4204)+O4203*(1+0.00023125256064071564))</f>
        <v/>
      </c>
      <c r="J4204">
        <f>IF(G4204=1,0.2*R4204/B4204,J4203)</f>
        <v/>
      </c>
      <c r="K4204">
        <f>IF(G4204=1,0.2*R4204/C4204,K4203)</f>
        <v/>
      </c>
      <c r="L4204">
        <f>IF(G4204=1,0.2*R4204/D4204,L4203)</f>
        <v/>
      </c>
      <c r="M4204">
        <f>IF(G4204=1,0.2*R4204/E4204,M4203)</f>
        <v/>
      </c>
      <c r="N4204">
        <f>IF(G4204=1,0.2*R4204/F4204,N4203)</f>
        <v/>
      </c>
      <c r="O4204">
        <f>IF(G4204=1,R4204*(1-1.0),IF(H4203=0,1,O4203*(1+0.00023125256064071564)))</f>
        <v/>
      </c>
      <c r="P4204">
        <f>IF(G4204=1,IF(H4203=0,1,ABS(0.2-J4203*B4204/I4204)+ABS(0.2-K4203*C4204/I4204)+ABS(0.2-L4203*D4204/I4204)+ABS(0.2-M4203*E4204/I4204)+ABS(0.2-N4203*F4204/I4204)),0)</f>
        <v/>
      </c>
      <c r="Q4204">
        <f>P4204*0.0015</f>
        <v/>
      </c>
      <c r="R4204">
        <f>I4204*(1-Q4204)</f>
        <v/>
      </c>
      <c r="S4204">
        <f>R4204/R4203-1</f>
        <v/>
      </c>
      <c r="T4204">
        <f>MAX(T4203,R4204)</f>
        <v/>
      </c>
      <c r="U4204">
        <f>R4204/T4204-1</f>
        <v/>
      </c>
      <c r="V4204" t="n">
        <v>15.7166567403164</v>
      </c>
      <c r="W4204" s="5">
        <f>R4204-V4204</f>
        <v/>
      </c>
    </row>
    <row r="4205">
      <c r="A4205" s="3" t="n">
        <v>44631</v>
      </c>
      <c r="B4205">
        <f>Prices!B4205</f>
        <v/>
      </c>
      <c r="C4205">
        <f>Prices!C4205</f>
        <v/>
      </c>
      <c r="D4205">
        <f>Prices!D4205</f>
        <v/>
      </c>
      <c r="E4205">
        <f>Prices!E4205</f>
        <v/>
      </c>
      <c r="F4205">
        <f>Prices!F4205</f>
        <v/>
      </c>
      <c r="G4205">
        <f>IF(AND(4203&gt;=16,TEXT(A4205,"yyyy-mm")&lt;&gt;TEXT(A4206,"yyyy-mm")),1,0)</f>
        <v/>
      </c>
      <c r="H4205">
        <f>IF(OR(H4204=1,G4205=1),1,0)</f>
        <v/>
      </c>
      <c r="I4205">
        <f>IF(H4204=0,1,SUMPRODUCT(J4204:N4204,B4205:F4205)+O4204*(1+0.00023125256064071564))</f>
        <v/>
      </c>
      <c r="J4205">
        <f>IF(G4205=1,0.2*R4205/B4205,J4204)</f>
        <v/>
      </c>
      <c r="K4205">
        <f>IF(G4205=1,0.2*R4205/C4205,K4204)</f>
        <v/>
      </c>
      <c r="L4205">
        <f>IF(G4205=1,0.2*R4205/D4205,L4204)</f>
        <v/>
      </c>
      <c r="M4205">
        <f>IF(G4205=1,0.2*R4205/E4205,M4204)</f>
        <v/>
      </c>
      <c r="N4205">
        <f>IF(G4205=1,0.2*R4205/F4205,N4204)</f>
        <v/>
      </c>
      <c r="O4205">
        <f>IF(G4205=1,R4205*(1-1.0),IF(H4204=0,1,O4204*(1+0.00023125256064071564)))</f>
        <v/>
      </c>
      <c r="P4205">
        <f>IF(G4205=1,IF(H4204=0,1,ABS(0.2-J4204*B4205/I4205)+ABS(0.2-K4204*C4205/I4205)+ABS(0.2-L4204*D4205/I4205)+ABS(0.2-M4204*E4205/I4205)+ABS(0.2-N4204*F4205/I4205)),0)</f>
        <v/>
      </c>
      <c r="Q4205">
        <f>P4205*0.0015</f>
        <v/>
      </c>
      <c r="R4205">
        <f>I4205*(1-Q4205)</f>
        <v/>
      </c>
      <c r="S4205">
        <f>R4205/R4204-1</f>
        <v/>
      </c>
      <c r="T4205">
        <f>MAX(T4204,R4205)</f>
        <v/>
      </c>
      <c r="U4205">
        <f>R4205/T4205-1</f>
        <v/>
      </c>
      <c r="V4205" t="n">
        <v>15.82000740177175</v>
      </c>
      <c r="W4205" s="5">
        <f>R4205-V4205</f>
        <v/>
      </c>
    </row>
    <row r="4206">
      <c r="A4206" s="3" t="n">
        <v>44634</v>
      </c>
      <c r="B4206">
        <f>Prices!B4206</f>
        <v/>
      </c>
      <c r="C4206">
        <f>Prices!C4206</f>
        <v/>
      </c>
      <c r="D4206">
        <f>Prices!D4206</f>
        <v/>
      </c>
      <c r="E4206">
        <f>Prices!E4206</f>
        <v/>
      </c>
      <c r="F4206">
        <f>Prices!F4206</f>
        <v/>
      </c>
      <c r="G4206">
        <f>IF(AND(4204&gt;=16,TEXT(A4206,"yyyy-mm")&lt;&gt;TEXT(A4207,"yyyy-mm")),1,0)</f>
        <v/>
      </c>
      <c r="H4206">
        <f>IF(OR(H4205=1,G4206=1),1,0)</f>
        <v/>
      </c>
      <c r="I4206">
        <f>IF(H4205=0,1,SUMPRODUCT(J4205:N4205,B4206:F4206)+O4205*(1+0.00023125256064071564))</f>
        <v/>
      </c>
      <c r="J4206">
        <f>IF(G4206=1,0.2*R4206/B4206,J4205)</f>
        <v/>
      </c>
      <c r="K4206">
        <f>IF(G4206=1,0.2*R4206/C4206,K4205)</f>
        <v/>
      </c>
      <c r="L4206">
        <f>IF(G4206=1,0.2*R4206/D4206,L4205)</f>
        <v/>
      </c>
      <c r="M4206">
        <f>IF(G4206=1,0.2*R4206/E4206,M4205)</f>
        <v/>
      </c>
      <c r="N4206">
        <f>IF(G4206=1,0.2*R4206/F4206,N4205)</f>
        <v/>
      </c>
      <c r="O4206">
        <f>IF(G4206=1,R4206*(1-1.0),IF(H4205=0,1,O4205*(1+0.00023125256064071564)))</f>
        <v/>
      </c>
      <c r="P4206">
        <f>IF(G4206=1,IF(H4205=0,1,ABS(0.2-J4205*B4206/I4206)+ABS(0.2-K4205*C4206/I4206)+ABS(0.2-L4205*D4206/I4206)+ABS(0.2-M4205*E4206/I4206)+ABS(0.2-N4205*F4206/I4206)),0)</f>
        <v/>
      </c>
      <c r="Q4206">
        <f>P4206*0.0015</f>
        <v/>
      </c>
      <c r="R4206">
        <f>I4206*(1-Q4206)</f>
        <v/>
      </c>
      <c r="S4206">
        <f>R4206/R4205-1</f>
        <v/>
      </c>
      <c r="T4206">
        <f>MAX(T4205,R4206)</f>
        <v/>
      </c>
      <c r="U4206">
        <f>R4206/T4206-1</f>
        <v/>
      </c>
      <c r="V4206" t="n">
        <v>15.85057893071856</v>
      </c>
      <c r="W4206" s="5">
        <f>R4206-V4206</f>
        <v/>
      </c>
    </row>
    <row r="4207">
      <c r="A4207" s="3" t="n">
        <v>44635</v>
      </c>
      <c r="B4207">
        <f>Prices!B4207</f>
        <v/>
      </c>
      <c r="C4207">
        <f>Prices!C4207</f>
        <v/>
      </c>
      <c r="D4207">
        <f>Prices!D4207</f>
        <v/>
      </c>
      <c r="E4207">
        <f>Prices!E4207</f>
        <v/>
      </c>
      <c r="F4207">
        <f>Prices!F4207</f>
        <v/>
      </c>
      <c r="G4207">
        <f>IF(AND(4205&gt;=16,TEXT(A4207,"yyyy-mm")&lt;&gt;TEXT(A4208,"yyyy-mm")),1,0)</f>
        <v/>
      </c>
      <c r="H4207">
        <f>IF(OR(H4206=1,G4207=1),1,0)</f>
        <v/>
      </c>
      <c r="I4207">
        <f>IF(H4206=0,1,SUMPRODUCT(J4206:N4206,B4207:F4207)+O4206*(1+0.00023125256064071564))</f>
        <v/>
      </c>
      <c r="J4207">
        <f>IF(G4207=1,0.2*R4207/B4207,J4206)</f>
        <v/>
      </c>
      <c r="K4207">
        <f>IF(G4207=1,0.2*R4207/C4207,K4206)</f>
        <v/>
      </c>
      <c r="L4207">
        <f>IF(G4207=1,0.2*R4207/D4207,L4206)</f>
        <v/>
      </c>
      <c r="M4207">
        <f>IF(G4207=1,0.2*R4207/E4207,M4206)</f>
        <v/>
      </c>
      <c r="N4207">
        <f>IF(G4207=1,0.2*R4207/F4207,N4206)</f>
        <v/>
      </c>
      <c r="O4207">
        <f>IF(G4207=1,R4207*(1-1.0),IF(H4206=0,1,O4206*(1+0.00023125256064071564)))</f>
        <v/>
      </c>
      <c r="P4207">
        <f>IF(G4207=1,IF(H4206=0,1,ABS(0.2-J4206*B4207/I4207)+ABS(0.2-K4206*C4207/I4207)+ABS(0.2-L4206*D4207/I4207)+ABS(0.2-M4206*E4207/I4207)+ABS(0.2-N4206*F4207/I4207)),0)</f>
        <v/>
      </c>
      <c r="Q4207">
        <f>P4207*0.0015</f>
        <v/>
      </c>
      <c r="R4207">
        <f>I4207*(1-Q4207)</f>
        <v/>
      </c>
      <c r="S4207">
        <f>R4207/R4206-1</f>
        <v/>
      </c>
      <c r="T4207">
        <f>MAX(T4206,R4207)</f>
        <v/>
      </c>
      <c r="U4207">
        <f>R4207/T4207-1</f>
        <v/>
      </c>
      <c r="V4207" t="n">
        <v>15.66063949954006</v>
      </c>
      <c r="W4207" s="5">
        <f>R4207-V4207</f>
        <v/>
      </c>
    </row>
    <row r="4208">
      <c r="A4208" s="3" t="n">
        <v>44636</v>
      </c>
      <c r="B4208">
        <f>Prices!B4208</f>
        <v/>
      </c>
      <c r="C4208">
        <f>Prices!C4208</f>
        <v/>
      </c>
      <c r="D4208">
        <f>Prices!D4208</f>
        <v/>
      </c>
      <c r="E4208">
        <f>Prices!E4208</f>
        <v/>
      </c>
      <c r="F4208">
        <f>Prices!F4208</f>
        <v/>
      </c>
      <c r="G4208">
        <f>IF(AND(4206&gt;=16,TEXT(A4208,"yyyy-mm")&lt;&gt;TEXT(A4209,"yyyy-mm")),1,0)</f>
        <v/>
      </c>
      <c r="H4208">
        <f>IF(OR(H4207=1,G4208=1),1,0)</f>
        <v/>
      </c>
      <c r="I4208">
        <f>IF(H4207=0,1,SUMPRODUCT(J4207:N4207,B4208:F4208)+O4207*(1+0.00023125256064071564))</f>
        <v/>
      </c>
      <c r="J4208">
        <f>IF(G4208=1,0.2*R4208/B4208,J4207)</f>
        <v/>
      </c>
      <c r="K4208">
        <f>IF(G4208=1,0.2*R4208/C4208,K4207)</f>
        <v/>
      </c>
      <c r="L4208">
        <f>IF(G4208=1,0.2*R4208/D4208,L4207)</f>
        <v/>
      </c>
      <c r="M4208">
        <f>IF(G4208=1,0.2*R4208/E4208,M4207)</f>
        <v/>
      </c>
      <c r="N4208">
        <f>IF(G4208=1,0.2*R4208/F4208,N4207)</f>
        <v/>
      </c>
      <c r="O4208">
        <f>IF(G4208=1,R4208*(1-1.0),IF(H4207=0,1,O4207*(1+0.00023125256064071564)))</f>
        <v/>
      </c>
      <c r="P4208">
        <f>IF(G4208=1,IF(H4207=0,1,ABS(0.2-J4207*B4208/I4208)+ABS(0.2-K4207*C4208/I4208)+ABS(0.2-L4207*D4208/I4208)+ABS(0.2-M4207*E4208/I4208)+ABS(0.2-N4207*F4208/I4208)),0)</f>
        <v/>
      </c>
      <c r="Q4208">
        <f>P4208*0.0015</f>
        <v/>
      </c>
      <c r="R4208">
        <f>I4208*(1-Q4208)</f>
        <v/>
      </c>
      <c r="S4208">
        <f>R4208/R4207-1</f>
        <v/>
      </c>
      <c r="T4208">
        <f>MAX(T4207,R4208)</f>
        <v/>
      </c>
      <c r="U4208">
        <f>R4208/T4208-1</f>
        <v/>
      </c>
      <c r="V4208" t="n">
        <v>15.92684170499385</v>
      </c>
      <c r="W4208" s="5">
        <f>R4208-V4208</f>
        <v/>
      </c>
    </row>
    <row r="4209">
      <c r="A4209" s="3" t="n">
        <v>44637</v>
      </c>
      <c r="B4209">
        <f>Prices!B4209</f>
        <v/>
      </c>
      <c r="C4209">
        <f>Prices!C4209</f>
        <v/>
      </c>
      <c r="D4209">
        <f>Prices!D4209</f>
        <v/>
      </c>
      <c r="E4209">
        <f>Prices!E4209</f>
        <v/>
      </c>
      <c r="F4209">
        <f>Prices!F4209</f>
        <v/>
      </c>
      <c r="G4209">
        <f>IF(AND(4207&gt;=16,TEXT(A4209,"yyyy-mm")&lt;&gt;TEXT(A4210,"yyyy-mm")),1,0)</f>
        <v/>
      </c>
      <c r="H4209">
        <f>IF(OR(H4208=1,G4209=1),1,0)</f>
        <v/>
      </c>
      <c r="I4209">
        <f>IF(H4208=0,1,SUMPRODUCT(J4208:N4208,B4209:F4209)+O4208*(1+0.00023125256064071564))</f>
        <v/>
      </c>
      <c r="J4209">
        <f>IF(G4209=1,0.2*R4209/B4209,J4208)</f>
        <v/>
      </c>
      <c r="K4209">
        <f>IF(G4209=1,0.2*R4209/C4209,K4208)</f>
        <v/>
      </c>
      <c r="L4209">
        <f>IF(G4209=1,0.2*R4209/D4209,L4208)</f>
        <v/>
      </c>
      <c r="M4209">
        <f>IF(G4209=1,0.2*R4209/E4209,M4208)</f>
        <v/>
      </c>
      <c r="N4209">
        <f>IF(G4209=1,0.2*R4209/F4209,N4208)</f>
        <v/>
      </c>
      <c r="O4209">
        <f>IF(G4209=1,R4209*(1-1.0),IF(H4208=0,1,O4208*(1+0.00023125256064071564)))</f>
        <v/>
      </c>
      <c r="P4209">
        <f>IF(G4209=1,IF(H4208=0,1,ABS(0.2-J4208*B4209/I4209)+ABS(0.2-K4208*C4209/I4209)+ABS(0.2-L4208*D4209/I4209)+ABS(0.2-M4208*E4209/I4209)+ABS(0.2-N4208*F4209/I4209)),0)</f>
        <v/>
      </c>
      <c r="Q4209">
        <f>P4209*0.0015</f>
        <v/>
      </c>
      <c r="R4209">
        <f>I4209*(1-Q4209)</f>
        <v/>
      </c>
      <c r="S4209">
        <f>R4209/R4208-1</f>
        <v/>
      </c>
      <c r="T4209">
        <f>MAX(T4208,R4209)</f>
        <v/>
      </c>
      <c r="U4209">
        <f>R4209/T4209-1</f>
        <v/>
      </c>
      <c r="V4209" t="n">
        <v>16.11860429969095</v>
      </c>
      <c r="W4209" s="5">
        <f>R4209-V4209</f>
        <v/>
      </c>
    </row>
    <row r="4210">
      <c r="A4210" s="3" t="n">
        <v>44641</v>
      </c>
      <c r="B4210">
        <f>Prices!B4210</f>
        <v/>
      </c>
      <c r="C4210">
        <f>Prices!C4210</f>
        <v/>
      </c>
      <c r="D4210">
        <f>Prices!D4210</f>
        <v/>
      </c>
      <c r="E4210">
        <f>Prices!E4210</f>
        <v/>
      </c>
      <c r="F4210">
        <f>Prices!F4210</f>
        <v/>
      </c>
      <c r="G4210">
        <f>IF(AND(4208&gt;=16,TEXT(A4210,"yyyy-mm")&lt;&gt;TEXT(A4211,"yyyy-mm")),1,0)</f>
        <v/>
      </c>
      <c r="H4210">
        <f>IF(OR(H4209=1,G4210=1),1,0)</f>
        <v/>
      </c>
      <c r="I4210">
        <f>IF(H4209=0,1,SUMPRODUCT(J4209:N4209,B4210:F4210)+O4209*(1+0.00023125256064071564))</f>
        <v/>
      </c>
      <c r="J4210">
        <f>IF(G4210=1,0.2*R4210/B4210,J4209)</f>
        <v/>
      </c>
      <c r="K4210">
        <f>IF(G4210=1,0.2*R4210/C4210,K4209)</f>
        <v/>
      </c>
      <c r="L4210">
        <f>IF(G4210=1,0.2*R4210/D4210,L4209)</f>
        <v/>
      </c>
      <c r="M4210">
        <f>IF(G4210=1,0.2*R4210/E4210,M4209)</f>
        <v/>
      </c>
      <c r="N4210">
        <f>IF(G4210=1,0.2*R4210/F4210,N4209)</f>
        <v/>
      </c>
      <c r="O4210">
        <f>IF(G4210=1,R4210*(1-1.0),IF(H4209=0,1,O4209*(1+0.00023125256064071564)))</f>
        <v/>
      </c>
      <c r="P4210">
        <f>IF(G4210=1,IF(H4209=0,1,ABS(0.2-J4209*B4210/I4210)+ABS(0.2-K4209*C4210/I4210)+ABS(0.2-L4209*D4210/I4210)+ABS(0.2-M4209*E4210/I4210)+ABS(0.2-N4209*F4210/I4210)),0)</f>
        <v/>
      </c>
      <c r="Q4210">
        <f>P4210*0.0015</f>
        <v/>
      </c>
      <c r="R4210">
        <f>I4210*(1-Q4210)</f>
        <v/>
      </c>
      <c r="S4210">
        <f>R4210/R4209-1</f>
        <v/>
      </c>
      <c r="T4210">
        <f>MAX(T4209,R4210)</f>
        <v/>
      </c>
      <c r="U4210">
        <f>R4210/T4210-1</f>
        <v/>
      </c>
      <c r="V4210" t="n">
        <v>16.03804755880707</v>
      </c>
      <c r="W4210" s="5">
        <f>R4210-V4210</f>
        <v/>
      </c>
    </row>
    <row r="4211">
      <c r="A4211" s="3" t="n">
        <v>44642</v>
      </c>
      <c r="B4211">
        <f>Prices!B4211</f>
        <v/>
      </c>
      <c r="C4211">
        <f>Prices!C4211</f>
        <v/>
      </c>
      <c r="D4211">
        <f>Prices!D4211</f>
        <v/>
      </c>
      <c r="E4211">
        <f>Prices!E4211</f>
        <v/>
      </c>
      <c r="F4211">
        <f>Prices!F4211</f>
        <v/>
      </c>
      <c r="G4211">
        <f>IF(AND(4209&gt;=16,TEXT(A4211,"yyyy-mm")&lt;&gt;TEXT(A4212,"yyyy-mm")),1,0)</f>
        <v/>
      </c>
      <c r="H4211">
        <f>IF(OR(H4210=1,G4211=1),1,0)</f>
        <v/>
      </c>
      <c r="I4211">
        <f>IF(H4210=0,1,SUMPRODUCT(J4210:N4210,B4211:F4211)+O4210*(1+0.00023125256064071564))</f>
        <v/>
      </c>
      <c r="J4211">
        <f>IF(G4211=1,0.2*R4211/B4211,J4210)</f>
        <v/>
      </c>
      <c r="K4211">
        <f>IF(G4211=1,0.2*R4211/C4211,K4210)</f>
        <v/>
      </c>
      <c r="L4211">
        <f>IF(G4211=1,0.2*R4211/D4211,L4210)</f>
        <v/>
      </c>
      <c r="M4211">
        <f>IF(G4211=1,0.2*R4211/E4211,M4210)</f>
        <v/>
      </c>
      <c r="N4211">
        <f>IF(G4211=1,0.2*R4211/F4211,N4210)</f>
        <v/>
      </c>
      <c r="O4211">
        <f>IF(G4211=1,R4211*(1-1.0),IF(H4210=0,1,O4210*(1+0.00023125256064071564)))</f>
        <v/>
      </c>
      <c r="P4211">
        <f>IF(G4211=1,IF(H4210=0,1,ABS(0.2-J4210*B4211/I4211)+ABS(0.2-K4210*C4211/I4211)+ABS(0.2-L4210*D4211/I4211)+ABS(0.2-M4210*E4211/I4211)+ABS(0.2-N4210*F4211/I4211)),0)</f>
        <v/>
      </c>
      <c r="Q4211">
        <f>P4211*0.0015</f>
        <v/>
      </c>
      <c r="R4211">
        <f>I4211*(1-Q4211)</f>
        <v/>
      </c>
      <c r="S4211">
        <f>R4211/R4210-1</f>
        <v/>
      </c>
      <c r="T4211">
        <f>MAX(T4210,R4211)</f>
        <v/>
      </c>
      <c r="U4211">
        <f>R4211/T4211-1</f>
        <v/>
      </c>
      <c r="V4211" t="n">
        <v>16.1088143504282</v>
      </c>
      <c r="W4211" s="5">
        <f>R4211-V4211</f>
        <v/>
      </c>
    </row>
    <row r="4212">
      <c r="A4212" s="3" t="n">
        <v>44643</v>
      </c>
      <c r="B4212">
        <f>Prices!B4212</f>
        <v/>
      </c>
      <c r="C4212">
        <f>Prices!C4212</f>
        <v/>
      </c>
      <c r="D4212">
        <f>Prices!D4212</f>
        <v/>
      </c>
      <c r="E4212">
        <f>Prices!E4212</f>
        <v/>
      </c>
      <c r="F4212">
        <f>Prices!F4212</f>
        <v/>
      </c>
      <c r="G4212">
        <f>IF(AND(4210&gt;=16,TEXT(A4212,"yyyy-mm")&lt;&gt;TEXT(A4213,"yyyy-mm")),1,0)</f>
        <v/>
      </c>
      <c r="H4212">
        <f>IF(OR(H4211=1,G4212=1),1,0)</f>
        <v/>
      </c>
      <c r="I4212">
        <f>IF(H4211=0,1,SUMPRODUCT(J4211:N4211,B4212:F4212)+O4211*(1+0.00023125256064071564))</f>
        <v/>
      </c>
      <c r="J4212">
        <f>IF(G4212=1,0.2*R4212/B4212,J4211)</f>
        <v/>
      </c>
      <c r="K4212">
        <f>IF(G4212=1,0.2*R4212/C4212,K4211)</f>
        <v/>
      </c>
      <c r="L4212">
        <f>IF(G4212=1,0.2*R4212/D4212,L4211)</f>
        <v/>
      </c>
      <c r="M4212">
        <f>IF(G4212=1,0.2*R4212/E4212,M4211)</f>
        <v/>
      </c>
      <c r="N4212">
        <f>IF(G4212=1,0.2*R4212/F4212,N4211)</f>
        <v/>
      </c>
      <c r="O4212">
        <f>IF(G4212=1,R4212*(1-1.0),IF(H4211=0,1,O4211*(1+0.00023125256064071564)))</f>
        <v/>
      </c>
      <c r="P4212">
        <f>IF(G4212=1,IF(H4211=0,1,ABS(0.2-J4211*B4212/I4212)+ABS(0.2-K4211*C4212/I4212)+ABS(0.2-L4211*D4212/I4212)+ABS(0.2-M4211*E4212/I4212)+ABS(0.2-N4211*F4212/I4212)),0)</f>
        <v/>
      </c>
      <c r="Q4212">
        <f>P4212*0.0015</f>
        <v/>
      </c>
      <c r="R4212">
        <f>I4212*(1-Q4212)</f>
        <v/>
      </c>
      <c r="S4212">
        <f>R4212/R4211-1</f>
        <v/>
      </c>
      <c r="T4212">
        <f>MAX(T4211,R4212)</f>
        <v/>
      </c>
      <c r="U4212">
        <f>R4212/T4212-1</f>
        <v/>
      </c>
      <c r="V4212" t="n">
        <v>16.14812593848534</v>
      </c>
      <c r="W4212" s="5">
        <f>R4212-V4212</f>
        <v/>
      </c>
    </row>
    <row r="4213">
      <c r="A4213" s="3" t="n">
        <v>44644</v>
      </c>
      <c r="B4213">
        <f>Prices!B4213</f>
        <v/>
      </c>
      <c r="C4213">
        <f>Prices!C4213</f>
        <v/>
      </c>
      <c r="D4213">
        <f>Prices!D4213</f>
        <v/>
      </c>
      <c r="E4213">
        <f>Prices!E4213</f>
        <v/>
      </c>
      <c r="F4213">
        <f>Prices!F4213</f>
        <v/>
      </c>
      <c r="G4213">
        <f>IF(AND(4211&gt;=16,TEXT(A4213,"yyyy-mm")&lt;&gt;TEXT(A4214,"yyyy-mm")),1,0)</f>
        <v/>
      </c>
      <c r="H4213">
        <f>IF(OR(H4212=1,G4213=1),1,0)</f>
        <v/>
      </c>
      <c r="I4213">
        <f>IF(H4212=0,1,SUMPRODUCT(J4212:N4212,B4213:F4213)+O4212*(1+0.00023125256064071564))</f>
        <v/>
      </c>
      <c r="J4213">
        <f>IF(G4213=1,0.2*R4213/B4213,J4212)</f>
        <v/>
      </c>
      <c r="K4213">
        <f>IF(G4213=1,0.2*R4213/C4213,K4212)</f>
        <v/>
      </c>
      <c r="L4213">
        <f>IF(G4213=1,0.2*R4213/D4213,L4212)</f>
        <v/>
      </c>
      <c r="M4213">
        <f>IF(G4213=1,0.2*R4213/E4213,M4212)</f>
        <v/>
      </c>
      <c r="N4213">
        <f>IF(G4213=1,0.2*R4213/F4213,N4212)</f>
        <v/>
      </c>
      <c r="O4213">
        <f>IF(G4213=1,R4213*(1-1.0),IF(H4212=0,1,O4212*(1+0.00023125256064071564)))</f>
        <v/>
      </c>
      <c r="P4213">
        <f>IF(G4213=1,IF(H4212=0,1,ABS(0.2-J4212*B4213/I4213)+ABS(0.2-K4212*C4213/I4213)+ABS(0.2-L4212*D4213/I4213)+ABS(0.2-M4212*E4213/I4213)+ABS(0.2-N4212*F4213/I4213)),0)</f>
        <v/>
      </c>
      <c r="Q4213">
        <f>P4213*0.0015</f>
        <v/>
      </c>
      <c r="R4213">
        <f>I4213*(1-Q4213)</f>
        <v/>
      </c>
      <c r="S4213">
        <f>R4213/R4212-1</f>
        <v/>
      </c>
      <c r="T4213">
        <f>MAX(T4212,R4213)</f>
        <v/>
      </c>
      <c r="U4213">
        <f>R4213/T4213-1</f>
        <v/>
      </c>
      <c r="V4213" t="n">
        <v>16.24272829100197</v>
      </c>
      <c r="W4213" s="5">
        <f>R4213-V4213</f>
        <v/>
      </c>
    </row>
    <row r="4214">
      <c r="A4214" s="3" t="n">
        <v>44645</v>
      </c>
      <c r="B4214">
        <f>Prices!B4214</f>
        <v/>
      </c>
      <c r="C4214">
        <f>Prices!C4214</f>
        <v/>
      </c>
      <c r="D4214">
        <f>Prices!D4214</f>
        <v/>
      </c>
      <c r="E4214">
        <f>Prices!E4214</f>
        <v/>
      </c>
      <c r="F4214">
        <f>Prices!F4214</f>
        <v/>
      </c>
      <c r="G4214">
        <f>IF(AND(4212&gt;=16,TEXT(A4214,"yyyy-mm")&lt;&gt;TEXT(A4215,"yyyy-mm")),1,0)</f>
        <v/>
      </c>
      <c r="H4214">
        <f>IF(OR(H4213=1,G4214=1),1,0)</f>
        <v/>
      </c>
      <c r="I4214">
        <f>IF(H4213=0,1,SUMPRODUCT(J4213:N4213,B4214:F4214)+O4213*(1+0.00023125256064071564))</f>
        <v/>
      </c>
      <c r="J4214">
        <f>IF(G4214=1,0.2*R4214/B4214,J4213)</f>
        <v/>
      </c>
      <c r="K4214">
        <f>IF(G4214=1,0.2*R4214/C4214,K4213)</f>
        <v/>
      </c>
      <c r="L4214">
        <f>IF(G4214=1,0.2*R4214/D4214,L4213)</f>
        <v/>
      </c>
      <c r="M4214">
        <f>IF(G4214=1,0.2*R4214/E4214,M4213)</f>
        <v/>
      </c>
      <c r="N4214">
        <f>IF(G4214=1,0.2*R4214/F4214,N4213)</f>
        <v/>
      </c>
      <c r="O4214">
        <f>IF(G4214=1,R4214*(1-1.0),IF(H4213=0,1,O4213*(1+0.00023125256064071564)))</f>
        <v/>
      </c>
      <c r="P4214">
        <f>IF(G4214=1,IF(H4213=0,1,ABS(0.2-J4213*B4214/I4214)+ABS(0.2-K4213*C4214/I4214)+ABS(0.2-L4213*D4214/I4214)+ABS(0.2-M4213*E4214/I4214)+ABS(0.2-N4213*F4214/I4214)),0)</f>
        <v/>
      </c>
      <c r="Q4214">
        <f>P4214*0.0015</f>
        <v/>
      </c>
      <c r="R4214">
        <f>I4214*(1-Q4214)</f>
        <v/>
      </c>
      <c r="S4214">
        <f>R4214/R4213-1</f>
        <v/>
      </c>
      <c r="T4214">
        <f>MAX(T4213,R4214)</f>
        <v/>
      </c>
      <c r="U4214">
        <f>R4214/T4214-1</f>
        <v/>
      </c>
      <c r="V4214" t="n">
        <v>16.19533224303832</v>
      </c>
      <c r="W4214" s="5">
        <f>R4214-V4214</f>
        <v/>
      </c>
    </row>
    <row r="4215">
      <c r="A4215" s="3" t="n">
        <v>44648</v>
      </c>
      <c r="B4215">
        <f>Prices!B4215</f>
        <v/>
      </c>
      <c r="C4215">
        <f>Prices!C4215</f>
        <v/>
      </c>
      <c r="D4215">
        <f>Prices!D4215</f>
        <v/>
      </c>
      <c r="E4215">
        <f>Prices!E4215</f>
        <v/>
      </c>
      <c r="F4215">
        <f>Prices!F4215</f>
        <v/>
      </c>
      <c r="G4215">
        <f>IF(AND(4213&gt;=16,TEXT(A4215,"yyyy-mm")&lt;&gt;TEXT(A4216,"yyyy-mm")),1,0)</f>
        <v/>
      </c>
      <c r="H4215">
        <f>IF(OR(H4214=1,G4215=1),1,0)</f>
        <v/>
      </c>
      <c r="I4215">
        <f>IF(H4214=0,1,SUMPRODUCT(J4214:N4214,B4215:F4215)+O4214*(1+0.00023125256064071564))</f>
        <v/>
      </c>
      <c r="J4215">
        <f>IF(G4215=1,0.2*R4215/B4215,J4214)</f>
        <v/>
      </c>
      <c r="K4215">
        <f>IF(G4215=1,0.2*R4215/C4215,K4214)</f>
        <v/>
      </c>
      <c r="L4215">
        <f>IF(G4215=1,0.2*R4215/D4215,L4214)</f>
        <v/>
      </c>
      <c r="M4215">
        <f>IF(G4215=1,0.2*R4215/E4215,M4214)</f>
        <v/>
      </c>
      <c r="N4215">
        <f>IF(G4215=1,0.2*R4215/F4215,N4214)</f>
        <v/>
      </c>
      <c r="O4215">
        <f>IF(G4215=1,R4215*(1-1.0),IF(H4214=0,1,O4214*(1+0.00023125256064071564)))</f>
        <v/>
      </c>
      <c r="P4215">
        <f>IF(G4215=1,IF(H4214=0,1,ABS(0.2-J4214*B4215/I4215)+ABS(0.2-K4214*C4215/I4215)+ABS(0.2-L4214*D4215/I4215)+ABS(0.2-M4214*E4215/I4215)+ABS(0.2-N4214*F4215/I4215)),0)</f>
        <v/>
      </c>
      <c r="Q4215">
        <f>P4215*0.0015</f>
        <v/>
      </c>
      <c r="R4215">
        <f>I4215*(1-Q4215)</f>
        <v/>
      </c>
      <c r="S4215">
        <f>R4215/R4214-1</f>
        <v/>
      </c>
      <c r="T4215">
        <f>MAX(T4214,R4215)</f>
        <v/>
      </c>
      <c r="U4215">
        <f>R4215/T4215-1</f>
        <v/>
      </c>
      <c r="V4215" t="n">
        <v>16.19640727838619</v>
      </c>
      <c r="W4215" s="5">
        <f>R4215-V4215</f>
        <v/>
      </c>
    </row>
    <row r="4216">
      <c r="A4216" s="3" t="n">
        <v>44649</v>
      </c>
      <c r="B4216">
        <f>Prices!B4216</f>
        <v/>
      </c>
      <c r="C4216">
        <f>Prices!C4216</f>
        <v/>
      </c>
      <c r="D4216">
        <f>Prices!D4216</f>
        <v/>
      </c>
      <c r="E4216">
        <f>Prices!E4216</f>
        <v/>
      </c>
      <c r="F4216">
        <f>Prices!F4216</f>
        <v/>
      </c>
      <c r="G4216">
        <f>IF(AND(4214&gt;=16,TEXT(A4216,"yyyy-mm")&lt;&gt;TEXT(A4217,"yyyy-mm")),1,0)</f>
        <v/>
      </c>
      <c r="H4216">
        <f>IF(OR(H4215=1,G4216=1),1,0)</f>
        <v/>
      </c>
      <c r="I4216">
        <f>IF(H4215=0,1,SUMPRODUCT(J4215:N4215,B4216:F4216)+O4215*(1+0.00023125256064071564))</f>
        <v/>
      </c>
      <c r="J4216">
        <f>IF(G4216=1,0.2*R4216/B4216,J4215)</f>
        <v/>
      </c>
      <c r="K4216">
        <f>IF(G4216=1,0.2*R4216/C4216,K4215)</f>
        <v/>
      </c>
      <c r="L4216">
        <f>IF(G4216=1,0.2*R4216/D4216,L4215)</f>
        <v/>
      </c>
      <c r="M4216">
        <f>IF(G4216=1,0.2*R4216/E4216,M4215)</f>
        <v/>
      </c>
      <c r="N4216">
        <f>IF(G4216=1,0.2*R4216/F4216,N4215)</f>
        <v/>
      </c>
      <c r="O4216">
        <f>IF(G4216=1,R4216*(1-1.0),IF(H4215=0,1,O4215*(1+0.00023125256064071564)))</f>
        <v/>
      </c>
      <c r="P4216">
        <f>IF(G4216=1,IF(H4215=0,1,ABS(0.2-J4215*B4216/I4216)+ABS(0.2-K4215*C4216/I4216)+ABS(0.2-L4215*D4216/I4216)+ABS(0.2-M4215*E4216/I4216)+ABS(0.2-N4215*F4216/I4216)),0)</f>
        <v/>
      </c>
      <c r="Q4216">
        <f>P4216*0.0015</f>
        <v/>
      </c>
      <c r="R4216">
        <f>I4216*(1-Q4216)</f>
        <v/>
      </c>
      <c r="S4216">
        <f>R4216/R4215-1</f>
        <v/>
      </c>
      <c r="T4216">
        <f>MAX(T4215,R4216)</f>
        <v/>
      </c>
      <c r="U4216">
        <f>R4216/T4216-1</f>
        <v/>
      </c>
      <c r="V4216" t="n">
        <v>16.1979844337813</v>
      </c>
      <c r="W4216" s="5">
        <f>R4216-V4216</f>
        <v/>
      </c>
    </row>
    <row r="4217">
      <c r="A4217" s="3" t="n">
        <v>44650</v>
      </c>
      <c r="B4217">
        <f>Prices!B4217</f>
        <v/>
      </c>
      <c r="C4217">
        <f>Prices!C4217</f>
        <v/>
      </c>
      <c r="D4217">
        <f>Prices!D4217</f>
        <v/>
      </c>
      <c r="E4217">
        <f>Prices!E4217</f>
        <v/>
      </c>
      <c r="F4217">
        <f>Prices!F4217</f>
        <v/>
      </c>
      <c r="G4217">
        <f>IF(AND(4215&gt;=16,TEXT(A4217,"yyyy-mm")&lt;&gt;TEXT(A4218,"yyyy-mm")),1,0)</f>
        <v/>
      </c>
      <c r="H4217">
        <f>IF(OR(H4216=1,G4217=1),1,0)</f>
        <v/>
      </c>
      <c r="I4217">
        <f>IF(H4216=0,1,SUMPRODUCT(J4216:N4216,B4217:F4217)+O4216*(1+0.00023125256064071564))</f>
        <v/>
      </c>
      <c r="J4217">
        <f>IF(G4217=1,0.2*R4217/B4217,J4216)</f>
        <v/>
      </c>
      <c r="K4217">
        <f>IF(G4217=1,0.2*R4217/C4217,K4216)</f>
        <v/>
      </c>
      <c r="L4217">
        <f>IF(G4217=1,0.2*R4217/D4217,L4216)</f>
        <v/>
      </c>
      <c r="M4217">
        <f>IF(G4217=1,0.2*R4217/E4217,M4216)</f>
        <v/>
      </c>
      <c r="N4217">
        <f>IF(G4217=1,0.2*R4217/F4217,N4216)</f>
        <v/>
      </c>
      <c r="O4217">
        <f>IF(G4217=1,R4217*(1-1.0),IF(H4216=0,1,O4216*(1+0.00023125256064071564)))</f>
        <v/>
      </c>
      <c r="P4217">
        <f>IF(G4217=1,IF(H4216=0,1,ABS(0.2-J4216*B4217/I4217)+ABS(0.2-K4216*C4217/I4217)+ABS(0.2-L4216*D4217/I4217)+ABS(0.2-M4216*E4217/I4217)+ABS(0.2-N4216*F4217/I4217)),0)</f>
        <v/>
      </c>
      <c r="Q4217">
        <f>P4217*0.0015</f>
        <v/>
      </c>
      <c r="R4217">
        <f>I4217*(1-Q4217)</f>
        <v/>
      </c>
      <c r="S4217">
        <f>R4217/R4216-1</f>
        <v/>
      </c>
      <c r="T4217">
        <f>MAX(T4216,R4217)</f>
        <v/>
      </c>
      <c r="U4217">
        <f>R4217/T4217-1</f>
        <v/>
      </c>
      <c r="V4217" t="n">
        <v>16.33604844183686</v>
      </c>
      <c r="W4217" s="5">
        <f>R4217-V4217</f>
        <v/>
      </c>
    </row>
    <row r="4218">
      <c r="A4218" s="3" t="n">
        <v>44651</v>
      </c>
      <c r="B4218">
        <f>Prices!B4218</f>
        <v/>
      </c>
      <c r="C4218">
        <f>Prices!C4218</f>
        <v/>
      </c>
      <c r="D4218">
        <f>Prices!D4218</f>
        <v/>
      </c>
      <c r="E4218">
        <f>Prices!E4218</f>
        <v/>
      </c>
      <c r="F4218">
        <f>Prices!F4218</f>
        <v/>
      </c>
      <c r="G4218">
        <f>IF(AND(4216&gt;=16,TEXT(A4218,"yyyy-mm")&lt;&gt;TEXT(A4219,"yyyy-mm")),1,0)</f>
        <v/>
      </c>
      <c r="H4218">
        <f>IF(OR(H4217=1,G4218=1),1,0)</f>
        <v/>
      </c>
      <c r="I4218">
        <f>IF(H4217=0,1,SUMPRODUCT(J4217:N4217,B4218:F4218)+O4217*(1+0.00023125256064071564))</f>
        <v/>
      </c>
      <c r="J4218">
        <f>IF(G4218=1,0.2*R4218/B4218,J4217)</f>
        <v/>
      </c>
      <c r="K4218">
        <f>IF(G4218=1,0.2*R4218/C4218,K4217)</f>
        <v/>
      </c>
      <c r="L4218">
        <f>IF(G4218=1,0.2*R4218/D4218,L4217)</f>
        <v/>
      </c>
      <c r="M4218">
        <f>IF(G4218=1,0.2*R4218/E4218,M4217)</f>
        <v/>
      </c>
      <c r="N4218">
        <f>IF(G4218=1,0.2*R4218/F4218,N4217)</f>
        <v/>
      </c>
      <c r="O4218">
        <f>IF(G4218=1,R4218*(1-1.0),IF(H4217=0,1,O4217*(1+0.00023125256064071564)))</f>
        <v/>
      </c>
      <c r="P4218">
        <f>IF(G4218=1,IF(H4217=0,1,ABS(0.2-J4217*B4218/I4218)+ABS(0.2-K4217*C4218/I4218)+ABS(0.2-L4217*D4218/I4218)+ABS(0.2-M4217*E4218/I4218)+ABS(0.2-N4217*F4218/I4218)),0)</f>
        <v/>
      </c>
      <c r="Q4218">
        <f>P4218*0.0015</f>
        <v/>
      </c>
      <c r="R4218">
        <f>I4218*(1-Q4218)</f>
        <v/>
      </c>
      <c r="S4218">
        <f>R4218/R4217-1</f>
        <v/>
      </c>
      <c r="T4218">
        <f>MAX(T4217,R4218)</f>
        <v/>
      </c>
      <c r="U4218">
        <f>R4218/T4218-1</f>
        <v/>
      </c>
      <c r="V4218" t="n">
        <v>16.3677095411004</v>
      </c>
      <c r="W4218" s="5">
        <f>R4218-V4218</f>
        <v/>
      </c>
    </row>
    <row r="4219">
      <c r="A4219" s="3" t="n">
        <v>44652</v>
      </c>
      <c r="B4219">
        <f>Prices!B4219</f>
        <v/>
      </c>
      <c r="C4219">
        <f>Prices!C4219</f>
        <v/>
      </c>
      <c r="D4219">
        <f>Prices!D4219</f>
        <v/>
      </c>
      <c r="E4219">
        <f>Prices!E4219</f>
        <v/>
      </c>
      <c r="F4219">
        <f>Prices!F4219</f>
        <v/>
      </c>
      <c r="G4219">
        <f>IF(AND(4217&gt;=16,TEXT(A4219,"yyyy-mm")&lt;&gt;TEXT(A4220,"yyyy-mm")),1,0)</f>
        <v/>
      </c>
      <c r="H4219">
        <f>IF(OR(H4218=1,G4219=1),1,0)</f>
        <v/>
      </c>
      <c r="I4219">
        <f>IF(H4218=0,1,SUMPRODUCT(J4218:N4218,B4219:F4219)+O4218*(1+0.00023125256064071564))</f>
        <v/>
      </c>
      <c r="J4219">
        <f>IF(G4219=1,0.2*R4219/B4219,J4218)</f>
        <v/>
      </c>
      <c r="K4219">
        <f>IF(G4219=1,0.2*R4219/C4219,K4218)</f>
        <v/>
      </c>
      <c r="L4219">
        <f>IF(G4219=1,0.2*R4219/D4219,L4218)</f>
        <v/>
      </c>
      <c r="M4219">
        <f>IF(G4219=1,0.2*R4219/E4219,M4218)</f>
        <v/>
      </c>
      <c r="N4219">
        <f>IF(G4219=1,0.2*R4219/F4219,N4218)</f>
        <v/>
      </c>
      <c r="O4219">
        <f>IF(G4219=1,R4219*(1-1.0),IF(H4218=0,1,O4218*(1+0.00023125256064071564)))</f>
        <v/>
      </c>
      <c r="P4219">
        <f>IF(G4219=1,IF(H4218=0,1,ABS(0.2-J4218*B4219/I4219)+ABS(0.2-K4218*C4219/I4219)+ABS(0.2-L4218*D4219/I4219)+ABS(0.2-M4218*E4219/I4219)+ABS(0.2-N4218*F4219/I4219)),0)</f>
        <v/>
      </c>
      <c r="Q4219">
        <f>P4219*0.0015</f>
        <v/>
      </c>
      <c r="R4219">
        <f>I4219*(1-Q4219)</f>
        <v/>
      </c>
      <c r="S4219">
        <f>R4219/R4218-1</f>
        <v/>
      </c>
      <c r="T4219">
        <f>MAX(T4218,R4219)</f>
        <v/>
      </c>
      <c r="U4219">
        <f>R4219/T4219-1</f>
        <v/>
      </c>
      <c r="V4219" t="n">
        <v>16.59897896311845</v>
      </c>
      <c r="W4219" s="5">
        <f>R4219-V4219</f>
        <v/>
      </c>
    </row>
    <row r="4220">
      <c r="A4220" s="3" t="n">
        <v>44655</v>
      </c>
      <c r="B4220">
        <f>Prices!B4220</f>
        <v/>
      </c>
      <c r="C4220">
        <f>Prices!C4220</f>
        <v/>
      </c>
      <c r="D4220">
        <f>Prices!D4220</f>
        <v/>
      </c>
      <c r="E4220">
        <f>Prices!E4220</f>
        <v/>
      </c>
      <c r="F4220">
        <f>Prices!F4220</f>
        <v/>
      </c>
      <c r="G4220">
        <f>IF(AND(4218&gt;=16,TEXT(A4220,"yyyy-mm")&lt;&gt;TEXT(A4221,"yyyy-mm")),1,0)</f>
        <v/>
      </c>
      <c r="H4220">
        <f>IF(OR(H4219=1,G4220=1),1,0)</f>
        <v/>
      </c>
      <c r="I4220">
        <f>IF(H4219=0,1,SUMPRODUCT(J4219:N4219,B4220:F4220)+O4219*(1+0.00023125256064071564))</f>
        <v/>
      </c>
      <c r="J4220">
        <f>IF(G4220=1,0.2*R4220/B4220,J4219)</f>
        <v/>
      </c>
      <c r="K4220">
        <f>IF(G4220=1,0.2*R4220/C4220,K4219)</f>
        <v/>
      </c>
      <c r="L4220">
        <f>IF(G4220=1,0.2*R4220/D4220,L4219)</f>
        <v/>
      </c>
      <c r="M4220">
        <f>IF(G4220=1,0.2*R4220/E4220,M4219)</f>
        <v/>
      </c>
      <c r="N4220">
        <f>IF(G4220=1,0.2*R4220/F4220,N4219)</f>
        <v/>
      </c>
      <c r="O4220">
        <f>IF(G4220=1,R4220*(1-1.0),IF(H4219=0,1,O4219*(1+0.00023125256064071564)))</f>
        <v/>
      </c>
      <c r="P4220">
        <f>IF(G4220=1,IF(H4219=0,1,ABS(0.2-J4219*B4220/I4220)+ABS(0.2-K4219*C4220/I4220)+ABS(0.2-L4219*D4220/I4220)+ABS(0.2-M4219*E4220/I4220)+ABS(0.2-N4219*F4220/I4220)),0)</f>
        <v/>
      </c>
      <c r="Q4220">
        <f>P4220*0.0015</f>
        <v/>
      </c>
      <c r="R4220">
        <f>I4220*(1-Q4220)</f>
        <v/>
      </c>
      <c r="S4220">
        <f>R4220/R4219-1</f>
        <v/>
      </c>
      <c r="T4220">
        <f>MAX(T4219,R4220)</f>
        <v/>
      </c>
      <c r="U4220">
        <f>R4220/T4220-1</f>
        <v/>
      </c>
      <c r="V4220" t="n">
        <v>16.83882869712991</v>
      </c>
      <c r="W4220" s="5">
        <f>R4220-V4220</f>
        <v/>
      </c>
    </row>
    <row r="4221">
      <c r="A4221" s="3" t="n">
        <v>44656</v>
      </c>
      <c r="B4221">
        <f>Prices!B4221</f>
        <v/>
      </c>
      <c r="C4221">
        <f>Prices!C4221</f>
        <v/>
      </c>
      <c r="D4221">
        <f>Prices!D4221</f>
        <v/>
      </c>
      <c r="E4221">
        <f>Prices!E4221</f>
        <v/>
      </c>
      <c r="F4221">
        <f>Prices!F4221</f>
        <v/>
      </c>
      <c r="G4221">
        <f>IF(AND(4219&gt;=16,TEXT(A4221,"yyyy-mm")&lt;&gt;TEXT(A4222,"yyyy-mm")),1,0)</f>
        <v/>
      </c>
      <c r="H4221">
        <f>IF(OR(H4220=1,G4221=1),1,0)</f>
        <v/>
      </c>
      <c r="I4221">
        <f>IF(H4220=0,1,SUMPRODUCT(J4220:N4220,B4221:F4221)+O4220*(1+0.00023125256064071564))</f>
        <v/>
      </c>
      <c r="J4221">
        <f>IF(G4221=1,0.2*R4221/B4221,J4220)</f>
        <v/>
      </c>
      <c r="K4221">
        <f>IF(G4221=1,0.2*R4221/C4221,K4220)</f>
        <v/>
      </c>
      <c r="L4221">
        <f>IF(G4221=1,0.2*R4221/D4221,L4220)</f>
        <v/>
      </c>
      <c r="M4221">
        <f>IF(G4221=1,0.2*R4221/E4221,M4220)</f>
        <v/>
      </c>
      <c r="N4221">
        <f>IF(G4221=1,0.2*R4221/F4221,N4220)</f>
        <v/>
      </c>
      <c r="O4221">
        <f>IF(G4221=1,R4221*(1-1.0),IF(H4220=0,1,O4220*(1+0.00023125256064071564)))</f>
        <v/>
      </c>
      <c r="P4221">
        <f>IF(G4221=1,IF(H4220=0,1,ABS(0.2-J4220*B4221/I4221)+ABS(0.2-K4220*C4221/I4221)+ABS(0.2-L4220*D4221/I4221)+ABS(0.2-M4220*E4221/I4221)+ABS(0.2-N4220*F4221/I4221)),0)</f>
        <v/>
      </c>
      <c r="Q4221">
        <f>P4221*0.0015</f>
        <v/>
      </c>
      <c r="R4221">
        <f>I4221*(1-Q4221)</f>
        <v/>
      </c>
      <c r="S4221">
        <f>R4221/R4220-1</f>
        <v/>
      </c>
      <c r="T4221">
        <f>MAX(T4220,R4221)</f>
        <v/>
      </c>
      <c r="U4221">
        <f>R4221/T4221-1</f>
        <v/>
      </c>
      <c r="V4221" t="n">
        <v>17.01381278777311</v>
      </c>
      <c r="W4221" s="5">
        <f>R4221-V4221</f>
        <v/>
      </c>
    </row>
    <row r="4222">
      <c r="A4222" s="3" t="n">
        <v>44657</v>
      </c>
      <c r="B4222">
        <f>Prices!B4222</f>
        <v/>
      </c>
      <c r="C4222">
        <f>Prices!C4222</f>
        <v/>
      </c>
      <c r="D4222">
        <f>Prices!D4222</f>
        <v/>
      </c>
      <c r="E4222">
        <f>Prices!E4222</f>
        <v/>
      </c>
      <c r="F4222">
        <f>Prices!F4222</f>
        <v/>
      </c>
      <c r="G4222">
        <f>IF(AND(4220&gt;=16,TEXT(A4222,"yyyy-mm")&lt;&gt;TEXT(A4223,"yyyy-mm")),1,0)</f>
        <v/>
      </c>
      <c r="H4222">
        <f>IF(OR(H4221=1,G4222=1),1,0)</f>
        <v/>
      </c>
      <c r="I4222">
        <f>IF(H4221=0,1,SUMPRODUCT(J4221:N4221,B4222:F4222)+O4221*(1+0.00023125256064071564))</f>
        <v/>
      </c>
      <c r="J4222">
        <f>IF(G4222=1,0.2*R4222/B4222,J4221)</f>
        <v/>
      </c>
      <c r="K4222">
        <f>IF(G4222=1,0.2*R4222/C4222,K4221)</f>
        <v/>
      </c>
      <c r="L4222">
        <f>IF(G4222=1,0.2*R4222/D4222,L4221)</f>
        <v/>
      </c>
      <c r="M4222">
        <f>IF(G4222=1,0.2*R4222/E4222,M4221)</f>
        <v/>
      </c>
      <c r="N4222">
        <f>IF(G4222=1,0.2*R4222/F4222,N4221)</f>
        <v/>
      </c>
      <c r="O4222">
        <f>IF(G4222=1,R4222*(1-1.0),IF(H4221=0,1,O4221*(1+0.00023125256064071564)))</f>
        <v/>
      </c>
      <c r="P4222">
        <f>IF(G4222=1,IF(H4221=0,1,ABS(0.2-J4221*B4222/I4222)+ABS(0.2-K4221*C4222/I4222)+ABS(0.2-L4221*D4222/I4222)+ABS(0.2-M4221*E4222/I4222)+ABS(0.2-N4221*F4222/I4222)),0)</f>
        <v/>
      </c>
      <c r="Q4222">
        <f>P4222*0.0015</f>
        <v/>
      </c>
      <c r="R4222">
        <f>I4222*(1-Q4222)</f>
        <v/>
      </c>
      <c r="S4222">
        <f>R4222/R4221-1</f>
        <v/>
      </c>
      <c r="T4222">
        <f>MAX(T4221,R4222)</f>
        <v/>
      </c>
      <c r="U4222">
        <f>R4222/T4222-1</f>
        <v/>
      </c>
      <c r="V4222" t="n">
        <v>17.07127240395168</v>
      </c>
      <c r="W4222" s="5">
        <f>R4222-V4222</f>
        <v/>
      </c>
    </row>
    <row r="4223">
      <c r="A4223" s="3" t="n">
        <v>44658</v>
      </c>
      <c r="B4223">
        <f>Prices!B4223</f>
        <v/>
      </c>
      <c r="C4223">
        <f>Prices!C4223</f>
        <v/>
      </c>
      <c r="D4223">
        <f>Prices!D4223</f>
        <v/>
      </c>
      <c r="E4223">
        <f>Prices!E4223</f>
        <v/>
      </c>
      <c r="F4223">
        <f>Prices!F4223</f>
        <v/>
      </c>
      <c r="G4223">
        <f>IF(AND(4221&gt;=16,TEXT(A4223,"yyyy-mm")&lt;&gt;TEXT(A4224,"yyyy-mm")),1,0)</f>
        <v/>
      </c>
      <c r="H4223">
        <f>IF(OR(H4222=1,G4223=1),1,0)</f>
        <v/>
      </c>
      <c r="I4223">
        <f>IF(H4222=0,1,SUMPRODUCT(J4222:N4222,B4223:F4223)+O4222*(1+0.00023125256064071564))</f>
        <v/>
      </c>
      <c r="J4223">
        <f>IF(G4223=1,0.2*R4223/B4223,J4222)</f>
        <v/>
      </c>
      <c r="K4223">
        <f>IF(G4223=1,0.2*R4223/C4223,K4222)</f>
        <v/>
      </c>
      <c r="L4223">
        <f>IF(G4223=1,0.2*R4223/D4223,L4222)</f>
        <v/>
      </c>
      <c r="M4223">
        <f>IF(G4223=1,0.2*R4223/E4223,M4222)</f>
        <v/>
      </c>
      <c r="N4223">
        <f>IF(G4223=1,0.2*R4223/F4223,N4222)</f>
        <v/>
      </c>
      <c r="O4223">
        <f>IF(G4223=1,R4223*(1-1.0),IF(H4222=0,1,O4222*(1+0.00023125256064071564)))</f>
        <v/>
      </c>
      <c r="P4223">
        <f>IF(G4223=1,IF(H4222=0,1,ABS(0.2-J4222*B4223/I4223)+ABS(0.2-K4222*C4223/I4223)+ABS(0.2-L4222*D4223/I4223)+ABS(0.2-M4222*E4223/I4223)+ABS(0.2-N4222*F4223/I4223)),0)</f>
        <v/>
      </c>
      <c r="Q4223">
        <f>P4223*0.0015</f>
        <v/>
      </c>
      <c r="R4223">
        <f>I4223*(1-Q4223)</f>
        <v/>
      </c>
      <c r="S4223">
        <f>R4223/R4222-1</f>
        <v/>
      </c>
      <c r="T4223">
        <f>MAX(T4222,R4223)</f>
        <v/>
      </c>
      <c r="U4223">
        <f>R4223/T4223-1</f>
        <v/>
      </c>
      <c r="V4223" t="n">
        <v>16.92829301187121</v>
      </c>
      <c r="W4223" s="5">
        <f>R4223-V4223</f>
        <v/>
      </c>
    </row>
    <row r="4224">
      <c r="A4224" s="3" t="n">
        <v>44659</v>
      </c>
      <c r="B4224">
        <f>Prices!B4224</f>
        <v/>
      </c>
      <c r="C4224">
        <f>Prices!C4224</f>
        <v/>
      </c>
      <c r="D4224">
        <f>Prices!D4224</f>
        <v/>
      </c>
      <c r="E4224">
        <f>Prices!E4224</f>
        <v/>
      </c>
      <c r="F4224">
        <f>Prices!F4224</f>
        <v/>
      </c>
      <c r="G4224">
        <f>IF(AND(4222&gt;=16,TEXT(A4224,"yyyy-mm")&lt;&gt;TEXT(A4225,"yyyy-mm")),1,0)</f>
        <v/>
      </c>
      <c r="H4224">
        <f>IF(OR(H4223=1,G4224=1),1,0)</f>
        <v/>
      </c>
      <c r="I4224">
        <f>IF(H4223=0,1,SUMPRODUCT(J4223:N4223,B4224:F4224)+O4223*(1+0.00023125256064071564))</f>
        <v/>
      </c>
      <c r="J4224">
        <f>IF(G4224=1,0.2*R4224/B4224,J4223)</f>
        <v/>
      </c>
      <c r="K4224">
        <f>IF(G4224=1,0.2*R4224/C4224,K4223)</f>
        <v/>
      </c>
      <c r="L4224">
        <f>IF(G4224=1,0.2*R4224/D4224,L4223)</f>
        <v/>
      </c>
      <c r="M4224">
        <f>IF(G4224=1,0.2*R4224/E4224,M4223)</f>
        <v/>
      </c>
      <c r="N4224">
        <f>IF(G4224=1,0.2*R4224/F4224,N4223)</f>
        <v/>
      </c>
      <c r="O4224">
        <f>IF(G4224=1,R4224*(1-1.0),IF(H4223=0,1,O4223*(1+0.00023125256064071564)))</f>
        <v/>
      </c>
      <c r="P4224">
        <f>IF(G4224=1,IF(H4223=0,1,ABS(0.2-J4223*B4224/I4224)+ABS(0.2-K4223*C4224/I4224)+ABS(0.2-L4223*D4224/I4224)+ABS(0.2-M4223*E4224/I4224)+ABS(0.2-N4223*F4224/I4224)),0)</f>
        <v/>
      </c>
      <c r="Q4224">
        <f>P4224*0.0015</f>
        <v/>
      </c>
      <c r="R4224">
        <f>I4224*(1-Q4224)</f>
        <v/>
      </c>
      <c r="S4224">
        <f>R4224/R4223-1</f>
        <v/>
      </c>
      <c r="T4224">
        <f>MAX(T4223,R4224)</f>
        <v/>
      </c>
      <c r="U4224">
        <f>R4224/T4224-1</f>
        <v/>
      </c>
      <c r="V4224" t="n">
        <v>17.08234299724878</v>
      </c>
      <c r="W4224" s="5">
        <f>R4224-V4224</f>
        <v/>
      </c>
    </row>
    <row r="4225">
      <c r="A4225" s="3" t="n">
        <v>44662</v>
      </c>
      <c r="B4225">
        <f>Prices!B4225</f>
        <v/>
      </c>
      <c r="C4225">
        <f>Prices!C4225</f>
        <v/>
      </c>
      <c r="D4225">
        <f>Prices!D4225</f>
        <v/>
      </c>
      <c r="E4225">
        <f>Prices!E4225</f>
        <v/>
      </c>
      <c r="F4225">
        <f>Prices!F4225</f>
        <v/>
      </c>
      <c r="G4225">
        <f>IF(AND(4223&gt;=16,TEXT(A4225,"yyyy-mm")&lt;&gt;TEXT(A4226,"yyyy-mm")),1,0)</f>
        <v/>
      </c>
      <c r="H4225">
        <f>IF(OR(H4224=1,G4225=1),1,0)</f>
        <v/>
      </c>
      <c r="I4225">
        <f>IF(H4224=0,1,SUMPRODUCT(J4224:N4224,B4225:F4225)+O4224*(1+0.00023125256064071564))</f>
        <v/>
      </c>
      <c r="J4225">
        <f>IF(G4225=1,0.2*R4225/B4225,J4224)</f>
        <v/>
      </c>
      <c r="K4225">
        <f>IF(G4225=1,0.2*R4225/C4225,K4224)</f>
        <v/>
      </c>
      <c r="L4225">
        <f>IF(G4225=1,0.2*R4225/D4225,L4224)</f>
        <v/>
      </c>
      <c r="M4225">
        <f>IF(G4225=1,0.2*R4225/E4225,M4224)</f>
        <v/>
      </c>
      <c r="N4225">
        <f>IF(G4225=1,0.2*R4225/F4225,N4224)</f>
        <v/>
      </c>
      <c r="O4225">
        <f>IF(G4225=1,R4225*(1-1.0),IF(H4224=0,1,O4224*(1+0.00023125256064071564)))</f>
        <v/>
      </c>
      <c r="P4225">
        <f>IF(G4225=1,IF(H4224=0,1,ABS(0.2-J4224*B4225/I4225)+ABS(0.2-K4224*C4225/I4225)+ABS(0.2-L4224*D4225/I4225)+ABS(0.2-M4224*E4225/I4225)+ABS(0.2-N4224*F4225/I4225)),0)</f>
        <v/>
      </c>
      <c r="Q4225">
        <f>P4225*0.0015</f>
        <v/>
      </c>
      <c r="R4225">
        <f>I4225*(1-Q4225)</f>
        <v/>
      </c>
      <c r="S4225">
        <f>R4225/R4224-1</f>
        <v/>
      </c>
      <c r="T4225">
        <f>MAX(T4224,R4225)</f>
        <v/>
      </c>
      <c r="U4225">
        <f>R4225/T4225-1</f>
        <v/>
      </c>
      <c r="V4225" t="n">
        <v>17.09004481567397</v>
      </c>
      <c r="W4225" s="5">
        <f>R4225-V4225</f>
        <v/>
      </c>
    </row>
    <row r="4226">
      <c r="A4226" s="3" t="n">
        <v>44663</v>
      </c>
      <c r="B4226">
        <f>Prices!B4226</f>
        <v/>
      </c>
      <c r="C4226">
        <f>Prices!C4226</f>
        <v/>
      </c>
      <c r="D4226">
        <f>Prices!D4226</f>
        <v/>
      </c>
      <c r="E4226">
        <f>Prices!E4226</f>
        <v/>
      </c>
      <c r="F4226">
        <f>Prices!F4226</f>
        <v/>
      </c>
      <c r="G4226">
        <f>IF(AND(4224&gt;=16,TEXT(A4226,"yyyy-mm")&lt;&gt;TEXT(A4227,"yyyy-mm")),1,0)</f>
        <v/>
      </c>
      <c r="H4226">
        <f>IF(OR(H4225=1,G4226=1),1,0)</f>
        <v/>
      </c>
      <c r="I4226">
        <f>IF(H4225=0,1,SUMPRODUCT(J4225:N4225,B4226:F4226)+O4225*(1+0.00023125256064071564))</f>
        <v/>
      </c>
      <c r="J4226">
        <f>IF(G4226=1,0.2*R4226/B4226,J4225)</f>
        <v/>
      </c>
      <c r="K4226">
        <f>IF(G4226=1,0.2*R4226/C4226,K4225)</f>
        <v/>
      </c>
      <c r="L4226">
        <f>IF(G4226=1,0.2*R4226/D4226,L4225)</f>
        <v/>
      </c>
      <c r="M4226">
        <f>IF(G4226=1,0.2*R4226/E4226,M4225)</f>
        <v/>
      </c>
      <c r="N4226">
        <f>IF(G4226=1,0.2*R4226/F4226,N4225)</f>
        <v/>
      </c>
      <c r="O4226">
        <f>IF(G4226=1,R4226*(1-1.0),IF(H4225=0,1,O4225*(1+0.00023125256064071564)))</f>
        <v/>
      </c>
      <c r="P4226">
        <f>IF(G4226=1,IF(H4225=0,1,ABS(0.2-J4225*B4226/I4226)+ABS(0.2-K4225*C4226/I4226)+ABS(0.2-L4225*D4226/I4226)+ABS(0.2-M4225*E4226/I4226)+ABS(0.2-N4225*F4226/I4226)),0)</f>
        <v/>
      </c>
      <c r="Q4226">
        <f>P4226*0.0015</f>
        <v/>
      </c>
      <c r="R4226">
        <f>I4226*(1-Q4226)</f>
        <v/>
      </c>
      <c r="S4226">
        <f>R4226/R4225-1</f>
        <v/>
      </c>
      <c r="T4226">
        <f>MAX(T4225,R4226)</f>
        <v/>
      </c>
      <c r="U4226">
        <f>R4226/T4226-1</f>
        <v/>
      </c>
      <c r="V4226" t="n">
        <v>16.78502048055099</v>
      </c>
      <c r="W4226" s="5">
        <f>R4226-V4226</f>
        <v/>
      </c>
    </row>
    <row r="4227">
      <c r="A4227" s="3" t="n">
        <v>44664</v>
      </c>
      <c r="B4227">
        <f>Prices!B4227</f>
        <v/>
      </c>
      <c r="C4227">
        <f>Prices!C4227</f>
        <v/>
      </c>
      <c r="D4227">
        <f>Prices!D4227</f>
        <v/>
      </c>
      <c r="E4227">
        <f>Prices!E4227</f>
        <v/>
      </c>
      <c r="F4227">
        <f>Prices!F4227</f>
        <v/>
      </c>
      <c r="G4227">
        <f>IF(AND(4225&gt;=16,TEXT(A4227,"yyyy-mm")&lt;&gt;TEXT(A4228,"yyyy-mm")),1,0)</f>
        <v/>
      </c>
      <c r="H4227">
        <f>IF(OR(H4226=1,G4227=1),1,0)</f>
        <v/>
      </c>
      <c r="I4227">
        <f>IF(H4226=0,1,SUMPRODUCT(J4226:N4226,B4227:F4227)+O4226*(1+0.00023125256064071564))</f>
        <v/>
      </c>
      <c r="J4227">
        <f>IF(G4227=1,0.2*R4227/B4227,J4226)</f>
        <v/>
      </c>
      <c r="K4227">
        <f>IF(G4227=1,0.2*R4227/C4227,K4226)</f>
        <v/>
      </c>
      <c r="L4227">
        <f>IF(G4227=1,0.2*R4227/D4227,L4226)</f>
        <v/>
      </c>
      <c r="M4227">
        <f>IF(G4227=1,0.2*R4227/E4227,M4226)</f>
        <v/>
      </c>
      <c r="N4227">
        <f>IF(G4227=1,0.2*R4227/F4227,N4226)</f>
        <v/>
      </c>
      <c r="O4227">
        <f>IF(G4227=1,R4227*(1-1.0),IF(H4226=0,1,O4226*(1+0.00023125256064071564)))</f>
        <v/>
      </c>
      <c r="P4227">
        <f>IF(G4227=1,IF(H4226=0,1,ABS(0.2-J4226*B4227/I4227)+ABS(0.2-K4226*C4227/I4227)+ABS(0.2-L4226*D4227/I4227)+ABS(0.2-M4226*E4227/I4227)+ABS(0.2-N4226*F4227/I4227)),0)</f>
        <v/>
      </c>
      <c r="Q4227">
        <f>P4227*0.0015</f>
        <v/>
      </c>
      <c r="R4227">
        <f>I4227*(1-Q4227)</f>
        <v/>
      </c>
      <c r="S4227">
        <f>R4227/R4226-1</f>
        <v/>
      </c>
      <c r="T4227">
        <f>MAX(T4226,R4227)</f>
        <v/>
      </c>
      <c r="U4227">
        <f>R4227/T4227-1</f>
        <v/>
      </c>
      <c r="V4227" t="n">
        <v>16.79006117776509</v>
      </c>
      <c r="W4227" s="5">
        <f>R4227-V4227</f>
        <v/>
      </c>
    </row>
    <row r="4228">
      <c r="A4228" s="3" t="n">
        <v>44669</v>
      </c>
      <c r="B4228">
        <f>Prices!B4228</f>
        <v/>
      </c>
      <c r="C4228">
        <f>Prices!C4228</f>
        <v/>
      </c>
      <c r="D4228">
        <f>Prices!D4228</f>
        <v/>
      </c>
      <c r="E4228">
        <f>Prices!E4228</f>
        <v/>
      </c>
      <c r="F4228">
        <f>Prices!F4228</f>
        <v/>
      </c>
      <c r="G4228">
        <f>IF(AND(4226&gt;=16,TEXT(A4228,"yyyy-mm")&lt;&gt;TEXT(A4229,"yyyy-mm")),1,0)</f>
        <v/>
      </c>
      <c r="H4228">
        <f>IF(OR(H4227=1,G4228=1),1,0)</f>
        <v/>
      </c>
      <c r="I4228">
        <f>IF(H4227=0,1,SUMPRODUCT(J4227:N4227,B4228:F4228)+O4227*(1+0.00023125256064071564))</f>
        <v/>
      </c>
      <c r="J4228">
        <f>IF(G4228=1,0.2*R4228/B4228,J4227)</f>
        <v/>
      </c>
      <c r="K4228">
        <f>IF(G4228=1,0.2*R4228/C4228,K4227)</f>
        <v/>
      </c>
      <c r="L4228">
        <f>IF(G4228=1,0.2*R4228/D4228,L4227)</f>
        <v/>
      </c>
      <c r="M4228">
        <f>IF(G4228=1,0.2*R4228/E4228,M4227)</f>
        <v/>
      </c>
      <c r="N4228">
        <f>IF(G4228=1,0.2*R4228/F4228,N4227)</f>
        <v/>
      </c>
      <c r="O4228">
        <f>IF(G4228=1,R4228*(1-1.0),IF(H4227=0,1,O4227*(1+0.00023125256064071564)))</f>
        <v/>
      </c>
      <c r="P4228">
        <f>IF(G4228=1,IF(H4227=0,1,ABS(0.2-J4227*B4228/I4228)+ABS(0.2-K4227*C4228/I4228)+ABS(0.2-L4227*D4228/I4228)+ABS(0.2-M4227*E4228/I4228)+ABS(0.2-N4227*F4228/I4228)),0)</f>
        <v/>
      </c>
      <c r="Q4228">
        <f>P4228*0.0015</f>
        <v/>
      </c>
      <c r="R4228">
        <f>I4228*(1-Q4228)</f>
        <v/>
      </c>
      <c r="S4228">
        <f>R4228/R4227-1</f>
        <v/>
      </c>
      <c r="T4228">
        <f>MAX(T4227,R4228)</f>
        <v/>
      </c>
      <c r="U4228">
        <f>R4228/T4228-1</f>
        <v/>
      </c>
      <c r="V4228" t="n">
        <v>16.62676950968809</v>
      </c>
      <c r="W4228" s="5">
        <f>R4228-V4228</f>
        <v/>
      </c>
    </row>
    <row r="4229">
      <c r="A4229" s="3" t="n">
        <v>44670</v>
      </c>
      <c r="B4229">
        <f>Prices!B4229</f>
        <v/>
      </c>
      <c r="C4229">
        <f>Prices!C4229</f>
        <v/>
      </c>
      <c r="D4229">
        <f>Prices!D4229</f>
        <v/>
      </c>
      <c r="E4229">
        <f>Prices!E4229</f>
        <v/>
      </c>
      <c r="F4229">
        <f>Prices!F4229</f>
        <v/>
      </c>
      <c r="G4229">
        <f>IF(AND(4227&gt;=16,TEXT(A4229,"yyyy-mm")&lt;&gt;TEXT(A4230,"yyyy-mm")),1,0)</f>
        <v/>
      </c>
      <c r="H4229">
        <f>IF(OR(H4228=1,G4229=1),1,0)</f>
        <v/>
      </c>
      <c r="I4229">
        <f>IF(H4228=0,1,SUMPRODUCT(J4228:N4228,B4229:F4229)+O4228*(1+0.00023125256064071564))</f>
        <v/>
      </c>
      <c r="J4229">
        <f>IF(G4229=1,0.2*R4229/B4229,J4228)</f>
        <v/>
      </c>
      <c r="K4229">
        <f>IF(G4229=1,0.2*R4229/C4229,K4228)</f>
        <v/>
      </c>
      <c r="L4229">
        <f>IF(G4229=1,0.2*R4229/D4229,L4228)</f>
        <v/>
      </c>
      <c r="M4229">
        <f>IF(G4229=1,0.2*R4229/E4229,M4228)</f>
        <v/>
      </c>
      <c r="N4229">
        <f>IF(G4229=1,0.2*R4229/F4229,N4228)</f>
        <v/>
      </c>
      <c r="O4229">
        <f>IF(G4229=1,R4229*(1-1.0),IF(H4228=0,1,O4228*(1+0.00023125256064071564)))</f>
        <v/>
      </c>
      <c r="P4229">
        <f>IF(G4229=1,IF(H4228=0,1,ABS(0.2-J4228*B4229/I4229)+ABS(0.2-K4228*C4229/I4229)+ABS(0.2-L4228*D4229/I4229)+ABS(0.2-M4228*E4229/I4229)+ABS(0.2-N4228*F4229/I4229)),0)</f>
        <v/>
      </c>
      <c r="Q4229">
        <f>P4229*0.0015</f>
        <v/>
      </c>
      <c r="R4229">
        <f>I4229*(1-Q4229)</f>
        <v/>
      </c>
      <c r="S4229">
        <f>R4229/R4228-1</f>
        <v/>
      </c>
      <c r="T4229">
        <f>MAX(T4228,R4229)</f>
        <v/>
      </c>
      <c r="U4229">
        <f>R4229/T4229-1</f>
        <v/>
      </c>
      <c r="V4229" t="n">
        <v>16.37616088238168</v>
      </c>
      <c r="W4229" s="5">
        <f>R4229-V4229</f>
        <v/>
      </c>
    </row>
    <row r="4230">
      <c r="A4230" s="3" t="n">
        <v>44671</v>
      </c>
      <c r="B4230">
        <f>Prices!B4230</f>
        <v/>
      </c>
      <c r="C4230">
        <f>Prices!C4230</f>
        <v/>
      </c>
      <c r="D4230">
        <f>Prices!D4230</f>
        <v/>
      </c>
      <c r="E4230">
        <f>Prices!E4230</f>
        <v/>
      </c>
      <c r="F4230">
        <f>Prices!F4230</f>
        <v/>
      </c>
      <c r="G4230">
        <f>IF(AND(4228&gt;=16,TEXT(A4230,"yyyy-mm")&lt;&gt;TEXT(A4231,"yyyy-mm")),1,0)</f>
        <v/>
      </c>
      <c r="H4230">
        <f>IF(OR(H4229=1,G4230=1),1,0)</f>
        <v/>
      </c>
      <c r="I4230">
        <f>IF(H4229=0,1,SUMPRODUCT(J4229:N4229,B4230:F4230)+O4229*(1+0.00023125256064071564))</f>
        <v/>
      </c>
      <c r="J4230">
        <f>IF(G4230=1,0.2*R4230/B4230,J4229)</f>
        <v/>
      </c>
      <c r="K4230">
        <f>IF(G4230=1,0.2*R4230/C4230,K4229)</f>
        <v/>
      </c>
      <c r="L4230">
        <f>IF(G4230=1,0.2*R4230/D4230,L4229)</f>
        <v/>
      </c>
      <c r="M4230">
        <f>IF(G4230=1,0.2*R4230/E4230,M4229)</f>
        <v/>
      </c>
      <c r="N4230">
        <f>IF(G4230=1,0.2*R4230/F4230,N4229)</f>
        <v/>
      </c>
      <c r="O4230">
        <f>IF(G4230=1,R4230*(1-1.0),IF(H4229=0,1,O4229*(1+0.00023125256064071564)))</f>
        <v/>
      </c>
      <c r="P4230">
        <f>IF(G4230=1,IF(H4229=0,1,ABS(0.2-J4229*B4230/I4230)+ABS(0.2-K4229*C4230/I4230)+ABS(0.2-L4229*D4230/I4230)+ABS(0.2-M4229*E4230/I4230)+ABS(0.2-N4229*F4230/I4230)),0)</f>
        <v/>
      </c>
      <c r="Q4230">
        <f>P4230*0.0015</f>
        <v/>
      </c>
      <c r="R4230">
        <f>I4230*(1-Q4230)</f>
        <v/>
      </c>
      <c r="S4230">
        <f>R4230/R4229-1</f>
        <v/>
      </c>
      <c r="T4230">
        <f>MAX(T4229,R4230)</f>
        <v/>
      </c>
      <c r="U4230">
        <f>R4230/T4230-1</f>
        <v/>
      </c>
      <c r="V4230" t="n">
        <v>16.44820382784718</v>
      </c>
      <c r="W4230" s="5">
        <f>R4230-V4230</f>
        <v/>
      </c>
    </row>
    <row r="4231">
      <c r="A4231" s="3" t="n">
        <v>44672</v>
      </c>
      <c r="B4231">
        <f>Prices!B4231</f>
        <v/>
      </c>
      <c r="C4231">
        <f>Prices!C4231</f>
        <v/>
      </c>
      <c r="D4231">
        <f>Prices!D4231</f>
        <v/>
      </c>
      <c r="E4231">
        <f>Prices!E4231</f>
        <v/>
      </c>
      <c r="F4231">
        <f>Prices!F4231</f>
        <v/>
      </c>
      <c r="G4231">
        <f>IF(AND(4229&gt;=16,TEXT(A4231,"yyyy-mm")&lt;&gt;TEXT(A4232,"yyyy-mm")),1,0)</f>
        <v/>
      </c>
      <c r="H4231">
        <f>IF(OR(H4230=1,G4231=1),1,0)</f>
        <v/>
      </c>
      <c r="I4231">
        <f>IF(H4230=0,1,SUMPRODUCT(J4230:N4230,B4231:F4231)+O4230*(1+0.00023125256064071564))</f>
        <v/>
      </c>
      <c r="J4231">
        <f>IF(G4231=1,0.2*R4231/B4231,J4230)</f>
        <v/>
      </c>
      <c r="K4231">
        <f>IF(G4231=1,0.2*R4231/C4231,K4230)</f>
        <v/>
      </c>
      <c r="L4231">
        <f>IF(G4231=1,0.2*R4231/D4231,L4230)</f>
        <v/>
      </c>
      <c r="M4231">
        <f>IF(G4231=1,0.2*R4231/E4231,M4230)</f>
        <v/>
      </c>
      <c r="N4231">
        <f>IF(G4231=1,0.2*R4231/F4231,N4230)</f>
        <v/>
      </c>
      <c r="O4231">
        <f>IF(G4231=1,R4231*(1-1.0),IF(H4230=0,1,O4230*(1+0.00023125256064071564)))</f>
        <v/>
      </c>
      <c r="P4231">
        <f>IF(G4231=1,IF(H4230=0,1,ABS(0.2-J4230*B4231/I4231)+ABS(0.2-K4230*C4231/I4231)+ABS(0.2-L4230*D4231/I4231)+ABS(0.2-M4230*E4231/I4231)+ABS(0.2-N4230*F4231/I4231)),0)</f>
        <v/>
      </c>
      <c r="Q4231">
        <f>P4231*0.0015</f>
        <v/>
      </c>
      <c r="R4231">
        <f>I4231*(1-Q4231)</f>
        <v/>
      </c>
      <c r="S4231">
        <f>R4231/R4230-1</f>
        <v/>
      </c>
      <c r="T4231">
        <f>MAX(T4230,R4231)</f>
        <v/>
      </c>
      <c r="U4231">
        <f>R4231/T4231-1</f>
        <v/>
      </c>
      <c r="V4231" t="n">
        <v>16.67265381590977</v>
      </c>
      <c r="W4231" s="5">
        <f>R4231-V4231</f>
        <v/>
      </c>
    </row>
    <row r="4232">
      <c r="A4232" s="3" t="n">
        <v>44673</v>
      </c>
      <c r="B4232">
        <f>Prices!B4232</f>
        <v/>
      </c>
      <c r="C4232">
        <f>Prices!C4232</f>
        <v/>
      </c>
      <c r="D4232">
        <f>Prices!D4232</f>
        <v/>
      </c>
      <c r="E4232">
        <f>Prices!E4232</f>
        <v/>
      </c>
      <c r="F4232">
        <f>Prices!F4232</f>
        <v/>
      </c>
      <c r="G4232">
        <f>IF(AND(4230&gt;=16,TEXT(A4232,"yyyy-mm")&lt;&gt;TEXT(A4233,"yyyy-mm")),1,0)</f>
        <v/>
      </c>
      <c r="H4232">
        <f>IF(OR(H4231=1,G4232=1),1,0)</f>
        <v/>
      </c>
      <c r="I4232">
        <f>IF(H4231=0,1,SUMPRODUCT(J4231:N4231,B4232:F4232)+O4231*(1+0.00023125256064071564))</f>
        <v/>
      </c>
      <c r="J4232">
        <f>IF(G4232=1,0.2*R4232/B4232,J4231)</f>
        <v/>
      </c>
      <c r="K4232">
        <f>IF(G4232=1,0.2*R4232/C4232,K4231)</f>
        <v/>
      </c>
      <c r="L4232">
        <f>IF(G4232=1,0.2*R4232/D4232,L4231)</f>
        <v/>
      </c>
      <c r="M4232">
        <f>IF(G4232=1,0.2*R4232/E4232,M4231)</f>
        <v/>
      </c>
      <c r="N4232">
        <f>IF(G4232=1,0.2*R4232/F4232,N4231)</f>
        <v/>
      </c>
      <c r="O4232">
        <f>IF(G4232=1,R4232*(1-1.0),IF(H4231=0,1,O4231*(1+0.00023125256064071564)))</f>
        <v/>
      </c>
      <c r="P4232">
        <f>IF(G4232=1,IF(H4231=0,1,ABS(0.2-J4231*B4232/I4232)+ABS(0.2-K4231*C4232/I4232)+ABS(0.2-L4231*D4232/I4232)+ABS(0.2-M4231*E4232/I4232)+ABS(0.2-N4231*F4232/I4232)),0)</f>
        <v/>
      </c>
      <c r="Q4232">
        <f>P4232*0.0015</f>
        <v/>
      </c>
      <c r="R4232">
        <f>I4232*(1-Q4232)</f>
        <v/>
      </c>
      <c r="S4232">
        <f>R4232/R4231-1</f>
        <v/>
      </c>
      <c r="T4232">
        <f>MAX(T4231,R4232)</f>
        <v/>
      </c>
      <c r="U4232">
        <f>R4232/T4232-1</f>
        <v/>
      </c>
      <c r="V4232" t="n">
        <v>16.54006018467354</v>
      </c>
      <c r="W4232" s="5">
        <f>R4232-V4232</f>
        <v/>
      </c>
    </row>
    <row r="4233">
      <c r="A4233" s="3" t="n">
        <v>44676</v>
      </c>
      <c r="B4233">
        <f>Prices!B4233</f>
        <v/>
      </c>
      <c r="C4233">
        <f>Prices!C4233</f>
        <v/>
      </c>
      <c r="D4233">
        <f>Prices!D4233</f>
        <v/>
      </c>
      <c r="E4233">
        <f>Prices!E4233</f>
        <v/>
      </c>
      <c r="F4233">
        <f>Prices!F4233</f>
        <v/>
      </c>
      <c r="G4233">
        <f>IF(AND(4231&gt;=16,TEXT(A4233,"yyyy-mm")&lt;&gt;TEXT(A4234,"yyyy-mm")),1,0)</f>
        <v/>
      </c>
      <c r="H4233">
        <f>IF(OR(H4232=1,G4233=1),1,0)</f>
        <v/>
      </c>
      <c r="I4233">
        <f>IF(H4232=0,1,SUMPRODUCT(J4232:N4232,B4233:F4233)+O4232*(1+0.00023125256064071564))</f>
        <v/>
      </c>
      <c r="J4233">
        <f>IF(G4233=1,0.2*R4233/B4233,J4232)</f>
        <v/>
      </c>
      <c r="K4233">
        <f>IF(G4233=1,0.2*R4233/C4233,K4232)</f>
        <v/>
      </c>
      <c r="L4233">
        <f>IF(G4233=1,0.2*R4233/D4233,L4232)</f>
        <v/>
      </c>
      <c r="M4233">
        <f>IF(G4233=1,0.2*R4233/E4233,M4232)</f>
        <v/>
      </c>
      <c r="N4233">
        <f>IF(G4233=1,0.2*R4233/F4233,N4232)</f>
        <v/>
      </c>
      <c r="O4233">
        <f>IF(G4233=1,R4233*(1-1.0),IF(H4232=0,1,O4232*(1+0.00023125256064071564)))</f>
        <v/>
      </c>
      <c r="P4233">
        <f>IF(G4233=1,IF(H4232=0,1,ABS(0.2-J4232*B4233/I4233)+ABS(0.2-K4232*C4233/I4233)+ABS(0.2-L4232*D4233/I4233)+ABS(0.2-M4232*E4233/I4233)+ABS(0.2-N4232*F4233/I4233)),0)</f>
        <v/>
      </c>
      <c r="Q4233">
        <f>P4233*0.0015</f>
        <v/>
      </c>
      <c r="R4233">
        <f>I4233*(1-Q4233)</f>
        <v/>
      </c>
      <c r="S4233">
        <f>R4233/R4232-1</f>
        <v/>
      </c>
      <c r="T4233">
        <f>MAX(T4232,R4233)</f>
        <v/>
      </c>
      <c r="U4233">
        <f>R4233/T4233-1</f>
        <v/>
      </c>
      <c r="V4233" t="n">
        <v>16.15698359150722</v>
      </c>
      <c r="W4233" s="5">
        <f>R4233-V4233</f>
        <v/>
      </c>
    </row>
    <row r="4234">
      <c r="A4234" s="3" t="n">
        <v>44677</v>
      </c>
      <c r="B4234">
        <f>Prices!B4234</f>
        <v/>
      </c>
      <c r="C4234">
        <f>Prices!C4234</f>
        <v/>
      </c>
      <c r="D4234">
        <f>Prices!D4234</f>
        <v/>
      </c>
      <c r="E4234">
        <f>Prices!E4234</f>
        <v/>
      </c>
      <c r="F4234">
        <f>Prices!F4234</f>
        <v/>
      </c>
      <c r="G4234">
        <f>IF(AND(4232&gt;=16,TEXT(A4234,"yyyy-mm")&lt;&gt;TEXT(A4235,"yyyy-mm")),1,0)</f>
        <v/>
      </c>
      <c r="H4234">
        <f>IF(OR(H4233=1,G4234=1),1,0)</f>
        <v/>
      </c>
      <c r="I4234">
        <f>IF(H4233=0,1,SUMPRODUCT(J4233:N4233,B4234:F4234)+O4233*(1+0.00023125256064071564))</f>
        <v/>
      </c>
      <c r="J4234">
        <f>IF(G4234=1,0.2*R4234/B4234,J4233)</f>
        <v/>
      </c>
      <c r="K4234">
        <f>IF(G4234=1,0.2*R4234/C4234,K4233)</f>
        <v/>
      </c>
      <c r="L4234">
        <f>IF(G4234=1,0.2*R4234/D4234,L4233)</f>
        <v/>
      </c>
      <c r="M4234">
        <f>IF(G4234=1,0.2*R4234/E4234,M4233)</f>
        <v/>
      </c>
      <c r="N4234">
        <f>IF(G4234=1,0.2*R4234/F4234,N4233)</f>
        <v/>
      </c>
      <c r="O4234">
        <f>IF(G4234=1,R4234*(1-1.0),IF(H4233=0,1,O4233*(1+0.00023125256064071564)))</f>
        <v/>
      </c>
      <c r="P4234">
        <f>IF(G4234=1,IF(H4233=0,1,ABS(0.2-J4233*B4234/I4234)+ABS(0.2-K4233*C4234/I4234)+ABS(0.2-L4233*D4234/I4234)+ABS(0.2-M4233*E4234/I4234)+ABS(0.2-N4233*F4234/I4234)),0)</f>
        <v/>
      </c>
      <c r="Q4234">
        <f>P4234*0.0015</f>
        <v/>
      </c>
      <c r="R4234">
        <f>I4234*(1-Q4234)</f>
        <v/>
      </c>
      <c r="S4234">
        <f>R4234/R4233-1</f>
        <v/>
      </c>
      <c r="T4234">
        <f>MAX(T4233,R4234)</f>
        <v/>
      </c>
      <c r="U4234">
        <f>R4234/T4234-1</f>
        <v/>
      </c>
      <c r="V4234" t="n">
        <v>16.35752781246181</v>
      </c>
      <c r="W4234" s="5">
        <f>R4234-V4234</f>
        <v/>
      </c>
    </row>
    <row r="4235">
      <c r="A4235" s="3" t="n">
        <v>44678</v>
      </c>
      <c r="B4235">
        <f>Prices!B4235</f>
        <v/>
      </c>
      <c r="C4235">
        <f>Prices!C4235</f>
        <v/>
      </c>
      <c r="D4235">
        <f>Prices!D4235</f>
        <v/>
      </c>
      <c r="E4235">
        <f>Prices!E4235</f>
        <v/>
      </c>
      <c r="F4235">
        <f>Prices!F4235</f>
        <v/>
      </c>
      <c r="G4235">
        <f>IF(AND(4233&gt;=16,TEXT(A4235,"yyyy-mm")&lt;&gt;TEXT(A4236,"yyyy-mm")),1,0)</f>
        <v/>
      </c>
      <c r="H4235">
        <f>IF(OR(H4234=1,G4235=1),1,0)</f>
        <v/>
      </c>
      <c r="I4235">
        <f>IF(H4234=0,1,SUMPRODUCT(J4234:N4234,B4235:F4235)+O4234*(1+0.00023125256064071564))</f>
        <v/>
      </c>
      <c r="J4235">
        <f>IF(G4235=1,0.2*R4235/B4235,J4234)</f>
        <v/>
      </c>
      <c r="K4235">
        <f>IF(G4235=1,0.2*R4235/C4235,K4234)</f>
        <v/>
      </c>
      <c r="L4235">
        <f>IF(G4235=1,0.2*R4235/D4235,L4234)</f>
        <v/>
      </c>
      <c r="M4235">
        <f>IF(G4235=1,0.2*R4235/E4235,M4234)</f>
        <v/>
      </c>
      <c r="N4235">
        <f>IF(G4235=1,0.2*R4235/F4235,N4234)</f>
        <v/>
      </c>
      <c r="O4235">
        <f>IF(G4235=1,R4235*(1-1.0),IF(H4234=0,1,O4234*(1+0.00023125256064071564)))</f>
        <v/>
      </c>
      <c r="P4235">
        <f>IF(G4235=1,IF(H4234=0,1,ABS(0.2-J4234*B4235/I4235)+ABS(0.2-K4234*C4235/I4235)+ABS(0.2-L4234*D4235/I4235)+ABS(0.2-M4234*E4235/I4235)+ABS(0.2-N4234*F4235/I4235)),0)</f>
        <v/>
      </c>
      <c r="Q4235">
        <f>P4235*0.0015</f>
        <v/>
      </c>
      <c r="R4235">
        <f>I4235*(1-Q4235)</f>
        <v/>
      </c>
      <c r="S4235">
        <f>R4235/R4234-1</f>
        <v/>
      </c>
      <c r="T4235">
        <f>MAX(T4234,R4235)</f>
        <v/>
      </c>
      <c r="U4235">
        <f>R4235/T4235-1</f>
        <v/>
      </c>
      <c r="V4235" t="n">
        <v>16.22782306222522</v>
      </c>
      <c r="W4235" s="5">
        <f>R4235-V4235</f>
        <v/>
      </c>
    </row>
    <row r="4236">
      <c r="A4236" s="3" t="n">
        <v>44679</v>
      </c>
      <c r="B4236">
        <f>Prices!B4236</f>
        <v/>
      </c>
      <c r="C4236">
        <f>Prices!C4236</f>
        <v/>
      </c>
      <c r="D4236">
        <f>Prices!D4236</f>
        <v/>
      </c>
      <c r="E4236">
        <f>Prices!E4236</f>
        <v/>
      </c>
      <c r="F4236">
        <f>Prices!F4236</f>
        <v/>
      </c>
      <c r="G4236">
        <f>IF(AND(4234&gt;=16,TEXT(A4236,"yyyy-mm")&lt;&gt;TEXT(A4237,"yyyy-mm")),1,0)</f>
        <v/>
      </c>
      <c r="H4236">
        <f>IF(OR(H4235=1,G4236=1),1,0)</f>
        <v/>
      </c>
      <c r="I4236">
        <f>IF(H4235=0,1,SUMPRODUCT(J4235:N4235,B4236:F4236)+O4235*(1+0.00023125256064071564))</f>
        <v/>
      </c>
      <c r="J4236">
        <f>IF(G4236=1,0.2*R4236/B4236,J4235)</f>
        <v/>
      </c>
      <c r="K4236">
        <f>IF(G4236=1,0.2*R4236/C4236,K4235)</f>
        <v/>
      </c>
      <c r="L4236">
        <f>IF(G4236=1,0.2*R4236/D4236,L4235)</f>
        <v/>
      </c>
      <c r="M4236">
        <f>IF(G4236=1,0.2*R4236/E4236,M4235)</f>
        <v/>
      </c>
      <c r="N4236">
        <f>IF(G4236=1,0.2*R4236/F4236,N4235)</f>
        <v/>
      </c>
      <c r="O4236">
        <f>IF(G4236=1,R4236*(1-1.0),IF(H4235=0,1,O4235*(1+0.00023125256064071564)))</f>
        <v/>
      </c>
      <c r="P4236">
        <f>IF(G4236=1,IF(H4235=0,1,ABS(0.2-J4235*B4236/I4236)+ABS(0.2-K4235*C4236/I4236)+ABS(0.2-L4235*D4236/I4236)+ABS(0.2-M4235*E4236/I4236)+ABS(0.2-N4235*F4236/I4236)),0)</f>
        <v/>
      </c>
      <c r="Q4236">
        <f>P4236*0.0015</f>
        <v/>
      </c>
      <c r="R4236">
        <f>I4236*(1-Q4236)</f>
        <v/>
      </c>
      <c r="S4236">
        <f>R4236/R4235-1</f>
        <v/>
      </c>
      <c r="T4236">
        <f>MAX(T4235,R4236)</f>
        <v/>
      </c>
      <c r="U4236">
        <f>R4236/T4236-1</f>
        <v/>
      </c>
      <c r="V4236" t="n">
        <v>16.36584898837474</v>
      </c>
      <c r="W4236" s="5">
        <f>R4236-V4236</f>
        <v/>
      </c>
    </row>
    <row r="4237">
      <c r="A4237" s="3" t="n">
        <v>44680</v>
      </c>
      <c r="B4237">
        <f>Prices!B4237</f>
        <v/>
      </c>
      <c r="C4237">
        <f>Prices!C4237</f>
        <v/>
      </c>
      <c r="D4237">
        <f>Prices!D4237</f>
        <v/>
      </c>
      <c r="E4237">
        <f>Prices!E4237</f>
        <v/>
      </c>
      <c r="F4237">
        <f>Prices!F4237</f>
        <v/>
      </c>
      <c r="G4237">
        <f>IF(AND(4235&gt;=16,TEXT(A4237,"yyyy-mm")&lt;&gt;TEXT(A4238,"yyyy-mm")),1,0)</f>
        <v/>
      </c>
      <c r="H4237">
        <f>IF(OR(H4236=1,G4237=1),1,0)</f>
        <v/>
      </c>
      <c r="I4237">
        <f>IF(H4236=0,1,SUMPRODUCT(J4236:N4236,B4237:F4237)+O4236*(1+0.00023125256064071564))</f>
        <v/>
      </c>
      <c r="J4237">
        <f>IF(G4237=1,0.2*R4237/B4237,J4236)</f>
        <v/>
      </c>
      <c r="K4237">
        <f>IF(G4237=1,0.2*R4237/C4237,K4236)</f>
        <v/>
      </c>
      <c r="L4237">
        <f>IF(G4237=1,0.2*R4237/D4237,L4236)</f>
        <v/>
      </c>
      <c r="M4237">
        <f>IF(G4237=1,0.2*R4237/E4237,M4236)</f>
        <v/>
      </c>
      <c r="N4237">
        <f>IF(G4237=1,0.2*R4237/F4237,N4236)</f>
        <v/>
      </c>
      <c r="O4237">
        <f>IF(G4237=1,R4237*(1-1.0),IF(H4236=0,1,O4236*(1+0.00023125256064071564)))</f>
        <v/>
      </c>
      <c r="P4237">
        <f>IF(G4237=1,IF(H4236=0,1,ABS(0.2-J4236*B4237/I4237)+ABS(0.2-K4236*C4237/I4237)+ABS(0.2-L4236*D4237/I4237)+ABS(0.2-M4236*E4237/I4237)+ABS(0.2-N4236*F4237/I4237)),0)</f>
        <v/>
      </c>
      <c r="Q4237">
        <f>P4237*0.0015</f>
        <v/>
      </c>
      <c r="R4237">
        <f>I4237*(1-Q4237)</f>
        <v/>
      </c>
      <c r="S4237">
        <f>R4237/R4236-1</f>
        <v/>
      </c>
      <c r="T4237">
        <f>MAX(T4236,R4237)</f>
        <v/>
      </c>
      <c r="U4237">
        <f>R4237/T4237-1</f>
        <v/>
      </c>
      <c r="V4237" t="n">
        <v>16.19481114334936</v>
      </c>
      <c r="W4237" s="5">
        <f>R4237-V4237</f>
        <v/>
      </c>
    </row>
    <row r="4238">
      <c r="A4238" s="3" t="n">
        <v>44683</v>
      </c>
      <c r="B4238">
        <f>Prices!B4238</f>
        <v/>
      </c>
      <c r="C4238">
        <f>Prices!C4238</f>
        <v/>
      </c>
      <c r="D4238">
        <f>Prices!D4238</f>
        <v/>
      </c>
      <c r="E4238">
        <f>Prices!E4238</f>
        <v/>
      </c>
      <c r="F4238">
        <f>Prices!F4238</f>
        <v/>
      </c>
      <c r="G4238">
        <f>IF(AND(4236&gt;=16,TEXT(A4238,"yyyy-mm")&lt;&gt;TEXT(A4239,"yyyy-mm")),1,0)</f>
        <v/>
      </c>
      <c r="H4238">
        <f>IF(OR(H4237=1,G4238=1),1,0)</f>
        <v/>
      </c>
      <c r="I4238">
        <f>IF(H4237=0,1,SUMPRODUCT(J4237:N4237,B4238:F4238)+O4237*(1+0.00023125256064071564))</f>
        <v/>
      </c>
      <c r="J4238">
        <f>IF(G4238=1,0.2*R4238/B4238,J4237)</f>
        <v/>
      </c>
      <c r="K4238">
        <f>IF(G4238=1,0.2*R4238/C4238,K4237)</f>
        <v/>
      </c>
      <c r="L4238">
        <f>IF(G4238=1,0.2*R4238/D4238,L4237)</f>
        <v/>
      </c>
      <c r="M4238">
        <f>IF(G4238=1,0.2*R4238/E4238,M4237)</f>
        <v/>
      </c>
      <c r="N4238">
        <f>IF(G4238=1,0.2*R4238/F4238,N4237)</f>
        <v/>
      </c>
      <c r="O4238">
        <f>IF(G4238=1,R4238*(1-1.0),IF(H4237=0,1,O4237*(1+0.00023125256064071564)))</f>
        <v/>
      </c>
      <c r="P4238">
        <f>IF(G4238=1,IF(H4237=0,1,ABS(0.2-J4237*B4238/I4238)+ABS(0.2-K4237*C4238/I4238)+ABS(0.2-L4237*D4238/I4238)+ABS(0.2-M4237*E4238/I4238)+ABS(0.2-N4237*F4238/I4238)),0)</f>
        <v/>
      </c>
      <c r="Q4238">
        <f>P4238*0.0015</f>
        <v/>
      </c>
      <c r="R4238">
        <f>I4238*(1-Q4238)</f>
        <v/>
      </c>
      <c r="S4238">
        <f>R4238/R4237-1</f>
        <v/>
      </c>
      <c r="T4238">
        <f>MAX(T4237,R4238)</f>
        <v/>
      </c>
      <c r="U4238">
        <f>R4238/T4238-1</f>
        <v/>
      </c>
      <c r="V4238" t="n">
        <v>16.07087929831186</v>
      </c>
      <c r="W4238" s="5">
        <f>R4238-V4238</f>
        <v/>
      </c>
    </row>
    <row r="4239">
      <c r="A4239" s="3" t="n">
        <v>44685</v>
      </c>
      <c r="B4239">
        <f>Prices!B4239</f>
        <v/>
      </c>
      <c r="C4239">
        <f>Prices!C4239</f>
        <v/>
      </c>
      <c r="D4239">
        <f>Prices!D4239</f>
        <v/>
      </c>
      <c r="E4239">
        <f>Prices!E4239</f>
        <v/>
      </c>
      <c r="F4239">
        <f>Prices!F4239</f>
        <v/>
      </c>
      <c r="G4239">
        <f>IF(AND(4237&gt;=16,TEXT(A4239,"yyyy-mm")&lt;&gt;TEXT(A4240,"yyyy-mm")),1,0)</f>
        <v/>
      </c>
      <c r="H4239">
        <f>IF(OR(H4238=1,G4239=1),1,0)</f>
        <v/>
      </c>
      <c r="I4239">
        <f>IF(H4238=0,1,SUMPRODUCT(J4238:N4238,B4239:F4239)+O4238*(1+0.00023125256064071564))</f>
        <v/>
      </c>
      <c r="J4239">
        <f>IF(G4239=1,0.2*R4239/B4239,J4238)</f>
        <v/>
      </c>
      <c r="K4239">
        <f>IF(G4239=1,0.2*R4239/C4239,K4238)</f>
        <v/>
      </c>
      <c r="L4239">
        <f>IF(G4239=1,0.2*R4239/D4239,L4238)</f>
        <v/>
      </c>
      <c r="M4239">
        <f>IF(G4239=1,0.2*R4239/E4239,M4238)</f>
        <v/>
      </c>
      <c r="N4239">
        <f>IF(G4239=1,0.2*R4239/F4239,N4238)</f>
        <v/>
      </c>
      <c r="O4239">
        <f>IF(G4239=1,R4239*(1-1.0),IF(H4238=0,1,O4238*(1+0.00023125256064071564)))</f>
        <v/>
      </c>
      <c r="P4239">
        <f>IF(G4239=1,IF(H4238=0,1,ABS(0.2-J4238*B4239/I4239)+ABS(0.2-K4238*C4239/I4239)+ABS(0.2-L4238*D4239/I4239)+ABS(0.2-M4238*E4239/I4239)+ABS(0.2-N4238*F4239/I4239)),0)</f>
        <v/>
      </c>
      <c r="Q4239">
        <f>P4239*0.0015</f>
        <v/>
      </c>
      <c r="R4239">
        <f>I4239*(1-Q4239)</f>
        <v/>
      </c>
      <c r="S4239">
        <f>R4239/R4238-1</f>
        <v/>
      </c>
      <c r="T4239">
        <f>MAX(T4238,R4239)</f>
        <v/>
      </c>
      <c r="U4239">
        <f>R4239/T4239-1</f>
        <v/>
      </c>
      <c r="V4239" t="n">
        <v>15.75793068407494</v>
      </c>
      <c r="W4239" s="5">
        <f>R4239-V4239</f>
        <v/>
      </c>
    </row>
    <row r="4240">
      <c r="A4240" s="3" t="n">
        <v>44686</v>
      </c>
      <c r="B4240">
        <f>Prices!B4240</f>
        <v/>
      </c>
      <c r="C4240">
        <f>Prices!C4240</f>
        <v/>
      </c>
      <c r="D4240">
        <f>Prices!D4240</f>
        <v/>
      </c>
      <c r="E4240">
        <f>Prices!E4240</f>
        <v/>
      </c>
      <c r="F4240">
        <f>Prices!F4240</f>
        <v/>
      </c>
      <c r="G4240">
        <f>IF(AND(4238&gt;=16,TEXT(A4240,"yyyy-mm")&lt;&gt;TEXT(A4241,"yyyy-mm")),1,0)</f>
        <v/>
      </c>
      <c r="H4240">
        <f>IF(OR(H4239=1,G4240=1),1,0)</f>
        <v/>
      </c>
      <c r="I4240">
        <f>IF(H4239=0,1,SUMPRODUCT(J4239:N4239,B4240:F4240)+O4239*(1+0.00023125256064071564))</f>
        <v/>
      </c>
      <c r="J4240">
        <f>IF(G4240=1,0.2*R4240/B4240,J4239)</f>
        <v/>
      </c>
      <c r="K4240">
        <f>IF(G4240=1,0.2*R4240/C4240,K4239)</f>
        <v/>
      </c>
      <c r="L4240">
        <f>IF(G4240=1,0.2*R4240/D4240,L4239)</f>
        <v/>
      </c>
      <c r="M4240">
        <f>IF(G4240=1,0.2*R4240/E4240,M4239)</f>
        <v/>
      </c>
      <c r="N4240">
        <f>IF(G4240=1,0.2*R4240/F4240,N4239)</f>
        <v/>
      </c>
      <c r="O4240">
        <f>IF(G4240=1,R4240*(1-1.0),IF(H4239=0,1,O4239*(1+0.00023125256064071564)))</f>
        <v/>
      </c>
      <c r="P4240">
        <f>IF(G4240=1,IF(H4239=0,1,ABS(0.2-J4239*B4240/I4240)+ABS(0.2-K4239*C4240/I4240)+ABS(0.2-L4239*D4240/I4240)+ABS(0.2-M4239*E4240/I4240)+ABS(0.2-N4239*F4240/I4240)),0)</f>
        <v/>
      </c>
      <c r="Q4240">
        <f>P4240*0.0015</f>
        <v/>
      </c>
      <c r="R4240">
        <f>I4240*(1-Q4240)</f>
        <v/>
      </c>
      <c r="S4240">
        <f>R4240/R4239-1</f>
        <v/>
      </c>
      <c r="T4240">
        <f>MAX(T4239,R4240)</f>
        <v/>
      </c>
      <c r="U4240">
        <f>R4240/T4240-1</f>
        <v/>
      </c>
      <c r="V4240" t="n">
        <v>15.74009202164563</v>
      </c>
      <c r="W4240" s="5">
        <f>R4240-V4240</f>
        <v/>
      </c>
    </row>
    <row r="4241">
      <c r="A4241" s="3" t="n">
        <v>44687</v>
      </c>
      <c r="B4241">
        <f>Prices!B4241</f>
        <v/>
      </c>
      <c r="C4241">
        <f>Prices!C4241</f>
        <v/>
      </c>
      <c r="D4241">
        <f>Prices!D4241</f>
        <v/>
      </c>
      <c r="E4241">
        <f>Prices!E4241</f>
        <v/>
      </c>
      <c r="F4241">
        <f>Prices!F4241</f>
        <v/>
      </c>
      <c r="G4241">
        <f>IF(AND(4239&gt;=16,TEXT(A4241,"yyyy-mm")&lt;&gt;TEXT(A4242,"yyyy-mm")),1,0)</f>
        <v/>
      </c>
      <c r="H4241">
        <f>IF(OR(H4240=1,G4241=1),1,0)</f>
        <v/>
      </c>
      <c r="I4241">
        <f>IF(H4240=0,1,SUMPRODUCT(J4240:N4240,B4241:F4241)+O4240*(1+0.00023125256064071564))</f>
        <v/>
      </c>
      <c r="J4241">
        <f>IF(G4241=1,0.2*R4241/B4241,J4240)</f>
        <v/>
      </c>
      <c r="K4241">
        <f>IF(G4241=1,0.2*R4241/C4241,K4240)</f>
        <v/>
      </c>
      <c r="L4241">
        <f>IF(G4241=1,0.2*R4241/D4241,L4240)</f>
        <v/>
      </c>
      <c r="M4241">
        <f>IF(G4241=1,0.2*R4241/E4241,M4240)</f>
        <v/>
      </c>
      <c r="N4241">
        <f>IF(G4241=1,0.2*R4241/F4241,N4240)</f>
        <v/>
      </c>
      <c r="O4241">
        <f>IF(G4241=1,R4241*(1-1.0),IF(H4240=0,1,O4240*(1+0.00023125256064071564)))</f>
        <v/>
      </c>
      <c r="P4241">
        <f>IF(G4241=1,IF(H4240=0,1,ABS(0.2-J4240*B4241/I4241)+ABS(0.2-K4240*C4241/I4241)+ABS(0.2-L4240*D4241/I4241)+ABS(0.2-M4240*E4241/I4241)+ABS(0.2-N4240*F4241/I4241)),0)</f>
        <v/>
      </c>
      <c r="Q4241">
        <f>P4241*0.0015</f>
        <v/>
      </c>
      <c r="R4241">
        <f>I4241*(1-Q4241)</f>
        <v/>
      </c>
      <c r="S4241">
        <f>R4241/R4240-1</f>
        <v/>
      </c>
      <c r="T4241">
        <f>MAX(T4240,R4241)</f>
        <v/>
      </c>
      <c r="U4241">
        <f>R4241/T4241-1</f>
        <v/>
      </c>
      <c r="V4241" t="n">
        <v>15.5080762457715</v>
      </c>
      <c r="W4241" s="5">
        <f>R4241-V4241</f>
        <v/>
      </c>
    </row>
    <row r="4242">
      <c r="A4242" s="3" t="n">
        <v>44690</v>
      </c>
      <c r="B4242">
        <f>Prices!B4242</f>
        <v/>
      </c>
      <c r="C4242">
        <f>Prices!C4242</f>
        <v/>
      </c>
      <c r="D4242">
        <f>Prices!D4242</f>
        <v/>
      </c>
      <c r="E4242">
        <f>Prices!E4242</f>
        <v/>
      </c>
      <c r="F4242">
        <f>Prices!F4242</f>
        <v/>
      </c>
      <c r="G4242">
        <f>IF(AND(4240&gt;=16,TEXT(A4242,"yyyy-mm")&lt;&gt;TEXT(A4243,"yyyy-mm")),1,0)</f>
        <v/>
      </c>
      <c r="H4242">
        <f>IF(OR(H4241=1,G4242=1),1,0)</f>
        <v/>
      </c>
      <c r="I4242">
        <f>IF(H4241=0,1,SUMPRODUCT(J4241:N4241,B4242:F4242)+O4241*(1+0.00023125256064071564))</f>
        <v/>
      </c>
      <c r="J4242">
        <f>IF(G4242=1,0.2*R4242/B4242,J4241)</f>
        <v/>
      </c>
      <c r="K4242">
        <f>IF(G4242=1,0.2*R4242/C4242,K4241)</f>
        <v/>
      </c>
      <c r="L4242">
        <f>IF(G4242=1,0.2*R4242/D4242,L4241)</f>
        <v/>
      </c>
      <c r="M4242">
        <f>IF(G4242=1,0.2*R4242/E4242,M4241)</f>
        <v/>
      </c>
      <c r="N4242">
        <f>IF(G4242=1,0.2*R4242/F4242,N4241)</f>
        <v/>
      </c>
      <c r="O4242">
        <f>IF(G4242=1,R4242*(1-1.0),IF(H4241=0,1,O4241*(1+0.00023125256064071564)))</f>
        <v/>
      </c>
      <c r="P4242">
        <f>IF(G4242=1,IF(H4241=0,1,ABS(0.2-J4241*B4242/I4242)+ABS(0.2-K4241*C4242/I4242)+ABS(0.2-L4241*D4242/I4242)+ABS(0.2-M4241*E4242/I4242)+ABS(0.2-N4241*F4242/I4242)),0)</f>
        <v/>
      </c>
      <c r="Q4242">
        <f>P4242*0.0015</f>
        <v/>
      </c>
      <c r="R4242">
        <f>I4242*(1-Q4242)</f>
        <v/>
      </c>
      <c r="S4242">
        <f>R4242/R4241-1</f>
        <v/>
      </c>
      <c r="T4242">
        <f>MAX(T4241,R4242)</f>
        <v/>
      </c>
      <c r="U4242">
        <f>R4242/T4242-1</f>
        <v/>
      </c>
      <c r="V4242" t="n">
        <v>15.28847192843455</v>
      </c>
      <c r="W4242" s="5">
        <f>R4242-V4242</f>
        <v/>
      </c>
    </row>
    <row r="4243">
      <c r="A4243" s="3" t="n">
        <v>44691</v>
      </c>
      <c r="B4243">
        <f>Prices!B4243</f>
        <v/>
      </c>
      <c r="C4243">
        <f>Prices!C4243</f>
        <v/>
      </c>
      <c r="D4243">
        <f>Prices!D4243</f>
        <v/>
      </c>
      <c r="E4243">
        <f>Prices!E4243</f>
        <v/>
      </c>
      <c r="F4243">
        <f>Prices!F4243</f>
        <v/>
      </c>
      <c r="G4243">
        <f>IF(AND(4241&gt;=16,TEXT(A4243,"yyyy-mm")&lt;&gt;TEXT(A4244,"yyyy-mm")),1,0)</f>
        <v/>
      </c>
      <c r="H4243">
        <f>IF(OR(H4242=1,G4243=1),1,0)</f>
        <v/>
      </c>
      <c r="I4243">
        <f>IF(H4242=0,1,SUMPRODUCT(J4242:N4242,B4243:F4243)+O4242*(1+0.00023125256064071564))</f>
        <v/>
      </c>
      <c r="J4243">
        <f>IF(G4243=1,0.2*R4243/B4243,J4242)</f>
        <v/>
      </c>
      <c r="K4243">
        <f>IF(G4243=1,0.2*R4243/C4243,K4242)</f>
        <v/>
      </c>
      <c r="L4243">
        <f>IF(G4243=1,0.2*R4243/D4243,L4242)</f>
        <v/>
      </c>
      <c r="M4243">
        <f>IF(G4243=1,0.2*R4243/E4243,M4242)</f>
        <v/>
      </c>
      <c r="N4243">
        <f>IF(G4243=1,0.2*R4243/F4243,N4242)</f>
        <v/>
      </c>
      <c r="O4243">
        <f>IF(G4243=1,R4243*(1-1.0),IF(H4242=0,1,O4242*(1+0.00023125256064071564)))</f>
        <v/>
      </c>
      <c r="P4243">
        <f>IF(G4243=1,IF(H4242=0,1,ABS(0.2-J4242*B4243/I4243)+ABS(0.2-K4242*C4243/I4243)+ABS(0.2-L4242*D4243/I4243)+ABS(0.2-M4242*E4243/I4243)+ABS(0.2-N4242*F4243/I4243)),0)</f>
        <v/>
      </c>
      <c r="Q4243">
        <f>P4243*0.0015</f>
        <v/>
      </c>
      <c r="R4243">
        <f>I4243*(1-Q4243)</f>
        <v/>
      </c>
      <c r="S4243">
        <f>R4243/R4242-1</f>
        <v/>
      </c>
      <c r="T4243">
        <f>MAX(T4242,R4243)</f>
        <v/>
      </c>
      <c r="U4243">
        <f>R4243/T4243-1</f>
        <v/>
      </c>
      <c r="V4243" t="n">
        <v>14.99602881206884</v>
      </c>
      <c r="W4243" s="5">
        <f>R4243-V4243</f>
        <v/>
      </c>
    </row>
    <row r="4244">
      <c r="A4244" s="3" t="n">
        <v>44692</v>
      </c>
      <c r="B4244">
        <f>Prices!B4244</f>
        <v/>
      </c>
      <c r="C4244">
        <f>Prices!C4244</f>
        <v/>
      </c>
      <c r="D4244">
        <f>Prices!D4244</f>
        <v/>
      </c>
      <c r="E4244">
        <f>Prices!E4244</f>
        <v/>
      </c>
      <c r="F4244">
        <f>Prices!F4244</f>
        <v/>
      </c>
      <c r="G4244">
        <f>IF(AND(4242&gt;=16,TEXT(A4244,"yyyy-mm")&lt;&gt;TEXT(A4245,"yyyy-mm")),1,0)</f>
        <v/>
      </c>
      <c r="H4244">
        <f>IF(OR(H4243=1,G4244=1),1,0)</f>
        <v/>
      </c>
      <c r="I4244">
        <f>IF(H4243=0,1,SUMPRODUCT(J4243:N4243,B4244:F4244)+O4243*(1+0.00023125256064071564))</f>
        <v/>
      </c>
      <c r="J4244">
        <f>IF(G4244=1,0.2*R4244/B4244,J4243)</f>
        <v/>
      </c>
      <c r="K4244">
        <f>IF(G4244=1,0.2*R4244/C4244,K4243)</f>
        <v/>
      </c>
      <c r="L4244">
        <f>IF(G4244=1,0.2*R4244/D4244,L4243)</f>
        <v/>
      </c>
      <c r="M4244">
        <f>IF(G4244=1,0.2*R4244/E4244,M4243)</f>
        <v/>
      </c>
      <c r="N4244">
        <f>IF(G4244=1,0.2*R4244/F4244,N4243)</f>
        <v/>
      </c>
      <c r="O4244">
        <f>IF(G4244=1,R4244*(1-1.0),IF(H4243=0,1,O4243*(1+0.00023125256064071564)))</f>
        <v/>
      </c>
      <c r="P4244">
        <f>IF(G4244=1,IF(H4243=0,1,ABS(0.2-J4243*B4244/I4244)+ABS(0.2-K4243*C4244/I4244)+ABS(0.2-L4243*D4244/I4244)+ABS(0.2-M4243*E4244/I4244)+ABS(0.2-N4243*F4244/I4244)),0)</f>
        <v/>
      </c>
      <c r="Q4244">
        <f>P4244*0.0015</f>
        <v/>
      </c>
      <c r="R4244">
        <f>I4244*(1-Q4244)</f>
        <v/>
      </c>
      <c r="S4244">
        <f>R4244/R4243-1</f>
        <v/>
      </c>
      <c r="T4244">
        <f>MAX(T4243,R4244)</f>
        <v/>
      </c>
      <c r="U4244">
        <f>R4244/T4244-1</f>
        <v/>
      </c>
      <c r="V4244" t="n">
        <v>14.82147454923073</v>
      </c>
      <c r="W4244" s="5">
        <f>R4244-V4244</f>
        <v/>
      </c>
    </row>
    <row r="4245">
      <c r="A4245" s="3" t="n">
        <v>44693</v>
      </c>
      <c r="B4245">
        <f>Prices!B4245</f>
        <v/>
      </c>
      <c r="C4245">
        <f>Prices!C4245</f>
        <v/>
      </c>
      <c r="D4245">
        <f>Prices!D4245</f>
        <v/>
      </c>
      <c r="E4245">
        <f>Prices!E4245</f>
        <v/>
      </c>
      <c r="F4245">
        <f>Prices!F4245</f>
        <v/>
      </c>
      <c r="G4245">
        <f>IF(AND(4243&gt;=16,TEXT(A4245,"yyyy-mm")&lt;&gt;TEXT(A4246,"yyyy-mm")),1,0)</f>
        <v/>
      </c>
      <c r="H4245">
        <f>IF(OR(H4244=1,G4245=1),1,0)</f>
        <v/>
      </c>
      <c r="I4245">
        <f>IF(H4244=0,1,SUMPRODUCT(J4244:N4244,B4245:F4245)+O4244*(1+0.00023125256064071564))</f>
        <v/>
      </c>
      <c r="J4245">
        <f>IF(G4245=1,0.2*R4245/B4245,J4244)</f>
        <v/>
      </c>
      <c r="K4245">
        <f>IF(G4245=1,0.2*R4245/C4245,K4244)</f>
        <v/>
      </c>
      <c r="L4245">
        <f>IF(G4245=1,0.2*R4245/D4245,L4244)</f>
        <v/>
      </c>
      <c r="M4245">
        <f>IF(G4245=1,0.2*R4245/E4245,M4244)</f>
        <v/>
      </c>
      <c r="N4245">
        <f>IF(G4245=1,0.2*R4245/F4245,N4244)</f>
        <v/>
      </c>
      <c r="O4245">
        <f>IF(G4245=1,R4245*(1-1.0),IF(H4244=0,1,O4244*(1+0.00023125256064071564)))</f>
        <v/>
      </c>
      <c r="P4245">
        <f>IF(G4245=1,IF(H4244=0,1,ABS(0.2-J4244*B4245/I4245)+ABS(0.2-K4244*C4245/I4245)+ABS(0.2-L4244*D4245/I4245)+ABS(0.2-M4244*E4245/I4245)+ABS(0.2-N4244*F4245/I4245)),0)</f>
        <v/>
      </c>
      <c r="Q4245">
        <f>P4245*0.0015</f>
        <v/>
      </c>
      <c r="R4245">
        <f>I4245*(1-Q4245)</f>
        <v/>
      </c>
      <c r="S4245">
        <f>R4245/R4244-1</f>
        <v/>
      </c>
      <c r="T4245">
        <f>MAX(T4244,R4245)</f>
        <v/>
      </c>
      <c r="U4245">
        <f>R4245/T4245-1</f>
        <v/>
      </c>
      <c r="V4245" t="n">
        <v>14.53338676293429</v>
      </c>
      <c r="W4245" s="5">
        <f>R4245-V4245</f>
        <v/>
      </c>
    </row>
    <row r="4246">
      <c r="A4246" s="3" t="n">
        <v>44694</v>
      </c>
      <c r="B4246">
        <f>Prices!B4246</f>
        <v/>
      </c>
      <c r="C4246">
        <f>Prices!C4246</f>
        <v/>
      </c>
      <c r="D4246">
        <f>Prices!D4246</f>
        <v/>
      </c>
      <c r="E4246">
        <f>Prices!E4246</f>
        <v/>
      </c>
      <c r="F4246">
        <f>Prices!F4246</f>
        <v/>
      </c>
      <c r="G4246">
        <f>IF(AND(4244&gt;=16,TEXT(A4246,"yyyy-mm")&lt;&gt;TEXT(A4247,"yyyy-mm")),1,0)</f>
        <v/>
      </c>
      <c r="H4246">
        <f>IF(OR(H4245=1,G4246=1),1,0)</f>
        <v/>
      </c>
      <c r="I4246">
        <f>IF(H4245=0,1,SUMPRODUCT(J4245:N4245,B4246:F4246)+O4245*(1+0.00023125256064071564))</f>
        <v/>
      </c>
      <c r="J4246">
        <f>IF(G4246=1,0.2*R4246/B4246,J4245)</f>
        <v/>
      </c>
      <c r="K4246">
        <f>IF(G4246=1,0.2*R4246/C4246,K4245)</f>
        <v/>
      </c>
      <c r="L4246">
        <f>IF(G4246=1,0.2*R4246/D4246,L4245)</f>
        <v/>
      </c>
      <c r="M4246">
        <f>IF(G4246=1,0.2*R4246/E4246,M4245)</f>
        <v/>
      </c>
      <c r="N4246">
        <f>IF(G4246=1,0.2*R4246/F4246,N4245)</f>
        <v/>
      </c>
      <c r="O4246">
        <f>IF(G4246=1,R4246*(1-1.0),IF(H4245=0,1,O4245*(1+0.00023125256064071564)))</f>
        <v/>
      </c>
      <c r="P4246">
        <f>IF(G4246=1,IF(H4245=0,1,ABS(0.2-J4245*B4246/I4246)+ABS(0.2-K4245*C4246/I4246)+ABS(0.2-L4245*D4246/I4246)+ABS(0.2-M4245*E4246/I4246)+ABS(0.2-N4245*F4246/I4246)),0)</f>
        <v/>
      </c>
      <c r="Q4246">
        <f>P4246*0.0015</f>
        <v/>
      </c>
      <c r="R4246">
        <f>I4246*(1-Q4246)</f>
        <v/>
      </c>
      <c r="S4246">
        <f>R4246/R4245-1</f>
        <v/>
      </c>
      <c r="T4246">
        <f>MAX(T4245,R4246)</f>
        <v/>
      </c>
      <c r="U4246">
        <f>R4246/T4246-1</f>
        <v/>
      </c>
      <c r="V4246" t="n">
        <v>14.61930388767717</v>
      </c>
      <c r="W4246" s="5">
        <f>R4246-V4246</f>
        <v/>
      </c>
    </row>
    <row r="4247">
      <c r="A4247" s="3" t="n">
        <v>44697</v>
      </c>
      <c r="B4247">
        <f>Prices!B4247</f>
        <v/>
      </c>
      <c r="C4247">
        <f>Prices!C4247</f>
        <v/>
      </c>
      <c r="D4247">
        <f>Prices!D4247</f>
        <v/>
      </c>
      <c r="E4247">
        <f>Prices!E4247</f>
        <v/>
      </c>
      <c r="F4247">
        <f>Prices!F4247</f>
        <v/>
      </c>
      <c r="G4247">
        <f>IF(AND(4245&gt;=16,TEXT(A4247,"yyyy-mm")&lt;&gt;TEXT(A4248,"yyyy-mm")),1,0)</f>
        <v/>
      </c>
      <c r="H4247">
        <f>IF(OR(H4246=1,G4247=1),1,0)</f>
        <v/>
      </c>
      <c r="I4247">
        <f>IF(H4246=0,1,SUMPRODUCT(J4246:N4246,B4247:F4247)+O4246*(1+0.00023125256064071564))</f>
        <v/>
      </c>
      <c r="J4247">
        <f>IF(G4247=1,0.2*R4247/B4247,J4246)</f>
        <v/>
      </c>
      <c r="K4247">
        <f>IF(G4247=1,0.2*R4247/C4247,K4246)</f>
        <v/>
      </c>
      <c r="L4247">
        <f>IF(G4247=1,0.2*R4247/D4247,L4246)</f>
        <v/>
      </c>
      <c r="M4247">
        <f>IF(G4247=1,0.2*R4247/E4247,M4246)</f>
        <v/>
      </c>
      <c r="N4247">
        <f>IF(G4247=1,0.2*R4247/F4247,N4246)</f>
        <v/>
      </c>
      <c r="O4247">
        <f>IF(G4247=1,R4247*(1-1.0),IF(H4246=0,1,O4246*(1+0.00023125256064071564)))</f>
        <v/>
      </c>
      <c r="P4247">
        <f>IF(G4247=1,IF(H4246=0,1,ABS(0.2-J4246*B4247/I4247)+ABS(0.2-K4246*C4247/I4247)+ABS(0.2-L4246*D4247/I4247)+ABS(0.2-M4246*E4247/I4247)+ABS(0.2-N4246*F4247/I4247)),0)</f>
        <v/>
      </c>
      <c r="Q4247">
        <f>P4247*0.0015</f>
        <v/>
      </c>
      <c r="R4247">
        <f>I4247*(1-Q4247)</f>
        <v/>
      </c>
      <c r="S4247">
        <f>R4247/R4246-1</f>
        <v/>
      </c>
      <c r="T4247">
        <f>MAX(T4246,R4247)</f>
        <v/>
      </c>
      <c r="U4247">
        <f>R4247/T4247-1</f>
        <v/>
      </c>
      <c r="V4247" t="n">
        <v>14.72792380980147</v>
      </c>
      <c r="W4247" s="5">
        <f>R4247-V4247</f>
        <v/>
      </c>
    </row>
    <row r="4248">
      <c r="A4248" s="3" t="n">
        <v>44698</v>
      </c>
      <c r="B4248">
        <f>Prices!B4248</f>
        <v/>
      </c>
      <c r="C4248">
        <f>Prices!C4248</f>
        <v/>
      </c>
      <c r="D4248">
        <f>Prices!D4248</f>
        <v/>
      </c>
      <c r="E4248">
        <f>Prices!E4248</f>
        <v/>
      </c>
      <c r="F4248">
        <f>Prices!F4248</f>
        <v/>
      </c>
      <c r="G4248">
        <f>IF(AND(4246&gt;=16,TEXT(A4248,"yyyy-mm")&lt;&gt;TEXT(A4249,"yyyy-mm")),1,0)</f>
        <v/>
      </c>
      <c r="H4248">
        <f>IF(OR(H4247=1,G4248=1),1,0)</f>
        <v/>
      </c>
      <c r="I4248">
        <f>IF(H4247=0,1,SUMPRODUCT(J4247:N4247,B4248:F4248)+O4247*(1+0.00023125256064071564))</f>
        <v/>
      </c>
      <c r="J4248">
        <f>IF(G4248=1,0.2*R4248/B4248,J4247)</f>
        <v/>
      </c>
      <c r="K4248">
        <f>IF(G4248=1,0.2*R4248/C4248,K4247)</f>
        <v/>
      </c>
      <c r="L4248">
        <f>IF(G4248=1,0.2*R4248/D4248,L4247)</f>
        <v/>
      </c>
      <c r="M4248">
        <f>IF(G4248=1,0.2*R4248/E4248,M4247)</f>
        <v/>
      </c>
      <c r="N4248">
        <f>IF(G4248=1,0.2*R4248/F4248,N4247)</f>
        <v/>
      </c>
      <c r="O4248">
        <f>IF(G4248=1,R4248*(1-1.0),IF(H4247=0,1,O4247*(1+0.00023125256064071564)))</f>
        <v/>
      </c>
      <c r="P4248">
        <f>IF(G4248=1,IF(H4247=0,1,ABS(0.2-J4247*B4248/I4248)+ABS(0.2-K4247*C4248/I4248)+ABS(0.2-L4247*D4248/I4248)+ABS(0.2-M4247*E4248/I4248)+ABS(0.2-N4247*F4248/I4248)),0)</f>
        <v/>
      </c>
      <c r="Q4248">
        <f>P4248*0.0015</f>
        <v/>
      </c>
      <c r="R4248">
        <f>I4248*(1-Q4248)</f>
        <v/>
      </c>
      <c r="S4248">
        <f>R4248/R4247-1</f>
        <v/>
      </c>
      <c r="T4248">
        <f>MAX(T4247,R4248)</f>
        <v/>
      </c>
      <c r="U4248">
        <f>R4248/T4248-1</f>
        <v/>
      </c>
      <c r="V4248" t="n">
        <v>15.18030512712647</v>
      </c>
      <c r="W4248" s="5">
        <f>R4248-V4248</f>
        <v/>
      </c>
    </row>
    <row r="4249">
      <c r="A4249" s="3" t="n">
        <v>44699</v>
      </c>
      <c r="B4249">
        <f>Prices!B4249</f>
        <v/>
      </c>
      <c r="C4249">
        <f>Prices!C4249</f>
        <v/>
      </c>
      <c r="D4249">
        <f>Prices!D4249</f>
        <v/>
      </c>
      <c r="E4249">
        <f>Prices!E4249</f>
        <v/>
      </c>
      <c r="F4249">
        <f>Prices!F4249</f>
        <v/>
      </c>
      <c r="G4249">
        <f>IF(AND(4247&gt;=16,TEXT(A4249,"yyyy-mm")&lt;&gt;TEXT(A4250,"yyyy-mm")),1,0)</f>
        <v/>
      </c>
      <c r="H4249">
        <f>IF(OR(H4248=1,G4249=1),1,0)</f>
        <v/>
      </c>
      <c r="I4249">
        <f>IF(H4248=0,1,SUMPRODUCT(J4248:N4248,B4249:F4249)+O4248*(1+0.00023125256064071564))</f>
        <v/>
      </c>
      <c r="J4249">
        <f>IF(G4249=1,0.2*R4249/B4249,J4248)</f>
        <v/>
      </c>
      <c r="K4249">
        <f>IF(G4249=1,0.2*R4249/C4249,K4248)</f>
        <v/>
      </c>
      <c r="L4249">
        <f>IF(G4249=1,0.2*R4249/D4249,L4248)</f>
        <v/>
      </c>
      <c r="M4249">
        <f>IF(G4249=1,0.2*R4249/E4249,M4248)</f>
        <v/>
      </c>
      <c r="N4249">
        <f>IF(G4249=1,0.2*R4249/F4249,N4248)</f>
        <v/>
      </c>
      <c r="O4249">
        <f>IF(G4249=1,R4249*(1-1.0),IF(H4248=0,1,O4248*(1+0.00023125256064071564)))</f>
        <v/>
      </c>
      <c r="P4249">
        <f>IF(G4249=1,IF(H4248=0,1,ABS(0.2-J4248*B4249/I4249)+ABS(0.2-K4248*C4249/I4249)+ABS(0.2-L4248*D4249/I4249)+ABS(0.2-M4248*E4249/I4249)+ABS(0.2-N4248*F4249/I4249)),0)</f>
        <v/>
      </c>
      <c r="Q4249">
        <f>P4249*0.0015</f>
        <v/>
      </c>
      <c r="R4249">
        <f>I4249*(1-Q4249)</f>
        <v/>
      </c>
      <c r="S4249">
        <f>R4249/R4248-1</f>
        <v/>
      </c>
      <c r="T4249">
        <f>MAX(T4248,R4249)</f>
        <v/>
      </c>
      <c r="U4249">
        <f>R4249/T4249-1</f>
        <v/>
      </c>
      <c r="V4249" t="n">
        <v>15.1861455362747</v>
      </c>
      <c r="W4249" s="5">
        <f>R4249-V4249</f>
        <v/>
      </c>
    </row>
    <row r="4250">
      <c r="A4250" s="3" t="n">
        <v>44700</v>
      </c>
      <c r="B4250">
        <f>Prices!B4250</f>
        <v/>
      </c>
      <c r="C4250">
        <f>Prices!C4250</f>
        <v/>
      </c>
      <c r="D4250">
        <f>Prices!D4250</f>
        <v/>
      </c>
      <c r="E4250">
        <f>Prices!E4250</f>
        <v/>
      </c>
      <c r="F4250">
        <f>Prices!F4250</f>
        <v/>
      </c>
      <c r="G4250">
        <f>IF(AND(4248&gt;=16,TEXT(A4250,"yyyy-mm")&lt;&gt;TEXT(A4251,"yyyy-mm")),1,0)</f>
        <v/>
      </c>
      <c r="H4250">
        <f>IF(OR(H4249=1,G4250=1),1,0)</f>
        <v/>
      </c>
      <c r="I4250">
        <f>IF(H4249=0,1,SUMPRODUCT(J4249:N4249,B4250:F4250)+O4249*(1+0.00023125256064071564))</f>
        <v/>
      </c>
      <c r="J4250">
        <f>IF(G4250=1,0.2*R4250/B4250,J4249)</f>
        <v/>
      </c>
      <c r="K4250">
        <f>IF(G4250=1,0.2*R4250/C4250,K4249)</f>
        <v/>
      </c>
      <c r="L4250">
        <f>IF(G4250=1,0.2*R4250/D4250,L4249)</f>
        <v/>
      </c>
      <c r="M4250">
        <f>IF(G4250=1,0.2*R4250/E4250,M4249)</f>
        <v/>
      </c>
      <c r="N4250">
        <f>IF(G4250=1,0.2*R4250/F4250,N4249)</f>
        <v/>
      </c>
      <c r="O4250">
        <f>IF(G4250=1,R4250*(1-1.0),IF(H4249=0,1,O4249*(1+0.00023125256064071564)))</f>
        <v/>
      </c>
      <c r="P4250">
        <f>IF(G4250=1,IF(H4249=0,1,ABS(0.2-J4249*B4250/I4250)+ABS(0.2-K4249*C4250/I4250)+ABS(0.2-L4249*D4250/I4250)+ABS(0.2-M4249*E4250/I4250)+ABS(0.2-N4249*F4250/I4250)),0)</f>
        <v/>
      </c>
      <c r="Q4250">
        <f>P4250*0.0015</f>
        <v/>
      </c>
      <c r="R4250">
        <f>I4250*(1-Q4250)</f>
        <v/>
      </c>
      <c r="S4250">
        <f>R4250/R4249-1</f>
        <v/>
      </c>
      <c r="T4250">
        <f>MAX(T4249,R4250)</f>
        <v/>
      </c>
      <c r="U4250">
        <f>R4250/T4250-1</f>
        <v/>
      </c>
      <c r="V4250" t="n">
        <v>14.80412304692625</v>
      </c>
      <c r="W4250" s="5">
        <f>R4250-V4250</f>
        <v/>
      </c>
    </row>
    <row r="4251">
      <c r="A4251" s="3" t="n">
        <v>44701</v>
      </c>
      <c r="B4251">
        <f>Prices!B4251</f>
        <v/>
      </c>
      <c r="C4251">
        <f>Prices!C4251</f>
        <v/>
      </c>
      <c r="D4251">
        <f>Prices!D4251</f>
        <v/>
      </c>
      <c r="E4251">
        <f>Prices!E4251</f>
        <v/>
      </c>
      <c r="F4251">
        <f>Prices!F4251</f>
        <v/>
      </c>
      <c r="G4251">
        <f>IF(AND(4249&gt;=16,TEXT(A4251,"yyyy-mm")&lt;&gt;TEXT(A4252,"yyyy-mm")),1,0)</f>
        <v/>
      </c>
      <c r="H4251">
        <f>IF(OR(H4250=1,G4251=1),1,0)</f>
        <v/>
      </c>
      <c r="I4251">
        <f>IF(H4250=0,1,SUMPRODUCT(J4250:N4250,B4251:F4251)+O4250*(1+0.00023125256064071564))</f>
        <v/>
      </c>
      <c r="J4251">
        <f>IF(G4251=1,0.2*R4251/B4251,J4250)</f>
        <v/>
      </c>
      <c r="K4251">
        <f>IF(G4251=1,0.2*R4251/C4251,K4250)</f>
        <v/>
      </c>
      <c r="L4251">
        <f>IF(G4251=1,0.2*R4251/D4251,L4250)</f>
        <v/>
      </c>
      <c r="M4251">
        <f>IF(G4251=1,0.2*R4251/E4251,M4250)</f>
        <v/>
      </c>
      <c r="N4251">
        <f>IF(G4251=1,0.2*R4251/F4251,N4250)</f>
        <v/>
      </c>
      <c r="O4251">
        <f>IF(G4251=1,R4251*(1-1.0),IF(H4250=0,1,O4250*(1+0.00023125256064071564)))</f>
        <v/>
      </c>
      <c r="P4251">
        <f>IF(G4251=1,IF(H4250=0,1,ABS(0.2-J4250*B4251/I4251)+ABS(0.2-K4250*C4251/I4251)+ABS(0.2-L4250*D4251/I4251)+ABS(0.2-M4250*E4251/I4251)+ABS(0.2-N4250*F4251/I4251)),0)</f>
        <v/>
      </c>
      <c r="Q4251">
        <f>P4251*0.0015</f>
        <v/>
      </c>
      <c r="R4251">
        <f>I4251*(1-Q4251)</f>
        <v/>
      </c>
      <c r="S4251">
        <f>R4251/R4250-1</f>
        <v/>
      </c>
      <c r="T4251">
        <f>MAX(T4250,R4251)</f>
        <v/>
      </c>
      <c r="U4251">
        <f>R4251/T4251-1</f>
        <v/>
      </c>
      <c r="V4251" t="n">
        <v>15.07683361609401</v>
      </c>
      <c r="W4251" s="5">
        <f>R4251-V4251</f>
        <v/>
      </c>
    </row>
    <row r="4252">
      <c r="A4252" s="3" t="n">
        <v>44704</v>
      </c>
      <c r="B4252">
        <f>Prices!B4252</f>
        <v/>
      </c>
      <c r="C4252">
        <f>Prices!C4252</f>
        <v/>
      </c>
      <c r="D4252">
        <f>Prices!D4252</f>
        <v/>
      </c>
      <c r="E4252">
        <f>Prices!E4252</f>
        <v/>
      </c>
      <c r="F4252">
        <f>Prices!F4252</f>
        <v/>
      </c>
      <c r="G4252">
        <f>IF(AND(4250&gt;=16,TEXT(A4252,"yyyy-mm")&lt;&gt;TEXT(A4253,"yyyy-mm")),1,0)</f>
        <v/>
      </c>
      <c r="H4252">
        <f>IF(OR(H4251=1,G4252=1),1,0)</f>
        <v/>
      </c>
      <c r="I4252">
        <f>IF(H4251=0,1,SUMPRODUCT(J4251:N4251,B4252:F4252)+O4251*(1+0.00023125256064071564))</f>
        <v/>
      </c>
      <c r="J4252">
        <f>IF(G4252=1,0.2*R4252/B4252,J4251)</f>
        <v/>
      </c>
      <c r="K4252">
        <f>IF(G4252=1,0.2*R4252/C4252,K4251)</f>
        <v/>
      </c>
      <c r="L4252">
        <f>IF(G4252=1,0.2*R4252/D4252,L4251)</f>
        <v/>
      </c>
      <c r="M4252">
        <f>IF(G4252=1,0.2*R4252/E4252,M4251)</f>
        <v/>
      </c>
      <c r="N4252">
        <f>IF(G4252=1,0.2*R4252/F4252,N4251)</f>
        <v/>
      </c>
      <c r="O4252">
        <f>IF(G4252=1,R4252*(1-1.0),IF(H4251=0,1,O4251*(1+0.00023125256064071564)))</f>
        <v/>
      </c>
      <c r="P4252">
        <f>IF(G4252=1,IF(H4251=0,1,ABS(0.2-J4251*B4252/I4252)+ABS(0.2-K4251*C4252/I4252)+ABS(0.2-L4251*D4252/I4252)+ABS(0.2-M4251*E4252/I4252)+ABS(0.2-N4251*F4252/I4252)),0)</f>
        <v/>
      </c>
      <c r="Q4252">
        <f>P4252*0.0015</f>
        <v/>
      </c>
      <c r="R4252">
        <f>I4252*(1-Q4252)</f>
        <v/>
      </c>
      <c r="S4252">
        <f>R4252/R4251-1</f>
        <v/>
      </c>
      <c r="T4252">
        <f>MAX(T4251,R4252)</f>
        <v/>
      </c>
      <c r="U4252">
        <f>R4252/T4252-1</f>
        <v/>
      </c>
      <c r="V4252" t="n">
        <v>14.95404567516749</v>
      </c>
      <c r="W4252" s="5">
        <f>R4252-V4252</f>
        <v/>
      </c>
    </row>
    <row r="4253">
      <c r="A4253" s="3" t="n">
        <v>44705</v>
      </c>
      <c r="B4253">
        <f>Prices!B4253</f>
        <v/>
      </c>
      <c r="C4253">
        <f>Prices!C4253</f>
        <v/>
      </c>
      <c r="D4253">
        <f>Prices!D4253</f>
        <v/>
      </c>
      <c r="E4253">
        <f>Prices!E4253</f>
        <v/>
      </c>
      <c r="F4253">
        <f>Prices!F4253</f>
        <v/>
      </c>
      <c r="G4253">
        <f>IF(AND(4251&gt;=16,TEXT(A4253,"yyyy-mm")&lt;&gt;TEXT(A4254,"yyyy-mm")),1,0)</f>
        <v/>
      </c>
      <c r="H4253">
        <f>IF(OR(H4252=1,G4253=1),1,0)</f>
        <v/>
      </c>
      <c r="I4253">
        <f>IF(H4252=0,1,SUMPRODUCT(J4252:N4252,B4253:F4253)+O4252*(1+0.00023125256064071564))</f>
        <v/>
      </c>
      <c r="J4253">
        <f>IF(G4253=1,0.2*R4253/B4253,J4252)</f>
        <v/>
      </c>
      <c r="K4253">
        <f>IF(G4253=1,0.2*R4253/C4253,K4252)</f>
        <v/>
      </c>
      <c r="L4253">
        <f>IF(G4253=1,0.2*R4253/D4253,L4252)</f>
        <v/>
      </c>
      <c r="M4253">
        <f>IF(G4253=1,0.2*R4253/E4253,M4252)</f>
        <v/>
      </c>
      <c r="N4253">
        <f>IF(G4253=1,0.2*R4253/F4253,N4252)</f>
        <v/>
      </c>
      <c r="O4253">
        <f>IF(G4253=1,R4253*(1-1.0),IF(H4252=0,1,O4252*(1+0.00023125256064071564)))</f>
        <v/>
      </c>
      <c r="P4253">
        <f>IF(G4253=1,IF(H4252=0,1,ABS(0.2-J4252*B4253/I4253)+ABS(0.2-K4252*C4253/I4253)+ABS(0.2-L4252*D4253/I4253)+ABS(0.2-M4252*E4253/I4253)+ABS(0.2-N4252*F4253/I4253)),0)</f>
        <v/>
      </c>
      <c r="Q4253">
        <f>P4253*0.0015</f>
        <v/>
      </c>
      <c r="R4253">
        <f>I4253*(1-Q4253)</f>
        <v/>
      </c>
      <c r="S4253">
        <f>R4253/R4252-1</f>
        <v/>
      </c>
      <c r="T4253">
        <f>MAX(T4252,R4253)</f>
        <v/>
      </c>
      <c r="U4253">
        <f>R4253/T4253-1</f>
        <v/>
      </c>
      <c r="V4253" t="n">
        <v>14.80672638142798</v>
      </c>
      <c r="W4253" s="5">
        <f>R4253-V4253</f>
        <v/>
      </c>
    </row>
    <row r="4254">
      <c r="A4254" s="3" t="n">
        <v>44706</v>
      </c>
      <c r="B4254">
        <f>Prices!B4254</f>
        <v/>
      </c>
      <c r="C4254">
        <f>Prices!C4254</f>
        <v/>
      </c>
      <c r="D4254">
        <f>Prices!D4254</f>
        <v/>
      </c>
      <c r="E4254">
        <f>Prices!E4254</f>
        <v/>
      </c>
      <c r="F4254">
        <f>Prices!F4254</f>
        <v/>
      </c>
      <c r="G4254">
        <f>IF(AND(4252&gt;=16,TEXT(A4254,"yyyy-mm")&lt;&gt;TEXT(A4255,"yyyy-mm")),1,0)</f>
        <v/>
      </c>
      <c r="H4254">
        <f>IF(OR(H4253=1,G4254=1),1,0)</f>
        <v/>
      </c>
      <c r="I4254">
        <f>IF(H4253=0,1,SUMPRODUCT(J4253:N4253,B4254:F4254)+O4253*(1+0.00023125256064071564))</f>
        <v/>
      </c>
      <c r="J4254">
        <f>IF(G4254=1,0.2*R4254/B4254,J4253)</f>
        <v/>
      </c>
      <c r="K4254">
        <f>IF(G4254=1,0.2*R4254/C4254,K4253)</f>
        <v/>
      </c>
      <c r="L4254">
        <f>IF(G4254=1,0.2*R4254/D4254,L4253)</f>
        <v/>
      </c>
      <c r="M4254">
        <f>IF(G4254=1,0.2*R4254/E4254,M4253)</f>
        <v/>
      </c>
      <c r="N4254">
        <f>IF(G4254=1,0.2*R4254/F4254,N4253)</f>
        <v/>
      </c>
      <c r="O4254">
        <f>IF(G4254=1,R4254*(1-1.0),IF(H4253=0,1,O4253*(1+0.00023125256064071564)))</f>
        <v/>
      </c>
      <c r="P4254">
        <f>IF(G4254=1,IF(H4253=0,1,ABS(0.2-J4253*B4254/I4254)+ABS(0.2-K4253*C4254/I4254)+ABS(0.2-L4253*D4254/I4254)+ABS(0.2-M4253*E4254/I4254)+ABS(0.2-N4253*F4254/I4254)),0)</f>
        <v/>
      </c>
      <c r="Q4254">
        <f>P4254*0.0015</f>
        <v/>
      </c>
      <c r="R4254">
        <f>I4254*(1-Q4254)</f>
        <v/>
      </c>
      <c r="S4254">
        <f>R4254/R4253-1</f>
        <v/>
      </c>
      <c r="T4254">
        <f>MAX(T4253,R4254)</f>
        <v/>
      </c>
      <c r="U4254">
        <f>R4254/T4254-1</f>
        <v/>
      </c>
      <c r="V4254" t="n">
        <v>14.49688937097674</v>
      </c>
      <c r="W4254" s="5">
        <f>R4254-V4254</f>
        <v/>
      </c>
    </row>
    <row r="4255">
      <c r="A4255" s="3" t="n">
        <v>44707</v>
      </c>
      <c r="B4255">
        <f>Prices!B4255</f>
        <v/>
      </c>
      <c r="C4255">
        <f>Prices!C4255</f>
        <v/>
      </c>
      <c r="D4255">
        <f>Prices!D4255</f>
        <v/>
      </c>
      <c r="E4255">
        <f>Prices!E4255</f>
        <v/>
      </c>
      <c r="F4255">
        <f>Prices!F4255</f>
        <v/>
      </c>
      <c r="G4255">
        <f>IF(AND(4253&gt;=16,TEXT(A4255,"yyyy-mm")&lt;&gt;TEXT(A4256,"yyyy-mm")),1,0)</f>
        <v/>
      </c>
      <c r="H4255">
        <f>IF(OR(H4254=1,G4255=1),1,0)</f>
        <v/>
      </c>
      <c r="I4255">
        <f>IF(H4254=0,1,SUMPRODUCT(J4254:N4254,B4255:F4255)+O4254*(1+0.00023125256064071564))</f>
        <v/>
      </c>
      <c r="J4255">
        <f>IF(G4255=1,0.2*R4255/B4255,J4254)</f>
        <v/>
      </c>
      <c r="K4255">
        <f>IF(G4255=1,0.2*R4255/C4255,K4254)</f>
        <v/>
      </c>
      <c r="L4255">
        <f>IF(G4255=1,0.2*R4255/D4255,L4254)</f>
        <v/>
      </c>
      <c r="M4255">
        <f>IF(G4255=1,0.2*R4255/E4255,M4254)</f>
        <v/>
      </c>
      <c r="N4255">
        <f>IF(G4255=1,0.2*R4255/F4255,N4254)</f>
        <v/>
      </c>
      <c r="O4255">
        <f>IF(G4255=1,R4255*(1-1.0),IF(H4254=0,1,O4254*(1+0.00023125256064071564)))</f>
        <v/>
      </c>
      <c r="P4255">
        <f>IF(G4255=1,IF(H4254=0,1,ABS(0.2-J4254*B4255/I4255)+ABS(0.2-K4254*C4255/I4255)+ABS(0.2-L4254*D4255/I4255)+ABS(0.2-M4254*E4255/I4255)+ABS(0.2-N4254*F4255/I4255)),0)</f>
        <v/>
      </c>
      <c r="Q4255">
        <f>P4255*0.0015</f>
        <v/>
      </c>
      <c r="R4255">
        <f>I4255*(1-Q4255)</f>
        <v/>
      </c>
      <c r="S4255">
        <f>R4255/R4254-1</f>
        <v/>
      </c>
      <c r="T4255">
        <f>MAX(T4254,R4255)</f>
        <v/>
      </c>
      <c r="U4255">
        <f>R4255/T4255-1</f>
        <v/>
      </c>
      <c r="V4255" t="n">
        <v>14.61074347565299</v>
      </c>
      <c r="W4255" s="5">
        <f>R4255-V4255</f>
        <v/>
      </c>
    </row>
    <row r="4256">
      <c r="A4256" s="3" t="n">
        <v>44708</v>
      </c>
      <c r="B4256">
        <f>Prices!B4256</f>
        <v/>
      </c>
      <c r="C4256">
        <f>Prices!C4256</f>
        <v/>
      </c>
      <c r="D4256">
        <f>Prices!D4256</f>
        <v/>
      </c>
      <c r="E4256">
        <f>Prices!E4256</f>
        <v/>
      </c>
      <c r="F4256">
        <f>Prices!F4256</f>
        <v/>
      </c>
      <c r="G4256">
        <f>IF(AND(4254&gt;=16,TEXT(A4256,"yyyy-mm")&lt;&gt;TEXT(A4257,"yyyy-mm")),1,0)</f>
        <v/>
      </c>
      <c r="H4256">
        <f>IF(OR(H4255=1,G4256=1),1,0)</f>
        <v/>
      </c>
      <c r="I4256">
        <f>IF(H4255=0,1,SUMPRODUCT(J4255:N4255,B4256:F4256)+O4255*(1+0.00023125256064071564))</f>
        <v/>
      </c>
      <c r="J4256">
        <f>IF(G4256=1,0.2*R4256/B4256,J4255)</f>
        <v/>
      </c>
      <c r="K4256">
        <f>IF(G4256=1,0.2*R4256/C4256,K4255)</f>
        <v/>
      </c>
      <c r="L4256">
        <f>IF(G4256=1,0.2*R4256/D4256,L4255)</f>
        <v/>
      </c>
      <c r="M4256">
        <f>IF(G4256=1,0.2*R4256/E4256,M4255)</f>
        <v/>
      </c>
      <c r="N4256">
        <f>IF(G4256=1,0.2*R4256/F4256,N4255)</f>
        <v/>
      </c>
      <c r="O4256">
        <f>IF(G4256=1,R4256*(1-1.0),IF(H4255=0,1,O4255*(1+0.00023125256064071564)))</f>
        <v/>
      </c>
      <c r="P4256">
        <f>IF(G4256=1,IF(H4255=0,1,ABS(0.2-J4255*B4256/I4256)+ABS(0.2-K4255*C4256/I4256)+ABS(0.2-L4255*D4256/I4256)+ABS(0.2-M4255*E4256/I4256)+ABS(0.2-N4255*F4256/I4256)),0)</f>
        <v/>
      </c>
      <c r="Q4256">
        <f>P4256*0.0015</f>
        <v/>
      </c>
      <c r="R4256">
        <f>I4256*(1-Q4256)</f>
        <v/>
      </c>
      <c r="S4256">
        <f>R4256/R4255-1</f>
        <v/>
      </c>
      <c r="T4256">
        <f>MAX(T4255,R4256)</f>
        <v/>
      </c>
      <c r="U4256">
        <f>R4256/T4256-1</f>
        <v/>
      </c>
      <c r="V4256" t="n">
        <v>14.74994492475876</v>
      </c>
      <c r="W4256" s="5">
        <f>R4256-V4256</f>
        <v/>
      </c>
    </row>
    <row r="4257">
      <c r="A4257" s="3" t="n">
        <v>44711</v>
      </c>
      <c r="B4257">
        <f>Prices!B4257</f>
        <v/>
      </c>
      <c r="C4257">
        <f>Prices!C4257</f>
        <v/>
      </c>
      <c r="D4257">
        <f>Prices!D4257</f>
        <v/>
      </c>
      <c r="E4257">
        <f>Prices!E4257</f>
        <v/>
      </c>
      <c r="F4257">
        <f>Prices!F4257</f>
        <v/>
      </c>
      <c r="G4257">
        <f>IF(AND(4255&gt;=16,TEXT(A4257,"yyyy-mm")&lt;&gt;TEXT(A4258,"yyyy-mm")),1,0)</f>
        <v/>
      </c>
      <c r="H4257">
        <f>IF(OR(H4256=1,G4257=1),1,0)</f>
        <v/>
      </c>
      <c r="I4257">
        <f>IF(H4256=0,1,SUMPRODUCT(J4256:N4256,B4257:F4257)+O4256*(1+0.00023125256064071564))</f>
        <v/>
      </c>
      <c r="J4257">
        <f>IF(G4257=1,0.2*R4257/B4257,J4256)</f>
        <v/>
      </c>
      <c r="K4257">
        <f>IF(G4257=1,0.2*R4257/C4257,K4256)</f>
        <v/>
      </c>
      <c r="L4257">
        <f>IF(G4257=1,0.2*R4257/D4257,L4256)</f>
        <v/>
      </c>
      <c r="M4257">
        <f>IF(G4257=1,0.2*R4257/E4257,M4256)</f>
        <v/>
      </c>
      <c r="N4257">
        <f>IF(G4257=1,0.2*R4257/F4257,N4256)</f>
        <v/>
      </c>
      <c r="O4257">
        <f>IF(G4257=1,R4257*(1-1.0),IF(H4256=0,1,O4256*(1+0.00023125256064071564)))</f>
        <v/>
      </c>
      <c r="P4257">
        <f>IF(G4257=1,IF(H4256=0,1,ABS(0.2-J4256*B4257/I4257)+ABS(0.2-K4256*C4257/I4257)+ABS(0.2-L4256*D4257/I4257)+ABS(0.2-M4256*E4257/I4257)+ABS(0.2-N4256*F4257/I4257)),0)</f>
        <v/>
      </c>
      <c r="Q4257">
        <f>P4257*0.0015</f>
        <v/>
      </c>
      <c r="R4257">
        <f>I4257*(1-Q4257)</f>
        <v/>
      </c>
      <c r="S4257">
        <f>R4257/R4256-1</f>
        <v/>
      </c>
      <c r="T4257">
        <f>MAX(T4256,R4257)</f>
        <v/>
      </c>
      <c r="U4257">
        <f>R4257/T4257-1</f>
        <v/>
      </c>
      <c r="V4257" t="n">
        <v>15.0732989229165</v>
      </c>
      <c r="W4257" s="5">
        <f>R4257-V4257</f>
        <v/>
      </c>
    </row>
    <row r="4258">
      <c r="A4258" s="3" t="n">
        <v>44712</v>
      </c>
      <c r="B4258">
        <f>Prices!B4258</f>
        <v/>
      </c>
      <c r="C4258">
        <f>Prices!C4258</f>
        <v/>
      </c>
      <c r="D4258">
        <f>Prices!D4258</f>
        <v/>
      </c>
      <c r="E4258">
        <f>Prices!E4258</f>
        <v/>
      </c>
      <c r="F4258">
        <f>Prices!F4258</f>
        <v/>
      </c>
      <c r="G4258">
        <f>IF(AND(4256&gt;=16,TEXT(A4258,"yyyy-mm")&lt;&gt;TEXT(A4259,"yyyy-mm")),1,0)</f>
        <v/>
      </c>
      <c r="H4258">
        <f>IF(OR(H4257=1,G4258=1),1,0)</f>
        <v/>
      </c>
      <c r="I4258">
        <f>IF(H4257=0,1,SUMPRODUCT(J4257:N4257,B4258:F4258)+O4257*(1+0.00023125256064071564))</f>
        <v/>
      </c>
      <c r="J4258">
        <f>IF(G4258=1,0.2*R4258/B4258,J4257)</f>
        <v/>
      </c>
      <c r="K4258">
        <f>IF(G4258=1,0.2*R4258/C4258,K4257)</f>
        <v/>
      </c>
      <c r="L4258">
        <f>IF(G4258=1,0.2*R4258/D4258,L4257)</f>
        <v/>
      </c>
      <c r="M4258">
        <f>IF(G4258=1,0.2*R4258/E4258,M4257)</f>
        <v/>
      </c>
      <c r="N4258">
        <f>IF(G4258=1,0.2*R4258/F4258,N4257)</f>
        <v/>
      </c>
      <c r="O4258">
        <f>IF(G4258=1,R4258*(1-1.0),IF(H4257=0,1,O4257*(1+0.00023125256064071564)))</f>
        <v/>
      </c>
      <c r="P4258">
        <f>IF(G4258=1,IF(H4257=0,1,ABS(0.2-J4257*B4258/I4258)+ABS(0.2-K4257*C4258/I4258)+ABS(0.2-L4257*D4258/I4258)+ABS(0.2-M4257*E4258/I4258)+ABS(0.2-N4257*F4258/I4258)),0)</f>
        <v/>
      </c>
      <c r="Q4258">
        <f>P4258*0.0015</f>
        <v/>
      </c>
      <c r="R4258">
        <f>I4258*(1-Q4258)</f>
        <v/>
      </c>
      <c r="S4258">
        <f>R4258/R4257-1</f>
        <v/>
      </c>
      <c r="T4258">
        <f>MAX(T4257,R4258)</f>
        <v/>
      </c>
      <c r="U4258">
        <f>R4258/T4258-1</f>
        <v/>
      </c>
      <c r="V4258" t="n">
        <v>15.17080872416444</v>
      </c>
      <c r="W4258" s="5">
        <f>R4258-V4258</f>
        <v/>
      </c>
    </row>
    <row r="4259">
      <c r="A4259" s="3" t="n">
        <v>44713</v>
      </c>
      <c r="B4259">
        <f>Prices!B4259</f>
        <v/>
      </c>
      <c r="C4259">
        <f>Prices!C4259</f>
        <v/>
      </c>
      <c r="D4259">
        <f>Prices!D4259</f>
        <v/>
      </c>
      <c r="E4259">
        <f>Prices!E4259</f>
        <v/>
      </c>
      <c r="F4259">
        <f>Prices!F4259</f>
        <v/>
      </c>
      <c r="G4259">
        <f>IF(AND(4257&gt;=16,TEXT(A4259,"yyyy-mm")&lt;&gt;TEXT(A4260,"yyyy-mm")),1,0)</f>
        <v/>
      </c>
      <c r="H4259">
        <f>IF(OR(H4258=1,G4259=1),1,0)</f>
        <v/>
      </c>
      <c r="I4259">
        <f>IF(H4258=0,1,SUMPRODUCT(J4258:N4258,B4259:F4259)+O4258*(1+0.00023125256064071564))</f>
        <v/>
      </c>
      <c r="J4259">
        <f>IF(G4259=1,0.2*R4259/B4259,J4258)</f>
        <v/>
      </c>
      <c r="K4259">
        <f>IF(G4259=1,0.2*R4259/C4259,K4258)</f>
        <v/>
      </c>
      <c r="L4259">
        <f>IF(G4259=1,0.2*R4259/D4259,L4258)</f>
        <v/>
      </c>
      <c r="M4259">
        <f>IF(G4259=1,0.2*R4259/E4259,M4258)</f>
        <v/>
      </c>
      <c r="N4259">
        <f>IF(G4259=1,0.2*R4259/F4259,N4258)</f>
        <v/>
      </c>
      <c r="O4259">
        <f>IF(G4259=1,R4259*(1-1.0),IF(H4258=0,1,O4258*(1+0.00023125256064071564)))</f>
        <v/>
      </c>
      <c r="P4259">
        <f>IF(G4259=1,IF(H4258=0,1,ABS(0.2-J4258*B4259/I4259)+ABS(0.2-K4258*C4259/I4259)+ABS(0.2-L4258*D4259/I4259)+ABS(0.2-M4258*E4259/I4259)+ABS(0.2-N4258*F4259/I4259)),0)</f>
        <v/>
      </c>
      <c r="Q4259">
        <f>P4259*0.0015</f>
        <v/>
      </c>
      <c r="R4259">
        <f>I4259*(1-Q4259)</f>
        <v/>
      </c>
      <c r="S4259">
        <f>R4259/R4258-1</f>
        <v/>
      </c>
      <c r="T4259">
        <f>MAX(T4258,R4259)</f>
        <v/>
      </c>
      <c r="U4259">
        <f>R4259/T4259-1</f>
        <v/>
      </c>
      <c r="V4259" t="n">
        <v>15.0933664371001</v>
      </c>
      <c r="W4259" s="5">
        <f>R4259-V4259</f>
        <v/>
      </c>
    </row>
    <row r="4260">
      <c r="A4260" s="3" t="n">
        <v>44714</v>
      </c>
      <c r="B4260">
        <f>Prices!B4260</f>
        <v/>
      </c>
      <c r="C4260">
        <f>Prices!C4260</f>
        <v/>
      </c>
      <c r="D4260">
        <f>Prices!D4260</f>
        <v/>
      </c>
      <c r="E4260">
        <f>Prices!E4260</f>
        <v/>
      </c>
      <c r="F4260">
        <f>Prices!F4260</f>
        <v/>
      </c>
      <c r="G4260">
        <f>IF(AND(4258&gt;=16,TEXT(A4260,"yyyy-mm")&lt;&gt;TEXT(A4261,"yyyy-mm")),1,0)</f>
        <v/>
      </c>
      <c r="H4260">
        <f>IF(OR(H4259=1,G4260=1),1,0)</f>
        <v/>
      </c>
      <c r="I4260">
        <f>IF(H4259=0,1,SUMPRODUCT(J4259:N4259,B4260:F4260)+O4259*(1+0.00023125256064071564))</f>
        <v/>
      </c>
      <c r="J4260">
        <f>IF(G4260=1,0.2*R4260/B4260,J4259)</f>
        <v/>
      </c>
      <c r="K4260">
        <f>IF(G4260=1,0.2*R4260/C4260,K4259)</f>
        <v/>
      </c>
      <c r="L4260">
        <f>IF(G4260=1,0.2*R4260/D4260,L4259)</f>
        <v/>
      </c>
      <c r="M4260">
        <f>IF(G4260=1,0.2*R4260/E4260,M4259)</f>
        <v/>
      </c>
      <c r="N4260">
        <f>IF(G4260=1,0.2*R4260/F4260,N4259)</f>
        <v/>
      </c>
      <c r="O4260">
        <f>IF(G4260=1,R4260*(1-1.0),IF(H4259=0,1,O4259*(1+0.00023125256064071564)))</f>
        <v/>
      </c>
      <c r="P4260">
        <f>IF(G4260=1,IF(H4259=0,1,ABS(0.2-J4259*B4260/I4260)+ABS(0.2-K4259*C4260/I4260)+ABS(0.2-L4259*D4260/I4260)+ABS(0.2-M4259*E4260/I4260)+ABS(0.2-N4259*F4260/I4260)),0)</f>
        <v/>
      </c>
      <c r="Q4260">
        <f>P4260*0.0015</f>
        <v/>
      </c>
      <c r="R4260">
        <f>I4260*(1-Q4260)</f>
        <v/>
      </c>
      <c r="S4260">
        <f>R4260/R4259-1</f>
        <v/>
      </c>
      <c r="T4260">
        <f>MAX(T4259,R4260)</f>
        <v/>
      </c>
      <c r="U4260">
        <f>R4260/T4260-1</f>
        <v/>
      </c>
      <c r="V4260" t="n">
        <v>15.16525620291285</v>
      </c>
      <c r="W4260" s="5">
        <f>R4260-V4260</f>
        <v/>
      </c>
    </row>
    <row r="4261">
      <c r="A4261" s="3" t="n">
        <v>44715</v>
      </c>
      <c r="B4261">
        <f>Prices!B4261</f>
        <v/>
      </c>
      <c r="C4261">
        <f>Prices!C4261</f>
        <v/>
      </c>
      <c r="D4261">
        <f>Prices!D4261</f>
        <v/>
      </c>
      <c r="E4261">
        <f>Prices!E4261</f>
        <v/>
      </c>
      <c r="F4261">
        <f>Prices!F4261</f>
        <v/>
      </c>
      <c r="G4261">
        <f>IF(AND(4259&gt;=16,TEXT(A4261,"yyyy-mm")&lt;&gt;TEXT(A4262,"yyyy-mm")),1,0)</f>
        <v/>
      </c>
      <c r="H4261">
        <f>IF(OR(H4260=1,G4261=1),1,0)</f>
        <v/>
      </c>
      <c r="I4261">
        <f>IF(H4260=0,1,SUMPRODUCT(J4260:N4260,B4261:F4261)+O4260*(1+0.00023125256064071564))</f>
        <v/>
      </c>
      <c r="J4261">
        <f>IF(G4261=1,0.2*R4261/B4261,J4260)</f>
        <v/>
      </c>
      <c r="K4261">
        <f>IF(G4261=1,0.2*R4261/C4261,K4260)</f>
        <v/>
      </c>
      <c r="L4261">
        <f>IF(G4261=1,0.2*R4261/D4261,L4260)</f>
        <v/>
      </c>
      <c r="M4261">
        <f>IF(G4261=1,0.2*R4261/E4261,M4260)</f>
        <v/>
      </c>
      <c r="N4261">
        <f>IF(G4261=1,0.2*R4261/F4261,N4260)</f>
        <v/>
      </c>
      <c r="O4261">
        <f>IF(G4261=1,R4261*(1-1.0),IF(H4260=0,1,O4260*(1+0.00023125256064071564)))</f>
        <v/>
      </c>
      <c r="P4261">
        <f>IF(G4261=1,IF(H4260=0,1,ABS(0.2-J4260*B4261/I4261)+ABS(0.2-K4260*C4261/I4261)+ABS(0.2-L4260*D4261/I4261)+ABS(0.2-M4260*E4261/I4261)+ABS(0.2-N4260*F4261/I4261)),0)</f>
        <v/>
      </c>
      <c r="Q4261">
        <f>P4261*0.0015</f>
        <v/>
      </c>
      <c r="R4261">
        <f>I4261*(1-Q4261)</f>
        <v/>
      </c>
      <c r="S4261">
        <f>R4261/R4260-1</f>
        <v/>
      </c>
      <c r="T4261">
        <f>MAX(T4260,R4261)</f>
        <v/>
      </c>
      <c r="U4261">
        <f>R4261/T4261-1</f>
        <v/>
      </c>
      <c r="V4261" t="n">
        <v>14.98716184627172</v>
      </c>
      <c r="W4261" s="5">
        <f>R4261-V4261</f>
        <v/>
      </c>
    </row>
    <row r="4262">
      <c r="A4262" s="3" t="n">
        <v>44718</v>
      </c>
      <c r="B4262">
        <f>Prices!B4262</f>
        <v/>
      </c>
      <c r="C4262">
        <f>Prices!C4262</f>
        <v/>
      </c>
      <c r="D4262">
        <f>Prices!D4262</f>
        <v/>
      </c>
      <c r="E4262">
        <f>Prices!E4262</f>
        <v/>
      </c>
      <c r="F4262">
        <f>Prices!F4262</f>
        <v/>
      </c>
      <c r="G4262">
        <f>IF(AND(4260&gt;=16,TEXT(A4262,"yyyy-mm")&lt;&gt;TEXT(A4263,"yyyy-mm")),1,0)</f>
        <v/>
      </c>
      <c r="H4262">
        <f>IF(OR(H4261=1,G4262=1),1,0)</f>
        <v/>
      </c>
      <c r="I4262">
        <f>IF(H4261=0,1,SUMPRODUCT(J4261:N4261,B4262:F4262)+O4261*(1+0.00023125256064071564))</f>
        <v/>
      </c>
      <c r="J4262">
        <f>IF(G4262=1,0.2*R4262/B4262,J4261)</f>
        <v/>
      </c>
      <c r="K4262">
        <f>IF(G4262=1,0.2*R4262/C4262,K4261)</f>
        <v/>
      </c>
      <c r="L4262">
        <f>IF(G4262=1,0.2*R4262/D4262,L4261)</f>
        <v/>
      </c>
      <c r="M4262">
        <f>IF(G4262=1,0.2*R4262/E4262,M4261)</f>
        <v/>
      </c>
      <c r="N4262">
        <f>IF(G4262=1,0.2*R4262/F4262,N4261)</f>
        <v/>
      </c>
      <c r="O4262">
        <f>IF(G4262=1,R4262*(1-1.0),IF(H4261=0,1,O4261*(1+0.00023125256064071564)))</f>
        <v/>
      </c>
      <c r="P4262">
        <f>IF(G4262=1,IF(H4261=0,1,ABS(0.2-J4261*B4262/I4262)+ABS(0.2-K4261*C4262/I4262)+ABS(0.2-L4261*D4262/I4262)+ABS(0.2-M4261*E4262/I4262)+ABS(0.2-N4261*F4262/I4262)),0)</f>
        <v/>
      </c>
      <c r="Q4262">
        <f>P4262*0.0015</f>
        <v/>
      </c>
      <c r="R4262">
        <f>I4262*(1-Q4262)</f>
        <v/>
      </c>
      <c r="S4262">
        <f>R4262/R4261-1</f>
        <v/>
      </c>
      <c r="T4262">
        <f>MAX(T4261,R4262)</f>
        <v/>
      </c>
      <c r="U4262">
        <f>R4262/T4262-1</f>
        <v/>
      </c>
      <c r="V4262" t="n">
        <v>14.93640047360782</v>
      </c>
      <c r="W4262" s="5">
        <f>R4262-V4262</f>
        <v/>
      </c>
    </row>
    <row r="4263">
      <c r="A4263" s="3" t="n">
        <v>44719</v>
      </c>
      <c r="B4263">
        <f>Prices!B4263</f>
        <v/>
      </c>
      <c r="C4263">
        <f>Prices!C4263</f>
        <v/>
      </c>
      <c r="D4263">
        <f>Prices!D4263</f>
        <v/>
      </c>
      <c r="E4263">
        <f>Prices!E4263</f>
        <v/>
      </c>
      <c r="F4263">
        <f>Prices!F4263</f>
        <v/>
      </c>
      <c r="G4263">
        <f>IF(AND(4261&gt;=16,TEXT(A4263,"yyyy-mm")&lt;&gt;TEXT(A4264,"yyyy-mm")),1,0)</f>
        <v/>
      </c>
      <c r="H4263">
        <f>IF(OR(H4262=1,G4263=1),1,0)</f>
        <v/>
      </c>
      <c r="I4263">
        <f>IF(H4262=0,1,SUMPRODUCT(J4262:N4262,B4263:F4263)+O4262*(1+0.00023125256064071564))</f>
        <v/>
      </c>
      <c r="J4263">
        <f>IF(G4263=1,0.2*R4263/B4263,J4262)</f>
        <v/>
      </c>
      <c r="K4263">
        <f>IF(G4263=1,0.2*R4263/C4263,K4262)</f>
        <v/>
      </c>
      <c r="L4263">
        <f>IF(G4263=1,0.2*R4263/D4263,L4262)</f>
        <v/>
      </c>
      <c r="M4263">
        <f>IF(G4263=1,0.2*R4263/E4263,M4262)</f>
        <v/>
      </c>
      <c r="N4263">
        <f>IF(G4263=1,0.2*R4263/F4263,N4262)</f>
        <v/>
      </c>
      <c r="O4263">
        <f>IF(G4263=1,R4263*(1-1.0),IF(H4262=0,1,O4262*(1+0.00023125256064071564)))</f>
        <v/>
      </c>
      <c r="P4263">
        <f>IF(G4263=1,IF(H4262=0,1,ABS(0.2-J4262*B4263/I4263)+ABS(0.2-K4262*C4263/I4263)+ABS(0.2-L4262*D4263/I4263)+ABS(0.2-M4262*E4263/I4263)+ABS(0.2-N4262*F4263/I4263)),0)</f>
        <v/>
      </c>
      <c r="Q4263">
        <f>P4263*0.0015</f>
        <v/>
      </c>
      <c r="R4263">
        <f>I4263*(1-Q4263)</f>
        <v/>
      </c>
      <c r="S4263">
        <f>R4263/R4262-1</f>
        <v/>
      </c>
      <c r="T4263">
        <f>MAX(T4262,R4263)</f>
        <v/>
      </c>
      <c r="U4263">
        <f>R4263/T4263-1</f>
        <v/>
      </c>
      <c r="V4263" t="n">
        <v>14.87326925279991</v>
      </c>
      <c r="W4263" s="5">
        <f>R4263-V4263</f>
        <v/>
      </c>
    </row>
    <row r="4264">
      <c r="A4264" s="3" t="n">
        <v>44720</v>
      </c>
      <c r="B4264">
        <f>Prices!B4264</f>
        <v/>
      </c>
      <c r="C4264">
        <f>Prices!C4264</f>
        <v/>
      </c>
      <c r="D4264">
        <f>Prices!D4264</f>
        <v/>
      </c>
      <c r="E4264">
        <f>Prices!E4264</f>
        <v/>
      </c>
      <c r="F4264">
        <f>Prices!F4264</f>
        <v/>
      </c>
      <c r="G4264">
        <f>IF(AND(4262&gt;=16,TEXT(A4264,"yyyy-mm")&lt;&gt;TEXT(A4265,"yyyy-mm")),1,0)</f>
        <v/>
      </c>
      <c r="H4264">
        <f>IF(OR(H4263=1,G4264=1),1,0)</f>
        <v/>
      </c>
      <c r="I4264">
        <f>IF(H4263=0,1,SUMPRODUCT(J4263:N4263,B4264:F4264)+O4263*(1+0.00023125256064071564))</f>
        <v/>
      </c>
      <c r="J4264">
        <f>IF(G4264=1,0.2*R4264/B4264,J4263)</f>
        <v/>
      </c>
      <c r="K4264">
        <f>IF(G4264=1,0.2*R4264/C4264,K4263)</f>
        <v/>
      </c>
      <c r="L4264">
        <f>IF(G4264=1,0.2*R4264/D4264,L4263)</f>
        <v/>
      </c>
      <c r="M4264">
        <f>IF(G4264=1,0.2*R4264/E4264,M4263)</f>
        <v/>
      </c>
      <c r="N4264">
        <f>IF(G4264=1,0.2*R4264/F4264,N4263)</f>
        <v/>
      </c>
      <c r="O4264">
        <f>IF(G4264=1,R4264*(1-1.0),IF(H4263=0,1,O4263*(1+0.00023125256064071564)))</f>
        <v/>
      </c>
      <c r="P4264">
        <f>IF(G4264=1,IF(H4263=0,1,ABS(0.2-J4263*B4264/I4264)+ABS(0.2-K4263*C4264/I4264)+ABS(0.2-L4263*D4264/I4264)+ABS(0.2-M4263*E4264/I4264)+ABS(0.2-N4263*F4264/I4264)),0)</f>
        <v/>
      </c>
      <c r="Q4264">
        <f>P4264*0.0015</f>
        <v/>
      </c>
      <c r="R4264">
        <f>I4264*(1-Q4264)</f>
        <v/>
      </c>
      <c r="S4264">
        <f>R4264/R4263-1</f>
        <v/>
      </c>
      <c r="T4264">
        <f>MAX(T4263,R4264)</f>
        <v/>
      </c>
      <c r="U4264">
        <f>R4264/T4264-1</f>
        <v/>
      </c>
      <c r="V4264" t="n">
        <v>14.82005458959532</v>
      </c>
      <c r="W4264" s="5">
        <f>R4264-V4264</f>
        <v/>
      </c>
    </row>
    <row r="4265">
      <c r="A4265" s="3" t="n">
        <v>44721</v>
      </c>
      <c r="B4265">
        <f>Prices!B4265</f>
        <v/>
      </c>
      <c r="C4265">
        <f>Prices!C4265</f>
        <v/>
      </c>
      <c r="D4265">
        <f>Prices!D4265</f>
        <v/>
      </c>
      <c r="E4265">
        <f>Prices!E4265</f>
        <v/>
      </c>
      <c r="F4265">
        <f>Prices!F4265</f>
        <v/>
      </c>
      <c r="G4265">
        <f>IF(AND(4263&gt;=16,TEXT(A4265,"yyyy-mm")&lt;&gt;TEXT(A4266,"yyyy-mm")),1,0)</f>
        <v/>
      </c>
      <c r="H4265">
        <f>IF(OR(H4264=1,G4265=1),1,0)</f>
        <v/>
      </c>
      <c r="I4265">
        <f>IF(H4264=0,1,SUMPRODUCT(J4264:N4264,B4265:F4265)+O4264*(1+0.00023125256064071564))</f>
        <v/>
      </c>
      <c r="J4265">
        <f>IF(G4265=1,0.2*R4265/B4265,J4264)</f>
        <v/>
      </c>
      <c r="K4265">
        <f>IF(G4265=1,0.2*R4265/C4265,K4264)</f>
        <v/>
      </c>
      <c r="L4265">
        <f>IF(G4265=1,0.2*R4265/D4265,L4264)</f>
        <v/>
      </c>
      <c r="M4265">
        <f>IF(G4265=1,0.2*R4265/E4265,M4264)</f>
        <v/>
      </c>
      <c r="N4265">
        <f>IF(G4265=1,0.2*R4265/F4265,N4264)</f>
        <v/>
      </c>
      <c r="O4265">
        <f>IF(G4265=1,R4265*(1-1.0),IF(H4264=0,1,O4264*(1+0.00023125256064071564)))</f>
        <v/>
      </c>
      <c r="P4265">
        <f>IF(G4265=1,IF(H4264=0,1,ABS(0.2-J4264*B4265/I4265)+ABS(0.2-K4264*C4265/I4265)+ABS(0.2-L4264*D4265/I4265)+ABS(0.2-M4264*E4265/I4265)+ABS(0.2-N4264*F4265/I4265)),0)</f>
        <v/>
      </c>
      <c r="Q4265">
        <f>P4265*0.0015</f>
        <v/>
      </c>
      <c r="R4265">
        <f>I4265*(1-Q4265)</f>
        <v/>
      </c>
      <c r="S4265">
        <f>R4265/R4264-1</f>
        <v/>
      </c>
      <c r="T4265">
        <f>MAX(T4264,R4265)</f>
        <v/>
      </c>
      <c r="U4265">
        <f>R4265/T4265-1</f>
        <v/>
      </c>
      <c r="V4265" t="n">
        <v>14.88156842547979</v>
      </c>
      <c r="W4265" s="5">
        <f>R4265-V4265</f>
        <v/>
      </c>
    </row>
    <row r="4266">
      <c r="A4266" s="3" t="n">
        <v>44722</v>
      </c>
      <c r="B4266">
        <f>Prices!B4266</f>
        <v/>
      </c>
      <c r="C4266">
        <f>Prices!C4266</f>
        <v/>
      </c>
      <c r="D4266">
        <f>Prices!D4266</f>
        <v/>
      </c>
      <c r="E4266">
        <f>Prices!E4266</f>
        <v/>
      </c>
      <c r="F4266">
        <f>Prices!F4266</f>
        <v/>
      </c>
      <c r="G4266">
        <f>IF(AND(4264&gt;=16,TEXT(A4266,"yyyy-mm")&lt;&gt;TEXT(A4267,"yyyy-mm")),1,0)</f>
        <v/>
      </c>
      <c r="H4266">
        <f>IF(OR(H4265=1,G4266=1),1,0)</f>
        <v/>
      </c>
      <c r="I4266">
        <f>IF(H4265=0,1,SUMPRODUCT(J4265:N4265,B4266:F4266)+O4265*(1+0.00023125256064071564))</f>
        <v/>
      </c>
      <c r="J4266">
        <f>IF(G4266=1,0.2*R4266/B4266,J4265)</f>
        <v/>
      </c>
      <c r="K4266">
        <f>IF(G4266=1,0.2*R4266/C4266,K4265)</f>
        <v/>
      </c>
      <c r="L4266">
        <f>IF(G4266=1,0.2*R4266/D4266,L4265)</f>
        <v/>
      </c>
      <c r="M4266">
        <f>IF(G4266=1,0.2*R4266/E4266,M4265)</f>
        <v/>
      </c>
      <c r="N4266">
        <f>IF(G4266=1,0.2*R4266/F4266,N4265)</f>
        <v/>
      </c>
      <c r="O4266">
        <f>IF(G4266=1,R4266*(1-1.0),IF(H4265=0,1,O4265*(1+0.00023125256064071564)))</f>
        <v/>
      </c>
      <c r="P4266">
        <f>IF(G4266=1,IF(H4265=0,1,ABS(0.2-J4265*B4266/I4266)+ABS(0.2-K4265*C4266/I4266)+ABS(0.2-L4265*D4266/I4266)+ABS(0.2-M4265*E4266/I4266)+ABS(0.2-N4265*F4266/I4266)),0)</f>
        <v/>
      </c>
      <c r="Q4266">
        <f>P4266*0.0015</f>
        <v/>
      </c>
      <c r="R4266">
        <f>I4266*(1-Q4266)</f>
        <v/>
      </c>
      <c r="S4266">
        <f>R4266/R4265-1</f>
        <v/>
      </c>
      <c r="T4266">
        <f>MAX(T4265,R4266)</f>
        <v/>
      </c>
      <c r="U4266">
        <f>R4266/T4266-1</f>
        <v/>
      </c>
      <c r="V4266" t="n">
        <v>14.79780002183086</v>
      </c>
      <c r="W4266" s="5">
        <f>R4266-V4266</f>
        <v/>
      </c>
    </row>
    <row r="4267">
      <c r="A4267" s="3" t="n">
        <v>44725</v>
      </c>
      <c r="B4267">
        <f>Prices!B4267</f>
        <v/>
      </c>
      <c r="C4267">
        <f>Prices!C4267</f>
        <v/>
      </c>
      <c r="D4267">
        <f>Prices!D4267</f>
        <v/>
      </c>
      <c r="E4267">
        <f>Prices!E4267</f>
        <v/>
      </c>
      <c r="F4267">
        <f>Prices!F4267</f>
        <v/>
      </c>
      <c r="G4267">
        <f>IF(AND(4265&gt;=16,TEXT(A4267,"yyyy-mm")&lt;&gt;TEXT(A4268,"yyyy-mm")),1,0)</f>
        <v/>
      </c>
      <c r="H4267">
        <f>IF(OR(H4266=1,G4267=1),1,0)</f>
        <v/>
      </c>
      <c r="I4267">
        <f>IF(H4266=0,1,SUMPRODUCT(J4266:N4266,B4267:F4267)+O4266*(1+0.00023125256064071564))</f>
        <v/>
      </c>
      <c r="J4267">
        <f>IF(G4267=1,0.2*R4267/B4267,J4266)</f>
        <v/>
      </c>
      <c r="K4267">
        <f>IF(G4267=1,0.2*R4267/C4267,K4266)</f>
        <v/>
      </c>
      <c r="L4267">
        <f>IF(G4267=1,0.2*R4267/D4267,L4266)</f>
        <v/>
      </c>
      <c r="M4267">
        <f>IF(G4267=1,0.2*R4267/E4267,M4266)</f>
        <v/>
      </c>
      <c r="N4267">
        <f>IF(G4267=1,0.2*R4267/F4267,N4266)</f>
        <v/>
      </c>
      <c r="O4267">
        <f>IF(G4267=1,R4267*(1-1.0),IF(H4266=0,1,O4266*(1+0.00023125256064071564)))</f>
        <v/>
      </c>
      <c r="P4267">
        <f>IF(G4267=1,IF(H4266=0,1,ABS(0.2-J4266*B4267/I4267)+ABS(0.2-K4266*C4267/I4267)+ABS(0.2-L4266*D4267/I4267)+ABS(0.2-M4266*E4267/I4267)+ABS(0.2-N4266*F4267/I4267)),0)</f>
        <v/>
      </c>
      <c r="Q4267">
        <f>P4267*0.0015</f>
        <v/>
      </c>
      <c r="R4267">
        <f>I4267*(1-Q4267)</f>
        <v/>
      </c>
      <c r="S4267">
        <f>R4267/R4266-1</f>
        <v/>
      </c>
      <c r="T4267">
        <f>MAX(T4266,R4267)</f>
        <v/>
      </c>
      <c r="U4267">
        <f>R4267/T4267-1</f>
        <v/>
      </c>
      <c r="V4267" t="n">
        <v>14.36384622252368</v>
      </c>
      <c r="W4267" s="5">
        <f>R4267-V4267</f>
        <v/>
      </c>
    </row>
    <row r="4268">
      <c r="A4268" s="3" t="n">
        <v>44726</v>
      </c>
      <c r="B4268">
        <f>Prices!B4268</f>
        <v/>
      </c>
      <c r="C4268">
        <f>Prices!C4268</f>
        <v/>
      </c>
      <c r="D4268">
        <f>Prices!D4268</f>
        <v/>
      </c>
      <c r="E4268">
        <f>Prices!E4268</f>
        <v/>
      </c>
      <c r="F4268">
        <f>Prices!F4268</f>
        <v/>
      </c>
      <c r="G4268">
        <f>IF(AND(4266&gt;=16,TEXT(A4268,"yyyy-mm")&lt;&gt;TEXT(A4269,"yyyy-mm")),1,0)</f>
        <v/>
      </c>
      <c r="H4268">
        <f>IF(OR(H4267=1,G4268=1),1,0)</f>
        <v/>
      </c>
      <c r="I4268">
        <f>IF(H4267=0,1,SUMPRODUCT(J4267:N4267,B4268:F4268)+O4267*(1+0.00023125256064071564))</f>
        <v/>
      </c>
      <c r="J4268">
        <f>IF(G4268=1,0.2*R4268/B4268,J4267)</f>
        <v/>
      </c>
      <c r="K4268">
        <f>IF(G4268=1,0.2*R4268/C4268,K4267)</f>
        <v/>
      </c>
      <c r="L4268">
        <f>IF(G4268=1,0.2*R4268/D4268,L4267)</f>
        <v/>
      </c>
      <c r="M4268">
        <f>IF(G4268=1,0.2*R4268/E4268,M4267)</f>
        <v/>
      </c>
      <c r="N4268">
        <f>IF(G4268=1,0.2*R4268/F4268,N4267)</f>
        <v/>
      </c>
      <c r="O4268">
        <f>IF(G4268=1,R4268*(1-1.0),IF(H4267=0,1,O4267*(1+0.00023125256064071564)))</f>
        <v/>
      </c>
      <c r="P4268">
        <f>IF(G4268=1,IF(H4267=0,1,ABS(0.2-J4267*B4268/I4268)+ABS(0.2-K4267*C4268/I4268)+ABS(0.2-L4267*D4268/I4268)+ABS(0.2-M4267*E4268/I4268)+ABS(0.2-N4267*F4268/I4268)),0)</f>
        <v/>
      </c>
      <c r="Q4268">
        <f>P4268*0.0015</f>
        <v/>
      </c>
      <c r="R4268">
        <f>I4268*(1-Q4268)</f>
        <v/>
      </c>
      <c r="S4268">
        <f>R4268/R4267-1</f>
        <v/>
      </c>
      <c r="T4268">
        <f>MAX(T4267,R4268)</f>
        <v/>
      </c>
      <c r="U4268">
        <f>R4268/T4268-1</f>
        <v/>
      </c>
      <c r="V4268" t="n">
        <v>14.30888487453467</v>
      </c>
      <c r="W4268" s="5">
        <f>R4268-V4268</f>
        <v/>
      </c>
    </row>
    <row r="4269">
      <c r="A4269" s="3" t="n">
        <v>44727</v>
      </c>
      <c r="B4269">
        <f>Prices!B4269</f>
        <v/>
      </c>
      <c r="C4269">
        <f>Prices!C4269</f>
        <v/>
      </c>
      <c r="D4269">
        <f>Prices!D4269</f>
        <v/>
      </c>
      <c r="E4269">
        <f>Prices!E4269</f>
        <v/>
      </c>
      <c r="F4269">
        <f>Prices!F4269</f>
        <v/>
      </c>
      <c r="G4269">
        <f>IF(AND(4267&gt;=16,TEXT(A4269,"yyyy-mm")&lt;&gt;TEXT(A4270,"yyyy-mm")),1,0)</f>
        <v/>
      </c>
      <c r="H4269">
        <f>IF(OR(H4268=1,G4269=1),1,0)</f>
        <v/>
      </c>
      <c r="I4269">
        <f>IF(H4268=0,1,SUMPRODUCT(J4268:N4268,B4269:F4269)+O4268*(1+0.00023125256064071564))</f>
        <v/>
      </c>
      <c r="J4269">
        <f>IF(G4269=1,0.2*R4269/B4269,J4268)</f>
        <v/>
      </c>
      <c r="K4269">
        <f>IF(G4269=1,0.2*R4269/C4269,K4268)</f>
        <v/>
      </c>
      <c r="L4269">
        <f>IF(G4269=1,0.2*R4269/D4269,L4268)</f>
        <v/>
      </c>
      <c r="M4269">
        <f>IF(G4269=1,0.2*R4269/E4269,M4268)</f>
        <v/>
      </c>
      <c r="N4269">
        <f>IF(G4269=1,0.2*R4269/F4269,N4268)</f>
        <v/>
      </c>
      <c r="O4269">
        <f>IF(G4269=1,R4269*(1-1.0),IF(H4268=0,1,O4268*(1+0.00023125256064071564)))</f>
        <v/>
      </c>
      <c r="P4269">
        <f>IF(G4269=1,IF(H4268=0,1,ABS(0.2-J4268*B4269/I4269)+ABS(0.2-K4268*C4269/I4269)+ABS(0.2-L4268*D4269/I4269)+ABS(0.2-M4268*E4269/I4269)+ABS(0.2-N4268*F4269/I4269)),0)</f>
        <v/>
      </c>
      <c r="Q4269">
        <f>P4269*0.0015</f>
        <v/>
      </c>
      <c r="R4269">
        <f>I4269*(1-Q4269)</f>
        <v/>
      </c>
      <c r="S4269">
        <f>R4269/R4268-1</f>
        <v/>
      </c>
      <c r="T4269">
        <f>MAX(T4268,R4269)</f>
        <v/>
      </c>
      <c r="U4269">
        <f>R4269/T4269-1</f>
        <v/>
      </c>
      <c r="V4269" t="n">
        <v>14.30426487332551</v>
      </c>
      <c r="W4269" s="5">
        <f>R4269-V4269</f>
        <v/>
      </c>
    </row>
    <row r="4270">
      <c r="A4270" s="3" t="n">
        <v>44728</v>
      </c>
      <c r="B4270">
        <f>Prices!B4270</f>
        <v/>
      </c>
      <c r="C4270">
        <f>Prices!C4270</f>
        <v/>
      </c>
      <c r="D4270">
        <f>Prices!D4270</f>
        <v/>
      </c>
      <c r="E4270">
        <f>Prices!E4270</f>
        <v/>
      </c>
      <c r="F4270">
        <f>Prices!F4270</f>
        <v/>
      </c>
      <c r="G4270">
        <f>IF(AND(4268&gt;=16,TEXT(A4270,"yyyy-mm")&lt;&gt;TEXT(A4271,"yyyy-mm")),1,0)</f>
        <v/>
      </c>
      <c r="H4270">
        <f>IF(OR(H4269=1,G4270=1),1,0)</f>
        <v/>
      </c>
      <c r="I4270">
        <f>IF(H4269=0,1,SUMPRODUCT(J4269:N4269,B4270:F4270)+O4269*(1+0.00023125256064071564))</f>
        <v/>
      </c>
      <c r="J4270">
        <f>IF(G4270=1,0.2*R4270/B4270,J4269)</f>
        <v/>
      </c>
      <c r="K4270">
        <f>IF(G4270=1,0.2*R4270/C4270,K4269)</f>
        <v/>
      </c>
      <c r="L4270">
        <f>IF(G4270=1,0.2*R4270/D4270,L4269)</f>
        <v/>
      </c>
      <c r="M4270">
        <f>IF(G4270=1,0.2*R4270/E4270,M4269)</f>
        <v/>
      </c>
      <c r="N4270">
        <f>IF(G4270=1,0.2*R4270/F4270,N4269)</f>
        <v/>
      </c>
      <c r="O4270">
        <f>IF(G4270=1,R4270*(1-1.0),IF(H4269=0,1,O4269*(1+0.00023125256064071564)))</f>
        <v/>
      </c>
      <c r="P4270">
        <f>IF(G4270=1,IF(H4269=0,1,ABS(0.2-J4269*B4270/I4270)+ABS(0.2-K4269*C4270/I4270)+ABS(0.2-L4269*D4270/I4270)+ABS(0.2-M4269*E4270/I4270)+ABS(0.2-N4269*F4270/I4270)),0)</f>
        <v/>
      </c>
      <c r="Q4270">
        <f>P4270*0.0015</f>
        <v/>
      </c>
      <c r="R4270">
        <f>I4270*(1-Q4270)</f>
        <v/>
      </c>
      <c r="S4270">
        <f>R4270/R4269-1</f>
        <v/>
      </c>
      <c r="T4270">
        <f>MAX(T4269,R4270)</f>
        <v/>
      </c>
      <c r="U4270">
        <f>R4270/T4270-1</f>
        <v/>
      </c>
      <c r="V4270" t="n">
        <v>13.93057285622358</v>
      </c>
      <c r="W4270" s="5">
        <f>R4270-V4270</f>
        <v/>
      </c>
    </row>
    <row r="4271">
      <c r="A4271" s="3" t="n">
        <v>44729</v>
      </c>
      <c r="B4271">
        <f>Prices!B4271</f>
        <v/>
      </c>
      <c r="C4271">
        <f>Prices!C4271</f>
        <v/>
      </c>
      <c r="D4271">
        <f>Prices!D4271</f>
        <v/>
      </c>
      <c r="E4271">
        <f>Prices!E4271</f>
        <v/>
      </c>
      <c r="F4271">
        <f>Prices!F4271</f>
        <v/>
      </c>
      <c r="G4271">
        <f>IF(AND(4269&gt;=16,TEXT(A4271,"yyyy-mm")&lt;&gt;TEXT(A4272,"yyyy-mm")),1,0)</f>
        <v/>
      </c>
      <c r="H4271">
        <f>IF(OR(H4270=1,G4271=1),1,0)</f>
        <v/>
      </c>
      <c r="I4271">
        <f>IF(H4270=0,1,SUMPRODUCT(J4270:N4270,B4271:F4271)+O4270*(1+0.00023125256064071564))</f>
        <v/>
      </c>
      <c r="J4271">
        <f>IF(G4271=1,0.2*R4271/B4271,J4270)</f>
        <v/>
      </c>
      <c r="K4271">
        <f>IF(G4271=1,0.2*R4271/C4271,K4270)</f>
        <v/>
      </c>
      <c r="L4271">
        <f>IF(G4271=1,0.2*R4271/D4271,L4270)</f>
        <v/>
      </c>
      <c r="M4271">
        <f>IF(G4271=1,0.2*R4271/E4271,M4270)</f>
        <v/>
      </c>
      <c r="N4271">
        <f>IF(G4271=1,0.2*R4271/F4271,N4270)</f>
        <v/>
      </c>
      <c r="O4271">
        <f>IF(G4271=1,R4271*(1-1.0),IF(H4270=0,1,O4270*(1+0.00023125256064071564)))</f>
        <v/>
      </c>
      <c r="P4271">
        <f>IF(G4271=1,IF(H4270=0,1,ABS(0.2-J4270*B4271/I4271)+ABS(0.2-K4270*C4271/I4271)+ABS(0.2-L4270*D4271/I4271)+ABS(0.2-M4270*E4271/I4271)+ABS(0.2-N4270*F4271/I4271)),0)</f>
        <v/>
      </c>
      <c r="Q4271">
        <f>P4271*0.0015</f>
        <v/>
      </c>
      <c r="R4271">
        <f>I4271*(1-Q4271)</f>
        <v/>
      </c>
      <c r="S4271">
        <f>R4271/R4270-1</f>
        <v/>
      </c>
      <c r="T4271">
        <f>MAX(T4270,R4271)</f>
        <v/>
      </c>
      <c r="U4271">
        <f>R4271/T4271-1</f>
        <v/>
      </c>
      <c r="V4271" t="n">
        <v>13.74274494838416</v>
      </c>
      <c r="W4271" s="5">
        <f>R4271-V4271</f>
        <v/>
      </c>
    </row>
    <row r="4272">
      <c r="A4272" s="3" t="n">
        <v>44732</v>
      </c>
      <c r="B4272">
        <f>Prices!B4272</f>
        <v/>
      </c>
      <c r="C4272">
        <f>Prices!C4272</f>
        <v/>
      </c>
      <c r="D4272">
        <f>Prices!D4272</f>
        <v/>
      </c>
      <c r="E4272">
        <f>Prices!E4272</f>
        <v/>
      </c>
      <c r="F4272">
        <f>Prices!F4272</f>
        <v/>
      </c>
      <c r="G4272">
        <f>IF(AND(4270&gt;=16,TEXT(A4272,"yyyy-mm")&lt;&gt;TEXT(A4273,"yyyy-mm")),1,0)</f>
        <v/>
      </c>
      <c r="H4272">
        <f>IF(OR(H4271=1,G4272=1),1,0)</f>
        <v/>
      </c>
      <c r="I4272">
        <f>IF(H4271=0,1,SUMPRODUCT(J4271:N4271,B4272:F4272)+O4271*(1+0.00023125256064071564))</f>
        <v/>
      </c>
      <c r="J4272">
        <f>IF(G4272=1,0.2*R4272/B4272,J4271)</f>
        <v/>
      </c>
      <c r="K4272">
        <f>IF(G4272=1,0.2*R4272/C4272,K4271)</f>
        <v/>
      </c>
      <c r="L4272">
        <f>IF(G4272=1,0.2*R4272/D4272,L4271)</f>
        <v/>
      </c>
      <c r="M4272">
        <f>IF(G4272=1,0.2*R4272/E4272,M4271)</f>
        <v/>
      </c>
      <c r="N4272">
        <f>IF(G4272=1,0.2*R4272/F4272,N4271)</f>
        <v/>
      </c>
      <c r="O4272">
        <f>IF(G4272=1,R4272*(1-1.0),IF(H4271=0,1,O4271*(1+0.00023125256064071564)))</f>
        <v/>
      </c>
      <c r="P4272">
        <f>IF(G4272=1,IF(H4271=0,1,ABS(0.2-J4271*B4272/I4272)+ABS(0.2-K4271*C4272/I4272)+ABS(0.2-L4271*D4272/I4272)+ABS(0.2-M4271*E4272/I4272)+ABS(0.2-N4271*F4272/I4272)),0)</f>
        <v/>
      </c>
      <c r="Q4272">
        <f>P4272*0.0015</f>
        <v/>
      </c>
      <c r="R4272">
        <f>I4272*(1-Q4272)</f>
        <v/>
      </c>
      <c r="S4272">
        <f>R4272/R4271-1</f>
        <v/>
      </c>
      <c r="T4272">
        <f>MAX(T4271,R4272)</f>
        <v/>
      </c>
      <c r="U4272">
        <f>R4272/T4272-1</f>
        <v/>
      </c>
      <c r="V4272" t="n">
        <v>13.49101087641273</v>
      </c>
      <c r="W4272" s="5">
        <f>R4272-V4272</f>
        <v/>
      </c>
    </row>
    <row r="4273">
      <c r="A4273" s="3" t="n">
        <v>44733</v>
      </c>
      <c r="B4273">
        <f>Prices!B4273</f>
        <v/>
      </c>
      <c r="C4273">
        <f>Prices!C4273</f>
        <v/>
      </c>
      <c r="D4273">
        <f>Prices!D4273</f>
        <v/>
      </c>
      <c r="E4273">
        <f>Prices!E4273</f>
        <v/>
      </c>
      <c r="F4273">
        <f>Prices!F4273</f>
        <v/>
      </c>
      <c r="G4273">
        <f>IF(AND(4271&gt;=16,TEXT(A4273,"yyyy-mm")&lt;&gt;TEXT(A4274,"yyyy-mm")),1,0)</f>
        <v/>
      </c>
      <c r="H4273">
        <f>IF(OR(H4272=1,G4273=1),1,0)</f>
        <v/>
      </c>
      <c r="I4273">
        <f>IF(H4272=0,1,SUMPRODUCT(J4272:N4272,B4273:F4273)+O4272*(1+0.00023125256064071564))</f>
        <v/>
      </c>
      <c r="J4273">
        <f>IF(G4273=1,0.2*R4273/B4273,J4272)</f>
        <v/>
      </c>
      <c r="K4273">
        <f>IF(G4273=1,0.2*R4273/C4273,K4272)</f>
        <v/>
      </c>
      <c r="L4273">
        <f>IF(G4273=1,0.2*R4273/D4273,L4272)</f>
        <v/>
      </c>
      <c r="M4273">
        <f>IF(G4273=1,0.2*R4273/E4273,M4272)</f>
        <v/>
      </c>
      <c r="N4273">
        <f>IF(G4273=1,0.2*R4273/F4273,N4272)</f>
        <v/>
      </c>
      <c r="O4273">
        <f>IF(G4273=1,R4273*(1-1.0),IF(H4272=0,1,O4272*(1+0.00023125256064071564)))</f>
        <v/>
      </c>
      <c r="P4273">
        <f>IF(G4273=1,IF(H4272=0,1,ABS(0.2-J4272*B4273/I4273)+ABS(0.2-K4272*C4273/I4273)+ABS(0.2-L4272*D4273/I4273)+ABS(0.2-M4272*E4273/I4273)+ABS(0.2-N4272*F4273/I4273)),0)</f>
        <v/>
      </c>
      <c r="Q4273">
        <f>P4273*0.0015</f>
        <v/>
      </c>
      <c r="R4273">
        <f>I4273*(1-Q4273)</f>
        <v/>
      </c>
      <c r="S4273">
        <f>R4273/R4272-1</f>
        <v/>
      </c>
      <c r="T4273">
        <f>MAX(T4272,R4273)</f>
        <v/>
      </c>
      <c r="U4273">
        <f>R4273/T4273-1</f>
        <v/>
      </c>
      <c r="V4273" t="n">
        <v>13.8690638911504</v>
      </c>
      <c r="W4273" s="5">
        <f>R4273-V4273</f>
        <v/>
      </c>
    </row>
    <row r="4274">
      <c r="A4274" s="3" t="n">
        <v>44734</v>
      </c>
      <c r="B4274">
        <f>Prices!B4274</f>
        <v/>
      </c>
      <c r="C4274">
        <f>Prices!C4274</f>
        <v/>
      </c>
      <c r="D4274">
        <f>Prices!D4274</f>
        <v/>
      </c>
      <c r="E4274">
        <f>Prices!E4274</f>
        <v/>
      </c>
      <c r="F4274">
        <f>Prices!F4274</f>
        <v/>
      </c>
      <c r="G4274">
        <f>IF(AND(4272&gt;=16,TEXT(A4274,"yyyy-mm")&lt;&gt;TEXT(A4275,"yyyy-mm")),1,0)</f>
        <v/>
      </c>
      <c r="H4274">
        <f>IF(OR(H4273=1,G4274=1),1,0)</f>
        <v/>
      </c>
      <c r="I4274">
        <f>IF(H4273=0,1,SUMPRODUCT(J4273:N4273,B4274:F4274)+O4273*(1+0.00023125256064071564))</f>
        <v/>
      </c>
      <c r="J4274">
        <f>IF(G4274=1,0.2*R4274/B4274,J4273)</f>
        <v/>
      </c>
      <c r="K4274">
        <f>IF(G4274=1,0.2*R4274/C4274,K4273)</f>
        <v/>
      </c>
      <c r="L4274">
        <f>IF(G4274=1,0.2*R4274/D4274,L4273)</f>
        <v/>
      </c>
      <c r="M4274">
        <f>IF(G4274=1,0.2*R4274/E4274,M4273)</f>
        <v/>
      </c>
      <c r="N4274">
        <f>IF(G4274=1,0.2*R4274/F4274,N4273)</f>
        <v/>
      </c>
      <c r="O4274">
        <f>IF(G4274=1,R4274*(1-1.0),IF(H4273=0,1,O4273*(1+0.00023125256064071564)))</f>
        <v/>
      </c>
      <c r="P4274">
        <f>IF(G4274=1,IF(H4273=0,1,ABS(0.2-J4273*B4274/I4274)+ABS(0.2-K4273*C4274/I4274)+ABS(0.2-L4273*D4274/I4274)+ABS(0.2-M4273*E4274/I4274)+ABS(0.2-N4273*F4274/I4274)),0)</f>
        <v/>
      </c>
      <c r="Q4274">
        <f>P4274*0.0015</f>
        <v/>
      </c>
      <c r="R4274">
        <f>I4274*(1-Q4274)</f>
        <v/>
      </c>
      <c r="S4274">
        <f>R4274/R4273-1</f>
        <v/>
      </c>
      <c r="T4274">
        <f>MAX(T4273,R4274)</f>
        <v/>
      </c>
      <c r="U4274">
        <f>R4274/T4274-1</f>
        <v/>
      </c>
      <c r="V4274" t="n">
        <v>13.65362470687161</v>
      </c>
      <c r="W4274" s="5">
        <f>R4274-V4274</f>
        <v/>
      </c>
    </row>
    <row r="4275">
      <c r="A4275" s="3" t="n">
        <v>44735</v>
      </c>
      <c r="B4275">
        <f>Prices!B4275</f>
        <v/>
      </c>
      <c r="C4275">
        <f>Prices!C4275</f>
        <v/>
      </c>
      <c r="D4275">
        <f>Prices!D4275</f>
        <v/>
      </c>
      <c r="E4275">
        <f>Prices!E4275</f>
        <v/>
      </c>
      <c r="F4275">
        <f>Prices!F4275</f>
        <v/>
      </c>
      <c r="G4275">
        <f>IF(AND(4273&gt;=16,TEXT(A4275,"yyyy-mm")&lt;&gt;TEXT(A4276,"yyyy-mm")),1,0)</f>
        <v/>
      </c>
      <c r="H4275">
        <f>IF(OR(H4274=1,G4275=1),1,0)</f>
        <v/>
      </c>
      <c r="I4275">
        <f>IF(H4274=0,1,SUMPRODUCT(J4274:N4274,B4275:F4275)+O4274*(1+0.00023125256064071564))</f>
        <v/>
      </c>
      <c r="J4275">
        <f>IF(G4275=1,0.2*R4275/B4275,J4274)</f>
        <v/>
      </c>
      <c r="K4275">
        <f>IF(G4275=1,0.2*R4275/C4275,K4274)</f>
        <v/>
      </c>
      <c r="L4275">
        <f>IF(G4275=1,0.2*R4275/D4275,L4274)</f>
        <v/>
      </c>
      <c r="M4275">
        <f>IF(G4275=1,0.2*R4275/E4275,M4274)</f>
        <v/>
      </c>
      <c r="N4275">
        <f>IF(G4275=1,0.2*R4275/F4275,N4274)</f>
        <v/>
      </c>
      <c r="O4275">
        <f>IF(G4275=1,R4275*(1-1.0),IF(H4274=0,1,O4274*(1+0.00023125256064071564)))</f>
        <v/>
      </c>
      <c r="P4275">
        <f>IF(G4275=1,IF(H4274=0,1,ABS(0.2-J4274*B4275/I4275)+ABS(0.2-K4274*C4275/I4275)+ABS(0.2-L4274*D4275/I4275)+ABS(0.2-M4274*E4275/I4275)+ABS(0.2-N4274*F4275/I4275)),0)</f>
        <v/>
      </c>
      <c r="Q4275">
        <f>P4275*0.0015</f>
        <v/>
      </c>
      <c r="R4275">
        <f>I4275*(1-Q4275)</f>
        <v/>
      </c>
      <c r="S4275">
        <f>R4275/R4274-1</f>
        <v/>
      </c>
      <c r="T4275">
        <f>MAX(T4274,R4275)</f>
        <v/>
      </c>
      <c r="U4275">
        <f>R4275/T4275-1</f>
        <v/>
      </c>
      <c r="V4275" t="n">
        <v>13.79763276599587</v>
      </c>
      <c r="W4275" s="5">
        <f>R4275-V4275</f>
        <v/>
      </c>
    </row>
    <row r="4276">
      <c r="A4276" s="3" t="n">
        <v>44736</v>
      </c>
      <c r="B4276">
        <f>Prices!B4276</f>
        <v/>
      </c>
      <c r="C4276">
        <f>Prices!C4276</f>
        <v/>
      </c>
      <c r="D4276">
        <f>Prices!D4276</f>
        <v/>
      </c>
      <c r="E4276">
        <f>Prices!E4276</f>
        <v/>
      </c>
      <c r="F4276">
        <f>Prices!F4276</f>
        <v/>
      </c>
      <c r="G4276">
        <f>IF(AND(4274&gt;=16,TEXT(A4276,"yyyy-mm")&lt;&gt;TEXT(A4277,"yyyy-mm")),1,0)</f>
        <v/>
      </c>
      <c r="H4276">
        <f>IF(OR(H4275=1,G4276=1),1,0)</f>
        <v/>
      </c>
      <c r="I4276">
        <f>IF(H4275=0,1,SUMPRODUCT(J4275:N4275,B4276:F4276)+O4275*(1+0.00023125256064071564))</f>
        <v/>
      </c>
      <c r="J4276">
        <f>IF(G4276=1,0.2*R4276/B4276,J4275)</f>
        <v/>
      </c>
      <c r="K4276">
        <f>IF(G4276=1,0.2*R4276/C4276,K4275)</f>
        <v/>
      </c>
      <c r="L4276">
        <f>IF(G4276=1,0.2*R4276/D4276,L4275)</f>
        <v/>
      </c>
      <c r="M4276">
        <f>IF(G4276=1,0.2*R4276/E4276,M4275)</f>
        <v/>
      </c>
      <c r="N4276">
        <f>IF(G4276=1,0.2*R4276/F4276,N4275)</f>
        <v/>
      </c>
      <c r="O4276">
        <f>IF(G4276=1,R4276*(1-1.0),IF(H4275=0,1,O4275*(1+0.00023125256064071564)))</f>
        <v/>
      </c>
      <c r="P4276">
        <f>IF(G4276=1,IF(H4275=0,1,ABS(0.2-J4275*B4276/I4276)+ABS(0.2-K4275*C4276/I4276)+ABS(0.2-L4275*D4276/I4276)+ABS(0.2-M4275*E4276/I4276)+ABS(0.2-N4275*F4276/I4276)),0)</f>
        <v/>
      </c>
      <c r="Q4276">
        <f>P4276*0.0015</f>
        <v/>
      </c>
      <c r="R4276">
        <f>I4276*(1-Q4276)</f>
        <v/>
      </c>
      <c r="S4276">
        <f>R4276/R4275-1</f>
        <v/>
      </c>
      <c r="T4276">
        <f>MAX(T4275,R4276)</f>
        <v/>
      </c>
      <c r="U4276">
        <f>R4276/T4276-1</f>
        <v/>
      </c>
      <c r="V4276" t="n">
        <v>13.90305593819562</v>
      </c>
      <c r="W4276" s="5">
        <f>R4276-V4276</f>
        <v/>
      </c>
    </row>
    <row r="4277">
      <c r="A4277" s="3" t="n">
        <v>44739</v>
      </c>
      <c r="B4277">
        <f>Prices!B4277</f>
        <v/>
      </c>
      <c r="C4277">
        <f>Prices!C4277</f>
        <v/>
      </c>
      <c r="D4277">
        <f>Prices!D4277</f>
        <v/>
      </c>
      <c r="E4277">
        <f>Prices!E4277</f>
        <v/>
      </c>
      <c r="F4277">
        <f>Prices!F4277</f>
        <v/>
      </c>
      <c r="G4277">
        <f>IF(AND(4275&gt;=16,TEXT(A4277,"yyyy-mm")&lt;&gt;TEXT(A4278,"yyyy-mm")),1,0)</f>
        <v/>
      </c>
      <c r="H4277">
        <f>IF(OR(H4276=1,G4277=1),1,0)</f>
        <v/>
      </c>
      <c r="I4277">
        <f>IF(H4276=0,1,SUMPRODUCT(J4276:N4276,B4277:F4277)+O4276*(1+0.00023125256064071564))</f>
        <v/>
      </c>
      <c r="J4277">
        <f>IF(G4277=1,0.2*R4277/B4277,J4276)</f>
        <v/>
      </c>
      <c r="K4277">
        <f>IF(G4277=1,0.2*R4277/C4277,K4276)</f>
        <v/>
      </c>
      <c r="L4277">
        <f>IF(G4277=1,0.2*R4277/D4277,L4276)</f>
        <v/>
      </c>
      <c r="M4277">
        <f>IF(G4277=1,0.2*R4277/E4277,M4276)</f>
        <v/>
      </c>
      <c r="N4277">
        <f>IF(G4277=1,0.2*R4277/F4277,N4276)</f>
        <v/>
      </c>
      <c r="O4277">
        <f>IF(G4277=1,R4277*(1-1.0),IF(H4276=0,1,O4276*(1+0.00023125256064071564)))</f>
        <v/>
      </c>
      <c r="P4277">
        <f>IF(G4277=1,IF(H4276=0,1,ABS(0.2-J4276*B4277/I4277)+ABS(0.2-K4276*C4277/I4277)+ABS(0.2-L4276*D4277/I4277)+ABS(0.2-M4276*E4277/I4277)+ABS(0.2-N4276*F4277/I4277)),0)</f>
        <v/>
      </c>
      <c r="Q4277">
        <f>P4277*0.0015</f>
        <v/>
      </c>
      <c r="R4277">
        <f>I4277*(1-Q4277)</f>
        <v/>
      </c>
      <c r="S4277">
        <f>R4277/R4276-1</f>
        <v/>
      </c>
      <c r="T4277">
        <f>MAX(T4276,R4277)</f>
        <v/>
      </c>
      <c r="U4277">
        <f>R4277/T4277-1</f>
        <v/>
      </c>
      <c r="V4277" t="n">
        <v>14.09065333631693</v>
      </c>
      <c r="W4277" s="5">
        <f>R4277-V4277</f>
        <v/>
      </c>
    </row>
    <row r="4278">
      <c r="A4278" s="3" t="n">
        <v>44740</v>
      </c>
      <c r="B4278">
        <f>Prices!B4278</f>
        <v/>
      </c>
      <c r="C4278">
        <f>Prices!C4278</f>
        <v/>
      </c>
      <c r="D4278">
        <f>Prices!D4278</f>
        <v/>
      </c>
      <c r="E4278">
        <f>Prices!E4278</f>
        <v/>
      </c>
      <c r="F4278">
        <f>Prices!F4278</f>
        <v/>
      </c>
      <c r="G4278">
        <f>IF(AND(4276&gt;=16,TEXT(A4278,"yyyy-mm")&lt;&gt;TEXT(A4279,"yyyy-mm")),1,0)</f>
        <v/>
      </c>
      <c r="H4278">
        <f>IF(OR(H4277=1,G4278=1),1,0)</f>
        <v/>
      </c>
      <c r="I4278">
        <f>IF(H4277=0,1,SUMPRODUCT(J4277:N4277,B4278:F4278)+O4277*(1+0.00023125256064071564))</f>
        <v/>
      </c>
      <c r="J4278">
        <f>IF(G4278=1,0.2*R4278/B4278,J4277)</f>
        <v/>
      </c>
      <c r="K4278">
        <f>IF(G4278=1,0.2*R4278/C4278,K4277)</f>
        <v/>
      </c>
      <c r="L4278">
        <f>IF(G4278=1,0.2*R4278/D4278,L4277)</f>
        <v/>
      </c>
      <c r="M4278">
        <f>IF(G4278=1,0.2*R4278/E4278,M4277)</f>
        <v/>
      </c>
      <c r="N4278">
        <f>IF(G4278=1,0.2*R4278/F4278,N4277)</f>
        <v/>
      </c>
      <c r="O4278">
        <f>IF(G4278=1,R4278*(1-1.0),IF(H4277=0,1,O4277*(1+0.00023125256064071564)))</f>
        <v/>
      </c>
      <c r="P4278">
        <f>IF(G4278=1,IF(H4277=0,1,ABS(0.2-J4277*B4278/I4278)+ABS(0.2-K4277*C4278/I4278)+ABS(0.2-L4277*D4278/I4278)+ABS(0.2-M4277*E4278/I4278)+ABS(0.2-N4277*F4278/I4278)),0)</f>
        <v/>
      </c>
      <c r="Q4278">
        <f>P4278*0.0015</f>
        <v/>
      </c>
      <c r="R4278">
        <f>I4278*(1-Q4278)</f>
        <v/>
      </c>
      <c r="S4278">
        <f>R4278/R4277-1</f>
        <v/>
      </c>
      <c r="T4278">
        <f>MAX(T4277,R4278)</f>
        <v/>
      </c>
      <c r="U4278">
        <f>R4278/T4278-1</f>
        <v/>
      </c>
      <c r="V4278" t="n">
        <v>14.13765895607041</v>
      </c>
      <c r="W4278" s="5">
        <f>R4278-V4278</f>
        <v/>
      </c>
    </row>
    <row r="4279">
      <c r="A4279" s="3" t="n">
        <v>44741</v>
      </c>
      <c r="B4279">
        <f>Prices!B4279</f>
        <v/>
      </c>
      <c r="C4279">
        <f>Prices!C4279</f>
        <v/>
      </c>
      <c r="D4279">
        <f>Prices!D4279</f>
        <v/>
      </c>
      <c r="E4279">
        <f>Prices!E4279</f>
        <v/>
      </c>
      <c r="F4279">
        <f>Prices!F4279</f>
        <v/>
      </c>
      <c r="G4279">
        <f>IF(AND(4277&gt;=16,TEXT(A4279,"yyyy-mm")&lt;&gt;TEXT(A4280,"yyyy-mm")),1,0)</f>
        <v/>
      </c>
      <c r="H4279">
        <f>IF(OR(H4278=1,G4279=1),1,0)</f>
        <v/>
      </c>
      <c r="I4279">
        <f>IF(H4278=0,1,SUMPRODUCT(J4278:N4278,B4279:F4279)+O4278*(1+0.00023125256064071564))</f>
        <v/>
      </c>
      <c r="J4279">
        <f>IF(G4279=1,0.2*R4279/B4279,J4278)</f>
        <v/>
      </c>
      <c r="K4279">
        <f>IF(G4279=1,0.2*R4279/C4279,K4278)</f>
        <v/>
      </c>
      <c r="L4279">
        <f>IF(G4279=1,0.2*R4279/D4279,L4278)</f>
        <v/>
      </c>
      <c r="M4279">
        <f>IF(G4279=1,0.2*R4279/E4279,M4278)</f>
        <v/>
      </c>
      <c r="N4279">
        <f>IF(G4279=1,0.2*R4279/F4279,N4278)</f>
        <v/>
      </c>
      <c r="O4279">
        <f>IF(G4279=1,R4279*(1-1.0),IF(H4278=0,1,O4278*(1+0.00023125256064071564)))</f>
        <v/>
      </c>
      <c r="P4279">
        <f>IF(G4279=1,IF(H4278=0,1,ABS(0.2-J4278*B4279/I4279)+ABS(0.2-K4278*C4279/I4279)+ABS(0.2-L4278*D4279/I4279)+ABS(0.2-M4278*E4279/I4279)+ABS(0.2-N4278*F4279/I4279)),0)</f>
        <v/>
      </c>
      <c r="Q4279">
        <f>P4279*0.0015</f>
        <v/>
      </c>
      <c r="R4279">
        <f>I4279*(1-Q4279)</f>
        <v/>
      </c>
      <c r="S4279">
        <f>R4279/R4278-1</f>
        <v/>
      </c>
      <c r="T4279">
        <f>MAX(T4278,R4279)</f>
        <v/>
      </c>
      <c r="U4279">
        <f>R4279/T4279-1</f>
        <v/>
      </c>
      <c r="V4279" t="n">
        <v>14.0829766795119</v>
      </c>
      <c r="W4279" s="5">
        <f>R4279-V4279</f>
        <v/>
      </c>
    </row>
    <row r="4280">
      <c r="A4280" s="3" t="n">
        <v>44742</v>
      </c>
      <c r="B4280">
        <f>Prices!B4280</f>
        <v/>
      </c>
      <c r="C4280">
        <f>Prices!C4280</f>
        <v/>
      </c>
      <c r="D4280">
        <f>Prices!D4280</f>
        <v/>
      </c>
      <c r="E4280">
        <f>Prices!E4280</f>
        <v/>
      </c>
      <c r="F4280">
        <f>Prices!F4280</f>
        <v/>
      </c>
      <c r="G4280">
        <f>IF(AND(4278&gt;=16,TEXT(A4280,"yyyy-mm")&lt;&gt;TEXT(A4281,"yyyy-mm")),1,0)</f>
        <v/>
      </c>
      <c r="H4280">
        <f>IF(OR(H4279=1,G4280=1),1,0)</f>
        <v/>
      </c>
      <c r="I4280">
        <f>IF(H4279=0,1,SUMPRODUCT(J4279:N4279,B4280:F4280)+O4279*(1+0.00023125256064071564))</f>
        <v/>
      </c>
      <c r="J4280">
        <f>IF(G4280=1,0.2*R4280/B4280,J4279)</f>
        <v/>
      </c>
      <c r="K4280">
        <f>IF(G4280=1,0.2*R4280/C4280,K4279)</f>
        <v/>
      </c>
      <c r="L4280">
        <f>IF(G4280=1,0.2*R4280/D4280,L4279)</f>
        <v/>
      </c>
      <c r="M4280">
        <f>IF(G4280=1,0.2*R4280/E4280,M4279)</f>
        <v/>
      </c>
      <c r="N4280">
        <f>IF(G4280=1,0.2*R4280/F4280,N4279)</f>
        <v/>
      </c>
      <c r="O4280">
        <f>IF(G4280=1,R4280*(1-1.0),IF(H4279=0,1,O4279*(1+0.00023125256064071564)))</f>
        <v/>
      </c>
      <c r="P4280">
        <f>IF(G4280=1,IF(H4279=0,1,ABS(0.2-J4279*B4280/I4280)+ABS(0.2-K4279*C4280/I4280)+ABS(0.2-L4279*D4280/I4280)+ABS(0.2-M4279*E4280/I4280)+ABS(0.2-N4279*F4280/I4280)),0)</f>
        <v/>
      </c>
      <c r="Q4280">
        <f>P4280*0.0015</f>
        <v/>
      </c>
      <c r="R4280">
        <f>I4280*(1-Q4280)</f>
        <v/>
      </c>
      <c r="S4280">
        <f>R4280/R4279-1</f>
        <v/>
      </c>
      <c r="T4280">
        <f>MAX(T4279,R4280)</f>
        <v/>
      </c>
      <c r="U4280">
        <f>R4280/T4280-1</f>
        <v/>
      </c>
      <c r="V4280" t="n">
        <v>13.98534275509345</v>
      </c>
      <c r="W4280" s="5">
        <f>R4280-V4280</f>
        <v/>
      </c>
    </row>
    <row r="4281">
      <c r="A4281" s="3" t="n">
        <v>44743</v>
      </c>
      <c r="B4281">
        <f>Prices!B4281</f>
        <v/>
      </c>
      <c r="C4281">
        <f>Prices!C4281</f>
        <v/>
      </c>
      <c r="D4281">
        <f>Prices!D4281</f>
        <v/>
      </c>
      <c r="E4281">
        <f>Prices!E4281</f>
        <v/>
      </c>
      <c r="F4281">
        <f>Prices!F4281</f>
        <v/>
      </c>
      <c r="G4281">
        <f>IF(AND(4279&gt;=16,TEXT(A4281,"yyyy-mm")&lt;&gt;TEXT(A4282,"yyyy-mm")),1,0)</f>
        <v/>
      </c>
      <c r="H4281">
        <f>IF(OR(H4280=1,G4281=1),1,0)</f>
        <v/>
      </c>
      <c r="I4281">
        <f>IF(H4280=0,1,SUMPRODUCT(J4280:N4280,B4281:F4281)+O4280*(1+0.00023125256064071564))</f>
        <v/>
      </c>
      <c r="J4281">
        <f>IF(G4281=1,0.2*R4281/B4281,J4280)</f>
        <v/>
      </c>
      <c r="K4281">
        <f>IF(G4281=1,0.2*R4281/C4281,K4280)</f>
        <v/>
      </c>
      <c r="L4281">
        <f>IF(G4281=1,0.2*R4281/D4281,L4280)</f>
        <v/>
      </c>
      <c r="M4281">
        <f>IF(G4281=1,0.2*R4281/E4281,M4280)</f>
        <v/>
      </c>
      <c r="N4281">
        <f>IF(G4281=1,0.2*R4281/F4281,N4280)</f>
        <v/>
      </c>
      <c r="O4281">
        <f>IF(G4281=1,R4281*(1-1.0),IF(H4280=0,1,O4280*(1+0.00023125256064071564)))</f>
        <v/>
      </c>
      <c r="P4281">
        <f>IF(G4281=1,IF(H4280=0,1,ABS(0.2-J4280*B4281/I4281)+ABS(0.2-K4280*C4281/I4281)+ABS(0.2-L4280*D4281/I4281)+ABS(0.2-M4280*E4281/I4281)+ABS(0.2-N4280*F4281/I4281)),0)</f>
        <v/>
      </c>
      <c r="Q4281">
        <f>P4281*0.0015</f>
        <v/>
      </c>
      <c r="R4281">
        <f>I4281*(1-Q4281)</f>
        <v/>
      </c>
      <c r="S4281">
        <f>R4281/R4280-1</f>
        <v/>
      </c>
      <c r="T4281">
        <f>MAX(T4280,R4281)</f>
        <v/>
      </c>
      <c r="U4281">
        <f>R4281/T4281-1</f>
        <v/>
      </c>
      <c r="V4281" t="n">
        <v>14.01743793955096</v>
      </c>
      <c r="W4281" s="5">
        <f>R4281-V4281</f>
        <v/>
      </c>
    </row>
    <row r="4282">
      <c r="A4282" s="3" t="n">
        <v>44746</v>
      </c>
      <c r="B4282">
        <f>Prices!B4282</f>
        <v/>
      </c>
      <c r="C4282">
        <f>Prices!C4282</f>
        <v/>
      </c>
      <c r="D4282">
        <f>Prices!D4282</f>
        <v/>
      </c>
      <c r="E4282">
        <f>Prices!E4282</f>
        <v/>
      </c>
      <c r="F4282">
        <f>Prices!F4282</f>
        <v/>
      </c>
      <c r="G4282">
        <f>IF(AND(4280&gt;=16,TEXT(A4282,"yyyy-mm")&lt;&gt;TEXT(A4283,"yyyy-mm")),1,0)</f>
        <v/>
      </c>
      <c r="H4282">
        <f>IF(OR(H4281=1,G4282=1),1,0)</f>
        <v/>
      </c>
      <c r="I4282">
        <f>IF(H4281=0,1,SUMPRODUCT(J4281:N4281,B4282:F4282)+O4281*(1+0.00023125256064071564))</f>
        <v/>
      </c>
      <c r="J4282">
        <f>IF(G4282=1,0.2*R4282/B4282,J4281)</f>
        <v/>
      </c>
      <c r="K4282">
        <f>IF(G4282=1,0.2*R4282/C4282,K4281)</f>
        <v/>
      </c>
      <c r="L4282">
        <f>IF(G4282=1,0.2*R4282/D4282,L4281)</f>
        <v/>
      </c>
      <c r="M4282">
        <f>IF(G4282=1,0.2*R4282/E4282,M4281)</f>
        <v/>
      </c>
      <c r="N4282">
        <f>IF(G4282=1,0.2*R4282/F4282,N4281)</f>
        <v/>
      </c>
      <c r="O4282">
        <f>IF(G4282=1,R4282*(1-1.0),IF(H4281=0,1,O4281*(1+0.00023125256064071564)))</f>
        <v/>
      </c>
      <c r="P4282">
        <f>IF(G4282=1,IF(H4281=0,1,ABS(0.2-J4281*B4282/I4282)+ABS(0.2-K4281*C4282/I4282)+ABS(0.2-L4281*D4282/I4282)+ABS(0.2-M4281*E4282/I4282)+ABS(0.2-N4281*F4282/I4282)),0)</f>
        <v/>
      </c>
      <c r="Q4282">
        <f>P4282*0.0015</f>
        <v/>
      </c>
      <c r="R4282">
        <f>I4282*(1-Q4282)</f>
        <v/>
      </c>
      <c r="S4282">
        <f>R4282/R4281-1</f>
        <v/>
      </c>
      <c r="T4282">
        <f>MAX(T4281,R4282)</f>
        <v/>
      </c>
      <c r="U4282">
        <f>R4282/T4282-1</f>
        <v/>
      </c>
      <c r="V4282" t="n">
        <v>14.09074889731263</v>
      </c>
      <c r="W4282" s="5">
        <f>R4282-V4282</f>
        <v/>
      </c>
    </row>
    <row r="4283">
      <c r="A4283" s="3" t="n">
        <v>44747</v>
      </c>
      <c r="B4283">
        <f>Prices!B4283</f>
        <v/>
      </c>
      <c r="C4283">
        <f>Prices!C4283</f>
        <v/>
      </c>
      <c r="D4283">
        <f>Prices!D4283</f>
        <v/>
      </c>
      <c r="E4283">
        <f>Prices!E4283</f>
        <v/>
      </c>
      <c r="F4283">
        <f>Prices!F4283</f>
        <v/>
      </c>
      <c r="G4283">
        <f>IF(AND(4281&gt;=16,TEXT(A4283,"yyyy-mm")&lt;&gt;TEXT(A4284,"yyyy-mm")),1,0)</f>
        <v/>
      </c>
      <c r="H4283">
        <f>IF(OR(H4282=1,G4283=1),1,0)</f>
        <v/>
      </c>
      <c r="I4283">
        <f>IF(H4282=0,1,SUMPRODUCT(J4282:N4282,B4283:F4283)+O4282*(1+0.00023125256064071564))</f>
        <v/>
      </c>
      <c r="J4283">
        <f>IF(G4283=1,0.2*R4283/B4283,J4282)</f>
        <v/>
      </c>
      <c r="K4283">
        <f>IF(G4283=1,0.2*R4283/C4283,K4282)</f>
        <v/>
      </c>
      <c r="L4283">
        <f>IF(G4283=1,0.2*R4283/D4283,L4282)</f>
        <v/>
      </c>
      <c r="M4283">
        <f>IF(G4283=1,0.2*R4283/E4283,M4282)</f>
        <v/>
      </c>
      <c r="N4283">
        <f>IF(G4283=1,0.2*R4283/F4283,N4282)</f>
        <v/>
      </c>
      <c r="O4283">
        <f>IF(G4283=1,R4283*(1-1.0),IF(H4282=0,1,O4282*(1+0.00023125256064071564)))</f>
        <v/>
      </c>
      <c r="P4283">
        <f>IF(G4283=1,IF(H4282=0,1,ABS(0.2-J4282*B4283/I4283)+ABS(0.2-K4282*C4283/I4283)+ABS(0.2-L4282*D4283/I4283)+ABS(0.2-M4282*E4283/I4283)+ABS(0.2-N4282*F4283/I4283)),0)</f>
        <v/>
      </c>
      <c r="Q4283">
        <f>P4283*0.0015</f>
        <v/>
      </c>
      <c r="R4283">
        <f>I4283*(1-Q4283)</f>
        <v/>
      </c>
      <c r="S4283">
        <f>R4283/R4282-1</f>
        <v/>
      </c>
      <c r="T4283">
        <f>MAX(T4282,R4283)</f>
        <v/>
      </c>
      <c r="U4283">
        <f>R4283/T4283-1</f>
        <v/>
      </c>
      <c r="V4283" t="n">
        <v>14.04948032176308</v>
      </c>
      <c r="W4283" s="5">
        <f>R4283-V4283</f>
        <v/>
      </c>
    </row>
    <row r="4284">
      <c r="A4284" s="3" t="n">
        <v>44748</v>
      </c>
      <c r="B4284">
        <f>Prices!B4284</f>
        <v/>
      </c>
      <c r="C4284">
        <f>Prices!C4284</f>
        <v/>
      </c>
      <c r="D4284">
        <f>Prices!D4284</f>
        <v/>
      </c>
      <c r="E4284">
        <f>Prices!E4284</f>
        <v/>
      </c>
      <c r="F4284">
        <f>Prices!F4284</f>
        <v/>
      </c>
      <c r="G4284">
        <f>IF(AND(4282&gt;=16,TEXT(A4284,"yyyy-mm")&lt;&gt;TEXT(A4285,"yyyy-mm")),1,0)</f>
        <v/>
      </c>
      <c r="H4284">
        <f>IF(OR(H4283=1,G4284=1),1,0)</f>
        <v/>
      </c>
      <c r="I4284">
        <f>IF(H4283=0,1,SUMPRODUCT(J4283:N4283,B4284:F4284)+O4283*(1+0.00023125256064071564))</f>
        <v/>
      </c>
      <c r="J4284">
        <f>IF(G4284=1,0.2*R4284/B4284,J4283)</f>
        <v/>
      </c>
      <c r="K4284">
        <f>IF(G4284=1,0.2*R4284/C4284,K4283)</f>
        <v/>
      </c>
      <c r="L4284">
        <f>IF(G4284=1,0.2*R4284/D4284,L4283)</f>
        <v/>
      </c>
      <c r="M4284">
        <f>IF(G4284=1,0.2*R4284/E4284,M4283)</f>
        <v/>
      </c>
      <c r="N4284">
        <f>IF(G4284=1,0.2*R4284/F4284,N4283)</f>
        <v/>
      </c>
      <c r="O4284">
        <f>IF(G4284=1,R4284*(1-1.0),IF(H4283=0,1,O4283*(1+0.00023125256064071564)))</f>
        <v/>
      </c>
      <c r="P4284">
        <f>IF(G4284=1,IF(H4283=0,1,ABS(0.2-J4283*B4284/I4284)+ABS(0.2-K4283*C4284/I4284)+ABS(0.2-L4283*D4284/I4284)+ABS(0.2-M4283*E4284/I4284)+ABS(0.2-N4283*F4284/I4284)),0)</f>
        <v/>
      </c>
      <c r="Q4284">
        <f>P4284*0.0015</f>
        <v/>
      </c>
      <c r="R4284">
        <f>I4284*(1-Q4284)</f>
        <v/>
      </c>
      <c r="S4284">
        <f>R4284/R4283-1</f>
        <v/>
      </c>
      <c r="T4284">
        <f>MAX(T4283,R4284)</f>
        <v/>
      </c>
      <c r="U4284">
        <f>R4284/T4284-1</f>
        <v/>
      </c>
      <c r="V4284" t="n">
        <v>14.16917265595935</v>
      </c>
      <c r="W4284" s="5">
        <f>R4284-V4284</f>
        <v/>
      </c>
    </row>
    <row r="4285">
      <c r="A4285" s="3" t="n">
        <v>44749</v>
      </c>
      <c r="B4285">
        <f>Prices!B4285</f>
        <v/>
      </c>
      <c r="C4285">
        <f>Prices!C4285</f>
        <v/>
      </c>
      <c r="D4285">
        <f>Prices!D4285</f>
        <v/>
      </c>
      <c r="E4285">
        <f>Prices!E4285</f>
        <v/>
      </c>
      <c r="F4285">
        <f>Prices!F4285</f>
        <v/>
      </c>
      <c r="G4285">
        <f>IF(AND(4283&gt;=16,TEXT(A4285,"yyyy-mm")&lt;&gt;TEXT(A4286,"yyyy-mm")),1,0)</f>
        <v/>
      </c>
      <c r="H4285">
        <f>IF(OR(H4284=1,G4285=1),1,0)</f>
        <v/>
      </c>
      <c r="I4285">
        <f>IF(H4284=0,1,SUMPRODUCT(J4284:N4284,B4285:F4285)+O4284*(1+0.00023125256064071564))</f>
        <v/>
      </c>
      <c r="J4285">
        <f>IF(G4285=1,0.2*R4285/B4285,J4284)</f>
        <v/>
      </c>
      <c r="K4285">
        <f>IF(G4285=1,0.2*R4285/C4285,K4284)</f>
        <v/>
      </c>
      <c r="L4285">
        <f>IF(G4285=1,0.2*R4285/D4285,L4284)</f>
        <v/>
      </c>
      <c r="M4285">
        <f>IF(G4285=1,0.2*R4285/E4285,M4284)</f>
        <v/>
      </c>
      <c r="N4285">
        <f>IF(G4285=1,0.2*R4285/F4285,N4284)</f>
        <v/>
      </c>
      <c r="O4285">
        <f>IF(G4285=1,R4285*(1-1.0),IF(H4284=0,1,O4284*(1+0.00023125256064071564)))</f>
        <v/>
      </c>
      <c r="P4285">
        <f>IF(G4285=1,IF(H4284=0,1,ABS(0.2-J4284*B4285/I4285)+ABS(0.2-K4284*C4285/I4285)+ABS(0.2-L4284*D4285/I4285)+ABS(0.2-M4284*E4285/I4285)+ABS(0.2-N4284*F4285/I4285)),0)</f>
        <v/>
      </c>
      <c r="Q4285">
        <f>P4285*0.0015</f>
        <v/>
      </c>
      <c r="R4285">
        <f>I4285*(1-Q4285)</f>
        <v/>
      </c>
      <c r="S4285">
        <f>R4285/R4284-1</f>
        <v/>
      </c>
      <c r="T4285">
        <f>MAX(T4284,R4285)</f>
        <v/>
      </c>
      <c r="U4285">
        <f>R4285/T4285-1</f>
        <v/>
      </c>
      <c r="V4285" t="n">
        <v>14.36197036353778</v>
      </c>
      <c r="W4285" s="5">
        <f>R4285-V4285</f>
        <v/>
      </c>
    </row>
    <row r="4286">
      <c r="A4286" s="3" t="n">
        <v>44750</v>
      </c>
      <c r="B4286">
        <f>Prices!B4286</f>
        <v/>
      </c>
      <c r="C4286">
        <f>Prices!C4286</f>
        <v/>
      </c>
      <c r="D4286">
        <f>Prices!D4286</f>
        <v/>
      </c>
      <c r="E4286">
        <f>Prices!E4286</f>
        <v/>
      </c>
      <c r="F4286">
        <f>Prices!F4286</f>
        <v/>
      </c>
      <c r="G4286">
        <f>IF(AND(4284&gt;=16,TEXT(A4286,"yyyy-mm")&lt;&gt;TEXT(A4287,"yyyy-mm")),1,0)</f>
        <v/>
      </c>
      <c r="H4286">
        <f>IF(OR(H4285=1,G4286=1),1,0)</f>
        <v/>
      </c>
      <c r="I4286">
        <f>IF(H4285=0,1,SUMPRODUCT(J4285:N4285,B4286:F4286)+O4285*(1+0.00023125256064071564))</f>
        <v/>
      </c>
      <c r="J4286">
        <f>IF(G4286=1,0.2*R4286/B4286,J4285)</f>
        <v/>
      </c>
      <c r="K4286">
        <f>IF(G4286=1,0.2*R4286/C4286,K4285)</f>
        <v/>
      </c>
      <c r="L4286">
        <f>IF(G4286=1,0.2*R4286/D4286,L4285)</f>
        <v/>
      </c>
      <c r="M4286">
        <f>IF(G4286=1,0.2*R4286/E4286,M4285)</f>
        <v/>
      </c>
      <c r="N4286">
        <f>IF(G4286=1,0.2*R4286/F4286,N4285)</f>
        <v/>
      </c>
      <c r="O4286">
        <f>IF(G4286=1,R4286*(1-1.0),IF(H4285=0,1,O4285*(1+0.00023125256064071564)))</f>
        <v/>
      </c>
      <c r="P4286">
        <f>IF(G4286=1,IF(H4285=0,1,ABS(0.2-J4285*B4286/I4286)+ABS(0.2-K4285*C4286/I4286)+ABS(0.2-L4285*D4286/I4286)+ABS(0.2-M4285*E4286/I4286)+ABS(0.2-N4285*F4286/I4286)),0)</f>
        <v/>
      </c>
      <c r="Q4286">
        <f>P4286*0.0015</f>
        <v/>
      </c>
      <c r="R4286">
        <f>I4286*(1-Q4286)</f>
        <v/>
      </c>
      <c r="S4286">
        <f>R4286/R4285-1</f>
        <v/>
      </c>
      <c r="T4286">
        <f>MAX(T4285,R4286)</f>
        <v/>
      </c>
      <c r="U4286">
        <f>R4286/T4286-1</f>
        <v/>
      </c>
      <c r="V4286" t="n">
        <v>14.41168791363427</v>
      </c>
      <c r="W4286" s="5">
        <f>R4286-V4286</f>
        <v/>
      </c>
    </row>
    <row r="4287">
      <c r="A4287" s="3" t="n">
        <v>44753</v>
      </c>
      <c r="B4287">
        <f>Prices!B4287</f>
        <v/>
      </c>
      <c r="C4287">
        <f>Prices!C4287</f>
        <v/>
      </c>
      <c r="D4287">
        <f>Prices!D4287</f>
        <v/>
      </c>
      <c r="E4287">
        <f>Prices!E4287</f>
        <v/>
      </c>
      <c r="F4287">
        <f>Prices!F4287</f>
        <v/>
      </c>
      <c r="G4287">
        <f>IF(AND(4285&gt;=16,TEXT(A4287,"yyyy-mm")&lt;&gt;TEXT(A4288,"yyyy-mm")),1,0)</f>
        <v/>
      </c>
      <c r="H4287">
        <f>IF(OR(H4286=1,G4287=1),1,0)</f>
        <v/>
      </c>
      <c r="I4287">
        <f>IF(H4286=0,1,SUMPRODUCT(J4286:N4286,B4287:F4287)+O4286*(1+0.00023125256064071564))</f>
        <v/>
      </c>
      <c r="J4287">
        <f>IF(G4287=1,0.2*R4287/B4287,J4286)</f>
        <v/>
      </c>
      <c r="K4287">
        <f>IF(G4287=1,0.2*R4287/C4287,K4286)</f>
        <v/>
      </c>
      <c r="L4287">
        <f>IF(G4287=1,0.2*R4287/D4287,L4286)</f>
        <v/>
      </c>
      <c r="M4287">
        <f>IF(G4287=1,0.2*R4287/E4287,M4286)</f>
        <v/>
      </c>
      <c r="N4287">
        <f>IF(G4287=1,0.2*R4287/F4287,N4286)</f>
        <v/>
      </c>
      <c r="O4287">
        <f>IF(G4287=1,R4287*(1-1.0),IF(H4286=0,1,O4286*(1+0.00023125256064071564)))</f>
        <v/>
      </c>
      <c r="P4287">
        <f>IF(G4287=1,IF(H4286=0,1,ABS(0.2-J4286*B4287/I4287)+ABS(0.2-K4286*C4287/I4287)+ABS(0.2-L4286*D4287/I4287)+ABS(0.2-M4286*E4287/I4287)+ABS(0.2-N4286*F4287/I4287)),0)</f>
        <v/>
      </c>
      <c r="Q4287">
        <f>P4287*0.0015</f>
        <v/>
      </c>
      <c r="R4287">
        <f>I4287*(1-Q4287)</f>
        <v/>
      </c>
      <c r="S4287">
        <f>R4287/R4286-1</f>
        <v/>
      </c>
      <c r="T4287">
        <f>MAX(T4286,R4287)</f>
        <v/>
      </c>
      <c r="U4287">
        <f>R4287/T4287-1</f>
        <v/>
      </c>
      <c r="V4287" t="n">
        <v>14.50989224394575</v>
      </c>
      <c r="W4287" s="5">
        <f>R4287-V4287</f>
        <v/>
      </c>
    </row>
    <row r="4288">
      <c r="A4288" s="3" t="n">
        <v>44754</v>
      </c>
      <c r="B4288">
        <f>Prices!B4288</f>
        <v/>
      </c>
      <c r="C4288">
        <f>Prices!C4288</f>
        <v/>
      </c>
      <c r="D4288">
        <f>Prices!D4288</f>
        <v/>
      </c>
      <c r="E4288">
        <f>Prices!E4288</f>
        <v/>
      </c>
      <c r="F4288">
        <f>Prices!F4288</f>
        <v/>
      </c>
      <c r="G4288">
        <f>IF(AND(4286&gt;=16,TEXT(A4288,"yyyy-mm")&lt;&gt;TEXT(A4289,"yyyy-mm")),1,0)</f>
        <v/>
      </c>
      <c r="H4288">
        <f>IF(OR(H4287=1,G4288=1),1,0)</f>
        <v/>
      </c>
      <c r="I4288">
        <f>IF(H4287=0,1,SUMPRODUCT(J4287:N4287,B4288:F4288)+O4287*(1+0.00023125256064071564))</f>
        <v/>
      </c>
      <c r="J4288">
        <f>IF(G4288=1,0.2*R4288/B4288,J4287)</f>
        <v/>
      </c>
      <c r="K4288">
        <f>IF(G4288=1,0.2*R4288/C4288,K4287)</f>
        <v/>
      </c>
      <c r="L4288">
        <f>IF(G4288=1,0.2*R4288/D4288,L4287)</f>
        <v/>
      </c>
      <c r="M4288">
        <f>IF(G4288=1,0.2*R4288/E4288,M4287)</f>
        <v/>
      </c>
      <c r="N4288">
        <f>IF(G4288=1,0.2*R4288/F4288,N4287)</f>
        <v/>
      </c>
      <c r="O4288">
        <f>IF(G4288=1,R4288*(1-1.0),IF(H4287=0,1,O4287*(1+0.00023125256064071564)))</f>
        <v/>
      </c>
      <c r="P4288">
        <f>IF(G4288=1,IF(H4287=0,1,ABS(0.2-J4287*B4288/I4288)+ABS(0.2-K4287*C4288/I4288)+ABS(0.2-L4287*D4288/I4288)+ABS(0.2-M4287*E4288/I4288)+ABS(0.2-N4287*F4288/I4288)),0)</f>
        <v/>
      </c>
      <c r="Q4288">
        <f>P4288*0.0015</f>
        <v/>
      </c>
      <c r="R4288">
        <f>I4288*(1-Q4288)</f>
        <v/>
      </c>
      <c r="S4288">
        <f>R4288/R4287-1</f>
        <v/>
      </c>
      <c r="T4288">
        <f>MAX(T4287,R4288)</f>
        <v/>
      </c>
      <c r="U4288">
        <f>R4288/T4288-1</f>
        <v/>
      </c>
      <c r="V4288" t="n">
        <v>14.41554165941779</v>
      </c>
      <c r="W4288" s="5">
        <f>R4288-V4288</f>
        <v/>
      </c>
    </row>
    <row r="4289">
      <c r="A4289" s="3" t="n">
        <v>44755</v>
      </c>
      <c r="B4289">
        <f>Prices!B4289</f>
        <v/>
      </c>
      <c r="C4289">
        <f>Prices!C4289</f>
        <v/>
      </c>
      <c r="D4289">
        <f>Prices!D4289</f>
        <v/>
      </c>
      <c r="E4289">
        <f>Prices!E4289</f>
        <v/>
      </c>
      <c r="F4289">
        <f>Prices!F4289</f>
        <v/>
      </c>
      <c r="G4289">
        <f>IF(AND(4287&gt;=16,TEXT(A4289,"yyyy-mm")&lt;&gt;TEXT(A4290,"yyyy-mm")),1,0)</f>
        <v/>
      </c>
      <c r="H4289">
        <f>IF(OR(H4288=1,G4289=1),1,0)</f>
        <v/>
      </c>
      <c r="I4289">
        <f>IF(H4288=0,1,SUMPRODUCT(J4288:N4288,B4289:F4289)+O4288*(1+0.00023125256064071564))</f>
        <v/>
      </c>
      <c r="J4289">
        <f>IF(G4289=1,0.2*R4289/B4289,J4288)</f>
        <v/>
      </c>
      <c r="K4289">
        <f>IF(G4289=1,0.2*R4289/C4289,K4288)</f>
        <v/>
      </c>
      <c r="L4289">
        <f>IF(G4289=1,0.2*R4289/D4289,L4288)</f>
        <v/>
      </c>
      <c r="M4289">
        <f>IF(G4289=1,0.2*R4289/E4289,M4288)</f>
        <v/>
      </c>
      <c r="N4289">
        <f>IF(G4289=1,0.2*R4289/F4289,N4288)</f>
        <v/>
      </c>
      <c r="O4289">
        <f>IF(G4289=1,R4289*(1-1.0),IF(H4288=0,1,O4288*(1+0.00023125256064071564)))</f>
        <v/>
      </c>
      <c r="P4289">
        <f>IF(G4289=1,IF(H4288=0,1,ABS(0.2-J4288*B4289/I4289)+ABS(0.2-K4288*C4289/I4289)+ABS(0.2-L4288*D4289/I4289)+ABS(0.2-M4288*E4289/I4289)+ABS(0.2-N4288*F4289/I4289)),0)</f>
        <v/>
      </c>
      <c r="Q4289">
        <f>P4289*0.0015</f>
        <v/>
      </c>
      <c r="R4289">
        <f>I4289*(1-Q4289)</f>
        <v/>
      </c>
      <c r="S4289">
        <f>R4289/R4288-1</f>
        <v/>
      </c>
      <c r="T4289">
        <f>MAX(T4288,R4289)</f>
        <v/>
      </c>
      <c r="U4289">
        <f>R4289/T4289-1</f>
        <v/>
      </c>
      <c r="V4289" t="n">
        <v>14.39714898435927</v>
      </c>
      <c r="W4289" s="5">
        <f>R4289-V4289</f>
        <v/>
      </c>
    </row>
    <row r="4290">
      <c r="A4290" s="3" t="n">
        <v>44756</v>
      </c>
      <c r="B4290">
        <f>Prices!B4290</f>
        <v/>
      </c>
      <c r="C4290">
        <f>Prices!C4290</f>
        <v/>
      </c>
      <c r="D4290">
        <f>Prices!D4290</f>
        <v/>
      </c>
      <c r="E4290">
        <f>Prices!E4290</f>
        <v/>
      </c>
      <c r="F4290">
        <f>Prices!F4290</f>
        <v/>
      </c>
      <c r="G4290">
        <f>IF(AND(4288&gt;=16,TEXT(A4290,"yyyy-mm")&lt;&gt;TEXT(A4291,"yyyy-mm")),1,0)</f>
        <v/>
      </c>
      <c r="H4290">
        <f>IF(OR(H4289=1,G4290=1),1,0)</f>
        <v/>
      </c>
      <c r="I4290">
        <f>IF(H4289=0,1,SUMPRODUCT(J4289:N4289,B4290:F4290)+O4289*(1+0.00023125256064071564))</f>
        <v/>
      </c>
      <c r="J4290">
        <f>IF(G4290=1,0.2*R4290/B4290,J4289)</f>
        <v/>
      </c>
      <c r="K4290">
        <f>IF(G4290=1,0.2*R4290/C4290,K4289)</f>
        <v/>
      </c>
      <c r="L4290">
        <f>IF(G4290=1,0.2*R4290/D4290,L4289)</f>
        <v/>
      </c>
      <c r="M4290">
        <f>IF(G4290=1,0.2*R4290/E4290,M4289)</f>
        <v/>
      </c>
      <c r="N4290">
        <f>IF(G4290=1,0.2*R4290/F4290,N4289)</f>
        <v/>
      </c>
      <c r="O4290">
        <f>IF(G4290=1,R4290*(1-1.0),IF(H4289=0,1,O4289*(1+0.00023125256064071564)))</f>
        <v/>
      </c>
      <c r="P4290">
        <f>IF(G4290=1,IF(H4289=0,1,ABS(0.2-J4289*B4290/I4290)+ABS(0.2-K4289*C4290/I4290)+ABS(0.2-L4289*D4290/I4290)+ABS(0.2-M4289*E4290/I4290)+ABS(0.2-N4289*F4290/I4290)),0)</f>
        <v/>
      </c>
      <c r="Q4290">
        <f>P4290*0.0015</f>
        <v/>
      </c>
      <c r="R4290">
        <f>I4290*(1-Q4290)</f>
        <v/>
      </c>
      <c r="S4290">
        <f>R4290/R4289-1</f>
        <v/>
      </c>
      <c r="T4290">
        <f>MAX(T4289,R4290)</f>
        <v/>
      </c>
      <c r="U4290">
        <f>R4290/T4290-1</f>
        <v/>
      </c>
      <c r="V4290" t="n">
        <v>14.34355184557066</v>
      </c>
      <c r="W4290" s="5">
        <f>R4290-V4290</f>
        <v/>
      </c>
    </row>
    <row r="4291">
      <c r="A4291" s="3" t="n">
        <v>44757</v>
      </c>
      <c r="B4291">
        <f>Prices!B4291</f>
        <v/>
      </c>
      <c r="C4291">
        <f>Prices!C4291</f>
        <v/>
      </c>
      <c r="D4291">
        <f>Prices!D4291</f>
        <v/>
      </c>
      <c r="E4291">
        <f>Prices!E4291</f>
        <v/>
      </c>
      <c r="F4291">
        <f>Prices!F4291</f>
        <v/>
      </c>
      <c r="G4291">
        <f>IF(AND(4289&gt;=16,TEXT(A4291,"yyyy-mm")&lt;&gt;TEXT(A4292,"yyyy-mm")),1,0)</f>
        <v/>
      </c>
      <c r="H4291">
        <f>IF(OR(H4290=1,G4291=1),1,0)</f>
        <v/>
      </c>
      <c r="I4291">
        <f>IF(H4290=0,1,SUMPRODUCT(J4290:N4290,B4291:F4291)+O4290*(1+0.00023125256064071564))</f>
        <v/>
      </c>
      <c r="J4291">
        <f>IF(G4291=1,0.2*R4291/B4291,J4290)</f>
        <v/>
      </c>
      <c r="K4291">
        <f>IF(G4291=1,0.2*R4291/C4291,K4290)</f>
        <v/>
      </c>
      <c r="L4291">
        <f>IF(G4291=1,0.2*R4291/D4291,L4290)</f>
        <v/>
      </c>
      <c r="M4291">
        <f>IF(G4291=1,0.2*R4291/E4291,M4290)</f>
        <v/>
      </c>
      <c r="N4291">
        <f>IF(G4291=1,0.2*R4291/F4291,N4290)</f>
        <v/>
      </c>
      <c r="O4291">
        <f>IF(G4291=1,R4291*(1-1.0),IF(H4290=0,1,O4290*(1+0.00023125256064071564)))</f>
        <v/>
      </c>
      <c r="P4291">
        <f>IF(G4291=1,IF(H4290=0,1,ABS(0.2-J4290*B4291/I4291)+ABS(0.2-K4290*C4291/I4291)+ABS(0.2-L4290*D4291/I4291)+ABS(0.2-M4290*E4291/I4291)+ABS(0.2-N4290*F4291/I4291)),0)</f>
        <v/>
      </c>
      <c r="Q4291">
        <f>P4291*0.0015</f>
        <v/>
      </c>
      <c r="R4291">
        <f>I4291*(1-Q4291)</f>
        <v/>
      </c>
      <c r="S4291">
        <f>R4291/R4290-1</f>
        <v/>
      </c>
      <c r="T4291">
        <f>MAX(T4290,R4291)</f>
        <v/>
      </c>
      <c r="U4291">
        <f>R4291/T4291-1</f>
        <v/>
      </c>
      <c r="V4291" t="n">
        <v>14.41265141199011</v>
      </c>
      <c r="W4291" s="5">
        <f>R4291-V4291</f>
        <v/>
      </c>
    </row>
    <row r="4292">
      <c r="A4292" s="3" t="n">
        <v>44760</v>
      </c>
      <c r="B4292">
        <f>Prices!B4292</f>
        <v/>
      </c>
      <c r="C4292">
        <f>Prices!C4292</f>
        <v/>
      </c>
      <c r="D4292">
        <f>Prices!D4292</f>
        <v/>
      </c>
      <c r="E4292">
        <f>Prices!E4292</f>
        <v/>
      </c>
      <c r="F4292">
        <f>Prices!F4292</f>
        <v/>
      </c>
      <c r="G4292">
        <f>IF(AND(4290&gt;=16,TEXT(A4292,"yyyy-mm")&lt;&gt;TEXT(A4293,"yyyy-mm")),1,0)</f>
        <v/>
      </c>
      <c r="H4292">
        <f>IF(OR(H4291=1,G4292=1),1,0)</f>
        <v/>
      </c>
      <c r="I4292">
        <f>IF(H4291=0,1,SUMPRODUCT(J4291:N4291,B4292:F4292)+O4291*(1+0.00023125256064071564))</f>
        <v/>
      </c>
      <c r="J4292">
        <f>IF(G4292=1,0.2*R4292/B4292,J4291)</f>
        <v/>
      </c>
      <c r="K4292">
        <f>IF(G4292=1,0.2*R4292/C4292,K4291)</f>
        <v/>
      </c>
      <c r="L4292">
        <f>IF(G4292=1,0.2*R4292/D4292,L4291)</f>
        <v/>
      </c>
      <c r="M4292">
        <f>IF(G4292=1,0.2*R4292/E4292,M4291)</f>
        <v/>
      </c>
      <c r="N4292">
        <f>IF(G4292=1,0.2*R4292/F4292,N4291)</f>
        <v/>
      </c>
      <c r="O4292">
        <f>IF(G4292=1,R4292*(1-1.0),IF(H4291=0,1,O4291*(1+0.00023125256064071564)))</f>
        <v/>
      </c>
      <c r="P4292">
        <f>IF(G4292=1,IF(H4291=0,1,ABS(0.2-J4291*B4292/I4292)+ABS(0.2-K4291*C4292/I4292)+ABS(0.2-L4291*D4292/I4292)+ABS(0.2-M4291*E4292/I4292)+ABS(0.2-N4291*F4292/I4292)),0)</f>
        <v/>
      </c>
      <c r="Q4292">
        <f>P4292*0.0015</f>
        <v/>
      </c>
      <c r="R4292">
        <f>I4292*(1-Q4292)</f>
        <v/>
      </c>
      <c r="S4292">
        <f>R4292/R4291-1</f>
        <v/>
      </c>
      <c r="T4292">
        <f>MAX(T4291,R4292)</f>
        <v/>
      </c>
      <c r="U4292">
        <f>R4292/T4292-1</f>
        <v/>
      </c>
      <c r="V4292" t="n">
        <v>14.61416639537517</v>
      </c>
      <c r="W4292" s="5">
        <f>R4292-V4292</f>
        <v/>
      </c>
    </row>
    <row r="4293">
      <c r="A4293" s="3" t="n">
        <v>44761</v>
      </c>
      <c r="B4293">
        <f>Prices!B4293</f>
        <v/>
      </c>
      <c r="C4293">
        <f>Prices!C4293</f>
        <v/>
      </c>
      <c r="D4293">
        <f>Prices!D4293</f>
        <v/>
      </c>
      <c r="E4293">
        <f>Prices!E4293</f>
        <v/>
      </c>
      <c r="F4293">
        <f>Prices!F4293</f>
        <v/>
      </c>
      <c r="G4293">
        <f>IF(AND(4291&gt;=16,TEXT(A4293,"yyyy-mm")&lt;&gt;TEXT(A4294,"yyyy-mm")),1,0)</f>
        <v/>
      </c>
      <c r="H4293">
        <f>IF(OR(H4292=1,G4293=1),1,0)</f>
        <v/>
      </c>
      <c r="I4293">
        <f>IF(H4292=0,1,SUMPRODUCT(J4292:N4292,B4293:F4293)+O4292*(1+0.00023125256064071564))</f>
        <v/>
      </c>
      <c r="J4293">
        <f>IF(G4293=1,0.2*R4293/B4293,J4292)</f>
        <v/>
      </c>
      <c r="K4293">
        <f>IF(G4293=1,0.2*R4293/C4293,K4292)</f>
        <v/>
      </c>
      <c r="L4293">
        <f>IF(G4293=1,0.2*R4293/D4293,L4292)</f>
        <v/>
      </c>
      <c r="M4293">
        <f>IF(G4293=1,0.2*R4293/E4293,M4292)</f>
        <v/>
      </c>
      <c r="N4293">
        <f>IF(G4293=1,0.2*R4293/F4293,N4292)</f>
        <v/>
      </c>
      <c r="O4293">
        <f>IF(G4293=1,R4293*(1-1.0),IF(H4292=0,1,O4292*(1+0.00023125256064071564)))</f>
        <v/>
      </c>
      <c r="P4293">
        <f>IF(G4293=1,IF(H4292=0,1,ABS(0.2-J4292*B4293/I4293)+ABS(0.2-K4292*C4293/I4293)+ABS(0.2-L4292*D4293/I4293)+ABS(0.2-M4292*E4293/I4293)+ABS(0.2-N4292*F4293/I4293)),0)</f>
        <v/>
      </c>
      <c r="Q4293">
        <f>P4293*0.0015</f>
        <v/>
      </c>
      <c r="R4293">
        <f>I4293*(1-Q4293)</f>
        <v/>
      </c>
      <c r="S4293">
        <f>R4293/R4292-1</f>
        <v/>
      </c>
      <c r="T4293">
        <f>MAX(T4292,R4293)</f>
        <v/>
      </c>
      <c r="U4293">
        <f>R4293/T4293-1</f>
        <v/>
      </c>
      <c r="V4293" t="n">
        <v>14.70310082435455</v>
      </c>
      <c r="W4293" s="5">
        <f>R4293-V4293</f>
        <v/>
      </c>
    </row>
    <row r="4294">
      <c r="A4294" s="3" t="n">
        <v>44762</v>
      </c>
      <c r="B4294">
        <f>Prices!B4294</f>
        <v/>
      </c>
      <c r="C4294">
        <f>Prices!C4294</f>
        <v/>
      </c>
      <c r="D4294">
        <f>Prices!D4294</f>
        <v/>
      </c>
      <c r="E4294">
        <f>Prices!E4294</f>
        <v/>
      </c>
      <c r="F4294">
        <f>Prices!F4294</f>
        <v/>
      </c>
      <c r="G4294">
        <f>IF(AND(4292&gt;=16,TEXT(A4294,"yyyy-mm")&lt;&gt;TEXT(A4295,"yyyy-mm")),1,0)</f>
        <v/>
      </c>
      <c r="H4294">
        <f>IF(OR(H4293=1,G4294=1),1,0)</f>
        <v/>
      </c>
      <c r="I4294">
        <f>IF(H4293=0,1,SUMPRODUCT(J4293:N4293,B4294:F4294)+O4293*(1+0.00023125256064071564))</f>
        <v/>
      </c>
      <c r="J4294">
        <f>IF(G4294=1,0.2*R4294/B4294,J4293)</f>
        <v/>
      </c>
      <c r="K4294">
        <f>IF(G4294=1,0.2*R4294/C4294,K4293)</f>
        <v/>
      </c>
      <c r="L4294">
        <f>IF(G4294=1,0.2*R4294/D4294,L4293)</f>
        <v/>
      </c>
      <c r="M4294">
        <f>IF(G4294=1,0.2*R4294/E4294,M4293)</f>
        <v/>
      </c>
      <c r="N4294">
        <f>IF(G4294=1,0.2*R4294/F4294,N4293)</f>
        <v/>
      </c>
      <c r="O4294">
        <f>IF(G4294=1,R4294*(1-1.0),IF(H4293=0,1,O4293*(1+0.00023125256064071564)))</f>
        <v/>
      </c>
      <c r="P4294">
        <f>IF(G4294=1,IF(H4293=0,1,ABS(0.2-J4293*B4294/I4294)+ABS(0.2-K4293*C4294/I4294)+ABS(0.2-L4293*D4294/I4294)+ABS(0.2-M4293*E4294/I4294)+ABS(0.2-N4293*F4294/I4294)),0)</f>
        <v/>
      </c>
      <c r="Q4294">
        <f>P4294*0.0015</f>
        <v/>
      </c>
      <c r="R4294">
        <f>I4294*(1-Q4294)</f>
        <v/>
      </c>
      <c r="S4294">
        <f>R4294/R4293-1</f>
        <v/>
      </c>
      <c r="T4294">
        <f>MAX(T4293,R4294)</f>
        <v/>
      </c>
      <c r="U4294">
        <f>R4294/T4294-1</f>
        <v/>
      </c>
      <c r="V4294" t="n">
        <v>14.78152349949793</v>
      </c>
      <c r="W4294" s="5">
        <f>R4294-V4294</f>
        <v/>
      </c>
    </row>
    <row r="4295">
      <c r="A4295" s="3" t="n">
        <v>44763</v>
      </c>
      <c r="B4295">
        <f>Prices!B4295</f>
        <v/>
      </c>
      <c r="C4295">
        <f>Prices!C4295</f>
        <v/>
      </c>
      <c r="D4295">
        <f>Prices!D4295</f>
        <v/>
      </c>
      <c r="E4295">
        <f>Prices!E4295</f>
        <v/>
      </c>
      <c r="F4295">
        <f>Prices!F4295</f>
        <v/>
      </c>
      <c r="G4295">
        <f>IF(AND(4293&gt;=16,TEXT(A4295,"yyyy-mm")&lt;&gt;TEXT(A4296,"yyyy-mm")),1,0)</f>
        <v/>
      </c>
      <c r="H4295">
        <f>IF(OR(H4294=1,G4295=1),1,0)</f>
        <v/>
      </c>
      <c r="I4295">
        <f>IF(H4294=0,1,SUMPRODUCT(J4294:N4294,B4295:F4295)+O4294*(1+0.00023125256064071564))</f>
        <v/>
      </c>
      <c r="J4295">
        <f>IF(G4295=1,0.2*R4295/B4295,J4294)</f>
        <v/>
      </c>
      <c r="K4295">
        <f>IF(G4295=1,0.2*R4295/C4295,K4294)</f>
        <v/>
      </c>
      <c r="L4295">
        <f>IF(G4295=1,0.2*R4295/D4295,L4294)</f>
        <v/>
      </c>
      <c r="M4295">
        <f>IF(G4295=1,0.2*R4295/E4295,M4294)</f>
        <v/>
      </c>
      <c r="N4295">
        <f>IF(G4295=1,0.2*R4295/F4295,N4294)</f>
        <v/>
      </c>
      <c r="O4295">
        <f>IF(G4295=1,R4295*(1-1.0),IF(H4294=0,1,O4294*(1+0.00023125256064071564)))</f>
        <v/>
      </c>
      <c r="P4295">
        <f>IF(G4295=1,IF(H4294=0,1,ABS(0.2-J4294*B4295/I4295)+ABS(0.2-K4294*C4295/I4295)+ABS(0.2-L4294*D4295/I4295)+ABS(0.2-M4294*E4295/I4295)+ABS(0.2-N4294*F4295/I4295)),0)</f>
        <v/>
      </c>
      <c r="Q4295">
        <f>P4295*0.0015</f>
        <v/>
      </c>
      <c r="R4295">
        <f>I4295*(1-Q4295)</f>
        <v/>
      </c>
      <c r="S4295">
        <f>R4295/R4294-1</f>
        <v/>
      </c>
      <c r="T4295">
        <f>MAX(T4294,R4295)</f>
        <v/>
      </c>
      <c r="U4295">
        <f>R4295/T4295-1</f>
        <v/>
      </c>
      <c r="V4295" t="n">
        <v>14.94168741759497</v>
      </c>
      <c r="W4295" s="5">
        <f>R4295-V4295</f>
        <v/>
      </c>
    </row>
    <row r="4296">
      <c r="A4296" s="3" t="n">
        <v>44764</v>
      </c>
      <c r="B4296">
        <f>Prices!B4296</f>
        <v/>
      </c>
      <c r="C4296">
        <f>Prices!C4296</f>
        <v/>
      </c>
      <c r="D4296">
        <f>Prices!D4296</f>
        <v/>
      </c>
      <c r="E4296">
        <f>Prices!E4296</f>
        <v/>
      </c>
      <c r="F4296">
        <f>Prices!F4296</f>
        <v/>
      </c>
      <c r="G4296">
        <f>IF(AND(4294&gt;=16,TEXT(A4296,"yyyy-mm")&lt;&gt;TEXT(A4297,"yyyy-mm")),1,0)</f>
        <v/>
      </c>
      <c r="H4296">
        <f>IF(OR(H4295=1,G4296=1),1,0)</f>
        <v/>
      </c>
      <c r="I4296">
        <f>IF(H4295=0,1,SUMPRODUCT(J4295:N4295,B4296:F4296)+O4295*(1+0.00023125256064071564))</f>
        <v/>
      </c>
      <c r="J4296">
        <f>IF(G4296=1,0.2*R4296/B4296,J4295)</f>
        <v/>
      </c>
      <c r="K4296">
        <f>IF(G4296=1,0.2*R4296/C4296,K4295)</f>
        <v/>
      </c>
      <c r="L4296">
        <f>IF(G4296=1,0.2*R4296/D4296,L4295)</f>
        <v/>
      </c>
      <c r="M4296">
        <f>IF(G4296=1,0.2*R4296/E4296,M4295)</f>
        <v/>
      </c>
      <c r="N4296">
        <f>IF(G4296=1,0.2*R4296/F4296,N4295)</f>
        <v/>
      </c>
      <c r="O4296">
        <f>IF(G4296=1,R4296*(1-1.0),IF(H4295=0,1,O4295*(1+0.00023125256064071564)))</f>
        <v/>
      </c>
      <c r="P4296">
        <f>IF(G4296=1,IF(H4295=0,1,ABS(0.2-J4295*B4296/I4296)+ABS(0.2-K4295*C4296/I4296)+ABS(0.2-L4295*D4296/I4296)+ABS(0.2-M4295*E4296/I4296)+ABS(0.2-N4295*F4296/I4296)),0)</f>
        <v/>
      </c>
      <c r="Q4296">
        <f>P4296*0.0015</f>
        <v/>
      </c>
      <c r="R4296">
        <f>I4296*(1-Q4296)</f>
        <v/>
      </c>
      <c r="S4296">
        <f>R4296/R4295-1</f>
        <v/>
      </c>
      <c r="T4296">
        <f>MAX(T4295,R4296)</f>
        <v/>
      </c>
      <c r="U4296">
        <f>R4296/T4296-1</f>
        <v/>
      </c>
      <c r="V4296" t="n">
        <v>14.94648786440526</v>
      </c>
      <c r="W4296" s="5">
        <f>R4296-V4296</f>
        <v/>
      </c>
    </row>
    <row r="4297">
      <c r="A4297" s="3" t="n">
        <v>44767</v>
      </c>
      <c r="B4297">
        <f>Prices!B4297</f>
        <v/>
      </c>
      <c r="C4297">
        <f>Prices!C4297</f>
        <v/>
      </c>
      <c r="D4297">
        <f>Prices!D4297</f>
        <v/>
      </c>
      <c r="E4297">
        <f>Prices!E4297</f>
        <v/>
      </c>
      <c r="F4297">
        <f>Prices!F4297</f>
        <v/>
      </c>
      <c r="G4297">
        <f>IF(AND(4295&gt;=16,TEXT(A4297,"yyyy-mm")&lt;&gt;TEXT(A4298,"yyyy-mm")),1,0)</f>
        <v/>
      </c>
      <c r="H4297">
        <f>IF(OR(H4296=1,G4297=1),1,0)</f>
        <v/>
      </c>
      <c r="I4297">
        <f>IF(H4296=0,1,SUMPRODUCT(J4296:N4296,B4297:F4297)+O4296*(1+0.00023125256064071564))</f>
        <v/>
      </c>
      <c r="J4297">
        <f>IF(G4297=1,0.2*R4297/B4297,J4296)</f>
        <v/>
      </c>
      <c r="K4297">
        <f>IF(G4297=1,0.2*R4297/C4297,K4296)</f>
        <v/>
      </c>
      <c r="L4297">
        <f>IF(G4297=1,0.2*R4297/D4297,L4296)</f>
        <v/>
      </c>
      <c r="M4297">
        <f>IF(G4297=1,0.2*R4297/E4297,M4296)</f>
        <v/>
      </c>
      <c r="N4297">
        <f>IF(G4297=1,0.2*R4297/F4297,N4296)</f>
        <v/>
      </c>
      <c r="O4297">
        <f>IF(G4297=1,R4297*(1-1.0),IF(H4296=0,1,O4296*(1+0.00023125256064071564)))</f>
        <v/>
      </c>
      <c r="P4297">
        <f>IF(G4297=1,IF(H4296=0,1,ABS(0.2-J4296*B4297/I4297)+ABS(0.2-K4296*C4297/I4297)+ABS(0.2-L4296*D4297/I4297)+ABS(0.2-M4296*E4297/I4297)+ABS(0.2-N4296*F4297/I4297)),0)</f>
        <v/>
      </c>
      <c r="Q4297">
        <f>P4297*0.0015</f>
        <v/>
      </c>
      <c r="R4297">
        <f>I4297*(1-Q4297)</f>
        <v/>
      </c>
      <c r="S4297">
        <f>R4297/R4296-1</f>
        <v/>
      </c>
      <c r="T4297">
        <f>MAX(T4296,R4297)</f>
        <v/>
      </c>
      <c r="U4297">
        <f>R4297/T4297-1</f>
        <v/>
      </c>
      <c r="V4297" t="n">
        <v>14.93959923392707</v>
      </c>
      <c r="W4297" s="5">
        <f>R4297-V4297</f>
        <v/>
      </c>
    </row>
    <row r="4298">
      <c r="A4298" s="3" t="n">
        <v>44768</v>
      </c>
      <c r="B4298">
        <f>Prices!B4298</f>
        <v/>
      </c>
      <c r="C4298">
        <f>Prices!C4298</f>
        <v/>
      </c>
      <c r="D4298">
        <f>Prices!D4298</f>
        <v/>
      </c>
      <c r="E4298">
        <f>Prices!E4298</f>
        <v/>
      </c>
      <c r="F4298">
        <f>Prices!F4298</f>
        <v/>
      </c>
      <c r="G4298">
        <f>IF(AND(4296&gt;=16,TEXT(A4298,"yyyy-mm")&lt;&gt;TEXT(A4299,"yyyy-mm")),1,0)</f>
        <v/>
      </c>
      <c r="H4298">
        <f>IF(OR(H4297=1,G4298=1),1,0)</f>
        <v/>
      </c>
      <c r="I4298">
        <f>IF(H4297=0,1,SUMPRODUCT(J4297:N4297,B4298:F4298)+O4297*(1+0.00023125256064071564))</f>
        <v/>
      </c>
      <c r="J4298">
        <f>IF(G4298=1,0.2*R4298/B4298,J4297)</f>
        <v/>
      </c>
      <c r="K4298">
        <f>IF(G4298=1,0.2*R4298/C4298,K4297)</f>
        <v/>
      </c>
      <c r="L4298">
        <f>IF(G4298=1,0.2*R4298/D4298,L4297)</f>
        <v/>
      </c>
      <c r="M4298">
        <f>IF(G4298=1,0.2*R4298/E4298,M4297)</f>
        <v/>
      </c>
      <c r="N4298">
        <f>IF(G4298=1,0.2*R4298/F4298,N4297)</f>
        <v/>
      </c>
      <c r="O4298">
        <f>IF(G4298=1,R4298*(1-1.0),IF(H4297=0,1,O4297*(1+0.00023125256064071564)))</f>
        <v/>
      </c>
      <c r="P4298">
        <f>IF(G4298=1,IF(H4297=0,1,ABS(0.2-J4297*B4298/I4298)+ABS(0.2-K4297*C4298/I4298)+ABS(0.2-L4297*D4298/I4298)+ABS(0.2-M4297*E4298/I4298)+ABS(0.2-N4297*F4298/I4298)),0)</f>
        <v/>
      </c>
      <c r="Q4298">
        <f>P4298*0.0015</f>
        <v/>
      </c>
      <c r="R4298">
        <f>I4298*(1-Q4298)</f>
        <v/>
      </c>
      <c r="S4298">
        <f>R4298/R4297-1</f>
        <v/>
      </c>
      <c r="T4298">
        <f>MAX(T4297,R4298)</f>
        <v/>
      </c>
      <c r="U4298">
        <f>R4298/T4298-1</f>
        <v/>
      </c>
      <c r="V4298" t="n">
        <v>14.79794109427287</v>
      </c>
      <c r="W4298" s="5">
        <f>R4298-V4298</f>
        <v/>
      </c>
    </row>
    <row r="4299">
      <c r="A4299" s="3" t="n">
        <v>44769</v>
      </c>
      <c r="B4299">
        <f>Prices!B4299</f>
        <v/>
      </c>
      <c r="C4299">
        <f>Prices!C4299</f>
        <v/>
      </c>
      <c r="D4299">
        <f>Prices!D4299</f>
        <v/>
      </c>
      <c r="E4299">
        <f>Prices!E4299</f>
        <v/>
      </c>
      <c r="F4299">
        <f>Prices!F4299</f>
        <v/>
      </c>
      <c r="G4299">
        <f>IF(AND(4297&gt;=16,TEXT(A4299,"yyyy-mm")&lt;&gt;TEXT(A4300,"yyyy-mm")),1,0)</f>
        <v/>
      </c>
      <c r="H4299">
        <f>IF(OR(H4298=1,G4299=1),1,0)</f>
        <v/>
      </c>
      <c r="I4299">
        <f>IF(H4298=0,1,SUMPRODUCT(J4298:N4298,B4299:F4299)+O4298*(1+0.00023125256064071564))</f>
        <v/>
      </c>
      <c r="J4299">
        <f>IF(G4299=1,0.2*R4299/B4299,J4298)</f>
        <v/>
      </c>
      <c r="K4299">
        <f>IF(G4299=1,0.2*R4299/C4299,K4298)</f>
        <v/>
      </c>
      <c r="L4299">
        <f>IF(G4299=1,0.2*R4299/D4299,L4298)</f>
        <v/>
      </c>
      <c r="M4299">
        <f>IF(G4299=1,0.2*R4299/E4299,M4298)</f>
        <v/>
      </c>
      <c r="N4299">
        <f>IF(G4299=1,0.2*R4299/F4299,N4298)</f>
        <v/>
      </c>
      <c r="O4299">
        <f>IF(G4299=1,R4299*(1-1.0),IF(H4298=0,1,O4298*(1+0.00023125256064071564)))</f>
        <v/>
      </c>
      <c r="P4299">
        <f>IF(G4299=1,IF(H4298=0,1,ABS(0.2-J4298*B4299/I4299)+ABS(0.2-K4298*C4299/I4299)+ABS(0.2-L4298*D4299/I4299)+ABS(0.2-M4298*E4299/I4299)+ABS(0.2-N4298*F4299/I4299)),0)</f>
        <v/>
      </c>
      <c r="Q4299">
        <f>P4299*0.0015</f>
        <v/>
      </c>
      <c r="R4299">
        <f>I4299*(1-Q4299)</f>
        <v/>
      </c>
      <c r="S4299">
        <f>R4299/R4298-1</f>
        <v/>
      </c>
      <c r="T4299">
        <f>MAX(T4298,R4299)</f>
        <v/>
      </c>
      <c r="U4299">
        <f>R4299/T4299-1</f>
        <v/>
      </c>
      <c r="V4299" t="n">
        <v>14.91596646256846</v>
      </c>
      <c r="W4299" s="5">
        <f>R4299-V4299</f>
        <v/>
      </c>
    </row>
    <row r="4300">
      <c r="A4300" s="3" t="n">
        <v>44770</v>
      </c>
      <c r="B4300">
        <f>Prices!B4300</f>
        <v/>
      </c>
      <c r="C4300">
        <f>Prices!C4300</f>
        <v/>
      </c>
      <c r="D4300">
        <f>Prices!D4300</f>
        <v/>
      </c>
      <c r="E4300">
        <f>Prices!E4300</f>
        <v/>
      </c>
      <c r="F4300">
        <f>Prices!F4300</f>
        <v/>
      </c>
      <c r="G4300">
        <f>IF(AND(4298&gt;=16,TEXT(A4300,"yyyy-mm")&lt;&gt;TEXT(A4301,"yyyy-mm")),1,0)</f>
        <v/>
      </c>
      <c r="H4300">
        <f>IF(OR(H4299=1,G4300=1),1,0)</f>
        <v/>
      </c>
      <c r="I4300">
        <f>IF(H4299=0,1,SUMPRODUCT(J4299:N4299,B4300:F4300)+O4299*(1+0.00023125256064071564))</f>
        <v/>
      </c>
      <c r="J4300">
        <f>IF(G4300=1,0.2*R4300/B4300,J4299)</f>
        <v/>
      </c>
      <c r="K4300">
        <f>IF(G4300=1,0.2*R4300/C4300,K4299)</f>
        <v/>
      </c>
      <c r="L4300">
        <f>IF(G4300=1,0.2*R4300/D4300,L4299)</f>
        <v/>
      </c>
      <c r="M4300">
        <f>IF(G4300=1,0.2*R4300/E4300,M4299)</f>
        <v/>
      </c>
      <c r="N4300">
        <f>IF(G4300=1,0.2*R4300/F4300,N4299)</f>
        <v/>
      </c>
      <c r="O4300">
        <f>IF(G4300=1,R4300*(1-1.0),IF(H4299=0,1,O4299*(1+0.00023125256064071564)))</f>
        <v/>
      </c>
      <c r="P4300">
        <f>IF(G4300=1,IF(H4299=0,1,ABS(0.2-J4299*B4300/I4300)+ABS(0.2-K4299*C4300/I4300)+ABS(0.2-L4299*D4300/I4300)+ABS(0.2-M4299*E4300/I4300)+ABS(0.2-N4299*F4300/I4300)),0)</f>
        <v/>
      </c>
      <c r="Q4300">
        <f>P4300*0.0015</f>
        <v/>
      </c>
      <c r="R4300">
        <f>I4300*(1-Q4300)</f>
        <v/>
      </c>
      <c r="S4300">
        <f>R4300/R4299-1</f>
        <v/>
      </c>
      <c r="T4300">
        <f>MAX(T4299,R4300)</f>
        <v/>
      </c>
      <c r="U4300">
        <f>R4300/T4300-1</f>
        <v/>
      </c>
      <c r="V4300" t="n">
        <v>15.04199492494077</v>
      </c>
      <c r="W4300" s="5">
        <f>R4300-V4300</f>
        <v/>
      </c>
    </row>
    <row r="4301">
      <c r="A4301" s="3" t="n">
        <v>44771</v>
      </c>
      <c r="B4301">
        <f>Prices!B4301</f>
        <v/>
      </c>
      <c r="C4301">
        <f>Prices!C4301</f>
        <v/>
      </c>
      <c r="D4301">
        <f>Prices!D4301</f>
        <v/>
      </c>
      <c r="E4301">
        <f>Prices!E4301</f>
        <v/>
      </c>
      <c r="F4301">
        <f>Prices!F4301</f>
        <v/>
      </c>
      <c r="G4301">
        <f>IF(AND(4299&gt;=16,TEXT(A4301,"yyyy-mm")&lt;&gt;TEXT(A4302,"yyyy-mm")),1,0)</f>
        <v/>
      </c>
      <c r="H4301">
        <f>IF(OR(H4300=1,G4301=1),1,0)</f>
        <v/>
      </c>
      <c r="I4301">
        <f>IF(H4300=0,1,SUMPRODUCT(J4300:N4300,B4301:F4301)+O4300*(1+0.00023125256064071564))</f>
        <v/>
      </c>
      <c r="J4301">
        <f>IF(G4301=1,0.2*R4301/B4301,J4300)</f>
        <v/>
      </c>
      <c r="K4301">
        <f>IF(G4301=1,0.2*R4301/C4301,K4300)</f>
        <v/>
      </c>
      <c r="L4301">
        <f>IF(G4301=1,0.2*R4301/D4301,L4300)</f>
        <v/>
      </c>
      <c r="M4301">
        <f>IF(G4301=1,0.2*R4301/E4301,M4300)</f>
        <v/>
      </c>
      <c r="N4301">
        <f>IF(G4301=1,0.2*R4301/F4301,N4300)</f>
        <v/>
      </c>
      <c r="O4301">
        <f>IF(G4301=1,R4301*(1-1.0),IF(H4300=0,1,O4300*(1+0.00023125256064071564)))</f>
        <v/>
      </c>
      <c r="P4301">
        <f>IF(G4301=1,IF(H4300=0,1,ABS(0.2-J4300*B4301/I4301)+ABS(0.2-K4300*C4301/I4301)+ABS(0.2-L4300*D4301/I4301)+ABS(0.2-M4300*E4301/I4301)+ABS(0.2-N4300*F4301/I4301)),0)</f>
        <v/>
      </c>
      <c r="Q4301">
        <f>P4301*0.0015</f>
        <v/>
      </c>
      <c r="R4301">
        <f>I4301*(1-Q4301)</f>
        <v/>
      </c>
      <c r="S4301">
        <f>R4301/R4300-1</f>
        <v/>
      </c>
      <c r="T4301">
        <f>MAX(T4300,R4301)</f>
        <v/>
      </c>
      <c r="U4301">
        <f>R4301/T4301-1</f>
        <v/>
      </c>
      <c r="V4301" t="n">
        <v>15.26362670450345</v>
      </c>
      <c r="W4301" s="5">
        <f>R4301-V4301</f>
        <v/>
      </c>
    </row>
    <row r="4302">
      <c r="A4302" s="3" t="n">
        <v>44774</v>
      </c>
      <c r="B4302">
        <f>Prices!B4302</f>
        <v/>
      </c>
      <c r="C4302">
        <f>Prices!C4302</f>
        <v/>
      </c>
      <c r="D4302">
        <f>Prices!D4302</f>
        <v/>
      </c>
      <c r="E4302">
        <f>Prices!E4302</f>
        <v/>
      </c>
      <c r="F4302">
        <f>Prices!F4302</f>
        <v/>
      </c>
      <c r="G4302">
        <f>IF(AND(4300&gt;=16,TEXT(A4302,"yyyy-mm")&lt;&gt;TEXT(A4303,"yyyy-mm")),1,0)</f>
        <v/>
      </c>
      <c r="H4302">
        <f>IF(OR(H4301=1,G4302=1),1,0)</f>
        <v/>
      </c>
      <c r="I4302">
        <f>IF(H4301=0,1,SUMPRODUCT(J4301:N4301,B4302:F4302)+O4301*(1+0.00023125256064071564))</f>
        <v/>
      </c>
      <c r="J4302">
        <f>IF(G4302=1,0.2*R4302/B4302,J4301)</f>
        <v/>
      </c>
      <c r="K4302">
        <f>IF(G4302=1,0.2*R4302/C4302,K4301)</f>
        <v/>
      </c>
      <c r="L4302">
        <f>IF(G4302=1,0.2*R4302/D4302,L4301)</f>
        <v/>
      </c>
      <c r="M4302">
        <f>IF(G4302=1,0.2*R4302/E4302,M4301)</f>
        <v/>
      </c>
      <c r="N4302">
        <f>IF(G4302=1,0.2*R4302/F4302,N4301)</f>
        <v/>
      </c>
      <c r="O4302">
        <f>IF(G4302=1,R4302*(1-1.0),IF(H4301=0,1,O4301*(1+0.00023125256064071564)))</f>
        <v/>
      </c>
      <c r="P4302">
        <f>IF(G4302=1,IF(H4301=0,1,ABS(0.2-J4301*B4302/I4302)+ABS(0.2-K4301*C4302/I4302)+ABS(0.2-L4301*D4302/I4302)+ABS(0.2-M4301*E4302/I4302)+ABS(0.2-N4301*F4302/I4302)),0)</f>
        <v/>
      </c>
      <c r="Q4302">
        <f>P4302*0.0015</f>
        <v/>
      </c>
      <c r="R4302">
        <f>I4302*(1-Q4302)</f>
        <v/>
      </c>
      <c r="S4302">
        <f>R4302/R4301-1</f>
        <v/>
      </c>
      <c r="T4302">
        <f>MAX(T4301,R4302)</f>
        <v/>
      </c>
      <c r="U4302">
        <f>R4302/T4302-1</f>
        <v/>
      </c>
      <c r="V4302" t="n">
        <v>15.50018858419144</v>
      </c>
      <c r="W4302" s="5">
        <f>R4302-V4302</f>
        <v/>
      </c>
    </row>
    <row r="4303">
      <c r="A4303" s="3" t="n">
        <v>44775</v>
      </c>
      <c r="B4303">
        <f>Prices!B4303</f>
        <v/>
      </c>
      <c r="C4303">
        <f>Prices!C4303</f>
        <v/>
      </c>
      <c r="D4303">
        <f>Prices!D4303</f>
        <v/>
      </c>
      <c r="E4303">
        <f>Prices!E4303</f>
        <v/>
      </c>
      <c r="F4303">
        <f>Prices!F4303</f>
        <v/>
      </c>
      <c r="G4303">
        <f>IF(AND(4301&gt;=16,TEXT(A4303,"yyyy-mm")&lt;&gt;TEXT(A4304,"yyyy-mm")),1,0)</f>
        <v/>
      </c>
      <c r="H4303">
        <f>IF(OR(H4302=1,G4303=1),1,0)</f>
        <v/>
      </c>
      <c r="I4303">
        <f>IF(H4302=0,1,SUMPRODUCT(J4302:N4302,B4303:F4303)+O4302*(1+0.00023125256064071564))</f>
        <v/>
      </c>
      <c r="J4303">
        <f>IF(G4303=1,0.2*R4303/B4303,J4302)</f>
        <v/>
      </c>
      <c r="K4303">
        <f>IF(G4303=1,0.2*R4303/C4303,K4302)</f>
        <v/>
      </c>
      <c r="L4303">
        <f>IF(G4303=1,0.2*R4303/D4303,L4302)</f>
        <v/>
      </c>
      <c r="M4303">
        <f>IF(G4303=1,0.2*R4303/E4303,M4302)</f>
        <v/>
      </c>
      <c r="N4303">
        <f>IF(G4303=1,0.2*R4303/F4303,N4302)</f>
        <v/>
      </c>
      <c r="O4303">
        <f>IF(G4303=1,R4303*(1-1.0),IF(H4302=0,1,O4302*(1+0.00023125256064071564)))</f>
        <v/>
      </c>
      <c r="P4303">
        <f>IF(G4303=1,IF(H4302=0,1,ABS(0.2-J4302*B4303/I4303)+ABS(0.2-K4302*C4303/I4303)+ABS(0.2-L4302*D4303/I4303)+ABS(0.2-M4302*E4303/I4303)+ABS(0.2-N4302*F4303/I4303)),0)</f>
        <v/>
      </c>
      <c r="Q4303">
        <f>P4303*0.0015</f>
        <v/>
      </c>
      <c r="R4303">
        <f>I4303*(1-Q4303)</f>
        <v/>
      </c>
      <c r="S4303">
        <f>R4303/R4302-1</f>
        <v/>
      </c>
      <c r="T4303">
        <f>MAX(T4302,R4303)</f>
        <v/>
      </c>
      <c r="U4303">
        <f>R4303/T4303-1</f>
        <v/>
      </c>
      <c r="V4303" t="n">
        <v>15.55589453087666</v>
      </c>
      <c r="W4303" s="5">
        <f>R4303-V4303</f>
        <v/>
      </c>
    </row>
    <row r="4304">
      <c r="A4304" s="3" t="n">
        <v>44776</v>
      </c>
      <c r="B4304">
        <f>Prices!B4304</f>
        <v/>
      </c>
      <c r="C4304">
        <f>Prices!C4304</f>
        <v/>
      </c>
      <c r="D4304">
        <f>Prices!D4304</f>
        <v/>
      </c>
      <c r="E4304">
        <f>Prices!E4304</f>
        <v/>
      </c>
      <c r="F4304">
        <f>Prices!F4304</f>
        <v/>
      </c>
      <c r="G4304">
        <f>IF(AND(4302&gt;=16,TEXT(A4304,"yyyy-mm")&lt;&gt;TEXT(A4305,"yyyy-mm")),1,0)</f>
        <v/>
      </c>
      <c r="H4304">
        <f>IF(OR(H4303=1,G4304=1),1,0)</f>
        <v/>
      </c>
      <c r="I4304">
        <f>IF(H4303=0,1,SUMPRODUCT(J4303:N4303,B4304:F4304)+O4303*(1+0.00023125256064071564))</f>
        <v/>
      </c>
      <c r="J4304">
        <f>IF(G4304=1,0.2*R4304/B4304,J4303)</f>
        <v/>
      </c>
      <c r="K4304">
        <f>IF(G4304=1,0.2*R4304/C4304,K4303)</f>
        <v/>
      </c>
      <c r="L4304">
        <f>IF(G4304=1,0.2*R4304/D4304,L4303)</f>
        <v/>
      </c>
      <c r="M4304">
        <f>IF(G4304=1,0.2*R4304/E4304,M4303)</f>
        <v/>
      </c>
      <c r="N4304">
        <f>IF(G4304=1,0.2*R4304/F4304,N4303)</f>
        <v/>
      </c>
      <c r="O4304">
        <f>IF(G4304=1,R4304*(1-1.0),IF(H4303=0,1,O4303*(1+0.00023125256064071564)))</f>
        <v/>
      </c>
      <c r="P4304">
        <f>IF(G4304=1,IF(H4303=0,1,ABS(0.2-J4303*B4304/I4304)+ABS(0.2-K4303*C4304/I4304)+ABS(0.2-L4303*D4304/I4304)+ABS(0.2-M4303*E4304/I4304)+ABS(0.2-N4303*F4304/I4304)),0)</f>
        <v/>
      </c>
      <c r="Q4304">
        <f>P4304*0.0015</f>
        <v/>
      </c>
      <c r="R4304">
        <f>I4304*(1-Q4304)</f>
        <v/>
      </c>
      <c r="S4304">
        <f>R4304/R4303-1</f>
        <v/>
      </c>
      <c r="T4304">
        <f>MAX(T4303,R4304)</f>
        <v/>
      </c>
      <c r="U4304">
        <f>R4304/T4304-1</f>
        <v/>
      </c>
      <c r="V4304" t="n">
        <v>15.49995396249398</v>
      </c>
      <c r="W4304" s="5">
        <f>R4304-V4304</f>
        <v/>
      </c>
    </row>
    <row r="4305">
      <c r="A4305" s="3" t="n">
        <v>44777</v>
      </c>
      <c r="B4305">
        <f>Prices!B4305</f>
        <v/>
      </c>
      <c r="C4305">
        <f>Prices!C4305</f>
        <v/>
      </c>
      <c r="D4305">
        <f>Prices!D4305</f>
        <v/>
      </c>
      <c r="E4305">
        <f>Prices!E4305</f>
        <v/>
      </c>
      <c r="F4305">
        <f>Prices!F4305</f>
        <v/>
      </c>
      <c r="G4305">
        <f>IF(AND(4303&gt;=16,TEXT(A4305,"yyyy-mm")&lt;&gt;TEXT(A4306,"yyyy-mm")),1,0)</f>
        <v/>
      </c>
      <c r="H4305">
        <f>IF(OR(H4304=1,G4305=1),1,0)</f>
        <v/>
      </c>
      <c r="I4305">
        <f>IF(H4304=0,1,SUMPRODUCT(J4304:N4304,B4305:F4305)+O4304*(1+0.00023125256064071564))</f>
        <v/>
      </c>
      <c r="J4305">
        <f>IF(G4305=1,0.2*R4305/B4305,J4304)</f>
        <v/>
      </c>
      <c r="K4305">
        <f>IF(G4305=1,0.2*R4305/C4305,K4304)</f>
        <v/>
      </c>
      <c r="L4305">
        <f>IF(G4305=1,0.2*R4305/D4305,L4304)</f>
        <v/>
      </c>
      <c r="M4305">
        <f>IF(G4305=1,0.2*R4305/E4305,M4304)</f>
        <v/>
      </c>
      <c r="N4305">
        <f>IF(G4305=1,0.2*R4305/F4305,N4304)</f>
        <v/>
      </c>
      <c r="O4305">
        <f>IF(G4305=1,R4305*(1-1.0),IF(H4304=0,1,O4304*(1+0.00023125256064071564)))</f>
        <v/>
      </c>
      <c r="P4305">
        <f>IF(G4305=1,IF(H4304=0,1,ABS(0.2-J4304*B4305/I4305)+ABS(0.2-K4304*C4305/I4305)+ABS(0.2-L4304*D4305/I4305)+ABS(0.2-M4304*E4305/I4305)+ABS(0.2-N4304*F4305/I4305)),0)</f>
        <v/>
      </c>
      <c r="Q4305">
        <f>P4305*0.0015</f>
        <v/>
      </c>
      <c r="R4305">
        <f>I4305*(1-Q4305)</f>
        <v/>
      </c>
      <c r="S4305">
        <f>R4305/R4304-1</f>
        <v/>
      </c>
      <c r="T4305">
        <f>MAX(T4304,R4305)</f>
        <v/>
      </c>
      <c r="U4305">
        <f>R4305/T4305-1</f>
        <v/>
      </c>
      <c r="V4305" t="n">
        <v>15.50007417617665</v>
      </c>
      <c r="W4305" s="5">
        <f>R4305-V4305</f>
        <v/>
      </c>
    </row>
    <row r="4306">
      <c r="A4306" s="3" t="n">
        <v>44778</v>
      </c>
      <c r="B4306">
        <f>Prices!B4306</f>
        <v/>
      </c>
      <c r="C4306">
        <f>Prices!C4306</f>
        <v/>
      </c>
      <c r="D4306">
        <f>Prices!D4306</f>
        <v/>
      </c>
      <c r="E4306">
        <f>Prices!E4306</f>
        <v/>
      </c>
      <c r="F4306">
        <f>Prices!F4306</f>
        <v/>
      </c>
      <c r="G4306">
        <f>IF(AND(4304&gt;=16,TEXT(A4306,"yyyy-mm")&lt;&gt;TEXT(A4307,"yyyy-mm")),1,0)</f>
        <v/>
      </c>
      <c r="H4306">
        <f>IF(OR(H4305=1,G4306=1),1,0)</f>
        <v/>
      </c>
      <c r="I4306">
        <f>IF(H4305=0,1,SUMPRODUCT(J4305:N4305,B4306:F4306)+O4305*(1+0.00023125256064071564))</f>
        <v/>
      </c>
      <c r="J4306">
        <f>IF(G4306=1,0.2*R4306/B4306,J4305)</f>
        <v/>
      </c>
      <c r="K4306">
        <f>IF(G4306=1,0.2*R4306/C4306,K4305)</f>
        <v/>
      </c>
      <c r="L4306">
        <f>IF(G4306=1,0.2*R4306/D4306,L4305)</f>
        <v/>
      </c>
      <c r="M4306">
        <f>IF(G4306=1,0.2*R4306/E4306,M4305)</f>
        <v/>
      </c>
      <c r="N4306">
        <f>IF(G4306=1,0.2*R4306/F4306,N4305)</f>
        <v/>
      </c>
      <c r="O4306">
        <f>IF(G4306=1,R4306*(1-1.0),IF(H4305=0,1,O4305*(1+0.00023125256064071564)))</f>
        <v/>
      </c>
      <c r="P4306">
        <f>IF(G4306=1,IF(H4305=0,1,ABS(0.2-J4305*B4306/I4306)+ABS(0.2-K4305*C4306/I4306)+ABS(0.2-L4305*D4306/I4306)+ABS(0.2-M4305*E4306/I4306)+ABS(0.2-N4305*F4306/I4306)),0)</f>
        <v/>
      </c>
      <c r="Q4306">
        <f>P4306*0.0015</f>
        <v/>
      </c>
      <c r="R4306">
        <f>I4306*(1-Q4306)</f>
        <v/>
      </c>
      <c r="S4306">
        <f>R4306/R4305-1</f>
        <v/>
      </c>
      <c r="T4306">
        <f>MAX(T4305,R4306)</f>
        <v/>
      </c>
      <c r="U4306">
        <f>R4306/T4306-1</f>
        <v/>
      </c>
      <c r="V4306" t="n">
        <v>15.55332445172834</v>
      </c>
      <c r="W4306" s="5">
        <f>R4306-V4306</f>
        <v/>
      </c>
    </row>
    <row r="4307">
      <c r="A4307" s="3" t="n">
        <v>44781</v>
      </c>
      <c r="B4307">
        <f>Prices!B4307</f>
        <v/>
      </c>
      <c r="C4307">
        <f>Prices!C4307</f>
        <v/>
      </c>
      <c r="D4307">
        <f>Prices!D4307</f>
        <v/>
      </c>
      <c r="E4307">
        <f>Prices!E4307</f>
        <v/>
      </c>
      <c r="F4307">
        <f>Prices!F4307</f>
        <v/>
      </c>
      <c r="G4307">
        <f>IF(AND(4305&gt;=16,TEXT(A4307,"yyyy-mm")&lt;&gt;TEXT(A4308,"yyyy-mm")),1,0)</f>
        <v/>
      </c>
      <c r="H4307">
        <f>IF(OR(H4306=1,G4307=1),1,0)</f>
        <v/>
      </c>
      <c r="I4307">
        <f>IF(H4306=0,1,SUMPRODUCT(J4306:N4306,B4307:F4307)+O4306*(1+0.00023125256064071564))</f>
        <v/>
      </c>
      <c r="J4307">
        <f>IF(G4307=1,0.2*R4307/B4307,J4306)</f>
        <v/>
      </c>
      <c r="K4307">
        <f>IF(G4307=1,0.2*R4307/C4307,K4306)</f>
        <v/>
      </c>
      <c r="L4307">
        <f>IF(G4307=1,0.2*R4307/D4307,L4306)</f>
        <v/>
      </c>
      <c r="M4307">
        <f>IF(G4307=1,0.2*R4307/E4307,M4306)</f>
        <v/>
      </c>
      <c r="N4307">
        <f>IF(G4307=1,0.2*R4307/F4307,N4306)</f>
        <v/>
      </c>
      <c r="O4307">
        <f>IF(G4307=1,R4307*(1-1.0),IF(H4306=0,1,O4306*(1+0.00023125256064071564)))</f>
        <v/>
      </c>
      <c r="P4307">
        <f>IF(G4307=1,IF(H4306=0,1,ABS(0.2-J4306*B4307/I4307)+ABS(0.2-K4306*C4307/I4307)+ABS(0.2-L4306*D4307/I4307)+ABS(0.2-M4306*E4307/I4307)+ABS(0.2-N4306*F4307/I4307)),0)</f>
        <v/>
      </c>
      <c r="Q4307">
        <f>P4307*0.0015</f>
        <v/>
      </c>
      <c r="R4307">
        <f>I4307*(1-Q4307)</f>
        <v/>
      </c>
      <c r="S4307">
        <f>R4307/R4306-1</f>
        <v/>
      </c>
      <c r="T4307">
        <f>MAX(T4306,R4307)</f>
        <v/>
      </c>
      <c r="U4307">
        <f>R4307/T4307-1</f>
        <v/>
      </c>
      <c r="V4307" t="n">
        <v>15.63843748087302</v>
      </c>
      <c r="W4307" s="5">
        <f>R4307-V4307</f>
        <v/>
      </c>
    </row>
    <row r="4308">
      <c r="A4308" s="3" t="n">
        <v>44783</v>
      </c>
      <c r="B4308">
        <f>Prices!B4308</f>
        <v/>
      </c>
      <c r="C4308">
        <f>Prices!C4308</f>
        <v/>
      </c>
      <c r="D4308">
        <f>Prices!D4308</f>
        <v/>
      </c>
      <c r="E4308">
        <f>Prices!E4308</f>
        <v/>
      </c>
      <c r="F4308">
        <f>Prices!F4308</f>
        <v/>
      </c>
      <c r="G4308">
        <f>IF(AND(4306&gt;=16,TEXT(A4308,"yyyy-mm")&lt;&gt;TEXT(A4309,"yyyy-mm")),1,0)</f>
        <v/>
      </c>
      <c r="H4308">
        <f>IF(OR(H4307=1,G4308=1),1,0)</f>
        <v/>
      </c>
      <c r="I4308">
        <f>IF(H4307=0,1,SUMPRODUCT(J4307:N4307,B4308:F4308)+O4307*(1+0.00023125256064071564))</f>
        <v/>
      </c>
      <c r="J4308">
        <f>IF(G4308=1,0.2*R4308/B4308,J4307)</f>
        <v/>
      </c>
      <c r="K4308">
        <f>IF(G4308=1,0.2*R4308/C4308,K4307)</f>
        <v/>
      </c>
      <c r="L4308">
        <f>IF(G4308=1,0.2*R4308/D4308,L4307)</f>
        <v/>
      </c>
      <c r="M4308">
        <f>IF(G4308=1,0.2*R4308/E4308,M4307)</f>
        <v/>
      </c>
      <c r="N4308">
        <f>IF(G4308=1,0.2*R4308/F4308,N4307)</f>
        <v/>
      </c>
      <c r="O4308">
        <f>IF(G4308=1,R4308*(1-1.0),IF(H4307=0,1,O4307*(1+0.00023125256064071564)))</f>
        <v/>
      </c>
      <c r="P4308">
        <f>IF(G4308=1,IF(H4307=0,1,ABS(0.2-J4307*B4308/I4308)+ABS(0.2-K4307*C4308/I4308)+ABS(0.2-L4307*D4308/I4308)+ABS(0.2-M4307*E4308/I4308)+ABS(0.2-N4307*F4308/I4308)),0)</f>
        <v/>
      </c>
      <c r="Q4308">
        <f>P4308*0.0015</f>
        <v/>
      </c>
      <c r="R4308">
        <f>I4308*(1-Q4308)</f>
        <v/>
      </c>
      <c r="S4308">
        <f>R4308/R4307-1</f>
        <v/>
      </c>
      <c r="T4308">
        <f>MAX(T4307,R4308)</f>
        <v/>
      </c>
      <c r="U4308">
        <f>R4308/T4308-1</f>
        <v/>
      </c>
      <c r="V4308" t="n">
        <v>15.60564897418044</v>
      </c>
      <c r="W4308" s="5">
        <f>R4308-V4308</f>
        <v/>
      </c>
    </row>
    <row r="4309">
      <c r="A4309" s="3" t="n">
        <v>44784</v>
      </c>
      <c r="B4309">
        <f>Prices!B4309</f>
        <v/>
      </c>
      <c r="C4309">
        <f>Prices!C4309</f>
        <v/>
      </c>
      <c r="D4309">
        <f>Prices!D4309</f>
        <v/>
      </c>
      <c r="E4309">
        <f>Prices!E4309</f>
        <v/>
      </c>
      <c r="F4309">
        <f>Prices!F4309</f>
        <v/>
      </c>
      <c r="G4309">
        <f>IF(AND(4307&gt;=16,TEXT(A4309,"yyyy-mm")&lt;&gt;TEXT(A4310,"yyyy-mm")),1,0)</f>
        <v/>
      </c>
      <c r="H4309">
        <f>IF(OR(H4308=1,G4309=1),1,0)</f>
        <v/>
      </c>
      <c r="I4309">
        <f>IF(H4308=0,1,SUMPRODUCT(J4308:N4308,B4309:F4309)+O4308*(1+0.00023125256064071564))</f>
        <v/>
      </c>
      <c r="J4309">
        <f>IF(G4309=1,0.2*R4309/B4309,J4308)</f>
        <v/>
      </c>
      <c r="K4309">
        <f>IF(G4309=1,0.2*R4309/C4309,K4308)</f>
        <v/>
      </c>
      <c r="L4309">
        <f>IF(G4309=1,0.2*R4309/D4309,L4308)</f>
        <v/>
      </c>
      <c r="M4309">
        <f>IF(G4309=1,0.2*R4309/E4309,M4308)</f>
        <v/>
      </c>
      <c r="N4309">
        <f>IF(G4309=1,0.2*R4309/F4309,N4308)</f>
        <v/>
      </c>
      <c r="O4309">
        <f>IF(G4309=1,R4309*(1-1.0),IF(H4308=0,1,O4308*(1+0.00023125256064071564)))</f>
        <v/>
      </c>
      <c r="P4309">
        <f>IF(G4309=1,IF(H4308=0,1,ABS(0.2-J4308*B4309/I4309)+ABS(0.2-K4308*C4309/I4309)+ABS(0.2-L4308*D4309/I4309)+ABS(0.2-M4308*E4309/I4309)+ABS(0.2-N4308*F4309/I4309)),0)</f>
        <v/>
      </c>
      <c r="Q4309">
        <f>P4309*0.0015</f>
        <v/>
      </c>
      <c r="R4309">
        <f>I4309*(1-Q4309)</f>
        <v/>
      </c>
      <c r="S4309">
        <f>R4309/R4308-1</f>
        <v/>
      </c>
      <c r="T4309">
        <f>MAX(T4308,R4309)</f>
        <v/>
      </c>
      <c r="U4309">
        <f>R4309/T4309-1</f>
        <v/>
      </c>
      <c r="V4309" t="n">
        <v>15.66906025990637</v>
      </c>
      <c r="W4309" s="5">
        <f>R4309-V4309</f>
        <v/>
      </c>
    </row>
    <row r="4310">
      <c r="A4310" s="3" t="n">
        <v>44785</v>
      </c>
      <c r="B4310">
        <f>Prices!B4310</f>
        <v/>
      </c>
      <c r="C4310">
        <f>Prices!C4310</f>
        <v/>
      </c>
      <c r="D4310">
        <f>Prices!D4310</f>
        <v/>
      </c>
      <c r="E4310">
        <f>Prices!E4310</f>
        <v/>
      </c>
      <c r="F4310">
        <f>Prices!F4310</f>
        <v/>
      </c>
      <c r="G4310">
        <f>IF(AND(4308&gt;=16,TEXT(A4310,"yyyy-mm")&lt;&gt;TEXT(A4311,"yyyy-mm")),1,0)</f>
        <v/>
      </c>
      <c r="H4310">
        <f>IF(OR(H4309=1,G4310=1),1,0)</f>
        <v/>
      </c>
      <c r="I4310">
        <f>IF(H4309=0,1,SUMPRODUCT(J4309:N4309,B4310:F4310)+O4309*(1+0.00023125256064071564))</f>
        <v/>
      </c>
      <c r="J4310">
        <f>IF(G4310=1,0.2*R4310/B4310,J4309)</f>
        <v/>
      </c>
      <c r="K4310">
        <f>IF(G4310=1,0.2*R4310/C4310,K4309)</f>
        <v/>
      </c>
      <c r="L4310">
        <f>IF(G4310=1,0.2*R4310/D4310,L4309)</f>
        <v/>
      </c>
      <c r="M4310">
        <f>IF(G4310=1,0.2*R4310/E4310,M4309)</f>
        <v/>
      </c>
      <c r="N4310">
        <f>IF(G4310=1,0.2*R4310/F4310,N4309)</f>
        <v/>
      </c>
      <c r="O4310">
        <f>IF(G4310=1,R4310*(1-1.0),IF(H4309=0,1,O4309*(1+0.00023125256064071564)))</f>
        <v/>
      </c>
      <c r="P4310">
        <f>IF(G4310=1,IF(H4309=0,1,ABS(0.2-J4309*B4310/I4310)+ABS(0.2-K4309*C4310/I4310)+ABS(0.2-L4309*D4310/I4310)+ABS(0.2-M4309*E4310/I4310)+ABS(0.2-N4309*F4310/I4310)),0)</f>
        <v/>
      </c>
      <c r="Q4310">
        <f>P4310*0.0015</f>
        <v/>
      </c>
      <c r="R4310">
        <f>I4310*(1-Q4310)</f>
        <v/>
      </c>
      <c r="S4310">
        <f>R4310/R4309-1</f>
        <v/>
      </c>
      <c r="T4310">
        <f>MAX(T4309,R4310)</f>
        <v/>
      </c>
      <c r="U4310">
        <f>R4310/T4310-1</f>
        <v/>
      </c>
      <c r="V4310" t="n">
        <v>15.77928658608124</v>
      </c>
      <c r="W4310" s="5">
        <f>R4310-V4310</f>
        <v/>
      </c>
    </row>
    <row r="4311">
      <c r="A4311" s="3" t="n">
        <v>44789</v>
      </c>
      <c r="B4311">
        <f>Prices!B4311</f>
        <v/>
      </c>
      <c r="C4311">
        <f>Prices!C4311</f>
        <v/>
      </c>
      <c r="D4311">
        <f>Prices!D4311</f>
        <v/>
      </c>
      <c r="E4311">
        <f>Prices!E4311</f>
        <v/>
      </c>
      <c r="F4311">
        <f>Prices!F4311</f>
        <v/>
      </c>
      <c r="G4311">
        <f>IF(AND(4309&gt;=16,TEXT(A4311,"yyyy-mm")&lt;&gt;TEXT(A4312,"yyyy-mm")),1,0)</f>
        <v/>
      </c>
      <c r="H4311">
        <f>IF(OR(H4310=1,G4311=1),1,0)</f>
        <v/>
      </c>
      <c r="I4311">
        <f>IF(H4310=0,1,SUMPRODUCT(J4310:N4310,B4311:F4311)+O4310*(1+0.00023125256064071564))</f>
        <v/>
      </c>
      <c r="J4311">
        <f>IF(G4311=1,0.2*R4311/B4311,J4310)</f>
        <v/>
      </c>
      <c r="K4311">
        <f>IF(G4311=1,0.2*R4311/C4311,K4310)</f>
        <v/>
      </c>
      <c r="L4311">
        <f>IF(G4311=1,0.2*R4311/D4311,L4310)</f>
        <v/>
      </c>
      <c r="M4311">
        <f>IF(G4311=1,0.2*R4311/E4311,M4310)</f>
        <v/>
      </c>
      <c r="N4311">
        <f>IF(G4311=1,0.2*R4311/F4311,N4310)</f>
        <v/>
      </c>
      <c r="O4311">
        <f>IF(G4311=1,R4311*(1-1.0),IF(H4310=0,1,O4310*(1+0.00023125256064071564)))</f>
        <v/>
      </c>
      <c r="P4311">
        <f>IF(G4311=1,IF(H4310=0,1,ABS(0.2-J4310*B4311/I4311)+ABS(0.2-K4310*C4311/I4311)+ABS(0.2-L4310*D4311/I4311)+ABS(0.2-M4310*E4311/I4311)+ABS(0.2-N4310*F4311/I4311)),0)</f>
        <v/>
      </c>
      <c r="Q4311">
        <f>P4311*0.0015</f>
        <v/>
      </c>
      <c r="R4311">
        <f>I4311*(1-Q4311)</f>
        <v/>
      </c>
      <c r="S4311">
        <f>R4311/R4310-1</f>
        <v/>
      </c>
      <c r="T4311">
        <f>MAX(T4310,R4311)</f>
        <v/>
      </c>
      <c r="U4311">
        <f>R4311/T4311-1</f>
        <v/>
      </c>
      <c r="V4311" t="n">
        <v>15.92784733103583</v>
      </c>
      <c r="W4311" s="5">
        <f>R4311-V4311</f>
        <v/>
      </c>
    </row>
    <row r="4312">
      <c r="A4312" s="3" t="n">
        <v>44790</v>
      </c>
      <c r="B4312">
        <f>Prices!B4312</f>
        <v/>
      </c>
      <c r="C4312">
        <f>Prices!C4312</f>
        <v/>
      </c>
      <c r="D4312">
        <f>Prices!D4312</f>
        <v/>
      </c>
      <c r="E4312">
        <f>Prices!E4312</f>
        <v/>
      </c>
      <c r="F4312">
        <f>Prices!F4312</f>
        <v/>
      </c>
      <c r="G4312">
        <f>IF(AND(4310&gt;=16,TEXT(A4312,"yyyy-mm")&lt;&gt;TEXT(A4313,"yyyy-mm")),1,0)</f>
        <v/>
      </c>
      <c r="H4312">
        <f>IF(OR(H4311=1,G4312=1),1,0)</f>
        <v/>
      </c>
      <c r="I4312">
        <f>IF(H4311=0,1,SUMPRODUCT(J4311:N4311,B4312:F4312)+O4311*(1+0.00023125256064071564))</f>
        <v/>
      </c>
      <c r="J4312">
        <f>IF(G4312=1,0.2*R4312/B4312,J4311)</f>
        <v/>
      </c>
      <c r="K4312">
        <f>IF(G4312=1,0.2*R4312/C4312,K4311)</f>
        <v/>
      </c>
      <c r="L4312">
        <f>IF(G4312=1,0.2*R4312/D4312,L4311)</f>
        <v/>
      </c>
      <c r="M4312">
        <f>IF(G4312=1,0.2*R4312/E4312,M4311)</f>
        <v/>
      </c>
      <c r="N4312">
        <f>IF(G4312=1,0.2*R4312/F4312,N4311)</f>
        <v/>
      </c>
      <c r="O4312">
        <f>IF(G4312=1,R4312*(1-1.0),IF(H4311=0,1,O4311*(1+0.00023125256064071564)))</f>
        <v/>
      </c>
      <c r="P4312">
        <f>IF(G4312=1,IF(H4311=0,1,ABS(0.2-J4311*B4312/I4312)+ABS(0.2-K4311*C4312/I4312)+ABS(0.2-L4311*D4312/I4312)+ABS(0.2-M4311*E4312/I4312)+ABS(0.2-N4311*F4312/I4312)),0)</f>
        <v/>
      </c>
      <c r="Q4312">
        <f>P4312*0.0015</f>
        <v/>
      </c>
      <c r="R4312">
        <f>I4312*(1-Q4312)</f>
        <v/>
      </c>
      <c r="S4312">
        <f>R4312/R4311-1</f>
        <v/>
      </c>
      <c r="T4312">
        <f>MAX(T4311,R4312)</f>
        <v/>
      </c>
      <c r="U4312">
        <f>R4312/T4312-1</f>
        <v/>
      </c>
      <c r="V4312" t="n">
        <v>16.01110584282142</v>
      </c>
      <c r="W4312" s="5">
        <f>R4312-V4312</f>
        <v/>
      </c>
    </row>
    <row r="4313">
      <c r="A4313" s="3" t="n">
        <v>44791</v>
      </c>
      <c r="B4313">
        <f>Prices!B4313</f>
        <v/>
      </c>
      <c r="C4313">
        <f>Prices!C4313</f>
        <v/>
      </c>
      <c r="D4313">
        <f>Prices!D4313</f>
        <v/>
      </c>
      <c r="E4313">
        <f>Prices!E4313</f>
        <v/>
      </c>
      <c r="F4313">
        <f>Prices!F4313</f>
        <v/>
      </c>
      <c r="G4313">
        <f>IF(AND(4311&gt;=16,TEXT(A4313,"yyyy-mm")&lt;&gt;TEXT(A4314,"yyyy-mm")),1,0)</f>
        <v/>
      </c>
      <c r="H4313">
        <f>IF(OR(H4312=1,G4313=1),1,0)</f>
        <v/>
      </c>
      <c r="I4313">
        <f>IF(H4312=0,1,SUMPRODUCT(J4312:N4312,B4313:F4313)+O4312*(1+0.00023125256064071564))</f>
        <v/>
      </c>
      <c r="J4313">
        <f>IF(G4313=1,0.2*R4313/B4313,J4312)</f>
        <v/>
      </c>
      <c r="K4313">
        <f>IF(G4313=1,0.2*R4313/C4313,K4312)</f>
        <v/>
      </c>
      <c r="L4313">
        <f>IF(G4313=1,0.2*R4313/D4313,L4312)</f>
        <v/>
      </c>
      <c r="M4313">
        <f>IF(G4313=1,0.2*R4313/E4313,M4312)</f>
        <v/>
      </c>
      <c r="N4313">
        <f>IF(G4313=1,0.2*R4313/F4313,N4312)</f>
        <v/>
      </c>
      <c r="O4313">
        <f>IF(G4313=1,R4313*(1-1.0),IF(H4312=0,1,O4312*(1+0.00023125256064071564)))</f>
        <v/>
      </c>
      <c r="P4313">
        <f>IF(G4313=1,IF(H4312=0,1,ABS(0.2-J4312*B4313/I4313)+ABS(0.2-K4312*C4313/I4313)+ABS(0.2-L4312*D4313/I4313)+ABS(0.2-M4312*E4313/I4313)+ABS(0.2-N4312*F4313/I4313)),0)</f>
        <v/>
      </c>
      <c r="Q4313">
        <f>P4313*0.0015</f>
        <v/>
      </c>
      <c r="R4313">
        <f>I4313*(1-Q4313)</f>
        <v/>
      </c>
      <c r="S4313">
        <f>R4313/R4312-1</f>
        <v/>
      </c>
      <c r="T4313">
        <f>MAX(T4312,R4313)</f>
        <v/>
      </c>
      <c r="U4313">
        <f>R4313/T4313-1</f>
        <v/>
      </c>
      <c r="V4313" t="n">
        <v>16.05155570274469</v>
      </c>
      <c r="W4313" s="5">
        <f>R4313-V4313</f>
        <v/>
      </c>
    </row>
    <row r="4314">
      <c r="A4314" s="3" t="n">
        <v>44792</v>
      </c>
      <c r="B4314">
        <f>Prices!B4314</f>
        <v/>
      </c>
      <c r="C4314">
        <f>Prices!C4314</f>
        <v/>
      </c>
      <c r="D4314">
        <f>Prices!D4314</f>
        <v/>
      </c>
      <c r="E4314">
        <f>Prices!E4314</f>
        <v/>
      </c>
      <c r="F4314">
        <f>Prices!F4314</f>
        <v/>
      </c>
      <c r="G4314">
        <f>IF(AND(4312&gt;=16,TEXT(A4314,"yyyy-mm")&lt;&gt;TEXT(A4315,"yyyy-mm")),1,0)</f>
        <v/>
      </c>
      <c r="H4314">
        <f>IF(OR(H4313=1,G4314=1),1,0)</f>
        <v/>
      </c>
      <c r="I4314">
        <f>IF(H4313=0,1,SUMPRODUCT(J4313:N4313,B4314:F4314)+O4313*(1+0.00023125256064071564))</f>
        <v/>
      </c>
      <c r="J4314">
        <f>IF(G4314=1,0.2*R4314/B4314,J4313)</f>
        <v/>
      </c>
      <c r="K4314">
        <f>IF(G4314=1,0.2*R4314/C4314,K4313)</f>
        <v/>
      </c>
      <c r="L4314">
        <f>IF(G4314=1,0.2*R4314/D4314,L4313)</f>
        <v/>
      </c>
      <c r="M4314">
        <f>IF(G4314=1,0.2*R4314/E4314,M4313)</f>
        <v/>
      </c>
      <c r="N4314">
        <f>IF(G4314=1,0.2*R4314/F4314,N4313)</f>
        <v/>
      </c>
      <c r="O4314">
        <f>IF(G4314=1,R4314*(1-1.0),IF(H4313=0,1,O4313*(1+0.00023125256064071564)))</f>
        <v/>
      </c>
      <c r="P4314">
        <f>IF(G4314=1,IF(H4313=0,1,ABS(0.2-J4313*B4314/I4314)+ABS(0.2-K4313*C4314/I4314)+ABS(0.2-L4313*D4314/I4314)+ABS(0.2-M4313*E4314/I4314)+ABS(0.2-N4313*F4314/I4314)),0)</f>
        <v/>
      </c>
      <c r="Q4314">
        <f>P4314*0.0015</f>
        <v/>
      </c>
      <c r="R4314">
        <f>I4314*(1-Q4314)</f>
        <v/>
      </c>
      <c r="S4314">
        <f>R4314/R4313-1</f>
        <v/>
      </c>
      <c r="T4314">
        <f>MAX(T4313,R4314)</f>
        <v/>
      </c>
      <c r="U4314">
        <f>R4314/T4314-1</f>
        <v/>
      </c>
      <c r="V4314" t="n">
        <v>15.85487742547605</v>
      </c>
      <c r="W4314" s="5">
        <f>R4314-V4314</f>
        <v/>
      </c>
    </row>
    <row r="4315">
      <c r="A4315" s="3" t="n">
        <v>44795</v>
      </c>
      <c r="B4315">
        <f>Prices!B4315</f>
        <v/>
      </c>
      <c r="C4315">
        <f>Prices!C4315</f>
        <v/>
      </c>
      <c r="D4315">
        <f>Prices!D4315</f>
        <v/>
      </c>
      <c r="E4315">
        <f>Prices!E4315</f>
        <v/>
      </c>
      <c r="F4315">
        <f>Prices!F4315</f>
        <v/>
      </c>
      <c r="G4315">
        <f>IF(AND(4313&gt;=16,TEXT(A4315,"yyyy-mm")&lt;&gt;TEXT(A4316,"yyyy-mm")),1,0)</f>
        <v/>
      </c>
      <c r="H4315">
        <f>IF(OR(H4314=1,G4315=1),1,0)</f>
        <v/>
      </c>
      <c r="I4315">
        <f>IF(H4314=0,1,SUMPRODUCT(J4314:N4314,B4315:F4315)+O4314*(1+0.00023125256064071564))</f>
        <v/>
      </c>
      <c r="J4315">
        <f>IF(G4315=1,0.2*R4315/B4315,J4314)</f>
        <v/>
      </c>
      <c r="K4315">
        <f>IF(G4315=1,0.2*R4315/C4315,K4314)</f>
        <v/>
      </c>
      <c r="L4315">
        <f>IF(G4315=1,0.2*R4315/D4315,L4314)</f>
        <v/>
      </c>
      <c r="M4315">
        <f>IF(G4315=1,0.2*R4315/E4315,M4314)</f>
        <v/>
      </c>
      <c r="N4315">
        <f>IF(G4315=1,0.2*R4315/F4315,N4314)</f>
        <v/>
      </c>
      <c r="O4315">
        <f>IF(G4315=1,R4315*(1-1.0),IF(H4314=0,1,O4314*(1+0.00023125256064071564)))</f>
        <v/>
      </c>
      <c r="P4315">
        <f>IF(G4315=1,IF(H4314=0,1,ABS(0.2-J4314*B4315/I4315)+ABS(0.2-K4314*C4315/I4315)+ABS(0.2-L4314*D4315/I4315)+ABS(0.2-M4314*E4315/I4315)+ABS(0.2-N4314*F4315/I4315)),0)</f>
        <v/>
      </c>
      <c r="Q4315">
        <f>P4315*0.0015</f>
        <v/>
      </c>
      <c r="R4315">
        <f>I4315*(1-Q4315)</f>
        <v/>
      </c>
      <c r="S4315">
        <f>R4315/R4314-1</f>
        <v/>
      </c>
      <c r="T4315">
        <f>MAX(T4314,R4315)</f>
        <v/>
      </c>
      <c r="U4315">
        <f>R4315/T4315-1</f>
        <v/>
      </c>
      <c r="V4315" t="n">
        <v>15.61926720163375</v>
      </c>
      <c r="W4315" s="5">
        <f>R4315-V4315</f>
        <v/>
      </c>
    </row>
    <row r="4316">
      <c r="A4316" s="3" t="n">
        <v>44796</v>
      </c>
      <c r="B4316">
        <f>Prices!B4316</f>
        <v/>
      </c>
      <c r="C4316">
        <f>Prices!C4316</f>
        <v/>
      </c>
      <c r="D4316">
        <f>Prices!D4316</f>
        <v/>
      </c>
      <c r="E4316">
        <f>Prices!E4316</f>
        <v/>
      </c>
      <c r="F4316">
        <f>Prices!F4316</f>
        <v/>
      </c>
      <c r="G4316">
        <f>IF(AND(4314&gt;=16,TEXT(A4316,"yyyy-mm")&lt;&gt;TEXT(A4317,"yyyy-mm")),1,0)</f>
        <v/>
      </c>
      <c r="H4316">
        <f>IF(OR(H4315=1,G4316=1),1,0)</f>
        <v/>
      </c>
      <c r="I4316">
        <f>IF(H4315=0,1,SUMPRODUCT(J4315:N4315,B4316:F4316)+O4315*(1+0.00023125256064071564))</f>
        <v/>
      </c>
      <c r="J4316">
        <f>IF(G4316=1,0.2*R4316/B4316,J4315)</f>
        <v/>
      </c>
      <c r="K4316">
        <f>IF(G4316=1,0.2*R4316/C4316,K4315)</f>
        <v/>
      </c>
      <c r="L4316">
        <f>IF(G4316=1,0.2*R4316/D4316,L4315)</f>
        <v/>
      </c>
      <c r="M4316">
        <f>IF(G4316=1,0.2*R4316/E4316,M4315)</f>
        <v/>
      </c>
      <c r="N4316">
        <f>IF(G4316=1,0.2*R4316/F4316,N4315)</f>
        <v/>
      </c>
      <c r="O4316">
        <f>IF(G4316=1,R4316*(1-1.0),IF(H4315=0,1,O4315*(1+0.00023125256064071564)))</f>
        <v/>
      </c>
      <c r="P4316">
        <f>IF(G4316=1,IF(H4315=0,1,ABS(0.2-J4315*B4316/I4316)+ABS(0.2-K4315*C4316/I4316)+ABS(0.2-L4315*D4316/I4316)+ABS(0.2-M4315*E4316/I4316)+ABS(0.2-N4315*F4316/I4316)),0)</f>
        <v/>
      </c>
      <c r="Q4316">
        <f>P4316*0.0015</f>
        <v/>
      </c>
      <c r="R4316">
        <f>I4316*(1-Q4316)</f>
        <v/>
      </c>
      <c r="S4316">
        <f>R4316/R4315-1</f>
        <v/>
      </c>
      <c r="T4316">
        <f>MAX(T4315,R4316)</f>
        <v/>
      </c>
      <c r="U4316">
        <f>R4316/T4316-1</f>
        <v/>
      </c>
      <c r="V4316" t="n">
        <v>15.73632062981613</v>
      </c>
      <c r="W4316" s="5">
        <f>R4316-V4316</f>
        <v/>
      </c>
    </row>
    <row r="4317">
      <c r="A4317" s="3" t="n">
        <v>44797</v>
      </c>
      <c r="B4317">
        <f>Prices!B4317</f>
        <v/>
      </c>
      <c r="C4317">
        <f>Prices!C4317</f>
        <v/>
      </c>
      <c r="D4317">
        <f>Prices!D4317</f>
        <v/>
      </c>
      <c r="E4317">
        <f>Prices!E4317</f>
        <v/>
      </c>
      <c r="F4317">
        <f>Prices!F4317</f>
        <v/>
      </c>
      <c r="G4317">
        <f>IF(AND(4315&gt;=16,TEXT(A4317,"yyyy-mm")&lt;&gt;TEXT(A4318,"yyyy-mm")),1,0)</f>
        <v/>
      </c>
      <c r="H4317">
        <f>IF(OR(H4316=1,G4317=1),1,0)</f>
        <v/>
      </c>
      <c r="I4317">
        <f>IF(H4316=0,1,SUMPRODUCT(J4316:N4316,B4317:F4317)+O4316*(1+0.00023125256064071564))</f>
        <v/>
      </c>
      <c r="J4317">
        <f>IF(G4317=1,0.2*R4317/B4317,J4316)</f>
        <v/>
      </c>
      <c r="K4317">
        <f>IF(G4317=1,0.2*R4317/C4317,K4316)</f>
        <v/>
      </c>
      <c r="L4317">
        <f>IF(G4317=1,0.2*R4317/D4317,L4316)</f>
        <v/>
      </c>
      <c r="M4317">
        <f>IF(G4317=1,0.2*R4317/E4317,M4316)</f>
        <v/>
      </c>
      <c r="N4317">
        <f>IF(G4317=1,0.2*R4317/F4317,N4316)</f>
        <v/>
      </c>
      <c r="O4317">
        <f>IF(G4317=1,R4317*(1-1.0),IF(H4316=0,1,O4316*(1+0.00023125256064071564)))</f>
        <v/>
      </c>
      <c r="P4317">
        <f>IF(G4317=1,IF(H4316=0,1,ABS(0.2-J4316*B4317/I4317)+ABS(0.2-K4316*C4317/I4317)+ABS(0.2-L4316*D4317/I4317)+ABS(0.2-M4316*E4317/I4317)+ABS(0.2-N4316*F4317/I4317)),0)</f>
        <v/>
      </c>
      <c r="Q4317">
        <f>P4317*0.0015</f>
        <v/>
      </c>
      <c r="R4317">
        <f>I4317*(1-Q4317)</f>
        <v/>
      </c>
      <c r="S4317">
        <f>R4317/R4316-1</f>
        <v/>
      </c>
      <c r="T4317">
        <f>MAX(T4316,R4317)</f>
        <v/>
      </c>
      <c r="U4317">
        <f>R4317/T4317-1</f>
        <v/>
      </c>
      <c r="V4317" t="n">
        <v>15.81954698542699</v>
      </c>
      <c r="W4317" s="5">
        <f>R4317-V4317</f>
        <v/>
      </c>
    </row>
    <row r="4318">
      <c r="A4318" s="3" t="n">
        <v>44798</v>
      </c>
      <c r="B4318">
        <f>Prices!B4318</f>
        <v/>
      </c>
      <c r="C4318">
        <f>Prices!C4318</f>
        <v/>
      </c>
      <c r="D4318">
        <f>Prices!D4318</f>
        <v/>
      </c>
      <c r="E4318">
        <f>Prices!E4318</f>
        <v/>
      </c>
      <c r="F4318">
        <f>Prices!F4318</f>
        <v/>
      </c>
      <c r="G4318">
        <f>IF(AND(4316&gt;=16,TEXT(A4318,"yyyy-mm")&lt;&gt;TEXT(A4319,"yyyy-mm")),1,0)</f>
        <v/>
      </c>
      <c r="H4318">
        <f>IF(OR(H4317=1,G4318=1),1,0)</f>
        <v/>
      </c>
      <c r="I4318">
        <f>IF(H4317=0,1,SUMPRODUCT(J4317:N4317,B4318:F4318)+O4317*(1+0.00023125256064071564))</f>
        <v/>
      </c>
      <c r="J4318">
        <f>IF(G4318=1,0.2*R4318/B4318,J4317)</f>
        <v/>
      </c>
      <c r="K4318">
        <f>IF(G4318=1,0.2*R4318/C4318,K4317)</f>
        <v/>
      </c>
      <c r="L4318">
        <f>IF(G4318=1,0.2*R4318/D4318,L4317)</f>
        <v/>
      </c>
      <c r="M4318">
        <f>IF(G4318=1,0.2*R4318/E4318,M4317)</f>
        <v/>
      </c>
      <c r="N4318">
        <f>IF(G4318=1,0.2*R4318/F4318,N4317)</f>
        <v/>
      </c>
      <c r="O4318">
        <f>IF(G4318=1,R4318*(1-1.0),IF(H4317=0,1,O4317*(1+0.00023125256064071564)))</f>
        <v/>
      </c>
      <c r="P4318">
        <f>IF(G4318=1,IF(H4317=0,1,ABS(0.2-J4317*B4318/I4318)+ABS(0.2-K4317*C4318/I4318)+ABS(0.2-L4317*D4318/I4318)+ABS(0.2-M4317*E4318/I4318)+ABS(0.2-N4317*F4318/I4318)),0)</f>
        <v/>
      </c>
      <c r="Q4318">
        <f>P4318*0.0015</f>
        <v/>
      </c>
      <c r="R4318">
        <f>I4318*(1-Q4318)</f>
        <v/>
      </c>
      <c r="S4318">
        <f>R4318/R4317-1</f>
        <v/>
      </c>
      <c r="T4318">
        <f>MAX(T4317,R4318)</f>
        <v/>
      </c>
      <c r="U4318">
        <f>R4318/T4318-1</f>
        <v/>
      </c>
      <c r="V4318" t="n">
        <v>15.78985665539774</v>
      </c>
      <c r="W4318" s="5">
        <f>R4318-V4318</f>
        <v/>
      </c>
    </row>
    <row r="4319">
      <c r="A4319" s="3" t="n">
        <v>44799</v>
      </c>
      <c r="B4319">
        <f>Prices!B4319</f>
        <v/>
      </c>
      <c r="C4319">
        <f>Prices!C4319</f>
        <v/>
      </c>
      <c r="D4319">
        <f>Prices!D4319</f>
        <v/>
      </c>
      <c r="E4319">
        <f>Prices!E4319</f>
        <v/>
      </c>
      <c r="F4319">
        <f>Prices!F4319</f>
        <v/>
      </c>
      <c r="G4319">
        <f>IF(AND(4317&gt;=16,TEXT(A4319,"yyyy-mm")&lt;&gt;TEXT(A4320,"yyyy-mm")),1,0)</f>
        <v/>
      </c>
      <c r="H4319">
        <f>IF(OR(H4318=1,G4319=1),1,0)</f>
        <v/>
      </c>
      <c r="I4319">
        <f>IF(H4318=0,1,SUMPRODUCT(J4318:N4318,B4319:F4319)+O4318*(1+0.00023125256064071564))</f>
        <v/>
      </c>
      <c r="J4319">
        <f>IF(G4319=1,0.2*R4319/B4319,J4318)</f>
        <v/>
      </c>
      <c r="K4319">
        <f>IF(G4319=1,0.2*R4319/C4319,K4318)</f>
        <v/>
      </c>
      <c r="L4319">
        <f>IF(G4319=1,0.2*R4319/D4319,L4318)</f>
        <v/>
      </c>
      <c r="M4319">
        <f>IF(G4319=1,0.2*R4319/E4319,M4318)</f>
        <v/>
      </c>
      <c r="N4319">
        <f>IF(G4319=1,0.2*R4319/F4319,N4318)</f>
        <v/>
      </c>
      <c r="O4319">
        <f>IF(G4319=1,R4319*(1-1.0),IF(H4318=0,1,O4318*(1+0.00023125256064071564)))</f>
        <v/>
      </c>
      <c r="P4319">
        <f>IF(G4319=1,IF(H4318=0,1,ABS(0.2-J4318*B4319/I4319)+ABS(0.2-K4318*C4319/I4319)+ABS(0.2-L4318*D4319/I4319)+ABS(0.2-M4318*E4319/I4319)+ABS(0.2-N4318*F4319/I4319)),0)</f>
        <v/>
      </c>
      <c r="Q4319">
        <f>P4319*0.0015</f>
        <v/>
      </c>
      <c r="R4319">
        <f>I4319*(1-Q4319)</f>
        <v/>
      </c>
      <c r="S4319">
        <f>R4319/R4318-1</f>
        <v/>
      </c>
      <c r="T4319">
        <f>MAX(T4318,R4319)</f>
        <v/>
      </c>
      <c r="U4319">
        <f>R4319/T4319-1</f>
        <v/>
      </c>
      <c r="V4319" t="n">
        <v>15.88326285669143</v>
      </c>
      <c r="W4319" s="5">
        <f>R4319-V4319</f>
        <v/>
      </c>
    </row>
    <row r="4320">
      <c r="A4320" s="3" t="n">
        <v>44802</v>
      </c>
      <c r="B4320">
        <f>Prices!B4320</f>
        <v/>
      </c>
      <c r="C4320">
        <f>Prices!C4320</f>
        <v/>
      </c>
      <c r="D4320">
        <f>Prices!D4320</f>
        <v/>
      </c>
      <c r="E4320">
        <f>Prices!E4320</f>
        <v/>
      </c>
      <c r="F4320">
        <f>Prices!F4320</f>
        <v/>
      </c>
      <c r="G4320">
        <f>IF(AND(4318&gt;=16,TEXT(A4320,"yyyy-mm")&lt;&gt;TEXT(A4321,"yyyy-mm")),1,0)</f>
        <v/>
      </c>
      <c r="H4320">
        <f>IF(OR(H4319=1,G4320=1),1,0)</f>
        <v/>
      </c>
      <c r="I4320">
        <f>IF(H4319=0,1,SUMPRODUCT(J4319:N4319,B4320:F4320)+O4319*(1+0.00023125256064071564))</f>
        <v/>
      </c>
      <c r="J4320">
        <f>IF(G4320=1,0.2*R4320/B4320,J4319)</f>
        <v/>
      </c>
      <c r="K4320">
        <f>IF(G4320=1,0.2*R4320/C4320,K4319)</f>
        <v/>
      </c>
      <c r="L4320">
        <f>IF(G4320=1,0.2*R4320/D4320,L4319)</f>
        <v/>
      </c>
      <c r="M4320">
        <f>IF(G4320=1,0.2*R4320/E4320,M4319)</f>
        <v/>
      </c>
      <c r="N4320">
        <f>IF(G4320=1,0.2*R4320/F4320,N4319)</f>
        <v/>
      </c>
      <c r="O4320">
        <f>IF(G4320=1,R4320*(1-1.0),IF(H4319=0,1,O4319*(1+0.00023125256064071564)))</f>
        <v/>
      </c>
      <c r="P4320">
        <f>IF(G4320=1,IF(H4319=0,1,ABS(0.2-J4319*B4320/I4320)+ABS(0.2-K4319*C4320/I4320)+ABS(0.2-L4319*D4320/I4320)+ABS(0.2-M4319*E4320/I4320)+ABS(0.2-N4319*F4320/I4320)),0)</f>
        <v/>
      </c>
      <c r="Q4320">
        <f>P4320*0.0015</f>
        <v/>
      </c>
      <c r="R4320">
        <f>I4320*(1-Q4320)</f>
        <v/>
      </c>
      <c r="S4320">
        <f>R4320/R4319-1</f>
        <v/>
      </c>
      <c r="T4320">
        <f>MAX(T4319,R4320)</f>
        <v/>
      </c>
      <c r="U4320">
        <f>R4320/T4320-1</f>
        <v/>
      </c>
      <c r="V4320" t="n">
        <v>15.73444668333605</v>
      </c>
      <c r="W4320" s="5">
        <f>R4320-V4320</f>
        <v/>
      </c>
    </row>
    <row r="4321">
      <c r="A4321" s="3" t="n">
        <v>44803</v>
      </c>
      <c r="B4321">
        <f>Prices!B4321</f>
        <v/>
      </c>
      <c r="C4321">
        <f>Prices!C4321</f>
        <v/>
      </c>
      <c r="D4321">
        <f>Prices!D4321</f>
        <v/>
      </c>
      <c r="E4321">
        <f>Prices!E4321</f>
        <v/>
      </c>
      <c r="F4321">
        <f>Prices!F4321</f>
        <v/>
      </c>
      <c r="G4321">
        <f>IF(AND(4319&gt;=16,TEXT(A4321,"yyyy-mm")&lt;&gt;TEXT(A4322,"yyyy-mm")),1,0)</f>
        <v/>
      </c>
      <c r="H4321">
        <f>IF(OR(H4320=1,G4321=1),1,0)</f>
        <v/>
      </c>
      <c r="I4321">
        <f>IF(H4320=0,1,SUMPRODUCT(J4320:N4320,B4321:F4321)+O4320*(1+0.00023125256064071564))</f>
        <v/>
      </c>
      <c r="J4321">
        <f>IF(G4321=1,0.2*R4321/B4321,J4320)</f>
        <v/>
      </c>
      <c r="K4321">
        <f>IF(G4321=1,0.2*R4321/C4321,K4320)</f>
        <v/>
      </c>
      <c r="L4321">
        <f>IF(G4321=1,0.2*R4321/D4321,L4320)</f>
        <v/>
      </c>
      <c r="M4321">
        <f>IF(G4321=1,0.2*R4321/E4321,M4320)</f>
        <v/>
      </c>
      <c r="N4321">
        <f>IF(G4321=1,0.2*R4321/F4321,N4320)</f>
        <v/>
      </c>
      <c r="O4321">
        <f>IF(G4321=1,R4321*(1-1.0),IF(H4320=0,1,O4320*(1+0.00023125256064071564)))</f>
        <v/>
      </c>
      <c r="P4321">
        <f>IF(G4321=1,IF(H4320=0,1,ABS(0.2-J4320*B4321/I4321)+ABS(0.2-K4320*C4321/I4321)+ABS(0.2-L4320*D4321/I4321)+ABS(0.2-M4320*E4321/I4321)+ABS(0.2-N4320*F4321/I4321)),0)</f>
        <v/>
      </c>
      <c r="Q4321">
        <f>P4321*0.0015</f>
        <v/>
      </c>
      <c r="R4321">
        <f>I4321*(1-Q4321)</f>
        <v/>
      </c>
      <c r="S4321">
        <f>R4321/R4320-1</f>
        <v/>
      </c>
      <c r="T4321">
        <f>MAX(T4320,R4321)</f>
        <v/>
      </c>
      <c r="U4321">
        <f>R4321/T4321-1</f>
        <v/>
      </c>
      <c r="V4321" t="n">
        <v>16.0662998901344</v>
      </c>
      <c r="W4321" s="5">
        <f>R4321-V4321</f>
        <v/>
      </c>
    </row>
    <row r="4322">
      <c r="A4322" s="3" t="n">
        <v>44805</v>
      </c>
      <c r="B4322">
        <f>Prices!B4322</f>
        <v/>
      </c>
      <c r="C4322">
        <f>Prices!C4322</f>
        <v/>
      </c>
      <c r="D4322">
        <f>Prices!D4322</f>
        <v/>
      </c>
      <c r="E4322">
        <f>Prices!E4322</f>
        <v/>
      </c>
      <c r="F4322">
        <f>Prices!F4322</f>
        <v/>
      </c>
      <c r="G4322">
        <f>IF(AND(4320&gt;=16,TEXT(A4322,"yyyy-mm")&lt;&gt;TEXT(A4323,"yyyy-mm")),1,0)</f>
        <v/>
      </c>
      <c r="H4322">
        <f>IF(OR(H4321=1,G4322=1),1,0)</f>
        <v/>
      </c>
      <c r="I4322">
        <f>IF(H4321=0,1,SUMPRODUCT(J4321:N4321,B4322:F4322)+O4321*(1+0.00023125256064071564))</f>
        <v/>
      </c>
      <c r="J4322">
        <f>IF(G4322=1,0.2*R4322/B4322,J4321)</f>
        <v/>
      </c>
      <c r="K4322">
        <f>IF(G4322=1,0.2*R4322/C4322,K4321)</f>
        <v/>
      </c>
      <c r="L4322">
        <f>IF(G4322=1,0.2*R4322/D4322,L4321)</f>
        <v/>
      </c>
      <c r="M4322">
        <f>IF(G4322=1,0.2*R4322/E4322,M4321)</f>
        <v/>
      </c>
      <c r="N4322">
        <f>IF(G4322=1,0.2*R4322/F4322,N4321)</f>
        <v/>
      </c>
      <c r="O4322">
        <f>IF(G4322=1,R4322*(1-1.0),IF(H4321=0,1,O4321*(1+0.00023125256064071564)))</f>
        <v/>
      </c>
      <c r="P4322">
        <f>IF(G4322=1,IF(H4321=0,1,ABS(0.2-J4321*B4322/I4322)+ABS(0.2-K4321*C4322/I4322)+ABS(0.2-L4321*D4322/I4322)+ABS(0.2-M4321*E4322/I4322)+ABS(0.2-N4321*F4322/I4322)),0)</f>
        <v/>
      </c>
      <c r="Q4322">
        <f>P4322*0.0015</f>
        <v/>
      </c>
      <c r="R4322">
        <f>I4322*(1-Q4322)</f>
        <v/>
      </c>
      <c r="S4322">
        <f>R4322/R4321-1</f>
        <v/>
      </c>
      <c r="T4322">
        <f>MAX(T4321,R4322)</f>
        <v/>
      </c>
      <c r="U4322">
        <f>R4322/T4322-1</f>
        <v/>
      </c>
      <c r="V4322" t="n">
        <v>16.07016850325967</v>
      </c>
      <c r="W4322" s="5">
        <f>R4322-V4322</f>
        <v/>
      </c>
    </row>
    <row r="4323">
      <c r="A4323" s="3" t="n">
        <v>44806</v>
      </c>
      <c r="B4323">
        <f>Prices!B4323</f>
        <v/>
      </c>
      <c r="C4323">
        <f>Prices!C4323</f>
        <v/>
      </c>
      <c r="D4323">
        <f>Prices!D4323</f>
        <v/>
      </c>
      <c r="E4323">
        <f>Prices!E4323</f>
        <v/>
      </c>
      <c r="F4323">
        <f>Prices!F4323</f>
        <v/>
      </c>
      <c r="G4323">
        <f>IF(AND(4321&gt;=16,TEXT(A4323,"yyyy-mm")&lt;&gt;TEXT(A4324,"yyyy-mm")),1,0)</f>
        <v/>
      </c>
      <c r="H4323">
        <f>IF(OR(H4322=1,G4323=1),1,0)</f>
        <v/>
      </c>
      <c r="I4323">
        <f>IF(H4322=0,1,SUMPRODUCT(J4322:N4322,B4323:F4323)+O4322*(1+0.00023125256064071564))</f>
        <v/>
      </c>
      <c r="J4323">
        <f>IF(G4323=1,0.2*R4323/B4323,J4322)</f>
        <v/>
      </c>
      <c r="K4323">
        <f>IF(G4323=1,0.2*R4323/C4323,K4322)</f>
        <v/>
      </c>
      <c r="L4323">
        <f>IF(G4323=1,0.2*R4323/D4323,L4322)</f>
        <v/>
      </c>
      <c r="M4323">
        <f>IF(G4323=1,0.2*R4323/E4323,M4322)</f>
        <v/>
      </c>
      <c r="N4323">
        <f>IF(G4323=1,0.2*R4323/F4323,N4322)</f>
        <v/>
      </c>
      <c r="O4323">
        <f>IF(G4323=1,R4323*(1-1.0),IF(H4322=0,1,O4322*(1+0.00023125256064071564)))</f>
        <v/>
      </c>
      <c r="P4323">
        <f>IF(G4323=1,IF(H4322=0,1,ABS(0.2-J4322*B4323/I4323)+ABS(0.2-K4322*C4323/I4323)+ABS(0.2-L4322*D4323/I4323)+ABS(0.2-M4322*E4323/I4323)+ABS(0.2-N4322*F4323/I4323)),0)</f>
        <v/>
      </c>
      <c r="Q4323">
        <f>P4323*0.0015</f>
        <v/>
      </c>
      <c r="R4323">
        <f>I4323*(1-Q4323)</f>
        <v/>
      </c>
      <c r="S4323">
        <f>R4323/R4322-1</f>
        <v/>
      </c>
      <c r="T4323">
        <f>MAX(T4322,R4323)</f>
        <v/>
      </c>
      <c r="U4323">
        <f>R4323/T4323-1</f>
        <v/>
      </c>
      <c r="V4323" t="n">
        <v>16.06261323332976</v>
      </c>
      <c r="W4323" s="5">
        <f>R4323-V4323</f>
        <v/>
      </c>
    </row>
    <row r="4324">
      <c r="A4324" s="3" t="n">
        <v>44809</v>
      </c>
      <c r="B4324">
        <f>Prices!B4324</f>
        <v/>
      </c>
      <c r="C4324">
        <f>Prices!C4324</f>
        <v/>
      </c>
      <c r="D4324">
        <f>Prices!D4324</f>
        <v/>
      </c>
      <c r="E4324">
        <f>Prices!E4324</f>
        <v/>
      </c>
      <c r="F4324">
        <f>Prices!F4324</f>
        <v/>
      </c>
      <c r="G4324">
        <f>IF(AND(4322&gt;=16,TEXT(A4324,"yyyy-mm")&lt;&gt;TEXT(A4325,"yyyy-mm")),1,0)</f>
        <v/>
      </c>
      <c r="H4324">
        <f>IF(OR(H4323=1,G4324=1),1,0)</f>
        <v/>
      </c>
      <c r="I4324">
        <f>IF(H4323=0,1,SUMPRODUCT(J4323:N4323,B4324:F4324)+O4323*(1+0.00023125256064071564))</f>
        <v/>
      </c>
      <c r="J4324">
        <f>IF(G4324=1,0.2*R4324/B4324,J4323)</f>
        <v/>
      </c>
      <c r="K4324">
        <f>IF(G4324=1,0.2*R4324/C4324,K4323)</f>
        <v/>
      </c>
      <c r="L4324">
        <f>IF(G4324=1,0.2*R4324/D4324,L4323)</f>
        <v/>
      </c>
      <c r="M4324">
        <f>IF(G4324=1,0.2*R4324/E4324,M4323)</f>
        <v/>
      </c>
      <c r="N4324">
        <f>IF(G4324=1,0.2*R4324/F4324,N4323)</f>
        <v/>
      </c>
      <c r="O4324">
        <f>IF(G4324=1,R4324*(1-1.0),IF(H4323=0,1,O4323*(1+0.00023125256064071564)))</f>
        <v/>
      </c>
      <c r="P4324">
        <f>IF(G4324=1,IF(H4323=0,1,ABS(0.2-J4323*B4324/I4324)+ABS(0.2-K4323*C4324/I4324)+ABS(0.2-L4323*D4324/I4324)+ABS(0.2-M4323*E4324/I4324)+ABS(0.2-N4323*F4324/I4324)),0)</f>
        <v/>
      </c>
      <c r="Q4324">
        <f>P4324*0.0015</f>
        <v/>
      </c>
      <c r="R4324">
        <f>I4324*(1-Q4324)</f>
        <v/>
      </c>
      <c r="S4324">
        <f>R4324/R4323-1</f>
        <v/>
      </c>
      <c r="T4324">
        <f>MAX(T4323,R4324)</f>
        <v/>
      </c>
      <c r="U4324">
        <f>R4324/T4324-1</f>
        <v/>
      </c>
      <c r="V4324" t="n">
        <v>16.15800913770593</v>
      </c>
      <c r="W4324" s="5">
        <f>R4324-V4324</f>
        <v/>
      </c>
    </row>
    <row r="4325">
      <c r="A4325" s="3" t="n">
        <v>44810</v>
      </c>
      <c r="B4325">
        <f>Prices!B4325</f>
        <v/>
      </c>
      <c r="C4325">
        <f>Prices!C4325</f>
        <v/>
      </c>
      <c r="D4325">
        <f>Prices!D4325</f>
        <v/>
      </c>
      <c r="E4325">
        <f>Prices!E4325</f>
        <v/>
      </c>
      <c r="F4325">
        <f>Prices!F4325</f>
        <v/>
      </c>
      <c r="G4325">
        <f>IF(AND(4323&gt;=16,TEXT(A4325,"yyyy-mm")&lt;&gt;TEXT(A4326,"yyyy-mm")),1,0)</f>
        <v/>
      </c>
      <c r="H4325">
        <f>IF(OR(H4324=1,G4325=1),1,0)</f>
        <v/>
      </c>
      <c r="I4325">
        <f>IF(H4324=0,1,SUMPRODUCT(J4324:N4324,B4325:F4325)+O4324*(1+0.00023125256064071564))</f>
        <v/>
      </c>
      <c r="J4325">
        <f>IF(G4325=1,0.2*R4325/B4325,J4324)</f>
        <v/>
      </c>
      <c r="K4325">
        <f>IF(G4325=1,0.2*R4325/C4325,K4324)</f>
        <v/>
      </c>
      <c r="L4325">
        <f>IF(G4325=1,0.2*R4325/D4325,L4324)</f>
        <v/>
      </c>
      <c r="M4325">
        <f>IF(G4325=1,0.2*R4325/E4325,M4324)</f>
        <v/>
      </c>
      <c r="N4325">
        <f>IF(G4325=1,0.2*R4325/F4325,N4324)</f>
        <v/>
      </c>
      <c r="O4325">
        <f>IF(G4325=1,R4325*(1-1.0),IF(H4324=0,1,O4324*(1+0.00023125256064071564)))</f>
        <v/>
      </c>
      <c r="P4325">
        <f>IF(G4325=1,IF(H4324=0,1,ABS(0.2-J4324*B4325/I4325)+ABS(0.2-K4324*C4325/I4325)+ABS(0.2-L4324*D4325/I4325)+ABS(0.2-M4324*E4325/I4325)+ABS(0.2-N4324*F4325/I4325)),0)</f>
        <v/>
      </c>
      <c r="Q4325">
        <f>P4325*0.0015</f>
        <v/>
      </c>
      <c r="R4325">
        <f>I4325*(1-Q4325)</f>
        <v/>
      </c>
      <c r="S4325">
        <f>R4325/R4324-1</f>
        <v/>
      </c>
      <c r="T4325">
        <f>MAX(T4324,R4325)</f>
        <v/>
      </c>
      <c r="U4325">
        <f>R4325/T4325-1</f>
        <v/>
      </c>
      <c r="V4325" t="n">
        <v>16.20215491645921</v>
      </c>
      <c r="W4325" s="5">
        <f>R4325-V4325</f>
        <v/>
      </c>
    </row>
    <row r="4326">
      <c r="A4326" s="3" t="n">
        <v>44811</v>
      </c>
      <c r="B4326">
        <f>Prices!B4326</f>
        <v/>
      </c>
      <c r="C4326">
        <f>Prices!C4326</f>
        <v/>
      </c>
      <c r="D4326">
        <f>Prices!D4326</f>
        <v/>
      </c>
      <c r="E4326">
        <f>Prices!E4326</f>
        <v/>
      </c>
      <c r="F4326">
        <f>Prices!F4326</f>
        <v/>
      </c>
      <c r="G4326">
        <f>IF(AND(4324&gt;=16,TEXT(A4326,"yyyy-mm")&lt;&gt;TEXT(A4327,"yyyy-mm")),1,0)</f>
        <v/>
      </c>
      <c r="H4326">
        <f>IF(OR(H4325=1,G4326=1),1,0)</f>
        <v/>
      </c>
      <c r="I4326">
        <f>IF(H4325=0,1,SUMPRODUCT(J4325:N4325,B4326:F4326)+O4325*(1+0.00023125256064071564))</f>
        <v/>
      </c>
      <c r="J4326">
        <f>IF(G4326=1,0.2*R4326/B4326,J4325)</f>
        <v/>
      </c>
      <c r="K4326">
        <f>IF(G4326=1,0.2*R4326/C4326,K4325)</f>
        <v/>
      </c>
      <c r="L4326">
        <f>IF(G4326=1,0.2*R4326/D4326,L4325)</f>
        <v/>
      </c>
      <c r="M4326">
        <f>IF(G4326=1,0.2*R4326/E4326,M4325)</f>
        <v/>
      </c>
      <c r="N4326">
        <f>IF(G4326=1,0.2*R4326/F4326,N4325)</f>
        <v/>
      </c>
      <c r="O4326">
        <f>IF(G4326=1,R4326*(1-1.0),IF(H4325=0,1,O4325*(1+0.00023125256064071564)))</f>
        <v/>
      </c>
      <c r="P4326">
        <f>IF(G4326=1,IF(H4325=0,1,ABS(0.2-J4325*B4326/I4326)+ABS(0.2-K4325*C4326/I4326)+ABS(0.2-L4325*D4326/I4326)+ABS(0.2-M4325*E4326/I4326)+ABS(0.2-N4325*F4326/I4326)),0)</f>
        <v/>
      </c>
      <c r="Q4326">
        <f>P4326*0.0015</f>
        <v/>
      </c>
      <c r="R4326">
        <f>I4326*(1-Q4326)</f>
        <v/>
      </c>
      <c r="S4326">
        <f>R4326/R4325-1</f>
        <v/>
      </c>
      <c r="T4326">
        <f>MAX(T4325,R4326)</f>
        <v/>
      </c>
      <c r="U4326">
        <f>R4326/T4326-1</f>
        <v/>
      </c>
      <c r="V4326" t="n">
        <v>16.2639674379738</v>
      </c>
      <c r="W4326" s="5">
        <f>R4326-V4326</f>
        <v/>
      </c>
    </row>
    <row r="4327">
      <c r="A4327" s="3" t="n">
        <v>44812</v>
      </c>
      <c r="B4327">
        <f>Prices!B4327</f>
        <v/>
      </c>
      <c r="C4327">
        <f>Prices!C4327</f>
        <v/>
      </c>
      <c r="D4327">
        <f>Prices!D4327</f>
        <v/>
      </c>
      <c r="E4327">
        <f>Prices!E4327</f>
        <v/>
      </c>
      <c r="F4327">
        <f>Prices!F4327</f>
        <v/>
      </c>
      <c r="G4327">
        <f>IF(AND(4325&gt;=16,TEXT(A4327,"yyyy-mm")&lt;&gt;TEXT(A4328,"yyyy-mm")),1,0)</f>
        <v/>
      </c>
      <c r="H4327">
        <f>IF(OR(H4326=1,G4327=1),1,0)</f>
        <v/>
      </c>
      <c r="I4327">
        <f>IF(H4326=0,1,SUMPRODUCT(J4326:N4326,B4327:F4327)+O4326*(1+0.00023125256064071564))</f>
        <v/>
      </c>
      <c r="J4327">
        <f>IF(G4327=1,0.2*R4327/B4327,J4326)</f>
        <v/>
      </c>
      <c r="K4327">
        <f>IF(G4327=1,0.2*R4327/C4327,K4326)</f>
        <v/>
      </c>
      <c r="L4327">
        <f>IF(G4327=1,0.2*R4327/D4327,L4326)</f>
        <v/>
      </c>
      <c r="M4327">
        <f>IF(G4327=1,0.2*R4327/E4327,M4326)</f>
        <v/>
      </c>
      <c r="N4327">
        <f>IF(G4327=1,0.2*R4327/F4327,N4326)</f>
        <v/>
      </c>
      <c r="O4327">
        <f>IF(G4327=1,R4327*(1-1.0),IF(H4326=0,1,O4326*(1+0.00023125256064071564)))</f>
        <v/>
      </c>
      <c r="P4327">
        <f>IF(G4327=1,IF(H4326=0,1,ABS(0.2-J4326*B4327/I4327)+ABS(0.2-K4326*C4327/I4327)+ABS(0.2-L4326*D4327/I4327)+ABS(0.2-M4326*E4327/I4327)+ABS(0.2-N4326*F4327/I4327)),0)</f>
        <v/>
      </c>
      <c r="Q4327">
        <f>P4327*0.0015</f>
        <v/>
      </c>
      <c r="R4327">
        <f>I4327*(1-Q4327)</f>
        <v/>
      </c>
      <c r="S4327">
        <f>R4327/R4326-1</f>
        <v/>
      </c>
      <c r="T4327">
        <f>MAX(T4326,R4327)</f>
        <v/>
      </c>
      <c r="U4327">
        <f>R4327/T4327-1</f>
        <v/>
      </c>
      <c r="V4327" t="n">
        <v>16.32710699837526</v>
      </c>
      <c r="W4327" s="5">
        <f>R4327-V4327</f>
        <v/>
      </c>
    </row>
    <row r="4328">
      <c r="A4328" s="3" t="n">
        <v>44813</v>
      </c>
      <c r="B4328">
        <f>Prices!B4328</f>
        <v/>
      </c>
      <c r="C4328">
        <f>Prices!C4328</f>
        <v/>
      </c>
      <c r="D4328">
        <f>Prices!D4328</f>
        <v/>
      </c>
      <c r="E4328">
        <f>Prices!E4328</f>
        <v/>
      </c>
      <c r="F4328">
        <f>Prices!F4328</f>
        <v/>
      </c>
      <c r="G4328">
        <f>IF(AND(4326&gt;=16,TEXT(A4328,"yyyy-mm")&lt;&gt;TEXT(A4329,"yyyy-mm")),1,0)</f>
        <v/>
      </c>
      <c r="H4328">
        <f>IF(OR(H4327=1,G4328=1),1,0)</f>
        <v/>
      </c>
      <c r="I4328">
        <f>IF(H4327=0,1,SUMPRODUCT(J4327:N4327,B4328:F4328)+O4327*(1+0.00023125256064071564))</f>
        <v/>
      </c>
      <c r="J4328">
        <f>IF(G4328=1,0.2*R4328/B4328,J4327)</f>
        <v/>
      </c>
      <c r="K4328">
        <f>IF(G4328=1,0.2*R4328/C4328,K4327)</f>
        <v/>
      </c>
      <c r="L4328">
        <f>IF(G4328=1,0.2*R4328/D4328,L4327)</f>
        <v/>
      </c>
      <c r="M4328">
        <f>IF(G4328=1,0.2*R4328/E4328,M4327)</f>
        <v/>
      </c>
      <c r="N4328">
        <f>IF(G4328=1,0.2*R4328/F4328,N4327)</f>
        <v/>
      </c>
      <c r="O4328">
        <f>IF(G4328=1,R4328*(1-1.0),IF(H4327=0,1,O4327*(1+0.00023125256064071564)))</f>
        <v/>
      </c>
      <c r="P4328">
        <f>IF(G4328=1,IF(H4327=0,1,ABS(0.2-J4327*B4328/I4328)+ABS(0.2-K4327*C4328/I4328)+ABS(0.2-L4327*D4328/I4328)+ABS(0.2-M4327*E4328/I4328)+ABS(0.2-N4327*F4328/I4328)),0)</f>
        <v/>
      </c>
      <c r="Q4328">
        <f>P4328*0.0015</f>
        <v/>
      </c>
      <c r="R4328">
        <f>I4328*(1-Q4328)</f>
        <v/>
      </c>
      <c r="S4328">
        <f>R4328/R4327-1</f>
        <v/>
      </c>
      <c r="T4328">
        <f>MAX(T4327,R4328)</f>
        <v/>
      </c>
      <c r="U4328">
        <f>R4328/T4328-1</f>
        <v/>
      </c>
      <c r="V4328" t="n">
        <v>16.32076763299153</v>
      </c>
      <c r="W4328" s="5">
        <f>R4328-V4328</f>
        <v/>
      </c>
    </row>
    <row r="4329">
      <c r="A4329" s="3" t="n">
        <v>44816</v>
      </c>
      <c r="B4329">
        <f>Prices!B4329</f>
        <v/>
      </c>
      <c r="C4329">
        <f>Prices!C4329</f>
        <v/>
      </c>
      <c r="D4329">
        <f>Prices!D4329</f>
        <v/>
      </c>
      <c r="E4329">
        <f>Prices!E4329</f>
        <v/>
      </c>
      <c r="F4329">
        <f>Prices!F4329</f>
        <v/>
      </c>
      <c r="G4329">
        <f>IF(AND(4327&gt;=16,TEXT(A4329,"yyyy-mm")&lt;&gt;TEXT(A4330,"yyyy-mm")),1,0)</f>
        <v/>
      </c>
      <c r="H4329">
        <f>IF(OR(H4328=1,G4329=1),1,0)</f>
        <v/>
      </c>
      <c r="I4329">
        <f>IF(H4328=0,1,SUMPRODUCT(J4328:N4328,B4329:F4329)+O4328*(1+0.00023125256064071564))</f>
        <v/>
      </c>
      <c r="J4329">
        <f>IF(G4329=1,0.2*R4329/B4329,J4328)</f>
        <v/>
      </c>
      <c r="K4329">
        <f>IF(G4329=1,0.2*R4329/C4329,K4328)</f>
        <v/>
      </c>
      <c r="L4329">
        <f>IF(G4329=1,0.2*R4329/D4329,L4328)</f>
        <v/>
      </c>
      <c r="M4329">
        <f>IF(G4329=1,0.2*R4329/E4329,M4328)</f>
        <v/>
      </c>
      <c r="N4329">
        <f>IF(G4329=1,0.2*R4329/F4329,N4328)</f>
        <v/>
      </c>
      <c r="O4329">
        <f>IF(G4329=1,R4329*(1-1.0),IF(H4328=0,1,O4328*(1+0.00023125256064071564)))</f>
        <v/>
      </c>
      <c r="P4329">
        <f>IF(G4329=1,IF(H4328=0,1,ABS(0.2-J4328*B4329/I4329)+ABS(0.2-K4328*C4329/I4329)+ABS(0.2-L4328*D4329/I4329)+ABS(0.2-M4328*E4329/I4329)+ABS(0.2-N4328*F4329/I4329)),0)</f>
        <v/>
      </c>
      <c r="Q4329">
        <f>P4329*0.0015</f>
        <v/>
      </c>
      <c r="R4329">
        <f>I4329*(1-Q4329)</f>
        <v/>
      </c>
      <c r="S4329">
        <f>R4329/R4328-1</f>
        <v/>
      </c>
      <c r="T4329">
        <f>MAX(T4328,R4329)</f>
        <v/>
      </c>
      <c r="U4329">
        <f>R4329/T4329-1</f>
        <v/>
      </c>
      <c r="V4329" t="n">
        <v>16.45261046487639</v>
      </c>
      <c r="W4329" s="5">
        <f>R4329-V4329</f>
        <v/>
      </c>
    </row>
    <row r="4330">
      <c r="A4330" s="3" t="n">
        <v>44817</v>
      </c>
      <c r="B4330">
        <f>Prices!B4330</f>
        <v/>
      </c>
      <c r="C4330">
        <f>Prices!C4330</f>
        <v/>
      </c>
      <c r="D4330">
        <f>Prices!D4330</f>
        <v/>
      </c>
      <c r="E4330">
        <f>Prices!E4330</f>
        <v/>
      </c>
      <c r="F4330">
        <f>Prices!F4330</f>
        <v/>
      </c>
      <c r="G4330">
        <f>IF(AND(4328&gt;=16,TEXT(A4330,"yyyy-mm")&lt;&gt;TEXT(A4331,"yyyy-mm")),1,0)</f>
        <v/>
      </c>
      <c r="H4330">
        <f>IF(OR(H4329=1,G4330=1),1,0)</f>
        <v/>
      </c>
      <c r="I4330">
        <f>IF(H4329=0,1,SUMPRODUCT(J4329:N4329,B4330:F4330)+O4329*(1+0.00023125256064071564))</f>
        <v/>
      </c>
      <c r="J4330">
        <f>IF(G4330=1,0.2*R4330/B4330,J4329)</f>
        <v/>
      </c>
      <c r="K4330">
        <f>IF(G4330=1,0.2*R4330/C4330,K4329)</f>
        <v/>
      </c>
      <c r="L4330">
        <f>IF(G4330=1,0.2*R4330/D4330,L4329)</f>
        <v/>
      </c>
      <c r="M4330">
        <f>IF(G4330=1,0.2*R4330/E4330,M4329)</f>
        <v/>
      </c>
      <c r="N4330">
        <f>IF(G4330=1,0.2*R4330/F4330,N4329)</f>
        <v/>
      </c>
      <c r="O4330">
        <f>IF(G4330=1,R4330*(1-1.0),IF(H4329=0,1,O4329*(1+0.00023125256064071564)))</f>
        <v/>
      </c>
      <c r="P4330">
        <f>IF(G4330=1,IF(H4329=0,1,ABS(0.2-J4329*B4330/I4330)+ABS(0.2-K4329*C4330/I4330)+ABS(0.2-L4329*D4330/I4330)+ABS(0.2-M4329*E4330/I4330)+ABS(0.2-N4329*F4330/I4330)),0)</f>
        <v/>
      </c>
      <c r="Q4330">
        <f>P4330*0.0015</f>
        <v/>
      </c>
      <c r="R4330">
        <f>I4330*(1-Q4330)</f>
        <v/>
      </c>
      <c r="S4330">
        <f>R4330/R4329-1</f>
        <v/>
      </c>
      <c r="T4330">
        <f>MAX(T4329,R4330)</f>
        <v/>
      </c>
      <c r="U4330">
        <f>R4330/T4330-1</f>
        <v/>
      </c>
      <c r="V4330" t="n">
        <v>16.49706681622266</v>
      </c>
      <c r="W4330" s="5">
        <f>R4330-V4330</f>
        <v/>
      </c>
    </row>
    <row r="4331">
      <c r="A4331" s="3" t="n">
        <v>44818</v>
      </c>
      <c r="B4331">
        <f>Prices!B4331</f>
        <v/>
      </c>
      <c r="C4331">
        <f>Prices!C4331</f>
        <v/>
      </c>
      <c r="D4331">
        <f>Prices!D4331</f>
        <v/>
      </c>
      <c r="E4331">
        <f>Prices!E4331</f>
        <v/>
      </c>
      <c r="F4331">
        <f>Prices!F4331</f>
        <v/>
      </c>
      <c r="G4331">
        <f>IF(AND(4329&gt;=16,TEXT(A4331,"yyyy-mm")&lt;&gt;TEXT(A4332,"yyyy-mm")),1,0)</f>
        <v/>
      </c>
      <c r="H4331">
        <f>IF(OR(H4330=1,G4331=1),1,0)</f>
        <v/>
      </c>
      <c r="I4331">
        <f>IF(H4330=0,1,SUMPRODUCT(J4330:N4330,B4331:F4331)+O4330*(1+0.00023125256064071564))</f>
        <v/>
      </c>
      <c r="J4331">
        <f>IF(G4331=1,0.2*R4331/B4331,J4330)</f>
        <v/>
      </c>
      <c r="K4331">
        <f>IF(G4331=1,0.2*R4331/C4331,K4330)</f>
        <v/>
      </c>
      <c r="L4331">
        <f>IF(G4331=1,0.2*R4331/D4331,L4330)</f>
        <v/>
      </c>
      <c r="M4331">
        <f>IF(G4331=1,0.2*R4331/E4331,M4330)</f>
        <v/>
      </c>
      <c r="N4331">
        <f>IF(G4331=1,0.2*R4331/F4331,N4330)</f>
        <v/>
      </c>
      <c r="O4331">
        <f>IF(G4331=1,R4331*(1-1.0),IF(H4330=0,1,O4330*(1+0.00023125256064071564)))</f>
        <v/>
      </c>
      <c r="P4331">
        <f>IF(G4331=1,IF(H4330=0,1,ABS(0.2-J4330*B4331/I4331)+ABS(0.2-K4330*C4331/I4331)+ABS(0.2-L4330*D4331/I4331)+ABS(0.2-M4330*E4331/I4331)+ABS(0.2-N4330*F4331/I4331)),0)</f>
        <v/>
      </c>
      <c r="Q4331">
        <f>P4331*0.0015</f>
        <v/>
      </c>
      <c r="R4331">
        <f>I4331*(1-Q4331)</f>
        <v/>
      </c>
      <c r="S4331">
        <f>R4331/R4330-1</f>
        <v/>
      </c>
      <c r="T4331">
        <f>MAX(T4330,R4331)</f>
        <v/>
      </c>
      <c r="U4331">
        <f>R4331/T4331-1</f>
        <v/>
      </c>
      <c r="V4331" t="n">
        <v>16.49155521824628</v>
      </c>
      <c r="W4331" s="5">
        <f>R4331-V4331</f>
        <v/>
      </c>
    </row>
    <row r="4332">
      <c r="A4332" s="3" t="n">
        <v>44819</v>
      </c>
      <c r="B4332">
        <f>Prices!B4332</f>
        <v/>
      </c>
      <c r="C4332">
        <f>Prices!C4332</f>
        <v/>
      </c>
      <c r="D4332">
        <f>Prices!D4332</f>
        <v/>
      </c>
      <c r="E4332">
        <f>Prices!E4332</f>
        <v/>
      </c>
      <c r="F4332">
        <f>Prices!F4332</f>
        <v/>
      </c>
      <c r="G4332">
        <f>IF(AND(4330&gt;=16,TEXT(A4332,"yyyy-mm")&lt;&gt;TEXT(A4333,"yyyy-mm")),1,0)</f>
        <v/>
      </c>
      <c r="H4332">
        <f>IF(OR(H4331=1,G4332=1),1,0)</f>
        <v/>
      </c>
      <c r="I4332">
        <f>IF(H4331=0,1,SUMPRODUCT(J4331:N4331,B4332:F4332)+O4331*(1+0.00023125256064071564))</f>
        <v/>
      </c>
      <c r="J4332">
        <f>IF(G4332=1,0.2*R4332/B4332,J4331)</f>
        <v/>
      </c>
      <c r="K4332">
        <f>IF(G4332=1,0.2*R4332/C4332,K4331)</f>
        <v/>
      </c>
      <c r="L4332">
        <f>IF(G4332=1,0.2*R4332/D4332,L4331)</f>
        <v/>
      </c>
      <c r="M4332">
        <f>IF(G4332=1,0.2*R4332/E4332,M4331)</f>
        <v/>
      </c>
      <c r="N4332">
        <f>IF(G4332=1,0.2*R4332/F4332,N4331)</f>
        <v/>
      </c>
      <c r="O4332">
        <f>IF(G4332=1,R4332*(1-1.0),IF(H4331=0,1,O4331*(1+0.00023125256064071564)))</f>
        <v/>
      </c>
      <c r="P4332">
        <f>IF(G4332=1,IF(H4331=0,1,ABS(0.2-J4331*B4332/I4332)+ABS(0.2-K4331*C4332/I4332)+ABS(0.2-L4331*D4332/I4332)+ABS(0.2-M4331*E4332/I4332)+ABS(0.2-N4331*F4332/I4332)),0)</f>
        <v/>
      </c>
      <c r="Q4332">
        <f>P4332*0.0015</f>
        <v/>
      </c>
      <c r="R4332">
        <f>I4332*(1-Q4332)</f>
        <v/>
      </c>
      <c r="S4332">
        <f>R4332/R4331-1</f>
        <v/>
      </c>
      <c r="T4332">
        <f>MAX(T4331,R4332)</f>
        <v/>
      </c>
      <c r="U4332">
        <f>R4332/T4332-1</f>
        <v/>
      </c>
      <c r="V4332" t="n">
        <v>16.51486069875673</v>
      </c>
      <c r="W4332" s="5">
        <f>R4332-V4332</f>
        <v/>
      </c>
    </row>
    <row r="4333">
      <c r="A4333" s="3" t="n">
        <v>44820</v>
      </c>
      <c r="B4333">
        <f>Prices!B4333</f>
        <v/>
      </c>
      <c r="C4333">
        <f>Prices!C4333</f>
        <v/>
      </c>
      <c r="D4333">
        <f>Prices!D4333</f>
        <v/>
      </c>
      <c r="E4333">
        <f>Prices!E4333</f>
        <v/>
      </c>
      <c r="F4333">
        <f>Prices!F4333</f>
        <v/>
      </c>
      <c r="G4333">
        <f>IF(AND(4331&gt;=16,TEXT(A4333,"yyyy-mm")&lt;&gt;TEXT(A4334,"yyyy-mm")),1,0)</f>
        <v/>
      </c>
      <c r="H4333">
        <f>IF(OR(H4332=1,G4333=1),1,0)</f>
        <v/>
      </c>
      <c r="I4333">
        <f>IF(H4332=0,1,SUMPRODUCT(J4332:N4332,B4333:F4333)+O4332*(1+0.00023125256064071564))</f>
        <v/>
      </c>
      <c r="J4333">
        <f>IF(G4333=1,0.2*R4333/B4333,J4332)</f>
        <v/>
      </c>
      <c r="K4333">
        <f>IF(G4333=1,0.2*R4333/C4333,K4332)</f>
        <v/>
      </c>
      <c r="L4333">
        <f>IF(G4333=1,0.2*R4333/D4333,L4332)</f>
        <v/>
      </c>
      <c r="M4333">
        <f>IF(G4333=1,0.2*R4333/E4333,M4332)</f>
        <v/>
      </c>
      <c r="N4333">
        <f>IF(G4333=1,0.2*R4333/F4333,N4332)</f>
        <v/>
      </c>
      <c r="O4333">
        <f>IF(G4333=1,R4333*(1-1.0),IF(H4332=0,1,O4332*(1+0.00023125256064071564)))</f>
        <v/>
      </c>
      <c r="P4333">
        <f>IF(G4333=1,IF(H4332=0,1,ABS(0.2-J4332*B4333/I4333)+ABS(0.2-K4332*C4333/I4333)+ABS(0.2-L4332*D4333/I4333)+ABS(0.2-M4332*E4333/I4333)+ABS(0.2-N4332*F4333/I4333)),0)</f>
        <v/>
      </c>
      <c r="Q4333">
        <f>P4333*0.0015</f>
        <v/>
      </c>
      <c r="R4333">
        <f>I4333*(1-Q4333)</f>
        <v/>
      </c>
      <c r="S4333">
        <f>R4333/R4332-1</f>
        <v/>
      </c>
      <c r="T4333">
        <f>MAX(T4332,R4333)</f>
        <v/>
      </c>
      <c r="U4333">
        <f>R4333/T4333-1</f>
        <v/>
      </c>
      <c r="V4333" t="n">
        <v>16.1476753538249</v>
      </c>
      <c r="W4333" s="5">
        <f>R4333-V4333</f>
        <v/>
      </c>
    </row>
    <row r="4334">
      <c r="A4334" s="3" t="n">
        <v>44823</v>
      </c>
      <c r="B4334">
        <f>Prices!B4334</f>
        <v/>
      </c>
      <c r="C4334">
        <f>Prices!C4334</f>
        <v/>
      </c>
      <c r="D4334">
        <f>Prices!D4334</f>
        <v/>
      </c>
      <c r="E4334">
        <f>Prices!E4334</f>
        <v/>
      </c>
      <c r="F4334">
        <f>Prices!F4334</f>
        <v/>
      </c>
      <c r="G4334">
        <f>IF(AND(4332&gt;=16,TEXT(A4334,"yyyy-mm")&lt;&gt;TEXT(A4335,"yyyy-mm")),1,0)</f>
        <v/>
      </c>
      <c r="H4334">
        <f>IF(OR(H4333=1,G4334=1),1,0)</f>
        <v/>
      </c>
      <c r="I4334">
        <f>IF(H4333=0,1,SUMPRODUCT(J4333:N4333,B4334:F4334)+O4333*(1+0.00023125256064071564))</f>
        <v/>
      </c>
      <c r="J4334">
        <f>IF(G4334=1,0.2*R4334/B4334,J4333)</f>
        <v/>
      </c>
      <c r="K4334">
        <f>IF(G4334=1,0.2*R4334/C4334,K4333)</f>
        <v/>
      </c>
      <c r="L4334">
        <f>IF(G4334=1,0.2*R4334/D4334,L4333)</f>
        <v/>
      </c>
      <c r="M4334">
        <f>IF(G4334=1,0.2*R4334/E4334,M4333)</f>
        <v/>
      </c>
      <c r="N4334">
        <f>IF(G4334=1,0.2*R4334/F4334,N4333)</f>
        <v/>
      </c>
      <c r="O4334">
        <f>IF(G4334=1,R4334*(1-1.0),IF(H4333=0,1,O4333*(1+0.00023125256064071564)))</f>
        <v/>
      </c>
      <c r="P4334">
        <f>IF(G4334=1,IF(H4333=0,1,ABS(0.2-J4333*B4334/I4334)+ABS(0.2-K4333*C4334/I4334)+ABS(0.2-L4333*D4334/I4334)+ABS(0.2-M4333*E4334/I4334)+ABS(0.2-N4333*F4334/I4334)),0)</f>
        <v/>
      </c>
      <c r="Q4334">
        <f>P4334*0.0015</f>
        <v/>
      </c>
      <c r="R4334">
        <f>I4334*(1-Q4334)</f>
        <v/>
      </c>
      <c r="S4334">
        <f>R4334/R4333-1</f>
        <v/>
      </c>
      <c r="T4334">
        <f>MAX(T4333,R4334)</f>
        <v/>
      </c>
      <c r="U4334">
        <f>R4334/T4334-1</f>
        <v/>
      </c>
      <c r="V4334" t="n">
        <v>16.09168731837159</v>
      </c>
      <c r="W4334" s="5">
        <f>R4334-V4334</f>
        <v/>
      </c>
    </row>
    <row r="4335">
      <c r="A4335" s="3" t="n">
        <v>44824</v>
      </c>
      <c r="B4335">
        <f>Prices!B4335</f>
        <v/>
      </c>
      <c r="C4335">
        <f>Prices!C4335</f>
        <v/>
      </c>
      <c r="D4335">
        <f>Prices!D4335</f>
        <v/>
      </c>
      <c r="E4335">
        <f>Prices!E4335</f>
        <v/>
      </c>
      <c r="F4335">
        <f>Prices!F4335</f>
        <v/>
      </c>
      <c r="G4335">
        <f>IF(AND(4333&gt;=16,TEXT(A4335,"yyyy-mm")&lt;&gt;TEXT(A4336,"yyyy-mm")),1,0)</f>
        <v/>
      </c>
      <c r="H4335">
        <f>IF(OR(H4334=1,G4335=1),1,0)</f>
        <v/>
      </c>
      <c r="I4335">
        <f>IF(H4334=0,1,SUMPRODUCT(J4334:N4334,B4335:F4335)+O4334*(1+0.00023125256064071564))</f>
        <v/>
      </c>
      <c r="J4335">
        <f>IF(G4335=1,0.2*R4335/B4335,J4334)</f>
        <v/>
      </c>
      <c r="K4335">
        <f>IF(G4335=1,0.2*R4335/C4335,K4334)</f>
        <v/>
      </c>
      <c r="L4335">
        <f>IF(G4335=1,0.2*R4335/D4335,L4334)</f>
        <v/>
      </c>
      <c r="M4335">
        <f>IF(G4335=1,0.2*R4335/E4335,M4334)</f>
        <v/>
      </c>
      <c r="N4335">
        <f>IF(G4335=1,0.2*R4335/F4335,N4334)</f>
        <v/>
      </c>
      <c r="O4335">
        <f>IF(G4335=1,R4335*(1-1.0),IF(H4334=0,1,O4334*(1+0.00023125256064071564)))</f>
        <v/>
      </c>
      <c r="P4335">
        <f>IF(G4335=1,IF(H4334=0,1,ABS(0.2-J4334*B4335/I4335)+ABS(0.2-K4334*C4335/I4335)+ABS(0.2-L4334*D4335/I4335)+ABS(0.2-M4334*E4335/I4335)+ABS(0.2-N4334*F4335/I4335)),0)</f>
        <v/>
      </c>
      <c r="Q4335">
        <f>P4335*0.0015</f>
        <v/>
      </c>
      <c r="R4335">
        <f>I4335*(1-Q4335)</f>
        <v/>
      </c>
      <c r="S4335">
        <f>R4335/R4334-1</f>
        <v/>
      </c>
      <c r="T4335">
        <f>MAX(T4334,R4335)</f>
        <v/>
      </c>
      <c r="U4335">
        <f>R4335/T4335-1</f>
        <v/>
      </c>
      <c r="V4335" t="n">
        <v>16.2644747953294</v>
      </c>
      <c r="W4335" s="5">
        <f>R4335-V4335</f>
        <v/>
      </c>
    </row>
    <row r="4336">
      <c r="A4336" s="3" t="n">
        <v>44825</v>
      </c>
      <c r="B4336">
        <f>Prices!B4336</f>
        <v/>
      </c>
      <c r="C4336">
        <f>Prices!C4336</f>
        <v/>
      </c>
      <c r="D4336">
        <f>Prices!D4336</f>
        <v/>
      </c>
      <c r="E4336">
        <f>Prices!E4336</f>
        <v/>
      </c>
      <c r="F4336">
        <f>Prices!F4336</f>
        <v/>
      </c>
      <c r="G4336">
        <f>IF(AND(4334&gt;=16,TEXT(A4336,"yyyy-mm")&lt;&gt;TEXT(A4337,"yyyy-mm")),1,0)</f>
        <v/>
      </c>
      <c r="H4336">
        <f>IF(OR(H4335=1,G4336=1),1,0)</f>
        <v/>
      </c>
      <c r="I4336">
        <f>IF(H4335=0,1,SUMPRODUCT(J4335:N4335,B4336:F4336)+O4335*(1+0.00023125256064071564))</f>
        <v/>
      </c>
      <c r="J4336">
        <f>IF(G4336=1,0.2*R4336/B4336,J4335)</f>
        <v/>
      </c>
      <c r="K4336">
        <f>IF(G4336=1,0.2*R4336/C4336,K4335)</f>
        <v/>
      </c>
      <c r="L4336">
        <f>IF(G4336=1,0.2*R4336/D4336,L4335)</f>
        <v/>
      </c>
      <c r="M4336">
        <f>IF(G4336=1,0.2*R4336/E4336,M4335)</f>
        <v/>
      </c>
      <c r="N4336">
        <f>IF(G4336=1,0.2*R4336/F4336,N4335)</f>
        <v/>
      </c>
      <c r="O4336">
        <f>IF(G4336=1,R4336*(1-1.0),IF(H4335=0,1,O4335*(1+0.00023125256064071564)))</f>
        <v/>
      </c>
      <c r="P4336">
        <f>IF(G4336=1,IF(H4335=0,1,ABS(0.2-J4335*B4336/I4336)+ABS(0.2-K4335*C4336/I4336)+ABS(0.2-L4335*D4336/I4336)+ABS(0.2-M4335*E4336/I4336)+ABS(0.2-N4335*F4336/I4336)),0)</f>
        <v/>
      </c>
      <c r="Q4336">
        <f>P4336*0.0015</f>
        <v/>
      </c>
      <c r="R4336">
        <f>I4336*(1-Q4336)</f>
        <v/>
      </c>
      <c r="S4336">
        <f>R4336/R4335-1</f>
        <v/>
      </c>
      <c r="T4336">
        <f>MAX(T4335,R4336)</f>
        <v/>
      </c>
      <c r="U4336">
        <f>R4336/T4336-1</f>
        <v/>
      </c>
      <c r="V4336" t="n">
        <v>16.13736917487126</v>
      </c>
      <c r="W4336" s="5">
        <f>R4336-V4336</f>
        <v/>
      </c>
    </row>
    <row r="4337">
      <c r="A4337" s="3" t="n">
        <v>44826</v>
      </c>
      <c r="B4337">
        <f>Prices!B4337</f>
        <v/>
      </c>
      <c r="C4337">
        <f>Prices!C4337</f>
        <v/>
      </c>
      <c r="D4337">
        <f>Prices!D4337</f>
        <v/>
      </c>
      <c r="E4337">
        <f>Prices!E4337</f>
        <v/>
      </c>
      <c r="F4337">
        <f>Prices!F4337</f>
        <v/>
      </c>
      <c r="G4337">
        <f>IF(AND(4335&gt;=16,TEXT(A4337,"yyyy-mm")&lt;&gt;TEXT(A4338,"yyyy-mm")),1,0)</f>
        <v/>
      </c>
      <c r="H4337">
        <f>IF(OR(H4336=1,G4337=1),1,0)</f>
        <v/>
      </c>
      <c r="I4337">
        <f>IF(H4336=0,1,SUMPRODUCT(J4336:N4336,B4337:F4337)+O4336*(1+0.00023125256064071564))</f>
        <v/>
      </c>
      <c r="J4337">
        <f>IF(G4337=1,0.2*R4337/B4337,J4336)</f>
        <v/>
      </c>
      <c r="K4337">
        <f>IF(G4337=1,0.2*R4337/C4337,K4336)</f>
        <v/>
      </c>
      <c r="L4337">
        <f>IF(G4337=1,0.2*R4337/D4337,L4336)</f>
        <v/>
      </c>
      <c r="M4337">
        <f>IF(G4337=1,0.2*R4337/E4337,M4336)</f>
        <v/>
      </c>
      <c r="N4337">
        <f>IF(G4337=1,0.2*R4337/F4337,N4336)</f>
        <v/>
      </c>
      <c r="O4337">
        <f>IF(G4337=1,R4337*(1-1.0),IF(H4336=0,1,O4336*(1+0.00023125256064071564)))</f>
        <v/>
      </c>
      <c r="P4337">
        <f>IF(G4337=1,IF(H4336=0,1,ABS(0.2-J4336*B4337/I4337)+ABS(0.2-K4336*C4337/I4337)+ABS(0.2-L4336*D4337/I4337)+ABS(0.2-M4336*E4337/I4337)+ABS(0.2-N4336*F4337/I4337)),0)</f>
        <v/>
      </c>
      <c r="Q4337">
        <f>P4337*0.0015</f>
        <v/>
      </c>
      <c r="R4337">
        <f>I4337*(1-Q4337)</f>
        <v/>
      </c>
      <c r="S4337">
        <f>R4337/R4336-1</f>
        <v/>
      </c>
      <c r="T4337">
        <f>MAX(T4336,R4337)</f>
        <v/>
      </c>
      <c r="U4337">
        <f>R4337/T4337-1</f>
        <v/>
      </c>
      <c r="V4337" t="n">
        <v>16.22069489918132</v>
      </c>
      <c r="W4337" s="5">
        <f>R4337-V4337</f>
        <v/>
      </c>
    </row>
    <row r="4338">
      <c r="A4338" s="3" t="n">
        <v>44827</v>
      </c>
      <c r="B4338">
        <f>Prices!B4338</f>
        <v/>
      </c>
      <c r="C4338">
        <f>Prices!C4338</f>
        <v/>
      </c>
      <c r="D4338">
        <f>Prices!D4338</f>
        <v/>
      </c>
      <c r="E4338">
        <f>Prices!E4338</f>
        <v/>
      </c>
      <c r="F4338">
        <f>Prices!F4338</f>
        <v/>
      </c>
      <c r="G4338">
        <f>IF(AND(4336&gt;=16,TEXT(A4338,"yyyy-mm")&lt;&gt;TEXT(A4339,"yyyy-mm")),1,0)</f>
        <v/>
      </c>
      <c r="H4338">
        <f>IF(OR(H4337=1,G4338=1),1,0)</f>
        <v/>
      </c>
      <c r="I4338">
        <f>IF(H4337=0,1,SUMPRODUCT(J4337:N4337,B4338:F4338)+O4337*(1+0.00023125256064071564))</f>
        <v/>
      </c>
      <c r="J4338">
        <f>IF(G4338=1,0.2*R4338/B4338,J4337)</f>
        <v/>
      </c>
      <c r="K4338">
        <f>IF(G4338=1,0.2*R4338/C4338,K4337)</f>
        <v/>
      </c>
      <c r="L4338">
        <f>IF(G4338=1,0.2*R4338/D4338,L4337)</f>
        <v/>
      </c>
      <c r="M4338">
        <f>IF(G4338=1,0.2*R4338/E4338,M4337)</f>
        <v/>
      </c>
      <c r="N4338">
        <f>IF(G4338=1,0.2*R4338/F4338,N4337)</f>
        <v/>
      </c>
      <c r="O4338">
        <f>IF(G4338=1,R4338*(1-1.0),IF(H4337=0,1,O4337*(1+0.00023125256064071564)))</f>
        <v/>
      </c>
      <c r="P4338">
        <f>IF(G4338=1,IF(H4337=0,1,ABS(0.2-J4337*B4338/I4338)+ABS(0.2-K4337*C4338/I4338)+ABS(0.2-L4337*D4338/I4338)+ABS(0.2-M4337*E4338/I4338)+ABS(0.2-N4337*F4338/I4338)),0)</f>
        <v/>
      </c>
      <c r="Q4338">
        <f>P4338*0.0015</f>
        <v/>
      </c>
      <c r="R4338">
        <f>I4338*(1-Q4338)</f>
        <v/>
      </c>
      <c r="S4338">
        <f>R4338/R4337-1</f>
        <v/>
      </c>
      <c r="T4338">
        <f>MAX(T4337,R4338)</f>
        <v/>
      </c>
      <c r="U4338">
        <f>R4338/T4338-1</f>
        <v/>
      </c>
      <c r="V4338" t="n">
        <v>15.94704085380623</v>
      </c>
      <c r="W4338" s="5">
        <f>R4338-V4338</f>
        <v/>
      </c>
    </row>
    <row r="4339">
      <c r="A4339" s="3" t="n">
        <v>44830</v>
      </c>
      <c r="B4339">
        <f>Prices!B4339</f>
        <v/>
      </c>
      <c r="C4339">
        <f>Prices!C4339</f>
        <v/>
      </c>
      <c r="D4339">
        <f>Prices!D4339</f>
        <v/>
      </c>
      <c r="E4339">
        <f>Prices!E4339</f>
        <v/>
      </c>
      <c r="F4339">
        <f>Prices!F4339</f>
        <v/>
      </c>
      <c r="G4339">
        <f>IF(AND(4337&gt;=16,TEXT(A4339,"yyyy-mm")&lt;&gt;TEXT(A4340,"yyyy-mm")),1,0)</f>
        <v/>
      </c>
      <c r="H4339">
        <f>IF(OR(H4338=1,G4339=1),1,0)</f>
        <v/>
      </c>
      <c r="I4339">
        <f>IF(H4338=0,1,SUMPRODUCT(J4338:N4338,B4339:F4339)+O4338*(1+0.00023125256064071564))</f>
        <v/>
      </c>
      <c r="J4339">
        <f>IF(G4339=1,0.2*R4339/B4339,J4338)</f>
        <v/>
      </c>
      <c r="K4339">
        <f>IF(G4339=1,0.2*R4339/C4339,K4338)</f>
        <v/>
      </c>
      <c r="L4339">
        <f>IF(G4339=1,0.2*R4339/D4339,L4338)</f>
        <v/>
      </c>
      <c r="M4339">
        <f>IF(G4339=1,0.2*R4339/E4339,M4338)</f>
        <v/>
      </c>
      <c r="N4339">
        <f>IF(G4339=1,0.2*R4339/F4339,N4338)</f>
        <v/>
      </c>
      <c r="O4339">
        <f>IF(G4339=1,R4339*(1-1.0),IF(H4338=0,1,O4338*(1+0.00023125256064071564)))</f>
        <v/>
      </c>
      <c r="P4339">
        <f>IF(G4339=1,IF(H4338=0,1,ABS(0.2-J4338*B4339/I4339)+ABS(0.2-K4338*C4339/I4339)+ABS(0.2-L4338*D4339/I4339)+ABS(0.2-M4338*E4339/I4339)+ABS(0.2-N4338*F4339/I4339)),0)</f>
        <v/>
      </c>
      <c r="Q4339">
        <f>P4339*0.0015</f>
        <v/>
      </c>
      <c r="R4339">
        <f>I4339*(1-Q4339)</f>
        <v/>
      </c>
      <c r="S4339">
        <f>R4339/R4338-1</f>
        <v/>
      </c>
      <c r="T4339">
        <f>MAX(T4338,R4339)</f>
        <v/>
      </c>
      <c r="U4339">
        <f>R4339/T4339-1</f>
        <v/>
      </c>
      <c r="V4339" t="n">
        <v>15.47492615097661</v>
      </c>
      <c r="W4339" s="5">
        <f>R4339-V4339</f>
        <v/>
      </c>
    </row>
    <row r="4340">
      <c r="A4340" s="3" t="n">
        <v>44831</v>
      </c>
      <c r="B4340">
        <f>Prices!B4340</f>
        <v/>
      </c>
      <c r="C4340">
        <f>Prices!C4340</f>
        <v/>
      </c>
      <c r="D4340">
        <f>Prices!D4340</f>
        <v/>
      </c>
      <c r="E4340">
        <f>Prices!E4340</f>
        <v/>
      </c>
      <c r="F4340">
        <f>Prices!F4340</f>
        <v/>
      </c>
      <c r="G4340">
        <f>IF(AND(4338&gt;=16,TEXT(A4340,"yyyy-mm")&lt;&gt;TEXT(A4341,"yyyy-mm")),1,0)</f>
        <v/>
      </c>
      <c r="H4340">
        <f>IF(OR(H4339=1,G4340=1),1,0)</f>
        <v/>
      </c>
      <c r="I4340">
        <f>IF(H4339=0,1,SUMPRODUCT(J4339:N4339,B4340:F4340)+O4339*(1+0.00023125256064071564))</f>
        <v/>
      </c>
      <c r="J4340">
        <f>IF(G4340=1,0.2*R4340/B4340,J4339)</f>
        <v/>
      </c>
      <c r="K4340">
        <f>IF(G4340=1,0.2*R4340/C4340,K4339)</f>
        <v/>
      </c>
      <c r="L4340">
        <f>IF(G4340=1,0.2*R4340/D4340,L4339)</f>
        <v/>
      </c>
      <c r="M4340">
        <f>IF(G4340=1,0.2*R4340/E4340,M4339)</f>
        <v/>
      </c>
      <c r="N4340">
        <f>IF(G4340=1,0.2*R4340/F4340,N4339)</f>
        <v/>
      </c>
      <c r="O4340">
        <f>IF(G4340=1,R4340*(1-1.0),IF(H4339=0,1,O4339*(1+0.00023125256064071564)))</f>
        <v/>
      </c>
      <c r="P4340">
        <f>IF(G4340=1,IF(H4339=0,1,ABS(0.2-J4339*B4340/I4340)+ABS(0.2-K4339*C4340/I4340)+ABS(0.2-L4339*D4340/I4340)+ABS(0.2-M4339*E4340/I4340)+ABS(0.2-N4339*F4340/I4340)),0)</f>
        <v/>
      </c>
      <c r="Q4340">
        <f>P4340*0.0015</f>
        <v/>
      </c>
      <c r="R4340">
        <f>I4340*(1-Q4340)</f>
        <v/>
      </c>
      <c r="S4340">
        <f>R4340/R4339-1</f>
        <v/>
      </c>
      <c r="T4340">
        <f>MAX(T4339,R4340)</f>
        <v/>
      </c>
      <c r="U4340">
        <f>R4340/T4340-1</f>
        <v/>
      </c>
      <c r="V4340" t="n">
        <v>15.48086332703914</v>
      </c>
      <c r="W4340" s="5">
        <f>R4340-V4340</f>
        <v/>
      </c>
    </row>
    <row r="4341">
      <c r="A4341" s="3" t="n">
        <v>44832</v>
      </c>
      <c r="B4341">
        <f>Prices!B4341</f>
        <v/>
      </c>
      <c r="C4341">
        <f>Prices!C4341</f>
        <v/>
      </c>
      <c r="D4341">
        <f>Prices!D4341</f>
        <v/>
      </c>
      <c r="E4341">
        <f>Prices!E4341</f>
        <v/>
      </c>
      <c r="F4341">
        <f>Prices!F4341</f>
        <v/>
      </c>
      <c r="G4341">
        <f>IF(AND(4339&gt;=16,TEXT(A4341,"yyyy-mm")&lt;&gt;TEXT(A4342,"yyyy-mm")),1,0)</f>
        <v/>
      </c>
      <c r="H4341">
        <f>IF(OR(H4340=1,G4341=1),1,0)</f>
        <v/>
      </c>
      <c r="I4341">
        <f>IF(H4340=0,1,SUMPRODUCT(J4340:N4340,B4341:F4341)+O4340*(1+0.00023125256064071564))</f>
        <v/>
      </c>
      <c r="J4341">
        <f>IF(G4341=1,0.2*R4341/B4341,J4340)</f>
        <v/>
      </c>
      <c r="K4341">
        <f>IF(G4341=1,0.2*R4341/C4341,K4340)</f>
        <v/>
      </c>
      <c r="L4341">
        <f>IF(G4341=1,0.2*R4341/D4341,L4340)</f>
        <v/>
      </c>
      <c r="M4341">
        <f>IF(G4341=1,0.2*R4341/E4341,M4340)</f>
        <v/>
      </c>
      <c r="N4341">
        <f>IF(G4341=1,0.2*R4341/F4341,N4340)</f>
        <v/>
      </c>
      <c r="O4341">
        <f>IF(G4341=1,R4341*(1-1.0),IF(H4340=0,1,O4340*(1+0.00023125256064071564)))</f>
        <v/>
      </c>
      <c r="P4341">
        <f>IF(G4341=1,IF(H4340=0,1,ABS(0.2-J4340*B4341/I4341)+ABS(0.2-K4340*C4341/I4341)+ABS(0.2-L4340*D4341/I4341)+ABS(0.2-M4340*E4341/I4341)+ABS(0.2-N4340*F4341/I4341)),0)</f>
        <v/>
      </c>
      <c r="Q4341">
        <f>P4341*0.0015</f>
        <v/>
      </c>
      <c r="R4341">
        <f>I4341*(1-Q4341)</f>
        <v/>
      </c>
      <c r="S4341">
        <f>R4341/R4340-1</f>
        <v/>
      </c>
      <c r="T4341">
        <f>MAX(T4340,R4341)</f>
        <v/>
      </c>
      <c r="U4341">
        <f>R4341/T4341-1</f>
        <v/>
      </c>
      <c r="V4341" t="n">
        <v>15.37339649890934</v>
      </c>
      <c r="W4341" s="5">
        <f>R4341-V4341</f>
        <v/>
      </c>
    </row>
    <row r="4342">
      <c r="A4342" s="3" t="n">
        <v>44833</v>
      </c>
      <c r="B4342">
        <f>Prices!B4342</f>
        <v/>
      </c>
      <c r="C4342">
        <f>Prices!C4342</f>
        <v/>
      </c>
      <c r="D4342">
        <f>Prices!D4342</f>
        <v/>
      </c>
      <c r="E4342">
        <f>Prices!E4342</f>
        <v/>
      </c>
      <c r="F4342">
        <f>Prices!F4342</f>
        <v/>
      </c>
      <c r="G4342">
        <f>IF(AND(4340&gt;=16,TEXT(A4342,"yyyy-mm")&lt;&gt;TEXT(A4343,"yyyy-mm")),1,0)</f>
        <v/>
      </c>
      <c r="H4342">
        <f>IF(OR(H4341=1,G4342=1),1,0)</f>
        <v/>
      </c>
      <c r="I4342">
        <f>IF(H4341=0,1,SUMPRODUCT(J4341:N4341,B4342:F4342)+O4341*(1+0.00023125256064071564))</f>
        <v/>
      </c>
      <c r="J4342">
        <f>IF(G4342=1,0.2*R4342/B4342,J4341)</f>
        <v/>
      </c>
      <c r="K4342">
        <f>IF(G4342=1,0.2*R4342/C4342,K4341)</f>
        <v/>
      </c>
      <c r="L4342">
        <f>IF(G4342=1,0.2*R4342/D4342,L4341)</f>
        <v/>
      </c>
      <c r="M4342">
        <f>IF(G4342=1,0.2*R4342/E4342,M4341)</f>
        <v/>
      </c>
      <c r="N4342">
        <f>IF(G4342=1,0.2*R4342/F4342,N4341)</f>
        <v/>
      </c>
      <c r="O4342">
        <f>IF(G4342=1,R4342*(1-1.0),IF(H4341=0,1,O4341*(1+0.00023125256064071564)))</f>
        <v/>
      </c>
      <c r="P4342">
        <f>IF(G4342=1,IF(H4341=0,1,ABS(0.2-J4341*B4342/I4342)+ABS(0.2-K4341*C4342/I4342)+ABS(0.2-L4341*D4342/I4342)+ABS(0.2-M4341*E4342/I4342)+ABS(0.2-N4341*F4342/I4342)),0)</f>
        <v/>
      </c>
      <c r="Q4342">
        <f>P4342*0.0015</f>
        <v/>
      </c>
      <c r="R4342">
        <f>I4342*(1-Q4342)</f>
        <v/>
      </c>
      <c r="S4342">
        <f>R4342/R4341-1</f>
        <v/>
      </c>
      <c r="T4342">
        <f>MAX(T4341,R4342)</f>
        <v/>
      </c>
      <c r="U4342">
        <f>R4342/T4342-1</f>
        <v/>
      </c>
      <c r="V4342" t="n">
        <v>15.43328618972596</v>
      </c>
      <c r="W4342" s="5">
        <f>R4342-V4342</f>
        <v/>
      </c>
    </row>
    <row r="4343">
      <c r="A4343" s="3" t="n">
        <v>44834</v>
      </c>
      <c r="B4343">
        <f>Prices!B4343</f>
        <v/>
      </c>
      <c r="C4343">
        <f>Prices!C4343</f>
        <v/>
      </c>
      <c r="D4343">
        <f>Prices!D4343</f>
        <v/>
      </c>
      <c r="E4343">
        <f>Prices!E4343</f>
        <v/>
      </c>
      <c r="F4343">
        <f>Prices!F4343</f>
        <v/>
      </c>
      <c r="G4343">
        <f>IF(AND(4341&gt;=16,TEXT(A4343,"yyyy-mm")&lt;&gt;TEXT(A4344,"yyyy-mm")),1,0)</f>
        <v/>
      </c>
      <c r="H4343">
        <f>IF(OR(H4342=1,G4343=1),1,0)</f>
        <v/>
      </c>
      <c r="I4343">
        <f>IF(H4342=0,1,SUMPRODUCT(J4342:N4342,B4343:F4343)+O4342*(1+0.00023125256064071564))</f>
        <v/>
      </c>
      <c r="J4343">
        <f>IF(G4343=1,0.2*R4343/B4343,J4342)</f>
        <v/>
      </c>
      <c r="K4343">
        <f>IF(G4343=1,0.2*R4343/C4343,K4342)</f>
        <v/>
      </c>
      <c r="L4343">
        <f>IF(G4343=1,0.2*R4343/D4343,L4342)</f>
        <v/>
      </c>
      <c r="M4343">
        <f>IF(G4343=1,0.2*R4343/E4343,M4342)</f>
        <v/>
      </c>
      <c r="N4343">
        <f>IF(G4343=1,0.2*R4343/F4343,N4342)</f>
        <v/>
      </c>
      <c r="O4343">
        <f>IF(G4343=1,R4343*(1-1.0),IF(H4342=0,1,O4342*(1+0.00023125256064071564)))</f>
        <v/>
      </c>
      <c r="P4343">
        <f>IF(G4343=1,IF(H4342=0,1,ABS(0.2-J4342*B4343/I4343)+ABS(0.2-K4342*C4343/I4343)+ABS(0.2-L4342*D4343/I4343)+ABS(0.2-M4342*E4343/I4343)+ABS(0.2-N4342*F4343/I4343)),0)</f>
        <v/>
      </c>
      <c r="Q4343">
        <f>P4343*0.0015</f>
        <v/>
      </c>
      <c r="R4343">
        <f>I4343*(1-Q4343)</f>
        <v/>
      </c>
      <c r="S4343">
        <f>R4343/R4342-1</f>
        <v/>
      </c>
      <c r="T4343">
        <f>MAX(T4342,R4343)</f>
        <v/>
      </c>
      <c r="U4343">
        <f>R4343/T4343-1</f>
        <v/>
      </c>
      <c r="V4343" t="n">
        <v>15.6339449107535</v>
      </c>
      <c r="W4343" s="5">
        <f>R4343-V4343</f>
        <v/>
      </c>
    </row>
    <row r="4344">
      <c r="A4344" s="3" t="n">
        <v>44837</v>
      </c>
      <c r="B4344">
        <f>Prices!B4344</f>
        <v/>
      </c>
      <c r="C4344">
        <f>Prices!C4344</f>
        <v/>
      </c>
      <c r="D4344">
        <f>Prices!D4344</f>
        <v/>
      </c>
      <c r="E4344">
        <f>Prices!E4344</f>
        <v/>
      </c>
      <c r="F4344">
        <f>Prices!F4344</f>
        <v/>
      </c>
      <c r="G4344">
        <f>IF(AND(4342&gt;=16,TEXT(A4344,"yyyy-mm")&lt;&gt;TEXT(A4345,"yyyy-mm")),1,0)</f>
        <v/>
      </c>
      <c r="H4344">
        <f>IF(OR(H4343=1,G4344=1),1,0)</f>
        <v/>
      </c>
      <c r="I4344">
        <f>IF(H4343=0,1,SUMPRODUCT(J4343:N4343,B4344:F4344)+O4343*(1+0.00023125256064071564))</f>
        <v/>
      </c>
      <c r="J4344">
        <f>IF(G4344=1,0.2*R4344/B4344,J4343)</f>
        <v/>
      </c>
      <c r="K4344">
        <f>IF(G4344=1,0.2*R4344/C4344,K4343)</f>
        <v/>
      </c>
      <c r="L4344">
        <f>IF(G4344=1,0.2*R4344/D4344,L4343)</f>
        <v/>
      </c>
      <c r="M4344">
        <f>IF(G4344=1,0.2*R4344/E4344,M4343)</f>
        <v/>
      </c>
      <c r="N4344">
        <f>IF(G4344=1,0.2*R4344/F4344,N4343)</f>
        <v/>
      </c>
      <c r="O4344">
        <f>IF(G4344=1,R4344*(1-1.0),IF(H4343=0,1,O4343*(1+0.00023125256064071564)))</f>
        <v/>
      </c>
      <c r="P4344">
        <f>IF(G4344=1,IF(H4343=0,1,ABS(0.2-J4343*B4344/I4344)+ABS(0.2-K4343*C4344/I4344)+ABS(0.2-L4343*D4344/I4344)+ABS(0.2-M4343*E4344/I4344)+ABS(0.2-N4343*F4344/I4344)),0)</f>
        <v/>
      </c>
      <c r="Q4344">
        <f>P4344*0.0015</f>
        <v/>
      </c>
      <c r="R4344">
        <f>I4344*(1-Q4344)</f>
        <v/>
      </c>
      <c r="S4344">
        <f>R4344/R4343-1</f>
        <v/>
      </c>
      <c r="T4344">
        <f>MAX(T4343,R4344)</f>
        <v/>
      </c>
      <c r="U4344">
        <f>R4344/T4344-1</f>
        <v/>
      </c>
      <c r="V4344" t="n">
        <v>15.42011679580607</v>
      </c>
      <c r="W4344" s="5">
        <f>R4344-V4344</f>
        <v/>
      </c>
    </row>
    <row r="4345">
      <c r="A4345" s="3" t="n">
        <v>44838</v>
      </c>
      <c r="B4345">
        <f>Prices!B4345</f>
        <v/>
      </c>
      <c r="C4345">
        <f>Prices!C4345</f>
        <v/>
      </c>
      <c r="D4345">
        <f>Prices!D4345</f>
        <v/>
      </c>
      <c r="E4345">
        <f>Prices!E4345</f>
        <v/>
      </c>
      <c r="F4345">
        <f>Prices!F4345</f>
        <v/>
      </c>
      <c r="G4345">
        <f>IF(AND(4343&gt;=16,TEXT(A4345,"yyyy-mm")&lt;&gt;TEXT(A4346,"yyyy-mm")),1,0)</f>
        <v/>
      </c>
      <c r="H4345">
        <f>IF(OR(H4344=1,G4345=1),1,0)</f>
        <v/>
      </c>
      <c r="I4345">
        <f>IF(H4344=0,1,SUMPRODUCT(J4344:N4344,B4345:F4345)+O4344*(1+0.00023125256064071564))</f>
        <v/>
      </c>
      <c r="J4345">
        <f>IF(G4345=1,0.2*R4345/B4345,J4344)</f>
        <v/>
      </c>
      <c r="K4345">
        <f>IF(G4345=1,0.2*R4345/C4345,K4344)</f>
        <v/>
      </c>
      <c r="L4345">
        <f>IF(G4345=1,0.2*R4345/D4345,L4344)</f>
        <v/>
      </c>
      <c r="M4345">
        <f>IF(G4345=1,0.2*R4345/E4345,M4344)</f>
        <v/>
      </c>
      <c r="N4345">
        <f>IF(G4345=1,0.2*R4345/F4345,N4344)</f>
        <v/>
      </c>
      <c r="O4345">
        <f>IF(G4345=1,R4345*(1-1.0),IF(H4344=0,1,O4344*(1+0.00023125256064071564)))</f>
        <v/>
      </c>
      <c r="P4345">
        <f>IF(G4345=1,IF(H4344=0,1,ABS(0.2-J4344*B4345/I4345)+ABS(0.2-K4344*C4345/I4345)+ABS(0.2-L4344*D4345/I4345)+ABS(0.2-M4344*E4345/I4345)+ABS(0.2-N4344*F4345/I4345)),0)</f>
        <v/>
      </c>
      <c r="Q4345">
        <f>P4345*0.0015</f>
        <v/>
      </c>
      <c r="R4345">
        <f>I4345*(1-Q4345)</f>
        <v/>
      </c>
      <c r="S4345">
        <f>R4345/R4344-1</f>
        <v/>
      </c>
      <c r="T4345">
        <f>MAX(T4344,R4345)</f>
        <v/>
      </c>
      <c r="U4345">
        <f>R4345/T4345-1</f>
        <v/>
      </c>
      <c r="V4345" t="n">
        <v>15.7591185627384</v>
      </c>
      <c r="W4345" s="5">
        <f>R4345-V4345</f>
        <v/>
      </c>
    </row>
    <row r="4346">
      <c r="A4346" s="3" t="n">
        <v>44840</v>
      </c>
      <c r="B4346">
        <f>Prices!B4346</f>
        <v/>
      </c>
      <c r="C4346">
        <f>Prices!C4346</f>
        <v/>
      </c>
      <c r="D4346">
        <f>Prices!D4346</f>
        <v/>
      </c>
      <c r="E4346">
        <f>Prices!E4346</f>
        <v/>
      </c>
      <c r="F4346">
        <f>Prices!F4346</f>
        <v/>
      </c>
      <c r="G4346">
        <f>IF(AND(4344&gt;=16,TEXT(A4346,"yyyy-mm")&lt;&gt;TEXT(A4347,"yyyy-mm")),1,0)</f>
        <v/>
      </c>
      <c r="H4346">
        <f>IF(OR(H4345=1,G4346=1),1,0)</f>
        <v/>
      </c>
      <c r="I4346">
        <f>IF(H4345=0,1,SUMPRODUCT(J4345:N4345,B4346:F4346)+O4345*(1+0.00023125256064071564))</f>
        <v/>
      </c>
      <c r="J4346">
        <f>IF(G4346=1,0.2*R4346/B4346,J4345)</f>
        <v/>
      </c>
      <c r="K4346">
        <f>IF(G4346=1,0.2*R4346/C4346,K4345)</f>
        <v/>
      </c>
      <c r="L4346">
        <f>IF(G4346=1,0.2*R4346/D4346,L4345)</f>
        <v/>
      </c>
      <c r="M4346">
        <f>IF(G4346=1,0.2*R4346/E4346,M4345)</f>
        <v/>
      </c>
      <c r="N4346">
        <f>IF(G4346=1,0.2*R4346/F4346,N4345)</f>
        <v/>
      </c>
      <c r="O4346">
        <f>IF(G4346=1,R4346*(1-1.0),IF(H4345=0,1,O4345*(1+0.00023125256064071564)))</f>
        <v/>
      </c>
      <c r="P4346">
        <f>IF(G4346=1,IF(H4345=0,1,ABS(0.2-J4345*B4346/I4346)+ABS(0.2-K4345*C4346/I4346)+ABS(0.2-L4345*D4346/I4346)+ABS(0.2-M4345*E4346/I4346)+ABS(0.2-N4345*F4346/I4346)),0)</f>
        <v/>
      </c>
      <c r="Q4346">
        <f>P4346*0.0015</f>
        <v/>
      </c>
      <c r="R4346">
        <f>I4346*(1-Q4346)</f>
        <v/>
      </c>
      <c r="S4346">
        <f>R4346/R4345-1</f>
        <v/>
      </c>
      <c r="T4346">
        <f>MAX(T4345,R4346)</f>
        <v/>
      </c>
      <c r="U4346">
        <f>R4346/T4346-1</f>
        <v/>
      </c>
      <c r="V4346" t="n">
        <v>15.92477469569916</v>
      </c>
      <c r="W4346" s="5">
        <f>R4346-V4346</f>
        <v/>
      </c>
    </row>
    <row r="4347">
      <c r="A4347" s="3" t="n">
        <v>44841</v>
      </c>
      <c r="B4347">
        <f>Prices!B4347</f>
        <v/>
      </c>
      <c r="C4347">
        <f>Prices!C4347</f>
        <v/>
      </c>
      <c r="D4347">
        <f>Prices!D4347</f>
        <v/>
      </c>
      <c r="E4347">
        <f>Prices!E4347</f>
        <v/>
      </c>
      <c r="F4347">
        <f>Prices!F4347</f>
        <v/>
      </c>
      <c r="G4347">
        <f>IF(AND(4345&gt;=16,TEXT(A4347,"yyyy-mm")&lt;&gt;TEXT(A4348,"yyyy-mm")),1,0)</f>
        <v/>
      </c>
      <c r="H4347">
        <f>IF(OR(H4346=1,G4347=1),1,0)</f>
        <v/>
      </c>
      <c r="I4347">
        <f>IF(H4346=0,1,SUMPRODUCT(J4346:N4346,B4347:F4347)+O4346*(1+0.00023125256064071564))</f>
        <v/>
      </c>
      <c r="J4347">
        <f>IF(G4347=1,0.2*R4347/B4347,J4346)</f>
        <v/>
      </c>
      <c r="K4347">
        <f>IF(G4347=1,0.2*R4347/C4347,K4346)</f>
        <v/>
      </c>
      <c r="L4347">
        <f>IF(G4347=1,0.2*R4347/D4347,L4346)</f>
        <v/>
      </c>
      <c r="M4347">
        <f>IF(G4347=1,0.2*R4347/E4347,M4346)</f>
        <v/>
      </c>
      <c r="N4347">
        <f>IF(G4347=1,0.2*R4347/F4347,N4346)</f>
        <v/>
      </c>
      <c r="O4347">
        <f>IF(G4347=1,R4347*(1-1.0),IF(H4346=0,1,O4346*(1+0.00023125256064071564)))</f>
        <v/>
      </c>
      <c r="P4347">
        <f>IF(G4347=1,IF(H4346=0,1,ABS(0.2-J4346*B4347/I4347)+ABS(0.2-K4346*C4347/I4347)+ABS(0.2-L4346*D4347/I4347)+ABS(0.2-M4346*E4347/I4347)+ABS(0.2-N4346*F4347/I4347)),0)</f>
        <v/>
      </c>
      <c r="Q4347">
        <f>P4347*0.0015</f>
        <v/>
      </c>
      <c r="R4347">
        <f>I4347*(1-Q4347)</f>
        <v/>
      </c>
      <c r="S4347">
        <f>R4347/R4346-1</f>
        <v/>
      </c>
      <c r="T4347">
        <f>MAX(T4346,R4347)</f>
        <v/>
      </c>
      <c r="U4347">
        <f>R4347/T4347-1</f>
        <v/>
      </c>
      <c r="V4347" t="n">
        <v>15.92243780137765</v>
      </c>
      <c r="W4347" s="5">
        <f>R4347-V4347</f>
        <v/>
      </c>
    </row>
    <row r="4348">
      <c r="A4348" s="3" t="n">
        <v>44844</v>
      </c>
      <c r="B4348">
        <f>Prices!B4348</f>
        <v/>
      </c>
      <c r="C4348">
        <f>Prices!C4348</f>
        <v/>
      </c>
      <c r="D4348">
        <f>Prices!D4348</f>
        <v/>
      </c>
      <c r="E4348">
        <f>Prices!E4348</f>
        <v/>
      </c>
      <c r="F4348">
        <f>Prices!F4348</f>
        <v/>
      </c>
      <c r="G4348">
        <f>IF(AND(4346&gt;=16,TEXT(A4348,"yyyy-mm")&lt;&gt;TEXT(A4349,"yyyy-mm")),1,0)</f>
        <v/>
      </c>
      <c r="H4348">
        <f>IF(OR(H4347=1,G4348=1),1,0)</f>
        <v/>
      </c>
      <c r="I4348">
        <f>IF(H4347=0,1,SUMPRODUCT(J4347:N4347,B4348:F4348)+O4347*(1+0.00023125256064071564))</f>
        <v/>
      </c>
      <c r="J4348">
        <f>IF(G4348=1,0.2*R4348/B4348,J4347)</f>
        <v/>
      </c>
      <c r="K4348">
        <f>IF(G4348=1,0.2*R4348/C4348,K4347)</f>
        <v/>
      </c>
      <c r="L4348">
        <f>IF(G4348=1,0.2*R4348/D4348,L4347)</f>
        <v/>
      </c>
      <c r="M4348">
        <f>IF(G4348=1,0.2*R4348/E4348,M4347)</f>
        <v/>
      </c>
      <c r="N4348">
        <f>IF(G4348=1,0.2*R4348/F4348,N4347)</f>
        <v/>
      </c>
      <c r="O4348">
        <f>IF(G4348=1,R4348*(1-1.0),IF(H4347=0,1,O4347*(1+0.00023125256064071564)))</f>
        <v/>
      </c>
      <c r="P4348">
        <f>IF(G4348=1,IF(H4347=0,1,ABS(0.2-J4347*B4348/I4348)+ABS(0.2-K4347*C4348/I4348)+ABS(0.2-L4347*D4348/I4348)+ABS(0.2-M4347*E4348/I4348)+ABS(0.2-N4347*F4348/I4348)),0)</f>
        <v/>
      </c>
      <c r="Q4348">
        <f>P4348*0.0015</f>
        <v/>
      </c>
      <c r="R4348">
        <f>I4348*(1-Q4348)</f>
        <v/>
      </c>
      <c r="S4348">
        <f>R4348/R4347-1</f>
        <v/>
      </c>
      <c r="T4348">
        <f>MAX(T4347,R4348)</f>
        <v/>
      </c>
      <c r="U4348">
        <f>R4348/T4348-1</f>
        <v/>
      </c>
      <c r="V4348" t="n">
        <v>15.80550741510837</v>
      </c>
      <c r="W4348" s="5">
        <f>R4348-V4348</f>
        <v/>
      </c>
    </row>
    <row r="4349">
      <c r="A4349" s="3" t="n">
        <v>44845</v>
      </c>
      <c r="B4349">
        <f>Prices!B4349</f>
        <v/>
      </c>
      <c r="C4349">
        <f>Prices!C4349</f>
        <v/>
      </c>
      <c r="D4349">
        <f>Prices!D4349</f>
        <v/>
      </c>
      <c r="E4349">
        <f>Prices!E4349</f>
        <v/>
      </c>
      <c r="F4349">
        <f>Prices!F4349</f>
        <v/>
      </c>
      <c r="G4349">
        <f>IF(AND(4347&gt;=16,TEXT(A4349,"yyyy-mm")&lt;&gt;TEXT(A4350,"yyyy-mm")),1,0)</f>
        <v/>
      </c>
      <c r="H4349">
        <f>IF(OR(H4348=1,G4349=1),1,0)</f>
        <v/>
      </c>
      <c r="I4349">
        <f>IF(H4348=0,1,SUMPRODUCT(J4348:N4348,B4349:F4349)+O4348*(1+0.00023125256064071564))</f>
        <v/>
      </c>
      <c r="J4349">
        <f>IF(G4349=1,0.2*R4349/B4349,J4348)</f>
        <v/>
      </c>
      <c r="K4349">
        <f>IF(G4349=1,0.2*R4349/C4349,K4348)</f>
        <v/>
      </c>
      <c r="L4349">
        <f>IF(G4349=1,0.2*R4349/D4349,L4348)</f>
        <v/>
      </c>
      <c r="M4349">
        <f>IF(G4349=1,0.2*R4349/E4349,M4348)</f>
        <v/>
      </c>
      <c r="N4349">
        <f>IF(G4349=1,0.2*R4349/F4349,N4348)</f>
        <v/>
      </c>
      <c r="O4349">
        <f>IF(G4349=1,R4349*(1-1.0),IF(H4348=0,1,O4348*(1+0.00023125256064071564)))</f>
        <v/>
      </c>
      <c r="P4349">
        <f>IF(G4349=1,IF(H4348=0,1,ABS(0.2-J4348*B4349/I4349)+ABS(0.2-K4348*C4349/I4349)+ABS(0.2-L4348*D4349/I4349)+ABS(0.2-M4348*E4349/I4349)+ABS(0.2-N4348*F4349/I4349)),0)</f>
        <v/>
      </c>
      <c r="Q4349">
        <f>P4349*0.0015</f>
        <v/>
      </c>
      <c r="R4349">
        <f>I4349*(1-Q4349)</f>
        <v/>
      </c>
      <c r="S4349">
        <f>R4349/R4348-1</f>
        <v/>
      </c>
      <c r="T4349">
        <f>MAX(T4348,R4349)</f>
        <v/>
      </c>
      <c r="U4349">
        <f>R4349/T4349-1</f>
        <v/>
      </c>
      <c r="V4349" t="n">
        <v>15.55524729051189</v>
      </c>
      <c r="W4349" s="5">
        <f>R4349-V4349</f>
        <v/>
      </c>
    </row>
    <row r="4350">
      <c r="A4350" s="3" t="n">
        <v>44846</v>
      </c>
      <c r="B4350">
        <f>Prices!B4350</f>
        <v/>
      </c>
      <c r="C4350">
        <f>Prices!C4350</f>
        <v/>
      </c>
      <c r="D4350">
        <f>Prices!D4350</f>
        <v/>
      </c>
      <c r="E4350">
        <f>Prices!E4350</f>
        <v/>
      </c>
      <c r="F4350">
        <f>Prices!F4350</f>
        <v/>
      </c>
      <c r="G4350">
        <f>IF(AND(4348&gt;=16,TEXT(A4350,"yyyy-mm")&lt;&gt;TEXT(A4351,"yyyy-mm")),1,0)</f>
        <v/>
      </c>
      <c r="H4350">
        <f>IF(OR(H4349=1,G4350=1),1,0)</f>
        <v/>
      </c>
      <c r="I4350">
        <f>IF(H4349=0,1,SUMPRODUCT(J4349:N4349,B4350:F4350)+O4349*(1+0.00023125256064071564))</f>
        <v/>
      </c>
      <c r="J4350">
        <f>IF(G4350=1,0.2*R4350/B4350,J4349)</f>
        <v/>
      </c>
      <c r="K4350">
        <f>IF(G4350=1,0.2*R4350/C4350,K4349)</f>
        <v/>
      </c>
      <c r="L4350">
        <f>IF(G4350=1,0.2*R4350/D4350,L4349)</f>
        <v/>
      </c>
      <c r="M4350">
        <f>IF(G4350=1,0.2*R4350/E4350,M4349)</f>
        <v/>
      </c>
      <c r="N4350">
        <f>IF(G4350=1,0.2*R4350/F4350,N4349)</f>
        <v/>
      </c>
      <c r="O4350">
        <f>IF(G4350=1,R4350*(1-1.0),IF(H4349=0,1,O4349*(1+0.00023125256064071564)))</f>
        <v/>
      </c>
      <c r="P4350">
        <f>IF(G4350=1,IF(H4349=0,1,ABS(0.2-J4349*B4350/I4350)+ABS(0.2-K4349*C4350/I4350)+ABS(0.2-L4349*D4350/I4350)+ABS(0.2-M4349*E4350/I4350)+ABS(0.2-N4349*F4350/I4350)),0)</f>
        <v/>
      </c>
      <c r="Q4350">
        <f>P4350*0.0015</f>
        <v/>
      </c>
      <c r="R4350">
        <f>I4350*(1-Q4350)</f>
        <v/>
      </c>
      <c r="S4350">
        <f>R4350/R4349-1</f>
        <v/>
      </c>
      <c r="T4350">
        <f>MAX(T4349,R4350)</f>
        <v/>
      </c>
      <c r="U4350">
        <f>R4350/T4350-1</f>
        <v/>
      </c>
      <c r="V4350" t="n">
        <v>15.67976541406196</v>
      </c>
      <c r="W4350" s="5">
        <f>R4350-V4350</f>
        <v/>
      </c>
    </row>
    <row r="4351">
      <c r="A4351" s="3" t="n">
        <v>44847</v>
      </c>
      <c r="B4351">
        <f>Prices!B4351</f>
        <v/>
      </c>
      <c r="C4351">
        <f>Prices!C4351</f>
        <v/>
      </c>
      <c r="D4351">
        <f>Prices!D4351</f>
        <v/>
      </c>
      <c r="E4351">
        <f>Prices!E4351</f>
        <v/>
      </c>
      <c r="F4351">
        <f>Prices!F4351</f>
        <v/>
      </c>
      <c r="G4351">
        <f>IF(AND(4349&gt;=16,TEXT(A4351,"yyyy-mm")&lt;&gt;TEXT(A4352,"yyyy-mm")),1,0)</f>
        <v/>
      </c>
      <c r="H4351">
        <f>IF(OR(H4350=1,G4351=1),1,0)</f>
        <v/>
      </c>
      <c r="I4351">
        <f>IF(H4350=0,1,SUMPRODUCT(J4350:N4350,B4351:F4351)+O4350*(1+0.00023125256064071564))</f>
        <v/>
      </c>
      <c r="J4351">
        <f>IF(G4351=1,0.2*R4351/B4351,J4350)</f>
        <v/>
      </c>
      <c r="K4351">
        <f>IF(G4351=1,0.2*R4351/C4351,K4350)</f>
        <v/>
      </c>
      <c r="L4351">
        <f>IF(G4351=1,0.2*R4351/D4351,L4350)</f>
        <v/>
      </c>
      <c r="M4351">
        <f>IF(G4351=1,0.2*R4351/E4351,M4350)</f>
        <v/>
      </c>
      <c r="N4351">
        <f>IF(G4351=1,0.2*R4351/F4351,N4350)</f>
        <v/>
      </c>
      <c r="O4351">
        <f>IF(G4351=1,R4351*(1-1.0),IF(H4350=0,1,O4350*(1+0.00023125256064071564)))</f>
        <v/>
      </c>
      <c r="P4351">
        <f>IF(G4351=1,IF(H4350=0,1,ABS(0.2-J4350*B4351/I4351)+ABS(0.2-K4350*C4351/I4351)+ABS(0.2-L4350*D4351/I4351)+ABS(0.2-M4350*E4351/I4351)+ABS(0.2-N4350*F4351/I4351)),0)</f>
        <v/>
      </c>
      <c r="Q4351">
        <f>P4351*0.0015</f>
        <v/>
      </c>
      <c r="R4351">
        <f>I4351*(1-Q4351)</f>
        <v/>
      </c>
      <c r="S4351">
        <f>R4351/R4350-1</f>
        <v/>
      </c>
      <c r="T4351">
        <f>MAX(T4350,R4351)</f>
        <v/>
      </c>
      <c r="U4351">
        <f>R4351/T4351-1</f>
        <v/>
      </c>
      <c r="V4351" t="n">
        <v>15.62269958596301</v>
      </c>
      <c r="W4351" s="5">
        <f>R4351-V4351</f>
        <v/>
      </c>
    </row>
    <row r="4352">
      <c r="A4352" s="3" t="n">
        <v>44848</v>
      </c>
      <c r="B4352">
        <f>Prices!B4352</f>
        <v/>
      </c>
      <c r="C4352">
        <f>Prices!C4352</f>
        <v/>
      </c>
      <c r="D4352">
        <f>Prices!D4352</f>
        <v/>
      </c>
      <c r="E4352">
        <f>Prices!E4352</f>
        <v/>
      </c>
      <c r="F4352">
        <f>Prices!F4352</f>
        <v/>
      </c>
      <c r="G4352">
        <f>IF(AND(4350&gt;=16,TEXT(A4352,"yyyy-mm")&lt;&gt;TEXT(A4353,"yyyy-mm")),1,0)</f>
        <v/>
      </c>
      <c r="H4352">
        <f>IF(OR(H4351=1,G4352=1),1,0)</f>
        <v/>
      </c>
      <c r="I4352">
        <f>IF(H4351=0,1,SUMPRODUCT(J4351:N4351,B4352:F4352)+O4351*(1+0.00023125256064071564))</f>
        <v/>
      </c>
      <c r="J4352">
        <f>IF(G4352=1,0.2*R4352/B4352,J4351)</f>
        <v/>
      </c>
      <c r="K4352">
        <f>IF(G4352=1,0.2*R4352/C4352,K4351)</f>
        <v/>
      </c>
      <c r="L4352">
        <f>IF(G4352=1,0.2*R4352/D4352,L4351)</f>
        <v/>
      </c>
      <c r="M4352">
        <f>IF(G4352=1,0.2*R4352/E4352,M4351)</f>
        <v/>
      </c>
      <c r="N4352">
        <f>IF(G4352=1,0.2*R4352/F4352,N4351)</f>
        <v/>
      </c>
      <c r="O4352">
        <f>IF(G4352=1,R4352*(1-1.0),IF(H4351=0,1,O4351*(1+0.00023125256064071564)))</f>
        <v/>
      </c>
      <c r="P4352">
        <f>IF(G4352=1,IF(H4351=0,1,ABS(0.2-J4351*B4352/I4352)+ABS(0.2-K4351*C4352/I4352)+ABS(0.2-L4351*D4352/I4352)+ABS(0.2-M4351*E4352/I4352)+ABS(0.2-N4351*F4352/I4352)),0)</f>
        <v/>
      </c>
      <c r="Q4352">
        <f>P4352*0.0015</f>
        <v/>
      </c>
      <c r="R4352">
        <f>I4352*(1-Q4352)</f>
        <v/>
      </c>
      <c r="S4352">
        <f>R4352/R4351-1</f>
        <v/>
      </c>
      <c r="T4352">
        <f>MAX(T4351,R4352)</f>
        <v/>
      </c>
      <c r="U4352">
        <f>R4352/T4352-1</f>
        <v/>
      </c>
      <c r="V4352" t="n">
        <v>15.63377203033374</v>
      </c>
      <c r="W4352" s="5">
        <f>R4352-V4352</f>
        <v/>
      </c>
    </row>
    <row r="4353">
      <c r="A4353" s="3" t="n">
        <v>44851</v>
      </c>
      <c r="B4353">
        <f>Prices!B4353</f>
        <v/>
      </c>
      <c r="C4353">
        <f>Prices!C4353</f>
        <v/>
      </c>
      <c r="D4353">
        <f>Prices!D4353</f>
        <v/>
      </c>
      <c r="E4353">
        <f>Prices!E4353</f>
        <v/>
      </c>
      <c r="F4353">
        <f>Prices!F4353</f>
        <v/>
      </c>
      <c r="G4353">
        <f>IF(AND(4351&gt;=16,TEXT(A4353,"yyyy-mm")&lt;&gt;TEXT(A4354,"yyyy-mm")),1,0)</f>
        <v/>
      </c>
      <c r="H4353">
        <f>IF(OR(H4352=1,G4353=1),1,0)</f>
        <v/>
      </c>
      <c r="I4353">
        <f>IF(H4352=0,1,SUMPRODUCT(J4352:N4352,B4353:F4353)+O4352*(1+0.00023125256064071564))</f>
        <v/>
      </c>
      <c r="J4353">
        <f>IF(G4353=1,0.2*R4353/B4353,J4352)</f>
        <v/>
      </c>
      <c r="K4353">
        <f>IF(G4353=1,0.2*R4353/C4353,K4352)</f>
        <v/>
      </c>
      <c r="L4353">
        <f>IF(G4353=1,0.2*R4353/D4353,L4352)</f>
        <v/>
      </c>
      <c r="M4353">
        <f>IF(G4353=1,0.2*R4353/E4353,M4352)</f>
        <v/>
      </c>
      <c r="N4353">
        <f>IF(G4353=1,0.2*R4353/F4353,N4352)</f>
        <v/>
      </c>
      <c r="O4353">
        <f>IF(G4353=1,R4353*(1-1.0),IF(H4352=0,1,O4352*(1+0.00023125256064071564)))</f>
        <v/>
      </c>
      <c r="P4353">
        <f>IF(G4353=1,IF(H4352=0,1,ABS(0.2-J4352*B4353/I4353)+ABS(0.2-K4352*C4353/I4353)+ABS(0.2-L4352*D4353/I4353)+ABS(0.2-M4352*E4353/I4353)+ABS(0.2-N4352*F4353/I4353)),0)</f>
        <v/>
      </c>
      <c r="Q4353">
        <f>P4353*0.0015</f>
        <v/>
      </c>
      <c r="R4353">
        <f>I4353*(1-Q4353)</f>
        <v/>
      </c>
      <c r="S4353">
        <f>R4353/R4352-1</f>
        <v/>
      </c>
      <c r="T4353">
        <f>MAX(T4352,R4353)</f>
        <v/>
      </c>
      <c r="U4353">
        <f>R4353/T4353-1</f>
        <v/>
      </c>
      <c r="V4353" t="n">
        <v>15.67478879339196</v>
      </c>
      <c r="W4353" s="5">
        <f>R4353-V4353</f>
        <v/>
      </c>
    </row>
    <row r="4354">
      <c r="A4354" s="3" t="n">
        <v>44852</v>
      </c>
      <c r="B4354">
        <f>Prices!B4354</f>
        <v/>
      </c>
      <c r="C4354">
        <f>Prices!C4354</f>
        <v/>
      </c>
      <c r="D4354">
        <f>Prices!D4354</f>
        <v/>
      </c>
      <c r="E4354">
        <f>Prices!E4354</f>
        <v/>
      </c>
      <c r="F4354">
        <f>Prices!F4354</f>
        <v/>
      </c>
      <c r="G4354">
        <f>IF(AND(4352&gt;=16,TEXT(A4354,"yyyy-mm")&lt;&gt;TEXT(A4355,"yyyy-mm")),1,0)</f>
        <v/>
      </c>
      <c r="H4354">
        <f>IF(OR(H4353=1,G4354=1),1,0)</f>
        <v/>
      </c>
      <c r="I4354">
        <f>IF(H4353=0,1,SUMPRODUCT(J4353:N4353,B4354:F4354)+O4353*(1+0.00023125256064071564))</f>
        <v/>
      </c>
      <c r="J4354">
        <f>IF(G4354=1,0.2*R4354/B4354,J4353)</f>
        <v/>
      </c>
      <c r="K4354">
        <f>IF(G4354=1,0.2*R4354/C4354,K4353)</f>
        <v/>
      </c>
      <c r="L4354">
        <f>IF(G4354=1,0.2*R4354/D4354,L4353)</f>
        <v/>
      </c>
      <c r="M4354">
        <f>IF(G4354=1,0.2*R4354/E4354,M4353)</f>
        <v/>
      </c>
      <c r="N4354">
        <f>IF(G4354=1,0.2*R4354/F4354,N4353)</f>
        <v/>
      </c>
      <c r="O4354">
        <f>IF(G4354=1,R4354*(1-1.0),IF(H4353=0,1,O4353*(1+0.00023125256064071564)))</f>
        <v/>
      </c>
      <c r="P4354">
        <f>IF(G4354=1,IF(H4353=0,1,ABS(0.2-J4353*B4354/I4354)+ABS(0.2-K4353*C4354/I4354)+ABS(0.2-L4353*D4354/I4354)+ABS(0.2-M4353*E4354/I4354)+ABS(0.2-N4353*F4354/I4354)),0)</f>
        <v/>
      </c>
      <c r="Q4354">
        <f>P4354*0.0015</f>
        <v/>
      </c>
      <c r="R4354">
        <f>I4354*(1-Q4354)</f>
        <v/>
      </c>
      <c r="S4354">
        <f>R4354/R4353-1</f>
        <v/>
      </c>
      <c r="T4354">
        <f>MAX(T4353,R4354)</f>
        <v/>
      </c>
      <c r="U4354">
        <f>R4354/T4354-1</f>
        <v/>
      </c>
      <c r="V4354" t="n">
        <v>15.8452077552684</v>
      </c>
      <c r="W4354" s="5">
        <f>R4354-V4354</f>
        <v/>
      </c>
    </row>
    <row r="4355">
      <c r="A4355" s="3" t="n">
        <v>44853</v>
      </c>
      <c r="B4355">
        <f>Prices!B4355</f>
        <v/>
      </c>
      <c r="C4355">
        <f>Prices!C4355</f>
        <v/>
      </c>
      <c r="D4355">
        <f>Prices!D4355</f>
        <v/>
      </c>
      <c r="E4355">
        <f>Prices!E4355</f>
        <v/>
      </c>
      <c r="F4355">
        <f>Prices!F4355</f>
        <v/>
      </c>
      <c r="G4355">
        <f>IF(AND(4353&gt;=16,TEXT(A4355,"yyyy-mm")&lt;&gt;TEXT(A4356,"yyyy-mm")),1,0)</f>
        <v/>
      </c>
      <c r="H4355">
        <f>IF(OR(H4354=1,G4355=1),1,0)</f>
        <v/>
      </c>
      <c r="I4355">
        <f>IF(H4354=0,1,SUMPRODUCT(J4354:N4354,B4355:F4355)+O4354*(1+0.00023125256064071564))</f>
        <v/>
      </c>
      <c r="J4355">
        <f>IF(G4355=1,0.2*R4355/B4355,J4354)</f>
        <v/>
      </c>
      <c r="K4355">
        <f>IF(G4355=1,0.2*R4355/C4355,K4354)</f>
        <v/>
      </c>
      <c r="L4355">
        <f>IF(G4355=1,0.2*R4355/D4355,L4354)</f>
        <v/>
      </c>
      <c r="M4355">
        <f>IF(G4355=1,0.2*R4355/E4355,M4354)</f>
        <v/>
      </c>
      <c r="N4355">
        <f>IF(G4355=1,0.2*R4355/F4355,N4354)</f>
        <v/>
      </c>
      <c r="O4355">
        <f>IF(G4355=1,R4355*(1-1.0),IF(H4354=0,1,O4354*(1+0.00023125256064071564)))</f>
        <v/>
      </c>
      <c r="P4355">
        <f>IF(G4355=1,IF(H4354=0,1,ABS(0.2-J4354*B4355/I4355)+ABS(0.2-K4354*C4355/I4355)+ABS(0.2-L4354*D4355/I4355)+ABS(0.2-M4354*E4355/I4355)+ABS(0.2-N4354*F4355/I4355)),0)</f>
        <v/>
      </c>
      <c r="Q4355">
        <f>P4355*0.0015</f>
        <v/>
      </c>
      <c r="R4355">
        <f>I4355*(1-Q4355)</f>
        <v/>
      </c>
      <c r="S4355">
        <f>R4355/R4354-1</f>
        <v/>
      </c>
      <c r="T4355">
        <f>MAX(T4354,R4355)</f>
        <v/>
      </c>
      <c r="U4355">
        <f>R4355/T4355-1</f>
        <v/>
      </c>
      <c r="V4355" t="n">
        <v>15.82702781756352</v>
      </c>
      <c r="W4355" s="5">
        <f>R4355-V4355</f>
        <v/>
      </c>
    </row>
    <row r="4356">
      <c r="A4356" s="3" t="n">
        <v>44854</v>
      </c>
      <c r="B4356">
        <f>Prices!B4356</f>
        <v/>
      </c>
      <c r="C4356">
        <f>Prices!C4356</f>
        <v/>
      </c>
      <c r="D4356">
        <f>Prices!D4356</f>
        <v/>
      </c>
      <c r="E4356">
        <f>Prices!E4356</f>
        <v/>
      </c>
      <c r="F4356">
        <f>Prices!F4356</f>
        <v/>
      </c>
      <c r="G4356">
        <f>IF(AND(4354&gt;=16,TEXT(A4356,"yyyy-mm")&lt;&gt;TEXT(A4357,"yyyy-mm")),1,0)</f>
        <v/>
      </c>
      <c r="H4356">
        <f>IF(OR(H4355=1,G4356=1),1,0)</f>
        <v/>
      </c>
      <c r="I4356">
        <f>IF(H4355=0,1,SUMPRODUCT(J4355:N4355,B4356:F4356)+O4355*(1+0.00023125256064071564))</f>
        <v/>
      </c>
      <c r="J4356">
        <f>IF(G4356=1,0.2*R4356/B4356,J4355)</f>
        <v/>
      </c>
      <c r="K4356">
        <f>IF(G4356=1,0.2*R4356/C4356,K4355)</f>
        <v/>
      </c>
      <c r="L4356">
        <f>IF(G4356=1,0.2*R4356/D4356,L4355)</f>
        <v/>
      </c>
      <c r="M4356">
        <f>IF(G4356=1,0.2*R4356/E4356,M4355)</f>
        <v/>
      </c>
      <c r="N4356">
        <f>IF(G4356=1,0.2*R4356/F4356,N4355)</f>
        <v/>
      </c>
      <c r="O4356">
        <f>IF(G4356=1,R4356*(1-1.0),IF(H4355=0,1,O4355*(1+0.00023125256064071564)))</f>
        <v/>
      </c>
      <c r="P4356">
        <f>IF(G4356=1,IF(H4355=0,1,ABS(0.2-J4355*B4356/I4356)+ABS(0.2-K4355*C4356/I4356)+ABS(0.2-L4355*D4356/I4356)+ABS(0.2-M4355*E4356/I4356)+ABS(0.2-N4355*F4356/I4356)),0)</f>
        <v/>
      </c>
      <c r="Q4356">
        <f>P4356*0.0015</f>
        <v/>
      </c>
      <c r="R4356">
        <f>I4356*(1-Q4356)</f>
        <v/>
      </c>
      <c r="S4356">
        <f>R4356/R4355-1</f>
        <v/>
      </c>
      <c r="T4356">
        <f>MAX(T4355,R4356)</f>
        <v/>
      </c>
      <c r="U4356">
        <f>R4356/T4356-1</f>
        <v/>
      </c>
      <c r="V4356" t="n">
        <v>15.93005554801362</v>
      </c>
      <c r="W4356" s="5">
        <f>R4356-V4356</f>
        <v/>
      </c>
    </row>
    <row r="4357">
      <c r="A4357" s="3" t="n">
        <v>44855</v>
      </c>
      <c r="B4357">
        <f>Prices!B4357</f>
        <v/>
      </c>
      <c r="C4357">
        <f>Prices!C4357</f>
        <v/>
      </c>
      <c r="D4357">
        <f>Prices!D4357</f>
        <v/>
      </c>
      <c r="E4357">
        <f>Prices!E4357</f>
        <v/>
      </c>
      <c r="F4357">
        <f>Prices!F4357</f>
        <v/>
      </c>
      <c r="G4357">
        <f>IF(AND(4355&gt;=16,TEXT(A4357,"yyyy-mm")&lt;&gt;TEXT(A4358,"yyyy-mm")),1,0)</f>
        <v/>
      </c>
      <c r="H4357">
        <f>IF(OR(H4356=1,G4357=1),1,0)</f>
        <v/>
      </c>
      <c r="I4357">
        <f>IF(H4356=0,1,SUMPRODUCT(J4356:N4356,B4357:F4357)+O4356*(1+0.00023125256064071564))</f>
        <v/>
      </c>
      <c r="J4357">
        <f>IF(G4357=1,0.2*R4357/B4357,J4356)</f>
        <v/>
      </c>
      <c r="K4357">
        <f>IF(G4357=1,0.2*R4357/C4357,K4356)</f>
        <v/>
      </c>
      <c r="L4357">
        <f>IF(G4357=1,0.2*R4357/D4357,L4356)</f>
        <v/>
      </c>
      <c r="M4357">
        <f>IF(G4357=1,0.2*R4357/E4357,M4356)</f>
        <v/>
      </c>
      <c r="N4357">
        <f>IF(G4357=1,0.2*R4357/F4357,N4356)</f>
        <v/>
      </c>
      <c r="O4357">
        <f>IF(G4357=1,R4357*(1-1.0),IF(H4356=0,1,O4356*(1+0.00023125256064071564)))</f>
        <v/>
      </c>
      <c r="P4357">
        <f>IF(G4357=1,IF(H4356=0,1,ABS(0.2-J4356*B4357/I4357)+ABS(0.2-K4356*C4357/I4357)+ABS(0.2-L4356*D4357/I4357)+ABS(0.2-M4356*E4357/I4357)+ABS(0.2-N4356*F4357/I4357)),0)</f>
        <v/>
      </c>
      <c r="Q4357">
        <f>P4357*0.0015</f>
        <v/>
      </c>
      <c r="R4357">
        <f>I4357*(1-Q4357)</f>
        <v/>
      </c>
      <c r="S4357">
        <f>R4357/R4356-1</f>
        <v/>
      </c>
      <c r="T4357">
        <f>MAX(T4356,R4357)</f>
        <v/>
      </c>
      <c r="U4357">
        <f>R4357/T4357-1</f>
        <v/>
      </c>
      <c r="V4357" t="n">
        <v>15.85926853800219</v>
      </c>
      <c r="W4357" s="5">
        <f>R4357-V4357</f>
        <v/>
      </c>
    </row>
    <row r="4358">
      <c r="A4358" s="3" t="n">
        <v>44858</v>
      </c>
      <c r="B4358">
        <f>Prices!B4358</f>
        <v/>
      </c>
      <c r="C4358">
        <f>Prices!C4358</f>
        <v/>
      </c>
      <c r="D4358">
        <f>Prices!D4358</f>
        <v/>
      </c>
      <c r="E4358">
        <f>Prices!E4358</f>
        <v/>
      </c>
      <c r="F4358">
        <f>Prices!F4358</f>
        <v/>
      </c>
      <c r="G4358">
        <f>IF(AND(4356&gt;=16,TEXT(A4358,"yyyy-mm")&lt;&gt;TEXT(A4359,"yyyy-mm")),1,0)</f>
        <v/>
      </c>
      <c r="H4358">
        <f>IF(OR(H4357=1,G4358=1),1,0)</f>
        <v/>
      </c>
      <c r="I4358">
        <f>IF(H4357=0,1,SUMPRODUCT(J4357:N4357,B4358:F4358)+O4357*(1+0.00023125256064071564))</f>
        <v/>
      </c>
      <c r="J4358">
        <f>IF(G4358=1,0.2*R4358/B4358,J4357)</f>
        <v/>
      </c>
      <c r="K4358">
        <f>IF(G4358=1,0.2*R4358/C4358,K4357)</f>
        <v/>
      </c>
      <c r="L4358">
        <f>IF(G4358=1,0.2*R4358/D4358,L4357)</f>
        <v/>
      </c>
      <c r="M4358">
        <f>IF(G4358=1,0.2*R4358/E4358,M4357)</f>
        <v/>
      </c>
      <c r="N4358">
        <f>IF(G4358=1,0.2*R4358/F4358,N4357)</f>
        <v/>
      </c>
      <c r="O4358">
        <f>IF(G4358=1,R4358*(1-1.0),IF(H4357=0,1,O4357*(1+0.00023125256064071564)))</f>
        <v/>
      </c>
      <c r="P4358">
        <f>IF(G4358=1,IF(H4357=0,1,ABS(0.2-J4357*B4358/I4358)+ABS(0.2-K4357*C4358/I4358)+ABS(0.2-L4357*D4358/I4358)+ABS(0.2-M4357*E4358/I4358)+ABS(0.2-N4357*F4358/I4358)),0)</f>
        <v/>
      </c>
      <c r="Q4358">
        <f>P4358*0.0015</f>
        <v/>
      </c>
      <c r="R4358">
        <f>I4358*(1-Q4358)</f>
        <v/>
      </c>
      <c r="S4358">
        <f>R4358/R4357-1</f>
        <v/>
      </c>
      <c r="T4358">
        <f>MAX(T4357,R4358)</f>
        <v/>
      </c>
      <c r="U4358">
        <f>R4358/T4358-1</f>
        <v/>
      </c>
      <c r="V4358" t="n">
        <v>15.9676200719175</v>
      </c>
      <c r="W4358" s="5">
        <f>R4358-V4358</f>
        <v/>
      </c>
    </row>
    <row r="4359">
      <c r="A4359" s="3" t="n">
        <v>44859</v>
      </c>
      <c r="B4359">
        <f>Prices!B4359</f>
        <v/>
      </c>
      <c r="C4359">
        <f>Prices!C4359</f>
        <v/>
      </c>
      <c r="D4359">
        <f>Prices!D4359</f>
        <v/>
      </c>
      <c r="E4359">
        <f>Prices!E4359</f>
        <v/>
      </c>
      <c r="F4359">
        <f>Prices!F4359</f>
        <v/>
      </c>
      <c r="G4359">
        <f>IF(AND(4357&gt;=16,TEXT(A4359,"yyyy-mm")&lt;&gt;TEXT(A4360,"yyyy-mm")),1,0)</f>
        <v/>
      </c>
      <c r="H4359">
        <f>IF(OR(H4358=1,G4359=1),1,0)</f>
        <v/>
      </c>
      <c r="I4359">
        <f>IF(H4358=0,1,SUMPRODUCT(J4358:N4358,B4359:F4359)+O4358*(1+0.00023125256064071564))</f>
        <v/>
      </c>
      <c r="J4359">
        <f>IF(G4359=1,0.2*R4359/B4359,J4358)</f>
        <v/>
      </c>
      <c r="K4359">
        <f>IF(G4359=1,0.2*R4359/C4359,K4358)</f>
        <v/>
      </c>
      <c r="L4359">
        <f>IF(G4359=1,0.2*R4359/D4359,L4358)</f>
        <v/>
      </c>
      <c r="M4359">
        <f>IF(G4359=1,0.2*R4359/E4359,M4358)</f>
        <v/>
      </c>
      <c r="N4359">
        <f>IF(G4359=1,0.2*R4359/F4359,N4358)</f>
        <v/>
      </c>
      <c r="O4359">
        <f>IF(G4359=1,R4359*(1-1.0),IF(H4358=0,1,O4358*(1+0.00023125256064071564)))</f>
        <v/>
      </c>
      <c r="P4359">
        <f>IF(G4359=1,IF(H4358=0,1,ABS(0.2-J4358*B4359/I4359)+ABS(0.2-K4358*C4359/I4359)+ABS(0.2-L4358*D4359/I4359)+ABS(0.2-M4358*E4359/I4359)+ABS(0.2-N4358*F4359/I4359)),0)</f>
        <v/>
      </c>
      <c r="Q4359">
        <f>P4359*0.0015</f>
        <v/>
      </c>
      <c r="R4359">
        <f>I4359*(1-Q4359)</f>
        <v/>
      </c>
      <c r="S4359">
        <f>R4359/R4358-1</f>
        <v/>
      </c>
      <c r="T4359">
        <f>MAX(T4358,R4359)</f>
        <v/>
      </c>
      <c r="U4359">
        <f>R4359/T4359-1</f>
        <v/>
      </c>
      <c r="V4359" t="n">
        <v>15.98386386184094</v>
      </c>
      <c r="W4359" s="5">
        <f>R4359-V4359</f>
        <v/>
      </c>
    </row>
    <row r="4360">
      <c r="A4360" s="3" t="n">
        <v>44861</v>
      </c>
      <c r="B4360">
        <f>Prices!B4360</f>
        <v/>
      </c>
      <c r="C4360">
        <f>Prices!C4360</f>
        <v/>
      </c>
      <c r="D4360">
        <f>Prices!D4360</f>
        <v/>
      </c>
      <c r="E4360">
        <f>Prices!E4360</f>
        <v/>
      </c>
      <c r="F4360">
        <f>Prices!F4360</f>
        <v/>
      </c>
      <c r="G4360">
        <f>IF(AND(4358&gt;=16,TEXT(A4360,"yyyy-mm")&lt;&gt;TEXT(A4361,"yyyy-mm")),1,0)</f>
        <v/>
      </c>
      <c r="H4360">
        <f>IF(OR(H4359=1,G4360=1),1,0)</f>
        <v/>
      </c>
      <c r="I4360">
        <f>IF(H4359=0,1,SUMPRODUCT(J4359:N4359,B4360:F4360)+O4359*(1+0.00023125256064071564))</f>
        <v/>
      </c>
      <c r="J4360">
        <f>IF(G4360=1,0.2*R4360/B4360,J4359)</f>
        <v/>
      </c>
      <c r="K4360">
        <f>IF(G4360=1,0.2*R4360/C4360,K4359)</f>
        <v/>
      </c>
      <c r="L4360">
        <f>IF(G4360=1,0.2*R4360/D4360,L4359)</f>
        <v/>
      </c>
      <c r="M4360">
        <f>IF(G4360=1,0.2*R4360/E4360,M4359)</f>
        <v/>
      </c>
      <c r="N4360">
        <f>IF(G4360=1,0.2*R4360/F4360,N4359)</f>
        <v/>
      </c>
      <c r="O4360">
        <f>IF(G4360=1,R4360*(1-1.0),IF(H4359=0,1,O4359*(1+0.00023125256064071564)))</f>
        <v/>
      </c>
      <c r="P4360">
        <f>IF(G4360=1,IF(H4359=0,1,ABS(0.2-J4359*B4360/I4360)+ABS(0.2-K4359*C4360/I4360)+ABS(0.2-L4359*D4360/I4360)+ABS(0.2-M4359*E4360/I4360)+ABS(0.2-N4359*F4360/I4360)),0)</f>
        <v/>
      </c>
      <c r="Q4360">
        <f>P4360*0.0015</f>
        <v/>
      </c>
      <c r="R4360">
        <f>I4360*(1-Q4360)</f>
        <v/>
      </c>
      <c r="S4360">
        <f>R4360/R4359-1</f>
        <v/>
      </c>
      <c r="T4360">
        <f>MAX(T4359,R4360)</f>
        <v/>
      </c>
      <c r="U4360">
        <f>R4360/T4360-1</f>
        <v/>
      </c>
      <c r="V4360" t="n">
        <v>16.1020017963125</v>
      </c>
      <c r="W4360" s="5">
        <f>R4360-V4360</f>
        <v/>
      </c>
    </row>
    <row r="4361">
      <c r="A4361" s="3" t="n">
        <v>44862</v>
      </c>
      <c r="B4361">
        <f>Prices!B4361</f>
        <v/>
      </c>
      <c r="C4361">
        <f>Prices!C4361</f>
        <v/>
      </c>
      <c r="D4361">
        <f>Prices!D4361</f>
        <v/>
      </c>
      <c r="E4361">
        <f>Prices!E4361</f>
        <v/>
      </c>
      <c r="F4361">
        <f>Prices!F4361</f>
        <v/>
      </c>
      <c r="G4361">
        <f>IF(AND(4359&gt;=16,TEXT(A4361,"yyyy-mm")&lt;&gt;TEXT(A4362,"yyyy-mm")),1,0)</f>
        <v/>
      </c>
      <c r="H4361">
        <f>IF(OR(H4360=1,G4361=1),1,0)</f>
        <v/>
      </c>
      <c r="I4361">
        <f>IF(H4360=0,1,SUMPRODUCT(J4360:N4360,B4361:F4361)+O4360*(1+0.00023125256064071564))</f>
        <v/>
      </c>
      <c r="J4361">
        <f>IF(G4361=1,0.2*R4361/B4361,J4360)</f>
        <v/>
      </c>
      <c r="K4361">
        <f>IF(G4361=1,0.2*R4361/C4361,K4360)</f>
        <v/>
      </c>
      <c r="L4361">
        <f>IF(G4361=1,0.2*R4361/D4361,L4360)</f>
        <v/>
      </c>
      <c r="M4361">
        <f>IF(G4361=1,0.2*R4361/E4361,M4360)</f>
        <v/>
      </c>
      <c r="N4361">
        <f>IF(G4361=1,0.2*R4361/F4361,N4360)</f>
        <v/>
      </c>
      <c r="O4361">
        <f>IF(G4361=1,R4361*(1-1.0),IF(H4360=0,1,O4360*(1+0.00023125256064071564)))</f>
        <v/>
      </c>
      <c r="P4361">
        <f>IF(G4361=1,IF(H4360=0,1,ABS(0.2-J4360*B4361/I4361)+ABS(0.2-K4360*C4361/I4361)+ABS(0.2-L4360*D4361/I4361)+ABS(0.2-M4360*E4361/I4361)+ABS(0.2-N4360*F4361/I4361)),0)</f>
        <v/>
      </c>
      <c r="Q4361">
        <f>P4361*0.0015</f>
        <v/>
      </c>
      <c r="R4361">
        <f>I4361*(1-Q4361)</f>
        <v/>
      </c>
      <c r="S4361">
        <f>R4361/R4360-1</f>
        <v/>
      </c>
      <c r="T4361">
        <f>MAX(T4360,R4361)</f>
        <v/>
      </c>
      <c r="U4361">
        <f>R4361/T4361-1</f>
        <v/>
      </c>
      <c r="V4361" t="n">
        <v>16.04344724524592</v>
      </c>
      <c r="W4361" s="5">
        <f>R4361-V4361</f>
        <v/>
      </c>
    </row>
    <row r="4362">
      <c r="A4362" s="3" t="n">
        <v>44865</v>
      </c>
      <c r="B4362">
        <f>Prices!B4362</f>
        <v/>
      </c>
      <c r="C4362">
        <f>Prices!C4362</f>
        <v/>
      </c>
      <c r="D4362">
        <f>Prices!D4362</f>
        <v/>
      </c>
      <c r="E4362">
        <f>Prices!E4362</f>
        <v/>
      </c>
      <c r="F4362">
        <f>Prices!F4362</f>
        <v/>
      </c>
      <c r="G4362">
        <f>IF(AND(4360&gt;=16,TEXT(A4362,"yyyy-mm")&lt;&gt;TEXT(A4363,"yyyy-mm")),1,0)</f>
        <v/>
      </c>
      <c r="H4362">
        <f>IF(OR(H4361=1,G4362=1),1,0)</f>
        <v/>
      </c>
      <c r="I4362">
        <f>IF(H4361=0,1,SUMPRODUCT(J4361:N4361,B4362:F4362)+O4361*(1+0.00023125256064071564))</f>
        <v/>
      </c>
      <c r="J4362">
        <f>IF(G4362=1,0.2*R4362/B4362,J4361)</f>
        <v/>
      </c>
      <c r="K4362">
        <f>IF(G4362=1,0.2*R4362/C4362,K4361)</f>
        <v/>
      </c>
      <c r="L4362">
        <f>IF(G4362=1,0.2*R4362/D4362,L4361)</f>
        <v/>
      </c>
      <c r="M4362">
        <f>IF(G4362=1,0.2*R4362/E4362,M4361)</f>
        <v/>
      </c>
      <c r="N4362">
        <f>IF(G4362=1,0.2*R4362/F4362,N4361)</f>
        <v/>
      </c>
      <c r="O4362">
        <f>IF(G4362=1,R4362*(1-1.0),IF(H4361=0,1,O4361*(1+0.00023125256064071564)))</f>
        <v/>
      </c>
      <c r="P4362">
        <f>IF(G4362=1,IF(H4361=0,1,ABS(0.2-J4361*B4362/I4362)+ABS(0.2-K4361*C4362/I4362)+ABS(0.2-L4361*D4362/I4362)+ABS(0.2-M4361*E4362/I4362)+ABS(0.2-N4361*F4362/I4362)),0)</f>
        <v/>
      </c>
      <c r="Q4362">
        <f>P4362*0.0015</f>
        <v/>
      </c>
      <c r="R4362">
        <f>I4362*(1-Q4362)</f>
        <v/>
      </c>
      <c r="S4362">
        <f>R4362/R4361-1</f>
        <v/>
      </c>
      <c r="T4362">
        <f>MAX(T4361,R4362)</f>
        <v/>
      </c>
      <c r="U4362">
        <f>R4362/T4362-1</f>
        <v/>
      </c>
      <c r="V4362" t="n">
        <v>16.16818925028733</v>
      </c>
      <c r="W4362" s="5">
        <f>R4362-V4362</f>
        <v/>
      </c>
    </row>
    <row r="4363">
      <c r="A4363" s="3" t="n">
        <v>44866</v>
      </c>
      <c r="B4363">
        <f>Prices!B4363</f>
        <v/>
      </c>
      <c r="C4363">
        <f>Prices!C4363</f>
        <v/>
      </c>
      <c r="D4363">
        <f>Prices!D4363</f>
        <v/>
      </c>
      <c r="E4363">
        <f>Prices!E4363</f>
        <v/>
      </c>
      <c r="F4363">
        <f>Prices!F4363</f>
        <v/>
      </c>
      <c r="G4363">
        <f>IF(AND(4361&gt;=16,TEXT(A4363,"yyyy-mm")&lt;&gt;TEXT(A4364,"yyyy-mm")),1,0)</f>
        <v/>
      </c>
      <c r="H4363">
        <f>IF(OR(H4362=1,G4363=1),1,0)</f>
        <v/>
      </c>
      <c r="I4363">
        <f>IF(H4362=0,1,SUMPRODUCT(J4362:N4362,B4363:F4363)+O4362*(1+0.00023125256064071564))</f>
        <v/>
      </c>
      <c r="J4363">
        <f>IF(G4363=1,0.2*R4363/B4363,J4362)</f>
        <v/>
      </c>
      <c r="K4363">
        <f>IF(G4363=1,0.2*R4363/C4363,K4362)</f>
        <v/>
      </c>
      <c r="L4363">
        <f>IF(G4363=1,0.2*R4363/D4363,L4362)</f>
        <v/>
      </c>
      <c r="M4363">
        <f>IF(G4363=1,0.2*R4363/E4363,M4362)</f>
        <v/>
      </c>
      <c r="N4363">
        <f>IF(G4363=1,0.2*R4363/F4363,N4362)</f>
        <v/>
      </c>
      <c r="O4363">
        <f>IF(G4363=1,R4363*(1-1.0),IF(H4362=0,1,O4362*(1+0.00023125256064071564)))</f>
        <v/>
      </c>
      <c r="P4363">
        <f>IF(G4363=1,IF(H4362=0,1,ABS(0.2-J4362*B4363/I4363)+ABS(0.2-K4362*C4363/I4363)+ABS(0.2-L4362*D4363/I4363)+ABS(0.2-M4362*E4363/I4363)+ABS(0.2-N4362*F4363/I4363)),0)</f>
        <v/>
      </c>
      <c r="Q4363">
        <f>P4363*0.0015</f>
        <v/>
      </c>
      <c r="R4363">
        <f>I4363*(1-Q4363)</f>
        <v/>
      </c>
      <c r="S4363">
        <f>R4363/R4362-1</f>
        <v/>
      </c>
      <c r="T4363">
        <f>MAX(T4362,R4363)</f>
        <v/>
      </c>
      <c r="U4363">
        <f>R4363/T4363-1</f>
        <v/>
      </c>
      <c r="V4363" t="n">
        <v>16.34543903000401</v>
      </c>
      <c r="W4363" s="5">
        <f>R4363-V4363</f>
        <v/>
      </c>
    </row>
    <row r="4364">
      <c r="A4364" s="3" t="n">
        <v>44867</v>
      </c>
      <c r="B4364">
        <f>Prices!B4364</f>
        <v/>
      </c>
      <c r="C4364">
        <f>Prices!C4364</f>
        <v/>
      </c>
      <c r="D4364">
        <f>Prices!D4364</f>
        <v/>
      </c>
      <c r="E4364">
        <f>Prices!E4364</f>
        <v/>
      </c>
      <c r="F4364">
        <f>Prices!F4364</f>
        <v/>
      </c>
      <c r="G4364">
        <f>IF(AND(4362&gt;=16,TEXT(A4364,"yyyy-mm")&lt;&gt;TEXT(A4365,"yyyy-mm")),1,0)</f>
        <v/>
      </c>
      <c r="H4364">
        <f>IF(OR(H4363=1,G4364=1),1,0)</f>
        <v/>
      </c>
      <c r="I4364">
        <f>IF(H4363=0,1,SUMPRODUCT(J4363:N4363,B4364:F4364)+O4363*(1+0.00023125256064071564))</f>
        <v/>
      </c>
      <c r="J4364">
        <f>IF(G4364=1,0.2*R4364/B4364,J4363)</f>
        <v/>
      </c>
      <c r="K4364">
        <f>IF(G4364=1,0.2*R4364/C4364,K4363)</f>
        <v/>
      </c>
      <c r="L4364">
        <f>IF(G4364=1,0.2*R4364/D4364,L4363)</f>
        <v/>
      </c>
      <c r="M4364">
        <f>IF(G4364=1,0.2*R4364/E4364,M4363)</f>
        <v/>
      </c>
      <c r="N4364">
        <f>IF(G4364=1,0.2*R4364/F4364,N4363)</f>
        <v/>
      </c>
      <c r="O4364">
        <f>IF(G4364=1,R4364*(1-1.0),IF(H4363=0,1,O4363*(1+0.00023125256064071564)))</f>
        <v/>
      </c>
      <c r="P4364">
        <f>IF(G4364=1,IF(H4363=0,1,ABS(0.2-J4363*B4364/I4364)+ABS(0.2-K4363*C4364/I4364)+ABS(0.2-L4363*D4364/I4364)+ABS(0.2-M4363*E4364/I4364)+ABS(0.2-N4363*F4364/I4364)),0)</f>
        <v/>
      </c>
      <c r="Q4364">
        <f>P4364*0.0015</f>
        <v/>
      </c>
      <c r="R4364">
        <f>I4364*(1-Q4364)</f>
        <v/>
      </c>
      <c r="S4364">
        <f>R4364/R4363-1</f>
        <v/>
      </c>
      <c r="T4364">
        <f>MAX(T4363,R4364)</f>
        <v/>
      </c>
      <c r="U4364">
        <f>R4364/T4364-1</f>
        <v/>
      </c>
      <c r="V4364" t="n">
        <v>16.32633020152696</v>
      </c>
      <c r="W4364" s="5">
        <f>R4364-V4364</f>
        <v/>
      </c>
    </row>
    <row r="4365">
      <c r="A4365" s="3" t="n">
        <v>44868</v>
      </c>
      <c r="B4365">
        <f>Prices!B4365</f>
        <v/>
      </c>
      <c r="C4365">
        <f>Prices!C4365</f>
        <v/>
      </c>
      <c r="D4365">
        <f>Prices!D4365</f>
        <v/>
      </c>
      <c r="E4365">
        <f>Prices!E4365</f>
        <v/>
      </c>
      <c r="F4365">
        <f>Prices!F4365</f>
        <v/>
      </c>
      <c r="G4365">
        <f>IF(AND(4363&gt;=16,TEXT(A4365,"yyyy-mm")&lt;&gt;TEXT(A4366,"yyyy-mm")),1,0)</f>
        <v/>
      </c>
      <c r="H4365">
        <f>IF(OR(H4364=1,G4365=1),1,0)</f>
        <v/>
      </c>
      <c r="I4365">
        <f>IF(H4364=0,1,SUMPRODUCT(J4364:N4364,B4365:F4365)+O4364*(1+0.00023125256064071564))</f>
        <v/>
      </c>
      <c r="J4365">
        <f>IF(G4365=1,0.2*R4365/B4365,J4364)</f>
        <v/>
      </c>
      <c r="K4365">
        <f>IF(G4365=1,0.2*R4365/C4365,K4364)</f>
        <v/>
      </c>
      <c r="L4365">
        <f>IF(G4365=1,0.2*R4365/D4365,L4364)</f>
        <v/>
      </c>
      <c r="M4365">
        <f>IF(G4365=1,0.2*R4365/E4365,M4364)</f>
        <v/>
      </c>
      <c r="N4365">
        <f>IF(G4365=1,0.2*R4365/F4365,N4364)</f>
        <v/>
      </c>
      <c r="O4365">
        <f>IF(G4365=1,R4365*(1-1.0),IF(H4364=0,1,O4364*(1+0.00023125256064071564)))</f>
        <v/>
      </c>
      <c r="P4365">
        <f>IF(G4365=1,IF(H4364=0,1,ABS(0.2-J4364*B4365/I4365)+ABS(0.2-K4364*C4365/I4365)+ABS(0.2-L4364*D4365/I4365)+ABS(0.2-M4364*E4365/I4365)+ABS(0.2-N4364*F4365/I4365)),0)</f>
        <v/>
      </c>
      <c r="Q4365">
        <f>P4365*0.0015</f>
        <v/>
      </c>
      <c r="R4365">
        <f>I4365*(1-Q4365)</f>
        <v/>
      </c>
      <c r="S4365">
        <f>R4365/R4364-1</f>
        <v/>
      </c>
      <c r="T4365">
        <f>MAX(T4364,R4365)</f>
        <v/>
      </c>
      <c r="U4365">
        <f>R4365/T4365-1</f>
        <v/>
      </c>
      <c r="V4365" t="n">
        <v>16.33963145294089</v>
      </c>
      <c r="W4365" s="5">
        <f>R4365-V4365</f>
        <v/>
      </c>
    </row>
    <row r="4366">
      <c r="A4366" s="3" t="n">
        <v>44869</v>
      </c>
      <c r="B4366">
        <f>Prices!B4366</f>
        <v/>
      </c>
      <c r="C4366">
        <f>Prices!C4366</f>
        <v/>
      </c>
      <c r="D4366">
        <f>Prices!D4366</f>
        <v/>
      </c>
      <c r="E4366">
        <f>Prices!E4366</f>
        <v/>
      </c>
      <c r="F4366">
        <f>Prices!F4366</f>
        <v/>
      </c>
      <c r="G4366">
        <f>IF(AND(4364&gt;=16,TEXT(A4366,"yyyy-mm")&lt;&gt;TEXT(A4367,"yyyy-mm")),1,0)</f>
        <v/>
      </c>
      <c r="H4366">
        <f>IF(OR(H4365=1,G4366=1),1,0)</f>
        <v/>
      </c>
      <c r="I4366">
        <f>IF(H4365=0,1,SUMPRODUCT(J4365:N4365,B4366:F4366)+O4365*(1+0.00023125256064071564))</f>
        <v/>
      </c>
      <c r="J4366">
        <f>IF(G4366=1,0.2*R4366/B4366,J4365)</f>
        <v/>
      </c>
      <c r="K4366">
        <f>IF(G4366=1,0.2*R4366/C4366,K4365)</f>
        <v/>
      </c>
      <c r="L4366">
        <f>IF(G4366=1,0.2*R4366/D4366,L4365)</f>
        <v/>
      </c>
      <c r="M4366">
        <f>IF(G4366=1,0.2*R4366/E4366,M4365)</f>
        <v/>
      </c>
      <c r="N4366">
        <f>IF(G4366=1,0.2*R4366/F4366,N4365)</f>
        <v/>
      </c>
      <c r="O4366">
        <f>IF(G4366=1,R4366*(1-1.0),IF(H4365=0,1,O4365*(1+0.00023125256064071564)))</f>
        <v/>
      </c>
      <c r="P4366">
        <f>IF(G4366=1,IF(H4365=0,1,ABS(0.2-J4365*B4366/I4366)+ABS(0.2-K4365*C4366/I4366)+ABS(0.2-L4365*D4366/I4366)+ABS(0.2-M4365*E4366/I4366)+ABS(0.2-N4365*F4366/I4366)),0)</f>
        <v/>
      </c>
      <c r="Q4366">
        <f>P4366*0.0015</f>
        <v/>
      </c>
      <c r="R4366">
        <f>I4366*(1-Q4366)</f>
        <v/>
      </c>
      <c r="S4366">
        <f>R4366/R4365-1</f>
        <v/>
      </c>
      <c r="T4366">
        <f>MAX(T4365,R4366)</f>
        <v/>
      </c>
      <c r="U4366">
        <f>R4366/T4366-1</f>
        <v/>
      </c>
      <c r="V4366" t="n">
        <v>16.38847865214824</v>
      </c>
      <c r="W4366" s="5">
        <f>R4366-V4366</f>
        <v/>
      </c>
    </row>
    <row r="4367">
      <c r="A4367" s="3" t="n">
        <v>44872</v>
      </c>
      <c r="B4367">
        <f>Prices!B4367</f>
        <v/>
      </c>
      <c r="C4367">
        <f>Prices!C4367</f>
        <v/>
      </c>
      <c r="D4367">
        <f>Prices!D4367</f>
        <v/>
      </c>
      <c r="E4367">
        <f>Prices!E4367</f>
        <v/>
      </c>
      <c r="F4367">
        <f>Prices!F4367</f>
        <v/>
      </c>
      <c r="G4367">
        <f>IF(AND(4365&gt;=16,TEXT(A4367,"yyyy-mm")&lt;&gt;TEXT(A4368,"yyyy-mm")),1,0)</f>
        <v/>
      </c>
      <c r="H4367">
        <f>IF(OR(H4366=1,G4367=1),1,0)</f>
        <v/>
      </c>
      <c r="I4367">
        <f>IF(H4366=0,1,SUMPRODUCT(J4366:N4366,B4367:F4367)+O4366*(1+0.00023125256064071564))</f>
        <v/>
      </c>
      <c r="J4367">
        <f>IF(G4367=1,0.2*R4367/B4367,J4366)</f>
        <v/>
      </c>
      <c r="K4367">
        <f>IF(G4367=1,0.2*R4367/C4367,K4366)</f>
        <v/>
      </c>
      <c r="L4367">
        <f>IF(G4367=1,0.2*R4367/D4367,L4366)</f>
        <v/>
      </c>
      <c r="M4367">
        <f>IF(G4367=1,0.2*R4367/E4367,M4366)</f>
        <v/>
      </c>
      <c r="N4367">
        <f>IF(G4367=1,0.2*R4367/F4367,N4366)</f>
        <v/>
      </c>
      <c r="O4367">
        <f>IF(G4367=1,R4367*(1-1.0),IF(H4366=0,1,O4366*(1+0.00023125256064071564)))</f>
        <v/>
      </c>
      <c r="P4367">
        <f>IF(G4367=1,IF(H4366=0,1,ABS(0.2-J4366*B4367/I4367)+ABS(0.2-K4366*C4367/I4367)+ABS(0.2-L4366*D4367/I4367)+ABS(0.2-M4366*E4367/I4367)+ABS(0.2-N4366*F4367/I4367)),0)</f>
        <v/>
      </c>
      <c r="Q4367">
        <f>P4367*0.0015</f>
        <v/>
      </c>
      <c r="R4367">
        <f>I4367*(1-Q4367)</f>
        <v/>
      </c>
      <c r="S4367">
        <f>R4367/R4366-1</f>
        <v/>
      </c>
      <c r="T4367">
        <f>MAX(T4366,R4367)</f>
        <v/>
      </c>
      <c r="U4367">
        <f>R4367/T4367-1</f>
        <v/>
      </c>
      <c r="V4367" t="n">
        <v>16.51928517086695</v>
      </c>
      <c r="W4367" s="5">
        <f>R4367-V4367</f>
        <v/>
      </c>
    </row>
    <row r="4368">
      <c r="A4368" s="3" t="n">
        <v>44874</v>
      </c>
      <c r="B4368">
        <f>Prices!B4368</f>
        <v/>
      </c>
      <c r="C4368">
        <f>Prices!C4368</f>
        <v/>
      </c>
      <c r="D4368">
        <f>Prices!D4368</f>
        <v/>
      </c>
      <c r="E4368">
        <f>Prices!E4368</f>
        <v/>
      </c>
      <c r="F4368">
        <f>Prices!F4368</f>
        <v/>
      </c>
      <c r="G4368">
        <f>IF(AND(4366&gt;=16,TEXT(A4368,"yyyy-mm")&lt;&gt;TEXT(A4369,"yyyy-mm")),1,0)</f>
        <v/>
      </c>
      <c r="H4368">
        <f>IF(OR(H4367=1,G4368=1),1,0)</f>
        <v/>
      </c>
      <c r="I4368">
        <f>IF(H4367=0,1,SUMPRODUCT(J4367:N4367,B4368:F4368)+O4367*(1+0.00023125256064071564))</f>
        <v/>
      </c>
      <c r="J4368">
        <f>IF(G4368=1,0.2*R4368/B4368,J4367)</f>
        <v/>
      </c>
      <c r="K4368">
        <f>IF(G4368=1,0.2*R4368/C4368,K4367)</f>
        <v/>
      </c>
      <c r="L4368">
        <f>IF(G4368=1,0.2*R4368/D4368,L4367)</f>
        <v/>
      </c>
      <c r="M4368">
        <f>IF(G4368=1,0.2*R4368/E4368,M4367)</f>
        <v/>
      </c>
      <c r="N4368">
        <f>IF(G4368=1,0.2*R4368/F4368,N4367)</f>
        <v/>
      </c>
      <c r="O4368">
        <f>IF(G4368=1,R4368*(1-1.0),IF(H4367=0,1,O4367*(1+0.00023125256064071564)))</f>
        <v/>
      </c>
      <c r="P4368">
        <f>IF(G4368=1,IF(H4367=0,1,ABS(0.2-J4367*B4368/I4368)+ABS(0.2-K4367*C4368/I4368)+ABS(0.2-L4367*D4368/I4368)+ABS(0.2-M4367*E4368/I4368)+ABS(0.2-N4367*F4368/I4368)),0)</f>
        <v/>
      </c>
      <c r="Q4368">
        <f>P4368*0.0015</f>
        <v/>
      </c>
      <c r="R4368">
        <f>I4368*(1-Q4368)</f>
        <v/>
      </c>
      <c r="S4368">
        <f>R4368/R4367-1</f>
        <v/>
      </c>
      <c r="T4368">
        <f>MAX(T4367,R4368)</f>
        <v/>
      </c>
      <c r="U4368">
        <f>R4368/T4368-1</f>
        <v/>
      </c>
      <c r="V4368" t="n">
        <v>16.46589494389228</v>
      </c>
      <c r="W4368" s="5">
        <f>R4368-V4368</f>
        <v/>
      </c>
    </row>
    <row r="4369">
      <c r="A4369" s="3" t="n">
        <v>44875</v>
      </c>
      <c r="B4369">
        <f>Prices!B4369</f>
        <v/>
      </c>
      <c r="C4369">
        <f>Prices!C4369</f>
        <v/>
      </c>
      <c r="D4369">
        <f>Prices!D4369</f>
        <v/>
      </c>
      <c r="E4369">
        <f>Prices!E4369</f>
        <v/>
      </c>
      <c r="F4369">
        <f>Prices!F4369</f>
        <v/>
      </c>
      <c r="G4369">
        <f>IF(AND(4367&gt;=16,TEXT(A4369,"yyyy-mm")&lt;&gt;TEXT(A4370,"yyyy-mm")),1,0)</f>
        <v/>
      </c>
      <c r="H4369">
        <f>IF(OR(H4368=1,G4369=1),1,0)</f>
        <v/>
      </c>
      <c r="I4369">
        <f>IF(H4368=0,1,SUMPRODUCT(J4368:N4368,B4369:F4369)+O4368*(1+0.00023125256064071564))</f>
        <v/>
      </c>
      <c r="J4369">
        <f>IF(G4369=1,0.2*R4369/B4369,J4368)</f>
        <v/>
      </c>
      <c r="K4369">
        <f>IF(G4369=1,0.2*R4369/C4369,K4368)</f>
        <v/>
      </c>
      <c r="L4369">
        <f>IF(G4369=1,0.2*R4369/D4369,L4368)</f>
        <v/>
      </c>
      <c r="M4369">
        <f>IF(G4369=1,0.2*R4369/E4369,M4368)</f>
        <v/>
      </c>
      <c r="N4369">
        <f>IF(G4369=1,0.2*R4369/F4369,N4368)</f>
        <v/>
      </c>
      <c r="O4369">
        <f>IF(G4369=1,R4369*(1-1.0),IF(H4368=0,1,O4368*(1+0.00023125256064071564)))</f>
        <v/>
      </c>
      <c r="P4369">
        <f>IF(G4369=1,IF(H4368=0,1,ABS(0.2-J4368*B4369/I4369)+ABS(0.2-K4368*C4369/I4369)+ABS(0.2-L4368*D4369/I4369)+ABS(0.2-M4368*E4369/I4369)+ABS(0.2-N4368*F4369/I4369)),0)</f>
        <v/>
      </c>
      <c r="Q4369">
        <f>P4369*0.0015</f>
        <v/>
      </c>
      <c r="R4369">
        <f>I4369*(1-Q4369)</f>
        <v/>
      </c>
      <c r="S4369">
        <f>R4369/R4368-1</f>
        <v/>
      </c>
      <c r="T4369">
        <f>MAX(T4368,R4369)</f>
        <v/>
      </c>
      <c r="U4369">
        <f>R4369/T4369-1</f>
        <v/>
      </c>
      <c r="V4369" t="n">
        <v>16.31470052992585</v>
      </c>
      <c r="W4369" s="5">
        <f>R4369-V4369</f>
        <v/>
      </c>
    </row>
    <row r="4370">
      <c r="A4370" s="3" t="n">
        <v>44876</v>
      </c>
      <c r="B4370">
        <f>Prices!B4370</f>
        <v/>
      </c>
      <c r="C4370">
        <f>Prices!C4370</f>
        <v/>
      </c>
      <c r="D4370">
        <f>Prices!D4370</f>
        <v/>
      </c>
      <c r="E4370">
        <f>Prices!E4370</f>
        <v/>
      </c>
      <c r="F4370">
        <f>Prices!F4370</f>
        <v/>
      </c>
      <c r="G4370">
        <f>IF(AND(4368&gt;=16,TEXT(A4370,"yyyy-mm")&lt;&gt;TEXT(A4371,"yyyy-mm")),1,0)</f>
        <v/>
      </c>
      <c r="H4370">
        <f>IF(OR(H4369=1,G4370=1),1,0)</f>
        <v/>
      </c>
      <c r="I4370">
        <f>IF(H4369=0,1,SUMPRODUCT(J4369:N4369,B4370:F4370)+O4369*(1+0.00023125256064071564))</f>
        <v/>
      </c>
      <c r="J4370">
        <f>IF(G4370=1,0.2*R4370/B4370,J4369)</f>
        <v/>
      </c>
      <c r="K4370">
        <f>IF(G4370=1,0.2*R4370/C4370,K4369)</f>
        <v/>
      </c>
      <c r="L4370">
        <f>IF(G4370=1,0.2*R4370/D4370,L4369)</f>
        <v/>
      </c>
      <c r="M4370">
        <f>IF(G4370=1,0.2*R4370/E4370,M4369)</f>
        <v/>
      </c>
      <c r="N4370">
        <f>IF(G4370=1,0.2*R4370/F4370,N4369)</f>
        <v/>
      </c>
      <c r="O4370">
        <f>IF(G4370=1,R4370*(1-1.0),IF(H4369=0,1,O4369*(1+0.00023125256064071564)))</f>
        <v/>
      </c>
      <c r="P4370">
        <f>IF(G4370=1,IF(H4369=0,1,ABS(0.2-J4369*B4370/I4370)+ABS(0.2-K4369*C4370/I4370)+ABS(0.2-L4369*D4370/I4370)+ABS(0.2-M4369*E4370/I4370)+ABS(0.2-N4369*F4370/I4370)),0)</f>
        <v/>
      </c>
      <c r="Q4370">
        <f>P4370*0.0015</f>
        <v/>
      </c>
      <c r="R4370">
        <f>I4370*(1-Q4370)</f>
        <v/>
      </c>
      <c r="S4370">
        <f>R4370/R4369-1</f>
        <v/>
      </c>
      <c r="T4370">
        <f>MAX(T4369,R4370)</f>
        <v/>
      </c>
      <c r="U4370">
        <f>R4370/T4370-1</f>
        <v/>
      </c>
      <c r="V4370" t="n">
        <v>16.38066533142272</v>
      </c>
      <c r="W4370" s="5">
        <f>R4370-V4370</f>
        <v/>
      </c>
    </row>
    <row r="4371">
      <c r="A4371" s="3" t="n">
        <v>44879</v>
      </c>
      <c r="B4371">
        <f>Prices!B4371</f>
        <v/>
      </c>
      <c r="C4371">
        <f>Prices!C4371</f>
        <v/>
      </c>
      <c r="D4371">
        <f>Prices!D4371</f>
        <v/>
      </c>
      <c r="E4371">
        <f>Prices!E4371</f>
        <v/>
      </c>
      <c r="F4371">
        <f>Prices!F4371</f>
        <v/>
      </c>
      <c r="G4371">
        <f>IF(AND(4369&gt;=16,TEXT(A4371,"yyyy-mm")&lt;&gt;TEXT(A4372,"yyyy-mm")),1,0)</f>
        <v/>
      </c>
      <c r="H4371">
        <f>IF(OR(H4370=1,G4371=1),1,0)</f>
        <v/>
      </c>
      <c r="I4371">
        <f>IF(H4370=0,1,SUMPRODUCT(J4370:N4370,B4371:F4371)+O4370*(1+0.00023125256064071564))</f>
        <v/>
      </c>
      <c r="J4371">
        <f>IF(G4371=1,0.2*R4371/B4371,J4370)</f>
        <v/>
      </c>
      <c r="K4371">
        <f>IF(G4371=1,0.2*R4371/C4371,K4370)</f>
        <v/>
      </c>
      <c r="L4371">
        <f>IF(G4371=1,0.2*R4371/D4371,L4370)</f>
        <v/>
      </c>
      <c r="M4371">
        <f>IF(G4371=1,0.2*R4371/E4371,M4370)</f>
        <v/>
      </c>
      <c r="N4371">
        <f>IF(G4371=1,0.2*R4371/F4371,N4370)</f>
        <v/>
      </c>
      <c r="O4371">
        <f>IF(G4371=1,R4371*(1-1.0),IF(H4370=0,1,O4370*(1+0.00023125256064071564)))</f>
        <v/>
      </c>
      <c r="P4371">
        <f>IF(G4371=1,IF(H4370=0,1,ABS(0.2-J4370*B4371/I4371)+ABS(0.2-K4370*C4371/I4371)+ABS(0.2-L4370*D4371/I4371)+ABS(0.2-M4370*E4371/I4371)+ABS(0.2-N4370*F4371/I4371)),0)</f>
        <v/>
      </c>
      <c r="Q4371">
        <f>P4371*0.0015</f>
        <v/>
      </c>
      <c r="R4371">
        <f>I4371*(1-Q4371)</f>
        <v/>
      </c>
      <c r="S4371">
        <f>R4371/R4370-1</f>
        <v/>
      </c>
      <c r="T4371">
        <f>MAX(T4370,R4371)</f>
        <v/>
      </c>
      <c r="U4371">
        <f>R4371/T4371-1</f>
        <v/>
      </c>
      <c r="V4371" t="n">
        <v>16.3801231802438</v>
      </c>
      <c r="W4371" s="5">
        <f>R4371-V4371</f>
        <v/>
      </c>
    </row>
    <row r="4372">
      <c r="A4372" s="3" t="n">
        <v>44880</v>
      </c>
      <c r="B4372">
        <f>Prices!B4372</f>
        <v/>
      </c>
      <c r="C4372">
        <f>Prices!C4372</f>
        <v/>
      </c>
      <c r="D4372">
        <f>Prices!D4372</f>
        <v/>
      </c>
      <c r="E4372">
        <f>Prices!E4372</f>
        <v/>
      </c>
      <c r="F4372">
        <f>Prices!F4372</f>
        <v/>
      </c>
      <c r="G4372">
        <f>IF(AND(4370&gt;=16,TEXT(A4372,"yyyy-mm")&lt;&gt;TEXT(A4373,"yyyy-mm")),1,0)</f>
        <v/>
      </c>
      <c r="H4372">
        <f>IF(OR(H4371=1,G4372=1),1,0)</f>
        <v/>
      </c>
      <c r="I4372">
        <f>IF(H4371=0,1,SUMPRODUCT(J4371:N4371,B4372:F4372)+O4371*(1+0.00023125256064071564))</f>
        <v/>
      </c>
      <c r="J4372">
        <f>IF(G4372=1,0.2*R4372/B4372,J4371)</f>
        <v/>
      </c>
      <c r="K4372">
        <f>IF(G4372=1,0.2*R4372/C4372,K4371)</f>
        <v/>
      </c>
      <c r="L4372">
        <f>IF(G4372=1,0.2*R4372/D4372,L4371)</f>
        <v/>
      </c>
      <c r="M4372">
        <f>IF(G4372=1,0.2*R4372/E4372,M4371)</f>
        <v/>
      </c>
      <c r="N4372">
        <f>IF(G4372=1,0.2*R4372/F4372,N4371)</f>
        <v/>
      </c>
      <c r="O4372">
        <f>IF(G4372=1,R4372*(1-1.0),IF(H4371=0,1,O4371*(1+0.00023125256064071564)))</f>
        <v/>
      </c>
      <c r="P4372">
        <f>IF(G4372=1,IF(H4371=0,1,ABS(0.2-J4371*B4372/I4372)+ABS(0.2-K4371*C4372/I4372)+ABS(0.2-L4371*D4372/I4372)+ABS(0.2-M4371*E4372/I4372)+ABS(0.2-N4371*F4372/I4372)),0)</f>
        <v/>
      </c>
      <c r="Q4372">
        <f>P4372*0.0015</f>
        <v/>
      </c>
      <c r="R4372">
        <f>I4372*(1-Q4372)</f>
        <v/>
      </c>
      <c r="S4372">
        <f>R4372/R4371-1</f>
        <v/>
      </c>
      <c r="T4372">
        <f>MAX(T4371,R4372)</f>
        <v/>
      </c>
      <c r="U4372">
        <f>R4372/T4372-1</f>
        <v/>
      </c>
      <c r="V4372" t="n">
        <v>16.42035608297273</v>
      </c>
      <c r="W4372" s="5">
        <f>R4372-V4372</f>
        <v/>
      </c>
    </row>
    <row r="4373">
      <c r="A4373" s="3" t="n">
        <v>44881</v>
      </c>
      <c r="B4373">
        <f>Prices!B4373</f>
        <v/>
      </c>
      <c r="C4373">
        <f>Prices!C4373</f>
        <v/>
      </c>
      <c r="D4373">
        <f>Prices!D4373</f>
        <v/>
      </c>
      <c r="E4373">
        <f>Prices!E4373</f>
        <v/>
      </c>
      <c r="F4373">
        <f>Prices!F4373</f>
        <v/>
      </c>
      <c r="G4373">
        <f>IF(AND(4371&gt;=16,TEXT(A4373,"yyyy-mm")&lt;&gt;TEXT(A4374,"yyyy-mm")),1,0)</f>
        <v/>
      </c>
      <c r="H4373">
        <f>IF(OR(H4372=1,G4373=1),1,0)</f>
        <v/>
      </c>
      <c r="I4373">
        <f>IF(H4372=0,1,SUMPRODUCT(J4372:N4372,B4373:F4373)+O4372*(1+0.00023125256064071564))</f>
        <v/>
      </c>
      <c r="J4373">
        <f>IF(G4373=1,0.2*R4373/B4373,J4372)</f>
        <v/>
      </c>
      <c r="K4373">
        <f>IF(G4373=1,0.2*R4373/C4373,K4372)</f>
        <v/>
      </c>
      <c r="L4373">
        <f>IF(G4373=1,0.2*R4373/D4373,L4372)</f>
        <v/>
      </c>
      <c r="M4373">
        <f>IF(G4373=1,0.2*R4373/E4373,M4372)</f>
        <v/>
      </c>
      <c r="N4373">
        <f>IF(G4373=1,0.2*R4373/F4373,N4372)</f>
        <v/>
      </c>
      <c r="O4373">
        <f>IF(G4373=1,R4373*(1-1.0),IF(H4372=0,1,O4372*(1+0.00023125256064071564)))</f>
        <v/>
      </c>
      <c r="P4373">
        <f>IF(G4373=1,IF(H4372=0,1,ABS(0.2-J4372*B4373/I4373)+ABS(0.2-K4372*C4373/I4373)+ABS(0.2-L4372*D4373/I4373)+ABS(0.2-M4372*E4373/I4373)+ABS(0.2-N4372*F4373/I4373)),0)</f>
        <v/>
      </c>
      <c r="Q4373">
        <f>P4373*0.0015</f>
        <v/>
      </c>
      <c r="R4373">
        <f>I4373*(1-Q4373)</f>
        <v/>
      </c>
      <c r="S4373">
        <f>R4373/R4372-1</f>
        <v/>
      </c>
      <c r="T4373">
        <f>MAX(T4372,R4373)</f>
        <v/>
      </c>
      <c r="U4373">
        <f>R4373/T4373-1</f>
        <v/>
      </c>
      <c r="V4373" t="n">
        <v>16.34873064930028</v>
      </c>
      <c r="W4373" s="5">
        <f>R4373-V4373</f>
        <v/>
      </c>
    </row>
    <row r="4374">
      <c r="A4374" s="3" t="n">
        <v>44882</v>
      </c>
      <c r="B4374">
        <f>Prices!B4374</f>
        <v/>
      </c>
      <c r="C4374">
        <f>Prices!C4374</f>
        <v/>
      </c>
      <c r="D4374">
        <f>Prices!D4374</f>
        <v/>
      </c>
      <c r="E4374">
        <f>Prices!E4374</f>
        <v/>
      </c>
      <c r="F4374">
        <f>Prices!F4374</f>
        <v/>
      </c>
      <c r="G4374">
        <f>IF(AND(4372&gt;=16,TEXT(A4374,"yyyy-mm")&lt;&gt;TEXT(A4375,"yyyy-mm")),1,0)</f>
        <v/>
      </c>
      <c r="H4374">
        <f>IF(OR(H4373=1,G4374=1),1,0)</f>
        <v/>
      </c>
      <c r="I4374">
        <f>IF(H4373=0,1,SUMPRODUCT(J4373:N4373,B4374:F4374)+O4373*(1+0.00023125256064071564))</f>
        <v/>
      </c>
      <c r="J4374">
        <f>IF(G4374=1,0.2*R4374/B4374,J4373)</f>
        <v/>
      </c>
      <c r="K4374">
        <f>IF(G4374=1,0.2*R4374/C4374,K4373)</f>
        <v/>
      </c>
      <c r="L4374">
        <f>IF(G4374=1,0.2*R4374/D4374,L4373)</f>
        <v/>
      </c>
      <c r="M4374">
        <f>IF(G4374=1,0.2*R4374/E4374,M4373)</f>
        <v/>
      </c>
      <c r="N4374">
        <f>IF(G4374=1,0.2*R4374/F4374,N4373)</f>
        <v/>
      </c>
      <c r="O4374">
        <f>IF(G4374=1,R4374*(1-1.0),IF(H4373=0,1,O4373*(1+0.00023125256064071564)))</f>
        <v/>
      </c>
      <c r="P4374">
        <f>IF(G4374=1,IF(H4373=0,1,ABS(0.2-J4373*B4374/I4374)+ABS(0.2-K4373*C4374/I4374)+ABS(0.2-L4373*D4374/I4374)+ABS(0.2-M4373*E4374/I4374)+ABS(0.2-N4373*F4374/I4374)),0)</f>
        <v/>
      </c>
      <c r="Q4374">
        <f>P4374*0.0015</f>
        <v/>
      </c>
      <c r="R4374">
        <f>I4374*(1-Q4374)</f>
        <v/>
      </c>
      <c r="S4374">
        <f>R4374/R4373-1</f>
        <v/>
      </c>
      <c r="T4374">
        <f>MAX(T4373,R4374)</f>
        <v/>
      </c>
      <c r="U4374">
        <f>R4374/T4374-1</f>
        <v/>
      </c>
      <c r="V4374" t="n">
        <v>16.30969827205951</v>
      </c>
      <c r="W4374" s="5">
        <f>R4374-V4374</f>
        <v/>
      </c>
    </row>
    <row r="4375">
      <c r="A4375" s="3" t="n">
        <v>44883</v>
      </c>
      <c r="B4375">
        <f>Prices!B4375</f>
        <v/>
      </c>
      <c r="C4375">
        <f>Prices!C4375</f>
        <v/>
      </c>
      <c r="D4375">
        <f>Prices!D4375</f>
        <v/>
      </c>
      <c r="E4375">
        <f>Prices!E4375</f>
        <v/>
      </c>
      <c r="F4375">
        <f>Prices!F4375</f>
        <v/>
      </c>
      <c r="G4375">
        <f>IF(AND(4373&gt;=16,TEXT(A4375,"yyyy-mm")&lt;&gt;TEXT(A4376,"yyyy-mm")),1,0)</f>
        <v/>
      </c>
      <c r="H4375">
        <f>IF(OR(H4374=1,G4375=1),1,0)</f>
        <v/>
      </c>
      <c r="I4375">
        <f>IF(H4374=0,1,SUMPRODUCT(J4374:N4374,B4375:F4375)+O4374*(1+0.00023125256064071564))</f>
        <v/>
      </c>
      <c r="J4375">
        <f>IF(G4375=1,0.2*R4375/B4375,J4374)</f>
        <v/>
      </c>
      <c r="K4375">
        <f>IF(G4375=1,0.2*R4375/C4375,K4374)</f>
        <v/>
      </c>
      <c r="L4375">
        <f>IF(G4375=1,0.2*R4375/D4375,L4374)</f>
        <v/>
      </c>
      <c r="M4375">
        <f>IF(G4375=1,0.2*R4375/E4375,M4374)</f>
        <v/>
      </c>
      <c r="N4375">
        <f>IF(G4375=1,0.2*R4375/F4375,N4374)</f>
        <v/>
      </c>
      <c r="O4375">
        <f>IF(G4375=1,R4375*(1-1.0),IF(H4374=0,1,O4374*(1+0.00023125256064071564)))</f>
        <v/>
      </c>
      <c r="P4375">
        <f>IF(G4375=1,IF(H4374=0,1,ABS(0.2-J4374*B4375/I4375)+ABS(0.2-K4374*C4375/I4375)+ABS(0.2-L4374*D4375/I4375)+ABS(0.2-M4374*E4375/I4375)+ABS(0.2-N4374*F4375/I4375)),0)</f>
        <v/>
      </c>
      <c r="Q4375">
        <f>P4375*0.0015</f>
        <v/>
      </c>
      <c r="R4375">
        <f>I4375*(1-Q4375)</f>
        <v/>
      </c>
      <c r="S4375">
        <f>R4375/R4374-1</f>
        <v/>
      </c>
      <c r="T4375">
        <f>MAX(T4374,R4375)</f>
        <v/>
      </c>
      <c r="U4375">
        <f>R4375/T4375-1</f>
        <v/>
      </c>
      <c r="V4375" t="n">
        <v>16.23427400887626</v>
      </c>
      <c r="W4375" s="5">
        <f>R4375-V4375</f>
        <v/>
      </c>
    </row>
    <row r="4376">
      <c r="A4376" s="3" t="n">
        <v>44886</v>
      </c>
      <c r="B4376">
        <f>Prices!B4376</f>
        <v/>
      </c>
      <c r="C4376">
        <f>Prices!C4376</f>
        <v/>
      </c>
      <c r="D4376">
        <f>Prices!D4376</f>
        <v/>
      </c>
      <c r="E4376">
        <f>Prices!E4376</f>
        <v/>
      </c>
      <c r="F4376">
        <f>Prices!F4376</f>
        <v/>
      </c>
      <c r="G4376">
        <f>IF(AND(4374&gt;=16,TEXT(A4376,"yyyy-mm")&lt;&gt;TEXT(A4377,"yyyy-mm")),1,0)</f>
        <v/>
      </c>
      <c r="H4376">
        <f>IF(OR(H4375=1,G4376=1),1,0)</f>
        <v/>
      </c>
      <c r="I4376">
        <f>IF(H4375=0,1,SUMPRODUCT(J4375:N4375,B4376:F4376)+O4375*(1+0.00023125256064071564))</f>
        <v/>
      </c>
      <c r="J4376">
        <f>IF(G4376=1,0.2*R4376/B4376,J4375)</f>
        <v/>
      </c>
      <c r="K4376">
        <f>IF(G4376=1,0.2*R4376/C4376,K4375)</f>
        <v/>
      </c>
      <c r="L4376">
        <f>IF(G4376=1,0.2*R4376/D4376,L4375)</f>
        <v/>
      </c>
      <c r="M4376">
        <f>IF(G4376=1,0.2*R4376/E4376,M4375)</f>
        <v/>
      </c>
      <c r="N4376">
        <f>IF(G4376=1,0.2*R4376/F4376,N4375)</f>
        <v/>
      </c>
      <c r="O4376">
        <f>IF(G4376=1,R4376*(1-1.0),IF(H4375=0,1,O4375*(1+0.00023125256064071564)))</f>
        <v/>
      </c>
      <c r="P4376">
        <f>IF(G4376=1,IF(H4375=0,1,ABS(0.2-J4375*B4376/I4376)+ABS(0.2-K4375*C4376/I4376)+ABS(0.2-L4375*D4376/I4376)+ABS(0.2-M4375*E4376/I4376)+ABS(0.2-N4375*F4376/I4376)),0)</f>
        <v/>
      </c>
      <c r="Q4376">
        <f>P4376*0.0015</f>
        <v/>
      </c>
      <c r="R4376">
        <f>I4376*(1-Q4376)</f>
        <v/>
      </c>
      <c r="S4376">
        <f>R4376/R4375-1</f>
        <v/>
      </c>
      <c r="T4376">
        <f>MAX(T4375,R4376)</f>
        <v/>
      </c>
      <c r="U4376">
        <f>R4376/T4376-1</f>
        <v/>
      </c>
      <c r="V4376" t="n">
        <v>16.19313659792401</v>
      </c>
      <c r="W4376" s="5">
        <f>R4376-V4376</f>
        <v/>
      </c>
    </row>
    <row r="4377">
      <c r="A4377" s="3" t="n">
        <v>44887</v>
      </c>
      <c r="B4377">
        <f>Prices!B4377</f>
        <v/>
      </c>
      <c r="C4377">
        <f>Prices!C4377</f>
        <v/>
      </c>
      <c r="D4377">
        <f>Prices!D4377</f>
        <v/>
      </c>
      <c r="E4377">
        <f>Prices!E4377</f>
        <v/>
      </c>
      <c r="F4377">
        <f>Prices!F4377</f>
        <v/>
      </c>
      <c r="G4377">
        <f>IF(AND(4375&gt;=16,TEXT(A4377,"yyyy-mm")&lt;&gt;TEXT(A4378,"yyyy-mm")),1,0)</f>
        <v/>
      </c>
      <c r="H4377">
        <f>IF(OR(H4376=1,G4377=1),1,0)</f>
        <v/>
      </c>
      <c r="I4377">
        <f>IF(H4376=0,1,SUMPRODUCT(J4376:N4376,B4377:F4377)+O4376*(1+0.00023125256064071564))</f>
        <v/>
      </c>
      <c r="J4377">
        <f>IF(G4377=1,0.2*R4377/B4377,J4376)</f>
        <v/>
      </c>
      <c r="K4377">
        <f>IF(G4377=1,0.2*R4377/C4377,K4376)</f>
        <v/>
      </c>
      <c r="L4377">
        <f>IF(G4377=1,0.2*R4377/D4377,L4376)</f>
        <v/>
      </c>
      <c r="M4377">
        <f>IF(G4377=1,0.2*R4377/E4377,M4376)</f>
        <v/>
      </c>
      <c r="N4377">
        <f>IF(G4377=1,0.2*R4377/F4377,N4376)</f>
        <v/>
      </c>
      <c r="O4377">
        <f>IF(G4377=1,R4377*(1-1.0),IF(H4376=0,1,O4376*(1+0.00023125256064071564)))</f>
        <v/>
      </c>
      <c r="P4377">
        <f>IF(G4377=1,IF(H4376=0,1,ABS(0.2-J4376*B4377/I4377)+ABS(0.2-K4376*C4377/I4377)+ABS(0.2-L4376*D4377/I4377)+ABS(0.2-M4376*E4377/I4377)+ABS(0.2-N4376*F4377/I4377)),0)</f>
        <v/>
      </c>
      <c r="Q4377">
        <f>P4377*0.0015</f>
        <v/>
      </c>
      <c r="R4377">
        <f>I4377*(1-Q4377)</f>
        <v/>
      </c>
      <c r="S4377">
        <f>R4377/R4376-1</f>
        <v/>
      </c>
      <c r="T4377">
        <f>MAX(T4376,R4377)</f>
        <v/>
      </c>
      <c r="U4377">
        <f>R4377/T4377-1</f>
        <v/>
      </c>
      <c r="V4377" t="n">
        <v>16.25728239751302</v>
      </c>
      <c r="W4377" s="5">
        <f>R4377-V4377</f>
        <v/>
      </c>
    </row>
    <row r="4378">
      <c r="A4378" s="3" t="n">
        <v>44888</v>
      </c>
      <c r="B4378">
        <f>Prices!B4378</f>
        <v/>
      </c>
      <c r="C4378">
        <f>Prices!C4378</f>
        <v/>
      </c>
      <c r="D4378">
        <f>Prices!D4378</f>
        <v/>
      </c>
      <c r="E4378">
        <f>Prices!E4378</f>
        <v/>
      </c>
      <c r="F4378">
        <f>Prices!F4378</f>
        <v/>
      </c>
      <c r="G4378">
        <f>IF(AND(4376&gt;=16,TEXT(A4378,"yyyy-mm")&lt;&gt;TEXT(A4379,"yyyy-mm")),1,0)</f>
        <v/>
      </c>
      <c r="H4378">
        <f>IF(OR(H4377=1,G4378=1),1,0)</f>
        <v/>
      </c>
      <c r="I4378">
        <f>IF(H4377=0,1,SUMPRODUCT(J4377:N4377,B4378:F4378)+O4377*(1+0.00023125256064071564))</f>
        <v/>
      </c>
      <c r="J4378">
        <f>IF(G4378=1,0.2*R4378/B4378,J4377)</f>
        <v/>
      </c>
      <c r="K4378">
        <f>IF(G4378=1,0.2*R4378/C4378,K4377)</f>
        <v/>
      </c>
      <c r="L4378">
        <f>IF(G4378=1,0.2*R4378/D4378,L4377)</f>
        <v/>
      </c>
      <c r="M4378">
        <f>IF(G4378=1,0.2*R4378/E4378,M4377)</f>
        <v/>
      </c>
      <c r="N4378">
        <f>IF(G4378=1,0.2*R4378/F4378,N4377)</f>
        <v/>
      </c>
      <c r="O4378">
        <f>IF(G4378=1,R4378*(1-1.0),IF(H4377=0,1,O4377*(1+0.00023125256064071564)))</f>
        <v/>
      </c>
      <c r="P4378">
        <f>IF(G4378=1,IF(H4377=0,1,ABS(0.2-J4377*B4378/I4378)+ABS(0.2-K4377*C4378/I4378)+ABS(0.2-L4377*D4378/I4378)+ABS(0.2-M4377*E4378/I4378)+ABS(0.2-N4377*F4378/I4378)),0)</f>
        <v/>
      </c>
      <c r="Q4378">
        <f>P4378*0.0015</f>
        <v/>
      </c>
      <c r="R4378">
        <f>I4378*(1-Q4378)</f>
        <v/>
      </c>
      <c r="S4378">
        <f>R4378/R4377-1</f>
        <v/>
      </c>
      <c r="T4378">
        <f>MAX(T4377,R4378)</f>
        <v/>
      </c>
      <c r="U4378">
        <f>R4378/T4378-1</f>
        <v/>
      </c>
      <c r="V4378" t="n">
        <v>16.30729299308235</v>
      </c>
      <c r="W4378" s="5">
        <f>R4378-V4378</f>
        <v/>
      </c>
    </row>
    <row r="4379">
      <c r="A4379" s="3" t="n">
        <v>44889</v>
      </c>
      <c r="B4379">
        <f>Prices!B4379</f>
        <v/>
      </c>
      <c r="C4379">
        <f>Prices!C4379</f>
        <v/>
      </c>
      <c r="D4379">
        <f>Prices!D4379</f>
        <v/>
      </c>
      <c r="E4379">
        <f>Prices!E4379</f>
        <v/>
      </c>
      <c r="F4379">
        <f>Prices!F4379</f>
        <v/>
      </c>
      <c r="G4379">
        <f>IF(AND(4377&gt;=16,TEXT(A4379,"yyyy-mm")&lt;&gt;TEXT(A4380,"yyyy-mm")),1,0)</f>
        <v/>
      </c>
      <c r="H4379">
        <f>IF(OR(H4378=1,G4379=1),1,0)</f>
        <v/>
      </c>
      <c r="I4379">
        <f>IF(H4378=0,1,SUMPRODUCT(J4378:N4378,B4379:F4379)+O4378*(1+0.00023125256064071564))</f>
        <v/>
      </c>
      <c r="J4379">
        <f>IF(G4379=1,0.2*R4379/B4379,J4378)</f>
        <v/>
      </c>
      <c r="K4379">
        <f>IF(G4379=1,0.2*R4379/C4379,K4378)</f>
        <v/>
      </c>
      <c r="L4379">
        <f>IF(G4379=1,0.2*R4379/D4379,L4378)</f>
        <v/>
      </c>
      <c r="M4379">
        <f>IF(G4379=1,0.2*R4379/E4379,M4378)</f>
        <v/>
      </c>
      <c r="N4379">
        <f>IF(G4379=1,0.2*R4379/F4379,N4378)</f>
        <v/>
      </c>
      <c r="O4379">
        <f>IF(G4379=1,R4379*(1-1.0),IF(H4378=0,1,O4378*(1+0.00023125256064071564)))</f>
        <v/>
      </c>
      <c r="P4379">
        <f>IF(G4379=1,IF(H4378=0,1,ABS(0.2-J4378*B4379/I4379)+ABS(0.2-K4378*C4379/I4379)+ABS(0.2-L4378*D4379/I4379)+ABS(0.2-M4378*E4379/I4379)+ABS(0.2-N4378*F4379/I4379)),0)</f>
        <v/>
      </c>
      <c r="Q4379">
        <f>P4379*0.0015</f>
        <v/>
      </c>
      <c r="R4379">
        <f>I4379*(1-Q4379)</f>
        <v/>
      </c>
      <c r="S4379">
        <f>R4379/R4378-1</f>
        <v/>
      </c>
      <c r="T4379">
        <f>MAX(T4378,R4379)</f>
        <v/>
      </c>
      <c r="U4379">
        <f>R4379/T4379-1</f>
        <v/>
      </c>
      <c r="V4379" t="n">
        <v>16.40935802931169</v>
      </c>
      <c r="W4379" s="5">
        <f>R4379-V4379</f>
        <v/>
      </c>
    </row>
    <row r="4380">
      <c r="A4380" s="3" t="n">
        <v>44890</v>
      </c>
      <c r="B4380">
        <f>Prices!B4380</f>
        <v/>
      </c>
      <c r="C4380">
        <f>Prices!C4380</f>
        <v/>
      </c>
      <c r="D4380">
        <f>Prices!D4380</f>
        <v/>
      </c>
      <c r="E4380">
        <f>Prices!E4380</f>
        <v/>
      </c>
      <c r="F4380">
        <f>Prices!F4380</f>
        <v/>
      </c>
      <c r="G4380">
        <f>IF(AND(4378&gt;=16,TEXT(A4380,"yyyy-mm")&lt;&gt;TEXT(A4381,"yyyy-mm")),1,0)</f>
        <v/>
      </c>
      <c r="H4380">
        <f>IF(OR(H4379=1,G4380=1),1,0)</f>
        <v/>
      </c>
      <c r="I4380">
        <f>IF(H4379=0,1,SUMPRODUCT(J4379:N4379,B4380:F4380)+O4379*(1+0.00023125256064071564))</f>
        <v/>
      </c>
      <c r="J4380">
        <f>IF(G4380=1,0.2*R4380/B4380,J4379)</f>
        <v/>
      </c>
      <c r="K4380">
        <f>IF(G4380=1,0.2*R4380/C4380,K4379)</f>
        <v/>
      </c>
      <c r="L4380">
        <f>IF(G4380=1,0.2*R4380/D4380,L4379)</f>
        <v/>
      </c>
      <c r="M4380">
        <f>IF(G4380=1,0.2*R4380/E4380,M4379)</f>
        <v/>
      </c>
      <c r="N4380">
        <f>IF(G4380=1,0.2*R4380/F4380,N4379)</f>
        <v/>
      </c>
      <c r="O4380">
        <f>IF(G4380=1,R4380*(1-1.0),IF(H4379=0,1,O4379*(1+0.00023125256064071564)))</f>
        <v/>
      </c>
      <c r="P4380">
        <f>IF(G4380=1,IF(H4379=0,1,ABS(0.2-J4379*B4380/I4380)+ABS(0.2-K4379*C4380/I4380)+ABS(0.2-L4379*D4380/I4380)+ABS(0.2-M4379*E4380/I4380)+ABS(0.2-N4379*F4380/I4380)),0)</f>
        <v/>
      </c>
      <c r="Q4380">
        <f>P4380*0.0015</f>
        <v/>
      </c>
      <c r="R4380">
        <f>I4380*(1-Q4380)</f>
        <v/>
      </c>
      <c r="S4380">
        <f>R4380/R4379-1</f>
        <v/>
      </c>
      <c r="T4380">
        <f>MAX(T4379,R4380)</f>
        <v/>
      </c>
      <c r="U4380">
        <f>R4380/T4380-1</f>
        <v/>
      </c>
      <c r="V4380" t="n">
        <v>16.50022348009305</v>
      </c>
      <c r="W4380" s="5">
        <f>R4380-V4380</f>
        <v/>
      </c>
    </row>
    <row r="4381">
      <c r="A4381" s="3" t="n">
        <v>44893</v>
      </c>
      <c r="B4381">
        <f>Prices!B4381</f>
        <v/>
      </c>
      <c r="C4381">
        <f>Prices!C4381</f>
        <v/>
      </c>
      <c r="D4381">
        <f>Prices!D4381</f>
        <v/>
      </c>
      <c r="E4381">
        <f>Prices!E4381</f>
        <v/>
      </c>
      <c r="F4381">
        <f>Prices!F4381</f>
        <v/>
      </c>
      <c r="G4381">
        <f>IF(AND(4379&gt;=16,TEXT(A4381,"yyyy-mm")&lt;&gt;TEXT(A4382,"yyyy-mm")),1,0)</f>
        <v/>
      </c>
      <c r="H4381">
        <f>IF(OR(H4380=1,G4381=1),1,0)</f>
        <v/>
      </c>
      <c r="I4381">
        <f>IF(H4380=0,1,SUMPRODUCT(J4380:N4380,B4381:F4381)+O4380*(1+0.00023125256064071564))</f>
        <v/>
      </c>
      <c r="J4381">
        <f>IF(G4381=1,0.2*R4381/B4381,J4380)</f>
        <v/>
      </c>
      <c r="K4381">
        <f>IF(G4381=1,0.2*R4381/C4381,K4380)</f>
        <v/>
      </c>
      <c r="L4381">
        <f>IF(G4381=1,0.2*R4381/D4381,L4380)</f>
        <v/>
      </c>
      <c r="M4381">
        <f>IF(G4381=1,0.2*R4381/E4381,M4380)</f>
        <v/>
      </c>
      <c r="N4381">
        <f>IF(G4381=1,0.2*R4381/F4381,N4380)</f>
        <v/>
      </c>
      <c r="O4381">
        <f>IF(G4381=1,R4381*(1-1.0),IF(H4380=0,1,O4380*(1+0.00023125256064071564)))</f>
        <v/>
      </c>
      <c r="P4381">
        <f>IF(G4381=1,IF(H4380=0,1,ABS(0.2-J4380*B4381/I4381)+ABS(0.2-K4380*C4381/I4381)+ABS(0.2-L4380*D4381/I4381)+ABS(0.2-M4380*E4381/I4381)+ABS(0.2-N4380*F4381/I4381)),0)</f>
        <v/>
      </c>
      <c r="Q4381">
        <f>P4381*0.0015</f>
        <v/>
      </c>
      <c r="R4381">
        <f>I4381*(1-Q4381)</f>
        <v/>
      </c>
      <c r="S4381">
        <f>R4381/R4380-1</f>
        <v/>
      </c>
      <c r="T4381">
        <f>MAX(T4380,R4381)</f>
        <v/>
      </c>
      <c r="U4381">
        <f>R4381/T4381-1</f>
        <v/>
      </c>
      <c r="V4381" t="n">
        <v>16.54977862664333</v>
      </c>
      <c r="W4381" s="5">
        <f>R4381-V4381</f>
        <v/>
      </c>
    </row>
    <row r="4382">
      <c r="A4382" s="3" t="n">
        <v>44894</v>
      </c>
      <c r="B4382">
        <f>Prices!B4382</f>
        <v/>
      </c>
      <c r="C4382">
        <f>Prices!C4382</f>
        <v/>
      </c>
      <c r="D4382">
        <f>Prices!D4382</f>
        <v/>
      </c>
      <c r="E4382">
        <f>Prices!E4382</f>
        <v/>
      </c>
      <c r="F4382">
        <f>Prices!F4382</f>
        <v/>
      </c>
      <c r="G4382">
        <f>IF(AND(4380&gt;=16,TEXT(A4382,"yyyy-mm")&lt;&gt;TEXT(A4383,"yyyy-mm")),1,0)</f>
        <v/>
      </c>
      <c r="H4382">
        <f>IF(OR(H4381=1,G4382=1),1,0)</f>
        <v/>
      </c>
      <c r="I4382">
        <f>IF(H4381=0,1,SUMPRODUCT(J4381:N4381,B4382:F4382)+O4381*(1+0.00023125256064071564))</f>
        <v/>
      </c>
      <c r="J4382">
        <f>IF(G4382=1,0.2*R4382/B4382,J4381)</f>
        <v/>
      </c>
      <c r="K4382">
        <f>IF(G4382=1,0.2*R4382/C4382,K4381)</f>
        <v/>
      </c>
      <c r="L4382">
        <f>IF(G4382=1,0.2*R4382/D4382,L4381)</f>
        <v/>
      </c>
      <c r="M4382">
        <f>IF(G4382=1,0.2*R4382/E4382,M4381)</f>
        <v/>
      </c>
      <c r="N4382">
        <f>IF(G4382=1,0.2*R4382/F4382,N4381)</f>
        <v/>
      </c>
      <c r="O4382">
        <f>IF(G4382=1,R4382*(1-1.0),IF(H4381=0,1,O4381*(1+0.00023125256064071564)))</f>
        <v/>
      </c>
      <c r="P4382">
        <f>IF(G4382=1,IF(H4381=0,1,ABS(0.2-J4381*B4382/I4382)+ABS(0.2-K4381*C4382/I4382)+ABS(0.2-L4381*D4382/I4382)+ABS(0.2-M4381*E4382/I4382)+ABS(0.2-N4381*F4382/I4382)),0)</f>
        <v/>
      </c>
      <c r="Q4382">
        <f>P4382*0.0015</f>
        <v/>
      </c>
      <c r="R4382">
        <f>I4382*(1-Q4382)</f>
        <v/>
      </c>
      <c r="S4382">
        <f>R4382/R4381-1</f>
        <v/>
      </c>
      <c r="T4382">
        <f>MAX(T4381,R4382)</f>
        <v/>
      </c>
      <c r="U4382">
        <f>R4382/T4382-1</f>
        <v/>
      </c>
      <c r="V4382" t="n">
        <v>16.54892034068812</v>
      </c>
      <c r="W4382" s="5">
        <f>R4382-V4382</f>
        <v/>
      </c>
    </row>
    <row r="4383">
      <c r="A4383" s="3" t="n">
        <v>44895</v>
      </c>
      <c r="B4383">
        <f>Prices!B4383</f>
        <v/>
      </c>
      <c r="C4383">
        <f>Prices!C4383</f>
        <v/>
      </c>
      <c r="D4383">
        <f>Prices!D4383</f>
        <v/>
      </c>
      <c r="E4383">
        <f>Prices!E4383</f>
        <v/>
      </c>
      <c r="F4383">
        <f>Prices!F4383</f>
        <v/>
      </c>
      <c r="G4383">
        <f>IF(AND(4381&gt;=16,TEXT(A4383,"yyyy-mm")&lt;&gt;TEXT(A4384,"yyyy-mm")),1,0)</f>
        <v/>
      </c>
      <c r="H4383">
        <f>IF(OR(H4382=1,G4383=1),1,0)</f>
        <v/>
      </c>
      <c r="I4383">
        <f>IF(H4382=0,1,SUMPRODUCT(J4382:N4382,B4383:F4383)+O4382*(1+0.00023125256064071564))</f>
        <v/>
      </c>
      <c r="J4383">
        <f>IF(G4383=1,0.2*R4383/B4383,J4382)</f>
        <v/>
      </c>
      <c r="K4383">
        <f>IF(G4383=1,0.2*R4383/C4383,K4382)</f>
        <v/>
      </c>
      <c r="L4383">
        <f>IF(G4383=1,0.2*R4383/D4383,L4382)</f>
        <v/>
      </c>
      <c r="M4383">
        <f>IF(G4383=1,0.2*R4383/E4383,M4382)</f>
        <v/>
      </c>
      <c r="N4383">
        <f>IF(G4383=1,0.2*R4383/F4383,N4382)</f>
        <v/>
      </c>
      <c r="O4383">
        <f>IF(G4383=1,R4383*(1-1.0),IF(H4382=0,1,O4382*(1+0.00023125256064071564)))</f>
        <v/>
      </c>
      <c r="P4383">
        <f>IF(G4383=1,IF(H4382=0,1,ABS(0.2-J4382*B4383/I4383)+ABS(0.2-K4382*C4383/I4383)+ABS(0.2-L4382*D4383/I4383)+ABS(0.2-M4382*E4383/I4383)+ABS(0.2-N4382*F4383/I4383)),0)</f>
        <v/>
      </c>
      <c r="Q4383">
        <f>P4383*0.0015</f>
        <v/>
      </c>
      <c r="R4383">
        <f>I4383*(1-Q4383)</f>
        <v/>
      </c>
      <c r="S4383">
        <f>R4383/R4382-1</f>
        <v/>
      </c>
      <c r="T4383">
        <f>MAX(T4382,R4383)</f>
        <v/>
      </c>
      <c r="U4383">
        <f>R4383/T4383-1</f>
        <v/>
      </c>
      <c r="V4383" t="n">
        <v>16.69427448548568</v>
      </c>
      <c r="W4383" s="5">
        <f>R4383-V4383</f>
        <v/>
      </c>
    </row>
    <row r="4384">
      <c r="A4384" s="3" t="n">
        <v>44896</v>
      </c>
      <c r="B4384">
        <f>Prices!B4384</f>
        <v/>
      </c>
      <c r="C4384">
        <f>Prices!C4384</f>
        <v/>
      </c>
      <c r="D4384">
        <f>Prices!D4384</f>
        <v/>
      </c>
      <c r="E4384">
        <f>Prices!E4384</f>
        <v/>
      </c>
      <c r="F4384">
        <f>Prices!F4384</f>
        <v/>
      </c>
      <c r="G4384">
        <f>IF(AND(4382&gt;=16,TEXT(A4384,"yyyy-mm")&lt;&gt;TEXT(A4385,"yyyy-mm")),1,0)</f>
        <v/>
      </c>
      <c r="H4384">
        <f>IF(OR(H4383=1,G4384=1),1,0)</f>
        <v/>
      </c>
      <c r="I4384">
        <f>IF(H4383=0,1,SUMPRODUCT(J4383:N4383,B4384:F4384)+O4383*(1+0.00023125256064071564))</f>
        <v/>
      </c>
      <c r="J4384">
        <f>IF(G4384=1,0.2*R4384/B4384,J4383)</f>
        <v/>
      </c>
      <c r="K4384">
        <f>IF(G4384=1,0.2*R4384/C4384,K4383)</f>
        <v/>
      </c>
      <c r="L4384">
        <f>IF(G4384=1,0.2*R4384/D4384,L4383)</f>
        <v/>
      </c>
      <c r="M4384">
        <f>IF(G4384=1,0.2*R4384/E4384,M4383)</f>
        <v/>
      </c>
      <c r="N4384">
        <f>IF(G4384=1,0.2*R4384/F4384,N4383)</f>
        <v/>
      </c>
      <c r="O4384">
        <f>IF(G4384=1,R4384*(1-1.0),IF(H4383=0,1,O4383*(1+0.00023125256064071564)))</f>
        <v/>
      </c>
      <c r="P4384">
        <f>IF(G4384=1,IF(H4383=0,1,ABS(0.2-J4383*B4384/I4384)+ABS(0.2-K4383*C4384/I4384)+ABS(0.2-L4383*D4384/I4384)+ABS(0.2-M4383*E4384/I4384)+ABS(0.2-N4383*F4384/I4384)),0)</f>
        <v/>
      </c>
      <c r="Q4384">
        <f>P4384*0.0015</f>
        <v/>
      </c>
      <c r="R4384">
        <f>I4384*(1-Q4384)</f>
        <v/>
      </c>
      <c r="S4384">
        <f>R4384/R4383-1</f>
        <v/>
      </c>
      <c r="T4384">
        <f>MAX(T4383,R4384)</f>
        <v/>
      </c>
      <c r="U4384">
        <f>R4384/T4384-1</f>
        <v/>
      </c>
      <c r="V4384" t="n">
        <v>16.75236352501145</v>
      </c>
      <c r="W4384" s="5">
        <f>R4384-V4384</f>
        <v/>
      </c>
    </row>
    <row r="4385">
      <c r="A4385" s="3" t="n">
        <v>44897</v>
      </c>
      <c r="B4385">
        <f>Prices!B4385</f>
        <v/>
      </c>
      <c r="C4385">
        <f>Prices!C4385</f>
        <v/>
      </c>
      <c r="D4385">
        <f>Prices!D4385</f>
        <v/>
      </c>
      <c r="E4385">
        <f>Prices!E4385</f>
        <v/>
      </c>
      <c r="F4385">
        <f>Prices!F4385</f>
        <v/>
      </c>
      <c r="G4385">
        <f>IF(AND(4383&gt;=16,TEXT(A4385,"yyyy-mm")&lt;&gt;TEXT(A4386,"yyyy-mm")),1,0)</f>
        <v/>
      </c>
      <c r="H4385">
        <f>IF(OR(H4384=1,G4385=1),1,0)</f>
        <v/>
      </c>
      <c r="I4385">
        <f>IF(H4384=0,1,SUMPRODUCT(J4384:N4384,B4385:F4385)+O4384*(1+0.00023125256064071564))</f>
        <v/>
      </c>
      <c r="J4385">
        <f>IF(G4385=1,0.2*R4385/B4385,J4384)</f>
        <v/>
      </c>
      <c r="K4385">
        <f>IF(G4385=1,0.2*R4385/C4385,K4384)</f>
        <v/>
      </c>
      <c r="L4385">
        <f>IF(G4385=1,0.2*R4385/D4385,L4384)</f>
        <v/>
      </c>
      <c r="M4385">
        <f>IF(G4385=1,0.2*R4385/E4385,M4384)</f>
        <v/>
      </c>
      <c r="N4385">
        <f>IF(G4385=1,0.2*R4385/F4385,N4384)</f>
        <v/>
      </c>
      <c r="O4385">
        <f>IF(G4385=1,R4385*(1-1.0),IF(H4384=0,1,O4384*(1+0.00023125256064071564)))</f>
        <v/>
      </c>
      <c r="P4385">
        <f>IF(G4385=1,IF(H4384=0,1,ABS(0.2-J4384*B4385/I4385)+ABS(0.2-K4384*C4385/I4385)+ABS(0.2-L4384*D4385/I4385)+ABS(0.2-M4384*E4385/I4385)+ABS(0.2-N4384*F4385/I4385)),0)</f>
        <v/>
      </c>
      <c r="Q4385">
        <f>P4385*0.0015</f>
        <v/>
      </c>
      <c r="R4385">
        <f>I4385*(1-Q4385)</f>
        <v/>
      </c>
      <c r="S4385">
        <f>R4385/R4384-1</f>
        <v/>
      </c>
      <c r="T4385">
        <f>MAX(T4384,R4385)</f>
        <v/>
      </c>
      <c r="U4385">
        <f>R4385/T4385-1</f>
        <v/>
      </c>
      <c r="V4385" t="n">
        <v>16.78085562608567</v>
      </c>
      <c r="W4385" s="5">
        <f>R4385-V4385</f>
        <v/>
      </c>
    </row>
    <row r="4386">
      <c r="A4386" s="3" t="n">
        <v>44900</v>
      </c>
      <c r="B4386">
        <f>Prices!B4386</f>
        <v/>
      </c>
      <c r="C4386">
        <f>Prices!C4386</f>
        <v/>
      </c>
      <c r="D4386">
        <f>Prices!D4386</f>
        <v/>
      </c>
      <c r="E4386">
        <f>Prices!E4386</f>
        <v/>
      </c>
      <c r="F4386">
        <f>Prices!F4386</f>
        <v/>
      </c>
      <c r="G4386">
        <f>IF(AND(4384&gt;=16,TEXT(A4386,"yyyy-mm")&lt;&gt;TEXT(A4387,"yyyy-mm")),1,0)</f>
        <v/>
      </c>
      <c r="H4386">
        <f>IF(OR(H4385=1,G4386=1),1,0)</f>
        <v/>
      </c>
      <c r="I4386">
        <f>IF(H4385=0,1,SUMPRODUCT(J4385:N4385,B4386:F4386)+O4385*(1+0.00023125256064071564))</f>
        <v/>
      </c>
      <c r="J4386">
        <f>IF(G4386=1,0.2*R4386/B4386,J4385)</f>
        <v/>
      </c>
      <c r="K4386">
        <f>IF(G4386=1,0.2*R4386/C4386,K4385)</f>
        <v/>
      </c>
      <c r="L4386">
        <f>IF(G4386=1,0.2*R4386/D4386,L4385)</f>
        <v/>
      </c>
      <c r="M4386">
        <f>IF(G4386=1,0.2*R4386/E4386,M4385)</f>
        <v/>
      </c>
      <c r="N4386">
        <f>IF(G4386=1,0.2*R4386/F4386,N4385)</f>
        <v/>
      </c>
      <c r="O4386">
        <f>IF(G4386=1,R4386*(1-1.0),IF(H4385=0,1,O4385*(1+0.00023125256064071564)))</f>
        <v/>
      </c>
      <c r="P4386">
        <f>IF(G4386=1,IF(H4385=0,1,ABS(0.2-J4385*B4386/I4386)+ABS(0.2-K4385*C4386/I4386)+ABS(0.2-L4385*D4386/I4386)+ABS(0.2-M4385*E4386/I4386)+ABS(0.2-N4385*F4386/I4386)),0)</f>
        <v/>
      </c>
      <c r="Q4386">
        <f>P4386*0.0015</f>
        <v/>
      </c>
      <c r="R4386">
        <f>I4386*(1-Q4386)</f>
        <v/>
      </c>
      <c r="S4386">
        <f>R4386/R4385-1</f>
        <v/>
      </c>
      <c r="T4386">
        <f>MAX(T4385,R4386)</f>
        <v/>
      </c>
      <c r="U4386">
        <f>R4386/T4386-1</f>
        <v/>
      </c>
      <c r="V4386" t="n">
        <v>16.81818055219467</v>
      </c>
      <c r="W4386" s="5">
        <f>R4386-V4386</f>
        <v/>
      </c>
    </row>
    <row r="4387">
      <c r="A4387" s="3" t="n">
        <v>44901</v>
      </c>
      <c r="B4387">
        <f>Prices!B4387</f>
        <v/>
      </c>
      <c r="C4387">
        <f>Prices!C4387</f>
        <v/>
      </c>
      <c r="D4387">
        <f>Prices!D4387</f>
        <v/>
      </c>
      <c r="E4387">
        <f>Prices!E4387</f>
        <v/>
      </c>
      <c r="F4387">
        <f>Prices!F4387</f>
        <v/>
      </c>
      <c r="G4387">
        <f>IF(AND(4385&gt;=16,TEXT(A4387,"yyyy-mm")&lt;&gt;TEXT(A4388,"yyyy-mm")),1,0)</f>
        <v/>
      </c>
      <c r="H4387">
        <f>IF(OR(H4386=1,G4387=1),1,0)</f>
        <v/>
      </c>
      <c r="I4387">
        <f>IF(H4386=0,1,SUMPRODUCT(J4386:N4386,B4387:F4387)+O4386*(1+0.00023125256064071564))</f>
        <v/>
      </c>
      <c r="J4387">
        <f>IF(G4387=1,0.2*R4387/B4387,J4386)</f>
        <v/>
      </c>
      <c r="K4387">
        <f>IF(G4387=1,0.2*R4387/C4387,K4386)</f>
        <v/>
      </c>
      <c r="L4387">
        <f>IF(G4387=1,0.2*R4387/D4387,L4386)</f>
        <v/>
      </c>
      <c r="M4387">
        <f>IF(G4387=1,0.2*R4387/E4387,M4386)</f>
        <v/>
      </c>
      <c r="N4387">
        <f>IF(G4387=1,0.2*R4387/F4387,N4386)</f>
        <v/>
      </c>
      <c r="O4387">
        <f>IF(G4387=1,R4387*(1-1.0),IF(H4386=0,1,O4386*(1+0.00023125256064071564)))</f>
        <v/>
      </c>
      <c r="P4387">
        <f>IF(G4387=1,IF(H4386=0,1,ABS(0.2-J4386*B4387/I4387)+ABS(0.2-K4386*C4387/I4387)+ABS(0.2-L4386*D4387/I4387)+ABS(0.2-M4386*E4387/I4387)+ABS(0.2-N4386*F4387/I4387)),0)</f>
        <v/>
      </c>
      <c r="Q4387">
        <f>P4387*0.0015</f>
        <v/>
      </c>
      <c r="R4387">
        <f>I4387*(1-Q4387)</f>
        <v/>
      </c>
      <c r="S4387">
        <f>R4387/R4386-1</f>
        <v/>
      </c>
      <c r="T4387">
        <f>MAX(T4386,R4387)</f>
        <v/>
      </c>
      <c r="U4387">
        <f>R4387/T4387-1</f>
        <v/>
      </c>
      <c r="V4387" t="n">
        <v>16.76746861179413</v>
      </c>
      <c r="W4387" s="5">
        <f>R4387-V4387</f>
        <v/>
      </c>
    </row>
    <row r="4388">
      <c r="A4388" s="3" t="n">
        <v>44902</v>
      </c>
      <c r="B4388">
        <f>Prices!B4388</f>
        <v/>
      </c>
      <c r="C4388">
        <f>Prices!C4388</f>
        <v/>
      </c>
      <c r="D4388">
        <f>Prices!D4388</f>
        <v/>
      </c>
      <c r="E4388">
        <f>Prices!E4388</f>
        <v/>
      </c>
      <c r="F4388">
        <f>Prices!F4388</f>
        <v/>
      </c>
      <c r="G4388">
        <f>IF(AND(4386&gt;=16,TEXT(A4388,"yyyy-mm")&lt;&gt;TEXT(A4389,"yyyy-mm")),1,0)</f>
        <v/>
      </c>
      <c r="H4388">
        <f>IF(OR(H4387=1,G4388=1),1,0)</f>
        <v/>
      </c>
      <c r="I4388">
        <f>IF(H4387=0,1,SUMPRODUCT(J4387:N4387,B4388:F4388)+O4387*(1+0.00023125256064071564))</f>
        <v/>
      </c>
      <c r="J4388">
        <f>IF(G4388=1,0.2*R4388/B4388,J4387)</f>
        <v/>
      </c>
      <c r="K4388">
        <f>IF(G4388=1,0.2*R4388/C4388,K4387)</f>
        <v/>
      </c>
      <c r="L4388">
        <f>IF(G4388=1,0.2*R4388/D4388,L4387)</f>
        <v/>
      </c>
      <c r="M4388">
        <f>IF(G4388=1,0.2*R4388/E4388,M4387)</f>
        <v/>
      </c>
      <c r="N4388">
        <f>IF(G4388=1,0.2*R4388/F4388,N4387)</f>
        <v/>
      </c>
      <c r="O4388">
        <f>IF(G4388=1,R4388*(1-1.0),IF(H4387=0,1,O4387*(1+0.00023125256064071564)))</f>
        <v/>
      </c>
      <c r="P4388">
        <f>IF(G4388=1,IF(H4387=0,1,ABS(0.2-J4387*B4388/I4388)+ABS(0.2-K4387*C4388/I4388)+ABS(0.2-L4387*D4388/I4388)+ABS(0.2-M4387*E4388/I4388)+ABS(0.2-N4387*F4388/I4388)),0)</f>
        <v/>
      </c>
      <c r="Q4388">
        <f>P4388*0.0015</f>
        <v/>
      </c>
      <c r="R4388">
        <f>I4388*(1-Q4388)</f>
        <v/>
      </c>
      <c r="S4388">
        <f>R4388/R4387-1</f>
        <v/>
      </c>
      <c r="T4388">
        <f>MAX(T4387,R4388)</f>
        <v/>
      </c>
      <c r="U4388">
        <f>R4388/T4388-1</f>
        <v/>
      </c>
      <c r="V4388" t="n">
        <v>16.71079670532854</v>
      </c>
      <c r="W4388" s="5">
        <f>R4388-V4388</f>
        <v/>
      </c>
    </row>
    <row r="4389">
      <c r="A4389" s="3" t="n">
        <v>44903</v>
      </c>
      <c r="B4389">
        <f>Prices!B4389</f>
        <v/>
      </c>
      <c r="C4389">
        <f>Prices!C4389</f>
        <v/>
      </c>
      <c r="D4389">
        <f>Prices!D4389</f>
        <v/>
      </c>
      <c r="E4389">
        <f>Prices!E4389</f>
        <v/>
      </c>
      <c r="F4389">
        <f>Prices!F4389</f>
        <v/>
      </c>
      <c r="G4389">
        <f>IF(AND(4387&gt;=16,TEXT(A4389,"yyyy-mm")&lt;&gt;TEXT(A4390,"yyyy-mm")),1,0)</f>
        <v/>
      </c>
      <c r="H4389">
        <f>IF(OR(H4388=1,G4389=1),1,0)</f>
        <v/>
      </c>
      <c r="I4389">
        <f>IF(H4388=0,1,SUMPRODUCT(J4388:N4388,B4389:F4389)+O4388*(1+0.00023125256064071564))</f>
        <v/>
      </c>
      <c r="J4389">
        <f>IF(G4389=1,0.2*R4389/B4389,J4388)</f>
        <v/>
      </c>
      <c r="K4389">
        <f>IF(G4389=1,0.2*R4389/C4389,K4388)</f>
        <v/>
      </c>
      <c r="L4389">
        <f>IF(G4389=1,0.2*R4389/D4389,L4388)</f>
        <v/>
      </c>
      <c r="M4389">
        <f>IF(G4389=1,0.2*R4389/E4389,M4388)</f>
        <v/>
      </c>
      <c r="N4389">
        <f>IF(G4389=1,0.2*R4389/F4389,N4388)</f>
        <v/>
      </c>
      <c r="O4389">
        <f>IF(G4389=1,R4389*(1-1.0),IF(H4388=0,1,O4388*(1+0.00023125256064071564)))</f>
        <v/>
      </c>
      <c r="P4389">
        <f>IF(G4389=1,IF(H4388=0,1,ABS(0.2-J4388*B4389/I4389)+ABS(0.2-K4388*C4389/I4389)+ABS(0.2-L4388*D4389/I4389)+ABS(0.2-M4388*E4389/I4389)+ABS(0.2-N4388*F4389/I4389)),0)</f>
        <v/>
      </c>
      <c r="Q4389">
        <f>P4389*0.0015</f>
        <v/>
      </c>
      <c r="R4389">
        <f>I4389*(1-Q4389)</f>
        <v/>
      </c>
      <c r="S4389">
        <f>R4389/R4388-1</f>
        <v/>
      </c>
      <c r="T4389">
        <f>MAX(T4388,R4389)</f>
        <v/>
      </c>
      <c r="U4389">
        <f>R4389/T4389-1</f>
        <v/>
      </c>
      <c r="V4389" t="n">
        <v>16.77225411970807</v>
      </c>
      <c r="W4389" s="5">
        <f>R4389-V4389</f>
        <v/>
      </c>
    </row>
    <row r="4390">
      <c r="A4390" s="3" t="n">
        <v>44904</v>
      </c>
      <c r="B4390">
        <f>Prices!B4390</f>
        <v/>
      </c>
      <c r="C4390">
        <f>Prices!C4390</f>
        <v/>
      </c>
      <c r="D4390">
        <f>Prices!D4390</f>
        <v/>
      </c>
      <c r="E4390">
        <f>Prices!E4390</f>
        <v/>
      </c>
      <c r="F4390">
        <f>Prices!F4390</f>
        <v/>
      </c>
      <c r="G4390">
        <f>IF(AND(4388&gt;=16,TEXT(A4390,"yyyy-mm")&lt;&gt;TEXT(A4391,"yyyy-mm")),1,0)</f>
        <v/>
      </c>
      <c r="H4390">
        <f>IF(OR(H4389=1,G4390=1),1,0)</f>
        <v/>
      </c>
      <c r="I4390">
        <f>IF(H4389=0,1,SUMPRODUCT(J4389:N4389,B4390:F4390)+O4389*(1+0.00023125256064071564))</f>
        <v/>
      </c>
      <c r="J4390">
        <f>IF(G4390=1,0.2*R4390/B4390,J4389)</f>
        <v/>
      </c>
      <c r="K4390">
        <f>IF(G4390=1,0.2*R4390/C4390,K4389)</f>
        <v/>
      </c>
      <c r="L4390">
        <f>IF(G4390=1,0.2*R4390/D4390,L4389)</f>
        <v/>
      </c>
      <c r="M4390">
        <f>IF(G4390=1,0.2*R4390/E4390,M4389)</f>
        <v/>
      </c>
      <c r="N4390">
        <f>IF(G4390=1,0.2*R4390/F4390,N4389)</f>
        <v/>
      </c>
      <c r="O4390">
        <f>IF(G4390=1,R4390*(1-1.0),IF(H4389=0,1,O4389*(1+0.00023125256064071564)))</f>
        <v/>
      </c>
      <c r="P4390">
        <f>IF(G4390=1,IF(H4389=0,1,ABS(0.2-J4389*B4390/I4390)+ABS(0.2-K4389*C4390/I4390)+ABS(0.2-L4389*D4390/I4390)+ABS(0.2-M4389*E4390/I4390)+ABS(0.2-N4389*F4390/I4390)),0)</f>
        <v/>
      </c>
      <c r="Q4390">
        <f>P4390*0.0015</f>
        <v/>
      </c>
      <c r="R4390">
        <f>I4390*(1-Q4390)</f>
        <v/>
      </c>
      <c r="S4390">
        <f>R4390/R4389-1</f>
        <v/>
      </c>
      <c r="T4390">
        <f>MAX(T4389,R4390)</f>
        <v/>
      </c>
      <c r="U4390">
        <f>R4390/T4390-1</f>
        <v/>
      </c>
      <c r="V4390" t="n">
        <v>16.67294829011241</v>
      </c>
      <c r="W4390" s="5">
        <f>R4390-V4390</f>
        <v/>
      </c>
    </row>
    <row r="4391">
      <c r="A4391" s="3" t="n">
        <v>44907</v>
      </c>
      <c r="B4391">
        <f>Prices!B4391</f>
        <v/>
      </c>
      <c r="C4391">
        <f>Prices!C4391</f>
        <v/>
      </c>
      <c r="D4391">
        <f>Prices!D4391</f>
        <v/>
      </c>
      <c r="E4391">
        <f>Prices!E4391</f>
        <v/>
      </c>
      <c r="F4391">
        <f>Prices!F4391</f>
        <v/>
      </c>
      <c r="G4391">
        <f>IF(AND(4389&gt;=16,TEXT(A4391,"yyyy-mm")&lt;&gt;TEXT(A4392,"yyyy-mm")),1,0)</f>
        <v/>
      </c>
      <c r="H4391">
        <f>IF(OR(H4390=1,G4391=1),1,0)</f>
        <v/>
      </c>
      <c r="I4391">
        <f>IF(H4390=0,1,SUMPRODUCT(J4390:N4390,B4391:F4391)+O4390*(1+0.00023125256064071564))</f>
        <v/>
      </c>
      <c r="J4391">
        <f>IF(G4391=1,0.2*R4391/B4391,J4390)</f>
        <v/>
      </c>
      <c r="K4391">
        <f>IF(G4391=1,0.2*R4391/C4391,K4390)</f>
        <v/>
      </c>
      <c r="L4391">
        <f>IF(G4391=1,0.2*R4391/D4391,L4390)</f>
        <v/>
      </c>
      <c r="M4391">
        <f>IF(G4391=1,0.2*R4391/E4391,M4390)</f>
        <v/>
      </c>
      <c r="N4391">
        <f>IF(G4391=1,0.2*R4391/F4391,N4390)</f>
        <v/>
      </c>
      <c r="O4391">
        <f>IF(G4391=1,R4391*(1-1.0),IF(H4390=0,1,O4390*(1+0.00023125256064071564)))</f>
        <v/>
      </c>
      <c r="P4391">
        <f>IF(G4391=1,IF(H4390=0,1,ABS(0.2-J4390*B4391/I4391)+ABS(0.2-K4390*C4391/I4391)+ABS(0.2-L4390*D4391/I4391)+ABS(0.2-M4390*E4391/I4391)+ABS(0.2-N4390*F4391/I4391)),0)</f>
        <v/>
      </c>
      <c r="Q4391">
        <f>P4391*0.0015</f>
        <v/>
      </c>
      <c r="R4391">
        <f>I4391*(1-Q4391)</f>
        <v/>
      </c>
      <c r="S4391">
        <f>R4391/R4390-1</f>
        <v/>
      </c>
      <c r="T4391">
        <f>MAX(T4390,R4391)</f>
        <v/>
      </c>
      <c r="U4391">
        <f>R4391/T4391-1</f>
        <v/>
      </c>
      <c r="V4391" t="n">
        <v>16.72749013795351</v>
      </c>
      <c r="W4391" s="5">
        <f>R4391-V4391</f>
        <v/>
      </c>
    </row>
    <row r="4392">
      <c r="A4392" s="3" t="n">
        <v>44908</v>
      </c>
      <c r="B4392">
        <f>Prices!B4392</f>
        <v/>
      </c>
      <c r="C4392">
        <f>Prices!C4392</f>
        <v/>
      </c>
      <c r="D4392">
        <f>Prices!D4392</f>
        <v/>
      </c>
      <c r="E4392">
        <f>Prices!E4392</f>
        <v/>
      </c>
      <c r="F4392">
        <f>Prices!F4392</f>
        <v/>
      </c>
      <c r="G4392">
        <f>IF(AND(4390&gt;=16,TEXT(A4392,"yyyy-mm")&lt;&gt;TEXT(A4393,"yyyy-mm")),1,0)</f>
        <v/>
      </c>
      <c r="H4392">
        <f>IF(OR(H4391=1,G4392=1),1,0)</f>
        <v/>
      </c>
      <c r="I4392">
        <f>IF(H4391=0,1,SUMPRODUCT(J4391:N4391,B4392:F4392)+O4391*(1+0.00023125256064071564))</f>
        <v/>
      </c>
      <c r="J4392">
        <f>IF(G4392=1,0.2*R4392/B4392,J4391)</f>
        <v/>
      </c>
      <c r="K4392">
        <f>IF(G4392=1,0.2*R4392/C4392,K4391)</f>
        <v/>
      </c>
      <c r="L4392">
        <f>IF(G4392=1,0.2*R4392/D4392,L4391)</f>
        <v/>
      </c>
      <c r="M4392">
        <f>IF(G4392=1,0.2*R4392/E4392,M4391)</f>
        <v/>
      </c>
      <c r="N4392">
        <f>IF(G4392=1,0.2*R4392/F4392,N4391)</f>
        <v/>
      </c>
      <c r="O4392">
        <f>IF(G4392=1,R4392*(1-1.0),IF(H4391=0,1,O4391*(1+0.00023125256064071564)))</f>
        <v/>
      </c>
      <c r="P4392">
        <f>IF(G4392=1,IF(H4391=0,1,ABS(0.2-J4391*B4392/I4392)+ABS(0.2-K4391*C4392/I4392)+ABS(0.2-L4391*D4392/I4392)+ABS(0.2-M4391*E4392/I4392)+ABS(0.2-N4391*F4392/I4392)),0)</f>
        <v/>
      </c>
      <c r="Q4392">
        <f>P4392*0.0015</f>
        <v/>
      </c>
      <c r="R4392">
        <f>I4392*(1-Q4392)</f>
        <v/>
      </c>
      <c r="S4392">
        <f>R4392/R4391-1</f>
        <v/>
      </c>
      <c r="T4392">
        <f>MAX(T4391,R4392)</f>
        <v/>
      </c>
      <c r="U4392">
        <f>R4392/T4392-1</f>
        <v/>
      </c>
      <c r="V4392" t="n">
        <v>16.7847499816414</v>
      </c>
      <c r="W4392" s="5">
        <f>R4392-V4392</f>
        <v/>
      </c>
    </row>
    <row r="4393">
      <c r="A4393" s="3" t="n">
        <v>44909</v>
      </c>
      <c r="B4393">
        <f>Prices!B4393</f>
        <v/>
      </c>
      <c r="C4393">
        <f>Prices!C4393</f>
        <v/>
      </c>
      <c r="D4393">
        <f>Prices!D4393</f>
        <v/>
      </c>
      <c r="E4393">
        <f>Prices!E4393</f>
        <v/>
      </c>
      <c r="F4393">
        <f>Prices!F4393</f>
        <v/>
      </c>
      <c r="G4393">
        <f>IF(AND(4391&gt;=16,TEXT(A4393,"yyyy-mm")&lt;&gt;TEXT(A4394,"yyyy-mm")),1,0)</f>
        <v/>
      </c>
      <c r="H4393">
        <f>IF(OR(H4392=1,G4393=1),1,0)</f>
        <v/>
      </c>
      <c r="I4393">
        <f>IF(H4392=0,1,SUMPRODUCT(J4392:N4392,B4393:F4393)+O4392*(1+0.00023125256064071564))</f>
        <v/>
      </c>
      <c r="J4393">
        <f>IF(G4393=1,0.2*R4393/B4393,J4392)</f>
        <v/>
      </c>
      <c r="K4393">
        <f>IF(G4393=1,0.2*R4393/C4393,K4392)</f>
        <v/>
      </c>
      <c r="L4393">
        <f>IF(G4393=1,0.2*R4393/D4393,L4392)</f>
        <v/>
      </c>
      <c r="M4393">
        <f>IF(G4393=1,0.2*R4393/E4393,M4392)</f>
        <v/>
      </c>
      <c r="N4393">
        <f>IF(G4393=1,0.2*R4393/F4393,N4392)</f>
        <v/>
      </c>
      <c r="O4393">
        <f>IF(G4393=1,R4393*(1-1.0),IF(H4392=0,1,O4392*(1+0.00023125256064071564)))</f>
        <v/>
      </c>
      <c r="P4393">
        <f>IF(G4393=1,IF(H4392=0,1,ABS(0.2-J4392*B4393/I4393)+ABS(0.2-K4392*C4393/I4393)+ABS(0.2-L4392*D4393/I4393)+ABS(0.2-M4392*E4393/I4393)+ABS(0.2-N4392*F4393/I4393)),0)</f>
        <v/>
      </c>
      <c r="Q4393">
        <f>P4393*0.0015</f>
        <v/>
      </c>
      <c r="R4393">
        <f>I4393*(1-Q4393)</f>
        <v/>
      </c>
      <c r="S4393">
        <f>R4393/R4392-1</f>
        <v/>
      </c>
      <c r="T4393">
        <f>MAX(T4392,R4393)</f>
        <v/>
      </c>
      <c r="U4393">
        <f>R4393/T4393-1</f>
        <v/>
      </c>
      <c r="V4393" t="n">
        <v>16.85278146301235</v>
      </c>
      <c r="W4393" s="5">
        <f>R4393-V4393</f>
        <v/>
      </c>
    </row>
    <row r="4394">
      <c r="A4394" s="3" t="n">
        <v>44910</v>
      </c>
      <c r="B4394">
        <f>Prices!B4394</f>
        <v/>
      </c>
      <c r="C4394">
        <f>Prices!C4394</f>
        <v/>
      </c>
      <c r="D4394">
        <f>Prices!D4394</f>
        <v/>
      </c>
      <c r="E4394">
        <f>Prices!E4394</f>
        <v/>
      </c>
      <c r="F4394">
        <f>Prices!F4394</f>
        <v/>
      </c>
      <c r="G4394">
        <f>IF(AND(4392&gt;=16,TEXT(A4394,"yyyy-mm")&lt;&gt;TEXT(A4395,"yyyy-mm")),1,0)</f>
        <v/>
      </c>
      <c r="H4394">
        <f>IF(OR(H4393=1,G4394=1),1,0)</f>
        <v/>
      </c>
      <c r="I4394">
        <f>IF(H4393=0,1,SUMPRODUCT(J4393:N4393,B4394:F4394)+O4393*(1+0.00023125256064071564))</f>
        <v/>
      </c>
      <c r="J4394">
        <f>IF(G4394=1,0.2*R4394/B4394,J4393)</f>
        <v/>
      </c>
      <c r="K4394">
        <f>IF(G4394=1,0.2*R4394/C4394,K4393)</f>
        <v/>
      </c>
      <c r="L4394">
        <f>IF(G4394=1,0.2*R4394/D4394,L4393)</f>
        <v/>
      </c>
      <c r="M4394">
        <f>IF(G4394=1,0.2*R4394/E4394,M4393)</f>
        <v/>
      </c>
      <c r="N4394">
        <f>IF(G4394=1,0.2*R4394/F4394,N4393)</f>
        <v/>
      </c>
      <c r="O4394">
        <f>IF(G4394=1,R4394*(1-1.0),IF(H4393=0,1,O4393*(1+0.00023125256064071564)))</f>
        <v/>
      </c>
      <c r="P4394">
        <f>IF(G4394=1,IF(H4393=0,1,ABS(0.2-J4393*B4394/I4394)+ABS(0.2-K4393*C4394/I4394)+ABS(0.2-L4393*D4394/I4394)+ABS(0.2-M4393*E4394/I4394)+ABS(0.2-N4393*F4394/I4394)),0)</f>
        <v/>
      </c>
      <c r="Q4394">
        <f>P4394*0.0015</f>
        <v/>
      </c>
      <c r="R4394">
        <f>I4394*(1-Q4394)</f>
        <v/>
      </c>
      <c r="S4394">
        <f>R4394/R4393-1</f>
        <v/>
      </c>
      <c r="T4394">
        <f>MAX(T4393,R4394)</f>
        <v/>
      </c>
      <c r="U4394">
        <f>R4394/T4394-1</f>
        <v/>
      </c>
      <c r="V4394" t="n">
        <v>16.70015950258011</v>
      </c>
      <c r="W4394" s="5">
        <f>R4394-V4394</f>
        <v/>
      </c>
    </row>
    <row r="4395">
      <c r="A4395" s="3" t="n">
        <v>44911</v>
      </c>
      <c r="B4395">
        <f>Prices!B4395</f>
        <v/>
      </c>
      <c r="C4395">
        <f>Prices!C4395</f>
        <v/>
      </c>
      <c r="D4395">
        <f>Prices!D4395</f>
        <v/>
      </c>
      <c r="E4395">
        <f>Prices!E4395</f>
        <v/>
      </c>
      <c r="F4395">
        <f>Prices!F4395</f>
        <v/>
      </c>
      <c r="G4395">
        <f>IF(AND(4393&gt;=16,TEXT(A4395,"yyyy-mm")&lt;&gt;TEXT(A4396,"yyyy-mm")),1,0)</f>
        <v/>
      </c>
      <c r="H4395">
        <f>IF(OR(H4394=1,G4395=1),1,0)</f>
        <v/>
      </c>
      <c r="I4395">
        <f>IF(H4394=0,1,SUMPRODUCT(J4394:N4394,B4395:F4395)+O4394*(1+0.00023125256064071564))</f>
        <v/>
      </c>
      <c r="J4395">
        <f>IF(G4395=1,0.2*R4395/B4395,J4394)</f>
        <v/>
      </c>
      <c r="K4395">
        <f>IF(G4395=1,0.2*R4395/C4395,K4394)</f>
        <v/>
      </c>
      <c r="L4395">
        <f>IF(G4395=1,0.2*R4395/D4395,L4394)</f>
        <v/>
      </c>
      <c r="M4395">
        <f>IF(G4395=1,0.2*R4395/E4395,M4394)</f>
        <v/>
      </c>
      <c r="N4395">
        <f>IF(G4395=1,0.2*R4395/F4395,N4394)</f>
        <v/>
      </c>
      <c r="O4395">
        <f>IF(G4395=1,R4395*(1-1.0),IF(H4394=0,1,O4394*(1+0.00023125256064071564)))</f>
        <v/>
      </c>
      <c r="P4395">
        <f>IF(G4395=1,IF(H4394=0,1,ABS(0.2-J4394*B4395/I4395)+ABS(0.2-K4394*C4395/I4395)+ABS(0.2-L4394*D4395/I4395)+ABS(0.2-M4394*E4395/I4395)+ABS(0.2-N4394*F4395/I4395)),0)</f>
        <v/>
      </c>
      <c r="Q4395">
        <f>P4395*0.0015</f>
        <v/>
      </c>
      <c r="R4395">
        <f>I4395*(1-Q4395)</f>
        <v/>
      </c>
      <c r="S4395">
        <f>R4395/R4394-1</f>
        <v/>
      </c>
      <c r="T4395">
        <f>MAX(T4394,R4395)</f>
        <v/>
      </c>
      <c r="U4395">
        <f>R4395/T4395-1</f>
        <v/>
      </c>
      <c r="V4395" t="n">
        <v>16.50818424743043</v>
      </c>
      <c r="W4395" s="5">
        <f>R4395-V4395</f>
        <v/>
      </c>
    </row>
    <row r="4396">
      <c r="A4396" s="3" t="n">
        <v>44914</v>
      </c>
      <c r="B4396">
        <f>Prices!B4396</f>
        <v/>
      </c>
      <c r="C4396">
        <f>Prices!C4396</f>
        <v/>
      </c>
      <c r="D4396">
        <f>Prices!D4396</f>
        <v/>
      </c>
      <c r="E4396">
        <f>Prices!E4396</f>
        <v/>
      </c>
      <c r="F4396">
        <f>Prices!F4396</f>
        <v/>
      </c>
      <c r="G4396">
        <f>IF(AND(4394&gt;=16,TEXT(A4396,"yyyy-mm")&lt;&gt;TEXT(A4397,"yyyy-mm")),1,0)</f>
        <v/>
      </c>
      <c r="H4396">
        <f>IF(OR(H4395=1,G4396=1),1,0)</f>
        <v/>
      </c>
      <c r="I4396">
        <f>IF(H4395=0,1,SUMPRODUCT(J4395:N4395,B4396:F4396)+O4395*(1+0.00023125256064071564))</f>
        <v/>
      </c>
      <c r="J4396">
        <f>IF(G4396=1,0.2*R4396/B4396,J4395)</f>
        <v/>
      </c>
      <c r="K4396">
        <f>IF(G4396=1,0.2*R4396/C4396,K4395)</f>
        <v/>
      </c>
      <c r="L4396">
        <f>IF(G4396=1,0.2*R4396/D4396,L4395)</f>
        <v/>
      </c>
      <c r="M4396">
        <f>IF(G4396=1,0.2*R4396/E4396,M4395)</f>
        <v/>
      </c>
      <c r="N4396">
        <f>IF(G4396=1,0.2*R4396/F4396,N4395)</f>
        <v/>
      </c>
      <c r="O4396">
        <f>IF(G4396=1,R4396*(1-1.0),IF(H4395=0,1,O4395*(1+0.00023125256064071564)))</f>
        <v/>
      </c>
      <c r="P4396">
        <f>IF(G4396=1,IF(H4395=0,1,ABS(0.2-J4395*B4396/I4396)+ABS(0.2-K4395*C4396/I4396)+ABS(0.2-L4395*D4396/I4396)+ABS(0.2-M4395*E4396/I4396)+ABS(0.2-N4395*F4396/I4396)),0)</f>
        <v/>
      </c>
      <c r="Q4396">
        <f>P4396*0.0015</f>
        <v/>
      </c>
      <c r="R4396">
        <f>I4396*(1-Q4396)</f>
        <v/>
      </c>
      <c r="S4396">
        <f>R4396/R4395-1</f>
        <v/>
      </c>
      <c r="T4396">
        <f>MAX(T4395,R4396)</f>
        <v/>
      </c>
      <c r="U4396">
        <f>R4396/T4396-1</f>
        <v/>
      </c>
      <c r="V4396" t="n">
        <v>16.64331406743521</v>
      </c>
      <c r="W4396" s="5">
        <f>R4396-V4396</f>
        <v/>
      </c>
    </row>
    <row r="4397">
      <c r="A4397" s="3" t="n">
        <v>44915</v>
      </c>
      <c r="B4397">
        <f>Prices!B4397</f>
        <v/>
      </c>
      <c r="C4397">
        <f>Prices!C4397</f>
        <v/>
      </c>
      <c r="D4397">
        <f>Prices!D4397</f>
        <v/>
      </c>
      <c r="E4397">
        <f>Prices!E4397</f>
        <v/>
      </c>
      <c r="F4397">
        <f>Prices!F4397</f>
        <v/>
      </c>
      <c r="G4397">
        <f>IF(AND(4395&gt;=16,TEXT(A4397,"yyyy-mm")&lt;&gt;TEXT(A4398,"yyyy-mm")),1,0)</f>
        <v/>
      </c>
      <c r="H4397">
        <f>IF(OR(H4396=1,G4397=1),1,0)</f>
        <v/>
      </c>
      <c r="I4397">
        <f>IF(H4396=0,1,SUMPRODUCT(J4396:N4396,B4397:F4397)+O4396*(1+0.00023125256064071564))</f>
        <v/>
      </c>
      <c r="J4397">
        <f>IF(G4397=1,0.2*R4397/B4397,J4396)</f>
        <v/>
      </c>
      <c r="K4397">
        <f>IF(G4397=1,0.2*R4397/C4397,K4396)</f>
        <v/>
      </c>
      <c r="L4397">
        <f>IF(G4397=1,0.2*R4397/D4397,L4396)</f>
        <v/>
      </c>
      <c r="M4397">
        <f>IF(G4397=1,0.2*R4397/E4397,M4396)</f>
        <v/>
      </c>
      <c r="N4397">
        <f>IF(G4397=1,0.2*R4397/F4397,N4396)</f>
        <v/>
      </c>
      <c r="O4397">
        <f>IF(G4397=1,R4397*(1-1.0),IF(H4396=0,1,O4396*(1+0.00023125256064071564)))</f>
        <v/>
      </c>
      <c r="P4397">
        <f>IF(G4397=1,IF(H4396=0,1,ABS(0.2-J4396*B4397/I4397)+ABS(0.2-K4396*C4397/I4397)+ABS(0.2-L4396*D4397/I4397)+ABS(0.2-M4396*E4397/I4397)+ABS(0.2-N4396*F4397/I4397)),0)</f>
        <v/>
      </c>
      <c r="Q4397">
        <f>P4397*0.0015</f>
        <v/>
      </c>
      <c r="R4397">
        <f>I4397*(1-Q4397)</f>
        <v/>
      </c>
      <c r="S4397">
        <f>R4397/R4396-1</f>
        <v/>
      </c>
      <c r="T4397">
        <f>MAX(T4396,R4397)</f>
        <v/>
      </c>
      <c r="U4397">
        <f>R4397/T4397-1</f>
        <v/>
      </c>
      <c r="V4397" t="n">
        <v>16.5994508479531</v>
      </c>
      <c r="W4397" s="5">
        <f>R4397-V4397</f>
        <v/>
      </c>
    </row>
    <row r="4398">
      <c r="A4398" s="3" t="n">
        <v>44916</v>
      </c>
      <c r="B4398">
        <f>Prices!B4398</f>
        <v/>
      </c>
      <c r="C4398">
        <f>Prices!C4398</f>
        <v/>
      </c>
      <c r="D4398">
        <f>Prices!D4398</f>
        <v/>
      </c>
      <c r="E4398">
        <f>Prices!E4398</f>
        <v/>
      </c>
      <c r="F4398">
        <f>Prices!F4398</f>
        <v/>
      </c>
      <c r="G4398">
        <f>IF(AND(4396&gt;=16,TEXT(A4398,"yyyy-mm")&lt;&gt;TEXT(A4399,"yyyy-mm")),1,0)</f>
        <v/>
      </c>
      <c r="H4398">
        <f>IF(OR(H4397=1,G4398=1),1,0)</f>
        <v/>
      </c>
      <c r="I4398">
        <f>IF(H4397=0,1,SUMPRODUCT(J4397:N4397,B4398:F4398)+O4397*(1+0.00023125256064071564))</f>
        <v/>
      </c>
      <c r="J4398">
        <f>IF(G4398=1,0.2*R4398/B4398,J4397)</f>
        <v/>
      </c>
      <c r="K4398">
        <f>IF(G4398=1,0.2*R4398/C4398,K4397)</f>
        <v/>
      </c>
      <c r="L4398">
        <f>IF(G4398=1,0.2*R4398/D4398,L4397)</f>
        <v/>
      </c>
      <c r="M4398">
        <f>IF(G4398=1,0.2*R4398/E4398,M4397)</f>
        <v/>
      </c>
      <c r="N4398">
        <f>IF(G4398=1,0.2*R4398/F4398,N4397)</f>
        <v/>
      </c>
      <c r="O4398">
        <f>IF(G4398=1,R4398*(1-1.0),IF(H4397=0,1,O4397*(1+0.00023125256064071564)))</f>
        <v/>
      </c>
      <c r="P4398">
        <f>IF(G4398=1,IF(H4397=0,1,ABS(0.2-J4397*B4398/I4398)+ABS(0.2-K4397*C4398/I4398)+ABS(0.2-L4397*D4398/I4398)+ABS(0.2-M4397*E4398/I4398)+ABS(0.2-N4397*F4398/I4398)),0)</f>
        <v/>
      </c>
      <c r="Q4398">
        <f>P4398*0.0015</f>
        <v/>
      </c>
      <c r="R4398">
        <f>I4398*(1-Q4398)</f>
        <v/>
      </c>
      <c r="S4398">
        <f>R4398/R4397-1</f>
        <v/>
      </c>
      <c r="T4398">
        <f>MAX(T4397,R4398)</f>
        <v/>
      </c>
      <c r="U4398">
        <f>R4398/T4398-1</f>
        <v/>
      </c>
      <c r="V4398" t="n">
        <v>16.31223526655782</v>
      </c>
      <c r="W4398" s="5">
        <f>R4398-V4398</f>
        <v/>
      </c>
    </row>
    <row r="4399">
      <c r="A4399" s="3" t="n">
        <v>44917</v>
      </c>
      <c r="B4399">
        <f>Prices!B4399</f>
        <v/>
      </c>
      <c r="C4399">
        <f>Prices!C4399</f>
        <v/>
      </c>
      <c r="D4399">
        <f>Prices!D4399</f>
        <v/>
      </c>
      <c r="E4399">
        <f>Prices!E4399</f>
        <v/>
      </c>
      <c r="F4399">
        <f>Prices!F4399</f>
        <v/>
      </c>
      <c r="G4399">
        <f>IF(AND(4397&gt;=16,TEXT(A4399,"yyyy-mm")&lt;&gt;TEXT(A4400,"yyyy-mm")),1,0)</f>
        <v/>
      </c>
      <c r="H4399">
        <f>IF(OR(H4398=1,G4399=1),1,0)</f>
        <v/>
      </c>
      <c r="I4399">
        <f>IF(H4398=0,1,SUMPRODUCT(J4398:N4398,B4399:F4399)+O4398*(1+0.00023125256064071564))</f>
        <v/>
      </c>
      <c r="J4399">
        <f>IF(G4399=1,0.2*R4399/B4399,J4398)</f>
        <v/>
      </c>
      <c r="K4399">
        <f>IF(G4399=1,0.2*R4399/C4399,K4398)</f>
        <v/>
      </c>
      <c r="L4399">
        <f>IF(G4399=1,0.2*R4399/D4399,L4398)</f>
        <v/>
      </c>
      <c r="M4399">
        <f>IF(G4399=1,0.2*R4399/E4399,M4398)</f>
        <v/>
      </c>
      <c r="N4399">
        <f>IF(G4399=1,0.2*R4399/F4399,N4398)</f>
        <v/>
      </c>
      <c r="O4399">
        <f>IF(G4399=1,R4399*(1-1.0),IF(H4398=0,1,O4398*(1+0.00023125256064071564)))</f>
        <v/>
      </c>
      <c r="P4399">
        <f>IF(G4399=1,IF(H4398=0,1,ABS(0.2-J4398*B4399/I4399)+ABS(0.2-K4398*C4399/I4399)+ABS(0.2-L4398*D4399/I4399)+ABS(0.2-M4398*E4399/I4399)+ABS(0.2-N4398*F4399/I4399)),0)</f>
        <v/>
      </c>
      <c r="Q4399">
        <f>P4399*0.0015</f>
        <v/>
      </c>
      <c r="R4399">
        <f>I4399*(1-Q4399)</f>
        <v/>
      </c>
      <c r="S4399">
        <f>R4399/R4398-1</f>
        <v/>
      </c>
      <c r="T4399">
        <f>MAX(T4398,R4399)</f>
        <v/>
      </c>
      <c r="U4399">
        <f>R4399/T4399-1</f>
        <v/>
      </c>
      <c r="V4399" t="n">
        <v>16.17210535630083</v>
      </c>
      <c r="W4399" s="5">
        <f>R4399-V4399</f>
        <v/>
      </c>
    </row>
    <row r="4400">
      <c r="A4400" s="3" t="n">
        <v>44918</v>
      </c>
      <c r="B4400">
        <f>Prices!B4400</f>
        <v/>
      </c>
      <c r="C4400">
        <f>Prices!C4400</f>
        <v/>
      </c>
      <c r="D4400">
        <f>Prices!D4400</f>
        <v/>
      </c>
      <c r="E4400">
        <f>Prices!E4400</f>
        <v/>
      </c>
      <c r="F4400">
        <f>Prices!F4400</f>
        <v/>
      </c>
      <c r="G4400">
        <f>IF(AND(4398&gt;=16,TEXT(A4400,"yyyy-mm")&lt;&gt;TEXT(A4401,"yyyy-mm")),1,0)</f>
        <v/>
      </c>
      <c r="H4400">
        <f>IF(OR(H4399=1,G4400=1),1,0)</f>
        <v/>
      </c>
      <c r="I4400">
        <f>IF(H4399=0,1,SUMPRODUCT(J4399:N4399,B4400:F4400)+O4399*(1+0.00023125256064071564))</f>
        <v/>
      </c>
      <c r="J4400">
        <f>IF(G4400=1,0.2*R4400/B4400,J4399)</f>
        <v/>
      </c>
      <c r="K4400">
        <f>IF(G4400=1,0.2*R4400/C4400,K4399)</f>
        <v/>
      </c>
      <c r="L4400">
        <f>IF(G4400=1,0.2*R4400/D4400,L4399)</f>
        <v/>
      </c>
      <c r="M4400">
        <f>IF(G4400=1,0.2*R4400/E4400,M4399)</f>
        <v/>
      </c>
      <c r="N4400">
        <f>IF(G4400=1,0.2*R4400/F4400,N4399)</f>
        <v/>
      </c>
      <c r="O4400">
        <f>IF(G4400=1,R4400*(1-1.0),IF(H4399=0,1,O4399*(1+0.00023125256064071564)))</f>
        <v/>
      </c>
      <c r="P4400">
        <f>IF(G4400=1,IF(H4399=0,1,ABS(0.2-J4399*B4400/I4400)+ABS(0.2-K4399*C4400/I4400)+ABS(0.2-L4399*D4400/I4400)+ABS(0.2-M4399*E4400/I4400)+ABS(0.2-N4399*F4400/I4400)),0)</f>
        <v/>
      </c>
      <c r="Q4400">
        <f>P4400*0.0015</f>
        <v/>
      </c>
      <c r="R4400">
        <f>I4400*(1-Q4400)</f>
        <v/>
      </c>
      <c r="S4400">
        <f>R4400/R4399-1</f>
        <v/>
      </c>
      <c r="T4400">
        <f>MAX(T4399,R4400)</f>
        <v/>
      </c>
      <c r="U4400">
        <f>R4400/T4400-1</f>
        <v/>
      </c>
      <c r="V4400" t="n">
        <v>15.63467311047811</v>
      </c>
      <c r="W4400" s="5">
        <f>R4400-V4400</f>
        <v/>
      </c>
    </row>
    <row r="4401">
      <c r="A4401" s="3" t="n">
        <v>44921</v>
      </c>
      <c r="B4401">
        <f>Prices!B4401</f>
        <v/>
      </c>
      <c r="C4401">
        <f>Prices!C4401</f>
        <v/>
      </c>
      <c r="D4401">
        <f>Prices!D4401</f>
        <v/>
      </c>
      <c r="E4401">
        <f>Prices!E4401</f>
        <v/>
      </c>
      <c r="F4401">
        <f>Prices!F4401</f>
        <v/>
      </c>
      <c r="G4401">
        <f>IF(AND(4399&gt;=16,TEXT(A4401,"yyyy-mm")&lt;&gt;TEXT(A4402,"yyyy-mm")),1,0)</f>
        <v/>
      </c>
      <c r="H4401">
        <f>IF(OR(H4400=1,G4401=1),1,0)</f>
        <v/>
      </c>
      <c r="I4401">
        <f>IF(H4400=0,1,SUMPRODUCT(J4400:N4400,B4401:F4401)+O4400*(1+0.00023125256064071564))</f>
        <v/>
      </c>
      <c r="J4401">
        <f>IF(G4401=1,0.2*R4401/B4401,J4400)</f>
        <v/>
      </c>
      <c r="K4401">
        <f>IF(G4401=1,0.2*R4401/C4401,K4400)</f>
        <v/>
      </c>
      <c r="L4401">
        <f>IF(G4401=1,0.2*R4401/D4401,L4400)</f>
        <v/>
      </c>
      <c r="M4401">
        <f>IF(G4401=1,0.2*R4401/E4401,M4400)</f>
        <v/>
      </c>
      <c r="N4401">
        <f>IF(G4401=1,0.2*R4401/F4401,N4400)</f>
        <v/>
      </c>
      <c r="O4401">
        <f>IF(G4401=1,R4401*(1-1.0),IF(H4400=0,1,O4400*(1+0.00023125256064071564)))</f>
        <v/>
      </c>
      <c r="P4401">
        <f>IF(G4401=1,IF(H4400=0,1,ABS(0.2-J4400*B4401/I4401)+ABS(0.2-K4400*C4401/I4401)+ABS(0.2-L4400*D4401/I4401)+ABS(0.2-M4400*E4401/I4401)+ABS(0.2-N4400*F4401/I4401)),0)</f>
        <v/>
      </c>
      <c r="Q4401">
        <f>P4401*0.0015</f>
        <v/>
      </c>
      <c r="R4401">
        <f>I4401*(1-Q4401)</f>
        <v/>
      </c>
      <c r="S4401">
        <f>R4401/R4400-1</f>
        <v/>
      </c>
      <c r="T4401">
        <f>MAX(T4400,R4401)</f>
        <v/>
      </c>
      <c r="U4401">
        <f>R4401/T4401-1</f>
        <v/>
      </c>
      <c r="V4401" t="n">
        <v>16.0099986160557</v>
      </c>
      <c r="W4401" s="5">
        <f>R4401-V4401</f>
        <v/>
      </c>
    </row>
    <row r="4402">
      <c r="A4402" s="3" t="n">
        <v>44922</v>
      </c>
      <c r="B4402">
        <f>Prices!B4402</f>
        <v/>
      </c>
      <c r="C4402">
        <f>Prices!C4402</f>
        <v/>
      </c>
      <c r="D4402">
        <f>Prices!D4402</f>
        <v/>
      </c>
      <c r="E4402">
        <f>Prices!E4402</f>
        <v/>
      </c>
      <c r="F4402">
        <f>Prices!F4402</f>
        <v/>
      </c>
      <c r="G4402">
        <f>IF(AND(4400&gt;=16,TEXT(A4402,"yyyy-mm")&lt;&gt;TEXT(A4403,"yyyy-mm")),1,0)</f>
        <v/>
      </c>
      <c r="H4402">
        <f>IF(OR(H4401=1,G4402=1),1,0)</f>
        <v/>
      </c>
      <c r="I4402">
        <f>IF(H4401=0,1,SUMPRODUCT(J4401:N4401,B4402:F4402)+O4401*(1+0.00023125256064071564))</f>
        <v/>
      </c>
      <c r="J4402">
        <f>IF(G4402=1,0.2*R4402/B4402,J4401)</f>
        <v/>
      </c>
      <c r="K4402">
        <f>IF(G4402=1,0.2*R4402/C4402,K4401)</f>
        <v/>
      </c>
      <c r="L4402">
        <f>IF(G4402=1,0.2*R4402/D4402,L4401)</f>
        <v/>
      </c>
      <c r="M4402">
        <f>IF(G4402=1,0.2*R4402/E4402,M4401)</f>
        <v/>
      </c>
      <c r="N4402">
        <f>IF(G4402=1,0.2*R4402/F4402,N4401)</f>
        <v/>
      </c>
      <c r="O4402">
        <f>IF(G4402=1,R4402*(1-1.0),IF(H4401=0,1,O4401*(1+0.00023125256064071564)))</f>
        <v/>
      </c>
      <c r="P4402">
        <f>IF(G4402=1,IF(H4401=0,1,ABS(0.2-J4401*B4402/I4402)+ABS(0.2-K4401*C4402/I4402)+ABS(0.2-L4401*D4402/I4402)+ABS(0.2-M4401*E4402/I4402)+ABS(0.2-N4401*F4402/I4402)),0)</f>
        <v/>
      </c>
      <c r="Q4402">
        <f>P4402*0.0015</f>
        <v/>
      </c>
      <c r="R4402">
        <f>I4402*(1-Q4402)</f>
        <v/>
      </c>
      <c r="S4402">
        <f>R4402/R4401-1</f>
        <v/>
      </c>
      <c r="T4402">
        <f>MAX(T4401,R4402)</f>
        <v/>
      </c>
      <c r="U4402">
        <f>R4402/T4402-1</f>
        <v/>
      </c>
      <c r="V4402" t="n">
        <v>16.16764857498531</v>
      </c>
      <c r="W4402" s="5">
        <f>R4402-V4402</f>
        <v/>
      </c>
    </row>
    <row r="4403">
      <c r="A4403" s="3" t="n">
        <v>44923</v>
      </c>
      <c r="B4403">
        <f>Prices!B4403</f>
        <v/>
      </c>
      <c r="C4403">
        <f>Prices!C4403</f>
        <v/>
      </c>
      <c r="D4403">
        <f>Prices!D4403</f>
        <v/>
      </c>
      <c r="E4403">
        <f>Prices!E4403</f>
        <v/>
      </c>
      <c r="F4403">
        <f>Prices!F4403</f>
        <v/>
      </c>
      <c r="G4403">
        <f>IF(AND(4401&gt;=16,TEXT(A4403,"yyyy-mm")&lt;&gt;TEXT(A4404,"yyyy-mm")),1,0)</f>
        <v/>
      </c>
      <c r="H4403">
        <f>IF(OR(H4402=1,G4403=1),1,0)</f>
        <v/>
      </c>
      <c r="I4403">
        <f>IF(H4402=0,1,SUMPRODUCT(J4402:N4402,B4403:F4403)+O4402*(1+0.00023125256064071564))</f>
        <v/>
      </c>
      <c r="J4403">
        <f>IF(G4403=1,0.2*R4403/B4403,J4402)</f>
        <v/>
      </c>
      <c r="K4403">
        <f>IF(G4403=1,0.2*R4403/C4403,K4402)</f>
        <v/>
      </c>
      <c r="L4403">
        <f>IF(G4403=1,0.2*R4403/D4403,L4402)</f>
        <v/>
      </c>
      <c r="M4403">
        <f>IF(G4403=1,0.2*R4403/E4403,M4402)</f>
        <v/>
      </c>
      <c r="N4403">
        <f>IF(G4403=1,0.2*R4403/F4403,N4402)</f>
        <v/>
      </c>
      <c r="O4403">
        <f>IF(G4403=1,R4403*(1-1.0),IF(H4402=0,1,O4402*(1+0.00023125256064071564)))</f>
        <v/>
      </c>
      <c r="P4403">
        <f>IF(G4403=1,IF(H4402=0,1,ABS(0.2-J4402*B4403/I4403)+ABS(0.2-K4402*C4403/I4403)+ABS(0.2-L4402*D4403/I4403)+ABS(0.2-M4402*E4403/I4403)+ABS(0.2-N4402*F4403/I4403)),0)</f>
        <v/>
      </c>
      <c r="Q4403">
        <f>P4403*0.0015</f>
        <v/>
      </c>
      <c r="R4403">
        <f>I4403*(1-Q4403)</f>
        <v/>
      </c>
      <c r="S4403">
        <f>R4403/R4402-1</f>
        <v/>
      </c>
      <c r="T4403">
        <f>MAX(T4402,R4403)</f>
        <v/>
      </c>
      <c r="U4403">
        <f>R4403/T4403-1</f>
        <v/>
      </c>
      <c r="V4403" t="n">
        <v>16.22942045680495</v>
      </c>
      <c r="W4403" s="5">
        <f>R4403-V4403</f>
        <v/>
      </c>
    </row>
    <row r="4404">
      <c r="A4404" s="3" t="n">
        <v>44924</v>
      </c>
      <c r="B4404">
        <f>Prices!B4404</f>
        <v/>
      </c>
      <c r="C4404">
        <f>Prices!C4404</f>
        <v/>
      </c>
      <c r="D4404">
        <f>Prices!D4404</f>
        <v/>
      </c>
      <c r="E4404">
        <f>Prices!E4404</f>
        <v/>
      </c>
      <c r="F4404">
        <f>Prices!F4404</f>
        <v/>
      </c>
      <c r="G4404">
        <f>IF(AND(4402&gt;=16,TEXT(A4404,"yyyy-mm")&lt;&gt;TEXT(A4405,"yyyy-mm")),1,0)</f>
        <v/>
      </c>
      <c r="H4404">
        <f>IF(OR(H4403=1,G4404=1),1,0)</f>
        <v/>
      </c>
      <c r="I4404">
        <f>IF(H4403=0,1,SUMPRODUCT(J4403:N4403,B4404:F4404)+O4403*(1+0.00023125256064071564))</f>
        <v/>
      </c>
      <c r="J4404">
        <f>IF(G4404=1,0.2*R4404/B4404,J4403)</f>
        <v/>
      </c>
      <c r="K4404">
        <f>IF(G4404=1,0.2*R4404/C4404,K4403)</f>
        <v/>
      </c>
      <c r="L4404">
        <f>IF(G4404=1,0.2*R4404/D4404,L4403)</f>
        <v/>
      </c>
      <c r="M4404">
        <f>IF(G4404=1,0.2*R4404/E4404,M4403)</f>
        <v/>
      </c>
      <c r="N4404">
        <f>IF(G4404=1,0.2*R4404/F4404,N4403)</f>
        <v/>
      </c>
      <c r="O4404">
        <f>IF(G4404=1,R4404*(1-1.0),IF(H4403=0,1,O4403*(1+0.00023125256064071564)))</f>
        <v/>
      </c>
      <c r="P4404">
        <f>IF(G4404=1,IF(H4403=0,1,ABS(0.2-J4403*B4404/I4404)+ABS(0.2-K4403*C4404/I4404)+ABS(0.2-L4403*D4404/I4404)+ABS(0.2-M4403*E4404/I4404)+ABS(0.2-N4403*F4404/I4404)),0)</f>
        <v/>
      </c>
      <c r="Q4404">
        <f>P4404*0.0015</f>
        <v/>
      </c>
      <c r="R4404">
        <f>I4404*(1-Q4404)</f>
        <v/>
      </c>
      <c r="S4404">
        <f>R4404/R4403-1</f>
        <v/>
      </c>
      <c r="T4404">
        <f>MAX(T4403,R4404)</f>
        <v/>
      </c>
      <c r="U4404">
        <f>R4404/T4404-1</f>
        <v/>
      </c>
      <c r="V4404" t="n">
        <v>16.25648102882854</v>
      </c>
      <c r="W4404" s="5">
        <f>R4404-V4404</f>
        <v/>
      </c>
    </row>
    <row r="4405">
      <c r="A4405" s="3" t="n">
        <v>44925</v>
      </c>
      <c r="B4405">
        <f>Prices!B4405</f>
        <v/>
      </c>
      <c r="C4405">
        <f>Prices!C4405</f>
        <v/>
      </c>
      <c r="D4405">
        <f>Prices!D4405</f>
        <v/>
      </c>
      <c r="E4405">
        <f>Prices!E4405</f>
        <v/>
      </c>
      <c r="F4405">
        <f>Prices!F4405</f>
        <v/>
      </c>
      <c r="G4405">
        <f>IF(AND(4403&gt;=16,TEXT(A4405,"yyyy-mm")&lt;&gt;TEXT(A4406,"yyyy-mm")),1,0)</f>
        <v/>
      </c>
      <c r="H4405">
        <f>IF(OR(H4404=1,G4405=1),1,0)</f>
        <v/>
      </c>
      <c r="I4405">
        <f>IF(H4404=0,1,SUMPRODUCT(J4404:N4404,B4405:F4405)+O4404*(1+0.00023125256064071564))</f>
        <v/>
      </c>
      <c r="J4405">
        <f>IF(G4405=1,0.2*R4405/B4405,J4404)</f>
        <v/>
      </c>
      <c r="K4405">
        <f>IF(G4405=1,0.2*R4405/C4405,K4404)</f>
        <v/>
      </c>
      <c r="L4405">
        <f>IF(G4405=1,0.2*R4405/D4405,L4404)</f>
        <v/>
      </c>
      <c r="M4405">
        <f>IF(G4405=1,0.2*R4405/E4405,M4404)</f>
        <v/>
      </c>
      <c r="N4405">
        <f>IF(G4405=1,0.2*R4405/F4405,N4404)</f>
        <v/>
      </c>
      <c r="O4405">
        <f>IF(G4405=1,R4405*(1-1.0),IF(H4404=0,1,O4404*(1+0.00023125256064071564)))</f>
        <v/>
      </c>
      <c r="P4405">
        <f>IF(G4405=1,IF(H4404=0,1,ABS(0.2-J4404*B4405/I4405)+ABS(0.2-K4404*C4405/I4405)+ABS(0.2-L4404*D4405/I4405)+ABS(0.2-M4404*E4405/I4405)+ABS(0.2-N4404*F4405/I4405)),0)</f>
        <v/>
      </c>
      <c r="Q4405">
        <f>P4405*0.0015</f>
        <v/>
      </c>
      <c r="R4405">
        <f>I4405*(1-Q4405)</f>
        <v/>
      </c>
      <c r="S4405">
        <f>R4405/R4404-1</f>
        <v/>
      </c>
      <c r="T4405">
        <f>MAX(T4404,R4405)</f>
        <v/>
      </c>
      <c r="U4405">
        <f>R4405/T4405-1</f>
        <v/>
      </c>
      <c r="V4405" t="n">
        <v>16.31700760955952</v>
      </c>
      <c r="W4405" s="5">
        <f>R4405-V4405</f>
        <v/>
      </c>
    </row>
    <row r="4406">
      <c r="A4406" s="3" t="n">
        <v>44928</v>
      </c>
      <c r="B4406">
        <f>Prices!B4406</f>
        <v/>
      </c>
      <c r="C4406">
        <f>Prices!C4406</f>
        <v/>
      </c>
      <c r="D4406">
        <f>Prices!D4406</f>
        <v/>
      </c>
      <c r="E4406">
        <f>Prices!E4406</f>
        <v/>
      </c>
      <c r="F4406">
        <f>Prices!F4406</f>
        <v/>
      </c>
      <c r="G4406">
        <f>IF(AND(4404&gt;=16,TEXT(A4406,"yyyy-mm")&lt;&gt;TEXT(A4407,"yyyy-mm")),1,0)</f>
        <v/>
      </c>
      <c r="H4406">
        <f>IF(OR(H4405=1,G4406=1),1,0)</f>
        <v/>
      </c>
      <c r="I4406">
        <f>IF(H4405=0,1,SUMPRODUCT(J4405:N4405,B4406:F4406)+O4405*(1+0.00023125256064071564))</f>
        <v/>
      </c>
      <c r="J4406">
        <f>IF(G4406=1,0.2*R4406/B4406,J4405)</f>
        <v/>
      </c>
      <c r="K4406">
        <f>IF(G4406=1,0.2*R4406/C4406,K4405)</f>
        <v/>
      </c>
      <c r="L4406">
        <f>IF(G4406=1,0.2*R4406/D4406,L4405)</f>
        <v/>
      </c>
      <c r="M4406">
        <f>IF(G4406=1,0.2*R4406/E4406,M4405)</f>
        <v/>
      </c>
      <c r="N4406">
        <f>IF(G4406=1,0.2*R4406/F4406,N4405)</f>
        <v/>
      </c>
      <c r="O4406">
        <f>IF(G4406=1,R4406*(1-1.0),IF(H4405=0,1,O4405*(1+0.00023125256064071564)))</f>
        <v/>
      </c>
      <c r="P4406">
        <f>IF(G4406=1,IF(H4405=0,1,ABS(0.2-J4405*B4406/I4406)+ABS(0.2-K4405*C4406/I4406)+ABS(0.2-L4405*D4406/I4406)+ABS(0.2-M4405*E4406/I4406)+ABS(0.2-N4405*F4406/I4406)),0)</f>
        <v/>
      </c>
      <c r="Q4406">
        <f>P4406*0.0015</f>
        <v/>
      </c>
      <c r="R4406">
        <f>I4406*(1-Q4406)</f>
        <v/>
      </c>
      <c r="S4406">
        <f>R4406/R4405-1</f>
        <v/>
      </c>
      <c r="T4406">
        <f>MAX(T4405,R4406)</f>
        <v/>
      </c>
      <c r="U4406">
        <f>R4406/T4406-1</f>
        <v/>
      </c>
      <c r="V4406" t="n">
        <v>16.42073227670838</v>
      </c>
      <c r="W4406" s="5">
        <f>R4406-V4406</f>
        <v/>
      </c>
    </row>
    <row r="4407">
      <c r="A4407" s="3" t="n">
        <v>44929</v>
      </c>
      <c r="B4407">
        <f>Prices!B4407</f>
        <v/>
      </c>
      <c r="C4407">
        <f>Prices!C4407</f>
        <v/>
      </c>
      <c r="D4407">
        <f>Prices!D4407</f>
        <v/>
      </c>
      <c r="E4407">
        <f>Prices!E4407</f>
        <v/>
      </c>
      <c r="F4407">
        <f>Prices!F4407</f>
        <v/>
      </c>
      <c r="G4407">
        <f>IF(AND(4405&gt;=16,TEXT(A4407,"yyyy-mm")&lt;&gt;TEXT(A4408,"yyyy-mm")),1,0)</f>
        <v/>
      </c>
      <c r="H4407">
        <f>IF(OR(H4406=1,G4407=1),1,0)</f>
        <v/>
      </c>
      <c r="I4407">
        <f>IF(H4406=0,1,SUMPRODUCT(J4406:N4406,B4407:F4407)+O4406*(1+0.00023125256064071564))</f>
        <v/>
      </c>
      <c r="J4407">
        <f>IF(G4407=1,0.2*R4407/B4407,J4406)</f>
        <v/>
      </c>
      <c r="K4407">
        <f>IF(G4407=1,0.2*R4407/C4407,K4406)</f>
        <v/>
      </c>
      <c r="L4407">
        <f>IF(G4407=1,0.2*R4407/D4407,L4406)</f>
        <v/>
      </c>
      <c r="M4407">
        <f>IF(G4407=1,0.2*R4407/E4407,M4406)</f>
        <v/>
      </c>
      <c r="N4407">
        <f>IF(G4407=1,0.2*R4407/F4407,N4406)</f>
        <v/>
      </c>
      <c r="O4407">
        <f>IF(G4407=1,R4407*(1-1.0),IF(H4406=0,1,O4406*(1+0.00023125256064071564)))</f>
        <v/>
      </c>
      <c r="P4407">
        <f>IF(G4407=1,IF(H4406=0,1,ABS(0.2-J4406*B4407/I4407)+ABS(0.2-K4406*C4407/I4407)+ABS(0.2-L4406*D4407/I4407)+ABS(0.2-M4406*E4407/I4407)+ABS(0.2-N4406*F4407/I4407)),0)</f>
        <v/>
      </c>
      <c r="Q4407">
        <f>P4407*0.0015</f>
        <v/>
      </c>
      <c r="R4407">
        <f>I4407*(1-Q4407)</f>
        <v/>
      </c>
      <c r="S4407">
        <f>R4407/R4406-1</f>
        <v/>
      </c>
      <c r="T4407">
        <f>MAX(T4406,R4407)</f>
        <v/>
      </c>
      <c r="U4407">
        <f>R4407/T4407-1</f>
        <v/>
      </c>
      <c r="V4407" t="n">
        <v>16.45696814566387</v>
      </c>
      <c r="W4407" s="5">
        <f>R4407-V4407</f>
        <v/>
      </c>
    </row>
    <row r="4408">
      <c r="A4408" s="3" t="n">
        <v>44930</v>
      </c>
      <c r="B4408">
        <f>Prices!B4408</f>
        <v/>
      </c>
      <c r="C4408">
        <f>Prices!C4408</f>
        <v/>
      </c>
      <c r="D4408">
        <f>Prices!D4408</f>
        <v/>
      </c>
      <c r="E4408">
        <f>Prices!E4408</f>
        <v/>
      </c>
      <c r="F4408">
        <f>Prices!F4408</f>
        <v/>
      </c>
      <c r="G4408">
        <f>IF(AND(4406&gt;=16,TEXT(A4408,"yyyy-mm")&lt;&gt;TEXT(A4409,"yyyy-mm")),1,0)</f>
        <v/>
      </c>
      <c r="H4408">
        <f>IF(OR(H4407=1,G4408=1),1,0)</f>
        <v/>
      </c>
      <c r="I4408">
        <f>IF(H4407=0,1,SUMPRODUCT(J4407:N4407,B4408:F4408)+O4407*(1+0.00023125256064071564))</f>
        <v/>
      </c>
      <c r="J4408">
        <f>IF(G4408=1,0.2*R4408/B4408,J4407)</f>
        <v/>
      </c>
      <c r="K4408">
        <f>IF(G4408=1,0.2*R4408/C4408,K4407)</f>
        <v/>
      </c>
      <c r="L4408">
        <f>IF(G4408=1,0.2*R4408/D4408,L4407)</f>
        <v/>
      </c>
      <c r="M4408">
        <f>IF(G4408=1,0.2*R4408/E4408,M4407)</f>
        <v/>
      </c>
      <c r="N4408">
        <f>IF(G4408=1,0.2*R4408/F4408,N4407)</f>
        <v/>
      </c>
      <c r="O4408">
        <f>IF(G4408=1,R4408*(1-1.0),IF(H4407=0,1,O4407*(1+0.00023125256064071564)))</f>
        <v/>
      </c>
      <c r="P4408">
        <f>IF(G4408=1,IF(H4407=0,1,ABS(0.2-J4407*B4408/I4408)+ABS(0.2-K4407*C4408/I4408)+ABS(0.2-L4407*D4408/I4408)+ABS(0.2-M4407*E4408/I4408)+ABS(0.2-N4407*F4408/I4408)),0)</f>
        <v/>
      </c>
      <c r="Q4408">
        <f>P4408*0.0015</f>
        <v/>
      </c>
      <c r="R4408">
        <f>I4408*(1-Q4408)</f>
        <v/>
      </c>
      <c r="S4408">
        <f>R4408/R4407-1</f>
        <v/>
      </c>
      <c r="T4408">
        <f>MAX(T4407,R4408)</f>
        <v/>
      </c>
      <c r="U4408">
        <f>R4408/T4408-1</f>
        <v/>
      </c>
      <c r="V4408" t="n">
        <v>16.28502208461844</v>
      </c>
      <c r="W4408" s="5">
        <f>R4408-V4408</f>
        <v/>
      </c>
    </row>
    <row r="4409">
      <c r="A4409" s="3" t="n">
        <v>44931</v>
      </c>
      <c r="B4409">
        <f>Prices!B4409</f>
        <v/>
      </c>
      <c r="C4409">
        <f>Prices!C4409</f>
        <v/>
      </c>
      <c r="D4409">
        <f>Prices!D4409</f>
        <v/>
      </c>
      <c r="E4409">
        <f>Prices!E4409</f>
        <v/>
      </c>
      <c r="F4409">
        <f>Prices!F4409</f>
        <v/>
      </c>
      <c r="G4409">
        <f>IF(AND(4407&gt;=16,TEXT(A4409,"yyyy-mm")&lt;&gt;TEXT(A4410,"yyyy-mm")),1,0)</f>
        <v/>
      </c>
      <c r="H4409">
        <f>IF(OR(H4408=1,G4409=1),1,0)</f>
        <v/>
      </c>
      <c r="I4409">
        <f>IF(H4408=0,1,SUMPRODUCT(J4408:N4408,B4409:F4409)+O4408*(1+0.00023125256064071564))</f>
        <v/>
      </c>
      <c r="J4409">
        <f>IF(G4409=1,0.2*R4409/B4409,J4408)</f>
        <v/>
      </c>
      <c r="K4409">
        <f>IF(G4409=1,0.2*R4409/C4409,K4408)</f>
        <v/>
      </c>
      <c r="L4409">
        <f>IF(G4409=1,0.2*R4409/D4409,L4408)</f>
        <v/>
      </c>
      <c r="M4409">
        <f>IF(G4409=1,0.2*R4409/E4409,M4408)</f>
        <v/>
      </c>
      <c r="N4409">
        <f>IF(G4409=1,0.2*R4409/F4409,N4408)</f>
        <v/>
      </c>
      <c r="O4409">
        <f>IF(G4409=1,R4409*(1-1.0),IF(H4408=0,1,O4408*(1+0.00023125256064071564)))</f>
        <v/>
      </c>
      <c r="P4409">
        <f>IF(G4409=1,IF(H4408=0,1,ABS(0.2-J4408*B4409/I4409)+ABS(0.2-K4408*C4409/I4409)+ABS(0.2-L4408*D4409/I4409)+ABS(0.2-M4408*E4409/I4409)+ABS(0.2-N4408*F4409/I4409)),0)</f>
        <v/>
      </c>
      <c r="Q4409">
        <f>P4409*0.0015</f>
        <v/>
      </c>
      <c r="R4409">
        <f>I4409*(1-Q4409)</f>
        <v/>
      </c>
      <c r="S4409">
        <f>R4409/R4408-1</f>
        <v/>
      </c>
      <c r="T4409">
        <f>MAX(T4408,R4409)</f>
        <v/>
      </c>
      <c r="U4409">
        <f>R4409/T4409-1</f>
        <v/>
      </c>
      <c r="V4409" t="n">
        <v>16.37486550014437</v>
      </c>
      <c r="W4409" s="5">
        <f>R4409-V4409</f>
        <v/>
      </c>
    </row>
    <row r="4410">
      <c r="A4410" s="3" t="n">
        <v>44932</v>
      </c>
      <c r="B4410">
        <f>Prices!B4410</f>
        <v/>
      </c>
      <c r="C4410">
        <f>Prices!C4410</f>
        <v/>
      </c>
      <c r="D4410">
        <f>Prices!D4410</f>
        <v/>
      </c>
      <c r="E4410">
        <f>Prices!E4410</f>
        <v/>
      </c>
      <c r="F4410">
        <f>Prices!F4410</f>
        <v/>
      </c>
      <c r="G4410">
        <f>IF(AND(4408&gt;=16,TEXT(A4410,"yyyy-mm")&lt;&gt;TEXT(A4411,"yyyy-mm")),1,0)</f>
        <v/>
      </c>
      <c r="H4410">
        <f>IF(OR(H4409=1,G4410=1),1,0)</f>
        <v/>
      </c>
      <c r="I4410">
        <f>IF(H4409=0,1,SUMPRODUCT(J4409:N4409,B4410:F4410)+O4409*(1+0.00023125256064071564))</f>
        <v/>
      </c>
      <c r="J4410">
        <f>IF(G4410=1,0.2*R4410/B4410,J4409)</f>
        <v/>
      </c>
      <c r="K4410">
        <f>IF(G4410=1,0.2*R4410/C4410,K4409)</f>
        <v/>
      </c>
      <c r="L4410">
        <f>IF(G4410=1,0.2*R4410/D4410,L4409)</f>
        <v/>
      </c>
      <c r="M4410">
        <f>IF(G4410=1,0.2*R4410/E4410,M4409)</f>
        <v/>
      </c>
      <c r="N4410">
        <f>IF(G4410=1,0.2*R4410/F4410,N4409)</f>
        <v/>
      </c>
      <c r="O4410">
        <f>IF(G4410=1,R4410*(1-1.0),IF(H4409=0,1,O4409*(1+0.00023125256064071564)))</f>
        <v/>
      </c>
      <c r="P4410">
        <f>IF(G4410=1,IF(H4409=0,1,ABS(0.2-J4409*B4410/I4410)+ABS(0.2-K4409*C4410/I4410)+ABS(0.2-L4409*D4410/I4410)+ABS(0.2-M4409*E4410/I4410)+ABS(0.2-N4409*F4410/I4410)),0)</f>
        <v/>
      </c>
      <c r="Q4410">
        <f>P4410*0.0015</f>
        <v/>
      </c>
      <c r="R4410">
        <f>I4410*(1-Q4410)</f>
        <v/>
      </c>
      <c r="S4410">
        <f>R4410/R4409-1</f>
        <v/>
      </c>
      <c r="T4410">
        <f>MAX(T4409,R4410)</f>
        <v/>
      </c>
      <c r="U4410">
        <f>R4410/T4410-1</f>
        <v/>
      </c>
      <c r="V4410" t="n">
        <v>16.27011089821964</v>
      </c>
      <c r="W4410" s="5">
        <f>R4410-V4410</f>
        <v/>
      </c>
    </row>
    <row r="4411">
      <c r="A4411" s="3" t="n">
        <v>44935</v>
      </c>
      <c r="B4411">
        <f>Prices!B4411</f>
        <v/>
      </c>
      <c r="C4411">
        <f>Prices!C4411</f>
        <v/>
      </c>
      <c r="D4411">
        <f>Prices!D4411</f>
        <v/>
      </c>
      <c r="E4411">
        <f>Prices!E4411</f>
        <v/>
      </c>
      <c r="F4411">
        <f>Prices!F4411</f>
        <v/>
      </c>
      <c r="G4411">
        <f>IF(AND(4409&gt;=16,TEXT(A4411,"yyyy-mm")&lt;&gt;TEXT(A4412,"yyyy-mm")),1,0)</f>
        <v/>
      </c>
      <c r="H4411">
        <f>IF(OR(H4410=1,G4411=1),1,0)</f>
        <v/>
      </c>
      <c r="I4411">
        <f>IF(H4410=0,1,SUMPRODUCT(J4410:N4410,B4411:F4411)+O4410*(1+0.00023125256064071564))</f>
        <v/>
      </c>
      <c r="J4411">
        <f>IF(G4411=1,0.2*R4411/B4411,J4410)</f>
        <v/>
      </c>
      <c r="K4411">
        <f>IF(G4411=1,0.2*R4411/C4411,K4410)</f>
        <v/>
      </c>
      <c r="L4411">
        <f>IF(G4411=1,0.2*R4411/D4411,L4410)</f>
        <v/>
      </c>
      <c r="M4411">
        <f>IF(G4411=1,0.2*R4411/E4411,M4410)</f>
        <v/>
      </c>
      <c r="N4411">
        <f>IF(G4411=1,0.2*R4411/F4411,N4410)</f>
        <v/>
      </c>
      <c r="O4411">
        <f>IF(G4411=1,R4411*(1-1.0),IF(H4410=0,1,O4410*(1+0.00023125256064071564)))</f>
        <v/>
      </c>
      <c r="P4411">
        <f>IF(G4411=1,IF(H4410=0,1,ABS(0.2-J4410*B4411/I4411)+ABS(0.2-K4410*C4411/I4411)+ABS(0.2-L4410*D4411/I4411)+ABS(0.2-M4410*E4411/I4411)+ABS(0.2-N4410*F4411/I4411)),0)</f>
        <v/>
      </c>
      <c r="Q4411">
        <f>P4411*0.0015</f>
        <v/>
      </c>
      <c r="R4411">
        <f>I4411*(1-Q4411)</f>
        <v/>
      </c>
      <c r="S4411">
        <f>R4411/R4410-1</f>
        <v/>
      </c>
      <c r="T4411">
        <f>MAX(T4410,R4411)</f>
        <v/>
      </c>
      <c r="U4411">
        <f>R4411/T4411-1</f>
        <v/>
      </c>
      <c r="V4411" t="n">
        <v>16.40216514014227</v>
      </c>
      <c r="W4411" s="5">
        <f>R4411-V4411</f>
        <v/>
      </c>
    </row>
    <row r="4412">
      <c r="A4412" s="3" t="n">
        <v>44936</v>
      </c>
      <c r="B4412">
        <f>Prices!B4412</f>
        <v/>
      </c>
      <c r="C4412">
        <f>Prices!C4412</f>
        <v/>
      </c>
      <c r="D4412">
        <f>Prices!D4412</f>
        <v/>
      </c>
      <c r="E4412">
        <f>Prices!E4412</f>
        <v/>
      </c>
      <c r="F4412">
        <f>Prices!F4412</f>
        <v/>
      </c>
      <c r="G4412">
        <f>IF(AND(4410&gt;=16,TEXT(A4412,"yyyy-mm")&lt;&gt;TEXT(A4413,"yyyy-mm")),1,0)</f>
        <v/>
      </c>
      <c r="H4412">
        <f>IF(OR(H4411=1,G4412=1),1,0)</f>
        <v/>
      </c>
      <c r="I4412">
        <f>IF(H4411=0,1,SUMPRODUCT(J4411:N4411,B4412:F4412)+O4411*(1+0.00023125256064071564))</f>
        <v/>
      </c>
      <c r="J4412">
        <f>IF(G4412=1,0.2*R4412/B4412,J4411)</f>
        <v/>
      </c>
      <c r="K4412">
        <f>IF(G4412=1,0.2*R4412/C4412,K4411)</f>
        <v/>
      </c>
      <c r="L4412">
        <f>IF(G4412=1,0.2*R4412/D4412,L4411)</f>
        <v/>
      </c>
      <c r="M4412">
        <f>IF(G4412=1,0.2*R4412/E4412,M4411)</f>
        <v/>
      </c>
      <c r="N4412">
        <f>IF(G4412=1,0.2*R4412/F4412,N4411)</f>
        <v/>
      </c>
      <c r="O4412">
        <f>IF(G4412=1,R4412*(1-1.0),IF(H4411=0,1,O4411*(1+0.00023125256064071564)))</f>
        <v/>
      </c>
      <c r="P4412">
        <f>IF(G4412=1,IF(H4411=0,1,ABS(0.2-J4411*B4412/I4412)+ABS(0.2-K4411*C4412/I4412)+ABS(0.2-L4411*D4412/I4412)+ABS(0.2-M4411*E4412/I4412)+ABS(0.2-N4411*F4412/I4412)),0)</f>
        <v/>
      </c>
      <c r="Q4412">
        <f>P4412*0.0015</f>
        <v/>
      </c>
      <c r="R4412">
        <f>I4412*(1-Q4412)</f>
        <v/>
      </c>
      <c r="S4412">
        <f>R4412/R4411-1</f>
        <v/>
      </c>
      <c r="T4412">
        <f>MAX(T4411,R4412)</f>
        <v/>
      </c>
      <c r="U4412">
        <f>R4412/T4412-1</f>
        <v/>
      </c>
      <c r="V4412" t="n">
        <v>16.28519439981319</v>
      </c>
      <c r="W4412" s="5">
        <f>R4412-V4412</f>
        <v/>
      </c>
    </row>
    <row r="4413">
      <c r="A4413" s="3" t="n">
        <v>44937</v>
      </c>
      <c r="B4413">
        <f>Prices!B4413</f>
        <v/>
      </c>
      <c r="C4413">
        <f>Prices!C4413</f>
        <v/>
      </c>
      <c r="D4413">
        <f>Prices!D4413</f>
        <v/>
      </c>
      <c r="E4413">
        <f>Prices!E4413</f>
        <v/>
      </c>
      <c r="F4413">
        <f>Prices!F4413</f>
        <v/>
      </c>
      <c r="G4413">
        <f>IF(AND(4411&gt;=16,TEXT(A4413,"yyyy-mm")&lt;&gt;TEXT(A4414,"yyyy-mm")),1,0)</f>
        <v/>
      </c>
      <c r="H4413">
        <f>IF(OR(H4412=1,G4413=1),1,0)</f>
        <v/>
      </c>
      <c r="I4413">
        <f>IF(H4412=0,1,SUMPRODUCT(J4412:N4412,B4413:F4413)+O4412*(1+0.00023125256064071564))</f>
        <v/>
      </c>
      <c r="J4413">
        <f>IF(G4413=1,0.2*R4413/B4413,J4412)</f>
        <v/>
      </c>
      <c r="K4413">
        <f>IF(G4413=1,0.2*R4413/C4413,K4412)</f>
        <v/>
      </c>
      <c r="L4413">
        <f>IF(G4413=1,0.2*R4413/D4413,L4412)</f>
        <v/>
      </c>
      <c r="M4413">
        <f>IF(G4413=1,0.2*R4413/E4413,M4412)</f>
        <v/>
      </c>
      <c r="N4413">
        <f>IF(G4413=1,0.2*R4413/F4413,N4412)</f>
        <v/>
      </c>
      <c r="O4413">
        <f>IF(G4413=1,R4413*(1-1.0),IF(H4412=0,1,O4412*(1+0.00023125256064071564)))</f>
        <v/>
      </c>
      <c r="P4413">
        <f>IF(G4413=1,IF(H4412=0,1,ABS(0.2-J4412*B4413/I4413)+ABS(0.2-K4412*C4413/I4413)+ABS(0.2-L4412*D4413/I4413)+ABS(0.2-M4412*E4413/I4413)+ABS(0.2-N4412*F4413/I4413)),0)</f>
        <v/>
      </c>
      <c r="Q4413">
        <f>P4413*0.0015</f>
        <v/>
      </c>
      <c r="R4413">
        <f>I4413*(1-Q4413)</f>
        <v/>
      </c>
      <c r="S4413">
        <f>R4413/R4412-1</f>
        <v/>
      </c>
      <c r="T4413">
        <f>MAX(T4412,R4413)</f>
        <v/>
      </c>
      <c r="U4413">
        <f>R4413/T4413-1</f>
        <v/>
      </c>
      <c r="V4413" t="n">
        <v>16.24916421211855</v>
      </c>
      <c r="W4413" s="5">
        <f>R4413-V4413</f>
        <v/>
      </c>
    </row>
    <row r="4414">
      <c r="A4414" s="3" t="n">
        <v>44938</v>
      </c>
      <c r="B4414">
        <f>Prices!B4414</f>
        <v/>
      </c>
      <c r="C4414">
        <f>Prices!C4414</f>
        <v/>
      </c>
      <c r="D4414">
        <f>Prices!D4414</f>
        <v/>
      </c>
      <c r="E4414">
        <f>Prices!E4414</f>
        <v/>
      </c>
      <c r="F4414">
        <f>Prices!F4414</f>
        <v/>
      </c>
      <c r="G4414">
        <f>IF(AND(4412&gt;=16,TEXT(A4414,"yyyy-mm")&lt;&gt;TEXT(A4415,"yyyy-mm")),1,0)</f>
        <v/>
      </c>
      <c r="H4414">
        <f>IF(OR(H4413=1,G4414=1),1,0)</f>
        <v/>
      </c>
      <c r="I4414">
        <f>IF(H4413=0,1,SUMPRODUCT(J4413:N4413,B4414:F4414)+O4413*(1+0.00023125256064071564))</f>
        <v/>
      </c>
      <c r="J4414">
        <f>IF(G4414=1,0.2*R4414/B4414,J4413)</f>
        <v/>
      </c>
      <c r="K4414">
        <f>IF(G4414=1,0.2*R4414/C4414,K4413)</f>
        <v/>
      </c>
      <c r="L4414">
        <f>IF(G4414=1,0.2*R4414/D4414,L4413)</f>
        <v/>
      </c>
      <c r="M4414">
        <f>IF(G4414=1,0.2*R4414/E4414,M4413)</f>
        <v/>
      </c>
      <c r="N4414">
        <f>IF(G4414=1,0.2*R4414/F4414,N4413)</f>
        <v/>
      </c>
      <c r="O4414">
        <f>IF(G4414=1,R4414*(1-1.0),IF(H4413=0,1,O4413*(1+0.00023125256064071564)))</f>
        <v/>
      </c>
      <c r="P4414">
        <f>IF(G4414=1,IF(H4413=0,1,ABS(0.2-J4413*B4414/I4414)+ABS(0.2-K4413*C4414/I4414)+ABS(0.2-L4413*D4414/I4414)+ABS(0.2-M4413*E4414/I4414)+ABS(0.2-N4413*F4414/I4414)),0)</f>
        <v/>
      </c>
      <c r="Q4414">
        <f>P4414*0.0015</f>
        <v/>
      </c>
      <c r="R4414">
        <f>I4414*(1-Q4414)</f>
        <v/>
      </c>
      <c r="S4414">
        <f>R4414/R4413-1</f>
        <v/>
      </c>
      <c r="T4414">
        <f>MAX(T4413,R4414)</f>
        <v/>
      </c>
      <c r="U4414">
        <f>R4414/T4414-1</f>
        <v/>
      </c>
      <c r="V4414" t="n">
        <v>16.23136619754929</v>
      </c>
      <c r="W4414" s="5">
        <f>R4414-V4414</f>
        <v/>
      </c>
    </row>
    <row r="4415">
      <c r="A4415" s="3" t="n">
        <v>44939</v>
      </c>
      <c r="B4415">
        <f>Prices!B4415</f>
        <v/>
      </c>
      <c r="C4415">
        <f>Prices!C4415</f>
        <v/>
      </c>
      <c r="D4415">
        <f>Prices!D4415</f>
        <v/>
      </c>
      <c r="E4415">
        <f>Prices!E4415</f>
        <v/>
      </c>
      <c r="F4415">
        <f>Prices!F4415</f>
        <v/>
      </c>
      <c r="G4415">
        <f>IF(AND(4413&gt;=16,TEXT(A4415,"yyyy-mm")&lt;&gt;TEXT(A4416,"yyyy-mm")),1,0)</f>
        <v/>
      </c>
      <c r="H4415">
        <f>IF(OR(H4414=1,G4415=1),1,0)</f>
        <v/>
      </c>
      <c r="I4415">
        <f>IF(H4414=0,1,SUMPRODUCT(J4414:N4414,B4415:F4415)+O4414*(1+0.00023125256064071564))</f>
        <v/>
      </c>
      <c r="J4415">
        <f>IF(G4415=1,0.2*R4415/B4415,J4414)</f>
        <v/>
      </c>
      <c r="K4415">
        <f>IF(G4415=1,0.2*R4415/C4415,K4414)</f>
        <v/>
      </c>
      <c r="L4415">
        <f>IF(G4415=1,0.2*R4415/D4415,L4414)</f>
        <v/>
      </c>
      <c r="M4415">
        <f>IF(G4415=1,0.2*R4415/E4415,M4414)</f>
        <v/>
      </c>
      <c r="N4415">
        <f>IF(G4415=1,0.2*R4415/F4415,N4414)</f>
        <v/>
      </c>
      <c r="O4415">
        <f>IF(G4415=1,R4415*(1-1.0),IF(H4414=0,1,O4414*(1+0.00023125256064071564)))</f>
        <v/>
      </c>
      <c r="P4415">
        <f>IF(G4415=1,IF(H4414=0,1,ABS(0.2-J4414*B4415/I4415)+ABS(0.2-K4414*C4415/I4415)+ABS(0.2-L4414*D4415/I4415)+ABS(0.2-M4414*E4415/I4415)+ABS(0.2-N4414*F4415/I4415)),0)</f>
        <v/>
      </c>
      <c r="Q4415">
        <f>P4415*0.0015</f>
        <v/>
      </c>
      <c r="R4415">
        <f>I4415*(1-Q4415)</f>
        <v/>
      </c>
      <c r="S4415">
        <f>R4415/R4414-1</f>
        <v/>
      </c>
      <c r="T4415">
        <f>MAX(T4414,R4415)</f>
        <v/>
      </c>
      <c r="U4415">
        <f>R4415/T4415-1</f>
        <v/>
      </c>
      <c r="V4415" t="n">
        <v>16.29791774719112</v>
      </c>
      <c r="W4415" s="5">
        <f>R4415-V4415</f>
        <v/>
      </c>
    </row>
    <row r="4416">
      <c r="A4416" s="3" t="n">
        <v>44942</v>
      </c>
      <c r="B4416">
        <f>Prices!B4416</f>
        <v/>
      </c>
      <c r="C4416">
        <f>Prices!C4416</f>
        <v/>
      </c>
      <c r="D4416">
        <f>Prices!D4416</f>
        <v/>
      </c>
      <c r="E4416">
        <f>Prices!E4416</f>
        <v/>
      </c>
      <c r="F4416">
        <f>Prices!F4416</f>
        <v/>
      </c>
      <c r="G4416">
        <f>IF(AND(4414&gt;=16,TEXT(A4416,"yyyy-mm")&lt;&gt;TEXT(A4417,"yyyy-mm")),1,0)</f>
        <v/>
      </c>
      <c r="H4416">
        <f>IF(OR(H4415=1,G4416=1),1,0)</f>
        <v/>
      </c>
      <c r="I4416">
        <f>IF(H4415=0,1,SUMPRODUCT(J4415:N4415,B4416:F4416)+O4415*(1+0.00023125256064071564))</f>
        <v/>
      </c>
      <c r="J4416">
        <f>IF(G4416=1,0.2*R4416/B4416,J4415)</f>
        <v/>
      </c>
      <c r="K4416">
        <f>IF(G4416=1,0.2*R4416/C4416,K4415)</f>
        <v/>
      </c>
      <c r="L4416">
        <f>IF(G4416=1,0.2*R4416/D4416,L4415)</f>
        <v/>
      </c>
      <c r="M4416">
        <f>IF(G4416=1,0.2*R4416/E4416,M4415)</f>
        <v/>
      </c>
      <c r="N4416">
        <f>IF(G4416=1,0.2*R4416/F4416,N4415)</f>
        <v/>
      </c>
      <c r="O4416">
        <f>IF(G4416=1,R4416*(1-1.0),IF(H4415=0,1,O4415*(1+0.00023125256064071564)))</f>
        <v/>
      </c>
      <c r="P4416">
        <f>IF(G4416=1,IF(H4415=0,1,ABS(0.2-J4415*B4416/I4416)+ABS(0.2-K4415*C4416/I4416)+ABS(0.2-L4415*D4416/I4416)+ABS(0.2-M4415*E4416/I4416)+ABS(0.2-N4415*F4416/I4416)),0)</f>
        <v/>
      </c>
      <c r="Q4416">
        <f>P4416*0.0015</f>
        <v/>
      </c>
      <c r="R4416">
        <f>I4416*(1-Q4416)</f>
        <v/>
      </c>
      <c r="S4416">
        <f>R4416/R4415-1</f>
        <v/>
      </c>
      <c r="T4416">
        <f>MAX(T4415,R4416)</f>
        <v/>
      </c>
      <c r="U4416">
        <f>R4416/T4416-1</f>
        <v/>
      </c>
      <c r="V4416" t="n">
        <v>16.29818181396465</v>
      </c>
      <c r="W4416" s="5">
        <f>R4416-V4416</f>
        <v/>
      </c>
    </row>
    <row r="4417">
      <c r="A4417" s="3" t="n">
        <v>44943</v>
      </c>
      <c r="B4417">
        <f>Prices!B4417</f>
        <v/>
      </c>
      <c r="C4417">
        <f>Prices!C4417</f>
        <v/>
      </c>
      <c r="D4417">
        <f>Prices!D4417</f>
        <v/>
      </c>
      <c r="E4417">
        <f>Prices!E4417</f>
        <v/>
      </c>
      <c r="F4417">
        <f>Prices!F4417</f>
        <v/>
      </c>
      <c r="G4417">
        <f>IF(AND(4415&gt;=16,TEXT(A4417,"yyyy-mm")&lt;&gt;TEXT(A4418,"yyyy-mm")),1,0)</f>
        <v/>
      </c>
      <c r="H4417">
        <f>IF(OR(H4416=1,G4417=1),1,0)</f>
        <v/>
      </c>
      <c r="I4417">
        <f>IF(H4416=0,1,SUMPRODUCT(J4416:N4416,B4417:F4417)+O4416*(1+0.00023125256064071564))</f>
        <v/>
      </c>
      <c r="J4417">
        <f>IF(G4417=1,0.2*R4417/B4417,J4416)</f>
        <v/>
      </c>
      <c r="K4417">
        <f>IF(G4417=1,0.2*R4417/C4417,K4416)</f>
        <v/>
      </c>
      <c r="L4417">
        <f>IF(G4417=1,0.2*R4417/D4417,L4416)</f>
        <v/>
      </c>
      <c r="M4417">
        <f>IF(G4417=1,0.2*R4417/E4417,M4416)</f>
        <v/>
      </c>
      <c r="N4417">
        <f>IF(G4417=1,0.2*R4417/F4417,N4416)</f>
        <v/>
      </c>
      <c r="O4417">
        <f>IF(G4417=1,R4417*(1-1.0),IF(H4416=0,1,O4416*(1+0.00023125256064071564)))</f>
        <v/>
      </c>
      <c r="P4417">
        <f>IF(G4417=1,IF(H4416=0,1,ABS(0.2-J4416*B4417/I4417)+ABS(0.2-K4416*C4417/I4417)+ABS(0.2-L4416*D4417/I4417)+ABS(0.2-M4416*E4417/I4417)+ABS(0.2-N4416*F4417/I4417)),0)</f>
        <v/>
      </c>
      <c r="Q4417">
        <f>P4417*0.0015</f>
        <v/>
      </c>
      <c r="R4417">
        <f>I4417*(1-Q4417)</f>
        <v/>
      </c>
      <c r="S4417">
        <f>R4417/R4416-1</f>
        <v/>
      </c>
      <c r="T4417">
        <f>MAX(T4416,R4417)</f>
        <v/>
      </c>
      <c r="U4417">
        <f>R4417/T4417-1</f>
        <v/>
      </c>
      <c r="V4417" t="n">
        <v>16.32903827133549</v>
      </c>
      <c r="W4417" s="5">
        <f>R4417-V4417</f>
        <v/>
      </c>
    </row>
    <row r="4418">
      <c r="A4418" s="3" t="n">
        <v>44944</v>
      </c>
      <c r="B4418">
        <f>Prices!B4418</f>
        <v/>
      </c>
      <c r="C4418">
        <f>Prices!C4418</f>
        <v/>
      </c>
      <c r="D4418">
        <f>Prices!D4418</f>
        <v/>
      </c>
      <c r="E4418">
        <f>Prices!E4418</f>
        <v/>
      </c>
      <c r="F4418">
        <f>Prices!F4418</f>
        <v/>
      </c>
      <c r="G4418">
        <f>IF(AND(4416&gt;=16,TEXT(A4418,"yyyy-mm")&lt;&gt;TEXT(A4419,"yyyy-mm")),1,0)</f>
        <v/>
      </c>
      <c r="H4418">
        <f>IF(OR(H4417=1,G4418=1),1,0)</f>
        <v/>
      </c>
      <c r="I4418">
        <f>IF(H4417=0,1,SUMPRODUCT(J4417:N4417,B4418:F4418)+O4417*(1+0.00023125256064071564))</f>
        <v/>
      </c>
      <c r="J4418">
        <f>IF(G4418=1,0.2*R4418/B4418,J4417)</f>
        <v/>
      </c>
      <c r="K4418">
        <f>IF(G4418=1,0.2*R4418/C4418,K4417)</f>
        <v/>
      </c>
      <c r="L4418">
        <f>IF(G4418=1,0.2*R4418/D4418,L4417)</f>
        <v/>
      </c>
      <c r="M4418">
        <f>IF(G4418=1,0.2*R4418/E4418,M4417)</f>
        <v/>
      </c>
      <c r="N4418">
        <f>IF(G4418=1,0.2*R4418/F4418,N4417)</f>
        <v/>
      </c>
      <c r="O4418">
        <f>IF(G4418=1,R4418*(1-1.0),IF(H4417=0,1,O4417*(1+0.00023125256064071564)))</f>
        <v/>
      </c>
      <c r="P4418">
        <f>IF(G4418=1,IF(H4417=0,1,ABS(0.2-J4417*B4418/I4418)+ABS(0.2-K4417*C4418/I4418)+ABS(0.2-L4417*D4418/I4418)+ABS(0.2-M4417*E4418/I4418)+ABS(0.2-N4417*F4418/I4418)),0)</f>
        <v/>
      </c>
      <c r="Q4418">
        <f>P4418*0.0015</f>
        <v/>
      </c>
      <c r="R4418">
        <f>I4418*(1-Q4418)</f>
        <v/>
      </c>
      <c r="S4418">
        <f>R4418/R4417-1</f>
        <v/>
      </c>
      <c r="T4418">
        <f>MAX(T4417,R4418)</f>
        <v/>
      </c>
      <c r="U4418">
        <f>R4418/T4418-1</f>
        <v/>
      </c>
      <c r="V4418" t="n">
        <v>16.36150291637405</v>
      </c>
      <c r="W4418" s="5">
        <f>R4418-V4418</f>
        <v/>
      </c>
    </row>
    <row r="4419">
      <c r="A4419" s="3" t="n">
        <v>44945</v>
      </c>
      <c r="B4419">
        <f>Prices!B4419</f>
        <v/>
      </c>
      <c r="C4419">
        <f>Prices!C4419</f>
        <v/>
      </c>
      <c r="D4419">
        <f>Prices!D4419</f>
        <v/>
      </c>
      <c r="E4419">
        <f>Prices!E4419</f>
        <v/>
      </c>
      <c r="F4419">
        <f>Prices!F4419</f>
        <v/>
      </c>
      <c r="G4419">
        <f>IF(AND(4417&gt;=16,TEXT(A4419,"yyyy-mm")&lt;&gt;TEXT(A4420,"yyyy-mm")),1,0)</f>
        <v/>
      </c>
      <c r="H4419">
        <f>IF(OR(H4418=1,G4419=1),1,0)</f>
        <v/>
      </c>
      <c r="I4419">
        <f>IF(H4418=0,1,SUMPRODUCT(J4418:N4418,B4419:F4419)+O4418*(1+0.00023125256064071564))</f>
        <v/>
      </c>
      <c r="J4419">
        <f>IF(G4419=1,0.2*R4419/B4419,J4418)</f>
        <v/>
      </c>
      <c r="K4419">
        <f>IF(G4419=1,0.2*R4419/C4419,K4418)</f>
        <v/>
      </c>
      <c r="L4419">
        <f>IF(G4419=1,0.2*R4419/D4419,L4418)</f>
        <v/>
      </c>
      <c r="M4419">
        <f>IF(G4419=1,0.2*R4419/E4419,M4418)</f>
        <v/>
      </c>
      <c r="N4419">
        <f>IF(G4419=1,0.2*R4419/F4419,N4418)</f>
        <v/>
      </c>
      <c r="O4419">
        <f>IF(G4419=1,R4419*(1-1.0),IF(H4418=0,1,O4418*(1+0.00023125256064071564)))</f>
        <v/>
      </c>
      <c r="P4419">
        <f>IF(G4419=1,IF(H4418=0,1,ABS(0.2-J4418*B4419/I4419)+ABS(0.2-K4418*C4419/I4419)+ABS(0.2-L4418*D4419/I4419)+ABS(0.2-M4418*E4419/I4419)+ABS(0.2-N4418*F4419/I4419)),0)</f>
        <v/>
      </c>
      <c r="Q4419">
        <f>P4419*0.0015</f>
        <v/>
      </c>
      <c r="R4419">
        <f>I4419*(1-Q4419)</f>
        <v/>
      </c>
      <c r="S4419">
        <f>R4419/R4418-1</f>
        <v/>
      </c>
      <c r="T4419">
        <f>MAX(T4418,R4419)</f>
        <v/>
      </c>
      <c r="U4419">
        <f>R4419/T4419-1</f>
        <v/>
      </c>
      <c r="V4419" t="n">
        <v>16.34116066051573</v>
      </c>
      <c r="W4419" s="5">
        <f>R4419-V4419</f>
        <v/>
      </c>
    </row>
    <row r="4420">
      <c r="A4420" s="3" t="n">
        <v>44946</v>
      </c>
      <c r="B4420">
        <f>Prices!B4420</f>
        <v/>
      </c>
      <c r="C4420">
        <f>Prices!C4420</f>
        <v/>
      </c>
      <c r="D4420">
        <f>Prices!D4420</f>
        <v/>
      </c>
      <c r="E4420">
        <f>Prices!E4420</f>
        <v/>
      </c>
      <c r="F4420">
        <f>Prices!F4420</f>
        <v/>
      </c>
      <c r="G4420">
        <f>IF(AND(4418&gt;=16,TEXT(A4420,"yyyy-mm")&lt;&gt;TEXT(A4421,"yyyy-mm")),1,0)</f>
        <v/>
      </c>
      <c r="H4420">
        <f>IF(OR(H4419=1,G4420=1),1,0)</f>
        <v/>
      </c>
      <c r="I4420">
        <f>IF(H4419=0,1,SUMPRODUCT(J4419:N4419,B4420:F4420)+O4419*(1+0.00023125256064071564))</f>
        <v/>
      </c>
      <c r="J4420">
        <f>IF(G4420=1,0.2*R4420/B4420,J4419)</f>
        <v/>
      </c>
      <c r="K4420">
        <f>IF(G4420=1,0.2*R4420/C4420,K4419)</f>
        <v/>
      </c>
      <c r="L4420">
        <f>IF(G4420=1,0.2*R4420/D4420,L4419)</f>
        <v/>
      </c>
      <c r="M4420">
        <f>IF(G4420=1,0.2*R4420/E4420,M4419)</f>
        <v/>
      </c>
      <c r="N4420">
        <f>IF(G4420=1,0.2*R4420/F4420,N4419)</f>
        <v/>
      </c>
      <c r="O4420">
        <f>IF(G4420=1,R4420*(1-1.0),IF(H4419=0,1,O4419*(1+0.00023125256064071564)))</f>
        <v/>
      </c>
      <c r="P4420">
        <f>IF(G4420=1,IF(H4419=0,1,ABS(0.2-J4419*B4420/I4420)+ABS(0.2-K4419*C4420/I4420)+ABS(0.2-L4419*D4420/I4420)+ABS(0.2-M4419*E4420/I4420)+ABS(0.2-N4419*F4420/I4420)),0)</f>
        <v/>
      </c>
      <c r="Q4420">
        <f>P4420*0.0015</f>
        <v/>
      </c>
      <c r="R4420">
        <f>I4420*(1-Q4420)</f>
        <v/>
      </c>
      <c r="S4420">
        <f>R4420/R4419-1</f>
        <v/>
      </c>
      <c r="T4420">
        <f>MAX(T4419,R4420)</f>
        <v/>
      </c>
      <c r="U4420">
        <f>R4420/T4420-1</f>
        <v/>
      </c>
      <c r="V4420" t="n">
        <v>16.28259864524947</v>
      </c>
      <c r="W4420" s="5">
        <f>R4420-V4420</f>
        <v/>
      </c>
    </row>
    <row r="4421">
      <c r="A4421" s="3" t="n">
        <v>44949</v>
      </c>
      <c r="B4421">
        <f>Prices!B4421</f>
        <v/>
      </c>
      <c r="C4421">
        <f>Prices!C4421</f>
        <v/>
      </c>
      <c r="D4421">
        <f>Prices!D4421</f>
        <v/>
      </c>
      <c r="E4421">
        <f>Prices!E4421</f>
        <v/>
      </c>
      <c r="F4421">
        <f>Prices!F4421</f>
        <v/>
      </c>
      <c r="G4421">
        <f>IF(AND(4419&gt;=16,TEXT(A4421,"yyyy-mm")&lt;&gt;TEXT(A4422,"yyyy-mm")),1,0)</f>
        <v/>
      </c>
      <c r="H4421">
        <f>IF(OR(H4420=1,G4421=1),1,0)</f>
        <v/>
      </c>
      <c r="I4421">
        <f>IF(H4420=0,1,SUMPRODUCT(J4420:N4420,B4421:F4421)+O4420*(1+0.00023125256064071564))</f>
        <v/>
      </c>
      <c r="J4421">
        <f>IF(G4421=1,0.2*R4421/B4421,J4420)</f>
        <v/>
      </c>
      <c r="K4421">
        <f>IF(G4421=1,0.2*R4421/C4421,K4420)</f>
        <v/>
      </c>
      <c r="L4421">
        <f>IF(G4421=1,0.2*R4421/D4421,L4420)</f>
        <v/>
      </c>
      <c r="M4421">
        <f>IF(G4421=1,0.2*R4421/E4421,M4420)</f>
        <v/>
      </c>
      <c r="N4421">
        <f>IF(G4421=1,0.2*R4421/F4421,N4420)</f>
        <v/>
      </c>
      <c r="O4421">
        <f>IF(G4421=1,R4421*(1-1.0),IF(H4420=0,1,O4420*(1+0.00023125256064071564)))</f>
        <v/>
      </c>
      <c r="P4421">
        <f>IF(G4421=1,IF(H4420=0,1,ABS(0.2-J4420*B4421/I4421)+ABS(0.2-K4420*C4421/I4421)+ABS(0.2-L4420*D4421/I4421)+ABS(0.2-M4420*E4421/I4421)+ABS(0.2-N4420*F4421/I4421)),0)</f>
        <v/>
      </c>
      <c r="Q4421">
        <f>P4421*0.0015</f>
        <v/>
      </c>
      <c r="R4421">
        <f>I4421*(1-Q4421)</f>
        <v/>
      </c>
      <c r="S4421">
        <f>R4421/R4420-1</f>
        <v/>
      </c>
      <c r="T4421">
        <f>MAX(T4420,R4421)</f>
        <v/>
      </c>
      <c r="U4421">
        <f>R4421/T4421-1</f>
        <v/>
      </c>
      <c r="V4421" t="n">
        <v>16.30985366345731</v>
      </c>
      <c r="W4421" s="5">
        <f>R4421-V4421</f>
        <v/>
      </c>
    </row>
    <row r="4422">
      <c r="A4422" s="3" t="n">
        <v>44950</v>
      </c>
      <c r="B4422">
        <f>Prices!B4422</f>
        <v/>
      </c>
      <c r="C4422">
        <f>Prices!C4422</f>
        <v/>
      </c>
      <c r="D4422">
        <f>Prices!D4422</f>
        <v/>
      </c>
      <c r="E4422">
        <f>Prices!E4422</f>
        <v/>
      </c>
      <c r="F4422">
        <f>Prices!F4422</f>
        <v/>
      </c>
      <c r="G4422">
        <f>IF(AND(4420&gt;=16,TEXT(A4422,"yyyy-mm")&lt;&gt;TEXT(A4423,"yyyy-mm")),1,0)</f>
        <v/>
      </c>
      <c r="H4422">
        <f>IF(OR(H4421=1,G4422=1),1,0)</f>
        <v/>
      </c>
      <c r="I4422">
        <f>IF(H4421=0,1,SUMPRODUCT(J4421:N4421,B4422:F4422)+O4421*(1+0.00023125256064071564))</f>
        <v/>
      </c>
      <c r="J4422">
        <f>IF(G4422=1,0.2*R4422/B4422,J4421)</f>
        <v/>
      </c>
      <c r="K4422">
        <f>IF(G4422=1,0.2*R4422/C4422,K4421)</f>
        <v/>
      </c>
      <c r="L4422">
        <f>IF(G4422=1,0.2*R4422/D4422,L4421)</f>
        <v/>
      </c>
      <c r="M4422">
        <f>IF(G4422=1,0.2*R4422/E4422,M4421)</f>
        <v/>
      </c>
      <c r="N4422">
        <f>IF(G4422=1,0.2*R4422/F4422,N4421)</f>
        <v/>
      </c>
      <c r="O4422">
        <f>IF(G4422=1,R4422*(1-1.0),IF(H4421=0,1,O4421*(1+0.00023125256064071564)))</f>
        <v/>
      </c>
      <c r="P4422">
        <f>IF(G4422=1,IF(H4421=0,1,ABS(0.2-J4421*B4422/I4422)+ABS(0.2-K4421*C4422/I4422)+ABS(0.2-L4421*D4422/I4422)+ABS(0.2-M4421*E4422/I4422)+ABS(0.2-N4421*F4422/I4422)),0)</f>
        <v/>
      </c>
      <c r="Q4422">
        <f>P4422*0.0015</f>
        <v/>
      </c>
      <c r="R4422">
        <f>I4422*(1-Q4422)</f>
        <v/>
      </c>
      <c r="S4422">
        <f>R4422/R4421-1</f>
        <v/>
      </c>
      <c r="T4422">
        <f>MAX(T4421,R4422)</f>
        <v/>
      </c>
      <c r="U4422">
        <f>R4422/T4422-1</f>
        <v/>
      </c>
      <c r="V4422" t="n">
        <v>16.24865177823158</v>
      </c>
      <c r="W4422" s="5">
        <f>R4422-V4422</f>
        <v/>
      </c>
    </row>
    <row r="4423">
      <c r="A4423" s="3" t="n">
        <v>44951</v>
      </c>
      <c r="B4423">
        <f>Prices!B4423</f>
        <v/>
      </c>
      <c r="C4423">
        <f>Prices!C4423</f>
        <v/>
      </c>
      <c r="D4423">
        <f>Prices!D4423</f>
        <v/>
      </c>
      <c r="E4423">
        <f>Prices!E4423</f>
        <v/>
      </c>
      <c r="F4423">
        <f>Prices!F4423</f>
        <v/>
      </c>
      <c r="G4423">
        <f>IF(AND(4421&gt;=16,TEXT(A4423,"yyyy-mm")&lt;&gt;TEXT(A4424,"yyyy-mm")),1,0)</f>
        <v/>
      </c>
      <c r="H4423">
        <f>IF(OR(H4422=1,G4423=1),1,0)</f>
        <v/>
      </c>
      <c r="I4423">
        <f>IF(H4422=0,1,SUMPRODUCT(J4422:N4422,B4423:F4423)+O4422*(1+0.00023125256064071564))</f>
        <v/>
      </c>
      <c r="J4423">
        <f>IF(G4423=1,0.2*R4423/B4423,J4422)</f>
        <v/>
      </c>
      <c r="K4423">
        <f>IF(G4423=1,0.2*R4423/C4423,K4422)</f>
        <v/>
      </c>
      <c r="L4423">
        <f>IF(G4423=1,0.2*R4423/D4423,L4422)</f>
        <v/>
      </c>
      <c r="M4423">
        <f>IF(G4423=1,0.2*R4423/E4423,M4422)</f>
        <v/>
      </c>
      <c r="N4423">
        <f>IF(G4423=1,0.2*R4423/F4423,N4422)</f>
        <v/>
      </c>
      <c r="O4423">
        <f>IF(G4423=1,R4423*(1-1.0),IF(H4422=0,1,O4422*(1+0.00023125256064071564)))</f>
        <v/>
      </c>
      <c r="P4423">
        <f>IF(G4423=1,IF(H4422=0,1,ABS(0.2-J4422*B4423/I4423)+ABS(0.2-K4422*C4423/I4423)+ABS(0.2-L4422*D4423/I4423)+ABS(0.2-M4422*E4423/I4423)+ABS(0.2-N4422*F4423/I4423)),0)</f>
        <v/>
      </c>
      <c r="Q4423">
        <f>P4423*0.0015</f>
        <v/>
      </c>
      <c r="R4423">
        <f>I4423*(1-Q4423)</f>
        <v/>
      </c>
      <c r="S4423">
        <f>R4423/R4422-1</f>
        <v/>
      </c>
      <c r="T4423">
        <f>MAX(T4422,R4423)</f>
        <v/>
      </c>
      <c r="U4423">
        <f>R4423/T4423-1</f>
        <v/>
      </c>
      <c r="V4423" t="n">
        <v>16.03782953430251</v>
      </c>
      <c r="W4423" s="5">
        <f>R4423-V4423</f>
        <v/>
      </c>
    </row>
    <row r="4424">
      <c r="A4424" s="3" t="n">
        <v>44953</v>
      </c>
      <c r="B4424">
        <f>Prices!B4424</f>
        <v/>
      </c>
      <c r="C4424">
        <f>Prices!C4424</f>
        <v/>
      </c>
      <c r="D4424">
        <f>Prices!D4424</f>
        <v/>
      </c>
      <c r="E4424">
        <f>Prices!E4424</f>
        <v/>
      </c>
      <c r="F4424">
        <f>Prices!F4424</f>
        <v/>
      </c>
      <c r="G4424">
        <f>IF(AND(4422&gt;=16,TEXT(A4424,"yyyy-mm")&lt;&gt;TEXT(A4425,"yyyy-mm")),1,0)</f>
        <v/>
      </c>
      <c r="H4424">
        <f>IF(OR(H4423=1,G4424=1),1,0)</f>
        <v/>
      </c>
      <c r="I4424">
        <f>IF(H4423=0,1,SUMPRODUCT(J4423:N4423,B4424:F4424)+O4423*(1+0.00023125256064071564))</f>
        <v/>
      </c>
      <c r="J4424">
        <f>IF(G4424=1,0.2*R4424/B4424,J4423)</f>
        <v/>
      </c>
      <c r="K4424">
        <f>IF(G4424=1,0.2*R4424/C4424,K4423)</f>
        <v/>
      </c>
      <c r="L4424">
        <f>IF(G4424=1,0.2*R4424/D4424,L4423)</f>
        <v/>
      </c>
      <c r="M4424">
        <f>IF(G4424=1,0.2*R4424/E4424,M4423)</f>
        <v/>
      </c>
      <c r="N4424">
        <f>IF(G4424=1,0.2*R4424/F4424,N4423)</f>
        <v/>
      </c>
      <c r="O4424">
        <f>IF(G4424=1,R4424*(1-1.0),IF(H4423=0,1,O4423*(1+0.00023125256064071564)))</f>
        <v/>
      </c>
      <c r="P4424">
        <f>IF(G4424=1,IF(H4423=0,1,ABS(0.2-J4423*B4424/I4424)+ABS(0.2-K4423*C4424/I4424)+ABS(0.2-L4423*D4424/I4424)+ABS(0.2-M4423*E4424/I4424)+ABS(0.2-N4423*F4424/I4424)),0)</f>
        <v/>
      </c>
      <c r="Q4424">
        <f>P4424*0.0015</f>
        <v/>
      </c>
      <c r="R4424">
        <f>I4424*(1-Q4424)</f>
        <v/>
      </c>
      <c r="S4424">
        <f>R4424/R4423-1</f>
        <v/>
      </c>
      <c r="T4424">
        <f>MAX(T4423,R4424)</f>
        <v/>
      </c>
      <c r="U4424">
        <f>R4424/T4424-1</f>
        <v/>
      </c>
      <c r="V4424" t="n">
        <v>15.69396270553087</v>
      </c>
      <c r="W4424" s="5">
        <f>R4424-V4424</f>
        <v/>
      </c>
    </row>
    <row r="4425">
      <c r="A4425" s="3" t="n">
        <v>44956</v>
      </c>
      <c r="B4425">
        <f>Prices!B4425</f>
        <v/>
      </c>
      <c r="C4425">
        <f>Prices!C4425</f>
        <v/>
      </c>
      <c r="D4425">
        <f>Prices!D4425</f>
        <v/>
      </c>
      <c r="E4425">
        <f>Prices!E4425</f>
        <v/>
      </c>
      <c r="F4425">
        <f>Prices!F4425</f>
        <v/>
      </c>
      <c r="G4425">
        <f>IF(AND(4423&gt;=16,TEXT(A4425,"yyyy-mm")&lt;&gt;TEXT(A4426,"yyyy-mm")),1,0)</f>
        <v/>
      </c>
      <c r="H4425">
        <f>IF(OR(H4424=1,G4425=1),1,0)</f>
        <v/>
      </c>
      <c r="I4425">
        <f>IF(H4424=0,1,SUMPRODUCT(J4424:N4424,B4425:F4425)+O4424*(1+0.00023125256064071564))</f>
        <v/>
      </c>
      <c r="J4425">
        <f>IF(G4425=1,0.2*R4425/B4425,J4424)</f>
        <v/>
      </c>
      <c r="K4425">
        <f>IF(G4425=1,0.2*R4425/C4425,K4424)</f>
        <v/>
      </c>
      <c r="L4425">
        <f>IF(G4425=1,0.2*R4425/D4425,L4424)</f>
        <v/>
      </c>
      <c r="M4425">
        <f>IF(G4425=1,0.2*R4425/E4425,M4424)</f>
        <v/>
      </c>
      <c r="N4425">
        <f>IF(G4425=1,0.2*R4425/F4425,N4424)</f>
        <v/>
      </c>
      <c r="O4425">
        <f>IF(G4425=1,R4425*(1-1.0),IF(H4424=0,1,O4424*(1+0.00023125256064071564)))</f>
        <v/>
      </c>
      <c r="P4425">
        <f>IF(G4425=1,IF(H4424=0,1,ABS(0.2-J4424*B4425/I4425)+ABS(0.2-K4424*C4425/I4425)+ABS(0.2-L4424*D4425/I4425)+ABS(0.2-M4424*E4425/I4425)+ABS(0.2-N4424*F4425/I4425)),0)</f>
        <v/>
      </c>
      <c r="Q4425">
        <f>P4425*0.0015</f>
        <v/>
      </c>
      <c r="R4425">
        <f>I4425*(1-Q4425)</f>
        <v/>
      </c>
      <c r="S4425">
        <f>R4425/R4424-1</f>
        <v/>
      </c>
      <c r="T4425">
        <f>MAX(T4424,R4425)</f>
        <v/>
      </c>
      <c r="U4425">
        <f>R4425/T4425-1</f>
        <v/>
      </c>
      <c r="V4425" t="n">
        <v>15.63324655497585</v>
      </c>
      <c r="W4425" s="5">
        <f>R4425-V4425</f>
        <v/>
      </c>
    </row>
    <row r="4426">
      <c r="A4426" s="3" t="n">
        <v>44957</v>
      </c>
      <c r="B4426">
        <f>Prices!B4426</f>
        <v/>
      </c>
      <c r="C4426">
        <f>Prices!C4426</f>
        <v/>
      </c>
      <c r="D4426">
        <f>Prices!D4426</f>
        <v/>
      </c>
      <c r="E4426">
        <f>Prices!E4426</f>
        <v/>
      </c>
      <c r="F4426">
        <f>Prices!F4426</f>
        <v/>
      </c>
      <c r="G4426">
        <f>IF(AND(4424&gt;=16,TEXT(A4426,"yyyy-mm")&lt;&gt;TEXT(A4427,"yyyy-mm")),1,0)</f>
        <v/>
      </c>
      <c r="H4426">
        <f>IF(OR(H4425=1,G4426=1),1,0)</f>
        <v/>
      </c>
      <c r="I4426">
        <f>IF(H4425=0,1,SUMPRODUCT(J4425:N4425,B4426:F4426)+O4425*(1+0.00023125256064071564))</f>
        <v/>
      </c>
      <c r="J4426">
        <f>IF(G4426=1,0.2*R4426/B4426,J4425)</f>
        <v/>
      </c>
      <c r="K4426">
        <f>IF(G4426=1,0.2*R4426/C4426,K4425)</f>
        <v/>
      </c>
      <c r="L4426">
        <f>IF(G4426=1,0.2*R4426/D4426,L4425)</f>
        <v/>
      </c>
      <c r="M4426">
        <f>IF(G4426=1,0.2*R4426/E4426,M4425)</f>
        <v/>
      </c>
      <c r="N4426">
        <f>IF(G4426=1,0.2*R4426/F4426,N4425)</f>
        <v/>
      </c>
      <c r="O4426">
        <f>IF(G4426=1,R4426*(1-1.0),IF(H4425=0,1,O4425*(1+0.00023125256064071564)))</f>
        <v/>
      </c>
      <c r="P4426">
        <f>IF(G4426=1,IF(H4425=0,1,ABS(0.2-J4425*B4426/I4426)+ABS(0.2-K4425*C4426/I4426)+ABS(0.2-L4425*D4426/I4426)+ABS(0.2-M4425*E4426/I4426)+ABS(0.2-N4425*F4426/I4426)),0)</f>
        <v/>
      </c>
      <c r="Q4426">
        <f>P4426*0.0015</f>
        <v/>
      </c>
      <c r="R4426">
        <f>I4426*(1-Q4426)</f>
        <v/>
      </c>
      <c r="S4426">
        <f>R4426/R4425-1</f>
        <v/>
      </c>
      <c r="T4426">
        <f>MAX(T4425,R4426)</f>
        <v/>
      </c>
      <c r="U4426">
        <f>R4426/T4426-1</f>
        <v/>
      </c>
      <c r="V4426" t="n">
        <v>15.87134114335756</v>
      </c>
      <c r="W4426" s="5">
        <f>R4426-V4426</f>
        <v/>
      </c>
    </row>
    <row r="4427">
      <c r="A4427" s="3" t="n">
        <v>44958</v>
      </c>
      <c r="B4427">
        <f>Prices!B4427</f>
        <v/>
      </c>
      <c r="C4427">
        <f>Prices!C4427</f>
        <v/>
      </c>
      <c r="D4427">
        <f>Prices!D4427</f>
        <v/>
      </c>
      <c r="E4427">
        <f>Prices!E4427</f>
        <v/>
      </c>
      <c r="F4427">
        <f>Prices!F4427</f>
        <v/>
      </c>
      <c r="G4427">
        <f>IF(AND(4425&gt;=16,TEXT(A4427,"yyyy-mm")&lt;&gt;TEXT(A4428,"yyyy-mm")),1,0)</f>
        <v/>
      </c>
      <c r="H4427">
        <f>IF(OR(H4426=1,G4427=1),1,0)</f>
        <v/>
      </c>
      <c r="I4427">
        <f>IF(H4426=0,1,SUMPRODUCT(J4426:N4426,B4427:F4427)+O4426*(1+0.00023125256064071564))</f>
        <v/>
      </c>
      <c r="J4427">
        <f>IF(G4427=1,0.2*R4427/B4427,J4426)</f>
        <v/>
      </c>
      <c r="K4427">
        <f>IF(G4427=1,0.2*R4427/C4427,K4426)</f>
        <v/>
      </c>
      <c r="L4427">
        <f>IF(G4427=1,0.2*R4427/D4427,L4426)</f>
        <v/>
      </c>
      <c r="M4427">
        <f>IF(G4427=1,0.2*R4427/E4427,M4426)</f>
        <v/>
      </c>
      <c r="N4427">
        <f>IF(G4427=1,0.2*R4427/F4427,N4426)</f>
        <v/>
      </c>
      <c r="O4427">
        <f>IF(G4427=1,R4427*(1-1.0),IF(H4426=0,1,O4426*(1+0.00023125256064071564)))</f>
        <v/>
      </c>
      <c r="P4427">
        <f>IF(G4427=1,IF(H4426=0,1,ABS(0.2-J4426*B4427/I4427)+ABS(0.2-K4426*C4427/I4427)+ABS(0.2-L4426*D4427/I4427)+ABS(0.2-M4426*E4427/I4427)+ABS(0.2-N4426*F4427/I4427)),0)</f>
        <v/>
      </c>
      <c r="Q4427">
        <f>P4427*0.0015</f>
        <v/>
      </c>
      <c r="R4427">
        <f>I4427*(1-Q4427)</f>
        <v/>
      </c>
      <c r="S4427">
        <f>R4427/R4426-1</f>
        <v/>
      </c>
      <c r="T4427">
        <f>MAX(T4426,R4427)</f>
        <v/>
      </c>
      <c r="U4427">
        <f>R4427/T4427-1</f>
        <v/>
      </c>
      <c r="V4427" t="n">
        <v>15.57924289694868</v>
      </c>
      <c r="W4427" s="5">
        <f>R4427-V4427</f>
        <v/>
      </c>
    </row>
    <row r="4428">
      <c r="A4428" s="3" t="n">
        <v>44959</v>
      </c>
      <c r="B4428">
        <f>Prices!B4428</f>
        <v/>
      </c>
      <c r="C4428">
        <f>Prices!C4428</f>
        <v/>
      </c>
      <c r="D4428">
        <f>Prices!D4428</f>
        <v/>
      </c>
      <c r="E4428">
        <f>Prices!E4428</f>
        <v/>
      </c>
      <c r="F4428">
        <f>Prices!F4428</f>
        <v/>
      </c>
      <c r="G4428">
        <f>IF(AND(4426&gt;=16,TEXT(A4428,"yyyy-mm")&lt;&gt;TEXT(A4429,"yyyy-mm")),1,0)</f>
        <v/>
      </c>
      <c r="H4428">
        <f>IF(OR(H4427=1,G4428=1),1,0)</f>
        <v/>
      </c>
      <c r="I4428">
        <f>IF(H4427=0,1,SUMPRODUCT(J4427:N4427,B4428:F4428)+O4427*(1+0.00023125256064071564))</f>
        <v/>
      </c>
      <c r="J4428">
        <f>IF(G4428=1,0.2*R4428/B4428,J4427)</f>
        <v/>
      </c>
      <c r="K4428">
        <f>IF(G4428=1,0.2*R4428/C4428,K4427)</f>
        <v/>
      </c>
      <c r="L4428">
        <f>IF(G4428=1,0.2*R4428/D4428,L4427)</f>
        <v/>
      </c>
      <c r="M4428">
        <f>IF(G4428=1,0.2*R4428/E4428,M4427)</f>
        <v/>
      </c>
      <c r="N4428">
        <f>IF(G4428=1,0.2*R4428/F4428,N4427)</f>
        <v/>
      </c>
      <c r="O4428">
        <f>IF(G4428=1,R4428*(1-1.0),IF(H4427=0,1,O4427*(1+0.00023125256064071564)))</f>
        <v/>
      </c>
      <c r="P4428">
        <f>IF(G4428=1,IF(H4427=0,1,ABS(0.2-J4427*B4428/I4428)+ABS(0.2-K4427*C4428/I4428)+ABS(0.2-L4427*D4428/I4428)+ABS(0.2-M4427*E4428/I4428)+ABS(0.2-N4427*F4428/I4428)),0)</f>
        <v/>
      </c>
      <c r="Q4428">
        <f>P4428*0.0015</f>
        <v/>
      </c>
      <c r="R4428">
        <f>I4428*(1-Q4428)</f>
        <v/>
      </c>
      <c r="S4428">
        <f>R4428/R4427-1</f>
        <v/>
      </c>
      <c r="T4428">
        <f>MAX(T4427,R4428)</f>
        <v/>
      </c>
      <c r="U4428">
        <f>R4428/T4428-1</f>
        <v/>
      </c>
      <c r="V4428" t="n">
        <v>15.53952843937542</v>
      </c>
      <c r="W4428" s="5">
        <f>R4428-V4428</f>
        <v/>
      </c>
    </row>
    <row r="4429">
      <c r="A4429" s="3" t="n">
        <v>44960</v>
      </c>
      <c r="B4429">
        <f>Prices!B4429</f>
        <v/>
      </c>
      <c r="C4429">
        <f>Prices!C4429</f>
        <v/>
      </c>
      <c r="D4429">
        <f>Prices!D4429</f>
        <v/>
      </c>
      <c r="E4429">
        <f>Prices!E4429</f>
        <v/>
      </c>
      <c r="F4429">
        <f>Prices!F4429</f>
        <v/>
      </c>
      <c r="G4429">
        <f>IF(AND(4427&gt;=16,TEXT(A4429,"yyyy-mm")&lt;&gt;TEXT(A4430,"yyyy-mm")),1,0)</f>
        <v/>
      </c>
      <c r="H4429">
        <f>IF(OR(H4428=1,G4429=1),1,0)</f>
        <v/>
      </c>
      <c r="I4429">
        <f>IF(H4428=0,1,SUMPRODUCT(J4428:N4428,B4429:F4429)+O4428*(1+0.00023125256064071564))</f>
        <v/>
      </c>
      <c r="J4429">
        <f>IF(G4429=1,0.2*R4429/B4429,J4428)</f>
        <v/>
      </c>
      <c r="K4429">
        <f>IF(G4429=1,0.2*R4429/C4429,K4428)</f>
        <v/>
      </c>
      <c r="L4429">
        <f>IF(G4429=1,0.2*R4429/D4429,L4428)</f>
        <v/>
      </c>
      <c r="M4429">
        <f>IF(G4429=1,0.2*R4429/E4429,M4428)</f>
        <v/>
      </c>
      <c r="N4429">
        <f>IF(G4429=1,0.2*R4429/F4429,N4428)</f>
        <v/>
      </c>
      <c r="O4429">
        <f>IF(G4429=1,R4429*(1-1.0),IF(H4428=0,1,O4428*(1+0.00023125256064071564)))</f>
        <v/>
      </c>
      <c r="P4429">
        <f>IF(G4429=1,IF(H4428=0,1,ABS(0.2-J4428*B4429/I4429)+ABS(0.2-K4428*C4429/I4429)+ABS(0.2-L4428*D4429/I4429)+ABS(0.2-M4428*E4429/I4429)+ABS(0.2-N4428*F4429/I4429)),0)</f>
        <v/>
      </c>
      <c r="Q4429">
        <f>P4429*0.0015</f>
        <v/>
      </c>
      <c r="R4429">
        <f>I4429*(1-Q4429)</f>
        <v/>
      </c>
      <c r="S4429">
        <f>R4429/R4428-1</f>
        <v/>
      </c>
      <c r="T4429">
        <f>MAX(T4428,R4429)</f>
        <v/>
      </c>
      <c r="U4429">
        <f>R4429/T4429-1</f>
        <v/>
      </c>
      <c r="V4429" t="n">
        <v>15.54495948434445</v>
      </c>
      <c r="W4429" s="5">
        <f>R4429-V4429</f>
        <v/>
      </c>
    </row>
    <row r="4430">
      <c r="A4430" s="3" t="n">
        <v>44963</v>
      </c>
      <c r="B4430">
        <f>Prices!B4430</f>
        <v/>
      </c>
      <c r="C4430">
        <f>Prices!C4430</f>
        <v/>
      </c>
      <c r="D4430">
        <f>Prices!D4430</f>
        <v/>
      </c>
      <c r="E4430">
        <f>Prices!E4430</f>
        <v/>
      </c>
      <c r="F4430">
        <f>Prices!F4430</f>
        <v/>
      </c>
      <c r="G4430">
        <f>IF(AND(4428&gt;=16,TEXT(A4430,"yyyy-mm")&lt;&gt;TEXT(A4431,"yyyy-mm")),1,0)</f>
        <v/>
      </c>
      <c r="H4430">
        <f>IF(OR(H4429=1,G4430=1),1,0)</f>
        <v/>
      </c>
      <c r="I4430">
        <f>IF(H4429=0,1,SUMPRODUCT(J4429:N4429,B4430:F4430)+O4429*(1+0.00023125256064071564))</f>
        <v/>
      </c>
      <c r="J4430">
        <f>IF(G4430=1,0.2*R4430/B4430,J4429)</f>
        <v/>
      </c>
      <c r="K4430">
        <f>IF(G4430=1,0.2*R4430/C4430,K4429)</f>
        <v/>
      </c>
      <c r="L4430">
        <f>IF(G4430=1,0.2*R4430/D4430,L4429)</f>
        <v/>
      </c>
      <c r="M4430">
        <f>IF(G4430=1,0.2*R4430/E4430,M4429)</f>
        <v/>
      </c>
      <c r="N4430">
        <f>IF(G4430=1,0.2*R4430/F4430,N4429)</f>
        <v/>
      </c>
      <c r="O4430">
        <f>IF(G4430=1,R4430*(1-1.0),IF(H4429=0,1,O4429*(1+0.00023125256064071564)))</f>
        <v/>
      </c>
      <c r="P4430">
        <f>IF(G4430=1,IF(H4429=0,1,ABS(0.2-J4429*B4430/I4430)+ABS(0.2-K4429*C4430/I4430)+ABS(0.2-L4429*D4430/I4430)+ABS(0.2-M4429*E4430/I4430)+ABS(0.2-N4429*F4430/I4430)),0)</f>
        <v/>
      </c>
      <c r="Q4430">
        <f>P4430*0.0015</f>
        <v/>
      </c>
      <c r="R4430">
        <f>I4430*(1-Q4430)</f>
        <v/>
      </c>
      <c r="S4430">
        <f>R4430/R4429-1</f>
        <v/>
      </c>
      <c r="T4430">
        <f>MAX(T4429,R4430)</f>
        <v/>
      </c>
      <c r="U4430">
        <f>R4430/T4430-1</f>
        <v/>
      </c>
      <c r="V4430" t="n">
        <v>15.59462465203802</v>
      </c>
      <c r="W4430" s="5">
        <f>R4430-V4430</f>
        <v/>
      </c>
    </row>
    <row r="4431">
      <c r="A4431" s="3" t="n">
        <v>44964</v>
      </c>
      <c r="B4431">
        <f>Prices!B4431</f>
        <v/>
      </c>
      <c r="C4431">
        <f>Prices!C4431</f>
        <v/>
      </c>
      <c r="D4431">
        <f>Prices!D4431</f>
        <v/>
      </c>
      <c r="E4431">
        <f>Prices!E4431</f>
        <v/>
      </c>
      <c r="F4431">
        <f>Prices!F4431</f>
        <v/>
      </c>
      <c r="G4431">
        <f>IF(AND(4429&gt;=16,TEXT(A4431,"yyyy-mm")&lt;&gt;TEXT(A4432,"yyyy-mm")),1,0)</f>
        <v/>
      </c>
      <c r="H4431">
        <f>IF(OR(H4430=1,G4431=1),1,0)</f>
        <v/>
      </c>
      <c r="I4431">
        <f>IF(H4430=0,1,SUMPRODUCT(J4430:N4430,B4431:F4431)+O4430*(1+0.00023125256064071564))</f>
        <v/>
      </c>
      <c r="J4431">
        <f>IF(G4431=1,0.2*R4431/B4431,J4430)</f>
        <v/>
      </c>
      <c r="K4431">
        <f>IF(G4431=1,0.2*R4431/C4431,K4430)</f>
        <v/>
      </c>
      <c r="L4431">
        <f>IF(G4431=1,0.2*R4431/D4431,L4430)</f>
        <v/>
      </c>
      <c r="M4431">
        <f>IF(G4431=1,0.2*R4431/E4431,M4430)</f>
        <v/>
      </c>
      <c r="N4431">
        <f>IF(G4431=1,0.2*R4431/F4431,N4430)</f>
        <v/>
      </c>
      <c r="O4431">
        <f>IF(G4431=1,R4431*(1-1.0),IF(H4430=0,1,O4430*(1+0.00023125256064071564)))</f>
        <v/>
      </c>
      <c r="P4431">
        <f>IF(G4431=1,IF(H4430=0,1,ABS(0.2-J4430*B4431/I4431)+ABS(0.2-K4430*C4431/I4431)+ABS(0.2-L4430*D4431/I4431)+ABS(0.2-M4430*E4431/I4431)+ABS(0.2-N4430*F4431/I4431)),0)</f>
        <v/>
      </c>
      <c r="Q4431">
        <f>P4431*0.0015</f>
        <v/>
      </c>
      <c r="R4431">
        <f>I4431*(1-Q4431)</f>
        <v/>
      </c>
      <c r="S4431">
        <f>R4431/R4430-1</f>
        <v/>
      </c>
      <c r="T4431">
        <f>MAX(T4430,R4431)</f>
        <v/>
      </c>
      <c r="U4431">
        <f>R4431/T4431-1</f>
        <v/>
      </c>
      <c r="V4431" t="n">
        <v>15.54331013784342</v>
      </c>
      <c r="W4431" s="5">
        <f>R4431-V4431</f>
        <v/>
      </c>
    </row>
    <row r="4432">
      <c r="A4432" s="3" t="n">
        <v>44965</v>
      </c>
      <c r="B4432">
        <f>Prices!B4432</f>
        <v/>
      </c>
      <c r="C4432">
        <f>Prices!C4432</f>
        <v/>
      </c>
      <c r="D4432">
        <f>Prices!D4432</f>
        <v/>
      </c>
      <c r="E4432">
        <f>Prices!E4432</f>
        <v/>
      </c>
      <c r="F4432">
        <f>Prices!F4432</f>
        <v/>
      </c>
      <c r="G4432">
        <f>IF(AND(4430&gt;=16,TEXT(A4432,"yyyy-mm")&lt;&gt;TEXT(A4433,"yyyy-mm")),1,0)</f>
        <v/>
      </c>
      <c r="H4432">
        <f>IF(OR(H4431=1,G4432=1),1,0)</f>
        <v/>
      </c>
      <c r="I4432">
        <f>IF(H4431=0,1,SUMPRODUCT(J4431:N4431,B4432:F4432)+O4431*(1+0.00023125256064071564))</f>
        <v/>
      </c>
      <c r="J4432">
        <f>IF(G4432=1,0.2*R4432/B4432,J4431)</f>
        <v/>
      </c>
      <c r="K4432">
        <f>IF(G4432=1,0.2*R4432/C4432,K4431)</f>
        <v/>
      </c>
      <c r="L4432">
        <f>IF(G4432=1,0.2*R4432/D4432,L4431)</f>
        <v/>
      </c>
      <c r="M4432">
        <f>IF(G4432=1,0.2*R4432/E4432,M4431)</f>
        <v/>
      </c>
      <c r="N4432">
        <f>IF(G4432=1,0.2*R4432/F4432,N4431)</f>
        <v/>
      </c>
      <c r="O4432">
        <f>IF(G4432=1,R4432*(1-1.0),IF(H4431=0,1,O4431*(1+0.00023125256064071564)))</f>
        <v/>
      </c>
      <c r="P4432">
        <f>IF(G4432=1,IF(H4431=0,1,ABS(0.2-J4431*B4432/I4432)+ABS(0.2-K4431*C4432/I4432)+ABS(0.2-L4431*D4432/I4432)+ABS(0.2-M4431*E4432/I4432)+ABS(0.2-N4431*F4432/I4432)),0)</f>
        <v/>
      </c>
      <c r="Q4432">
        <f>P4432*0.0015</f>
        <v/>
      </c>
      <c r="R4432">
        <f>I4432*(1-Q4432)</f>
        <v/>
      </c>
      <c r="S4432">
        <f>R4432/R4431-1</f>
        <v/>
      </c>
      <c r="T4432">
        <f>MAX(T4431,R4432)</f>
        <v/>
      </c>
      <c r="U4432">
        <f>R4432/T4432-1</f>
        <v/>
      </c>
      <c r="V4432" t="n">
        <v>15.67180018943421</v>
      </c>
      <c r="W4432" s="5">
        <f>R4432-V4432</f>
        <v/>
      </c>
    </row>
    <row r="4433">
      <c r="A4433" s="3" t="n">
        <v>44966</v>
      </c>
      <c r="B4433">
        <f>Prices!B4433</f>
        <v/>
      </c>
      <c r="C4433">
        <f>Prices!C4433</f>
        <v/>
      </c>
      <c r="D4433">
        <f>Prices!D4433</f>
        <v/>
      </c>
      <c r="E4433">
        <f>Prices!E4433</f>
        <v/>
      </c>
      <c r="F4433">
        <f>Prices!F4433</f>
        <v/>
      </c>
      <c r="G4433">
        <f>IF(AND(4431&gt;=16,TEXT(A4433,"yyyy-mm")&lt;&gt;TEXT(A4434,"yyyy-mm")),1,0)</f>
        <v/>
      </c>
      <c r="H4433">
        <f>IF(OR(H4432=1,G4433=1),1,0)</f>
        <v/>
      </c>
      <c r="I4433">
        <f>IF(H4432=0,1,SUMPRODUCT(J4432:N4432,B4433:F4433)+O4432*(1+0.00023125256064071564))</f>
        <v/>
      </c>
      <c r="J4433">
        <f>IF(G4433=1,0.2*R4433/B4433,J4432)</f>
        <v/>
      </c>
      <c r="K4433">
        <f>IF(G4433=1,0.2*R4433/C4433,K4432)</f>
        <v/>
      </c>
      <c r="L4433">
        <f>IF(G4433=1,0.2*R4433/D4433,L4432)</f>
        <v/>
      </c>
      <c r="M4433">
        <f>IF(G4433=1,0.2*R4433/E4433,M4432)</f>
        <v/>
      </c>
      <c r="N4433">
        <f>IF(G4433=1,0.2*R4433/F4433,N4432)</f>
        <v/>
      </c>
      <c r="O4433">
        <f>IF(G4433=1,R4433*(1-1.0),IF(H4432=0,1,O4432*(1+0.00023125256064071564)))</f>
        <v/>
      </c>
      <c r="P4433">
        <f>IF(G4433=1,IF(H4432=0,1,ABS(0.2-J4432*B4433/I4433)+ABS(0.2-K4432*C4433/I4433)+ABS(0.2-L4432*D4433/I4433)+ABS(0.2-M4432*E4433/I4433)+ABS(0.2-N4432*F4433/I4433)),0)</f>
        <v/>
      </c>
      <c r="Q4433">
        <f>P4433*0.0015</f>
        <v/>
      </c>
      <c r="R4433">
        <f>I4433*(1-Q4433)</f>
        <v/>
      </c>
      <c r="S4433">
        <f>R4433/R4432-1</f>
        <v/>
      </c>
      <c r="T4433">
        <f>MAX(T4432,R4433)</f>
        <v/>
      </c>
      <c r="U4433">
        <f>R4433/T4433-1</f>
        <v/>
      </c>
      <c r="V4433" t="n">
        <v>15.62299461279591</v>
      </c>
      <c r="W4433" s="5">
        <f>R4433-V4433</f>
        <v/>
      </c>
    </row>
    <row r="4434">
      <c r="A4434" s="3" t="n">
        <v>44967</v>
      </c>
      <c r="B4434">
        <f>Prices!B4434</f>
        <v/>
      </c>
      <c r="C4434">
        <f>Prices!C4434</f>
        <v/>
      </c>
      <c r="D4434">
        <f>Prices!D4434</f>
        <v/>
      </c>
      <c r="E4434">
        <f>Prices!E4434</f>
        <v/>
      </c>
      <c r="F4434">
        <f>Prices!F4434</f>
        <v/>
      </c>
      <c r="G4434">
        <f>IF(AND(4432&gt;=16,TEXT(A4434,"yyyy-mm")&lt;&gt;TEXT(A4435,"yyyy-mm")),1,0)</f>
        <v/>
      </c>
      <c r="H4434">
        <f>IF(OR(H4433=1,G4434=1),1,0)</f>
        <v/>
      </c>
      <c r="I4434">
        <f>IF(H4433=0,1,SUMPRODUCT(J4433:N4433,B4434:F4434)+O4433*(1+0.00023125256064071564))</f>
        <v/>
      </c>
      <c r="J4434">
        <f>IF(G4434=1,0.2*R4434/B4434,J4433)</f>
        <v/>
      </c>
      <c r="K4434">
        <f>IF(G4434=1,0.2*R4434/C4434,K4433)</f>
        <v/>
      </c>
      <c r="L4434">
        <f>IF(G4434=1,0.2*R4434/D4434,L4433)</f>
        <v/>
      </c>
      <c r="M4434">
        <f>IF(G4434=1,0.2*R4434/E4434,M4433)</f>
        <v/>
      </c>
      <c r="N4434">
        <f>IF(G4434=1,0.2*R4434/F4434,N4433)</f>
        <v/>
      </c>
      <c r="O4434">
        <f>IF(G4434=1,R4434*(1-1.0),IF(H4433=0,1,O4433*(1+0.00023125256064071564)))</f>
        <v/>
      </c>
      <c r="P4434">
        <f>IF(G4434=1,IF(H4433=0,1,ABS(0.2-J4433*B4434/I4434)+ABS(0.2-K4433*C4434/I4434)+ABS(0.2-L4433*D4434/I4434)+ABS(0.2-M4433*E4434/I4434)+ABS(0.2-N4433*F4434/I4434)),0)</f>
        <v/>
      </c>
      <c r="Q4434">
        <f>P4434*0.0015</f>
        <v/>
      </c>
      <c r="R4434">
        <f>I4434*(1-Q4434)</f>
        <v/>
      </c>
      <c r="S4434">
        <f>R4434/R4433-1</f>
        <v/>
      </c>
      <c r="T4434">
        <f>MAX(T4433,R4434)</f>
        <v/>
      </c>
      <c r="U4434">
        <f>R4434/T4434-1</f>
        <v/>
      </c>
      <c r="V4434" t="n">
        <v>15.60396457876602</v>
      </c>
      <c r="W4434" s="5">
        <f>R4434-V4434</f>
        <v/>
      </c>
    </row>
    <row r="4435">
      <c r="A4435" s="3" t="n">
        <v>44970</v>
      </c>
      <c r="B4435">
        <f>Prices!B4435</f>
        <v/>
      </c>
      <c r="C4435">
        <f>Prices!C4435</f>
        <v/>
      </c>
      <c r="D4435">
        <f>Prices!D4435</f>
        <v/>
      </c>
      <c r="E4435">
        <f>Prices!E4435</f>
        <v/>
      </c>
      <c r="F4435">
        <f>Prices!F4435</f>
        <v/>
      </c>
      <c r="G4435">
        <f>IF(AND(4433&gt;=16,TEXT(A4435,"yyyy-mm")&lt;&gt;TEXT(A4436,"yyyy-mm")),1,0)</f>
        <v/>
      </c>
      <c r="H4435">
        <f>IF(OR(H4434=1,G4435=1),1,0)</f>
        <v/>
      </c>
      <c r="I4435">
        <f>IF(H4434=0,1,SUMPRODUCT(J4434:N4434,B4435:F4435)+O4434*(1+0.00023125256064071564))</f>
        <v/>
      </c>
      <c r="J4435">
        <f>IF(G4435=1,0.2*R4435/B4435,J4434)</f>
        <v/>
      </c>
      <c r="K4435">
        <f>IF(G4435=1,0.2*R4435/C4435,K4434)</f>
        <v/>
      </c>
      <c r="L4435">
        <f>IF(G4435=1,0.2*R4435/D4435,L4434)</f>
        <v/>
      </c>
      <c r="M4435">
        <f>IF(G4435=1,0.2*R4435/E4435,M4434)</f>
        <v/>
      </c>
      <c r="N4435">
        <f>IF(G4435=1,0.2*R4435/F4435,N4434)</f>
        <v/>
      </c>
      <c r="O4435">
        <f>IF(G4435=1,R4435*(1-1.0),IF(H4434=0,1,O4434*(1+0.00023125256064071564)))</f>
        <v/>
      </c>
      <c r="P4435">
        <f>IF(G4435=1,IF(H4434=0,1,ABS(0.2-J4434*B4435/I4435)+ABS(0.2-K4434*C4435/I4435)+ABS(0.2-L4434*D4435/I4435)+ABS(0.2-M4434*E4435/I4435)+ABS(0.2-N4434*F4435/I4435)),0)</f>
        <v/>
      </c>
      <c r="Q4435">
        <f>P4435*0.0015</f>
        <v/>
      </c>
      <c r="R4435">
        <f>I4435*(1-Q4435)</f>
        <v/>
      </c>
      <c r="S4435">
        <f>R4435/R4434-1</f>
        <v/>
      </c>
      <c r="T4435">
        <f>MAX(T4434,R4435)</f>
        <v/>
      </c>
      <c r="U4435">
        <f>R4435/T4435-1</f>
        <v/>
      </c>
      <c r="V4435" t="n">
        <v>15.44690816926114</v>
      </c>
      <c r="W4435" s="5">
        <f>R4435-V4435</f>
        <v/>
      </c>
    </row>
    <row r="4436">
      <c r="A4436" s="3" t="n">
        <v>44971</v>
      </c>
      <c r="B4436">
        <f>Prices!B4436</f>
        <v/>
      </c>
      <c r="C4436">
        <f>Prices!C4436</f>
        <v/>
      </c>
      <c r="D4436">
        <f>Prices!D4436</f>
        <v/>
      </c>
      <c r="E4436">
        <f>Prices!E4436</f>
        <v/>
      </c>
      <c r="F4436">
        <f>Prices!F4436</f>
        <v/>
      </c>
      <c r="G4436">
        <f>IF(AND(4434&gt;=16,TEXT(A4436,"yyyy-mm")&lt;&gt;TEXT(A4437,"yyyy-mm")),1,0)</f>
        <v/>
      </c>
      <c r="H4436">
        <f>IF(OR(H4435=1,G4436=1),1,0)</f>
        <v/>
      </c>
      <c r="I4436">
        <f>IF(H4435=0,1,SUMPRODUCT(J4435:N4435,B4436:F4436)+O4435*(1+0.00023125256064071564))</f>
        <v/>
      </c>
      <c r="J4436">
        <f>IF(G4436=1,0.2*R4436/B4436,J4435)</f>
        <v/>
      </c>
      <c r="K4436">
        <f>IF(G4436=1,0.2*R4436/C4436,K4435)</f>
        <v/>
      </c>
      <c r="L4436">
        <f>IF(G4436=1,0.2*R4436/D4436,L4435)</f>
        <v/>
      </c>
      <c r="M4436">
        <f>IF(G4436=1,0.2*R4436/E4436,M4435)</f>
        <v/>
      </c>
      <c r="N4436">
        <f>IF(G4436=1,0.2*R4436/F4436,N4435)</f>
        <v/>
      </c>
      <c r="O4436">
        <f>IF(G4436=1,R4436*(1-1.0),IF(H4435=0,1,O4435*(1+0.00023125256064071564)))</f>
        <v/>
      </c>
      <c r="P4436">
        <f>IF(G4436=1,IF(H4435=0,1,ABS(0.2-J4435*B4436/I4436)+ABS(0.2-K4435*C4436/I4436)+ABS(0.2-L4435*D4436/I4436)+ABS(0.2-M4435*E4436/I4436)+ABS(0.2-N4435*F4436/I4436)),0)</f>
        <v/>
      </c>
      <c r="Q4436">
        <f>P4436*0.0015</f>
        <v/>
      </c>
      <c r="R4436">
        <f>I4436*(1-Q4436)</f>
        <v/>
      </c>
      <c r="S4436">
        <f>R4436/R4435-1</f>
        <v/>
      </c>
      <c r="T4436">
        <f>MAX(T4435,R4436)</f>
        <v/>
      </c>
      <c r="U4436">
        <f>R4436/T4436-1</f>
        <v/>
      </c>
      <c r="V4436" t="n">
        <v>15.43771272269239</v>
      </c>
      <c r="W4436" s="5">
        <f>R4436-V4436</f>
        <v/>
      </c>
    </row>
    <row r="4437">
      <c r="A4437" s="3" t="n">
        <v>44972</v>
      </c>
      <c r="B4437">
        <f>Prices!B4437</f>
        <v/>
      </c>
      <c r="C4437">
        <f>Prices!C4437</f>
        <v/>
      </c>
      <c r="D4437">
        <f>Prices!D4437</f>
        <v/>
      </c>
      <c r="E4437">
        <f>Prices!E4437</f>
        <v/>
      </c>
      <c r="F4437">
        <f>Prices!F4437</f>
        <v/>
      </c>
      <c r="G4437">
        <f>IF(AND(4435&gt;=16,TEXT(A4437,"yyyy-mm")&lt;&gt;TEXT(A4438,"yyyy-mm")),1,0)</f>
        <v/>
      </c>
      <c r="H4437">
        <f>IF(OR(H4436=1,G4437=1),1,0)</f>
        <v/>
      </c>
      <c r="I4437">
        <f>IF(H4436=0,1,SUMPRODUCT(J4436:N4436,B4437:F4437)+O4436*(1+0.00023125256064071564))</f>
        <v/>
      </c>
      <c r="J4437">
        <f>IF(G4437=1,0.2*R4437/B4437,J4436)</f>
        <v/>
      </c>
      <c r="K4437">
        <f>IF(G4437=1,0.2*R4437/C4437,K4436)</f>
        <v/>
      </c>
      <c r="L4437">
        <f>IF(G4437=1,0.2*R4437/D4437,L4436)</f>
        <v/>
      </c>
      <c r="M4437">
        <f>IF(G4437=1,0.2*R4437/E4437,M4436)</f>
        <v/>
      </c>
      <c r="N4437">
        <f>IF(G4437=1,0.2*R4437/F4437,N4436)</f>
        <v/>
      </c>
      <c r="O4437">
        <f>IF(G4437=1,R4437*(1-1.0),IF(H4436=0,1,O4436*(1+0.00023125256064071564)))</f>
        <v/>
      </c>
      <c r="P4437">
        <f>IF(G4437=1,IF(H4436=0,1,ABS(0.2-J4436*B4437/I4437)+ABS(0.2-K4436*C4437/I4437)+ABS(0.2-L4436*D4437/I4437)+ABS(0.2-M4436*E4437/I4437)+ABS(0.2-N4436*F4437/I4437)),0)</f>
        <v/>
      </c>
      <c r="Q4437">
        <f>P4437*0.0015</f>
        <v/>
      </c>
      <c r="R4437">
        <f>I4437*(1-Q4437)</f>
        <v/>
      </c>
      <c r="S4437">
        <f>R4437/R4436-1</f>
        <v/>
      </c>
      <c r="T4437">
        <f>MAX(T4436,R4437)</f>
        <v/>
      </c>
      <c r="U4437">
        <f>R4437/T4437-1</f>
        <v/>
      </c>
      <c r="V4437" t="n">
        <v>15.49937510961635</v>
      </c>
      <c r="W4437" s="5">
        <f>R4437-V4437</f>
        <v/>
      </c>
    </row>
    <row r="4438">
      <c r="A4438" s="3" t="n">
        <v>44973</v>
      </c>
      <c r="B4438">
        <f>Prices!B4438</f>
        <v/>
      </c>
      <c r="C4438">
        <f>Prices!C4438</f>
        <v/>
      </c>
      <c r="D4438">
        <f>Prices!D4438</f>
        <v/>
      </c>
      <c r="E4438">
        <f>Prices!E4438</f>
        <v/>
      </c>
      <c r="F4438">
        <f>Prices!F4438</f>
        <v/>
      </c>
      <c r="G4438">
        <f>IF(AND(4436&gt;=16,TEXT(A4438,"yyyy-mm")&lt;&gt;TEXT(A4439,"yyyy-mm")),1,0)</f>
        <v/>
      </c>
      <c r="H4438">
        <f>IF(OR(H4437=1,G4438=1),1,0)</f>
        <v/>
      </c>
      <c r="I4438">
        <f>IF(H4437=0,1,SUMPRODUCT(J4437:N4437,B4438:F4438)+O4437*(1+0.00023125256064071564))</f>
        <v/>
      </c>
      <c r="J4438">
        <f>IF(G4438=1,0.2*R4438/B4438,J4437)</f>
        <v/>
      </c>
      <c r="K4438">
        <f>IF(G4438=1,0.2*R4438/C4438,K4437)</f>
        <v/>
      </c>
      <c r="L4438">
        <f>IF(G4438=1,0.2*R4438/D4438,L4437)</f>
        <v/>
      </c>
      <c r="M4438">
        <f>IF(G4438=1,0.2*R4438/E4438,M4437)</f>
        <v/>
      </c>
      <c r="N4438">
        <f>IF(G4438=1,0.2*R4438/F4438,N4437)</f>
        <v/>
      </c>
      <c r="O4438">
        <f>IF(G4438=1,R4438*(1-1.0),IF(H4437=0,1,O4437*(1+0.00023125256064071564)))</f>
        <v/>
      </c>
      <c r="P4438">
        <f>IF(G4438=1,IF(H4437=0,1,ABS(0.2-J4437*B4438/I4438)+ABS(0.2-K4437*C4438/I4438)+ABS(0.2-L4437*D4438/I4438)+ABS(0.2-M4437*E4438/I4438)+ABS(0.2-N4437*F4438/I4438)),0)</f>
        <v/>
      </c>
      <c r="Q4438">
        <f>P4438*0.0015</f>
        <v/>
      </c>
      <c r="R4438">
        <f>I4438*(1-Q4438)</f>
        <v/>
      </c>
      <c r="S4438">
        <f>R4438/R4437-1</f>
        <v/>
      </c>
      <c r="T4438">
        <f>MAX(T4437,R4438)</f>
        <v/>
      </c>
      <c r="U4438">
        <f>R4438/T4438-1</f>
        <v/>
      </c>
      <c r="V4438" t="n">
        <v>15.63071280298519</v>
      </c>
      <c r="W4438" s="5">
        <f>R4438-V4438</f>
        <v/>
      </c>
    </row>
    <row r="4439">
      <c r="A4439" s="3" t="n">
        <v>44974</v>
      </c>
      <c r="B4439">
        <f>Prices!B4439</f>
        <v/>
      </c>
      <c r="C4439">
        <f>Prices!C4439</f>
        <v/>
      </c>
      <c r="D4439">
        <f>Prices!D4439</f>
        <v/>
      </c>
      <c r="E4439">
        <f>Prices!E4439</f>
        <v/>
      </c>
      <c r="F4439">
        <f>Prices!F4439</f>
        <v/>
      </c>
      <c r="G4439">
        <f>IF(AND(4437&gt;=16,TEXT(A4439,"yyyy-mm")&lt;&gt;TEXT(A4440,"yyyy-mm")),1,0)</f>
        <v/>
      </c>
      <c r="H4439">
        <f>IF(OR(H4438=1,G4439=1),1,0)</f>
        <v/>
      </c>
      <c r="I4439">
        <f>IF(H4438=0,1,SUMPRODUCT(J4438:N4438,B4439:F4439)+O4438*(1+0.00023125256064071564))</f>
        <v/>
      </c>
      <c r="J4439">
        <f>IF(G4439=1,0.2*R4439/B4439,J4438)</f>
        <v/>
      </c>
      <c r="K4439">
        <f>IF(G4439=1,0.2*R4439/C4439,K4438)</f>
        <v/>
      </c>
      <c r="L4439">
        <f>IF(G4439=1,0.2*R4439/D4439,L4438)</f>
        <v/>
      </c>
      <c r="M4439">
        <f>IF(G4439=1,0.2*R4439/E4439,M4438)</f>
        <v/>
      </c>
      <c r="N4439">
        <f>IF(G4439=1,0.2*R4439/F4439,N4438)</f>
        <v/>
      </c>
      <c r="O4439">
        <f>IF(G4439=1,R4439*(1-1.0),IF(H4438=0,1,O4438*(1+0.00023125256064071564)))</f>
        <v/>
      </c>
      <c r="P4439">
        <f>IF(G4439=1,IF(H4438=0,1,ABS(0.2-J4438*B4439/I4439)+ABS(0.2-K4438*C4439/I4439)+ABS(0.2-L4438*D4439/I4439)+ABS(0.2-M4438*E4439/I4439)+ABS(0.2-N4438*F4439/I4439)),0)</f>
        <v/>
      </c>
      <c r="Q4439">
        <f>P4439*0.0015</f>
        <v/>
      </c>
      <c r="R4439">
        <f>I4439*(1-Q4439)</f>
        <v/>
      </c>
      <c r="S4439">
        <f>R4439/R4438-1</f>
        <v/>
      </c>
      <c r="T4439">
        <f>MAX(T4438,R4439)</f>
        <v/>
      </c>
      <c r="U4439">
        <f>R4439/T4439-1</f>
        <v/>
      </c>
      <c r="V4439" t="n">
        <v>15.5491147227279</v>
      </c>
      <c r="W4439" s="5">
        <f>R4439-V4439</f>
        <v/>
      </c>
    </row>
    <row r="4440">
      <c r="A4440" s="3" t="n">
        <v>44977</v>
      </c>
      <c r="B4440">
        <f>Prices!B4440</f>
        <v/>
      </c>
      <c r="C4440">
        <f>Prices!C4440</f>
        <v/>
      </c>
      <c r="D4440">
        <f>Prices!D4440</f>
        <v/>
      </c>
      <c r="E4440">
        <f>Prices!E4440</f>
        <v/>
      </c>
      <c r="F4440">
        <f>Prices!F4440</f>
        <v/>
      </c>
      <c r="G4440">
        <f>IF(AND(4438&gt;=16,TEXT(A4440,"yyyy-mm")&lt;&gt;TEXT(A4441,"yyyy-mm")),1,0)</f>
        <v/>
      </c>
      <c r="H4440">
        <f>IF(OR(H4439=1,G4440=1),1,0)</f>
        <v/>
      </c>
      <c r="I4440">
        <f>IF(H4439=0,1,SUMPRODUCT(J4439:N4439,B4440:F4440)+O4439*(1+0.00023125256064071564))</f>
        <v/>
      </c>
      <c r="J4440">
        <f>IF(G4440=1,0.2*R4440/B4440,J4439)</f>
        <v/>
      </c>
      <c r="K4440">
        <f>IF(G4440=1,0.2*R4440/C4440,K4439)</f>
        <v/>
      </c>
      <c r="L4440">
        <f>IF(G4440=1,0.2*R4440/D4440,L4439)</f>
        <v/>
      </c>
      <c r="M4440">
        <f>IF(G4440=1,0.2*R4440/E4440,M4439)</f>
        <v/>
      </c>
      <c r="N4440">
        <f>IF(G4440=1,0.2*R4440/F4440,N4439)</f>
        <v/>
      </c>
      <c r="O4440">
        <f>IF(G4440=1,R4440*(1-1.0),IF(H4439=0,1,O4439*(1+0.00023125256064071564)))</f>
        <v/>
      </c>
      <c r="P4440">
        <f>IF(G4440=1,IF(H4439=0,1,ABS(0.2-J4439*B4440/I4440)+ABS(0.2-K4439*C4440/I4440)+ABS(0.2-L4439*D4440/I4440)+ABS(0.2-M4439*E4440/I4440)+ABS(0.2-N4439*F4440/I4440)),0)</f>
        <v/>
      </c>
      <c r="Q4440">
        <f>P4440*0.0015</f>
        <v/>
      </c>
      <c r="R4440">
        <f>I4440*(1-Q4440)</f>
        <v/>
      </c>
      <c r="S4440">
        <f>R4440/R4439-1</f>
        <v/>
      </c>
      <c r="T4440">
        <f>MAX(T4439,R4440)</f>
        <v/>
      </c>
      <c r="U4440">
        <f>R4440/T4440-1</f>
        <v/>
      </c>
      <c r="V4440" t="n">
        <v>15.50549267152079</v>
      </c>
      <c r="W4440" s="5">
        <f>R4440-V4440</f>
        <v/>
      </c>
    </row>
    <row r="4441">
      <c r="A4441" s="3" t="n">
        <v>44978</v>
      </c>
      <c r="B4441">
        <f>Prices!B4441</f>
        <v/>
      </c>
      <c r="C4441">
        <f>Prices!C4441</f>
        <v/>
      </c>
      <c r="D4441">
        <f>Prices!D4441</f>
        <v/>
      </c>
      <c r="E4441">
        <f>Prices!E4441</f>
        <v/>
      </c>
      <c r="F4441">
        <f>Prices!F4441</f>
        <v/>
      </c>
      <c r="G4441">
        <f>IF(AND(4439&gt;=16,TEXT(A4441,"yyyy-mm")&lt;&gt;TEXT(A4442,"yyyy-mm")),1,0)</f>
        <v/>
      </c>
      <c r="H4441">
        <f>IF(OR(H4440=1,G4441=1),1,0)</f>
        <v/>
      </c>
      <c r="I4441">
        <f>IF(H4440=0,1,SUMPRODUCT(J4440:N4440,B4441:F4441)+O4440*(1+0.00023125256064071564))</f>
        <v/>
      </c>
      <c r="J4441">
        <f>IF(G4441=1,0.2*R4441/B4441,J4440)</f>
        <v/>
      </c>
      <c r="K4441">
        <f>IF(G4441=1,0.2*R4441/C4441,K4440)</f>
        <v/>
      </c>
      <c r="L4441">
        <f>IF(G4441=1,0.2*R4441/D4441,L4440)</f>
        <v/>
      </c>
      <c r="M4441">
        <f>IF(G4441=1,0.2*R4441/E4441,M4440)</f>
        <v/>
      </c>
      <c r="N4441">
        <f>IF(G4441=1,0.2*R4441/F4441,N4440)</f>
        <v/>
      </c>
      <c r="O4441">
        <f>IF(G4441=1,R4441*(1-1.0),IF(H4440=0,1,O4440*(1+0.00023125256064071564)))</f>
        <v/>
      </c>
      <c r="P4441">
        <f>IF(G4441=1,IF(H4440=0,1,ABS(0.2-J4440*B4441/I4441)+ABS(0.2-K4440*C4441/I4441)+ABS(0.2-L4440*D4441/I4441)+ABS(0.2-M4440*E4441/I4441)+ABS(0.2-N4440*F4441/I4441)),0)</f>
        <v/>
      </c>
      <c r="Q4441">
        <f>P4441*0.0015</f>
        <v/>
      </c>
      <c r="R4441">
        <f>I4441*(1-Q4441)</f>
        <v/>
      </c>
      <c r="S4441">
        <f>R4441/R4440-1</f>
        <v/>
      </c>
      <c r="T4441">
        <f>MAX(T4440,R4441)</f>
        <v/>
      </c>
      <c r="U4441">
        <f>R4441/T4441-1</f>
        <v/>
      </c>
      <c r="V4441" t="n">
        <v>15.47298070745184</v>
      </c>
      <c r="W4441" s="5">
        <f>R4441-V4441</f>
        <v/>
      </c>
    </row>
    <row r="4442">
      <c r="A4442" s="3" t="n">
        <v>44979</v>
      </c>
      <c r="B4442">
        <f>Prices!B4442</f>
        <v/>
      </c>
      <c r="C4442">
        <f>Prices!C4442</f>
        <v/>
      </c>
      <c r="D4442">
        <f>Prices!D4442</f>
        <v/>
      </c>
      <c r="E4442">
        <f>Prices!E4442</f>
        <v/>
      </c>
      <c r="F4442">
        <f>Prices!F4442</f>
        <v/>
      </c>
      <c r="G4442">
        <f>IF(AND(4440&gt;=16,TEXT(A4442,"yyyy-mm")&lt;&gt;TEXT(A4443,"yyyy-mm")),1,0)</f>
        <v/>
      </c>
      <c r="H4442">
        <f>IF(OR(H4441=1,G4442=1),1,0)</f>
        <v/>
      </c>
      <c r="I4442">
        <f>IF(H4441=0,1,SUMPRODUCT(J4441:N4441,B4442:F4442)+O4441*(1+0.00023125256064071564))</f>
        <v/>
      </c>
      <c r="J4442">
        <f>IF(G4442=1,0.2*R4442/B4442,J4441)</f>
        <v/>
      </c>
      <c r="K4442">
        <f>IF(G4442=1,0.2*R4442/C4442,K4441)</f>
        <v/>
      </c>
      <c r="L4442">
        <f>IF(G4442=1,0.2*R4442/D4442,L4441)</f>
        <v/>
      </c>
      <c r="M4442">
        <f>IF(G4442=1,0.2*R4442/E4442,M4441)</f>
        <v/>
      </c>
      <c r="N4442">
        <f>IF(G4442=1,0.2*R4442/F4442,N4441)</f>
        <v/>
      </c>
      <c r="O4442">
        <f>IF(G4442=1,R4442*(1-1.0),IF(H4441=0,1,O4441*(1+0.00023125256064071564)))</f>
        <v/>
      </c>
      <c r="P4442">
        <f>IF(G4442=1,IF(H4441=0,1,ABS(0.2-J4441*B4442/I4442)+ABS(0.2-K4441*C4442/I4442)+ABS(0.2-L4441*D4442/I4442)+ABS(0.2-M4441*E4442/I4442)+ABS(0.2-N4441*F4442/I4442)),0)</f>
        <v/>
      </c>
      <c r="Q4442">
        <f>P4442*0.0015</f>
        <v/>
      </c>
      <c r="R4442">
        <f>I4442*(1-Q4442)</f>
        <v/>
      </c>
      <c r="S4442">
        <f>R4442/R4441-1</f>
        <v/>
      </c>
      <c r="T4442">
        <f>MAX(T4441,R4442)</f>
        <v/>
      </c>
      <c r="U4442">
        <f>R4442/T4442-1</f>
        <v/>
      </c>
      <c r="V4442" t="n">
        <v>15.24962554802854</v>
      </c>
      <c r="W4442" s="5">
        <f>R4442-V4442</f>
        <v/>
      </c>
    </row>
    <row r="4443">
      <c r="A4443" s="3" t="n">
        <v>44980</v>
      </c>
      <c r="B4443">
        <f>Prices!B4443</f>
        <v/>
      </c>
      <c r="C4443">
        <f>Prices!C4443</f>
        <v/>
      </c>
      <c r="D4443">
        <f>Prices!D4443</f>
        <v/>
      </c>
      <c r="E4443">
        <f>Prices!E4443</f>
        <v/>
      </c>
      <c r="F4443">
        <f>Prices!F4443</f>
        <v/>
      </c>
      <c r="G4443">
        <f>IF(AND(4441&gt;=16,TEXT(A4443,"yyyy-mm")&lt;&gt;TEXT(A4444,"yyyy-mm")),1,0)</f>
        <v/>
      </c>
      <c r="H4443">
        <f>IF(OR(H4442=1,G4443=1),1,0)</f>
        <v/>
      </c>
      <c r="I4443">
        <f>IF(H4442=0,1,SUMPRODUCT(J4442:N4442,B4443:F4443)+O4442*(1+0.00023125256064071564))</f>
        <v/>
      </c>
      <c r="J4443">
        <f>IF(G4443=1,0.2*R4443/B4443,J4442)</f>
        <v/>
      </c>
      <c r="K4443">
        <f>IF(G4443=1,0.2*R4443/C4443,K4442)</f>
        <v/>
      </c>
      <c r="L4443">
        <f>IF(G4443=1,0.2*R4443/D4443,L4442)</f>
        <v/>
      </c>
      <c r="M4443">
        <f>IF(G4443=1,0.2*R4443/E4443,M4442)</f>
        <v/>
      </c>
      <c r="N4443">
        <f>IF(G4443=1,0.2*R4443/F4443,N4442)</f>
        <v/>
      </c>
      <c r="O4443">
        <f>IF(G4443=1,R4443*(1-1.0),IF(H4442=0,1,O4442*(1+0.00023125256064071564)))</f>
        <v/>
      </c>
      <c r="P4443">
        <f>IF(G4443=1,IF(H4442=0,1,ABS(0.2-J4442*B4443/I4443)+ABS(0.2-K4442*C4443/I4443)+ABS(0.2-L4442*D4443/I4443)+ABS(0.2-M4442*E4443/I4443)+ABS(0.2-N4442*F4443/I4443)),0)</f>
        <v/>
      </c>
      <c r="Q4443">
        <f>P4443*0.0015</f>
        <v/>
      </c>
      <c r="R4443">
        <f>I4443*(1-Q4443)</f>
        <v/>
      </c>
      <c r="S4443">
        <f>R4443/R4442-1</f>
        <v/>
      </c>
      <c r="T4443">
        <f>MAX(T4442,R4443)</f>
        <v/>
      </c>
      <c r="U4443">
        <f>R4443/T4443-1</f>
        <v/>
      </c>
      <c r="V4443" t="n">
        <v>15.2550877398732</v>
      </c>
      <c r="W4443" s="5">
        <f>R4443-V4443</f>
        <v/>
      </c>
    </row>
    <row r="4444">
      <c r="A4444" s="3" t="n">
        <v>44981</v>
      </c>
      <c r="B4444">
        <f>Prices!B4444</f>
        <v/>
      </c>
      <c r="C4444">
        <f>Prices!C4444</f>
        <v/>
      </c>
      <c r="D4444">
        <f>Prices!D4444</f>
        <v/>
      </c>
      <c r="E4444">
        <f>Prices!E4444</f>
        <v/>
      </c>
      <c r="F4444">
        <f>Prices!F4444</f>
        <v/>
      </c>
      <c r="G4444">
        <f>IF(AND(4442&gt;=16,TEXT(A4444,"yyyy-mm")&lt;&gt;TEXT(A4445,"yyyy-mm")),1,0)</f>
        <v/>
      </c>
      <c r="H4444">
        <f>IF(OR(H4443=1,G4444=1),1,0)</f>
        <v/>
      </c>
      <c r="I4444">
        <f>IF(H4443=0,1,SUMPRODUCT(J4443:N4443,B4444:F4444)+O4443*(1+0.00023125256064071564))</f>
        <v/>
      </c>
      <c r="J4444">
        <f>IF(G4444=1,0.2*R4444/B4444,J4443)</f>
        <v/>
      </c>
      <c r="K4444">
        <f>IF(G4444=1,0.2*R4444/C4444,K4443)</f>
        <v/>
      </c>
      <c r="L4444">
        <f>IF(G4444=1,0.2*R4444/D4444,L4443)</f>
        <v/>
      </c>
      <c r="M4444">
        <f>IF(G4444=1,0.2*R4444/E4444,M4443)</f>
        <v/>
      </c>
      <c r="N4444">
        <f>IF(G4444=1,0.2*R4444/F4444,N4443)</f>
        <v/>
      </c>
      <c r="O4444">
        <f>IF(G4444=1,R4444*(1-1.0),IF(H4443=0,1,O4443*(1+0.00023125256064071564)))</f>
        <v/>
      </c>
      <c r="P4444">
        <f>IF(G4444=1,IF(H4443=0,1,ABS(0.2-J4443*B4444/I4444)+ABS(0.2-K4443*C4444/I4444)+ABS(0.2-L4443*D4444/I4444)+ABS(0.2-M4443*E4444/I4444)+ABS(0.2-N4443*F4444/I4444)),0)</f>
        <v/>
      </c>
      <c r="Q4444">
        <f>P4444*0.0015</f>
        <v/>
      </c>
      <c r="R4444">
        <f>I4444*(1-Q4444)</f>
        <v/>
      </c>
      <c r="S4444">
        <f>R4444/R4443-1</f>
        <v/>
      </c>
      <c r="T4444">
        <f>MAX(T4443,R4444)</f>
        <v/>
      </c>
      <c r="U4444">
        <f>R4444/T4444-1</f>
        <v/>
      </c>
      <c r="V4444" t="n">
        <v>15.20883310350676</v>
      </c>
      <c r="W4444" s="5">
        <f>R4444-V4444</f>
        <v/>
      </c>
    </row>
    <row r="4445">
      <c r="A4445" s="3" t="n">
        <v>44984</v>
      </c>
      <c r="B4445">
        <f>Prices!B4445</f>
        <v/>
      </c>
      <c r="C4445">
        <f>Prices!C4445</f>
        <v/>
      </c>
      <c r="D4445">
        <f>Prices!D4445</f>
        <v/>
      </c>
      <c r="E4445">
        <f>Prices!E4445</f>
        <v/>
      </c>
      <c r="F4445">
        <f>Prices!F4445</f>
        <v/>
      </c>
      <c r="G4445">
        <f>IF(AND(4443&gt;=16,TEXT(A4445,"yyyy-mm")&lt;&gt;TEXT(A4446,"yyyy-mm")),1,0)</f>
        <v/>
      </c>
      <c r="H4445">
        <f>IF(OR(H4444=1,G4445=1),1,0)</f>
        <v/>
      </c>
      <c r="I4445">
        <f>IF(H4444=0,1,SUMPRODUCT(J4444:N4444,B4445:F4445)+O4444*(1+0.00023125256064071564))</f>
        <v/>
      </c>
      <c r="J4445">
        <f>IF(G4445=1,0.2*R4445/B4445,J4444)</f>
        <v/>
      </c>
      <c r="K4445">
        <f>IF(G4445=1,0.2*R4445/C4445,K4444)</f>
        <v/>
      </c>
      <c r="L4445">
        <f>IF(G4445=1,0.2*R4445/D4445,L4444)</f>
        <v/>
      </c>
      <c r="M4445">
        <f>IF(G4445=1,0.2*R4445/E4445,M4444)</f>
        <v/>
      </c>
      <c r="N4445">
        <f>IF(G4445=1,0.2*R4445/F4445,N4444)</f>
        <v/>
      </c>
      <c r="O4445">
        <f>IF(G4445=1,R4445*(1-1.0),IF(H4444=0,1,O4444*(1+0.00023125256064071564)))</f>
        <v/>
      </c>
      <c r="P4445">
        <f>IF(G4445=1,IF(H4444=0,1,ABS(0.2-J4444*B4445/I4445)+ABS(0.2-K4444*C4445/I4445)+ABS(0.2-L4444*D4445/I4445)+ABS(0.2-M4444*E4445/I4445)+ABS(0.2-N4444*F4445/I4445)),0)</f>
        <v/>
      </c>
      <c r="Q4445">
        <f>P4445*0.0015</f>
        <v/>
      </c>
      <c r="R4445">
        <f>I4445*(1-Q4445)</f>
        <v/>
      </c>
      <c r="S4445">
        <f>R4445/R4444-1</f>
        <v/>
      </c>
      <c r="T4445">
        <f>MAX(T4444,R4445)</f>
        <v/>
      </c>
      <c r="U4445">
        <f>R4445/T4445-1</f>
        <v/>
      </c>
      <c r="V4445" t="n">
        <v>15.11025387572064</v>
      </c>
      <c r="W4445" s="5">
        <f>R4445-V4445</f>
        <v/>
      </c>
    </row>
    <row r="4446">
      <c r="A4446" s="3" t="n">
        <v>44985</v>
      </c>
      <c r="B4446">
        <f>Prices!B4446</f>
        <v/>
      </c>
      <c r="C4446">
        <f>Prices!C4446</f>
        <v/>
      </c>
      <c r="D4446">
        <f>Prices!D4446</f>
        <v/>
      </c>
      <c r="E4446">
        <f>Prices!E4446</f>
        <v/>
      </c>
      <c r="F4446">
        <f>Prices!F4446</f>
        <v/>
      </c>
      <c r="G4446">
        <f>IF(AND(4444&gt;=16,TEXT(A4446,"yyyy-mm")&lt;&gt;TEXT(A4447,"yyyy-mm")),1,0)</f>
        <v/>
      </c>
      <c r="H4446">
        <f>IF(OR(H4445=1,G4446=1),1,0)</f>
        <v/>
      </c>
      <c r="I4446">
        <f>IF(H4445=0,1,SUMPRODUCT(J4445:N4445,B4446:F4446)+O4445*(1+0.00023125256064071564))</f>
        <v/>
      </c>
      <c r="J4446">
        <f>IF(G4446=1,0.2*R4446/B4446,J4445)</f>
        <v/>
      </c>
      <c r="K4446">
        <f>IF(G4446=1,0.2*R4446/C4446,K4445)</f>
        <v/>
      </c>
      <c r="L4446">
        <f>IF(G4446=1,0.2*R4446/D4446,L4445)</f>
        <v/>
      </c>
      <c r="M4446">
        <f>IF(G4446=1,0.2*R4446/E4446,M4445)</f>
        <v/>
      </c>
      <c r="N4446">
        <f>IF(G4446=1,0.2*R4446/F4446,N4445)</f>
        <v/>
      </c>
      <c r="O4446">
        <f>IF(G4446=1,R4446*(1-1.0),IF(H4445=0,1,O4445*(1+0.00023125256064071564)))</f>
        <v/>
      </c>
      <c r="P4446">
        <f>IF(G4446=1,IF(H4445=0,1,ABS(0.2-J4445*B4446/I4446)+ABS(0.2-K4445*C4446/I4446)+ABS(0.2-L4445*D4446/I4446)+ABS(0.2-M4445*E4446/I4446)+ABS(0.2-N4445*F4446/I4446)),0)</f>
        <v/>
      </c>
      <c r="Q4446">
        <f>P4446*0.0015</f>
        <v/>
      </c>
      <c r="R4446">
        <f>I4446*(1-Q4446)</f>
        <v/>
      </c>
      <c r="S4446">
        <f>R4446/R4445-1</f>
        <v/>
      </c>
      <c r="T4446">
        <f>MAX(T4445,R4446)</f>
        <v/>
      </c>
      <c r="U4446">
        <f>R4446/T4446-1</f>
        <v/>
      </c>
      <c r="V4446" t="n">
        <v>15.16701571993063</v>
      </c>
      <c r="W4446" s="5">
        <f>R4446-V4446</f>
        <v/>
      </c>
    </row>
    <row r="4447">
      <c r="A4447" s="3" t="n">
        <v>44986</v>
      </c>
      <c r="B4447">
        <f>Prices!B4447</f>
        <v/>
      </c>
      <c r="C4447">
        <f>Prices!C4447</f>
        <v/>
      </c>
      <c r="D4447">
        <f>Prices!D4447</f>
        <v/>
      </c>
      <c r="E4447">
        <f>Prices!E4447</f>
        <v/>
      </c>
      <c r="F4447">
        <f>Prices!F4447</f>
        <v/>
      </c>
      <c r="G4447">
        <f>IF(AND(4445&gt;=16,TEXT(A4447,"yyyy-mm")&lt;&gt;TEXT(A4448,"yyyy-mm")),1,0)</f>
        <v/>
      </c>
      <c r="H4447">
        <f>IF(OR(H4446=1,G4447=1),1,0)</f>
        <v/>
      </c>
      <c r="I4447">
        <f>IF(H4446=0,1,SUMPRODUCT(J4446:N4446,B4447:F4447)+O4446*(1+0.00023125256064071564))</f>
        <v/>
      </c>
      <c r="J4447">
        <f>IF(G4447=1,0.2*R4447/B4447,J4446)</f>
        <v/>
      </c>
      <c r="K4447">
        <f>IF(G4447=1,0.2*R4447/C4447,K4446)</f>
        <v/>
      </c>
      <c r="L4447">
        <f>IF(G4447=1,0.2*R4447/D4447,L4446)</f>
        <v/>
      </c>
      <c r="M4447">
        <f>IF(G4447=1,0.2*R4447/E4447,M4446)</f>
        <v/>
      </c>
      <c r="N4447">
        <f>IF(G4447=1,0.2*R4447/F4447,N4446)</f>
        <v/>
      </c>
      <c r="O4447">
        <f>IF(G4447=1,R4447*(1-1.0),IF(H4446=0,1,O4446*(1+0.00023125256064071564)))</f>
        <v/>
      </c>
      <c r="P4447">
        <f>IF(G4447=1,IF(H4446=0,1,ABS(0.2-J4446*B4447/I4447)+ABS(0.2-K4446*C4447/I4447)+ABS(0.2-L4446*D4447/I4447)+ABS(0.2-M4446*E4447/I4447)+ABS(0.2-N4446*F4447/I4447)),0)</f>
        <v/>
      </c>
      <c r="Q4447">
        <f>P4447*0.0015</f>
        <v/>
      </c>
      <c r="R4447">
        <f>I4447*(1-Q4447)</f>
        <v/>
      </c>
      <c r="S4447">
        <f>R4447/R4446-1</f>
        <v/>
      </c>
      <c r="T4447">
        <f>MAX(T4446,R4447)</f>
        <v/>
      </c>
      <c r="U4447">
        <f>R4447/T4447-1</f>
        <v/>
      </c>
      <c r="V4447" t="n">
        <v>15.40080675789178</v>
      </c>
      <c r="W4447" s="5">
        <f>R4447-V4447</f>
        <v/>
      </c>
    </row>
    <row r="4448">
      <c r="A4448" s="3" t="n">
        <v>44987</v>
      </c>
      <c r="B4448">
        <f>Prices!B4448</f>
        <v/>
      </c>
      <c r="C4448">
        <f>Prices!C4448</f>
        <v/>
      </c>
      <c r="D4448">
        <f>Prices!D4448</f>
        <v/>
      </c>
      <c r="E4448">
        <f>Prices!E4448</f>
        <v/>
      </c>
      <c r="F4448">
        <f>Prices!F4448</f>
        <v/>
      </c>
      <c r="G4448">
        <f>IF(AND(4446&gt;=16,TEXT(A4448,"yyyy-mm")&lt;&gt;TEXT(A4449,"yyyy-mm")),1,0)</f>
        <v/>
      </c>
      <c r="H4448">
        <f>IF(OR(H4447=1,G4448=1),1,0)</f>
        <v/>
      </c>
      <c r="I4448">
        <f>IF(H4447=0,1,SUMPRODUCT(J4447:N4447,B4448:F4448)+O4447*(1+0.00023125256064071564))</f>
        <v/>
      </c>
      <c r="J4448">
        <f>IF(G4448=1,0.2*R4448/B4448,J4447)</f>
        <v/>
      </c>
      <c r="K4448">
        <f>IF(G4448=1,0.2*R4448/C4448,K4447)</f>
        <v/>
      </c>
      <c r="L4448">
        <f>IF(G4448=1,0.2*R4448/D4448,L4447)</f>
        <v/>
      </c>
      <c r="M4448">
        <f>IF(G4448=1,0.2*R4448/E4448,M4447)</f>
        <v/>
      </c>
      <c r="N4448">
        <f>IF(G4448=1,0.2*R4448/F4448,N4447)</f>
        <v/>
      </c>
      <c r="O4448">
        <f>IF(G4448=1,R4448*(1-1.0),IF(H4447=0,1,O4447*(1+0.00023125256064071564)))</f>
        <v/>
      </c>
      <c r="P4448">
        <f>IF(G4448=1,IF(H4447=0,1,ABS(0.2-J4447*B4448/I4448)+ABS(0.2-K4447*C4448/I4448)+ABS(0.2-L4447*D4448/I4448)+ABS(0.2-M4447*E4448/I4448)+ABS(0.2-N4447*F4448/I4448)),0)</f>
        <v/>
      </c>
      <c r="Q4448">
        <f>P4448*0.0015</f>
        <v/>
      </c>
      <c r="R4448">
        <f>I4448*(1-Q4448)</f>
        <v/>
      </c>
      <c r="S4448">
        <f>R4448/R4447-1</f>
        <v/>
      </c>
      <c r="T4448">
        <f>MAX(T4447,R4448)</f>
        <v/>
      </c>
      <c r="U4448">
        <f>R4448/T4448-1</f>
        <v/>
      </c>
      <c r="V4448" t="n">
        <v>15.4038926091732</v>
      </c>
      <c r="W4448" s="5">
        <f>R4448-V4448</f>
        <v/>
      </c>
    </row>
    <row r="4449">
      <c r="A4449" s="3" t="n">
        <v>44988</v>
      </c>
      <c r="B4449">
        <f>Prices!B4449</f>
        <v/>
      </c>
      <c r="C4449">
        <f>Prices!C4449</f>
        <v/>
      </c>
      <c r="D4449">
        <f>Prices!D4449</f>
        <v/>
      </c>
      <c r="E4449">
        <f>Prices!E4449</f>
        <v/>
      </c>
      <c r="F4449">
        <f>Prices!F4449</f>
        <v/>
      </c>
      <c r="G4449">
        <f>IF(AND(4447&gt;=16,TEXT(A4449,"yyyy-mm")&lt;&gt;TEXT(A4450,"yyyy-mm")),1,0)</f>
        <v/>
      </c>
      <c r="H4449">
        <f>IF(OR(H4448=1,G4449=1),1,0)</f>
        <v/>
      </c>
      <c r="I4449">
        <f>IF(H4448=0,1,SUMPRODUCT(J4448:N4448,B4449:F4449)+O4448*(1+0.00023125256064071564))</f>
        <v/>
      </c>
      <c r="J4449">
        <f>IF(G4449=1,0.2*R4449/B4449,J4448)</f>
        <v/>
      </c>
      <c r="K4449">
        <f>IF(G4449=1,0.2*R4449/C4449,K4448)</f>
        <v/>
      </c>
      <c r="L4449">
        <f>IF(G4449=1,0.2*R4449/D4449,L4448)</f>
        <v/>
      </c>
      <c r="M4449">
        <f>IF(G4449=1,0.2*R4449/E4449,M4448)</f>
        <v/>
      </c>
      <c r="N4449">
        <f>IF(G4449=1,0.2*R4449/F4449,N4448)</f>
        <v/>
      </c>
      <c r="O4449">
        <f>IF(G4449=1,R4449*(1-1.0),IF(H4448=0,1,O4448*(1+0.00023125256064071564)))</f>
        <v/>
      </c>
      <c r="P4449">
        <f>IF(G4449=1,IF(H4448=0,1,ABS(0.2-J4448*B4449/I4449)+ABS(0.2-K4448*C4449/I4449)+ABS(0.2-L4448*D4449/I4449)+ABS(0.2-M4448*E4449/I4449)+ABS(0.2-N4448*F4449/I4449)),0)</f>
        <v/>
      </c>
      <c r="Q4449">
        <f>P4449*0.0015</f>
        <v/>
      </c>
      <c r="R4449">
        <f>I4449*(1-Q4449)</f>
        <v/>
      </c>
      <c r="S4449">
        <f>R4449/R4448-1</f>
        <v/>
      </c>
      <c r="T4449">
        <f>MAX(T4448,R4449)</f>
        <v/>
      </c>
      <c r="U4449">
        <f>R4449/T4449-1</f>
        <v/>
      </c>
      <c r="V4449" t="n">
        <v>15.55294964125111</v>
      </c>
      <c r="W4449" s="5">
        <f>R4449-V4449</f>
        <v/>
      </c>
    </row>
    <row r="4450">
      <c r="A4450" s="3" t="n">
        <v>44991</v>
      </c>
      <c r="B4450">
        <f>Prices!B4450</f>
        <v/>
      </c>
      <c r="C4450">
        <f>Prices!C4450</f>
        <v/>
      </c>
      <c r="D4450">
        <f>Prices!D4450</f>
        <v/>
      </c>
      <c r="E4450">
        <f>Prices!E4450</f>
        <v/>
      </c>
      <c r="F4450">
        <f>Prices!F4450</f>
        <v/>
      </c>
      <c r="G4450">
        <f>IF(AND(4448&gt;=16,TEXT(A4450,"yyyy-mm")&lt;&gt;TEXT(A4451,"yyyy-mm")),1,0)</f>
        <v/>
      </c>
      <c r="H4450">
        <f>IF(OR(H4449=1,G4450=1),1,0)</f>
        <v/>
      </c>
      <c r="I4450">
        <f>IF(H4449=0,1,SUMPRODUCT(J4449:N4449,B4450:F4450)+O4449*(1+0.00023125256064071564))</f>
        <v/>
      </c>
      <c r="J4450">
        <f>IF(G4450=1,0.2*R4450/B4450,J4449)</f>
        <v/>
      </c>
      <c r="K4450">
        <f>IF(G4450=1,0.2*R4450/C4450,K4449)</f>
        <v/>
      </c>
      <c r="L4450">
        <f>IF(G4450=1,0.2*R4450/D4450,L4449)</f>
        <v/>
      </c>
      <c r="M4450">
        <f>IF(G4450=1,0.2*R4450/E4450,M4449)</f>
        <v/>
      </c>
      <c r="N4450">
        <f>IF(G4450=1,0.2*R4450/F4450,N4449)</f>
        <v/>
      </c>
      <c r="O4450">
        <f>IF(G4450=1,R4450*(1-1.0),IF(H4449=0,1,O4449*(1+0.00023125256064071564)))</f>
        <v/>
      </c>
      <c r="P4450">
        <f>IF(G4450=1,IF(H4449=0,1,ABS(0.2-J4449*B4450/I4450)+ABS(0.2-K4449*C4450/I4450)+ABS(0.2-L4449*D4450/I4450)+ABS(0.2-M4449*E4450/I4450)+ABS(0.2-N4449*F4450/I4450)),0)</f>
        <v/>
      </c>
      <c r="Q4450">
        <f>P4450*0.0015</f>
        <v/>
      </c>
      <c r="R4450">
        <f>I4450*(1-Q4450)</f>
        <v/>
      </c>
      <c r="S4450">
        <f>R4450/R4449-1</f>
        <v/>
      </c>
      <c r="T4450">
        <f>MAX(T4449,R4450)</f>
        <v/>
      </c>
      <c r="U4450">
        <f>R4450/T4450-1</f>
        <v/>
      </c>
      <c r="V4450" t="n">
        <v>15.67977215476338</v>
      </c>
      <c r="W4450" s="5">
        <f>R4450-V4450</f>
        <v/>
      </c>
    </row>
    <row r="4451">
      <c r="A4451" s="3" t="n">
        <v>44993</v>
      </c>
      <c r="B4451">
        <f>Prices!B4451</f>
        <v/>
      </c>
      <c r="C4451">
        <f>Prices!C4451</f>
        <v/>
      </c>
      <c r="D4451">
        <f>Prices!D4451</f>
        <v/>
      </c>
      <c r="E4451">
        <f>Prices!E4451</f>
        <v/>
      </c>
      <c r="F4451">
        <f>Prices!F4451</f>
        <v/>
      </c>
      <c r="G4451">
        <f>IF(AND(4449&gt;=16,TEXT(A4451,"yyyy-mm")&lt;&gt;TEXT(A4452,"yyyy-mm")),1,0)</f>
        <v/>
      </c>
      <c r="H4451">
        <f>IF(OR(H4450=1,G4451=1),1,0)</f>
        <v/>
      </c>
      <c r="I4451">
        <f>IF(H4450=0,1,SUMPRODUCT(J4450:N4450,B4451:F4451)+O4450*(1+0.00023125256064071564))</f>
        <v/>
      </c>
      <c r="J4451">
        <f>IF(G4451=1,0.2*R4451/B4451,J4450)</f>
        <v/>
      </c>
      <c r="K4451">
        <f>IF(G4451=1,0.2*R4451/C4451,K4450)</f>
        <v/>
      </c>
      <c r="L4451">
        <f>IF(G4451=1,0.2*R4451/D4451,L4450)</f>
        <v/>
      </c>
      <c r="M4451">
        <f>IF(G4451=1,0.2*R4451/E4451,M4450)</f>
        <v/>
      </c>
      <c r="N4451">
        <f>IF(G4451=1,0.2*R4451/F4451,N4450)</f>
        <v/>
      </c>
      <c r="O4451">
        <f>IF(G4451=1,R4451*(1-1.0),IF(H4450=0,1,O4450*(1+0.00023125256064071564)))</f>
        <v/>
      </c>
      <c r="P4451">
        <f>IF(G4451=1,IF(H4450=0,1,ABS(0.2-J4450*B4451/I4451)+ABS(0.2-K4450*C4451/I4451)+ABS(0.2-L4450*D4451/I4451)+ABS(0.2-M4450*E4451/I4451)+ABS(0.2-N4450*F4451/I4451)),0)</f>
        <v/>
      </c>
      <c r="Q4451">
        <f>P4451*0.0015</f>
        <v/>
      </c>
      <c r="R4451">
        <f>I4451*(1-Q4451)</f>
        <v/>
      </c>
      <c r="S4451">
        <f>R4451/R4450-1</f>
        <v/>
      </c>
      <c r="T4451">
        <f>MAX(T4450,R4451)</f>
        <v/>
      </c>
      <c r="U4451">
        <f>R4451/T4451-1</f>
        <v/>
      </c>
      <c r="V4451" t="n">
        <v>15.7763801303472</v>
      </c>
      <c r="W4451" s="5">
        <f>R4451-V4451</f>
        <v/>
      </c>
    </row>
    <row r="4452">
      <c r="A4452" s="3" t="n">
        <v>44994</v>
      </c>
      <c r="B4452">
        <f>Prices!B4452</f>
        <v/>
      </c>
      <c r="C4452">
        <f>Prices!C4452</f>
        <v/>
      </c>
      <c r="D4452">
        <f>Prices!D4452</f>
        <v/>
      </c>
      <c r="E4452">
        <f>Prices!E4452</f>
        <v/>
      </c>
      <c r="F4452">
        <f>Prices!F4452</f>
        <v/>
      </c>
      <c r="G4452">
        <f>IF(AND(4450&gt;=16,TEXT(A4452,"yyyy-mm")&lt;&gt;TEXT(A4453,"yyyy-mm")),1,0)</f>
        <v/>
      </c>
      <c r="H4452">
        <f>IF(OR(H4451=1,G4452=1),1,0)</f>
        <v/>
      </c>
      <c r="I4452">
        <f>IF(H4451=0,1,SUMPRODUCT(J4451:N4451,B4452:F4452)+O4451*(1+0.00023125256064071564))</f>
        <v/>
      </c>
      <c r="J4452">
        <f>IF(G4452=1,0.2*R4452/B4452,J4451)</f>
        <v/>
      </c>
      <c r="K4452">
        <f>IF(G4452=1,0.2*R4452/C4452,K4451)</f>
        <v/>
      </c>
      <c r="L4452">
        <f>IF(G4452=1,0.2*R4452/D4452,L4451)</f>
        <v/>
      </c>
      <c r="M4452">
        <f>IF(G4452=1,0.2*R4452/E4452,M4451)</f>
        <v/>
      </c>
      <c r="N4452">
        <f>IF(G4452=1,0.2*R4452/F4452,N4451)</f>
        <v/>
      </c>
      <c r="O4452">
        <f>IF(G4452=1,R4452*(1-1.0),IF(H4451=0,1,O4451*(1+0.00023125256064071564)))</f>
        <v/>
      </c>
      <c r="P4452">
        <f>IF(G4452=1,IF(H4451=0,1,ABS(0.2-J4451*B4452/I4452)+ABS(0.2-K4451*C4452/I4452)+ABS(0.2-L4451*D4452/I4452)+ABS(0.2-M4451*E4452/I4452)+ABS(0.2-N4451*F4452/I4452)),0)</f>
        <v/>
      </c>
      <c r="Q4452">
        <f>P4452*0.0015</f>
        <v/>
      </c>
      <c r="R4452">
        <f>I4452*(1-Q4452)</f>
        <v/>
      </c>
      <c r="S4452">
        <f>R4452/R4451-1</f>
        <v/>
      </c>
      <c r="T4452">
        <f>MAX(T4451,R4452)</f>
        <v/>
      </c>
      <c r="U4452">
        <f>R4452/T4452-1</f>
        <v/>
      </c>
      <c r="V4452" t="n">
        <v>15.70220986544129</v>
      </c>
      <c r="W4452" s="5">
        <f>R4452-V4452</f>
        <v/>
      </c>
    </row>
    <row r="4453">
      <c r="A4453" s="3" t="n">
        <v>44995</v>
      </c>
      <c r="B4453">
        <f>Prices!B4453</f>
        <v/>
      </c>
      <c r="C4453">
        <f>Prices!C4453</f>
        <v/>
      </c>
      <c r="D4453">
        <f>Prices!D4453</f>
        <v/>
      </c>
      <c r="E4453">
        <f>Prices!E4453</f>
        <v/>
      </c>
      <c r="F4453">
        <f>Prices!F4453</f>
        <v/>
      </c>
      <c r="G4453">
        <f>IF(AND(4451&gt;=16,TEXT(A4453,"yyyy-mm")&lt;&gt;TEXT(A4454,"yyyy-mm")),1,0)</f>
        <v/>
      </c>
      <c r="H4453">
        <f>IF(OR(H4452=1,G4453=1),1,0)</f>
        <v/>
      </c>
      <c r="I4453">
        <f>IF(H4452=0,1,SUMPRODUCT(J4452:N4452,B4453:F4453)+O4452*(1+0.00023125256064071564))</f>
        <v/>
      </c>
      <c r="J4453">
        <f>IF(G4453=1,0.2*R4453/B4453,J4452)</f>
        <v/>
      </c>
      <c r="K4453">
        <f>IF(G4453=1,0.2*R4453/C4453,K4452)</f>
        <v/>
      </c>
      <c r="L4453">
        <f>IF(G4453=1,0.2*R4453/D4453,L4452)</f>
        <v/>
      </c>
      <c r="M4453">
        <f>IF(G4453=1,0.2*R4453/E4453,M4452)</f>
        <v/>
      </c>
      <c r="N4453">
        <f>IF(G4453=1,0.2*R4453/F4453,N4452)</f>
        <v/>
      </c>
      <c r="O4453">
        <f>IF(G4453=1,R4453*(1-1.0),IF(H4452=0,1,O4452*(1+0.00023125256064071564)))</f>
        <v/>
      </c>
      <c r="P4453">
        <f>IF(G4453=1,IF(H4452=0,1,ABS(0.2-J4452*B4453/I4453)+ABS(0.2-K4452*C4453/I4453)+ABS(0.2-L4452*D4453/I4453)+ABS(0.2-M4452*E4453/I4453)+ABS(0.2-N4452*F4453/I4453)),0)</f>
        <v/>
      </c>
      <c r="Q4453">
        <f>P4453*0.0015</f>
        <v/>
      </c>
      <c r="R4453">
        <f>I4453*(1-Q4453)</f>
        <v/>
      </c>
      <c r="S4453">
        <f>R4453/R4452-1</f>
        <v/>
      </c>
      <c r="T4453">
        <f>MAX(T4452,R4453)</f>
        <v/>
      </c>
      <c r="U4453">
        <f>R4453/T4453-1</f>
        <v/>
      </c>
      <c r="V4453" t="n">
        <v>15.61659968031585</v>
      </c>
      <c r="W4453" s="5">
        <f>R4453-V4453</f>
        <v/>
      </c>
    </row>
    <row r="4454">
      <c r="A4454" s="3" t="n">
        <v>44998</v>
      </c>
      <c r="B4454">
        <f>Prices!B4454</f>
        <v/>
      </c>
      <c r="C4454">
        <f>Prices!C4454</f>
        <v/>
      </c>
      <c r="D4454">
        <f>Prices!D4454</f>
        <v/>
      </c>
      <c r="E4454">
        <f>Prices!E4454</f>
        <v/>
      </c>
      <c r="F4454">
        <f>Prices!F4454</f>
        <v/>
      </c>
      <c r="G4454">
        <f>IF(AND(4452&gt;=16,TEXT(A4454,"yyyy-mm")&lt;&gt;TEXT(A4455,"yyyy-mm")),1,0)</f>
        <v/>
      </c>
      <c r="H4454">
        <f>IF(OR(H4453=1,G4454=1),1,0)</f>
        <v/>
      </c>
      <c r="I4454">
        <f>IF(H4453=0,1,SUMPRODUCT(J4453:N4453,B4454:F4454)+O4453*(1+0.00023125256064071564))</f>
        <v/>
      </c>
      <c r="J4454">
        <f>IF(G4454=1,0.2*R4454/B4454,J4453)</f>
        <v/>
      </c>
      <c r="K4454">
        <f>IF(G4454=1,0.2*R4454/C4454,K4453)</f>
        <v/>
      </c>
      <c r="L4454">
        <f>IF(G4454=1,0.2*R4454/D4454,L4453)</f>
        <v/>
      </c>
      <c r="M4454">
        <f>IF(G4454=1,0.2*R4454/E4454,M4453)</f>
        <v/>
      </c>
      <c r="N4454">
        <f>IF(G4454=1,0.2*R4454/F4454,N4453)</f>
        <v/>
      </c>
      <c r="O4454">
        <f>IF(G4454=1,R4454*(1-1.0),IF(H4453=0,1,O4453*(1+0.00023125256064071564)))</f>
        <v/>
      </c>
      <c r="P4454">
        <f>IF(G4454=1,IF(H4453=0,1,ABS(0.2-J4453*B4454/I4454)+ABS(0.2-K4453*C4454/I4454)+ABS(0.2-L4453*D4454/I4454)+ABS(0.2-M4453*E4454/I4454)+ABS(0.2-N4453*F4454/I4454)),0)</f>
        <v/>
      </c>
      <c r="Q4454">
        <f>P4454*0.0015</f>
        <v/>
      </c>
      <c r="R4454">
        <f>I4454*(1-Q4454)</f>
        <v/>
      </c>
      <c r="S4454">
        <f>R4454/R4453-1</f>
        <v/>
      </c>
      <c r="T4454">
        <f>MAX(T4453,R4454)</f>
        <v/>
      </c>
      <c r="U4454">
        <f>R4454/T4454-1</f>
        <v/>
      </c>
      <c r="V4454" t="n">
        <v>15.37290664816032</v>
      </c>
      <c r="W4454" s="5">
        <f>R4454-V4454</f>
        <v/>
      </c>
    </row>
    <row r="4455">
      <c r="A4455" s="3" t="n">
        <v>44999</v>
      </c>
      <c r="B4455">
        <f>Prices!B4455</f>
        <v/>
      </c>
      <c r="C4455">
        <f>Prices!C4455</f>
        <v/>
      </c>
      <c r="D4455">
        <f>Prices!D4455</f>
        <v/>
      </c>
      <c r="E4455">
        <f>Prices!E4455</f>
        <v/>
      </c>
      <c r="F4455">
        <f>Prices!F4455</f>
        <v/>
      </c>
      <c r="G4455">
        <f>IF(AND(4453&gt;=16,TEXT(A4455,"yyyy-mm")&lt;&gt;TEXT(A4456,"yyyy-mm")),1,0)</f>
        <v/>
      </c>
      <c r="H4455">
        <f>IF(OR(H4454=1,G4455=1),1,0)</f>
        <v/>
      </c>
      <c r="I4455">
        <f>IF(H4454=0,1,SUMPRODUCT(J4454:N4454,B4455:F4455)+O4454*(1+0.00023125256064071564))</f>
        <v/>
      </c>
      <c r="J4455">
        <f>IF(G4455=1,0.2*R4455/B4455,J4454)</f>
        <v/>
      </c>
      <c r="K4455">
        <f>IF(G4455=1,0.2*R4455/C4455,K4454)</f>
        <v/>
      </c>
      <c r="L4455">
        <f>IF(G4455=1,0.2*R4455/D4455,L4454)</f>
        <v/>
      </c>
      <c r="M4455">
        <f>IF(G4455=1,0.2*R4455/E4455,M4454)</f>
        <v/>
      </c>
      <c r="N4455">
        <f>IF(G4455=1,0.2*R4455/F4455,N4454)</f>
        <v/>
      </c>
      <c r="O4455">
        <f>IF(G4455=1,R4455*(1-1.0),IF(H4454=0,1,O4454*(1+0.00023125256064071564)))</f>
        <v/>
      </c>
      <c r="P4455">
        <f>IF(G4455=1,IF(H4454=0,1,ABS(0.2-J4454*B4455/I4455)+ABS(0.2-K4454*C4455/I4455)+ABS(0.2-L4454*D4455/I4455)+ABS(0.2-M4454*E4455/I4455)+ABS(0.2-N4454*F4455/I4455)),0)</f>
        <v/>
      </c>
      <c r="Q4455">
        <f>P4455*0.0015</f>
        <v/>
      </c>
      <c r="R4455">
        <f>I4455*(1-Q4455)</f>
        <v/>
      </c>
      <c r="S4455">
        <f>R4455/R4454-1</f>
        <v/>
      </c>
      <c r="T4455">
        <f>MAX(T4454,R4455)</f>
        <v/>
      </c>
      <c r="U4455">
        <f>R4455/T4455-1</f>
        <v/>
      </c>
      <c r="V4455" t="n">
        <v>15.25949287835292</v>
      </c>
      <c r="W4455" s="5">
        <f>R4455-V4455</f>
        <v/>
      </c>
    </row>
    <row r="4456">
      <c r="A4456" s="3" t="n">
        <v>45000</v>
      </c>
      <c r="B4456">
        <f>Prices!B4456</f>
        <v/>
      </c>
      <c r="C4456">
        <f>Prices!C4456</f>
        <v/>
      </c>
      <c r="D4456">
        <f>Prices!D4456</f>
        <v/>
      </c>
      <c r="E4456">
        <f>Prices!E4456</f>
        <v/>
      </c>
      <c r="F4456">
        <f>Prices!F4456</f>
        <v/>
      </c>
      <c r="G4456">
        <f>IF(AND(4454&gt;=16,TEXT(A4456,"yyyy-mm")&lt;&gt;TEXT(A4457,"yyyy-mm")),1,0)</f>
        <v/>
      </c>
      <c r="H4456">
        <f>IF(OR(H4455=1,G4456=1),1,0)</f>
        <v/>
      </c>
      <c r="I4456">
        <f>IF(H4455=0,1,SUMPRODUCT(J4455:N4455,B4456:F4456)+O4455*(1+0.00023125256064071564))</f>
        <v/>
      </c>
      <c r="J4456">
        <f>IF(G4456=1,0.2*R4456/B4456,J4455)</f>
        <v/>
      </c>
      <c r="K4456">
        <f>IF(G4456=1,0.2*R4456/C4456,K4455)</f>
        <v/>
      </c>
      <c r="L4456">
        <f>IF(G4456=1,0.2*R4456/D4456,L4455)</f>
        <v/>
      </c>
      <c r="M4456">
        <f>IF(G4456=1,0.2*R4456/E4456,M4455)</f>
        <v/>
      </c>
      <c r="N4456">
        <f>IF(G4456=1,0.2*R4456/F4456,N4455)</f>
        <v/>
      </c>
      <c r="O4456">
        <f>IF(G4456=1,R4456*(1-1.0),IF(H4455=0,1,O4455*(1+0.00023125256064071564)))</f>
        <v/>
      </c>
      <c r="P4456">
        <f>IF(G4456=1,IF(H4455=0,1,ABS(0.2-J4455*B4456/I4456)+ABS(0.2-K4455*C4456/I4456)+ABS(0.2-L4455*D4456/I4456)+ABS(0.2-M4455*E4456/I4456)+ABS(0.2-N4455*F4456/I4456)),0)</f>
        <v/>
      </c>
      <c r="Q4456">
        <f>P4456*0.0015</f>
        <v/>
      </c>
      <c r="R4456">
        <f>I4456*(1-Q4456)</f>
        <v/>
      </c>
      <c r="S4456">
        <f>R4456/R4455-1</f>
        <v/>
      </c>
      <c r="T4456">
        <f>MAX(T4455,R4456)</f>
        <v/>
      </c>
      <c r="U4456">
        <f>R4456/T4456-1</f>
        <v/>
      </c>
      <c r="V4456" t="n">
        <v>15.28961714710153</v>
      </c>
      <c r="W4456" s="5">
        <f>R4456-V4456</f>
        <v/>
      </c>
    </row>
    <row r="4457">
      <c r="A4457" s="3" t="n">
        <v>45001</v>
      </c>
      <c r="B4457">
        <f>Prices!B4457</f>
        <v/>
      </c>
      <c r="C4457">
        <f>Prices!C4457</f>
        <v/>
      </c>
      <c r="D4457">
        <f>Prices!D4457</f>
        <v/>
      </c>
      <c r="E4457">
        <f>Prices!E4457</f>
        <v/>
      </c>
      <c r="F4457">
        <f>Prices!F4457</f>
        <v/>
      </c>
      <c r="G4457">
        <f>IF(AND(4455&gt;=16,TEXT(A4457,"yyyy-mm")&lt;&gt;TEXT(A4458,"yyyy-mm")),1,0)</f>
        <v/>
      </c>
      <c r="H4457">
        <f>IF(OR(H4456=1,G4457=1),1,0)</f>
        <v/>
      </c>
      <c r="I4457">
        <f>IF(H4456=0,1,SUMPRODUCT(J4456:N4456,B4457:F4457)+O4456*(1+0.00023125256064071564))</f>
        <v/>
      </c>
      <c r="J4457">
        <f>IF(G4457=1,0.2*R4457/B4457,J4456)</f>
        <v/>
      </c>
      <c r="K4457">
        <f>IF(G4457=1,0.2*R4457/C4457,K4456)</f>
        <v/>
      </c>
      <c r="L4457">
        <f>IF(G4457=1,0.2*R4457/D4457,L4456)</f>
        <v/>
      </c>
      <c r="M4457">
        <f>IF(G4457=1,0.2*R4457/E4457,M4456)</f>
        <v/>
      </c>
      <c r="N4457">
        <f>IF(G4457=1,0.2*R4457/F4457,N4456)</f>
        <v/>
      </c>
      <c r="O4457">
        <f>IF(G4457=1,R4457*(1-1.0),IF(H4456=0,1,O4456*(1+0.00023125256064071564)))</f>
        <v/>
      </c>
      <c r="P4457">
        <f>IF(G4457=1,IF(H4456=0,1,ABS(0.2-J4456*B4457/I4457)+ABS(0.2-K4456*C4457/I4457)+ABS(0.2-L4456*D4457/I4457)+ABS(0.2-M4456*E4457/I4457)+ABS(0.2-N4456*F4457/I4457)),0)</f>
        <v/>
      </c>
      <c r="Q4457">
        <f>P4457*0.0015</f>
        <v/>
      </c>
      <c r="R4457">
        <f>I4457*(1-Q4457)</f>
        <v/>
      </c>
      <c r="S4457">
        <f>R4457/R4456-1</f>
        <v/>
      </c>
      <c r="T4457">
        <f>MAX(T4456,R4457)</f>
        <v/>
      </c>
      <c r="U4457">
        <f>R4457/T4457-1</f>
        <v/>
      </c>
      <c r="V4457" t="n">
        <v>15.26337327752154</v>
      </c>
      <c r="W4457" s="5">
        <f>R4457-V4457</f>
        <v/>
      </c>
    </row>
    <row r="4458">
      <c r="A4458" s="3" t="n">
        <v>45002</v>
      </c>
      <c r="B4458">
        <f>Prices!B4458</f>
        <v/>
      </c>
      <c r="C4458">
        <f>Prices!C4458</f>
        <v/>
      </c>
      <c r="D4458">
        <f>Prices!D4458</f>
        <v/>
      </c>
      <c r="E4458">
        <f>Prices!E4458</f>
        <v/>
      </c>
      <c r="F4458">
        <f>Prices!F4458</f>
        <v/>
      </c>
      <c r="G4458">
        <f>IF(AND(4456&gt;=16,TEXT(A4458,"yyyy-mm")&lt;&gt;TEXT(A4459,"yyyy-mm")),1,0)</f>
        <v/>
      </c>
      <c r="H4458">
        <f>IF(OR(H4457=1,G4458=1),1,0)</f>
        <v/>
      </c>
      <c r="I4458">
        <f>IF(H4457=0,1,SUMPRODUCT(J4457:N4457,B4458:F4458)+O4457*(1+0.00023125256064071564))</f>
        <v/>
      </c>
      <c r="J4458">
        <f>IF(G4458=1,0.2*R4458/B4458,J4457)</f>
        <v/>
      </c>
      <c r="K4458">
        <f>IF(G4458=1,0.2*R4458/C4458,K4457)</f>
        <v/>
      </c>
      <c r="L4458">
        <f>IF(G4458=1,0.2*R4458/D4458,L4457)</f>
        <v/>
      </c>
      <c r="M4458">
        <f>IF(G4458=1,0.2*R4458/E4458,M4457)</f>
        <v/>
      </c>
      <c r="N4458">
        <f>IF(G4458=1,0.2*R4458/F4458,N4457)</f>
        <v/>
      </c>
      <c r="O4458">
        <f>IF(G4458=1,R4458*(1-1.0),IF(H4457=0,1,O4457*(1+0.00023125256064071564)))</f>
        <v/>
      </c>
      <c r="P4458">
        <f>IF(G4458=1,IF(H4457=0,1,ABS(0.2-J4457*B4458/I4458)+ABS(0.2-K4457*C4458/I4458)+ABS(0.2-L4457*D4458/I4458)+ABS(0.2-M4457*E4458/I4458)+ABS(0.2-N4457*F4458/I4458)),0)</f>
        <v/>
      </c>
      <c r="Q4458">
        <f>P4458*0.0015</f>
        <v/>
      </c>
      <c r="R4458">
        <f>I4458*(1-Q4458)</f>
        <v/>
      </c>
      <c r="S4458">
        <f>R4458/R4457-1</f>
        <v/>
      </c>
      <c r="T4458">
        <f>MAX(T4457,R4458)</f>
        <v/>
      </c>
      <c r="U4458">
        <f>R4458/T4458-1</f>
        <v/>
      </c>
      <c r="V4458" t="n">
        <v>15.35343885348345</v>
      </c>
      <c r="W4458" s="5">
        <f>R4458-V4458</f>
        <v/>
      </c>
    </row>
    <row r="4459">
      <c r="A4459" s="3" t="n">
        <v>45005</v>
      </c>
      <c r="B4459">
        <f>Prices!B4459</f>
        <v/>
      </c>
      <c r="C4459">
        <f>Prices!C4459</f>
        <v/>
      </c>
      <c r="D4459">
        <f>Prices!D4459</f>
        <v/>
      </c>
      <c r="E4459">
        <f>Prices!E4459</f>
        <v/>
      </c>
      <c r="F4459">
        <f>Prices!F4459</f>
        <v/>
      </c>
      <c r="G4459">
        <f>IF(AND(4457&gt;=16,TEXT(A4459,"yyyy-mm")&lt;&gt;TEXT(A4460,"yyyy-mm")),1,0)</f>
        <v/>
      </c>
      <c r="H4459">
        <f>IF(OR(H4458=1,G4459=1),1,0)</f>
        <v/>
      </c>
      <c r="I4459">
        <f>IF(H4458=0,1,SUMPRODUCT(J4458:N4458,B4459:F4459)+O4458*(1+0.00023125256064071564))</f>
        <v/>
      </c>
      <c r="J4459">
        <f>IF(G4459=1,0.2*R4459/B4459,J4458)</f>
        <v/>
      </c>
      <c r="K4459">
        <f>IF(G4459=1,0.2*R4459/C4459,K4458)</f>
        <v/>
      </c>
      <c r="L4459">
        <f>IF(G4459=1,0.2*R4459/D4459,L4458)</f>
        <v/>
      </c>
      <c r="M4459">
        <f>IF(G4459=1,0.2*R4459/E4459,M4458)</f>
        <v/>
      </c>
      <c r="N4459">
        <f>IF(G4459=1,0.2*R4459/F4459,N4458)</f>
        <v/>
      </c>
      <c r="O4459">
        <f>IF(G4459=1,R4459*(1-1.0),IF(H4458=0,1,O4458*(1+0.00023125256064071564)))</f>
        <v/>
      </c>
      <c r="P4459">
        <f>IF(G4459=1,IF(H4458=0,1,ABS(0.2-J4458*B4459/I4459)+ABS(0.2-K4458*C4459/I4459)+ABS(0.2-L4458*D4459/I4459)+ABS(0.2-M4458*E4459/I4459)+ABS(0.2-N4458*F4459/I4459)),0)</f>
        <v/>
      </c>
      <c r="Q4459">
        <f>P4459*0.0015</f>
        <v/>
      </c>
      <c r="R4459">
        <f>I4459*(1-Q4459)</f>
        <v/>
      </c>
      <c r="S4459">
        <f>R4459/R4458-1</f>
        <v/>
      </c>
      <c r="T4459">
        <f>MAX(T4458,R4459)</f>
        <v/>
      </c>
      <c r="U4459">
        <f>R4459/T4459-1</f>
        <v/>
      </c>
      <c r="V4459" t="n">
        <v>15.20161380682939</v>
      </c>
      <c r="W4459" s="5">
        <f>R4459-V4459</f>
        <v/>
      </c>
    </row>
    <row r="4460">
      <c r="A4460" s="3" t="n">
        <v>45006</v>
      </c>
      <c r="B4460">
        <f>Prices!B4460</f>
        <v/>
      </c>
      <c r="C4460">
        <f>Prices!C4460</f>
        <v/>
      </c>
      <c r="D4460">
        <f>Prices!D4460</f>
        <v/>
      </c>
      <c r="E4460">
        <f>Prices!E4460</f>
        <v/>
      </c>
      <c r="F4460">
        <f>Prices!F4460</f>
        <v/>
      </c>
      <c r="G4460">
        <f>IF(AND(4458&gt;=16,TEXT(A4460,"yyyy-mm")&lt;&gt;TEXT(A4461,"yyyy-mm")),1,0)</f>
        <v/>
      </c>
      <c r="H4460">
        <f>IF(OR(H4459=1,G4460=1),1,0)</f>
        <v/>
      </c>
      <c r="I4460">
        <f>IF(H4459=0,1,SUMPRODUCT(J4459:N4459,B4460:F4460)+O4459*(1+0.00023125256064071564))</f>
        <v/>
      </c>
      <c r="J4460">
        <f>IF(G4460=1,0.2*R4460/B4460,J4459)</f>
        <v/>
      </c>
      <c r="K4460">
        <f>IF(G4460=1,0.2*R4460/C4460,K4459)</f>
        <v/>
      </c>
      <c r="L4460">
        <f>IF(G4460=1,0.2*R4460/D4460,L4459)</f>
        <v/>
      </c>
      <c r="M4460">
        <f>IF(G4460=1,0.2*R4460/E4460,M4459)</f>
        <v/>
      </c>
      <c r="N4460">
        <f>IF(G4460=1,0.2*R4460/F4460,N4459)</f>
        <v/>
      </c>
      <c r="O4460">
        <f>IF(G4460=1,R4460*(1-1.0),IF(H4459=0,1,O4459*(1+0.00023125256064071564)))</f>
        <v/>
      </c>
      <c r="P4460">
        <f>IF(G4460=1,IF(H4459=0,1,ABS(0.2-J4459*B4460/I4460)+ABS(0.2-K4459*C4460/I4460)+ABS(0.2-L4459*D4460/I4460)+ABS(0.2-M4459*E4460/I4460)+ABS(0.2-N4459*F4460/I4460)),0)</f>
        <v/>
      </c>
      <c r="Q4460">
        <f>P4460*0.0015</f>
        <v/>
      </c>
      <c r="R4460">
        <f>I4460*(1-Q4460)</f>
        <v/>
      </c>
      <c r="S4460">
        <f>R4460/R4459-1</f>
        <v/>
      </c>
      <c r="T4460">
        <f>MAX(T4459,R4460)</f>
        <v/>
      </c>
      <c r="U4460">
        <f>R4460/T4460-1</f>
        <v/>
      </c>
      <c r="V4460" t="n">
        <v>15.28941984083229</v>
      </c>
      <c r="W4460" s="5">
        <f>R4460-V4460</f>
        <v/>
      </c>
    </row>
    <row r="4461">
      <c r="A4461" s="3" t="n">
        <v>45007</v>
      </c>
      <c r="B4461">
        <f>Prices!B4461</f>
        <v/>
      </c>
      <c r="C4461">
        <f>Prices!C4461</f>
        <v/>
      </c>
      <c r="D4461">
        <f>Prices!D4461</f>
        <v/>
      </c>
      <c r="E4461">
        <f>Prices!E4461</f>
        <v/>
      </c>
      <c r="F4461">
        <f>Prices!F4461</f>
        <v/>
      </c>
      <c r="G4461">
        <f>IF(AND(4459&gt;=16,TEXT(A4461,"yyyy-mm")&lt;&gt;TEXT(A4462,"yyyy-mm")),1,0)</f>
        <v/>
      </c>
      <c r="H4461">
        <f>IF(OR(H4460=1,G4461=1),1,0)</f>
        <v/>
      </c>
      <c r="I4461">
        <f>IF(H4460=0,1,SUMPRODUCT(J4460:N4460,B4461:F4461)+O4460*(1+0.00023125256064071564))</f>
        <v/>
      </c>
      <c r="J4461">
        <f>IF(G4461=1,0.2*R4461/B4461,J4460)</f>
        <v/>
      </c>
      <c r="K4461">
        <f>IF(G4461=1,0.2*R4461/C4461,K4460)</f>
        <v/>
      </c>
      <c r="L4461">
        <f>IF(G4461=1,0.2*R4461/D4461,L4460)</f>
        <v/>
      </c>
      <c r="M4461">
        <f>IF(G4461=1,0.2*R4461/E4461,M4460)</f>
        <v/>
      </c>
      <c r="N4461">
        <f>IF(G4461=1,0.2*R4461/F4461,N4460)</f>
        <v/>
      </c>
      <c r="O4461">
        <f>IF(G4461=1,R4461*(1-1.0),IF(H4460=0,1,O4460*(1+0.00023125256064071564)))</f>
        <v/>
      </c>
      <c r="P4461">
        <f>IF(G4461=1,IF(H4460=0,1,ABS(0.2-J4460*B4461/I4461)+ABS(0.2-K4460*C4461/I4461)+ABS(0.2-L4460*D4461/I4461)+ABS(0.2-M4460*E4461/I4461)+ABS(0.2-N4460*F4461/I4461)),0)</f>
        <v/>
      </c>
      <c r="Q4461">
        <f>P4461*0.0015</f>
        <v/>
      </c>
      <c r="R4461">
        <f>I4461*(1-Q4461)</f>
        <v/>
      </c>
      <c r="S4461">
        <f>R4461/R4460-1</f>
        <v/>
      </c>
      <c r="T4461">
        <f>MAX(T4460,R4461)</f>
        <v/>
      </c>
      <c r="U4461">
        <f>R4461/T4461-1</f>
        <v/>
      </c>
      <c r="V4461" t="n">
        <v>15.33935241062223</v>
      </c>
      <c r="W4461" s="5">
        <f>R4461-V4461</f>
        <v/>
      </c>
    </row>
    <row r="4462">
      <c r="A4462" s="3" t="n">
        <v>45008</v>
      </c>
      <c r="B4462">
        <f>Prices!B4462</f>
        <v/>
      </c>
      <c r="C4462">
        <f>Prices!C4462</f>
        <v/>
      </c>
      <c r="D4462">
        <f>Prices!D4462</f>
        <v/>
      </c>
      <c r="E4462">
        <f>Prices!E4462</f>
        <v/>
      </c>
      <c r="F4462">
        <f>Prices!F4462</f>
        <v/>
      </c>
      <c r="G4462">
        <f>IF(AND(4460&gt;=16,TEXT(A4462,"yyyy-mm")&lt;&gt;TEXT(A4463,"yyyy-mm")),1,0)</f>
        <v/>
      </c>
      <c r="H4462">
        <f>IF(OR(H4461=1,G4462=1),1,0)</f>
        <v/>
      </c>
      <c r="I4462">
        <f>IF(H4461=0,1,SUMPRODUCT(J4461:N4461,B4462:F4462)+O4461*(1+0.00023125256064071564))</f>
        <v/>
      </c>
      <c r="J4462">
        <f>IF(G4462=1,0.2*R4462/B4462,J4461)</f>
        <v/>
      </c>
      <c r="K4462">
        <f>IF(G4462=1,0.2*R4462/C4462,K4461)</f>
        <v/>
      </c>
      <c r="L4462">
        <f>IF(G4462=1,0.2*R4462/D4462,L4461)</f>
        <v/>
      </c>
      <c r="M4462">
        <f>IF(G4462=1,0.2*R4462/E4462,M4461)</f>
        <v/>
      </c>
      <c r="N4462">
        <f>IF(G4462=1,0.2*R4462/F4462,N4461)</f>
        <v/>
      </c>
      <c r="O4462">
        <f>IF(G4462=1,R4462*(1-1.0),IF(H4461=0,1,O4461*(1+0.00023125256064071564)))</f>
        <v/>
      </c>
      <c r="P4462">
        <f>IF(G4462=1,IF(H4461=0,1,ABS(0.2-J4461*B4462/I4462)+ABS(0.2-K4461*C4462/I4462)+ABS(0.2-L4461*D4462/I4462)+ABS(0.2-M4461*E4462/I4462)+ABS(0.2-N4461*F4462/I4462)),0)</f>
        <v/>
      </c>
      <c r="Q4462">
        <f>P4462*0.0015</f>
        <v/>
      </c>
      <c r="R4462">
        <f>I4462*(1-Q4462)</f>
        <v/>
      </c>
      <c r="S4462">
        <f>R4462/R4461-1</f>
        <v/>
      </c>
      <c r="T4462">
        <f>MAX(T4461,R4462)</f>
        <v/>
      </c>
      <c r="U4462">
        <f>R4462/T4462-1</f>
        <v/>
      </c>
      <c r="V4462" t="n">
        <v>15.26600334157622</v>
      </c>
      <c r="W4462" s="5">
        <f>R4462-V4462</f>
        <v/>
      </c>
    </row>
    <row r="4463">
      <c r="A4463" s="3" t="n">
        <v>45009</v>
      </c>
      <c r="B4463">
        <f>Prices!B4463</f>
        <v/>
      </c>
      <c r="C4463">
        <f>Prices!C4463</f>
        <v/>
      </c>
      <c r="D4463">
        <f>Prices!D4463</f>
        <v/>
      </c>
      <c r="E4463">
        <f>Prices!E4463</f>
        <v/>
      </c>
      <c r="F4463">
        <f>Prices!F4463</f>
        <v/>
      </c>
      <c r="G4463">
        <f>IF(AND(4461&gt;=16,TEXT(A4463,"yyyy-mm")&lt;&gt;TEXT(A4464,"yyyy-mm")),1,0)</f>
        <v/>
      </c>
      <c r="H4463">
        <f>IF(OR(H4462=1,G4463=1),1,0)</f>
        <v/>
      </c>
      <c r="I4463">
        <f>IF(H4462=0,1,SUMPRODUCT(J4462:N4462,B4463:F4463)+O4462*(1+0.00023125256064071564))</f>
        <v/>
      </c>
      <c r="J4463">
        <f>IF(G4463=1,0.2*R4463/B4463,J4462)</f>
        <v/>
      </c>
      <c r="K4463">
        <f>IF(G4463=1,0.2*R4463/C4463,K4462)</f>
        <v/>
      </c>
      <c r="L4463">
        <f>IF(G4463=1,0.2*R4463/D4463,L4462)</f>
        <v/>
      </c>
      <c r="M4463">
        <f>IF(G4463=1,0.2*R4463/E4463,M4462)</f>
        <v/>
      </c>
      <c r="N4463">
        <f>IF(G4463=1,0.2*R4463/F4463,N4462)</f>
        <v/>
      </c>
      <c r="O4463">
        <f>IF(G4463=1,R4463*(1-1.0),IF(H4462=0,1,O4462*(1+0.00023125256064071564)))</f>
        <v/>
      </c>
      <c r="P4463">
        <f>IF(G4463=1,IF(H4462=0,1,ABS(0.2-J4462*B4463/I4463)+ABS(0.2-K4462*C4463/I4463)+ABS(0.2-L4462*D4463/I4463)+ABS(0.2-M4462*E4463/I4463)+ABS(0.2-N4462*F4463/I4463)),0)</f>
        <v/>
      </c>
      <c r="Q4463">
        <f>P4463*0.0015</f>
        <v/>
      </c>
      <c r="R4463">
        <f>I4463*(1-Q4463)</f>
        <v/>
      </c>
      <c r="S4463">
        <f>R4463/R4462-1</f>
        <v/>
      </c>
      <c r="T4463">
        <f>MAX(T4462,R4463)</f>
        <v/>
      </c>
      <c r="U4463">
        <f>R4463/T4463-1</f>
        <v/>
      </c>
      <c r="V4463" t="n">
        <v>15.093653721014</v>
      </c>
      <c r="W4463" s="5">
        <f>R4463-V4463</f>
        <v/>
      </c>
    </row>
    <row r="4464">
      <c r="A4464" s="3" t="n">
        <v>45012</v>
      </c>
      <c r="B4464">
        <f>Prices!B4464</f>
        <v/>
      </c>
      <c r="C4464">
        <f>Prices!C4464</f>
        <v/>
      </c>
      <c r="D4464">
        <f>Prices!D4464</f>
        <v/>
      </c>
      <c r="E4464">
        <f>Prices!E4464</f>
        <v/>
      </c>
      <c r="F4464">
        <f>Prices!F4464</f>
        <v/>
      </c>
      <c r="G4464">
        <f>IF(AND(4462&gt;=16,TEXT(A4464,"yyyy-mm")&lt;&gt;TEXT(A4465,"yyyy-mm")),1,0)</f>
        <v/>
      </c>
      <c r="H4464">
        <f>IF(OR(H4463=1,G4464=1),1,0)</f>
        <v/>
      </c>
      <c r="I4464">
        <f>IF(H4463=0,1,SUMPRODUCT(J4463:N4463,B4464:F4464)+O4463*(1+0.00023125256064071564))</f>
        <v/>
      </c>
      <c r="J4464">
        <f>IF(G4464=1,0.2*R4464/B4464,J4463)</f>
        <v/>
      </c>
      <c r="K4464">
        <f>IF(G4464=1,0.2*R4464/C4464,K4463)</f>
        <v/>
      </c>
      <c r="L4464">
        <f>IF(G4464=1,0.2*R4464/D4464,L4463)</f>
        <v/>
      </c>
      <c r="M4464">
        <f>IF(G4464=1,0.2*R4464/E4464,M4463)</f>
        <v/>
      </c>
      <c r="N4464">
        <f>IF(G4464=1,0.2*R4464/F4464,N4463)</f>
        <v/>
      </c>
      <c r="O4464">
        <f>IF(G4464=1,R4464*(1-1.0),IF(H4463=0,1,O4463*(1+0.00023125256064071564)))</f>
        <v/>
      </c>
      <c r="P4464">
        <f>IF(G4464=1,IF(H4463=0,1,ABS(0.2-J4463*B4464/I4464)+ABS(0.2-K4463*C4464/I4464)+ABS(0.2-L4463*D4464/I4464)+ABS(0.2-M4463*E4464/I4464)+ABS(0.2-N4463*F4464/I4464)),0)</f>
        <v/>
      </c>
      <c r="Q4464">
        <f>P4464*0.0015</f>
        <v/>
      </c>
      <c r="R4464">
        <f>I4464*(1-Q4464)</f>
        <v/>
      </c>
      <c r="S4464">
        <f>R4464/R4463-1</f>
        <v/>
      </c>
      <c r="T4464">
        <f>MAX(T4463,R4464)</f>
        <v/>
      </c>
      <c r="U4464">
        <f>R4464/T4464-1</f>
        <v/>
      </c>
      <c r="V4464" t="n">
        <v>15.0197250296726</v>
      </c>
      <c r="W4464" s="5">
        <f>R4464-V4464</f>
        <v/>
      </c>
    </row>
    <row r="4465">
      <c r="A4465" s="3" t="n">
        <v>45013</v>
      </c>
      <c r="B4465">
        <f>Prices!B4465</f>
        <v/>
      </c>
      <c r="C4465">
        <f>Prices!C4465</f>
        <v/>
      </c>
      <c r="D4465">
        <f>Prices!D4465</f>
        <v/>
      </c>
      <c r="E4465">
        <f>Prices!E4465</f>
        <v/>
      </c>
      <c r="F4465">
        <f>Prices!F4465</f>
        <v/>
      </c>
      <c r="G4465">
        <f>IF(AND(4463&gt;=16,TEXT(A4465,"yyyy-mm")&lt;&gt;TEXT(A4466,"yyyy-mm")),1,0)</f>
        <v/>
      </c>
      <c r="H4465">
        <f>IF(OR(H4464=1,G4465=1),1,0)</f>
        <v/>
      </c>
      <c r="I4465">
        <f>IF(H4464=0,1,SUMPRODUCT(J4464:N4464,B4465:F4465)+O4464*(1+0.00023125256064071564))</f>
        <v/>
      </c>
      <c r="J4465">
        <f>IF(G4465=1,0.2*R4465/B4465,J4464)</f>
        <v/>
      </c>
      <c r="K4465">
        <f>IF(G4465=1,0.2*R4465/C4465,K4464)</f>
        <v/>
      </c>
      <c r="L4465">
        <f>IF(G4465=1,0.2*R4465/D4465,L4464)</f>
        <v/>
      </c>
      <c r="M4465">
        <f>IF(G4465=1,0.2*R4465/E4465,M4464)</f>
        <v/>
      </c>
      <c r="N4465">
        <f>IF(G4465=1,0.2*R4465/F4465,N4464)</f>
        <v/>
      </c>
      <c r="O4465">
        <f>IF(G4465=1,R4465*(1-1.0),IF(H4464=0,1,O4464*(1+0.00023125256064071564)))</f>
        <v/>
      </c>
      <c r="P4465">
        <f>IF(G4465=1,IF(H4464=0,1,ABS(0.2-J4464*B4465/I4465)+ABS(0.2-K4464*C4465/I4465)+ABS(0.2-L4464*D4465/I4465)+ABS(0.2-M4464*E4465/I4465)+ABS(0.2-N4464*F4465/I4465)),0)</f>
        <v/>
      </c>
      <c r="Q4465">
        <f>P4465*0.0015</f>
        <v/>
      </c>
      <c r="R4465">
        <f>I4465*(1-Q4465)</f>
        <v/>
      </c>
      <c r="S4465">
        <f>R4465/R4464-1</f>
        <v/>
      </c>
      <c r="T4465">
        <f>MAX(T4464,R4465)</f>
        <v/>
      </c>
      <c r="U4465">
        <f>R4465/T4465-1</f>
        <v/>
      </c>
      <c r="V4465" t="n">
        <v>14.96575831630688</v>
      </c>
      <c r="W4465" s="5">
        <f>R4465-V4465</f>
        <v/>
      </c>
    </row>
    <row r="4466">
      <c r="A4466" s="3" t="n">
        <v>45014</v>
      </c>
      <c r="B4466">
        <f>Prices!B4466</f>
        <v/>
      </c>
      <c r="C4466">
        <f>Prices!C4466</f>
        <v/>
      </c>
      <c r="D4466">
        <f>Prices!D4466</f>
        <v/>
      </c>
      <c r="E4466">
        <f>Prices!E4466</f>
        <v/>
      </c>
      <c r="F4466">
        <f>Prices!F4466</f>
        <v/>
      </c>
      <c r="G4466">
        <f>IF(AND(4464&gt;=16,TEXT(A4466,"yyyy-mm")&lt;&gt;TEXT(A4467,"yyyy-mm")),1,0)</f>
        <v/>
      </c>
      <c r="H4466">
        <f>IF(OR(H4465=1,G4466=1),1,0)</f>
        <v/>
      </c>
      <c r="I4466">
        <f>IF(H4465=0,1,SUMPRODUCT(J4465:N4465,B4466:F4466)+O4465*(1+0.00023125256064071564))</f>
        <v/>
      </c>
      <c r="J4466">
        <f>IF(G4466=1,0.2*R4466/B4466,J4465)</f>
        <v/>
      </c>
      <c r="K4466">
        <f>IF(G4466=1,0.2*R4466/C4466,K4465)</f>
        <v/>
      </c>
      <c r="L4466">
        <f>IF(G4466=1,0.2*R4466/D4466,L4465)</f>
        <v/>
      </c>
      <c r="M4466">
        <f>IF(G4466=1,0.2*R4466/E4466,M4465)</f>
        <v/>
      </c>
      <c r="N4466">
        <f>IF(G4466=1,0.2*R4466/F4466,N4465)</f>
        <v/>
      </c>
      <c r="O4466">
        <f>IF(G4466=1,R4466*(1-1.0),IF(H4465=0,1,O4465*(1+0.00023125256064071564)))</f>
        <v/>
      </c>
      <c r="P4466">
        <f>IF(G4466=1,IF(H4465=0,1,ABS(0.2-J4465*B4466/I4466)+ABS(0.2-K4465*C4466/I4466)+ABS(0.2-L4465*D4466/I4466)+ABS(0.2-M4465*E4466/I4466)+ABS(0.2-N4465*F4466/I4466)),0)</f>
        <v/>
      </c>
      <c r="Q4466">
        <f>P4466*0.0015</f>
        <v/>
      </c>
      <c r="R4466">
        <f>I4466*(1-Q4466)</f>
        <v/>
      </c>
      <c r="S4466">
        <f>R4466/R4465-1</f>
        <v/>
      </c>
      <c r="T4466">
        <f>MAX(T4465,R4466)</f>
        <v/>
      </c>
      <c r="U4466">
        <f>R4466/T4466-1</f>
        <v/>
      </c>
      <c r="V4466" t="n">
        <v>15.22560601699028</v>
      </c>
      <c r="W4466" s="5">
        <f>R4466-V4466</f>
        <v/>
      </c>
    </row>
    <row r="4467">
      <c r="A4467" s="3" t="n">
        <v>45016</v>
      </c>
      <c r="B4467">
        <f>Prices!B4467</f>
        <v/>
      </c>
      <c r="C4467">
        <f>Prices!C4467</f>
        <v/>
      </c>
      <c r="D4467">
        <f>Prices!D4467</f>
        <v/>
      </c>
      <c r="E4467">
        <f>Prices!E4467</f>
        <v/>
      </c>
      <c r="F4467">
        <f>Prices!F4467</f>
        <v/>
      </c>
      <c r="G4467">
        <f>IF(AND(4465&gt;=16,TEXT(A4467,"yyyy-mm")&lt;&gt;TEXT(A4468,"yyyy-mm")),1,0)</f>
        <v/>
      </c>
      <c r="H4467">
        <f>IF(OR(H4466=1,G4467=1),1,0)</f>
        <v/>
      </c>
      <c r="I4467">
        <f>IF(H4466=0,1,SUMPRODUCT(J4466:N4466,B4467:F4467)+O4466*(1+0.00023125256064071564))</f>
        <v/>
      </c>
      <c r="J4467">
        <f>IF(G4467=1,0.2*R4467/B4467,J4466)</f>
        <v/>
      </c>
      <c r="K4467">
        <f>IF(G4467=1,0.2*R4467/C4467,K4466)</f>
        <v/>
      </c>
      <c r="L4467">
        <f>IF(G4467=1,0.2*R4467/D4467,L4466)</f>
        <v/>
      </c>
      <c r="M4467">
        <f>IF(G4467=1,0.2*R4467/E4467,M4466)</f>
        <v/>
      </c>
      <c r="N4467">
        <f>IF(G4467=1,0.2*R4467/F4467,N4466)</f>
        <v/>
      </c>
      <c r="O4467">
        <f>IF(G4467=1,R4467*(1-1.0),IF(H4466=0,1,O4466*(1+0.00023125256064071564)))</f>
        <v/>
      </c>
      <c r="P4467">
        <f>IF(G4467=1,IF(H4466=0,1,ABS(0.2-J4466*B4467/I4467)+ABS(0.2-K4466*C4467/I4467)+ABS(0.2-L4466*D4467/I4467)+ABS(0.2-M4466*E4467/I4467)+ABS(0.2-N4466*F4467/I4467)),0)</f>
        <v/>
      </c>
      <c r="Q4467">
        <f>P4467*0.0015</f>
        <v/>
      </c>
      <c r="R4467">
        <f>I4467*(1-Q4467)</f>
        <v/>
      </c>
      <c r="S4467">
        <f>R4467/R4466-1</f>
        <v/>
      </c>
      <c r="T4467">
        <f>MAX(T4466,R4467)</f>
        <v/>
      </c>
      <c r="U4467">
        <f>R4467/T4467-1</f>
        <v/>
      </c>
      <c r="V4467" t="n">
        <v>15.36461810316795</v>
      </c>
      <c r="W4467" s="5">
        <f>R4467-V4467</f>
        <v/>
      </c>
    </row>
    <row r="4468">
      <c r="A4468" s="3" t="n">
        <v>45019</v>
      </c>
      <c r="B4468">
        <f>Prices!B4468</f>
        <v/>
      </c>
      <c r="C4468">
        <f>Prices!C4468</f>
        <v/>
      </c>
      <c r="D4468">
        <f>Prices!D4468</f>
        <v/>
      </c>
      <c r="E4468">
        <f>Prices!E4468</f>
        <v/>
      </c>
      <c r="F4468">
        <f>Prices!F4468</f>
        <v/>
      </c>
      <c r="G4468">
        <f>IF(AND(4466&gt;=16,TEXT(A4468,"yyyy-mm")&lt;&gt;TEXT(A4469,"yyyy-mm")),1,0)</f>
        <v/>
      </c>
      <c r="H4468">
        <f>IF(OR(H4467=1,G4468=1),1,0)</f>
        <v/>
      </c>
      <c r="I4468">
        <f>IF(H4467=0,1,SUMPRODUCT(J4467:N4467,B4468:F4468)+O4467*(1+0.00023125256064071564))</f>
        <v/>
      </c>
      <c r="J4468">
        <f>IF(G4468=1,0.2*R4468/B4468,J4467)</f>
        <v/>
      </c>
      <c r="K4468">
        <f>IF(G4468=1,0.2*R4468/C4468,K4467)</f>
        <v/>
      </c>
      <c r="L4468">
        <f>IF(G4468=1,0.2*R4468/D4468,L4467)</f>
        <v/>
      </c>
      <c r="M4468">
        <f>IF(G4468=1,0.2*R4468/E4468,M4467)</f>
        <v/>
      </c>
      <c r="N4468">
        <f>IF(G4468=1,0.2*R4468/F4468,N4467)</f>
        <v/>
      </c>
      <c r="O4468">
        <f>IF(G4468=1,R4468*(1-1.0),IF(H4467=0,1,O4467*(1+0.00023125256064071564)))</f>
        <v/>
      </c>
      <c r="P4468">
        <f>IF(G4468=1,IF(H4467=0,1,ABS(0.2-J4467*B4468/I4468)+ABS(0.2-K4467*C4468/I4468)+ABS(0.2-L4467*D4468/I4468)+ABS(0.2-M4467*E4468/I4468)+ABS(0.2-N4467*F4468/I4468)),0)</f>
        <v/>
      </c>
      <c r="Q4468">
        <f>P4468*0.0015</f>
        <v/>
      </c>
      <c r="R4468">
        <f>I4468*(1-Q4468)</f>
        <v/>
      </c>
      <c r="S4468">
        <f>R4468/R4467-1</f>
        <v/>
      </c>
      <c r="T4468">
        <f>MAX(T4467,R4468)</f>
        <v/>
      </c>
      <c r="U4468">
        <f>R4468/T4468-1</f>
        <v/>
      </c>
      <c r="V4468" t="n">
        <v>15.43058306552133</v>
      </c>
      <c r="W4468" s="5">
        <f>R4468-V4468</f>
        <v/>
      </c>
    </row>
    <row r="4469">
      <c r="A4469" s="3" t="n">
        <v>45021</v>
      </c>
      <c r="B4469">
        <f>Prices!B4469</f>
        <v/>
      </c>
      <c r="C4469">
        <f>Prices!C4469</f>
        <v/>
      </c>
      <c r="D4469">
        <f>Prices!D4469</f>
        <v/>
      </c>
      <c r="E4469">
        <f>Prices!E4469</f>
        <v/>
      </c>
      <c r="F4469">
        <f>Prices!F4469</f>
        <v/>
      </c>
      <c r="G4469">
        <f>IF(AND(4467&gt;=16,TEXT(A4469,"yyyy-mm")&lt;&gt;TEXT(A4470,"yyyy-mm")),1,0)</f>
        <v/>
      </c>
      <c r="H4469">
        <f>IF(OR(H4468=1,G4469=1),1,0)</f>
        <v/>
      </c>
      <c r="I4469">
        <f>IF(H4468=0,1,SUMPRODUCT(J4468:N4468,B4469:F4469)+O4468*(1+0.00023125256064071564))</f>
        <v/>
      </c>
      <c r="J4469">
        <f>IF(G4469=1,0.2*R4469/B4469,J4468)</f>
        <v/>
      </c>
      <c r="K4469">
        <f>IF(G4469=1,0.2*R4469/C4469,K4468)</f>
        <v/>
      </c>
      <c r="L4469">
        <f>IF(G4469=1,0.2*R4469/D4469,L4468)</f>
        <v/>
      </c>
      <c r="M4469">
        <f>IF(G4469=1,0.2*R4469/E4469,M4468)</f>
        <v/>
      </c>
      <c r="N4469">
        <f>IF(G4469=1,0.2*R4469/F4469,N4468)</f>
        <v/>
      </c>
      <c r="O4469">
        <f>IF(G4469=1,R4469*(1-1.0),IF(H4468=0,1,O4468*(1+0.00023125256064071564)))</f>
        <v/>
      </c>
      <c r="P4469">
        <f>IF(G4469=1,IF(H4468=0,1,ABS(0.2-J4468*B4469/I4469)+ABS(0.2-K4468*C4469/I4469)+ABS(0.2-L4468*D4469/I4469)+ABS(0.2-M4468*E4469/I4469)+ABS(0.2-N4468*F4469/I4469)),0)</f>
        <v/>
      </c>
      <c r="Q4469">
        <f>P4469*0.0015</f>
        <v/>
      </c>
      <c r="R4469">
        <f>I4469*(1-Q4469)</f>
        <v/>
      </c>
      <c r="S4469">
        <f>R4469/R4468-1</f>
        <v/>
      </c>
      <c r="T4469">
        <f>MAX(T4468,R4469)</f>
        <v/>
      </c>
      <c r="U4469">
        <f>R4469/T4469-1</f>
        <v/>
      </c>
      <c r="V4469" t="n">
        <v>15.48587259222627</v>
      </c>
      <c r="W4469" s="5">
        <f>R4469-V4469</f>
        <v/>
      </c>
    </row>
    <row r="4470">
      <c r="A4470" s="3" t="n">
        <v>45022</v>
      </c>
      <c r="B4470">
        <f>Prices!B4470</f>
        <v/>
      </c>
      <c r="C4470">
        <f>Prices!C4470</f>
        <v/>
      </c>
      <c r="D4470">
        <f>Prices!D4470</f>
        <v/>
      </c>
      <c r="E4470">
        <f>Prices!E4470</f>
        <v/>
      </c>
      <c r="F4470">
        <f>Prices!F4470</f>
        <v/>
      </c>
      <c r="G4470">
        <f>IF(AND(4468&gt;=16,TEXT(A4470,"yyyy-mm")&lt;&gt;TEXT(A4471,"yyyy-mm")),1,0)</f>
        <v/>
      </c>
      <c r="H4470">
        <f>IF(OR(H4469=1,G4470=1),1,0)</f>
        <v/>
      </c>
      <c r="I4470">
        <f>IF(H4469=0,1,SUMPRODUCT(J4469:N4469,B4470:F4470)+O4469*(1+0.00023125256064071564))</f>
        <v/>
      </c>
      <c r="J4470">
        <f>IF(G4470=1,0.2*R4470/B4470,J4469)</f>
        <v/>
      </c>
      <c r="K4470">
        <f>IF(G4470=1,0.2*R4470/C4470,K4469)</f>
        <v/>
      </c>
      <c r="L4470">
        <f>IF(G4470=1,0.2*R4470/D4470,L4469)</f>
        <v/>
      </c>
      <c r="M4470">
        <f>IF(G4470=1,0.2*R4470/E4470,M4469)</f>
        <v/>
      </c>
      <c r="N4470">
        <f>IF(G4470=1,0.2*R4470/F4470,N4469)</f>
        <v/>
      </c>
      <c r="O4470">
        <f>IF(G4470=1,R4470*(1-1.0),IF(H4469=0,1,O4469*(1+0.00023125256064071564)))</f>
        <v/>
      </c>
      <c r="P4470">
        <f>IF(G4470=1,IF(H4469=0,1,ABS(0.2-J4469*B4470/I4470)+ABS(0.2-K4469*C4470/I4470)+ABS(0.2-L4469*D4470/I4470)+ABS(0.2-M4469*E4470/I4470)+ABS(0.2-N4469*F4470/I4470)),0)</f>
        <v/>
      </c>
      <c r="Q4470">
        <f>P4470*0.0015</f>
        <v/>
      </c>
      <c r="R4470">
        <f>I4470*(1-Q4470)</f>
        <v/>
      </c>
      <c r="S4470">
        <f>R4470/R4469-1</f>
        <v/>
      </c>
      <c r="T4470">
        <f>MAX(T4469,R4470)</f>
        <v/>
      </c>
      <c r="U4470">
        <f>R4470/T4470-1</f>
        <v/>
      </c>
      <c r="V4470" t="n">
        <v>15.51908941753194</v>
      </c>
      <c r="W4470" s="5">
        <f>R4470-V4470</f>
        <v/>
      </c>
    </row>
    <row r="4471">
      <c r="A4471" s="3" t="n">
        <v>45026</v>
      </c>
      <c r="B4471">
        <f>Prices!B4471</f>
        <v/>
      </c>
      <c r="C4471">
        <f>Prices!C4471</f>
        <v/>
      </c>
      <c r="D4471">
        <f>Prices!D4471</f>
        <v/>
      </c>
      <c r="E4471">
        <f>Prices!E4471</f>
        <v/>
      </c>
      <c r="F4471">
        <f>Prices!F4471</f>
        <v/>
      </c>
      <c r="G4471">
        <f>IF(AND(4469&gt;=16,TEXT(A4471,"yyyy-mm")&lt;&gt;TEXT(A4472,"yyyy-mm")),1,0)</f>
        <v/>
      </c>
      <c r="H4471">
        <f>IF(OR(H4470=1,G4471=1),1,0)</f>
        <v/>
      </c>
      <c r="I4471">
        <f>IF(H4470=0,1,SUMPRODUCT(J4470:N4470,B4471:F4471)+O4470*(1+0.00023125256064071564))</f>
        <v/>
      </c>
      <c r="J4471">
        <f>IF(G4471=1,0.2*R4471/B4471,J4470)</f>
        <v/>
      </c>
      <c r="K4471">
        <f>IF(G4471=1,0.2*R4471/C4471,K4470)</f>
        <v/>
      </c>
      <c r="L4471">
        <f>IF(G4471=1,0.2*R4471/D4471,L4470)</f>
        <v/>
      </c>
      <c r="M4471">
        <f>IF(G4471=1,0.2*R4471/E4471,M4470)</f>
        <v/>
      </c>
      <c r="N4471">
        <f>IF(G4471=1,0.2*R4471/F4471,N4470)</f>
        <v/>
      </c>
      <c r="O4471">
        <f>IF(G4471=1,R4471*(1-1.0),IF(H4470=0,1,O4470*(1+0.00023125256064071564)))</f>
        <v/>
      </c>
      <c r="P4471">
        <f>IF(G4471=1,IF(H4470=0,1,ABS(0.2-J4470*B4471/I4471)+ABS(0.2-K4470*C4471/I4471)+ABS(0.2-L4470*D4471/I4471)+ABS(0.2-M4470*E4471/I4471)+ABS(0.2-N4470*F4471/I4471)),0)</f>
        <v/>
      </c>
      <c r="Q4471">
        <f>P4471*0.0015</f>
        <v/>
      </c>
      <c r="R4471">
        <f>I4471*(1-Q4471)</f>
        <v/>
      </c>
      <c r="S4471">
        <f>R4471/R4470-1</f>
        <v/>
      </c>
      <c r="T4471">
        <f>MAX(T4470,R4471)</f>
        <v/>
      </c>
      <c r="U4471">
        <f>R4471/T4471-1</f>
        <v/>
      </c>
      <c r="V4471" t="n">
        <v>15.5887498964793</v>
      </c>
      <c r="W4471" s="5">
        <f>R4471-V4471</f>
        <v/>
      </c>
    </row>
    <row r="4472">
      <c r="A4472" s="3" t="n">
        <v>45027</v>
      </c>
      <c r="B4472">
        <f>Prices!B4472</f>
        <v/>
      </c>
      <c r="C4472">
        <f>Prices!C4472</f>
        <v/>
      </c>
      <c r="D4472">
        <f>Prices!D4472</f>
        <v/>
      </c>
      <c r="E4472">
        <f>Prices!E4472</f>
        <v/>
      </c>
      <c r="F4472">
        <f>Prices!F4472</f>
        <v/>
      </c>
      <c r="G4472">
        <f>IF(AND(4470&gt;=16,TEXT(A4472,"yyyy-mm")&lt;&gt;TEXT(A4473,"yyyy-mm")),1,0)</f>
        <v/>
      </c>
      <c r="H4472">
        <f>IF(OR(H4471=1,G4472=1),1,0)</f>
        <v/>
      </c>
      <c r="I4472">
        <f>IF(H4471=0,1,SUMPRODUCT(J4471:N4471,B4472:F4472)+O4471*(1+0.00023125256064071564))</f>
        <v/>
      </c>
      <c r="J4472">
        <f>IF(G4472=1,0.2*R4472/B4472,J4471)</f>
        <v/>
      </c>
      <c r="K4472">
        <f>IF(G4472=1,0.2*R4472/C4472,K4471)</f>
        <v/>
      </c>
      <c r="L4472">
        <f>IF(G4472=1,0.2*R4472/D4472,L4471)</f>
        <v/>
      </c>
      <c r="M4472">
        <f>IF(G4472=1,0.2*R4472/E4472,M4471)</f>
        <v/>
      </c>
      <c r="N4472">
        <f>IF(G4472=1,0.2*R4472/F4472,N4471)</f>
        <v/>
      </c>
      <c r="O4472">
        <f>IF(G4472=1,R4472*(1-1.0),IF(H4471=0,1,O4471*(1+0.00023125256064071564)))</f>
        <v/>
      </c>
      <c r="P4472">
        <f>IF(G4472=1,IF(H4471=0,1,ABS(0.2-J4471*B4472/I4472)+ABS(0.2-K4471*C4472/I4472)+ABS(0.2-L4471*D4472/I4472)+ABS(0.2-M4471*E4472/I4472)+ABS(0.2-N4471*F4472/I4472)),0)</f>
        <v/>
      </c>
      <c r="Q4472">
        <f>P4472*0.0015</f>
        <v/>
      </c>
      <c r="R4472">
        <f>I4472*(1-Q4472)</f>
        <v/>
      </c>
      <c r="S4472">
        <f>R4472/R4471-1</f>
        <v/>
      </c>
      <c r="T4472">
        <f>MAX(T4471,R4472)</f>
        <v/>
      </c>
      <c r="U4472">
        <f>R4472/T4472-1</f>
        <v/>
      </c>
      <c r="V4472" t="n">
        <v>15.68011488359641</v>
      </c>
      <c r="W4472" s="5">
        <f>R4472-V4472</f>
        <v/>
      </c>
    </row>
    <row r="4473">
      <c r="A4473" s="3" t="n">
        <v>45028</v>
      </c>
      <c r="B4473">
        <f>Prices!B4473</f>
        <v/>
      </c>
      <c r="C4473">
        <f>Prices!C4473</f>
        <v/>
      </c>
      <c r="D4473">
        <f>Prices!D4473</f>
        <v/>
      </c>
      <c r="E4473">
        <f>Prices!E4473</f>
        <v/>
      </c>
      <c r="F4473">
        <f>Prices!F4473</f>
        <v/>
      </c>
      <c r="G4473">
        <f>IF(AND(4471&gt;=16,TEXT(A4473,"yyyy-mm")&lt;&gt;TEXT(A4474,"yyyy-mm")),1,0)</f>
        <v/>
      </c>
      <c r="H4473">
        <f>IF(OR(H4472=1,G4473=1),1,0)</f>
        <v/>
      </c>
      <c r="I4473">
        <f>IF(H4472=0,1,SUMPRODUCT(J4472:N4472,B4473:F4473)+O4472*(1+0.00023125256064071564))</f>
        <v/>
      </c>
      <c r="J4473">
        <f>IF(G4473=1,0.2*R4473/B4473,J4472)</f>
        <v/>
      </c>
      <c r="K4473">
        <f>IF(G4473=1,0.2*R4473/C4473,K4472)</f>
        <v/>
      </c>
      <c r="L4473">
        <f>IF(G4473=1,0.2*R4473/D4473,L4472)</f>
        <v/>
      </c>
      <c r="M4473">
        <f>IF(G4473=1,0.2*R4473/E4473,M4472)</f>
        <v/>
      </c>
      <c r="N4473">
        <f>IF(G4473=1,0.2*R4473/F4473,N4472)</f>
        <v/>
      </c>
      <c r="O4473">
        <f>IF(G4473=1,R4473*(1-1.0),IF(H4472=0,1,O4472*(1+0.00023125256064071564)))</f>
        <v/>
      </c>
      <c r="P4473">
        <f>IF(G4473=1,IF(H4472=0,1,ABS(0.2-J4472*B4473/I4473)+ABS(0.2-K4472*C4473/I4473)+ABS(0.2-L4472*D4473/I4473)+ABS(0.2-M4472*E4473/I4473)+ABS(0.2-N4472*F4473/I4473)),0)</f>
        <v/>
      </c>
      <c r="Q4473">
        <f>P4473*0.0015</f>
        <v/>
      </c>
      <c r="R4473">
        <f>I4473*(1-Q4473)</f>
        <v/>
      </c>
      <c r="S4473">
        <f>R4473/R4472-1</f>
        <v/>
      </c>
      <c r="T4473">
        <f>MAX(T4472,R4473)</f>
        <v/>
      </c>
      <c r="U4473">
        <f>R4473/T4473-1</f>
        <v/>
      </c>
      <c r="V4473" t="n">
        <v>15.72934589978626</v>
      </c>
      <c r="W4473" s="5">
        <f>R4473-V4473</f>
        <v/>
      </c>
    </row>
    <row r="4474">
      <c r="A4474" s="3" t="n">
        <v>45029</v>
      </c>
      <c r="B4474">
        <f>Prices!B4474</f>
        <v/>
      </c>
      <c r="C4474">
        <f>Prices!C4474</f>
        <v/>
      </c>
      <c r="D4474">
        <f>Prices!D4474</f>
        <v/>
      </c>
      <c r="E4474">
        <f>Prices!E4474</f>
        <v/>
      </c>
      <c r="F4474">
        <f>Prices!F4474</f>
        <v/>
      </c>
      <c r="G4474">
        <f>IF(AND(4472&gt;=16,TEXT(A4474,"yyyy-mm")&lt;&gt;TEXT(A4475,"yyyy-mm")),1,0)</f>
        <v/>
      </c>
      <c r="H4474">
        <f>IF(OR(H4473=1,G4474=1),1,0)</f>
        <v/>
      </c>
      <c r="I4474">
        <f>IF(H4473=0,1,SUMPRODUCT(J4473:N4473,B4474:F4474)+O4473*(1+0.00023125256064071564))</f>
        <v/>
      </c>
      <c r="J4474">
        <f>IF(G4474=1,0.2*R4474/B4474,J4473)</f>
        <v/>
      </c>
      <c r="K4474">
        <f>IF(G4474=1,0.2*R4474/C4474,K4473)</f>
        <v/>
      </c>
      <c r="L4474">
        <f>IF(G4474=1,0.2*R4474/D4474,L4473)</f>
        <v/>
      </c>
      <c r="M4474">
        <f>IF(G4474=1,0.2*R4474/E4474,M4473)</f>
        <v/>
      </c>
      <c r="N4474">
        <f>IF(G4474=1,0.2*R4474/F4474,N4473)</f>
        <v/>
      </c>
      <c r="O4474">
        <f>IF(G4474=1,R4474*(1-1.0),IF(H4473=0,1,O4473*(1+0.00023125256064071564)))</f>
        <v/>
      </c>
      <c r="P4474">
        <f>IF(G4474=1,IF(H4473=0,1,ABS(0.2-J4473*B4474/I4474)+ABS(0.2-K4473*C4474/I4474)+ABS(0.2-L4473*D4474/I4474)+ABS(0.2-M4473*E4474/I4474)+ABS(0.2-N4473*F4474/I4474)),0)</f>
        <v/>
      </c>
      <c r="Q4474">
        <f>P4474*0.0015</f>
        <v/>
      </c>
      <c r="R4474">
        <f>I4474*(1-Q4474)</f>
        <v/>
      </c>
      <c r="S4474">
        <f>R4474/R4473-1</f>
        <v/>
      </c>
      <c r="T4474">
        <f>MAX(T4473,R4474)</f>
        <v/>
      </c>
      <c r="U4474">
        <f>R4474/T4474-1</f>
        <v/>
      </c>
      <c r="V4474" t="n">
        <v>15.71239750646864</v>
      </c>
      <c r="W4474" s="5">
        <f>R4474-V4474</f>
        <v/>
      </c>
    </row>
    <row r="4475">
      <c r="A4475" s="3" t="n">
        <v>45033</v>
      </c>
      <c r="B4475">
        <f>Prices!B4475</f>
        <v/>
      </c>
      <c r="C4475">
        <f>Prices!C4475</f>
        <v/>
      </c>
      <c r="D4475">
        <f>Prices!D4475</f>
        <v/>
      </c>
      <c r="E4475">
        <f>Prices!E4475</f>
        <v/>
      </c>
      <c r="F4475">
        <f>Prices!F4475</f>
        <v/>
      </c>
      <c r="G4475">
        <f>IF(AND(4473&gt;=16,TEXT(A4475,"yyyy-mm")&lt;&gt;TEXT(A4476,"yyyy-mm")),1,0)</f>
        <v/>
      </c>
      <c r="H4475">
        <f>IF(OR(H4474=1,G4475=1),1,0)</f>
        <v/>
      </c>
      <c r="I4475">
        <f>IF(H4474=0,1,SUMPRODUCT(J4474:N4474,B4475:F4475)+O4474*(1+0.00023125256064071564))</f>
        <v/>
      </c>
      <c r="J4475">
        <f>IF(G4475=1,0.2*R4475/B4475,J4474)</f>
        <v/>
      </c>
      <c r="K4475">
        <f>IF(G4475=1,0.2*R4475/C4475,K4474)</f>
        <v/>
      </c>
      <c r="L4475">
        <f>IF(G4475=1,0.2*R4475/D4475,L4474)</f>
        <v/>
      </c>
      <c r="M4475">
        <f>IF(G4475=1,0.2*R4475/E4475,M4474)</f>
        <v/>
      </c>
      <c r="N4475">
        <f>IF(G4475=1,0.2*R4475/F4475,N4474)</f>
        <v/>
      </c>
      <c r="O4475">
        <f>IF(G4475=1,R4475*(1-1.0),IF(H4474=0,1,O4474*(1+0.00023125256064071564)))</f>
        <v/>
      </c>
      <c r="P4475">
        <f>IF(G4475=1,IF(H4474=0,1,ABS(0.2-J4474*B4475/I4475)+ABS(0.2-K4474*C4475/I4475)+ABS(0.2-L4474*D4475/I4475)+ABS(0.2-M4474*E4475/I4475)+ABS(0.2-N4474*F4475/I4475)),0)</f>
        <v/>
      </c>
      <c r="Q4475">
        <f>P4475*0.0015</f>
        <v/>
      </c>
      <c r="R4475">
        <f>I4475*(1-Q4475)</f>
        <v/>
      </c>
      <c r="S4475">
        <f>R4475/R4474-1</f>
        <v/>
      </c>
      <c r="T4475">
        <f>MAX(T4474,R4475)</f>
        <v/>
      </c>
      <c r="U4475">
        <f>R4475/T4475-1</f>
        <v/>
      </c>
      <c r="V4475" t="n">
        <v>15.82064354262639</v>
      </c>
      <c r="W4475" s="5">
        <f>R4475-V4475</f>
        <v/>
      </c>
    </row>
    <row r="4476">
      <c r="A4476" s="3" t="n">
        <v>45034</v>
      </c>
      <c r="B4476">
        <f>Prices!B4476</f>
        <v/>
      </c>
      <c r="C4476">
        <f>Prices!C4476</f>
        <v/>
      </c>
      <c r="D4476">
        <f>Prices!D4476</f>
        <v/>
      </c>
      <c r="E4476">
        <f>Prices!E4476</f>
        <v/>
      </c>
      <c r="F4476">
        <f>Prices!F4476</f>
        <v/>
      </c>
      <c r="G4476">
        <f>IF(AND(4474&gt;=16,TEXT(A4476,"yyyy-mm")&lt;&gt;TEXT(A4477,"yyyy-mm")),1,0)</f>
        <v/>
      </c>
      <c r="H4476">
        <f>IF(OR(H4475=1,G4476=1),1,0)</f>
        <v/>
      </c>
      <c r="I4476">
        <f>IF(H4475=0,1,SUMPRODUCT(J4475:N4475,B4476:F4476)+O4475*(1+0.00023125256064071564))</f>
        <v/>
      </c>
      <c r="J4476">
        <f>IF(G4476=1,0.2*R4476/B4476,J4475)</f>
        <v/>
      </c>
      <c r="K4476">
        <f>IF(G4476=1,0.2*R4476/C4476,K4475)</f>
        <v/>
      </c>
      <c r="L4476">
        <f>IF(G4476=1,0.2*R4476/D4476,L4475)</f>
        <v/>
      </c>
      <c r="M4476">
        <f>IF(G4476=1,0.2*R4476/E4476,M4475)</f>
        <v/>
      </c>
      <c r="N4476">
        <f>IF(G4476=1,0.2*R4476/F4476,N4475)</f>
        <v/>
      </c>
      <c r="O4476">
        <f>IF(G4476=1,R4476*(1-1.0),IF(H4475=0,1,O4475*(1+0.00023125256064071564)))</f>
        <v/>
      </c>
      <c r="P4476">
        <f>IF(G4476=1,IF(H4475=0,1,ABS(0.2-J4475*B4476/I4476)+ABS(0.2-K4475*C4476/I4476)+ABS(0.2-L4475*D4476/I4476)+ABS(0.2-M4475*E4476/I4476)+ABS(0.2-N4475*F4476/I4476)),0)</f>
        <v/>
      </c>
      <c r="Q4476">
        <f>P4476*0.0015</f>
        <v/>
      </c>
      <c r="R4476">
        <f>I4476*(1-Q4476)</f>
        <v/>
      </c>
      <c r="S4476">
        <f>R4476/R4475-1</f>
        <v/>
      </c>
      <c r="T4476">
        <f>MAX(T4475,R4476)</f>
        <v/>
      </c>
      <c r="U4476">
        <f>R4476/T4476-1</f>
        <v/>
      </c>
      <c r="V4476" t="n">
        <v>15.86214155665738</v>
      </c>
      <c r="W4476" s="5">
        <f>R4476-V4476</f>
        <v/>
      </c>
    </row>
    <row r="4477">
      <c r="A4477" s="3" t="n">
        <v>45035</v>
      </c>
      <c r="B4477">
        <f>Prices!B4477</f>
        <v/>
      </c>
      <c r="C4477">
        <f>Prices!C4477</f>
        <v/>
      </c>
      <c r="D4477">
        <f>Prices!D4477</f>
        <v/>
      </c>
      <c r="E4477">
        <f>Prices!E4477</f>
        <v/>
      </c>
      <c r="F4477">
        <f>Prices!F4477</f>
        <v/>
      </c>
      <c r="G4477">
        <f>IF(AND(4475&gt;=16,TEXT(A4477,"yyyy-mm")&lt;&gt;TEXT(A4478,"yyyy-mm")),1,0)</f>
        <v/>
      </c>
      <c r="H4477">
        <f>IF(OR(H4476=1,G4477=1),1,0)</f>
        <v/>
      </c>
      <c r="I4477">
        <f>IF(H4476=0,1,SUMPRODUCT(J4476:N4476,B4477:F4477)+O4476*(1+0.00023125256064071564))</f>
        <v/>
      </c>
      <c r="J4477">
        <f>IF(G4477=1,0.2*R4477/B4477,J4476)</f>
        <v/>
      </c>
      <c r="K4477">
        <f>IF(G4477=1,0.2*R4477/C4477,K4476)</f>
        <v/>
      </c>
      <c r="L4477">
        <f>IF(G4477=1,0.2*R4477/D4477,L4476)</f>
        <v/>
      </c>
      <c r="M4477">
        <f>IF(G4477=1,0.2*R4477/E4477,M4476)</f>
        <v/>
      </c>
      <c r="N4477">
        <f>IF(G4477=1,0.2*R4477/F4477,N4476)</f>
        <v/>
      </c>
      <c r="O4477">
        <f>IF(G4477=1,R4477*(1-1.0),IF(H4476=0,1,O4476*(1+0.00023125256064071564)))</f>
        <v/>
      </c>
      <c r="P4477">
        <f>IF(G4477=1,IF(H4476=0,1,ABS(0.2-J4476*B4477/I4477)+ABS(0.2-K4476*C4477/I4477)+ABS(0.2-L4476*D4477/I4477)+ABS(0.2-M4476*E4477/I4477)+ABS(0.2-N4476*F4477/I4477)),0)</f>
        <v/>
      </c>
      <c r="Q4477">
        <f>P4477*0.0015</f>
        <v/>
      </c>
      <c r="R4477">
        <f>I4477*(1-Q4477)</f>
        <v/>
      </c>
      <c r="S4477">
        <f>R4477/R4476-1</f>
        <v/>
      </c>
      <c r="T4477">
        <f>MAX(T4476,R4477)</f>
        <v/>
      </c>
      <c r="U4477">
        <f>R4477/T4477-1</f>
        <v/>
      </c>
      <c r="V4477" t="n">
        <v>15.81158735537021</v>
      </c>
      <c r="W4477" s="5">
        <f>R4477-V4477</f>
        <v/>
      </c>
    </row>
    <row r="4478">
      <c r="A4478" s="3" t="n">
        <v>45036</v>
      </c>
      <c r="B4478">
        <f>Prices!B4478</f>
        <v/>
      </c>
      <c r="C4478">
        <f>Prices!C4478</f>
        <v/>
      </c>
      <c r="D4478">
        <f>Prices!D4478</f>
        <v/>
      </c>
      <c r="E4478">
        <f>Prices!E4478</f>
        <v/>
      </c>
      <c r="F4478">
        <f>Prices!F4478</f>
        <v/>
      </c>
      <c r="G4478">
        <f>IF(AND(4476&gt;=16,TEXT(A4478,"yyyy-mm")&lt;&gt;TEXT(A4479,"yyyy-mm")),1,0)</f>
        <v/>
      </c>
      <c r="H4478">
        <f>IF(OR(H4477=1,G4478=1),1,0)</f>
        <v/>
      </c>
      <c r="I4478">
        <f>IF(H4477=0,1,SUMPRODUCT(J4477:N4477,B4478:F4478)+O4477*(1+0.00023125256064071564))</f>
        <v/>
      </c>
      <c r="J4478">
        <f>IF(G4478=1,0.2*R4478/B4478,J4477)</f>
        <v/>
      </c>
      <c r="K4478">
        <f>IF(G4478=1,0.2*R4478/C4478,K4477)</f>
        <v/>
      </c>
      <c r="L4478">
        <f>IF(G4478=1,0.2*R4478/D4478,L4477)</f>
        <v/>
      </c>
      <c r="M4478">
        <f>IF(G4478=1,0.2*R4478/E4478,M4477)</f>
        <v/>
      </c>
      <c r="N4478">
        <f>IF(G4478=1,0.2*R4478/F4478,N4477)</f>
        <v/>
      </c>
      <c r="O4478">
        <f>IF(G4478=1,R4478*(1-1.0),IF(H4477=0,1,O4477*(1+0.00023125256064071564)))</f>
        <v/>
      </c>
      <c r="P4478">
        <f>IF(G4478=1,IF(H4477=0,1,ABS(0.2-J4477*B4478/I4478)+ABS(0.2-K4477*C4478/I4478)+ABS(0.2-L4477*D4478/I4478)+ABS(0.2-M4477*E4478/I4478)+ABS(0.2-N4477*F4478/I4478)),0)</f>
        <v/>
      </c>
      <c r="Q4478">
        <f>P4478*0.0015</f>
        <v/>
      </c>
      <c r="R4478">
        <f>I4478*(1-Q4478)</f>
        <v/>
      </c>
      <c r="S4478">
        <f>R4478/R4477-1</f>
        <v/>
      </c>
      <c r="T4478">
        <f>MAX(T4477,R4478)</f>
        <v/>
      </c>
      <c r="U4478">
        <f>R4478/T4478-1</f>
        <v/>
      </c>
      <c r="V4478" t="n">
        <v>15.78046498393991</v>
      </c>
      <c r="W4478" s="5">
        <f>R4478-V4478</f>
        <v/>
      </c>
    </row>
    <row r="4479">
      <c r="A4479" s="3" t="n">
        <v>45037</v>
      </c>
      <c r="B4479">
        <f>Prices!B4479</f>
        <v/>
      </c>
      <c r="C4479">
        <f>Prices!C4479</f>
        <v/>
      </c>
      <c r="D4479">
        <f>Prices!D4479</f>
        <v/>
      </c>
      <c r="E4479">
        <f>Prices!E4479</f>
        <v/>
      </c>
      <c r="F4479">
        <f>Prices!F4479</f>
        <v/>
      </c>
      <c r="G4479">
        <f>IF(AND(4477&gt;=16,TEXT(A4479,"yyyy-mm")&lt;&gt;TEXT(A4480,"yyyy-mm")),1,0)</f>
        <v/>
      </c>
      <c r="H4479">
        <f>IF(OR(H4478=1,G4479=1),1,0)</f>
        <v/>
      </c>
      <c r="I4479">
        <f>IF(H4478=0,1,SUMPRODUCT(J4478:N4478,B4479:F4479)+O4478*(1+0.00023125256064071564))</f>
        <v/>
      </c>
      <c r="J4479">
        <f>IF(G4479=1,0.2*R4479/B4479,J4478)</f>
        <v/>
      </c>
      <c r="K4479">
        <f>IF(G4479=1,0.2*R4479/C4479,K4478)</f>
        <v/>
      </c>
      <c r="L4479">
        <f>IF(G4479=1,0.2*R4479/D4479,L4478)</f>
        <v/>
      </c>
      <c r="M4479">
        <f>IF(G4479=1,0.2*R4479/E4479,M4478)</f>
        <v/>
      </c>
      <c r="N4479">
        <f>IF(G4479=1,0.2*R4479/F4479,N4478)</f>
        <v/>
      </c>
      <c r="O4479">
        <f>IF(G4479=1,R4479*(1-1.0),IF(H4478=0,1,O4478*(1+0.00023125256064071564)))</f>
        <v/>
      </c>
      <c r="P4479">
        <f>IF(G4479=1,IF(H4478=0,1,ABS(0.2-J4478*B4479/I4479)+ABS(0.2-K4478*C4479/I4479)+ABS(0.2-L4478*D4479/I4479)+ABS(0.2-M4478*E4479/I4479)+ABS(0.2-N4478*F4479/I4479)),0)</f>
        <v/>
      </c>
      <c r="Q4479">
        <f>P4479*0.0015</f>
        <v/>
      </c>
      <c r="R4479">
        <f>I4479*(1-Q4479)</f>
        <v/>
      </c>
      <c r="S4479">
        <f>R4479/R4478-1</f>
        <v/>
      </c>
      <c r="T4479">
        <f>MAX(T4478,R4479)</f>
        <v/>
      </c>
      <c r="U4479">
        <f>R4479/T4479-1</f>
        <v/>
      </c>
      <c r="V4479" t="n">
        <v>15.73510885550042</v>
      </c>
      <c r="W4479" s="5">
        <f>R4479-V4479</f>
        <v/>
      </c>
    </row>
    <row r="4480">
      <c r="A4480" s="3" t="n">
        <v>45040</v>
      </c>
      <c r="B4480">
        <f>Prices!B4480</f>
        <v/>
      </c>
      <c r="C4480">
        <f>Prices!C4480</f>
        <v/>
      </c>
      <c r="D4480">
        <f>Prices!D4480</f>
        <v/>
      </c>
      <c r="E4480">
        <f>Prices!E4480</f>
        <v/>
      </c>
      <c r="F4480">
        <f>Prices!F4480</f>
        <v/>
      </c>
      <c r="G4480">
        <f>IF(AND(4478&gt;=16,TEXT(A4480,"yyyy-mm")&lt;&gt;TEXT(A4481,"yyyy-mm")),1,0)</f>
        <v/>
      </c>
      <c r="H4480">
        <f>IF(OR(H4479=1,G4480=1),1,0)</f>
        <v/>
      </c>
      <c r="I4480">
        <f>IF(H4479=0,1,SUMPRODUCT(J4479:N4479,B4480:F4480)+O4479*(1+0.00023125256064071564))</f>
        <v/>
      </c>
      <c r="J4480">
        <f>IF(G4480=1,0.2*R4480/B4480,J4479)</f>
        <v/>
      </c>
      <c r="K4480">
        <f>IF(G4480=1,0.2*R4480/C4480,K4479)</f>
        <v/>
      </c>
      <c r="L4480">
        <f>IF(G4480=1,0.2*R4480/D4480,L4479)</f>
        <v/>
      </c>
      <c r="M4480">
        <f>IF(G4480=1,0.2*R4480/E4480,M4479)</f>
        <v/>
      </c>
      <c r="N4480">
        <f>IF(G4480=1,0.2*R4480/F4480,N4479)</f>
        <v/>
      </c>
      <c r="O4480">
        <f>IF(G4480=1,R4480*(1-1.0),IF(H4479=0,1,O4479*(1+0.00023125256064071564)))</f>
        <v/>
      </c>
      <c r="P4480">
        <f>IF(G4480=1,IF(H4479=0,1,ABS(0.2-J4479*B4480/I4480)+ABS(0.2-K4479*C4480/I4480)+ABS(0.2-L4479*D4480/I4480)+ABS(0.2-M4479*E4480/I4480)+ABS(0.2-N4479*F4480/I4480)),0)</f>
        <v/>
      </c>
      <c r="Q4480">
        <f>P4480*0.0015</f>
        <v/>
      </c>
      <c r="R4480">
        <f>I4480*(1-Q4480)</f>
        <v/>
      </c>
      <c r="S4480">
        <f>R4480/R4479-1</f>
        <v/>
      </c>
      <c r="T4480">
        <f>MAX(T4479,R4480)</f>
        <v/>
      </c>
      <c r="U4480">
        <f>R4480/T4480-1</f>
        <v/>
      </c>
      <c r="V4480" t="n">
        <v>15.85467311542942</v>
      </c>
      <c r="W4480" s="5">
        <f>R4480-V4480</f>
        <v/>
      </c>
    </row>
    <row r="4481">
      <c r="A4481" s="3" t="n">
        <v>45041</v>
      </c>
      <c r="B4481">
        <f>Prices!B4481</f>
        <v/>
      </c>
      <c r="C4481">
        <f>Prices!C4481</f>
        <v/>
      </c>
      <c r="D4481">
        <f>Prices!D4481</f>
        <v/>
      </c>
      <c r="E4481">
        <f>Prices!E4481</f>
        <v/>
      </c>
      <c r="F4481">
        <f>Prices!F4481</f>
        <v/>
      </c>
      <c r="G4481">
        <f>IF(AND(4479&gt;=16,TEXT(A4481,"yyyy-mm")&lt;&gt;TEXT(A4482,"yyyy-mm")),1,0)</f>
        <v/>
      </c>
      <c r="H4481">
        <f>IF(OR(H4480=1,G4481=1),1,0)</f>
        <v/>
      </c>
      <c r="I4481">
        <f>IF(H4480=0,1,SUMPRODUCT(J4480:N4480,B4481:F4481)+O4480*(1+0.00023125256064071564))</f>
        <v/>
      </c>
      <c r="J4481">
        <f>IF(G4481=1,0.2*R4481/B4481,J4480)</f>
        <v/>
      </c>
      <c r="K4481">
        <f>IF(G4481=1,0.2*R4481/C4481,K4480)</f>
        <v/>
      </c>
      <c r="L4481">
        <f>IF(G4481=1,0.2*R4481/D4481,L4480)</f>
        <v/>
      </c>
      <c r="M4481">
        <f>IF(G4481=1,0.2*R4481/E4481,M4480)</f>
        <v/>
      </c>
      <c r="N4481">
        <f>IF(G4481=1,0.2*R4481/F4481,N4480)</f>
        <v/>
      </c>
      <c r="O4481">
        <f>IF(G4481=1,R4481*(1-1.0),IF(H4480=0,1,O4480*(1+0.00023125256064071564)))</f>
        <v/>
      </c>
      <c r="P4481">
        <f>IF(G4481=1,IF(H4480=0,1,ABS(0.2-J4480*B4481/I4481)+ABS(0.2-K4480*C4481/I4481)+ABS(0.2-L4480*D4481/I4481)+ABS(0.2-M4480*E4481/I4481)+ABS(0.2-N4480*F4481/I4481)),0)</f>
        <v/>
      </c>
      <c r="Q4481">
        <f>P4481*0.0015</f>
        <v/>
      </c>
      <c r="R4481">
        <f>I4481*(1-Q4481)</f>
        <v/>
      </c>
      <c r="S4481">
        <f>R4481/R4480-1</f>
        <v/>
      </c>
      <c r="T4481">
        <f>MAX(T4480,R4481)</f>
        <v/>
      </c>
      <c r="U4481">
        <f>R4481/T4481-1</f>
        <v/>
      </c>
      <c r="V4481" t="n">
        <v>15.90568936445269</v>
      </c>
      <c r="W4481" s="5">
        <f>R4481-V4481</f>
        <v/>
      </c>
    </row>
    <row r="4482">
      <c r="A4482" s="3" t="n">
        <v>45042</v>
      </c>
      <c r="B4482">
        <f>Prices!B4482</f>
        <v/>
      </c>
      <c r="C4482">
        <f>Prices!C4482</f>
        <v/>
      </c>
      <c r="D4482">
        <f>Prices!D4482</f>
        <v/>
      </c>
      <c r="E4482">
        <f>Prices!E4482</f>
        <v/>
      </c>
      <c r="F4482">
        <f>Prices!F4482</f>
        <v/>
      </c>
      <c r="G4482">
        <f>IF(AND(4480&gt;=16,TEXT(A4482,"yyyy-mm")&lt;&gt;TEXT(A4483,"yyyy-mm")),1,0)</f>
        <v/>
      </c>
      <c r="H4482">
        <f>IF(OR(H4481=1,G4482=1),1,0)</f>
        <v/>
      </c>
      <c r="I4482">
        <f>IF(H4481=0,1,SUMPRODUCT(J4481:N4481,B4482:F4482)+O4481*(1+0.00023125256064071564))</f>
        <v/>
      </c>
      <c r="J4482">
        <f>IF(G4482=1,0.2*R4482/B4482,J4481)</f>
        <v/>
      </c>
      <c r="K4482">
        <f>IF(G4482=1,0.2*R4482/C4482,K4481)</f>
        <v/>
      </c>
      <c r="L4482">
        <f>IF(G4482=1,0.2*R4482/D4482,L4481)</f>
        <v/>
      </c>
      <c r="M4482">
        <f>IF(G4482=1,0.2*R4482/E4482,M4481)</f>
        <v/>
      </c>
      <c r="N4482">
        <f>IF(G4482=1,0.2*R4482/F4482,N4481)</f>
        <v/>
      </c>
      <c r="O4482">
        <f>IF(G4482=1,R4482*(1-1.0),IF(H4481=0,1,O4481*(1+0.00023125256064071564)))</f>
        <v/>
      </c>
      <c r="P4482">
        <f>IF(G4482=1,IF(H4481=0,1,ABS(0.2-J4481*B4482/I4482)+ABS(0.2-K4481*C4482/I4482)+ABS(0.2-L4481*D4482/I4482)+ABS(0.2-M4481*E4482/I4482)+ABS(0.2-N4481*F4482/I4482)),0)</f>
        <v/>
      </c>
      <c r="Q4482">
        <f>P4482*0.0015</f>
        <v/>
      </c>
      <c r="R4482">
        <f>I4482*(1-Q4482)</f>
        <v/>
      </c>
      <c r="S4482">
        <f>R4482/R4481-1</f>
        <v/>
      </c>
      <c r="T4482">
        <f>MAX(T4481,R4482)</f>
        <v/>
      </c>
      <c r="U4482">
        <f>R4482/T4482-1</f>
        <v/>
      </c>
      <c r="V4482" t="n">
        <v>15.99523599041787</v>
      </c>
      <c r="W4482" s="5">
        <f>R4482-V4482</f>
        <v/>
      </c>
    </row>
    <row r="4483">
      <c r="A4483" s="3" t="n">
        <v>45043</v>
      </c>
      <c r="B4483">
        <f>Prices!B4483</f>
        <v/>
      </c>
      <c r="C4483">
        <f>Prices!C4483</f>
        <v/>
      </c>
      <c r="D4483">
        <f>Prices!D4483</f>
        <v/>
      </c>
      <c r="E4483">
        <f>Prices!E4483</f>
        <v/>
      </c>
      <c r="F4483">
        <f>Prices!F4483</f>
        <v/>
      </c>
      <c r="G4483">
        <f>IF(AND(4481&gt;=16,TEXT(A4483,"yyyy-mm")&lt;&gt;TEXT(A4484,"yyyy-mm")),1,0)</f>
        <v/>
      </c>
      <c r="H4483">
        <f>IF(OR(H4482=1,G4483=1),1,0)</f>
        <v/>
      </c>
      <c r="I4483">
        <f>IF(H4482=0,1,SUMPRODUCT(J4482:N4482,B4483:F4483)+O4482*(1+0.00023125256064071564))</f>
        <v/>
      </c>
      <c r="J4483">
        <f>IF(G4483=1,0.2*R4483/B4483,J4482)</f>
        <v/>
      </c>
      <c r="K4483">
        <f>IF(G4483=1,0.2*R4483/C4483,K4482)</f>
        <v/>
      </c>
      <c r="L4483">
        <f>IF(G4483=1,0.2*R4483/D4483,L4482)</f>
        <v/>
      </c>
      <c r="M4483">
        <f>IF(G4483=1,0.2*R4483/E4483,M4482)</f>
        <v/>
      </c>
      <c r="N4483">
        <f>IF(G4483=1,0.2*R4483/F4483,N4482)</f>
        <v/>
      </c>
      <c r="O4483">
        <f>IF(G4483=1,R4483*(1-1.0),IF(H4482=0,1,O4482*(1+0.00023125256064071564)))</f>
        <v/>
      </c>
      <c r="P4483">
        <f>IF(G4483=1,IF(H4482=0,1,ABS(0.2-J4482*B4483/I4483)+ABS(0.2-K4482*C4483/I4483)+ABS(0.2-L4482*D4483/I4483)+ABS(0.2-M4482*E4483/I4483)+ABS(0.2-N4482*F4483/I4483)),0)</f>
        <v/>
      </c>
      <c r="Q4483">
        <f>P4483*0.0015</f>
        <v/>
      </c>
      <c r="R4483">
        <f>I4483*(1-Q4483)</f>
        <v/>
      </c>
      <c r="S4483">
        <f>R4483/R4482-1</f>
        <v/>
      </c>
      <c r="T4483">
        <f>MAX(T4482,R4483)</f>
        <v/>
      </c>
      <c r="U4483">
        <f>R4483/T4483-1</f>
        <v/>
      </c>
      <c r="V4483" t="n">
        <v>16.0827915083112</v>
      </c>
      <c r="W4483" s="5">
        <f>R4483-V4483</f>
        <v/>
      </c>
    </row>
    <row r="4484">
      <c r="A4484" s="3" t="n">
        <v>45044</v>
      </c>
      <c r="B4484">
        <f>Prices!B4484</f>
        <v/>
      </c>
      <c r="C4484">
        <f>Prices!C4484</f>
        <v/>
      </c>
      <c r="D4484">
        <f>Prices!D4484</f>
        <v/>
      </c>
      <c r="E4484">
        <f>Prices!E4484</f>
        <v/>
      </c>
      <c r="F4484">
        <f>Prices!F4484</f>
        <v/>
      </c>
      <c r="G4484">
        <f>IF(AND(4482&gt;=16,TEXT(A4484,"yyyy-mm")&lt;&gt;TEXT(A4485,"yyyy-mm")),1,0)</f>
        <v/>
      </c>
      <c r="H4484">
        <f>IF(OR(H4483=1,G4484=1),1,0)</f>
        <v/>
      </c>
      <c r="I4484">
        <f>IF(H4483=0,1,SUMPRODUCT(J4483:N4483,B4484:F4484)+O4483*(1+0.00023125256064071564))</f>
        <v/>
      </c>
      <c r="J4484">
        <f>IF(G4484=1,0.2*R4484/B4484,J4483)</f>
        <v/>
      </c>
      <c r="K4484">
        <f>IF(G4484=1,0.2*R4484/C4484,K4483)</f>
        <v/>
      </c>
      <c r="L4484">
        <f>IF(G4484=1,0.2*R4484/D4484,L4483)</f>
        <v/>
      </c>
      <c r="M4484">
        <f>IF(G4484=1,0.2*R4484/E4484,M4483)</f>
        <v/>
      </c>
      <c r="N4484">
        <f>IF(G4484=1,0.2*R4484/F4484,N4483)</f>
        <v/>
      </c>
      <c r="O4484">
        <f>IF(G4484=1,R4484*(1-1.0),IF(H4483=0,1,O4483*(1+0.00023125256064071564)))</f>
        <v/>
      </c>
      <c r="P4484">
        <f>IF(G4484=1,IF(H4483=0,1,ABS(0.2-J4483*B4484/I4484)+ABS(0.2-K4483*C4484/I4484)+ABS(0.2-L4483*D4484/I4484)+ABS(0.2-M4483*E4484/I4484)+ABS(0.2-N4483*F4484/I4484)),0)</f>
        <v/>
      </c>
      <c r="Q4484">
        <f>P4484*0.0015</f>
        <v/>
      </c>
      <c r="R4484">
        <f>I4484*(1-Q4484)</f>
        <v/>
      </c>
      <c r="S4484">
        <f>R4484/R4483-1</f>
        <v/>
      </c>
      <c r="T4484">
        <f>MAX(T4483,R4484)</f>
        <v/>
      </c>
      <c r="U4484">
        <f>R4484/T4484-1</f>
        <v/>
      </c>
      <c r="V4484" t="n">
        <v>16.25975328277161</v>
      </c>
      <c r="W4484" s="5">
        <f>R4484-V4484</f>
        <v/>
      </c>
    </row>
    <row r="4485">
      <c r="A4485" s="3" t="n">
        <v>45048</v>
      </c>
      <c r="B4485">
        <f>Prices!B4485</f>
        <v/>
      </c>
      <c r="C4485">
        <f>Prices!C4485</f>
        <v/>
      </c>
      <c r="D4485">
        <f>Prices!D4485</f>
        <v/>
      </c>
      <c r="E4485">
        <f>Prices!E4485</f>
        <v/>
      </c>
      <c r="F4485">
        <f>Prices!F4485</f>
        <v/>
      </c>
      <c r="G4485">
        <f>IF(AND(4483&gt;=16,TEXT(A4485,"yyyy-mm")&lt;&gt;TEXT(A4486,"yyyy-mm")),1,0)</f>
        <v/>
      </c>
      <c r="H4485">
        <f>IF(OR(H4484=1,G4485=1),1,0)</f>
        <v/>
      </c>
      <c r="I4485">
        <f>IF(H4484=0,1,SUMPRODUCT(J4484:N4484,B4485:F4485)+O4484*(1+0.00023125256064071564))</f>
        <v/>
      </c>
      <c r="J4485">
        <f>IF(G4485=1,0.2*R4485/B4485,J4484)</f>
        <v/>
      </c>
      <c r="K4485">
        <f>IF(G4485=1,0.2*R4485/C4485,K4484)</f>
        <v/>
      </c>
      <c r="L4485">
        <f>IF(G4485=1,0.2*R4485/D4485,L4484)</f>
        <v/>
      </c>
      <c r="M4485">
        <f>IF(G4485=1,0.2*R4485/E4485,M4484)</f>
        <v/>
      </c>
      <c r="N4485">
        <f>IF(G4485=1,0.2*R4485/F4485,N4484)</f>
        <v/>
      </c>
      <c r="O4485">
        <f>IF(G4485=1,R4485*(1-1.0),IF(H4484=0,1,O4484*(1+0.00023125256064071564)))</f>
        <v/>
      </c>
      <c r="P4485">
        <f>IF(G4485=1,IF(H4484=0,1,ABS(0.2-J4484*B4485/I4485)+ABS(0.2-K4484*C4485/I4485)+ABS(0.2-L4484*D4485/I4485)+ABS(0.2-M4484*E4485/I4485)+ABS(0.2-N4484*F4485/I4485)),0)</f>
        <v/>
      </c>
      <c r="Q4485">
        <f>P4485*0.0015</f>
        <v/>
      </c>
      <c r="R4485">
        <f>I4485*(1-Q4485)</f>
        <v/>
      </c>
      <c r="S4485">
        <f>R4485/R4484-1</f>
        <v/>
      </c>
      <c r="T4485">
        <f>MAX(T4484,R4485)</f>
        <v/>
      </c>
      <c r="U4485">
        <f>R4485/T4485-1</f>
        <v/>
      </c>
      <c r="V4485" t="n">
        <v>16.38763424703605</v>
      </c>
      <c r="W4485" s="5">
        <f>R4485-V4485</f>
        <v/>
      </c>
    </row>
    <row r="4486">
      <c r="A4486" s="3" t="n">
        <v>45049</v>
      </c>
      <c r="B4486">
        <f>Prices!B4486</f>
        <v/>
      </c>
      <c r="C4486">
        <f>Prices!C4486</f>
        <v/>
      </c>
      <c r="D4486">
        <f>Prices!D4486</f>
        <v/>
      </c>
      <c r="E4486">
        <f>Prices!E4486</f>
        <v/>
      </c>
      <c r="F4486">
        <f>Prices!F4486</f>
        <v/>
      </c>
      <c r="G4486">
        <f>IF(AND(4484&gt;=16,TEXT(A4486,"yyyy-mm")&lt;&gt;TEXT(A4487,"yyyy-mm")),1,0)</f>
        <v/>
      </c>
      <c r="H4486">
        <f>IF(OR(H4485=1,G4486=1),1,0)</f>
        <v/>
      </c>
      <c r="I4486">
        <f>IF(H4485=0,1,SUMPRODUCT(J4485:N4485,B4486:F4486)+O4485*(1+0.00023125256064071564))</f>
        <v/>
      </c>
      <c r="J4486">
        <f>IF(G4486=1,0.2*R4486/B4486,J4485)</f>
        <v/>
      </c>
      <c r="K4486">
        <f>IF(G4486=1,0.2*R4486/C4486,K4485)</f>
        <v/>
      </c>
      <c r="L4486">
        <f>IF(G4486=1,0.2*R4486/D4486,L4485)</f>
        <v/>
      </c>
      <c r="M4486">
        <f>IF(G4486=1,0.2*R4486/E4486,M4485)</f>
        <v/>
      </c>
      <c r="N4486">
        <f>IF(G4486=1,0.2*R4486/F4486,N4485)</f>
        <v/>
      </c>
      <c r="O4486">
        <f>IF(G4486=1,R4486*(1-1.0),IF(H4485=0,1,O4485*(1+0.00023125256064071564)))</f>
        <v/>
      </c>
      <c r="P4486">
        <f>IF(G4486=1,IF(H4485=0,1,ABS(0.2-J4485*B4486/I4486)+ABS(0.2-K4485*C4486/I4486)+ABS(0.2-L4485*D4486/I4486)+ABS(0.2-M4485*E4486/I4486)+ABS(0.2-N4485*F4486/I4486)),0)</f>
        <v/>
      </c>
      <c r="Q4486">
        <f>P4486*0.0015</f>
        <v/>
      </c>
      <c r="R4486">
        <f>I4486*(1-Q4486)</f>
        <v/>
      </c>
      <c r="S4486">
        <f>R4486/R4485-1</f>
        <v/>
      </c>
      <c r="T4486">
        <f>MAX(T4485,R4486)</f>
        <v/>
      </c>
      <c r="U4486">
        <f>R4486/T4486-1</f>
        <v/>
      </c>
      <c r="V4486" t="n">
        <v>16.42271491715673</v>
      </c>
      <c r="W4486" s="5">
        <f>R4486-V4486</f>
        <v/>
      </c>
    </row>
    <row r="4487">
      <c r="A4487" s="3" t="n">
        <v>45050</v>
      </c>
      <c r="B4487">
        <f>Prices!B4487</f>
        <v/>
      </c>
      <c r="C4487">
        <f>Prices!C4487</f>
        <v/>
      </c>
      <c r="D4487">
        <f>Prices!D4487</f>
        <v/>
      </c>
      <c r="E4487">
        <f>Prices!E4487</f>
        <v/>
      </c>
      <c r="F4487">
        <f>Prices!F4487</f>
        <v/>
      </c>
      <c r="G4487">
        <f>IF(AND(4485&gt;=16,TEXT(A4487,"yyyy-mm")&lt;&gt;TEXT(A4488,"yyyy-mm")),1,0)</f>
        <v/>
      </c>
      <c r="H4487">
        <f>IF(OR(H4486=1,G4487=1),1,0)</f>
        <v/>
      </c>
      <c r="I4487">
        <f>IF(H4486=0,1,SUMPRODUCT(J4486:N4486,B4487:F4487)+O4486*(1+0.00023125256064071564))</f>
        <v/>
      </c>
      <c r="J4487">
        <f>IF(G4487=1,0.2*R4487/B4487,J4486)</f>
        <v/>
      </c>
      <c r="K4487">
        <f>IF(G4487=1,0.2*R4487/C4487,K4486)</f>
        <v/>
      </c>
      <c r="L4487">
        <f>IF(G4487=1,0.2*R4487/D4487,L4486)</f>
        <v/>
      </c>
      <c r="M4487">
        <f>IF(G4487=1,0.2*R4487/E4487,M4486)</f>
        <v/>
      </c>
      <c r="N4487">
        <f>IF(G4487=1,0.2*R4487/F4487,N4486)</f>
        <v/>
      </c>
      <c r="O4487">
        <f>IF(G4487=1,R4487*(1-1.0),IF(H4486=0,1,O4486*(1+0.00023125256064071564)))</f>
        <v/>
      </c>
      <c r="P4487">
        <f>IF(G4487=1,IF(H4486=0,1,ABS(0.2-J4486*B4487/I4487)+ABS(0.2-K4486*C4487/I4487)+ABS(0.2-L4486*D4487/I4487)+ABS(0.2-M4486*E4487/I4487)+ABS(0.2-N4486*F4487/I4487)),0)</f>
        <v/>
      </c>
      <c r="Q4487">
        <f>P4487*0.0015</f>
        <v/>
      </c>
      <c r="R4487">
        <f>I4487*(1-Q4487)</f>
        <v/>
      </c>
      <c r="S4487">
        <f>R4487/R4486-1</f>
        <v/>
      </c>
      <c r="T4487">
        <f>MAX(T4486,R4487)</f>
        <v/>
      </c>
      <c r="U4487">
        <f>R4487/T4487-1</f>
        <v/>
      </c>
      <c r="V4487" t="n">
        <v>16.52678307277166</v>
      </c>
      <c r="W4487" s="5">
        <f>R4487-V4487</f>
        <v/>
      </c>
    </row>
    <row r="4488">
      <c r="A4488" s="3" t="n">
        <v>45051</v>
      </c>
      <c r="B4488">
        <f>Prices!B4488</f>
        <v/>
      </c>
      <c r="C4488">
        <f>Prices!C4488</f>
        <v/>
      </c>
      <c r="D4488">
        <f>Prices!D4488</f>
        <v/>
      </c>
      <c r="E4488">
        <f>Prices!E4488</f>
        <v/>
      </c>
      <c r="F4488">
        <f>Prices!F4488</f>
        <v/>
      </c>
      <c r="G4488">
        <f>IF(AND(4486&gt;=16,TEXT(A4488,"yyyy-mm")&lt;&gt;TEXT(A4489,"yyyy-mm")),1,0)</f>
        <v/>
      </c>
      <c r="H4488">
        <f>IF(OR(H4487=1,G4488=1),1,0)</f>
        <v/>
      </c>
      <c r="I4488">
        <f>IF(H4487=0,1,SUMPRODUCT(J4487:N4487,B4488:F4488)+O4487*(1+0.00023125256064071564))</f>
        <v/>
      </c>
      <c r="J4488">
        <f>IF(G4488=1,0.2*R4488/B4488,J4487)</f>
        <v/>
      </c>
      <c r="K4488">
        <f>IF(G4488=1,0.2*R4488/C4488,K4487)</f>
        <v/>
      </c>
      <c r="L4488">
        <f>IF(G4488=1,0.2*R4488/D4488,L4487)</f>
        <v/>
      </c>
      <c r="M4488">
        <f>IF(G4488=1,0.2*R4488/E4488,M4487)</f>
        <v/>
      </c>
      <c r="N4488">
        <f>IF(G4488=1,0.2*R4488/F4488,N4487)</f>
        <v/>
      </c>
      <c r="O4488">
        <f>IF(G4488=1,R4488*(1-1.0),IF(H4487=0,1,O4487*(1+0.00023125256064071564)))</f>
        <v/>
      </c>
      <c r="P4488">
        <f>IF(G4488=1,IF(H4487=0,1,ABS(0.2-J4487*B4488/I4488)+ABS(0.2-K4487*C4488/I4488)+ABS(0.2-L4487*D4488/I4488)+ABS(0.2-M4487*E4488/I4488)+ABS(0.2-N4487*F4488/I4488)),0)</f>
        <v/>
      </c>
      <c r="Q4488">
        <f>P4488*0.0015</f>
        <v/>
      </c>
      <c r="R4488">
        <f>I4488*(1-Q4488)</f>
        <v/>
      </c>
      <c r="S4488">
        <f>R4488/R4487-1</f>
        <v/>
      </c>
      <c r="T4488">
        <f>MAX(T4487,R4488)</f>
        <v/>
      </c>
      <c r="U4488">
        <f>R4488/T4488-1</f>
        <v/>
      </c>
      <c r="V4488" t="n">
        <v>16.41675646321016</v>
      </c>
      <c r="W4488" s="5">
        <f>R4488-V4488</f>
        <v/>
      </c>
    </row>
    <row r="4489">
      <c r="A4489" s="3" t="n">
        <v>45054</v>
      </c>
      <c r="B4489">
        <f>Prices!B4489</f>
        <v/>
      </c>
      <c r="C4489">
        <f>Prices!C4489</f>
        <v/>
      </c>
      <c r="D4489">
        <f>Prices!D4489</f>
        <v/>
      </c>
      <c r="E4489">
        <f>Prices!E4489</f>
        <v/>
      </c>
      <c r="F4489">
        <f>Prices!F4489</f>
        <v/>
      </c>
      <c r="G4489">
        <f>IF(AND(4487&gt;=16,TEXT(A4489,"yyyy-mm")&lt;&gt;TEXT(A4490,"yyyy-mm")),1,0)</f>
        <v/>
      </c>
      <c r="H4489">
        <f>IF(OR(H4488=1,G4489=1),1,0)</f>
        <v/>
      </c>
      <c r="I4489">
        <f>IF(H4488=0,1,SUMPRODUCT(J4488:N4488,B4489:F4489)+O4488*(1+0.00023125256064071564))</f>
        <v/>
      </c>
      <c r="J4489">
        <f>IF(G4489=1,0.2*R4489/B4489,J4488)</f>
        <v/>
      </c>
      <c r="K4489">
        <f>IF(G4489=1,0.2*R4489/C4489,K4488)</f>
        <v/>
      </c>
      <c r="L4489">
        <f>IF(G4489=1,0.2*R4489/D4489,L4488)</f>
        <v/>
      </c>
      <c r="M4489">
        <f>IF(G4489=1,0.2*R4489/E4489,M4488)</f>
        <v/>
      </c>
      <c r="N4489">
        <f>IF(G4489=1,0.2*R4489/F4489,N4488)</f>
        <v/>
      </c>
      <c r="O4489">
        <f>IF(G4489=1,R4489*(1-1.0),IF(H4488=0,1,O4488*(1+0.00023125256064071564)))</f>
        <v/>
      </c>
      <c r="P4489">
        <f>IF(G4489=1,IF(H4488=0,1,ABS(0.2-J4488*B4489/I4489)+ABS(0.2-K4488*C4489/I4489)+ABS(0.2-L4488*D4489/I4489)+ABS(0.2-M4488*E4489/I4489)+ABS(0.2-N4488*F4489/I4489)),0)</f>
        <v/>
      </c>
      <c r="Q4489">
        <f>P4489*0.0015</f>
        <v/>
      </c>
      <c r="R4489">
        <f>I4489*(1-Q4489)</f>
        <v/>
      </c>
      <c r="S4489">
        <f>R4489/R4488-1</f>
        <v/>
      </c>
      <c r="T4489">
        <f>MAX(T4488,R4489)</f>
        <v/>
      </c>
      <c r="U4489">
        <f>R4489/T4489-1</f>
        <v/>
      </c>
      <c r="V4489" t="n">
        <v>16.50284807625494</v>
      </c>
      <c r="W4489" s="5">
        <f>R4489-V4489</f>
        <v/>
      </c>
    </row>
    <row r="4490">
      <c r="A4490" s="3" t="n">
        <v>45055</v>
      </c>
      <c r="B4490">
        <f>Prices!B4490</f>
        <v/>
      </c>
      <c r="C4490">
        <f>Prices!C4490</f>
        <v/>
      </c>
      <c r="D4490">
        <f>Prices!D4490</f>
        <v/>
      </c>
      <c r="E4490">
        <f>Prices!E4490</f>
        <v/>
      </c>
      <c r="F4490">
        <f>Prices!F4490</f>
        <v/>
      </c>
      <c r="G4490">
        <f>IF(AND(4488&gt;=16,TEXT(A4490,"yyyy-mm")&lt;&gt;TEXT(A4491,"yyyy-mm")),1,0)</f>
        <v/>
      </c>
      <c r="H4490">
        <f>IF(OR(H4489=1,G4490=1),1,0)</f>
        <v/>
      </c>
      <c r="I4490">
        <f>IF(H4489=0,1,SUMPRODUCT(J4489:N4489,B4490:F4490)+O4489*(1+0.00023125256064071564))</f>
        <v/>
      </c>
      <c r="J4490">
        <f>IF(G4490=1,0.2*R4490/B4490,J4489)</f>
        <v/>
      </c>
      <c r="K4490">
        <f>IF(G4490=1,0.2*R4490/C4490,K4489)</f>
        <v/>
      </c>
      <c r="L4490">
        <f>IF(G4490=1,0.2*R4490/D4490,L4489)</f>
        <v/>
      </c>
      <c r="M4490">
        <f>IF(G4490=1,0.2*R4490/E4490,M4489)</f>
        <v/>
      </c>
      <c r="N4490">
        <f>IF(G4490=1,0.2*R4490/F4490,N4489)</f>
        <v/>
      </c>
      <c r="O4490">
        <f>IF(G4490=1,R4490*(1-1.0),IF(H4489=0,1,O4489*(1+0.00023125256064071564)))</f>
        <v/>
      </c>
      <c r="P4490">
        <f>IF(G4490=1,IF(H4489=0,1,ABS(0.2-J4489*B4490/I4490)+ABS(0.2-K4489*C4490/I4490)+ABS(0.2-L4489*D4490/I4490)+ABS(0.2-M4489*E4490/I4490)+ABS(0.2-N4489*F4490/I4490)),0)</f>
        <v/>
      </c>
      <c r="Q4490">
        <f>P4490*0.0015</f>
        <v/>
      </c>
      <c r="R4490">
        <f>I4490*(1-Q4490)</f>
        <v/>
      </c>
      <c r="S4490">
        <f>R4490/R4489-1</f>
        <v/>
      </c>
      <c r="T4490">
        <f>MAX(T4489,R4490)</f>
        <v/>
      </c>
      <c r="U4490">
        <f>R4490/T4490-1</f>
        <v/>
      </c>
      <c r="V4490" t="n">
        <v>16.47253428296089</v>
      </c>
      <c r="W4490" s="5">
        <f>R4490-V4490</f>
        <v/>
      </c>
    </row>
    <row r="4491">
      <c r="A4491" s="3" t="n">
        <v>45056</v>
      </c>
      <c r="B4491">
        <f>Prices!B4491</f>
        <v/>
      </c>
      <c r="C4491">
        <f>Prices!C4491</f>
        <v/>
      </c>
      <c r="D4491">
        <f>Prices!D4491</f>
        <v/>
      </c>
      <c r="E4491">
        <f>Prices!E4491</f>
        <v/>
      </c>
      <c r="F4491">
        <f>Prices!F4491</f>
        <v/>
      </c>
      <c r="G4491">
        <f>IF(AND(4489&gt;=16,TEXT(A4491,"yyyy-mm")&lt;&gt;TEXT(A4492,"yyyy-mm")),1,0)</f>
        <v/>
      </c>
      <c r="H4491">
        <f>IF(OR(H4490=1,G4491=1),1,0)</f>
        <v/>
      </c>
      <c r="I4491">
        <f>IF(H4490=0,1,SUMPRODUCT(J4490:N4490,B4491:F4491)+O4490*(1+0.00023125256064071564))</f>
        <v/>
      </c>
      <c r="J4491">
        <f>IF(G4491=1,0.2*R4491/B4491,J4490)</f>
        <v/>
      </c>
      <c r="K4491">
        <f>IF(G4491=1,0.2*R4491/C4491,K4490)</f>
        <v/>
      </c>
      <c r="L4491">
        <f>IF(G4491=1,0.2*R4491/D4491,L4490)</f>
        <v/>
      </c>
      <c r="M4491">
        <f>IF(G4491=1,0.2*R4491/E4491,M4490)</f>
        <v/>
      </c>
      <c r="N4491">
        <f>IF(G4491=1,0.2*R4491/F4491,N4490)</f>
        <v/>
      </c>
      <c r="O4491">
        <f>IF(G4491=1,R4491*(1-1.0),IF(H4490=0,1,O4490*(1+0.00023125256064071564)))</f>
        <v/>
      </c>
      <c r="P4491">
        <f>IF(G4491=1,IF(H4490=0,1,ABS(0.2-J4490*B4491/I4491)+ABS(0.2-K4490*C4491/I4491)+ABS(0.2-L4490*D4491/I4491)+ABS(0.2-M4490*E4491/I4491)+ABS(0.2-N4490*F4491/I4491)),0)</f>
        <v/>
      </c>
      <c r="Q4491">
        <f>P4491*0.0015</f>
        <v/>
      </c>
      <c r="R4491">
        <f>I4491*(1-Q4491)</f>
        <v/>
      </c>
      <c r="S4491">
        <f>R4491/R4490-1</f>
        <v/>
      </c>
      <c r="T4491">
        <f>MAX(T4490,R4491)</f>
        <v/>
      </c>
      <c r="U4491">
        <f>R4491/T4491-1</f>
        <v/>
      </c>
      <c r="V4491" t="n">
        <v>16.50537047496893</v>
      </c>
      <c r="W4491" s="5">
        <f>R4491-V4491</f>
        <v/>
      </c>
    </row>
    <row r="4492">
      <c r="A4492" s="3" t="n">
        <v>45057</v>
      </c>
      <c r="B4492">
        <f>Prices!B4492</f>
        <v/>
      </c>
      <c r="C4492">
        <f>Prices!C4492</f>
        <v/>
      </c>
      <c r="D4492">
        <f>Prices!D4492</f>
        <v/>
      </c>
      <c r="E4492">
        <f>Prices!E4492</f>
        <v/>
      </c>
      <c r="F4492">
        <f>Prices!F4492</f>
        <v/>
      </c>
      <c r="G4492">
        <f>IF(AND(4490&gt;=16,TEXT(A4492,"yyyy-mm")&lt;&gt;TEXT(A4493,"yyyy-mm")),1,0)</f>
        <v/>
      </c>
      <c r="H4492">
        <f>IF(OR(H4491=1,G4492=1),1,0)</f>
        <v/>
      </c>
      <c r="I4492">
        <f>IF(H4491=0,1,SUMPRODUCT(J4491:N4491,B4492:F4492)+O4491*(1+0.00023125256064071564))</f>
        <v/>
      </c>
      <c r="J4492">
        <f>IF(G4492=1,0.2*R4492/B4492,J4491)</f>
        <v/>
      </c>
      <c r="K4492">
        <f>IF(G4492=1,0.2*R4492/C4492,K4491)</f>
        <v/>
      </c>
      <c r="L4492">
        <f>IF(G4492=1,0.2*R4492/D4492,L4491)</f>
        <v/>
      </c>
      <c r="M4492">
        <f>IF(G4492=1,0.2*R4492/E4492,M4491)</f>
        <v/>
      </c>
      <c r="N4492">
        <f>IF(G4492=1,0.2*R4492/F4492,N4491)</f>
        <v/>
      </c>
      <c r="O4492">
        <f>IF(G4492=1,R4492*(1-1.0),IF(H4491=0,1,O4491*(1+0.00023125256064071564)))</f>
        <v/>
      </c>
      <c r="P4492">
        <f>IF(G4492=1,IF(H4491=0,1,ABS(0.2-J4491*B4492/I4492)+ABS(0.2-K4491*C4492/I4492)+ABS(0.2-L4491*D4492/I4492)+ABS(0.2-M4491*E4492/I4492)+ABS(0.2-N4491*F4492/I4492)),0)</f>
        <v/>
      </c>
      <c r="Q4492">
        <f>P4492*0.0015</f>
        <v/>
      </c>
      <c r="R4492">
        <f>I4492*(1-Q4492)</f>
        <v/>
      </c>
      <c r="S4492">
        <f>R4492/R4491-1</f>
        <v/>
      </c>
      <c r="T4492">
        <f>MAX(T4491,R4492)</f>
        <v/>
      </c>
      <c r="U4492">
        <f>R4492/T4492-1</f>
        <v/>
      </c>
      <c r="V4492" t="n">
        <v>16.5514856667902</v>
      </c>
      <c r="W4492" s="5">
        <f>R4492-V4492</f>
        <v/>
      </c>
    </row>
    <row r="4493">
      <c r="A4493" s="3" t="n">
        <v>45058</v>
      </c>
      <c r="B4493">
        <f>Prices!B4493</f>
        <v/>
      </c>
      <c r="C4493">
        <f>Prices!C4493</f>
        <v/>
      </c>
      <c r="D4493">
        <f>Prices!D4493</f>
        <v/>
      </c>
      <c r="E4493">
        <f>Prices!E4493</f>
        <v/>
      </c>
      <c r="F4493">
        <f>Prices!F4493</f>
        <v/>
      </c>
      <c r="G4493">
        <f>IF(AND(4491&gt;=16,TEXT(A4493,"yyyy-mm")&lt;&gt;TEXT(A4494,"yyyy-mm")),1,0)</f>
        <v/>
      </c>
      <c r="H4493">
        <f>IF(OR(H4492=1,G4493=1),1,0)</f>
        <v/>
      </c>
      <c r="I4493">
        <f>IF(H4492=0,1,SUMPRODUCT(J4492:N4492,B4493:F4493)+O4492*(1+0.00023125256064071564))</f>
        <v/>
      </c>
      <c r="J4493">
        <f>IF(G4493=1,0.2*R4493/B4493,J4492)</f>
        <v/>
      </c>
      <c r="K4493">
        <f>IF(G4493=1,0.2*R4493/C4493,K4492)</f>
        <v/>
      </c>
      <c r="L4493">
        <f>IF(G4493=1,0.2*R4493/D4493,L4492)</f>
        <v/>
      </c>
      <c r="M4493">
        <f>IF(G4493=1,0.2*R4493/E4493,M4492)</f>
        <v/>
      </c>
      <c r="N4493">
        <f>IF(G4493=1,0.2*R4493/F4493,N4492)</f>
        <v/>
      </c>
      <c r="O4493">
        <f>IF(G4493=1,R4493*(1-1.0),IF(H4492=0,1,O4492*(1+0.00023125256064071564)))</f>
        <v/>
      </c>
      <c r="P4493">
        <f>IF(G4493=1,IF(H4492=0,1,ABS(0.2-J4492*B4493/I4493)+ABS(0.2-K4492*C4493/I4493)+ABS(0.2-L4492*D4493/I4493)+ABS(0.2-M4492*E4493/I4493)+ABS(0.2-N4492*F4493/I4493)),0)</f>
        <v/>
      </c>
      <c r="Q4493">
        <f>P4493*0.0015</f>
        <v/>
      </c>
      <c r="R4493">
        <f>I4493*(1-Q4493)</f>
        <v/>
      </c>
      <c r="S4493">
        <f>R4493/R4492-1</f>
        <v/>
      </c>
      <c r="T4493">
        <f>MAX(T4492,R4493)</f>
        <v/>
      </c>
      <c r="U4493">
        <f>R4493/T4493-1</f>
        <v/>
      </c>
      <c r="V4493" t="n">
        <v>16.46567095685503</v>
      </c>
      <c r="W4493" s="5">
        <f>R4493-V4493</f>
        <v/>
      </c>
    </row>
    <row r="4494">
      <c r="A4494" s="3" t="n">
        <v>45061</v>
      </c>
      <c r="B4494">
        <f>Prices!B4494</f>
        <v/>
      </c>
      <c r="C4494">
        <f>Prices!C4494</f>
        <v/>
      </c>
      <c r="D4494">
        <f>Prices!D4494</f>
        <v/>
      </c>
      <c r="E4494">
        <f>Prices!E4494</f>
        <v/>
      </c>
      <c r="F4494">
        <f>Prices!F4494</f>
        <v/>
      </c>
      <c r="G4494">
        <f>IF(AND(4492&gt;=16,TEXT(A4494,"yyyy-mm")&lt;&gt;TEXT(A4495,"yyyy-mm")),1,0)</f>
        <v/>
      </c>
      <c r="H4494">
        <f>IF(OR(H4493=1,G4494=1),1,0)</f>
        <v/>
      </c>
      <c r="I4494">
        <f>IF(H4493=0,1,SUMPRODUCT(J4493:N4493,B4494:F4494)+O4493*(1+0.00023125256064071564))</f>
        <v/>
      </c>
      <c r="J4494">
        <f>IF(G4494=1,0.2*R4494/B4494,J4493)</f>
        <v/>
      </c>
      <c r="K4494">
        <f>IF(G4494=1,0.2*R4494/C4494,K4493)</f>
        <v/>
      </c>
      <c r="L4494">
        <f>IF(G4494=1,0.2*R4494/D4494,L4493)</f>
        <v/>
      </c>
      <c r="M4494">
        <f>IF(G4494=1,0.2*R4494/E4494,M4493)</f>
        <v/>
      </c>
      <c r="N4494">
        <f>IF(G4494=1,0.2*R4494/F4494,N4493)</f>
        <v/>
      </c>
      <c r="O4494">
        <f>IF(G4494=1,R4494*(1-1.0),IF(H4493=0,1,O4493*(1+0.00023125256064071564)))</f>
        <v/>
      </c>
      <c r="P4494">
        <f>IF(G4494=1,IF(H4493=0,1,ABS(0.2-J4493*B4494/I4494)+ABS(0.2-K4493*C4494/I4494)+ABS(0.2-L4493*D4494/I4494)+ABS(0.2-M4493*E4494/I4494)+ABS(0.2-N4493*F4494/I4494)),0)</f>
        <v/>
      </c>
      <c r="Q4494">
        <f>P4494*0.0015</f>
        <v/>
      </c>
      <c r="R4494">
        <f>I4494*(1-Q4494)</f>
        <v/>
      </c>
      <c r="S4494">
        <f>R4494/R4493-1</f>
        <v/>
      </c>
      <c r="T4494">
        <f>MAX(T4493,R4494)</f>
        <v/>
      </c>
      <c r="U4494">
        <f>R4494/T4494-1</f>
        <v/>
      </c>
      <c r="V4494" t="n">
        <v>16.53849156798348</v>
      </c>
      <c r="W4494" s="5">
        <f>R4494-V4494</f>
        <v/>
      </c>
    </row>
    <row r="4495">
      <c r="A4495" s="3" t="n">
        <v>45062</v>
      </c>
      <c r="B4495">
        <f>Prices!B4495</f>
        <v/>
      </c>
      <c r="C4495">
        <f>Prices!C4495</f>
        <v/>
      </c>
      <c r="D4495">
        <f>Prices!D4495</f>
        <v/>
      </c>
      <c r="E4495">
        <f>Prices!E4495</f>
        <v/>
      </c>
      <c r="F4495">
        <f>Prices!F4495</f>
        <v/>
      </c>
      <c r="G4495">
        <f>IF(AND(4493&gt;=16,TEXT(A4495,"yyyy-mm")&lt;&gt;TEXT(A4496,"yyyy-mm")),1,0)</f>
        <v/>
      </c>
      <c r="H4495">
        <f>IF(OR(H4494=1,G4495=1),1,0)</f>
        <v/>
      </c>
      <c r="I4495">
        <f>IF(H4494=0,1,SUMPRODUCT(J4494:N4494,B4495:F4495)+O4494*(1+0.00023125256064071564))</f>
        <v/>
      </c>
      <c r="J4495">
        <f>IF(G4495=1,0.2*R4495/B4495,J4494)</f>
        <v/>
      </c>
      <c r="K4495">
        <f>IF(G4495=1,0.2*R4495/C4495,K4494)</f>
        <v/>
      </c>
      <c r="L4495">
        <f>IF(G4495=1,0.2*R4495/D4495,L4494)</f>
        <v/>
      </c>
      <c r="M4495">
        <f>IF(G4495=1,0.2*R4495/E4495,M4494)</f>
        <v/>
      </c>
      <c r="N4495">
        <f>IF(G4495=1,0.2*R4495/F4495,N4494)</f>
        <v/>
      </c>
      <c r="O4495">
        <f>IF(G4495=1,R4495*(1-1.0),IF(H4494=0,1,O4494*(1+0.00023125256064071564)))</f>
        <v/>
      </c>
      <c r="P4495">
        <f>IF(G4495=1,IF(H4494=0,1,ABS(0.2-J4494*B4495/I4495)+ABS(0.2-K4494*C4495/I4495)+ABS(0.2-L4494*D4495/I4495)+ABS(0.2-M4494*E4495/I4495)+ABS(0.2-N4494*F4495/I4495)),0)</f>
        <v/>
      </c>
      <c r="Q4495">
        <f>P4495*0.0015</f>
        <v/>
      </c>
      <c r="R4495">
        <f>I4495*(1-Q4495)</f>
        <v/>
      </c>
      <c r="S4495">
        <f>R4495/R4494-1</f>
        <v/>
      </c>
      <c r="T4495">
        <f>MAX(T4494,R4495)</f>
        <v/>
      </c>
      <c r="U4495">
        <f>R4495/T4495-1</f>
        <v/>
      </c>
      <c r="V4495" t="n">
        <v>16.58143705317807</v>
      </c>
      <c r="W4495" s="5">
        <f>R4495-V4495</f>
        <v/>
      </c>
    </row>
    <row r="4496">
      <c r="A4496" s="3" t="n">
        <v>45063</v>
      </c>
      <c r="B4496">
        <f>Prices!B4496</f>
        <v/>
      </c>
      <c r="C4496">
        <f>Prices!C4496</f>
        <v/>
      </c>
      <c r="D4496">
        <f>Prices!D4496</f>
        <v/>
      </c>
      <c r="E4496">
        <f>Prices!E4496</f>
        <v/>
      </c>
      <c r="F4496">
        <f>Prices!F4496</f>
        <v/>
      </c>
      <c r="G4496">
        <f>IF(AND(4494&gt;=16,TEXT(A4496,"yyyy-mm")&lt;&gt;TEXT(A4497,"yyyy-mm")),1,0)</f>
        <v/>
      </c>
      <c r="H4496">
        <f>IF(OR(H4495=1,G4496=1),1,0)</f>
        <v/>
      </c>
      <c r="I4496">
        <f>IF(H4495=0,1,SUMPRODUCT(J4495:N4495,B4496:F4496)+O4495*(1+0.00023125256064071564))</f>
        <v/>
      </c>
      <c r="J4496">
        <f>IF(G4496=1,0.2*R4496/B4496,J4495)</f>
        <v/>
      </c>
      <c r="K4496">
        <f>IF(G4496=1,0.2*R4496/C4496,K4495)</f>
        <v/>
      </c>
      <c r="L4496">
        <f>IF(G4496=1,0.2*R4496/D4496,L4495)</f>
        <v/>
      </c>
      <c r="M4496">
        <f>IF(G4496=1,0.2*R4496/E4496,M4495)</f>
        <v/>
      </c>
      <c r="N4496">
        <f>IF(G4496=1,0.2*R4496/F4496,N4495)</f>
        <v/>
      </c>
      <c r="O4496">
        <f>IF(G4496=1,R4496*(1-1.0),IF(H4495=0,1,O4495*(1+0.00023125256064071564)))</f>
        <v/>
      </c>
      <c r="P4496">
        <f>IF(G4496=1,IF(H4495=0,1,ABS(0.2-J4495*B4496/I4496)+ABS(0.2-K4495*C4496/I4496)+ABS(0.2-L4495*D4496/I4496)+ABS(0.2-M4495*E4496/I4496)+ABS(0.2-N4495*F4496/I4496)),0)</f>
        <v/>
      </c>
      <c r="Q4496">
        <f>P4496*0.0015</f>
        <v/>
      </c>
      <c r="R4496">
        <f>I4496*(1-Q4496)</f>
        <v/>
      </c>
      <c r="S4496">
        <f>R4496/R4495-1</f>
        <v/>
      </c>
      <c r="T4496">
        <f>MAX(T4495,R4496)</f>
        <v/>
      </c>
      <c r="U4496">
        <f>R4496/T4496-1</f>
        <v/>
      </c>
      <c r="V4496" t="n">
        <v>16.58203268408805</v>
      </c>
      <c r="W4496" s="5">
        <f>R4496-V4496</f>
        <v/>
      </c>
    </row>
    <row r="4497">
      <c r="A4497" s="3" t="n">
        <v>45064</v>
      </c>
      <c r="B4497">
        <f>Prices!B4497</f>
        <v/>
      </c>
      <c r="C4497">
        <f>Prices!C4497</f>
        <v/>
      </c>
      <c r="D4497">
        <f>Prices!D4497</f>
        <v/>
      </c>
      <c r="E4497">
        <f>Prices!E4497</f>
        <v/>
      </c>
      <c r="F4497">
        <f>Prices!F4497</f>
        <v/>
      </c>
      <c r="G4497">
        <f>IF(AND(4495&gt;=16,TEXT(A4497,"yyyy-mm")&lt;&gt;TEXT(A4498,"yyyy-mm")),1,0)</f>
        <v/>
      </c>
      <c r="H4497">
        <f>IF(OR(H4496=1,G4497=1),1,0)</f>
        <v/>
      </c>
      <c r="I4497">
        <f>IF(H4496=0,1,SUMPRODUCT(J4496:N4496,B4497:F4497)+O4496*(1+0.00023125256064071564))</f>
        <v/>
      </c>
      <c r="J4497">
        <f>IF(G4497=1,0.2*R4497/B4497,J4496)</f>
        <v/>
      </c>
      <c r="K4497">
        <f>IF(G4497=1,0.2*R4497/C4497,K4496)</f>
        <v/>
      </c>
      <c r="L4497">
        <f>IF(G4497=1,0.2*R4497/D4497,L4496)</f>
        <v/>
      </c>
      <c r="M4497">
        <f>IF(G4497=1,0.2*R4497/E4497,M4496)</f>
        <v/>
      </c>
      <c r="N4497">
        <f>IF(G4497=1,0.2*R4497/F4497,N4496)</f>
        <v/>
      </c>
      <c r="O4497">
        <f>IF(G4497=1,R4497*(1-1.0),IF(H4496=0,1,O4496*(1+0.00023125256064071564)))</f>
        <v/>
      </c>
      <c r="P4497">
        <f>IF(G4497=1,IF(H4496=0,1,ABS(0.2-J4496*B4497/I4497)+ABS(0.2-K4496*C4497/I4497)+ABS(0.2-L4496*D4497/I4497)+ABS(0.2-M4496*E4497/I4497)+ABS(0.2-N4496*F4497/I4497)),0)</f>
        <v/>
      </c>
      <c r="Q4497">
        <f>P4497*0.0015</f>
        <v/>
      </c>
      <c r="R4497">
        <f>I4497*(1-Q4497)</f>
        <v/>
      </c>
      <c r="S4497">
        <f>R4497/R4496-1</f>
        <v/>
      </c>
      <c r="T4497">
        <f>MAX(T4496,R4497)</f>
        <v/>
      </c>
      <c r="U4497">
        <f>R4497/T4497-1</f>
        <v/>
      </c>
      <c r="V4497" t="n">
        <v>16.44276846836566</v>
      </c>
      <c r="W4497" s="5">
        <f>R4497-V4497</f>
        <v/>
      </c>
    </row>
    <row r="4498">
      <c r="A4498" s="3" t="n">
        <v>45065</v>
      </c>
      <c r="B4498">
        <f>Prices!B4498</f>
        <v/>
      </c>
      <c r="C4498">
        <f>Prices!C4498</f>
        <v/>
      </c>
      <c r="D4498">
        <f>Prices!D4498</f>
        <v/>
      </c>
      <c r="E4498">
        <f>Prices!E4498</f>
        <v/>
      </c>
      <c r="F4498">
        <f>Prices!F4498</f>
        <v/>
      </c>
      <c r="G4498">
        <f>IF(AND(4496&gt;=16,TEXT(A4498,"yyyy-mm")&lt;&gt;TEXT(A4499,"yyyy-mm")),1,0)</f>
        <v/>
      </c>
      <c r="H4498">
        <f>IF(OR(H4497=1,G4498=1),1,0)</f>
        <v/>
      </c>
      <c r="I4498">
        <f>IF(H4497=0,1,SUMPRODUCT(J4497:N4497,B4498:F4498)+O4497*(1+0.00023125256064071564))</f>
        <v/>
      </c>
      <c r="J4498">
        <f>IF(G4498=1,0.2*R4498/B4498,J4497)</f>
        <v/>
      </c>
      <c r="K4498">
        <f>IF(G4498=1,0.2*R4498/C4498,K4497)</f>
        <v/>
      </c>
      <c r="L4498">
        <f>IF(G4498=1,0.2*R4498/D4498,L4497)</f>
        <v/>
      </c>
      <c r="M4498">
        <f>IF(G4498=1,0.2*R4498/E4498,M4497)</f>
        <v/>
      </c>
      <c r="N4498">
        <f>IF(G4498=1,0.2*R4498/F4498,N4497)</f>
        <v/>
      </c>
      <c r="O4498">
        <f>IF(G4498=1,R4498*(1-1.0),IF(H4497=0,1,O4497*(1+0.00023125256064071564)))</f>
        <v/>
      </c>
      <c r="P4498">
        <f>IF(G4498=1,IF(H4497=0,1,ABS(0.2-J4497*B4498/I4498)+ABS(0.2-K4497*C4498/I4498)+ABS(0.2-L4497*D4498/I4498)+ABS(0.2-M4497*E4498/I4498)+ABS(0.2-N4497*F4498/I4498)),0)</f>
        <v/>
      </c>
      <c r="Q4498">
        <f>P4498*0.0015</f>
        <v/>
      </c>
      <c r="R4498">
        <f>I4498*(1-Q4498)</f>
        <v/>
      </c>
      <c r="S4498">
        <f>R4498/R4497-1</f>
        <v/>
      </c>
      <c r="T4498">
        <f>MAX(T4497,R4498)</f>
        <v/>
      </c>
      <c r="U4498">
        <f>R4498/T4498-1</f>
        <v/>
      </c>
      <c r="V4498" t="n">
        <v>16.42090672252397</v>
      </c>
      <c r="W4498" s="5">
        <f>R4498-V4498</f>
        <v/>
      </c>
    </row>
    <row r="4499">
      <c r="A4499" s="3" t="n">
        <v>45068</v>
      </c>
      <c r="B4499">
        <f>Prices!B4499</f>
        <v/>
      </c>
      <c r="C4499">
        <f>Prices!C4499</f>
        <v/>
      </c>
      <c r="D4499">
        <f>Prices!D4499</f>
        <v/>
      </c>
      <c r="E4499">
        <f>Prices!E4499</f>
        <v/>
      </c>
      <c r="F4499">
        <f>Prices!F4499</f>
        <v/>
      </c>
      <c r="G4499">
        <f>IF(AND(4497&gt;=16,TEXT(A4499,"yyyy-mm")&lt;&gt;TEXT(A4500,"yyyy-mm")),1,0)</f>
        <v/>
      </c>
      <c r="H4499">
        <f>IF(OR(H4498=1,G4499=1),1,0)</f>
        <v/>
      </c>
      <c r="I4499">
        <f>IF(H4498=0,1,SUMPRODUCT(J4498:N4498,B4499:F4499)+O4498*(1+0.00023125256064071564))</f>
        <v/>
      </c>
      <c r="J4499">
        <f>IF(G4499=1,0.2*R4499/B4499,J4498)</f>
        <v/>
      </c>
      <c r="K4499">
        <f>IF(G4499=1,0.2*R4499/C4499,K4498)</f>
        <v/>
      </c>
      <c r="L4499">
        <f>IF(G4499=1,0.2*R4499/D4499,L4498)</f>
        <v/>
      </c>
      <c r="M4499">
        <f>IF(G4499=1,0.2*R4499/E4499,M4498)</f>
        <v/>
      </c>
      <c r="N4499">
        <f>IF(G4499=1,0.2*R4499/F4499,N4498)</f>
        <v/>
      </c>
      <c r="O4499">
        <f>IF(G4499=1,R4499*(1-1.0),IF(H4498=0,1,O4498*(1+0.00023125256064071564)))</f>
        <v/>
      </c>
      <c r="P4499">
        <f>IF(G4499=1,IF(H4498=0,1,ABS(0.2-J4498*B4499/I4499)+ABS(0.2-K4498*C4499/I4499)+ABS(0.2-L4498*D4499/I4499)+ABS(0.2-M4498*E4499/I4499)+ABS(0.2-N4498*F4499/I4499)),0)</f>
        <v/>
      </c>
      <c r="Q4499">
        <f>P4499*0.0015</f>
        <v/>
      </c>
      <c r="R4499">
        <f>I4499*(1-Q4499)</f>
        <v/>
      </c>
      <c r="S4499">
        <f>R4499/R4498-1</f>
        <v/>
      </c>
      <c r="T4499">
        <f>MAX(T4498,R4499)</f>
        <v/>
      </c>
      <c r="U4499">
        <f>R4499/T4499-1</f>
        <v/>
      </c>
      <c r="V4499" t="n">
        <v>16.51582849324793</v>
      </c>
      <c r="W4499" s="5">
        <f>R4499-V4499</f>
        <v/>
      </c>
    </row>
    <row r="4500">
      <c r="A4500" s="3" t="n">
        <v>45069</v>
      </c>
      <c r="B4500">
        <f>Prices!B4500</f>
        <v/>
      </c>
      <c r="C4500">
        <f>Prices!C4500</f>
        <v/>
      </c>
      <c r="D4500">
        <f>Prices!D4500</f>
        <v/>
      </c>
      <c r="E4500">
        <f>Prices!E4500</f>
        <v/>
      </c>
      <c r="F4500">
        <f>Prices!F4500</f>
        <v/>
      </c>
      <c r="G4500">
        <f>IF(AND(4498&gt;=16,TEXT(A4500,"yyyy-mm")&lt;&gt;TEXT(A4501,"yyyy-mm")),1,0)</f>
        <v/>
      </c>
      <c r="H4500">
        <f>IF(OR(H4499=1,G4500=1),1,0)</f>
        <v/>
      </c>
      <c r="I4500">
        <f>IF(H4499=0,1,SUMPRODUCT(J4499:N4499,B4500:F4500)+O4499*(1+0.00023125256064071564))</f>
        <v/>
      </c>
      <c r="J4500">
        <f>IF(G4500=1,0.2*R4500/B4500,J4499)</f>
        <v/>
      </c>
      <c r="K4500">
        <f>IF(G4500=1,0.2*R4500/C4500,K4499)</f>
        <v/>
      </c>
      <c r="L4500">
        <f>IF(G4500=1,0.2*R4500/D4500,L4499)</f>
        <v/>
      </c>
      <c r="M4500">
        <f>IF(G4500=1,0.2*R4500/E4500,M4499)</f>
        <v/>
      </c>
      <c r="N4500">
        <f>IF(G4500=1,0.2*R4500/F4500,N4499)</f>
        <v/>
      </c>
      <c r="O4500">
        <f>IF(G4500=1,R4500*(1-1.0),IF(H4499=0,1,O4499*(1+0.00023125256064071564)))</f>
        <v/>
      </c>
      <c r="P4500">
        <f>IF(G4500=1,IF(H4499=0,1,ABS(0.2-J4499*B4500/I4500)+ABS(0.2-K4499*C4500/I4500)+ABS(0.2-L4499*D4500/I4500)+ABS(0.2-M4499*E4500/I4500)+ABS(0.2-N4499*F4500/I4500)),0)</f>
        <v/>
      </c>
      <c r="Q4500">
        <f>P4500*0.0015</f>
        <v/>
      </c>
      <c r="R4500">
        <f>I4500*(1-Q4500)</f>
        <v/>
      </c>
      <c r="S4500">
        <f>R4500/R4499-1</f>
        <v/>
      </c>
      <c r="T4500">
        <f>MAX(T4499,R4500)</f>
        <v/>
      </c>
      <c r="U4500">
        <f>R4500/T4500-1</f>
        <v/>
      </c>
      <c r="V4500" t="n">
        <v>16.54650030795186</v>
      </c>
      <c r="W4500" s="5">
        <f>R4500-V4500</f>
        <v/>
      </c>
    </row>
    <row r="4501">
      <c r="A4501" s="3" t="n">
        <v>45070</v>
      </c>
      <c r="B4501">
        <f>Prices!B4501</f>
        <v/>
      </c>
      <c r="C4501">
        <f>Prices!C4501</f>
        <v/>
      </c>
      <c r="D4501">
        <f>Prices!D4501</f>
        <v/>
      </c>
      <c r="E4501">
        <f>Prices!E4501</f>
        <v/>
      </c>
      <c r="F4501">
        <f>Prices!F4501</f>
        <v/>
      </c>
      <c r="G4501">
        <f>IF(AND(4499&gt;=16,TEXT(A4501,"yyyy-mm")&lt;&gt;TEXT(A4502,"yyyy-mm")),1,0)</f>
        <v/>
      </c>
      <c r="H4501">
        <f>IF(OR(H4500=1,G4501=1),1,0)</f>
        <v/>
      </c>
      <c r="I4501">
        <f>IF(H4500=0,1,SUMPRODUCT(J4500:N4500,B4501:F4501)+O4500*(1+0.00023125256064071564))</f>
        <v/>
      </c>
      <c r="J4501">
        <f>IF(G4501=1,0.2*R4501/B4501,J4500)</f>
        <v/>
      </c>
      <c r="K4501">
        <f>IF(G4501=1,0.2*R4501/C4501,K4500)</f>
        <v/>
      </c>
      <c r="L4501">
        <f>IF(G4501=1,0.2*R4501/D4501,L4500)</f>
        <v/>
      </c>
      <c r="M4501">
        <f>IF(G4501=1,0.2*R4501/E4501,M4500)</f>
        <v/>
      </c>
      <c r="N4501">
        <f>IF(G4501=1,0.2*R4501/F4501,N4500)</f>
        <v/>
      </c>
      <c r="O4501">
        <f>IF(G4501=1,R4501*(1-1.0),IF(H4500=0,1,O4500*(1+0.00023125256064071564)))</f>
        <v/>
      </c>
      <c r="P4501">
        <f>IF(G4501=1,IF(H4500=0,1,ABS(0.2-J4500*B4501/I4501)+ABS(0.2-K4500*C4501/I4501)+ABS(0.2-L4500*D4501/I4501)+ABS(0.2-M4500*E4501/I4501)+ABS(0.2-N4500*F4501/I4501)),0)</f>
        <v/>
      </c>
      <c r="Q4501">
        <f>P4501*0.0015</f>
        <v/>
      </c>
      <c r="R4501">
        <f>I4501*(1-Q4501)</f>
        <v/>
      </c>
      <c r="S4501">
        <f>R4501/R4500-1</f>
        <v/>
      </c>
      <c r="T4501">
        <f>MAX(T4500,R4501)</f>
        <v/>
      </c>
      <c r="U4501">
        <f>R4501/T4501-1</f>
        <v/>
      </c>
      <c r="V4501" t="n">
        <v>16.55877197933368</v>
      </c>
      <c r="W4501" s="5">
        <f>R4501-V4501</f>
        <v/>
      </c>
    </row>
    <row r="4502">
      <c r="A4502" s="3" t="n">
        <v>45071</v>
      </c>
      <c r="B4502">
        <f>Prices!B4502</f>
        <v/>
      </c>
      <c r="C4502">
        <f>Prices!C4502</f>
        <v/>
      </c>
      <c r="D4502">
        <f>Prices!D4502</f>
        <v/>
      </c>
      <c r="E4502">
        <f>Prices!E4502</f>
        <v/>
      </c>
      <c r="F4502">
        <f>Prices!F4502</f>
        <v/>
      </c>
      <c r="G4502">
        <f>IF(AND(4500&gt;=16,TEXT(A4502,"yyyy-mm")&lt;&gt;TEXT(A4503,"yyyy-mm")),1,0)</f>
        <v/>
      </c>
      <c r="H4502">
        <f>IF(OR(H4501=1,G4502=1),1,0)</f>
        <v/>
      </c>
      <c r="I4502">
        <f>IF(H4501=0,1,SUMPRODUCT(J4501:N4501,B4502:F4502)+O4501*(1+0.00023125256064071564))</f>
        <v/>
      </c>
      <c r="J4502">
        <f>IF(G4502=1,0.2*R4502/B4502,J4501)</f>
        <v/>
      </c>
      <c r="K4502">
        <f>IF(G4502=1,0.2*R4502/C4502,K4501)</f>
        <v/>
      </c>
      <c r="L4502">
        <f>IF(G4502=1,0.2*R4502/D4502,L4501)</f>
        <v/>
      </c>
      <c r="M4502">
        <f>IF(G4502=1,0.2*R4502/E4502,M4501)</f>
        <v/>
      </c>
      <c r="N4502">
        <f>IF(G4502=1,0.2*R4502/F4502,N4501)</f>
        <v/>
      </c>
      <c r="O4502">
        <f>IF(G4502=1,R4502*(1-1.0),IF(H4501=0,1,O4501*(1+0.00023125256064071564)))</f>
        <v/>
      </c>
      <c r="P4502">
        <f>IF(G4502=1,IF(H4501=0,1,ABS(0.2-J4501*B4502/I4502)+ABS(0.2-K4501*C4502/I4502)+ABS(0.2-L4501*D4502/I4502)+ABS(0.2-M4501*E4502/I4502)+ABS(0.2-N4501*F4502/I4502)),0)</f>
        <v/>
      </c>
      <c r="Q4502">
        <f>P4502*0.0015</f>
        <v/>
      </c>
      <c r="R4502">
        <f>I4502*(1-Q4502)</f>
        <v/>
      </c>
      <c r="S4502">
        <f>R4502/R4501-1</f>
        <v/>
      </c>
      <c r="T4502">
        <f>MAX(T4501,R4502)</f>
        <v/>
      </c>
      <c r="U4502">
        <f>R4502/T4502-1</f>
        <v/>
      </c>
      <c r="V4502" t="n">
        <v>16.62751467548242</v>
      </c>
      <c r="W4502" s="5">
        <f>R4502-V4502</f>
        <v/>
      </c>
    </row>
    <row r="4503">
      <c r="A4503" s="3" t="n">
        <v>45072</v>
      </c>
      <c r="B4503">
        <f>Prices!B4503</f>
        <v/>
      </c>
      <c r="C4503">
        <f>Prices!C4503</f>
        <v/>
      </c>
      <c r="D4503">
        <f>Prices!D4503</f>
        <v/>
      </c>
      <c r="E4503">
        <f>Prices!E4503</f>
        <v/>
      </c>
      <c r="F4503">
        <f>Prices!F4503</f>
        <v/>
      </c>
      <c r="G4503">
        <f>IF(AND(4501&gt;=16,TEXT(A4503,"yyyy-mm")&lt;&gt;TEXT(A4504,"yyyy-mm")),1,0)</f>
        <v/>
      </c>
      <c r="H4503">
        <f>IF(OR(H4502=1,G4503=1),1,0)</f>
        <v/>
      </c>
      <c r="I4503">
        <f>IF(H4502=0,1,SUMPRODUCT(J4502:N4502,B4503:F4503)+O4502*(1+0.00023125256064071564))</f>
        <v/>
      </c>
      <c r="J4503">
        <f>IF(G4503=1,0.2*R4503/B4503,J4502)</f>
        <v/>
      </c>
      <c r="K4503">
        <f>IF(G4503=1,0.2*R4503/C4503,K4502)</f>
        <v/>
      </c>
      <c r="L4503">
        <f>IF(G4503=1,0.2*R4503/D4503,L4502)</f>
        <v/>
      </c>
      <c r="M4503">
        <f>IF(G4503=1,0.2*R4503/E4503,M4502)</f>
        <v/>
      </c>
      <c r="N4503">
        <f>IF(G4503=1,0.2*R4503/F4503,N4502)</f>
        <v/>
      </c>
      <c r="O4503">
        <f>IF(G4503=1,R4503*(1-1.0),IF(H4502=0,1,O4502*(1+0.00023125256064071564)))</f>
        <v/>
      </c>
      <c r="P4503">
        <f>IF(G4503=1,IF(H4502=0,1,ABS(0.2-J4502*B4503/I4503)+ABS(0.2-K4502*C4503/I4503)+ABS(0.2-L4502*D4503/I4503)+ABS(0.2-M4502*E4503/I4503)+ABS(0.2-N4502*F4503/I4503)),0)</f>
        <v/>
      </c>
      <c r="Q4503">
        <f>P4503*0.0015</f>
        <v/>
      </c>
      <c r="R4503">
        <f>I4503*(1-Q4503)</f>
        <v/>
      </c>
      <c r="S4503">
        <f>R4503/R4502-1</f>
        <v/>
      </c>
      <c r="T4503">
        <f>MAX(T4502,R4503)</f>
        <v/>
      </c>
      <c r="U4503">
        <f>R4503/T4503-1</f>
        <v/>
      </c>
      <c r="V4503" t="n">
        <v>16.77718266776341</v>
      </c>
      <c r="W4503" s="5">
        <f>R4503-V4503</f>
        <v/>
      </c>
    </row>
    <row r="4504">
      <c r="A4504" s="3" t="n">
        <v>45075</v>
      </c>
      <c r="B4504">
        <f>Prices!B4504</f>
        <v/>
      </c>
      <c r="C4504">
        <f>Prices!C4504</f>
        <v/>
      </c>
      <c r="D4504">
        <f>Prices!D4504</f>
        <v/>
      </c>
      <c r="E4504">
        <f>Prices!E4504</f>
        <v/>
      </c>
      <c r="F4504">
        <f>Prices!F4504</f>
        <v/>
      </c>
      <c r="G4504">
        <f>IF(AND(4502&gt;=16,TEXT(A4504,"yyyy-mm")&lt;&gt;TEXT(A4505,"yyyy-mm")),1,0)</f>
        <v/>
      </c>
      <c r="H4504">
        <f>IF(OR(H4503=1,G4504=1),1,0)</f>
        <v/>
      </c>
      <c r="I4504">
        <f>IF(H4503=0,1,SUMPRODUCT(J4503:N4503,B4504:F4504)+O4503*(1+0.00023125256064071564))</f>
        <v/>
      </c>
      <c r="J4504">
        <f>IF(G4504=1,0.2*R4504/B4504,J4503)</f>
        <v/>
      </c>
      <c r="K4504">
        <f>IF(G4504=1,0.2*R4504/C4504,K4503)</f>
        <v/>
      </c>
      <c r="L4504">
        <f>IF(G4504=1,0.2*R4504/D4504,L4503)</f>
        <v/>
      </c>
      <c r="M4504">
        <f>IF(G4504=1,0.2*R4504/E4504,M4503)</f>
        <v/>
      </c>
      <c r="N4504">
        <f>IF(G4504=1,0.2*R4504/F4504,N4503)</f>
        <v/>
      </c>
      <c r="O4504">
        <f>IF(G4504=1,R4504*(1-1.0),IF(H4503=0,1,O4503*(1+0.00023125256064071564)))</f>
        <v/>
      </c>
      <c r="P4504">
        <f>IF(G4504=1,IF(H4503=0,1,ABS(0.2-J4503*B4504/I4504)+ABS(0.2-K4503*C4504/I4504)+ABS(0.2-L4503*D4504/I4504)+ABS(0.2-M4503*E4504/I4504)+ABS(0.2-N4503*F4504/I4504)),0)</f>
        <v/>
      </c>
      <c r="Q4504">
        <f>P4504*0.0015</f>
        <v/>
      </c>
      <c r="R4504">
        <f>I4504*(1-Q4504)</f>
        <v/>
      </c>
      <c r="S4504">
        <f>R4504/R4503-1</f>
        <v/>
      </c>
      <c r="T4504">
        <f>MAX(T4503,R4504)</f>
        <v/>
      </c>
      <c r="U4504">
        <f>R4504/T4504-1</f>
        <v/>
      </c>
      <c r="V4504" t="n">
        <v>16.87077604701753</v>
      </c>
      <c r="W4504" s="5">
        <f>R4504-V4504</f>
        <v/>
      </c>
    </row>
    <row r="4505">
      <c r="A4505" s="3" t="n">
        <v>45076</v>
      </c>
      <c r="B4505">
        <f>Prices!B4505</f>
        <v/>
      </c>
      <c r="C4505">
        <f>Prices!C4505</f>
        <v/>
      </c>
      <c r="D4505">
        <f>Prices!D4505</f>
        <v/>
      </c>
      <c r="E4505">
        <f>Prices!E4505</f>
        <v/>
      </c>
      <c r="F4505">
        <f>Prices!F4505</f>
        <v/>
      </c>
      <c r="G4505">
        <f>IF(AND(4503&gt;=16,TEXT(A4505,"yyyy-mm")&lt;&gt;TEXT(A4506,"yyyy-mm")),1,0)</f>
        <v/>
      </c>
      <c r="H4505">
        <f>IF(OR(H4504=1,G4505=1),1,0)</f>
        <v/>
      </c>
      <c r="I4505">
        <f>IF(H4504=0,1,SUMPRODUCT(J4504:N4504,B4505:F4505)+O4504*(1+0.00023125256064071564))</f>
        <v/>
      </c>
      <c r="J4505">
        <f>IF(G4505=1,0.2*R4505/B4505,J4504)</f>
        <v/>
      </c>
      <c r="K4505">
        <f>IF(G4505=1,0.2*R4505/C4505,K4504)</f>
        <v/>
      </c>
      <c r="L4505">
        <f>IF(G4505=1,0.2*R4505/D4505,L4504)</f>
        <v/>
      </c>
      <c r="M4505">
        <f>IF(G4505=1,0.2*R4505/E4505,M4504)</f>
        <v/>
      </c>
      <c r="N4505">
        <f>IF(G4505=1,0.2*R4505/F4505,N4504)</f>
        <v/>
      </c>
      <c r="O4505">
        <f>IF(G4505=1,R4505*(1-1.0),IF(H4504=0,1,O4504*(1+0.00023125256064071564)))</f>
        <v/>
      </c>
      <c r="P4505">
        <f>IF(G4505=1,IF(H4504=0,1,ABS(0.2-J4504*B4505/I4505)+ABS(0.2-K4504*C4505/I4505)+ABS(0.2-L4504*D4505/I4505)+ABS(0.2-M4504*E4505/I4505)+ABS(0.2-N4504*F4505/I4505)),0)</f>
        <v/>
      </c>
      <c r="Q4505">
        <f>P4505*0.0015</f>
        <v/>
      </c>
      <c r="R4505">
        <f>I4505*(1-Q4505)</f>
        <v/>
      </c>
      <c r="S4505">
        <f>R4505/R4504-1</f>
        <v/>
      </c>
      <c r="T4505">
        <f>MAX(T4504,R4505)</f>
        <v/>
      </c>
      <c r="U4505">
        <f>R4505/T4505-1</f>
        <v/>
      </c>
      <c r="V4505" t="n">
        <v>16.89760008884667</v>
      </c>
      <c r="W4505" s="5">
        <f>R4505-V4505</f>
        <v/>
      </c>
    </row>
    <row r="4506">
      <c r="A4506" s="3" t="n">
        <v>45077</v>
      </c>
      <c r="B4506">
        <f>Prices!B4506</f>
        <v/>
      </c>
      <c r="C4506">
        <f>Prices!C4506</f>
        <v/>
      </c>
      <c r="D4506">
        <f>Prices!D4506</f>
        <v/>
      </c>
      <c r="E4506">
        <f>Prices!E4506</f>
        <v/>
      </c>
      <c r="F4506">
        <f>Prices!F4506</f>
        <v/>
      </c>
      <c r="G4506">
        <f>IF(AND(4504&gt;=16,TEXT(A4506,"yyyy-mm")&lt;&gt;TEXT(A4507,"yyyy-mm")),1,0)</f>
        <v/>
      </c>
      <c r="H4506">
        <f>IF(OR(H4505=1,G4506=1),1,0)</f>
        <v/>
      </c>
      <c r="I4506">
        <f>IF(H4505=0,1,SUMPRODUCT(J4505:N4505,B4506:F4506)+O4505*(1+0.00023125256064071564))</f>
        <v/>
      </c>
      <c r="J4506">
        <f>IF(G4506=1,0.2*R4506/B4506,J4505)</f>
        <v/>
      </c>
      <c r="K4506">
        <f>IF(G4506=1,0.2*R4506/C4506,K4505)</f>
        <v/>
      </c>
      <c r="L4506">
        <f>IF(G4506=1,0.2*R4506/D4506,L4505)</f>
        <v/>
      </c>
      <c r="M4506">
        <f>IF(G4506=1,0.2*R4506/E4506,M4505)</f>
        <v/>
      </c>
      <c r="N4506">
        <f>IF(G4506=1,0.2*R4506/F4506,N4505)</f>
        <v/>
      </c>
      <c r="O4506">
        <f>IF(G4506=1,R4506*(1-1.0),IF(H4505=0,1,O4505*(1+0.00023125256064071564)))</f>
        <v/>
      </c>
      <c r="P4506">
        <f>IF(G4506=1,IF(H4505=0,1,ABS(0.2-J4505*B4506/I4506)+ABS(0.2-K4505*C4506/I4506)+ABS(0.2-L4505*D4506/I4506)+ABS(0.2-M4505*E4506/I4506)+ABS(0.2-N4505*F4506/I4506)),0)</f>
        <v/>
      </c>
      <c r="Q4506">
        <f>P4506*0.0015</f>
        <v/>
      </c>
      <c r="R4506">
        <f>I4506*(1-Q4506)</f>
        <v/>
      </c>
      <c r="S4506">
        <f>R4506/R4505-1</f>
        <v/>
      </c>
      <c r="T4506">
        <f>MAX(T4505,R4506)</f>
        <v/>
      </c>
      <c r="U4506">
        <f>R4506/T4506-1</f>
        <v/>
      </c>
      <c r="V4506" t="n">
        <v>16.94777238340037</v>
      </c>
      <c r="W4506" s="5">
        <f>R4506-V4506</f>
        <v/>
      </c>
    </row>
    <row r="4507">
      <c r="A4507" s="3" t="n">
        <v>45078</v>
      </c>
      <c r="B4507">
        <f>Prices!B4507</f>
        <v/>
      </c>
      <c r="C4507">
        <f>Prices!C4507</f>
        <v/>
      </c>
      <c r="D4507">
        <f>Prices!D4507</f>
        <v/>
      </c>
      <c r="E4507">
        <f>Prices!E4507</f>
        <v/>
      </c>
      <c r="F4507">
        <f>Prices!F4507</f>
        <v/>
      </c>
      <c r="G4507">
        <f>IF(AND(4505&gt;=16,TEXT(A4507,"yyyy-mm")&lt;&gt;TEXT(A4508,"yyyy-mm")),1,0)</f>
        <v/>
      </c>
      <c r="H4507">
        <f>IF(OR(H4506=1,G4507=1),1,0)</f>
        <v/>
      </c>
      <c r="I4507">
        <f>IF(H4506=0,1,SUMPRODUCT(J4506:N4506,B4507:F4507)+O4506*(1+0.00023125256064071564))</f>
        <v/>
      </c>
      <c r="J4507">
        <f>IF(G4507=1,0.2*R4507/B4507,J4506)</f>
        <v/>
      </c>
      <c r="K4507">
        <f>IF(G4507=1,0.2*R4507/C4507,K4506)</f>
        <v/>
      </c>
      <c r="L4507">
        <f>IF(G4507=1,0.2*R4507/D4507,L4506)</f>
        <v/>
      </c>
      <c r="M4507">
        <f>IF(G4507=1,0.2*R4507/E4507,M4506)</f>
        <v/>
      </c>
      <c r="N4507">
        <f>IF(G4507=1,0.2*R4507/F4507,N4506)</f>
        <v/>
      </c>
      <c r="O4507">
        <f>IF(G4507=1,R4507*(1-1.0),IF(H4506=0,1,O4506*(1+0.00023125256064071564)))</f>
        <v/>
      </c>
      <c r="P4507">
        <f>IF(G4507=1,IF(H4506=0,1,ABS(0.2-J4506*B4507/I4507)+ABS(0.2-K4506*C4507/I4507)+ABS(0.2-L4506*D4507/I4507)+ABS(0.2-M4506*E4507/I4507)+ABS(0.2-N4506*F4507/I4507)),0)</f>
        <v/>
      </c>
      <c r="Q4507">
        <f>P4507*0.0015</f>
        <v/>
      </c>
      <c r="R4507">
        <f>I4507*(1-Q4507)</f>
        <v/>
      </c>
      <c r="S4507">
        <f>R4507/R4506-1</f>
        <v/>
      </c>
      <c r="T4507">
        <f>MAX(T4506,R4507)</f>
        <v/>
      </c>
      <c r="U4507">
        <f>R4507/T4507-1</f>
        <v/>
      </c>
      <c r="V4507" t="n">
        <v>16.97320933383973</v>
      </c>
      <c r="W4507" s="5">
        <f>R4507-V4507</f>
        <v/>
      </c>
    </row>
    <row r="4508">
      <c r="A4508" s="3" t="n">
        <v>45079</v>
      </c>
      <c r="B4508">
        <f>Prices!B4508</f>
        <v/>
      </c>
      <c r="C4508">
        <f>Prices!C4508</f>
        <v/>
      </c>
      <c r="D4508">
        <f>Prices!D4508</f>
        <v/>
      </c>
      <c r="E4508">
        <f>Prices!E4508</f>
        <v/>
      </c>
      <c r="F4508">
        <f>Prices!F4508</f>
        <v/>
      </c>
      <c r="G4508">
        <f>IF(AND(4506&gt;=16,TEXT(A4508,"yyyy-mm")&lt;&gt;TEXT(A4509,"yyyy-mm")),1,0)</f>
        <v/>
      </c>
      <c r="H4508">
        <f>IF(OR(H4507=1,G4508=1),1,0)</f>
        <v/>
      </c>
      <c r="I4508">
        <f>IF(H4507=0,1,SUMPRODUCT(J4507:N4507,B4508:F4508)+O4507*(1+0.00023125256064071564))</f>
        <v/>
      </c>
      <c r="J4508">
        <f>IF(G4508=1,0.2*R4508/B4508,J4507)</f>
        <v/>
      </c>
      <c r="K4508">
        <f>IF(G4508=1,0.2*R4508/C4508,K4507)</f>
        <v/>
      </c>
      <c r="L4508">
        <f>IF(G4508=1,0.2*R4508/D4508,L4507)</f>
        <v/>
      </c>
      <c r="M4508">
        <f>IF(G4508=1,0.2*R4508/E4508,M4507)</f>
        <v/>
      </c>
      <c r="N4508">
        <f>IF(G4508=1,0.2*R4508/F4508,N4507)</f>
        <v/>
      </c>
      <c r="O4508">
        <f>IF(G4508=1,R4508*(1-1.0),IF(H4507=0,1,O4507*(1+0.00023125256064071564)))</f>
        <v/>
      </c>
      <c r="P4508">
        <f>IF(G4508=1,IF(H4507=0,1,ABS(0.2-J4507*B4508/I4508)+ABS(0.2-K4507*C4508/I4508)+ABS(0.2-L4507*D4508/I4508)+ABS(0.2-M4507*E4508/I4508)+ABS(0.2-N4507*F4508/I4508)),0)</f>
        <v/>
      </c>
      <c r="Q4508">
        <f>P4508*0.0015</f>
        <v/>
      </c>
      <c r="R4508">
        <f>I4508*(1-Q4508)</f>
        <v/>
      </c>
      <c r="S4508">
        <f>R4508/R4507-1</f>
        <v/>
      </c>
      <c r="T4508">
        <f>MAX(T4507,R4508)</f>
        <v/>
      </c>
      <c r="U4508">
        <f>R4508/T4508-1</f>
        <v/>
      </c>
      <c r="V4508" t="n">
        <v>17.07800940883648</v>
      </c>
      <c r="W4508" s="5">
        <f>R4508-V4508</f>
        <v/>
      </c>
    </row>
    <row r="4509">
      <c r="A4509" s="3" t="n">
        <v>45082</v>
      </c>
      <c r="B4509">
        <f>Prices!B4509</f>
        <v/>
      </c>
      <c r="C4509">
        <f>Prices!C4509</f>
        <v/>
      </c>
      <c r="D4509">
        <f>Prices!D4509</f>
        <v/>
      </c>
      <c r="E4509">
        <f>Prices!E4509</f>
        <v/>
      </c>
      <c r="F4509">
        <f>Prices!F4509</f>
        <v/>
      </c>
      <c r="G4509">
        <f>IF(AND(4507&gt;=16,TEXT(A4509,"yyyy-mm")&lt;&gt;TEXT(A4510,"yyyy-mm")),1,0)</f>
        <v/>
      </c>
      <c r="H4509">
        <f>IF(OR(H4508=1,G4509=1),1,0)</f>
        <v/>
      </c>
      <c r="I4509">
        <f>IF(H4508=0,1,SUMPRODUCT(J4508:N4508,B4509:F4509)+O4508*(1+0.00023125256064071564))</f>
        <v/>
      </c>
      <c r="J4509">
        <f>IF(G4509=1,0.2*R4509/B4509,J4508)</f>
        <v/>
      </c>
      <c r="K4509">
        <f>IF(G4509=1,0.2*R4509/C4509,K4508)</f>
        <v/>
      </c>
      <c r="L4509">
        <f>IF(G4509=1,0.2*R4509/D4509,L4508)</f>
        <v/>
      </c>
      <c r="M4509">
        <f>IF(G4509=1,0.2*R4509/E4509,M4508)</f>
        <v/>
      </c>
      <c r="N4509">
        <f>IF(G4509=1,0.2*R4509/F4509,N4508)</f>
        <v/>
      </c>
      <c r="O4509">
        <f>IF(G4509=1,R4509*(1-1.0),IF(H4508=0,1,O4508*(1+0.00023125256064071564)))</f>
        <v/>
      </c>
      <c r="P4509">
        <f>IF(G4509=1,IF(H4508=0,1,ABS(0.2-J4508*B4509/I4509)+ABS(0.2-K4508*C4509/I4509)+ABS(0.2-L4508*D4509/I4509)+ABS(0.2-M4508*E4509/I4509)+ABS(0.2-N4508*F4509/I4509)),0)</f>
        <v/>
      </c>
      <c r="Q4509">
        <f>P4509*0.0015</f>
        <v/>
      </c>
      <c r="R4509">
        <f>I4509*(1-Q4509)</f>
        <v/>
      </c>
      <c r="S4509">
        <f>R4509/R4508-1</f>
        <v/>
      </c>
      <c r="T4509">
        <f>MAX(T4508,R4509)</f>
        <v/>
      </c>
      <c r="U4509">
        <f>R4509/T4509-1</f>
        <v/>
      </c>
      <c r="V4509" t="n">
        <v>17.14614094764706</v>
      </c>
      <c r="W4509" s="5">
        <f>R4509-V4509</f>
        <v/>
      </c>
    </row>
    <row r="4510">
      <c r="A4510" s="3" t="n">
        <v>45083</v>
      </c>
      <c r="B4510">
        <f>Prices!B4510</f>
        <v/>
      </c>
      <c r="C4510">
        <f>Prices!C4510</f>
        <v/>
      </c>
      <c r="D4510">
        <f>Prices!D4510</f>
        <v/>
      </c>
      <c r="E4510">
        <f>Prices!E4510</f>
        <v/>
      </c>
      <c r="F4510">
        <f>Prices!F4510</f>
        <v/>
      </c>
      <c r="G4510">
        <f>IF(AND(4508&gt;=16,TEXT(A4510,"yyyy-mm")&lt;&gt;TEXT(A4511,"yyyy-mm")),1,0)</f>
        <v/>
      </c>
      <c r="H4510">
        <f>IF(OR(H4509=1,G4510=1),1,0)</f>
        <v/>
      </c>
      <c r="I4510">
        <f>IF(H4509=0,1,SUMPRODUCT(J4509:N4509,B4510:F4510)+O4509*(1+0.00023125256064071564))</f>
        <v/>
      </c>
      <c r="J4510">
        <f>IF(G4510=1,0.2*R4510/B4510,J4509)</f>
        <v/>
      </c>
      <c r="K4510">
        <f>IF(G4510=1,0.2*R4510/C4510,K4509)</f>
        <v/>
      </c>
      <c r="L4510">
        <f>IF(G4510=1,0.2*R4510/D4510,L4509)</f>
        <v/>
      </c>
      <c r="M4510">
        <f>IF(G4510=1,0.2*R4510/E4510,M4509)</f>
        <v/>
      </c>
      <c r="N4510">
        <f>IF(G4510=1,0.2*R4510/F4510,N4509)</f>
        <v/>
      </c>
      <c r="O4510">
        <f>IF(G4510=1,R4510*(1-1.0),IF(H4509=0,1,O4509*(1+0.00023125256064071564)))</f>
        <v/>
      </c>
      <c r="P4510">
        <f>IF(G4510=1,IF(H4509=0,1,ABS(0.2-J4509*B4510/I4510)+ABS(0.2-K4509*C4510/I4510)+ABS(0.2-L4509*D4510/I4510)+ABS(0.2-M4509*E4510/I4510)+ABS(0.2-N4509*F4510/I4510)),0)</f>
        <v/>
      </c>
      <c r="Q4510">
        <f>P4510*0.0015</f>
        <v/>
      </c>
      <c r="R4510">
        <f>I4510*(1-Q4510)</f>
        <v/>
      </c>
      <c r="S4510">
        <f>R4510/R4509-1</f>
        <v/>
      </c>
      <c r="T4510">
        <f>MAX(T4509,R4510)</f>
        <v/>
      </c>
      <c r="U4510">
        <f>R4510/T4510-1</f>
        <v/>
      </c>
      <c r="V4510" t="n">
        <v>17.19967203208324</v>
      </c>
      <c r="W4510" s="5">
        <f>R4510-V4510</f>
        <v/>
      </c>
    </row>
    <row r="4511">
      <c r="A4511" s="3" t="n">
        <v>45084</v>
      </c>
      <c r="B4511">
        <f>Prices!B4511</f>
        <v/>
      </c>
      <c r="C4511">
        <f>Prices!C4511</f>
        <v/>
      </c>
      <c r="D4511">
        <f>Prices!D4511</f>
        <v/>
      </c>
      <c r="E4511">
        <f>Prices!E4511</f>
        <v/>
      </c>
      <c r="F4511">
        <f>Prices!F4511</f>
        <v/>
      </c>
      <c r="G4511">
        <f>IF(AND(4509&gt;=16,TEXT(A4511,"yyyy-mm")&lt;&gt;TEXT(A4512,"yyyy-mm")),1,0)</f>
        <v/>
      </c>
      <c r="H4511">
        <f>IF(OR(H4510=1,G4511=1),1,0)</f>
        <v/>
      </c>
      <c r="I4511">
        <f>IF(H4510=0,1,SUMPRODUCT(J4510:N4510,B4511:F4511)+O4510*(1+0.00023125256064071564))</f>
        <v/>
      </c>
      <c r="J4511">
        <f>IF(G4511=1,0.2*R4511/B4511,J4510)</f>
        <v/>
      </c>
      <c r="K4511">
        <f>IF(G4511=1,0.2*R4511/C4511,K4510)</f>
        <v/>
      </c>
      <c r="L4511">
        <f>IF(G4511=1,0.2*R4511/D4511,L4510)</f>
        <v/>
      </c>
      <c r="M4511">
        <f>IF(G4511=1,0.2*R4511/E4511,M4510)</f>
        <v/>
      </c>
      <c r="N4511">
        <f>IF(G4511=1,0.2*R4511/F4511,N4510)</f>
        <v/>
      </c>
      <c r="O4511">
        <f>IF(G4511=1,R4511*(1-1.0),IF(H4510=0,1,O4510*(1+0.00023125256064071564)))</f>
        <v/>
      </c>
      <c r="P4511">
        <f>IF(G4511=1,IF(H4510=0,1,ABS(0.2-J4510*B4511/I4511)+ABS(0.2-K4510*C4511/I4511)+ABS(0.2-L4510*D4511/I4511)+ABS(0.2-M4510*E4511/I4511)+ABS(0.2-N4510*F4511/I4511)),0)</f>
        <v/>
      </c>
      <c r="Q4511">
        <f>P4511*0.0015</f>
        <v/>
      </c>
      <c r="R4511">
        <f>I4511*(1-Q4511)</f>
        <v/>
      </c>
      <c r="S4511">
        <f>R4511/R4510-1</f>
        <v/>
      </c>
      <c r="T4511">
        <f>MAX(T4510,R4511)</f>
        <v/>
      </c>
      <c r="U4511">
        <f>R4511/T4511-1</f>
        <v/>
      </c>
      <c r="V4511" t="n">
        <v>17.3650277379483</v>
      </c>
      <c r="W4511" s="5">
        <f>R4511-V4511</f>
        <v/>
      </c>
    </row>
    <row r="4512">
      <c r="A4512" s="3" t="n">
        <v>45085</v>
      </c>
      <c r="B4512">
        <f>Prices!B4512</f>
        <v/>
      </c>
      <c r="C4512">
        <f>Prices!C4512</f>
        <v/>
      </c>
      <c r="D4512">
        <f>Prices!D4512</f>
        <v/>
      </c>
      <c r="E4512">
        <f>Prices!E4512</f>
        <v/>
      </c>
      <c r="F4512">
        <f>Prices!F4512</f>
        <v/>
      </c>
      <c r="G4512">
        <f>IF(AND(4510&gt;=16,TEXT(A4512,"yyyy-mm")&lt;&gt;TEXT(A4513,"yyyy-mm")),1,0)</f>
        <v/>
      </c>
      <c r="H4512">
        <f>IF(OR(H4511=1,G4512=1),1,0)</f>
        <v/>
      </c>
      <c r="I4512">
        <f>IF(H4511=0,1,SUMPRODUCT(J4511:N4511,B4512:F4512)+O4511*(1+0.00023125256064071564))</f>
        <v/>
      </c>
      <c r="J4512">
        <f>IF(G4512=1,0.2*R4512/B4512,J4511)</f>
        <v/>
      </c>
      <c r="K4512">
        <f>IF(G4512=1,0.2*R4512/C4512,K4511)</f>
        <v/>
      </c>
      <c r="L4512">
        <f>IF(G4512=1,0.2*R4512/D4512,L4511)</f>
        <v/>
      </c>
      <c r="M4512">
        <f>IF(G4512=1,0.2*R4512/E4512,M4511)</f>
        <v/>
      </c>
      <c r="N4512">
        <f>IF(G4512=1,0.2*R4512/F4512,N4511)</f>
        <v/>
      </c>
      <c r="O4512">
        <f>IF(G4512=1,R4512*(1-1.0),IF(H4511=0,1,O4511*(1+0.00023125256064071564)))</f>
        <v/>
      </c>
      <c r="P4512">
        <f>IF(G4512=1,IF(H4511=0,1,ABS(0.2-J4511*B4512/I4512)+ABS(0.2-K4511*C4512/I4512)+ABS(0.2-L4511*D4512/I4512)+ABS(0.2-M4511*E4512/I4512)+ABS(0.2-N4511*F4512/I4512)),0)</f>
        <v/>
      </c>
      <c r="Q4512">
        <f>P4512*0.0015</f>
        <v/>
      </c>
      <c r="R4512">
        <f>I4512*(1-Q4512)</f>
        <v/>
      </c>
      <c r="S4512">
        <f>R4512/R4511-1</f>
        <v/>
      </c>
      <c r="T4512">
        <f>MAX(T4511,R4512)</f>
        <v/>
      </c>
      <c r="U4512">
        <f>R4512/T4512-1</f>
        <v/>
      </c>
      <c r="V4512" t="n">
        <v>17.25626230361083</v>
      </c>
      <c r="W4512" s="5">
        <f>R4512-V4512</f>
        <v/>
      </c>
    </row>
    <row r="4513">
      <c r="A4513" s="3" t="n">
        <v>45086</v>
      </c>
      <c r="B4513">
        <f>Prices!B4513</f>
        <v/>
      </c>
      <c r="C4513">
        <f>Prices!C4513</f>
        <v/>
      </c>
      <c r="D4513">
        <f>Prices!D4513</f>
        <v/>
      </c>
      <c r="E4513">
        <f>Prices!E4513</f>
        <v/>
      </c>
      <c r="F4513">
        <f>Prices!F4513</f>
        <v/>
      </c>
      <c r="G4513">
        <f>IF(AND(4511&gt;=16,TEXT(A4513,"yyyy-mm")&lt;&gt;TEXT(A4514,"yyyy-mm")),1,0)</f>
        <v/>
      </c>
      <c r="H4513">
        <f>IF(OR(H4512=1,G4513=1),1,0)</f>
        <v/>
      </c>
      <c r="I4513">
        <f>IF(H4512=0,1,SUMPRODUCT(J4512:N4512,B4513:F4513)+O4512*(1+0.00023125256064071564))</f>
        <v/>
      </c>
      <c r="J4513">
        <f>IF(G4513=1,0.2*R4513/B4513,J4512)</f>
        <v/>
      </c>
      <c r="K4513">
        <f>IF(G4513=1,0.2*R4513/C4513,K4512)</f>
        <v/>
      </c>
      <c r="L4513">
        <f>IF(G4513=1,0.2*R4513/D4513,L4512)</f>
        <v/>
      </c>
      <c r="M4513">
        <f>IF(G4513=1,0.2*R4513/E4513,M4512)</f>
        <v/>
      </c>
      <c r="N4513">
        <f>IF(G4513=1,0.2*R4513/F4513,N4512)</f>
        <v/>
      </c>
      <c r="O4513">
        <f>IF(G4513=1,R4513*(1-1.0),IF(H4512=0,1,O4512*(1+0.00023125256064071564)))</f>
        <v/>
      </c>
      <c r="P4513">
        <f>IF(G4513=1,IF(H4512=0,1,ABS(0.2-J4512*B4513/I4513)+ABS(0.2-K4512*C4513/I4513)+ABS(0.2-L4512*D4513/I4513)+ABS(0.2-M4512*E4513/I4513)+ABS(0.2-N4512*F4513/I4513)),0)</f>
        <v/>
      </c>
      <c r="Q4513">
        <f>P4513*0.0015</f>
        <v/>
      </c>
      <c r="R4513">
        <f>I4513*(1-Q4513)</f>
        <v/>
      </c>
      <c r="S4513">
        <f>R4513/R4512-1</f>
        <v/>
      </c>
      <c r="T4513">
        <f>MAX(T4512,R4513)</f>
        <v/>
      </c>
      <c r="U4513">
        <f>R4513/T4513-1</f>
        <v/>
      </c>
      <c r="V4513" t="n">
        <v>17.24001676555929</v>
      </c>
      <c r="W4513" s="5">
        <f>R4513-V4513</f>
        <v/>
      </c>
    </row>
    <row r="4514">
      <c r="A4514" s="3" t="n">
        <v>45089</v>
      </c>
      <c r="B4514">
        <f>Prices!B4514</f>
        <v/>
      </c>
      <c r="C4514">
        <f>Prices!C4514</f>
        <v/>
      </c>
      <c r="D4514">
        <f>Prices!D4514</f>
        <v/>
      </c>
      <c r="E4514">
        <f>Prices!E4514</f>
        <v/>
      </c>
      <c r="F4514">
        <f>Prices!F4514</f>
        <v/>
      </c>
      <c r="G4514">
        <f>IF(AND(4512&gt;=16,TEXT(A4514,"yyyy-mm")&lt;&gt;TEXT(A4515,"yyyy-mm")),1,0)</f>
        <v/>
      </c>
      <c r="H4514">
        <f>IF(OR(H4513=1,G4514=1),1,0)</f>
        <v/>
      </c>
      <c r="I4514">
        <f>IF(H4513=0,1,SUMPRODUCT(J4513:N4513,B4514:F4514)+O4513*(1+0.00023125256064071564))</f>
        <v/>
      </c>
      <c r="J4514">
        <f>IF(G4514=1,0.2*R4514/B4514,J4513)</f>
        <v/>
      </c>
      <c r="K4514">
        <f>IF(G4514=1,0.2*R4514/C4514,K4513)</f>
        <v/>
      </c>
      <c r="L4514">
        <f>IF(G4514=1,0.2*R4514/D4514,L4513)</f>
        <v/>
      </c>
      <c r="M4514">
        <f>IF(G4514=1,0.2*R4514/E4514,M4513)</f>
        <v/>
      </c>
      <c r="N4514">
        <f>IF(G4514=1,0.2*R4514/F4514,N4513)</f>
        <v/>
      </c>
      <c r="O4514">
        <f>IF(G4514=1,R4514*(1-1.0),IF(H4513=0,1,O4513*(1+0.00023125256064071564)))</f>
        <v/>
      </c>
      <c r="P4514">
        <f>IF(G4514=1,IF(H4513=0,1,ABS(0.2-J4513*B4514/I4514)+ABS(0.2-K4513*C4514/I4514)+ABS(0.2-L4513*D4514/I4514)+ABS(0.2-M4513*E4514/I4514)+ABS(0.2-N4513*F4514/I4514)),0)</f>
        <v/>
      </c>
      <c r="Q4514">
        <f>P4514*0.0015</f>
        <v/>
      </c>
      <c r="R4514">
        <f>I4514*(1-Q4514)</f>
        <v/>
      </c>
      <c r="S4514">
        <f>R4514/R4513-1</f>
        <v/>
      </c>
      <c r="T4514">
        <f>MAX(T4513,R4514)</f>
        <v/>
      </c>
      <c r="U4514">
        <f>R4514/T4514-1</f>
        <v/>
      </c>
      <c r="V4514" t="n">
        <v>17.35991382546385</v>
      </c>
      <c r="W4514" s="5">
        <f>R4514-V4514</f>
        <v/>
      </c>
    </row>
    <row r="4515">
      <c r="A4515" s="3" t="n">
        <v>45090</v>
      </c>
      <c r="B4515">
        <f>Prices!B4515</f>
        <v/>
      </c>
      <c r="C4515">
        <f>Prices!C4515</f>
        <v/>
      </c>
      <c r="D4515">
        <f>Prices!D4515</f>
        <v/>
      </c>
      <c r="E4515">
        <f>Prices!E4515</f>
        <v/>
      </c>
      <c r="F4515">
        <f>Prices!F4515</f>
        <v/>
      </c>
      <c r="G4515">
        <f>IF(AND(4513&gt;=16,TEXT(A4515,"yyyy-mm")&lt;&gt;TEXT(A4516,"yyyy-mm")),1,0)</f>
        <v/>
      </c>
      <c r="H4515">
        <f>IF(OR(H4514=1,G4515=1),1,0)</f>
        <v/>
      </c>
      <c r="I4515">
        <f>IF(H4514=0,1,SUMPRODUCT(J4514:N4514,B4515:F4515)+O4514*(1+0.00023125256064071564))</f>
        <v/>
      </c>
      <c r="J4515">
        <f>IF(G4515=1,0.2*R4515/B4515,J4514)</f>
        <v/>
      </c>
      <c r="K4515">
        <f>IF(G4515=1,0.2*R4515/C4515,K4514)</f>
        <v/>
      </c>
      <c r="L4515">
        <f>IF(G4515=1,0.2*R4515/D4515,L4514)</f>
        <v/>
      </c>
      <c r="M4515">
        <f>IF(G4515=1,0.2*R4515/E4515,M4514)</f>
        <v/>
      </c>
      <c r="N4515">
        <f>IF(G4515=1,0.2*R4515/F4515,N4514)</f>
        <v/>
      </c>
      <c r="O4515">
        <f>IF(G4515=1,R4515*(1-1.0),IF(H4514=0,1,O4514*(1+0.00023125256064071564)))</f>
        <v/>
      </c>
      <c r="P4515">
        <f>IF(G4515=1,IF(H4514=0,1,ABS(0.2-J4514*B4515/I4515)+ABS(0.2-K4514*C4515/I4515)+ABS(0.2-L4514*D4515/I4515)+ABS(0.2-M4514*E4515/I4515)+ABS(0.2-N4514*F4515/I4515)),0)</f>
        <v/>
      </c>
      <c r="Q4515">
        <f>P4515*0.0015</f>
        <v/>
      </c>
      <c r="R4515">
        <f>I4515*(1-Q4515)</f>
        <v/>
      </c>
      <c r="S4515">
        <f>R4515/R4514-1</f>
        <v/>
      </c>
      <c r="T4515">
        <f>MAX(T4514,R4515)</f>
        <v/>
      </c>
      <c r="U4515">
        <f>R4515/T4515-1</f>
        <v/>
      </c>
      <c r="V4515" t="n">
        <v>17.48720034056745</v>
      </c>
      <c r="W4515" s="5">
        <f>R4515-V4515</f>
        <v/>
      </c>
    </row>
    <row r="4516">
      <c r="A4516" s="3" t="n">
        <v>45091</v>
      </c>
      <c r="B4516">
        <f>Prices!B4516</f>
        <v/>
      </c>
      <c r="C4516">
        <f>Prices!C4516</f>
        <v/>
      </c>
      <c r="D4516">
        <f>Prices!D4516</f>
        <v/>
      </c>
      <c r="E4516">
        <f>Prices!E4516</f>
        <v/>
      </c>
      <c r="F4516">
        <f>Prices!F4516</f>
        <v/>
      </c>
      <c r="G4516">
        <f>IF(AND(4514&gt;=16,TEXT(A4516,"yyyy-mm")&lt;&gt;TEXT(A4517,"yyyy-mm")),1,0)</f>
        <v/>
      </c>
      <c r="H4516">
        <f>IF(OR(H4515=1,G4516=1),1,0)</f>
        <v/>
      </c>
      <c r="I4516">
        <f>IF(H4515=0,1,SUMPRODUCT(J4515:N4515,B4516:F4516)+O4515*(1+0.00023125256064071564))</f>
        <v/>
      </c>
      <c r="J4516">
        <f>IF(G4516=1,0.2*R4516/B4516,J4515)</f>
        <v/>
      </c>
      <c r="K4516">
        <f>IF(G4516=1,0.2*R4516/C4516,K4515)</f>
        <v/>
      </c>
      <c r="L4516">
        <f>IF(G4516=1,0.2*R4516/D4516,L4515)</f>
        <v/>
      </c>
      <c r="M4516">
        <f>IF(G4516=1,0.2*R4516/E4516,M4515)</f>
        <v/>
      </c>
      <c r="N4516">
        <f>IF(G4516=1,0.2*R4516/F4516,N4515)</f>
        <v/>
      </c>
      <c r="O4516">
        <f>IF(G4516=1,R4516*(1-1.0),IF(H4515=0,1,O4515*(1+0.00023125256064071564)))</f>
        <v/>
      </c>
      <c r="P4516">
        <f>IF(G4516=1,IF(H4515=0,1,ABS(0.2-J4515*B4516/I4516)+ABS(0.2-K4515*C4516/I4516)+ABS(0.2-L4515*D4516/I4516)+ABS(0.2-M4515*E4516/I4516)+ABS(0.2-N4515*F4516/I4516)),0)</f>
        <v/>
      </c>
      <c r="Q4516">
        <f>P4516*0.0015</f>
        <v/>
      </c>
      <c r="R4516">
        <f>I4516*(1-Q4516)</f>
        <v/>
      </c>
      <c r="S4516">
        <f>R4516/R4515-1</f>
        <v/>
      </c>
      <c r="T4516">
        <f>MAX(T4515,R4516)</f>
        <v/>
      </c>
      <c r="U4516">
        <f>R4516/T4516-1</f>
        <v/>
      </c>
      <c r="V4516" t="n">
        <v>17.54881392749425</v>
      </c>
      <c r="W4516" s="5">
        <f>R4516-V4516</f>
        <v/>
      </c>
    </row>
    <row r="4517">
      <c r="A4517" s="3" t="n">
        <v>45092</v>
      </c>
      <c r="B4517">
        <f>Prices!B4517</f>
        <v/>
      </c>
      <c r="C4517">
        <f>Prices!C4517</f>
        <v/>
      </c>
      <c r="D4517">
        <f>Prices!D4517</f>
        <v/>
      </c>
      <c r="E4517">
        <f>Prices!E4517</f>
        <v/>
      </c>
      <c r="F4517">
        <f>Prices!F4517</f>
        <v/>
      </c>
      <c r="G4517">
        <f>IF(AND(4515&gt;=16,TEXT(A4517,"yyyy-mm")&lt;&gt;TEXT(A4518,"yyyy-mm")),1,0)</f>
        <v/>
      </c>
      <c r="H4517">
        <f>IF(OR(H4516=1,G4517=1),1,0)</f>
        <v/>
      </c>
      <c r="I4517">
        <f>IF(H4516=0,1,SUMPRODUCT(J4516:N4516,B4517:F4517)+O4516*(1+0.00023125256064071564))</f>
        <v/>
      </c>
      <c r="J4517">
        <f>IF(G4517=1,0.2*R4517/B4517,J4516)</f>
        <v/>
      </c>
      <c r="K4517">
        <f>IF(G4517=1,0.2*R4517/C4517,K4516)</f>
        <v/>
      </c>
      <c r="L4517">
        <f>IF(G4517=1,0.2*R4517/D4517,L4516)</f>
        <v/>
      </c>
      <c r="M4517">
        <f>IF(G4517=1,0.2*R4517/E4517,M4516)</f>
        <v/>
      </c>
      <c r="N4517">
        <f>IF(G4517=1,0.2*R4517/F4517,N4516)</f>
        <v/>
      </c>
      <c r="O4517">
        <f>IF(G4517=1,R4517*(1-1.0),IF(H4516=0,1,O4516*(1+0.00023125256064071564)))</f>
        <v/>
      </c>
      <c r="P4517">
        <f>IF(G4517=1,IF(H4516=0,1,ABS(0.2-J4516*B4517/I4517)+ABS(0.2-K4516*C4517/I4517)+ABS(0.2-L4516*D4517/I4517)+ABS(0.2-M4516*E4517/I4517)+ABS(0.2-N4516*F4517/I4517)),0)</f>
        <v/>
      </c>
      <c r="Q4517">
        <f>P4517*0.0015</f>
        <v/>
      </c>
      <c r="R4517">
        <f>I4517*(1-Q4517)</f>
        <v/>
      </c>
      <c r="S4517">
        <f>R4517/R4516-1</f>
        <v/>
      </c>
      <c r="T4517">
        <f>MAX(T4516,R4517)</f>
        <v/>
      </c>
      <c r="U4517">
        <f>R4517/T4517-1</f>
        <v/>
      </c>
      <c r="V4517" t="n">
        <v>17.57865915363129</v>
      </c>
      <c r="W4517" s="5">
        <f>R4517-V4517</f>
        <v/>
      </c>
    </row>
    <row r="4518">
      <c r="A4518" s="3" t="n">
        <v>45093</v>
      </c>
      <c r="B4518">
        <f>Prices!B4518</f>
        <v/>
      </c>
      <c r="C4518">
        <f>Prices!C4518</f>
        <v/>
      </c>
      <c r="D4518">
        <f>Prices!D4518</f>
        <v/>
      </c>
      <c r="E4518">
        <f>Prices!E4518</f>
        <v/>
      </c>
      <c r="F4518">
        <f>Prices!F4518</f>
        <v/>
      </c>
      <c r="G4518">
        <f>IF(AND(4516&gt;=16,TEXT(A4518,"yyyy-mm")&lt;&gt;TEXT(A4519,"yyyy-mm")),1,0)</f>
        <v/>
      </c>
      <c r="H4518">
        <f>IF(OR(H4517=1,G4518=1),1,0)</f>
        <v/>
      </c>
      <c r="I4518">
        <f>IF(H4517=0,1,SUMPRODUCT(J4517:N4517,B4518:F4518)+O4517*(1+0.00023125256064071564))</f>
        <v/>
      </c>
      <c r="J4518">
        <f>IF(G4518=1,0.2*R4518/B4518,J4517)</f>
        <v/>
      </c>
      <c r="K4518">
        <f>IF(G4518=1,0.2*R4518/C4518,K4517)</f>
        <v/>
      </c>
      <c r="L4518">
        <f>IF(G4518=1,0.2*R4518/D4518,L4517)</f>
        <v/>
      </c>
      <c r="M4518">
        <f>IF(G4518=1,0.2*R4518/E4518,M4517)</f>
        <v/>
      </c>
      <c r="N4518">
        <f>IF(G4518=1,0.2*R4518/F4518,N4517)</f>
        <v/>
      </c>
      <c r="O4518">
        <f>IF(G4518=1,R4518*(1-1.0),IF(H4517=0,1,O4517*(1+0.00023125256064071564)))</f>
        <v/>
      </c>
      <c r="P4518">
        <f>IF(G4518=1,IF(H4517=0,1,ABS(0.2-J4517*B4518/I4518)+ABS(0.2-K4517*C4518/I4518)+ABS(0.2-L4517*D4518/I4518)+ABS(0.2-M4517*E4518/I4518)+ABS(0.2-N4517*F4518/I4518)),0)</f>
        <v/>
      </c>
      <c r="Q4518">
        <f>P4518*0.0015</f>
        <v/>
      </c>
      <c r="R4518">
        <f>I4518*(1-Q4518)</f>
        <v/>
      </c>
      <c r="S4518">
        <f>R4518/R4517-1</f>
        <v/>
      </c>
      <c r="T4518">
        <f>MAX(T4517,R4518)</f>
        <v/>
      </c>
      <c r="U4518">
        <f>R4518/T4518-1</f>
        <v/>
      </c>
      <c r="V4518" t="n">
        <v>17.75481934543993</v>
      </c>
      <c r="W4518" s="5">
        <f>R4518-V4518</f>
        <v/>
      </c>
    </row>
    <row r="4519">
      <c r="A4519" s="3" t="n">
        <v>45096</v>
      </c>
      <c r="B4519">
        <f>Prices!B4519</f>
        <v/>
      </c>
      <c r="C4519">
        <f>Prices!C4519</f>
        <v/>
      </c>
      <c r="D4519">
        <f>Prices!D4519</f>
        <v/>
      </c>
      <c r="E4519">
        <f>Prices!E4519</f>
        <v/>
      </c>
      <c r="F4519">
        <f>Prices!F4519</f>
        <v/>
      </c>
      <c r="G4519">
        <f>IF(AND(4517&gt;=16,TEXT(A4519,"yyyy-mm")&lt;&gt;TEXT(A4520,"yyyy-mm")),1,0)</f>
        <v/>
      </c>
      <c r="H4519">
        <f>IF(OR(H4518=1,G4519=1),1,0)</f>
        <v/>
      </c>
      <c r="I4519">
        <f>IF(H4518=0,1,SUMPRODUCT(J4518:N4518,B4519:F4519)+O4518*(1+0.00023125256064071564))</f>
        <v/>
      </c>
      <c r="J4519">
        <f>IF(G4519=1,0.2*R4519/B4519,J4518)</f>
        <v/>
      </c>
      <c r="K4519">
        <f>IF(G4519=1,0.2*R4519/C4519,K4518)</f>
        <v/>
      </c>
      <c r="L4519">
        <f>IF(G4519=1,0.2*R4519/D4519,L4518)</f>
        <v/>
      </c>
      <c r="M4519">
        <f>IF(G4519=1,0.2*R4519/E4519,M4518)</f>
        <v/>
      </c>
      <c r="N4519">
        <f>IF(G4519=1,0.2*R4519/F4519,N4518)</f>
        <v/>
      </c>
      <c r="O4519">
        <f>IF(G4519=1,R4519*(1-1.0),IF(H4518=0,1,O4518*(1+0.00023125256064071564)))</f>
        <v/>
      </c>
      <c r="P4519">
        <f>IF(G4519=1,IF(H4518=0,1,ABS(0.2-J4518*B4519/I4519)+ABS(0.2-K4518*C4519/I4519)+ABS(0.2-L4518*D4519/I4519)+ABS(0.2-M4518*E4519/I4519)+ABS(0.2-N4518*F4519/I4519)),0)</f>
        <v/>
      </c>
      <c r="Q4519">
        <f>P4519*0.0015</f>
        <v/>
      </c>
      <c r="R4519">
        <f>I4519*(1-Q4519)</f>
        <v/>
      </c>
      <c r="S4519">
        <f>R4519/R4518-1</f>
        <v/>
      </c>
      <c r="T4519">
        <f>MAX(T4518,R4519)</f>
        <v/>
      </c>
      <c r="U4519">
        <f>R4519/T4519-1</f>
        <v/>
      </c>
      <c r="V4519" t="n">
        <v>17.7280275676253</v>
      </c>
      <c r="W4519" s="5">
        <f>R4519-V4519</f>
        <v/>
      </c>
    </row>
    <row r="4520">
      <c r="A4520" s="3" t="n">
        <v>45097</v>
      </c>
      <c r="B4520">
        <f>Prices!B4520</f>
        <v/>
      </c>
      <c r="C4520">
        <f>Prices!C4520</f>
        <v/>
      </c>
      <c r="D4520">
        <f>Prices!D4520</f>
        <v/>
      </c>
      <c r="E4520">
        <f>Prices!E4520</f>
        <v/>
      </c>
      <c r="F4520">
        <f>Prices!F4520</f>
        <v/>
      </c>
      <c r="G4520">
        <f>IF(AND(4518&gt;=16,TEXT(A4520,"yyyy-mm")&lt;&gt;TEXT(A4521,"yyyy-mm")),1,0)</f>
        <v/>
      </c>
      <c r="H4520">
        <f>IF(OR(H4519=1,G4520=1),1,0)</f>
        <v/>
      </c>
      <c r="I4520">
        <f>IF(H4519=0,1,SUMPRODUCT(J4519:N4519,B4520:F4520)+O4519*(1+0.00023125256064071564))</f>
        <v/>
      </c>
      <c r="J4520">
        <f>IF(G4520=1,0.2*R4520/B4520,J4519)</f>
        <v/>
      </c>
      <c r="K4520">
        <f>IF(G4520=1,0.2*R4520/C4520,K4519)</f>
        <v/>
      </c>
      <c r="L4520">
        <f>IF(G4520=1,0.2*R4520/D4520,L4519)</f>
        <v/>
      </c>
      <c r="M4520">
        <f>IF(G4520=1,0.2*R4520/E4520,M4519)</f>
        <v/>
      </c>
      <c r="N4520">
        <f>IF(G4520=1,0.2*R4520/F4520,N4519)</f>
        <v/>
      </c>
      <c r="O4520">
        <f>IF(G4520=1,R4520*(1-1.0),IF(H4519=0,1,O4519*(1+0.00023125256064071564)))</f>
        <v/>
      </c>
      <c r="P4520">
        <f>IF(G4520=1,IF(H4519=0,1,ABS(0.2-J4519*B4520/I4520)+ABS(0.2-K4519*C4520/I4520)+ABS(0.2-L4519*D4520/I4520)+ABS(0.2-M4519*E4520/I4520)+ABS(0.2-N4519*F4520/I4520)),0)</f>
        <v/>
      </c>
      <c r="Q4520">
        <f>P4520*0.0015</f>
        <v/>
      </c>
      <c r="R4520">
        <f>I4520*(1-Q4520)</f>
        <v/>
      </c>
      <c r="S4520">
        <f>R4520/R4519-1</f>
        <v/>
      </c>
      <c r="T4520">
        <f>MAX(T4519,R4520)</f>
        <v/>
      </c>
      <c r="U4520">
        <f>R4520/T4520-1</f>
        <v/>
      </c>
      <c r="V4520" t="n">
        <v>17.839201899247</v>
      </c>
      <c r="W4520" s="5">
        <f>R4520-V4520</f>
        <v/>
      </c>
    </row>
    <row r="4521">
      <c r="A4521" s="3" t="n">
        <v>45098</v>
      </c>
      <c r="B4521">
        <f>Prices!B4521</f>
        <v/>
      </c>
      <c r="C4521">
        <f>Prices!C4521</f>
        <v/>
      </c>
      <c r="D4521">
        <f>Prices!D4521</f>
        <v/>
      </c>
      <c r="E4521">
        <f>Prices!E4521</f>
        <v/>
      </c>
      <c r="F4521">
        <f>Prices!F4521</f>
        <v/>
      </c>
      <c r="G4521">
        <f>IF(AND(4519&gt;=16,TEXT(A4521,"yyyy-mm")&lt;&gt;TEXT(A4522,"yyyy-mm")),1,0)</f>
        <v/>
      </c>
      <c r="H4521">
        <f>IF(OR(H4520=1,G4521=1),1,0)</f>
        <v/>
      </c>
      <c r="I4521">
        <f>IF(H4520=0,1,SUMPRODUCT(J4520:N4520,B4521:F4521)+O4520*(1+0.00023125256064071564))</f>
        <v/>
      </c>
      <c r="J4521">
        <f>IF(G4521=1,0.2*R4521/B4521,J4520)</f>
        <v/>
      </c>
      <c r="K4521">
        <f>IF(G4521=1,0.2*R4521/C4521,K4520)</f>
        <v/>
      </c>
      <c r="L4521">
        <f>IF(G4521=1,0.2*R4521/D4521,L4520)</f>
        <v/>
      </c>
      <c r="M4521">
        <f>IF(G4521=1,0.2*R4521/E4521,M4520)</f>
        <v/>
      </c>
      <c r="N4521">
        <f>IF(G4521=1,0.2*R4521/F4521,N4520)</f>
        <v/>
      </c>
      <c r="O4521">
        <f>IF(G4521=1,R4521*(1-1.0),IF(H4520=0,1,O4520*(1+0.00023125256064071564)))</f>
        <v/>
      </c>
      <c r="P4521">
        <f>IF(G4521=1,IF(H4520=0,1,ABS(0.2-J4520*B4521/I4521)+ABS(0.2-K4520*C4521/I4521)+ABS(0.2-L4520*D4521/I4521)+ABS(0.2-M4520*E4521/I4521)+ABS(0.2-N4520*F4521/I4521)),0)</f>
        <v/>
      </c>
      <c r="Q4521">
        <f>P4521*0.0015</f>
        <v/>
      </c>
      <c r="R4521">
        <f>I4521*(1-Q4521)</f>
        <v/>
      </c>
      <c r="S4521">
        <f>R4521/R4520-1</f>
        <v/>
      </c>
      <c r="T4521">
        <f>MAX(T4520,R4521)</f>
        <v/>
      </c>
      <c r="U4521">
        <f>R4521/T4521-1</f>
        <v/>
      </c>
      <c r="V4521" t="n">
        <v>17.89320819223841</v>
      </c>
      <c r="W4521" s="5">
        <f>R4521-V4521</f>
        <v/>
      </c>
    </row>
    <row r="4522">
      <c r="A4522" s="3" t="n">
        <v>45099</v>
      </c>
      <c r="B4522">
        <f>Prices!B4522</f>
        <v/>
      </c>
      <c r="C4522">
        <f>Prices!C4522</f>
        <v/>
      </c>
      <c r="D4522">
        <f>Prices!D4522</f>
        <v/>
      </c>
      <c r="E4522">
        <f>Prices!E4522</f>
        <v/>
      </c>
      <c r="F4522">
        <f>Prices!F4522</f>
        <v/>
      </c>
      <c r="G4522">
        <f>IF(AND(4520&gt;=16,TEXT(A4522,"yyyy-mm")&lt;&gt;TEXT(A4523,"yyyy-mm")),1,0)</f>
        <v/>
      </c>
      <c r="H4522">
        <f>IF(OR(H4521=1,G4522=1),1,0)</f>
        <v/>
      </c>
      <c r="I4522">
        <f>IF(H4521=0,1,SUMPRODUCT(J4521:N4521,B4522:F4522)+O4521*(1+0.00023125256064071564))</f>
        <v/>
      </c>
      <c r="J4522">
        <f>IF(G4522=1,0.2*R4522/B4522,J4521)</f>
        <v/>
      </c>
      <c r="K4522">
        <f>IF(G4522=1,0.2*R4522/C4522,K4521)</f>
        <v/>
      </c>
      <c r="L4522">
        <f>IF(G4522=1,0.2*R4522/D4522,L4521)</f>
        <v/>
      </c>
      <c r="M4522">
        <f>IF(G4522=1,0.2*R4522/E4522,M4521)</f>
        <v/>
      </c>
      <c r="N4522">
        <f>IF(G4522=1,0.2*R4522/F4522,N4521)</f>
        <v/>
      </c>
      <c r="O4522">
        <f>IF(G4522=1,R4522*(1-1.0),IF(H4521=0,1,O4521*(1+0.00023125256064071564)))</f>
        <v/>
      </c>
      <c r="P4522">
        <f>IF(G4522=1,IF(H4521=0,1,ABS(0.2-J4521*B4522/I4522)+ABS(0.2-K4521*C4522/I4522)+ABS(0.2-L4521*D4522/I4522)+ABS(0.2-M4521*E4522/I4522)+ABS(0.2-N4521*F4522/I4522)),0)</f>
        <v/>
      </c>
      <c r="Q4522">
        <f>P4522*0.0015</f>
        <v/>
      </c>
      <c r="R4522">
        <f>I4522*(1-Q4522)</f>
        <v/>
      </c>
      <c r="S4522">
        <f>R4522/R4521-1</f>
        <v/>
      </c>
      <c r="T4522">
        <f>MAX(T4521,R4522)</f>
        <v/>
      </c>
      <c r="U4522">
        <f>R4522/T4522-1</f>
        <v/>
      </c>
      <c r="V4522" t="n">
        <v>17.70953560076641</v>
      </c>
      <c r="W4522" s="5">
        <f>R4522-V4522</f>
        <v/>
      </c>
    </row>
    <row r="4523">
      <c r="A4523" s="3" t="n">
        <v>45100</v>
      </c>
      <c r="B4523">
        <f>Prices!B4523</f>
        <v/>
      </c>
      <c r="C4523">
        <f>Prices!C4523</f>
        <v/>
      </c>
      <c r="D4523">
        <f>Prices!D4523</f>
        <v/>
      </c>
      <c r="E4523">
        <f>Prices!E4523</f>
        <v/>
      </c>
      <c r="F4523">
        <f>Prices!F4523</f>
        <v/>
      </c>
      <c r="G4523">
        <f>IF(AND(4521&gt;=16,TEXT(A4523,"yyyy-mm")&lt;&gt;TEXT(A4524,"yyyy-mm")),1,0)</f>
        <v/>
      </c>
      <c r="H4523">
        <f>IF(OR(H4522=1,G4523=1),1,0)</f>
        <v/>
      </c>
      <c r="I4523">
        <f>IF(H4522=0,1,SUMPRODUCT(J4522:N4522,B4523:F4523)+O4522*(1+0.00023125256064071564))</f>
        <v/>
      </c>
      <c r="J4523">
        <f>IF(G4523=1,0.2*R4523/B4523,J4522)</f>
        <v/>
      </c>
      <c r="K4523">
        <f>IF(G4523=1,0.2*R4523/C4523,K4522)</f>
        <v/>
      </c>
      <c r="L4523">
        <f>IF(G4523=1,0.2*R4523/D4523,L4522)</f>
        <v/>
      </c>
      <c r="M4523">
        <f>IF(G4523=1,0.2*R4523/E4523,M4522)</f>
        <v/>
      </c>
      <c r="N4523">
        <f>IF(G4523=1,0.2*R4523/F4523,N4522)</f>
        <v/>
      </c>
      <c r="O4523">
        <f>IF(G4523=1,R4523*(1-1.0),IF(H4522=0,1,O4522*(1+0.00023125256064071564)))</f>
        <v/>
      </c>
      <c r="P4523">
        <f>IF(G4523=1,IF(H4522=0,1,ABS(0.2-J4522*B4523/I4523)+ABS(0.2-K4522*C4523/I4523)+ABS(0.2-L4522*D4523/I4523)+ABS(0.2-M4522*E4523/I4523)+ABS(0.2-N4522*F4523/I4523)),0)</f>
        <v/>
      </c>
      <c r="Q4523">
        <f>P4523*0.0015</f>
        <v/>
      </c>
      <c r="R4523">
        <f>I4523*(1-Q4523)</f>
        <v/>
      </c>
      <c r="S4523">
        <f>R4523/R4522-1</f>
        <v/>
      </c>
      <c r="T4523">
        <f>MAX(T4522,R4523)</f>
        <v/>
      </c>
      <c r="U4523">
        <f>R4523/T4523-1</f>
        <v/>
      </c>
      <c r="V4523" t="n">
        <v>17.51019935668591</v>
      </c>
      <c r="W4523" s="5">
        <f>R4523-V4523</f>
        <v/>
      </c>
    </row>
    <row r="4524">
      <c r="A4524" s="3" t="n">
        <v>45103</v>
      </c>
      <c r="B4524">
        <f>Prices!B4524</f>
        <v/>
      </c>
      <c r="C4524">
        <f>Prices!C4524</f>
        <v/>
      </c>
      <c r="D4524">
        <f>Prices!D4524</f>
        <v/>
      </c>
      <c r="E4524">
        <f>Prices!E4524</f>
        <v/>
      </c>
      <c r="F4524">
        <f>Prices!F4524</f>
        <v/>
      </c>
      <c r="G4524">
        <f>IF(AND(4522&gt;=16,TEXT(A4524,"yyyy-mm")&lt;&gt;TEXT(A4525,"yyyy-mm")),1,0)</f>
        <v/>
      </c>
      <c r="H4524">
        <f>IF(OR(H4523=1,G4524=1),1,0)</f>
        <v/>
      </c>
      <c r="I4524">
        <f>IF(H4523=0,1,SUMPRODUCT(J4523:N4523,B4524:F4524)+O4523*(1+0.00023125256064071564))</f>
        <v/>
      </c>
      <c r="J4524">
        <f>IF(G4524=1,0.2*R4524/B4524,J4523)</f>
        <v/>
      </c>
      <c r="K4524">
        <f>IF(G4524=1,0.2*R4524/C4524,K4523)</f>
        <v/>
      </c>
      <c r="L4524">
        <f>IF(G4524=1,0.2*R4524/D4524,L4523)</f>
        <v/>
      </c>
      <c r="M4524">
        <f>IF(G4524=1,0.2*R4524/E4524,M4523)</f>
        <v/>
      </c>
      <c r="N4524">
        <f>IF(G4524=1,0.2*R4524/F4524,N4523)</f>
        <v/>
      </c>
      <c r="O4524">
        <f>IF(G4524=1,R4524*(1-1.0),IF(H4523=0,1,O4523*(1+0.00023125256064071564)))</f>
        <v/>
      </c>
      <c r="P4524">
        <f>IF(G4524=1,IF(H4523=0,1,ABS(0.2-J4523*B4524/I4524)+ABS(0.2-K4523*C4524/I4524)+ABS(0.2-L4523*D4524/I4524)+ABS(0.2-M4523*E4524/I4524)+ABS(0.2-N4523*F4524/I4524)),0)</f>
        <v/>
      </c>
      <c r="Q4524">
        <f>P4524*0.0015</f>
        <v/>
      </c>
      <c r="R4524">
        <f>I4524*(1-Q4524)</f>
        <v/>
      </c>
      <c r="S4524">
        <f>R4524/R4523-1</f>
        <v/>
      </c>
      <c r="T4524">
        <f>MAX(T4523,R4524)</f>
        <v/>
      </c>
      <c r="U4524">
        <f>R4524/T4524-1</f>
        <v/>
      </c>
      <c r="V4524" t="n">
        <v>17.6134169402586</v>
      </c>
      <c r="W4524" s="5">
        <f>R4524-V4524</f>
        <v/>
      </c>
    </row>
    <row r="4525">
      <c r="A4525" s="3" t="n">
        <v>45104</v>
      </c>
      <c r="B4525">
        <f>Prices!B4525</f>
        <v/>
      </c>
      <c r="C4525">
        <f>Prices!C4525</f>
        <v/>
      </c>
      <c r="D4525">
        <f>Prices!D4525</f>
        <v/>
      </c>
      <c r="E4525">
        <f>Prices!E4525</f>
        <v/>
      </c>
      <c r="F4525">
        <f>Prices!F4525</f>
        <v/>
      </c>
      <c r="G4525">
        <f>IF(AND(4523&gt;=16,TEXT(A4525,"yyyy-mm")&lt;&gt;TEXT(A4526,"yyyy-mm")),1,0)</f>
        <v/>
      </c>
      <c r="H4525">
        <f>IF(OR(H4524=1,G4525=1),1,0)</f>
        <v/>
      </c>
      <c r="I4525">
        <f>IF(H4524=0,1,SUMPRODUCT(J4524:N4524,B4525:F4525)+O4524*(1+0.00023125256064071564))</f>
        <v/>
      </c>
      <c r="J4525">
        <f>IF(G4525=1,0.2*R4525/B4525,J4524)</f>
        <v/>
      </c>
      <c r="K4525">
        <f>IF(G4525=1,0.2*R4525/C4525,K4524)</f>
        <v/>
      </c>
      <c r="L4525">
        <f>IF(G4525=1,0.2*R4525/D4525,L4524)</f>
        <v/>
      </c>
      <c r="M4525">
        <f>IF(G4525=1,0.2*R4525/E4525,M4524)</f>
        <v/>
      </c>
      <c r="N4525">
        <f>IF(G4525=1,0.2*R4525/F4525,N4524)</f>
        <v/>
      </c>
      <c r="O4525">
        <f>IF(G4525=1,R4525*(1-1.0),IF(H4524=0,1,O4524*(1+0.00023125256064071564)))</f>
        <v/>
      </c>
      <c r="P4525">
        <f>IF(G4525=1,IF(H4524=0,1,ABS(0.2-J4524*B4525/I4525)+ABS(0.2-K4524*C4525/I4525)+ABS(0.2-L4524*D4525/I4525)+ABS(0.2-M4524*E4525/I4525)+ABS(0.2-N4524*F4525/I4525)),0)</f>
        <v/>
      </c>
      <c r="Q4525">
        <f>P4525*0.0015</f>
        <v/>
      </c>
      <c r="R4525">
        <f>I4525*(1-Q4525)</f>
        <v/>
      </c>
      <c r="S4525">
        <f>R4525/R4524-1</f>
        <v/>
      </c>
      <c r="T4525">
        <f>MAX(T4524,R4525)</f>
        <v/>
      </c>
      <c r="U4525">
        <f>R4525/T4525-1</f>
        <v/>
      </c>
      <c r="V4525" t="n">
        <v>17.69637708742518</v>
      </c>
      <c r="W4525" s="5">
        <f>R4525-V4525</f>
        <v/>
      </c>
    </row>
    <row r="4526">
      <c r="A4526" s="3" t="n">
        <v>45105</v>
      </c>
      <c r="B4526">
        <f>Prices!B4526</f>
        <v/>
      </c>
      <c r="C4526">
        <f>Prices!C4526</f>
        <v/>
      </c>
      <c r="D4526">
        <f>Prices!D4526</f>
        <v/>
      </c>
      <c r="E4526">
        <f>Prices!E4526</f>
        <v/>
      </c>
      <c r="F4526">
        <f>Prices!F4526</f>
        <v/>
      </c>
      <c r="G4526">
        <f>IF(AND(4524&gt;=16,TEXT(A4526,"yyyy-mm")&lt;&gt;TEXT(A4527,"yyyy-mm")),1,0)</f>
        <v/>
      </c>
      <c r="H4526">
        <f>IF(OR(H4525=1,G4526=1),1,0)</f>
        <v/>
      </c>
      <c r="I4526">
        <f>IF(H4525=0,1,SUMPRODUCT(J4525:N4525,B4526:F4526)+O4525*(1+0.00023125256064071564))</f>
        <v/>
      </c>
      <c r="J4526">
        <f>IF(G4526=1,0.2*R4526/B4526,J4525)</f>
        <v/>
      </c>
      <c r="K4526">
        <f>IF(G4526=1,0.2*R4526/C4526,K4525)</f>
        <v/>
      </c>
      <c r="L4526">
        <f>IF(G4526=1,0.2*R4526/D4526,L4525)</f>
        <v/>
      </c>
      <c r="M4526">
        <f>IF(G4526=1,0.2*R4526/E4526,M4525)</f>
        <v/>
      </c>
      <c r="N4526">
        <f>IF(G4526=1,0.2*R4526/F4526,N4525)</f>
        <v/>
      </c>
      <c r="O4526">
        <f>IF(G4526=1,R4526*(1-1.0),IF(H4525=0,1,O4525*(1+0.00023125256064071564)))</f>
        <v/>
      </c>
      <c r="P4526">
        <f>IF(G4526=1,IF(H4525=0,1,ABS(0.2-J4525*B4526/I4526)+ABS(0.2-K4525*C4526/I4526)+ABS(0.2-L4525*D4526/I4526)+ABS(0.2-M4525*E4526/I4526)+ABS(0.2-N4525*F4526/I4526)),0)</f>
        <v/>
      </c>
      <c r="Q4526">
        <f>P4526*0.0015</f>
        <v/>
      </c>
      <c r="R4526">
        <f>I4526*(1-Q4526)</f>
        <v/>
      </c>
      <c r="S4526">
        <f>R4526/R4525-1</f>
        <v/>
      </c>
      <c r="T4526">
        <f>MAX(T4525,R4526)</f>
        <v/>
      </c>
      <c r="U4526">
        <f>R4526/T4526-1</f>
        <v/>
      </c>
      <c r="V4526" t="n">
        <v>17.82901479260308</v>
      </c>
      <c r="W4526" s="5">
        <f>R4526-V4526</f>
        <v/>
      </c>
    </row>
    <row r="4527">
      <c r="A4527" s="3" t="n">
        <v>45107</v>
      </c>
      <c r="B4527">
        <f>Prices!B4527</f>
        <v/>
      </c>
      <c r="C4527">
        <f>Prices!C4527</f>
        <v/>
      </c>
      <c r="D4527">
        <f>Prices!D4527</f>
        <v/>
      </c>
      <c r="E4527">
        <f>Prices!E4527</f>
        <v/>
      </c>
      <c r="F4527">
        <f>Prices!F4527</f>
        <v/>
      </c>
      <c r="G4527">
        <f>IF(AND(4525&gt;=16,TEXT(A4527,"yyyy-mm")&lt;&gt;TEXT(A4528,"yyyy-mm")),1,0)</f>
        <v/>
      </c>
      <c r="H4527">
        <f>IF(OR(H4526=1,G4527=1),1,0)</f>
        <v/>
      </c>
      <c r="I4527">
        <f>IF(H4526=0,1,SUMPRODUCT(J4526:N4526,B4527:F4527)+O4526*(1+0.00023125256064071564))</f>
        <v/>
      </c>
      <c r="J4527">
        <f>IF(G4527=1,0.2*R4527/B4527,J4526)</f>
        <v/>
      </c>
      <c r="K4527">
        <f>IF(G4527=1,0.2*R4527/C4527,K4526)</f>
        <v/>
      </c>
      <c r="L4527">
        <f>IF(G4527=1,0.2*R4527/D4527,L4526)</f>
        <v/>
      </c>
      <c r="M4527">
        <f>IF(G4527=1,0.2*R4527/E4527,M4526)</f>
        <v/>
      </c>
      <c r="N4527">
        <f>IF(G4527=1,0.2*R4527/F4527,N4526)</f>
        <v/>
      </c>
      <c r="O4527">
        <f>IF(G4527=1,R4527*(1-1.0),IF(H4526=0,1,O4526*(1+0.00023125256064071564)))</f>
        <v/>
      </c>
      <c r="P4527">
        <f>IF(G4527=1,IF(H4526=0,1,ABS(0.2-J4526*B4527/I4527)+ABS(0.2-K4526*C4527/I4527)+ABS(0.2-L4526*D4527/I4527)+ABS(0.2-M4526*E4527/I4527)+ABS(0.2-N4526*F4527/I4527)),0)</f>
        <v/>
      </c>
      <c r="Q4527">
        <f>P4527*0.0015</f>
        <v/>
      </c>
      <c r="R4527">
        <f>I4527*(1-Q4527)</f>
        <v/>
      </c>
      <c r="S4527">
        <f>R4527/R4526-1</f>
        <v/>
      </c>
      <c r="T4527">
        <f>MAX(T4526,R4527)</f>
        <v/>
      </c>
      <c r="U4527">
        <f>R4527/T4527-1</f>
        <v/>
      </c>
      <c r="V4527" t="n">
        <v>17.9768970452204</v>
      </c>
      <c r="W4527" s="5">
        <f>R4527-V4527</f>
        <v/>
      </c>
    </row>
    <row r="4528">
      <c r="A4528" s="3" t="n">
        <v>45110</v>
      </c>
      <c r="B4528">
        <f>Prices!B4528</f>
        <v/>
      </c>
      <c r="C4528">
        <f>Prices!C4528</f>
        <v/>
      </c>
      <c r="D4528">
        <f>Prices!D4528</f>
        <v/>
      </c>
      <c r="E4528">
        <f>Prices!E4528</f>
        <v/>
      </c>
      <c r="F4528">
        <f>Prices!F4528</f>
        <v/>
      </c>
      <c r="G4528">
        <f>IF(AND(4526&gt;=16,TEXT(A4528,"yyyy-mm")&lt;&gt;TEXT(A4529,"yyyy-mm")),1,0)</f>
        <v/>
      </c>
      <c r="H4528">
        <f>IF(OR(H4527=1,G4528=1),1,0)</f>
        <v/>
      </c>
      <c r="I4528">
        <f>IF(H4527=0,1,SUMPRODUCT(J4527:N4527,B4528:F4528)+O4527*(1+0.00023125256064071564))</f>
        <v/>
      </c>
      <c r="J4528">
        <f>IF(G4528=1,0.2*R4528/B4528,J4527)</f>
        <v/>
      </c>
      <c r="K4528">
        <f>IF(G4528=1,0.2*R4528/C4528,K4527)</f>
        <v/>
      </c>
      <c r="L4528">
        <f>IF(G4528=1,0.2*R4528/D4528,L4527)</f>
        <v/>
      </c>
      <c r="M4528">
        <f>IF(G4528=1,0.2*R4528/E4528,M4527)</f>
        <v/>
      </c>
      <c r="N4528">
        <f>IF(G4528=1,0.2*R4528/F4528,N4527)</f>
        <v/>
      </c>
      <c r="O4528">
        <f>IF(G4528=1,R4528*(1-1.0),IF(H4527=0,1,O4527*(1+0.00023125256064071564)))</f>
        <v/>
      </c>
      <c r="P4528">
        <f>IF(G4528=1,IF(H4527=0,1,ABS(0.2-J4527*B4528/I4528)+ABS(0.2-K4527*C4528/I4528)+ABS(0.2-L4527*D4528/I4528)+ABS(0.2-M4527*E4528/I4528)+ABS(0.2-N4527*F4528/I4528)),0)</f>
        <v/>
      </c>
      <c r="Q4528">
        <f>P4528*0.0015</f>
        <v/>
      </c>
      <c r="R4528">
        <f>I4528*(1-Q4528)</f>
        <v/>
      </c>
      <c r="S4528">
        <f>R4528/R4527-1</f>
        <v/>
      </c>
      <c r="T4528">
        <f>MAX(T4527,R4528)</f>
        <v/>
      </c>
      <c r="U4528">
        <f>R4528/T4528-1</f>
        <v/>
      </c>
      <c r="V4528" t="n">
        <v>18.08323291061573</v>
      </c>
      <c r="W4528" s="5">
        <f>R4528-V4528</f>
        <v/>
      </c>
    </row>
    <row r="4529">
      <c r="A4529" s="3" t="n">
        <v>45111</v>
      </c>
      <c r="B4529">
        <f>Prices!B4529</f>
        <v/>
      </c>
      <c r="C4529">
        <f>Prices!C4529</f>
        <v/>
      </c>
      <c r="D4529">
        <f>Prices!D4529</f>
        <v/>
      </c>
      <c r="E4529">
        <f>Prices!E4529</f>
        <v/>
      </c>
      <c r="F4529">
        <f>Prices!F4529</f>
        <v/>
      </c>
      <c r="G4529">
        <f>IF(AND(4527&gt;=16,TEXT(A4529,"yyyy-mm")&lt;&gt;TEXT(A4530,"yyyy-mm")),1,0)</f>
        <v/>
      </c>
      <c r="H4529">
        <f>IF(OR(H4528=1,G4529=1),1,0)</f>
        <v/>
      </c>
      <c r="I4529">
        <f>IF(H4528=0,1,SUMPRODUCT(J4528:N4528,B4529:F4529)+O4528*(1+0.00023125256064071564))</f>
        <v/>
      </c>
      <c r="J4529">
        <f>IF(G4529=1,0.2*R4529/B4529,J4528)</f>
        <v/>
      </c>
      <c r="K4529">
        <f>IF(G4529=1,0.2*R4529/C4529,K4528)</f>
        <v/>
      </c>
      <c r="L4529">
        <f>IF(G4529=1,0.2*R4529/D4529,L4528)</f>
        <v/>
      </c>
      <c r="M4529">
        <f>IF(G4529=1,0.2*R4529/E4529,M4528)</f>
        <v/>
      </c>
      <c r="N4529">
        <f>IF(G4529=1,0.2*R4529/F4529,N4528)</f>
        <v/>
      </c>
      <c r="O4529">
        <f>IF(G4529=1,R4529*(1-1.0),IF(H4528=0,1,O4528*(1+0.00023125256064071564)))</f>
        <v/>
      </c>
      <c r="P4529">
        <f>IF(G4529=1,IF(H4528=0,1,ABS(0.2-J4528*B4529/I4529)+ABS(0.2-K4528*C4529/I4529)+ABS(0.2-L4528*D4529/I4529)+ABS(0.2-M4528*E4529/I4529)+ABS(0.2-N4528*F4529/I4529)),0)</f>
        <v/>
      </c>
      <c r="Q4529">
        <f>P4529*0.0015</f>
        <v/>
      </c>
      <c r="R4529">
        <f>I4529*(1-Q4529)</f>
        <v/>
      </c>
      <c r="S4529">
        <f>R4529/R4528-1</f>
        <v/>
      </c>
      <c r="T4529">
        <f>MAX(T4528,R4529)</f>
        <v/>
      </c>
      <c r="U4529">
        <f>R4529/T4529-1</f>
        <v/>
      </c>
      <c r="V4529" t="n">
        <v>18.06449046635732</v>
      </c>
      <c r="W4529" s="5">
        <f>R4529-V4529</f>
        <v/>
      </c>
    </row>
    <row r="4530">
      <c r="A4530" s="3" t="n">
        <v>45112</v>
      </c>
      <c r="B4530">
        <f>Prices!B4530</f>
        <v/>
      </c>
      <c r="C4530">
        <f>Prices!C4530</f>
        <v/>
      </c>
      <c r="D4530">
        <f>Prices!D4530</f>
        <v/>
      </c>
      <c r="E4530">
        <f>Prices!E4530</f>
        <v/>
      </c>
      <c r="F4530">
        <f>Prices!F4530</f>
        <v/>
      </c>
      <c r="G4530">
        <f>IF(AND(4528&gt;=16,TEXT(A4530,"yyyy-mm")&lt;&gt;TEXT(A4531,"yyyy-mm")),1,0)</f>
        <v/>
      </c>
      <c r="H4530">
        <f>IF(OR(H4529=1,G4530=1),1,0)</f>
        <v/>
      </c>
      <c r="I4530">
        <f>IF(H4529=0,1,SUMPRODUCT(J4529:N4529,B4530:F4530)+O4529*(1+0.00023125256064071564))</f>
        <v/>
      </c>
      <c r="J4530">
        <f>IF(G4530=1,0.2*R4530/B4530,J4529)</f>
        <v/>
      </c>
      <c r="K4530">
        <f>IF(G4530=1,0.2*R4530/C4530,K4529)</f>
        <v/>
      </c>
      <c r="L4530">
        <f>IF(G4530=1,0.2*R4530/D4530,L4529)</f>
        <v/>
      </c>
      <c r="M4530">
        <f>IF(G4530=1,0.2*R4530/E4530,M4529)</f>
        <v/>
      </c>
      <c r="N4530">
        <f>IF(G4530=1,0.2*R4530/F4530,N4529)</f>
        <v/>
      </c>
      <c r="O4530">
        <f>IF(G4530=1,R4530*(1-1.0),IF(H4529=0,1,O4529*(1+0.00023125256064071564)))</f>
        <v/>
      </c>
      <c r="P4530">
        <f>IF(G4530=1,IF(H4529=0,1,ABS(0.2-J4529*B4530/I4530)+ABS(0.2-K4529*C4530/I4530)+ABS(0.2-L4529*D4530/I4530)+ABS(0.2-M4529*E4530/I4530)+ABS(0.2-N4529*F4530/I4530)),0)</f>
        <v/>
      </c>
      <c r="Q4530">
        <f>P4530*0.0015</f>
        <v/>
      </c>
      <c r="R4530">
        <f>I4530*(1-Q4530)</f>
        <v/>
      </c>
      <c r="S4530">
        <f>R4530/R4529-1</f>
        <v/>
      </c>
      <c r="T4530">
        <f>MAX(T4529,R4530)</f>
        <v/>
      </c>
      <c r="U4530">
        <f>R4530/T4530-1</f>
        <v/>
      </c>
      <c r="V4530" t="n">
        <v>18.21050243094966</v>
      </c>
      <c r="W4530" s="5">
        <f>R4530-V4530</f>
        <v/>
      </c>
    </row>
    <row r="4531">
      <c r="A4531" s="3" t="n">
        <v>45113</v>
      </c>
      <c r="B4531">
        <f>Prices!B4531</f>
        <v/>
      </c>
      <c r="C4531">
        <f>Prices!C4531</f>
        <v/>
      </c>
      <c r="D4531">
        <f>Prices!D4531</f>
        <v/>
      </c>
      <c r="E4531">
        <f>Prices!E4531</f>
        <v/>
      </c>
      <c r="F4531">
        <f>Prices!F4531</f>
        <v/>
      </c>
      <c r="G4531">
        <f>IF(AND(4529&gt;=16,TEXT(A4531,"yyyy-mm")&lt;&gt;TEXT(A4532,"yyyy-mm")),1,0)</f>
        <v/>
      </c>
      <c r="H4531">
        <f>IF(OR(H4530=1,G4531=1),1,0)</f>
        <v/>
      </c>
      <c r="I4531">
        <f>IF(H4530=0,1,SUMPRODUCT(J4530:N4530,B4531:F4531)+O4530*(1+0.00023125256064071564))</f>
        <v/>
      </c>
      <c r="J4531">
        <f>IF(G4531=1,0.2*R4531/B4531,J4530)</f>
        <v/>
      </c>
      <c r="K4531">
        <f>IF(G4531=1,0.2*R4531/C4531,K4530)</f>
        <v/>
      </c>
      <c r="L4531">
        <f>IF(G4531=1,0.2*R4531/D4531,L4530)</f>
        <v/>
      </c>
      <c r="M4531">
        <f>IF(G4531=1,0.2*R4531/E4531,M4530)</f>
        <v/>
      </c>
      <c r="N4531">
        <f>IF(G4531=1,0.2*R4531/F4531,N4530)</f>
        <v/>
      </c>
      <c r="O4531">
        <f>IF(G4531=1,R4531*(1-1.0),IF(H4530=0,1,O4530*(1+0.00023125256064071564)))</f>
        <v/>
      </c>
      <c r="P4531">
        <f>IF(G4531=1,IF(H4530=0,1,ABS(0.2-J4530*B4531/I4531)+ABS(0.2-K4530*C4531/I4531)+ABS(0.2-L4530*D4531/I4531)+ABS(0.2-M4530*E4531/I4531)+ABS(0.2-N4530*F4531/I4531)),0)</f>
        <v/>
      </c>
      <c r="Q4531">
        <f>P4531*0.0015</f>
        <v/>
      </c>
      <c r="R4531">
        <f>I4531*(1-Q4531)</f>
        <v/>
      </c>
      <c r="S4531">
        <f>R4531/R4530-1</f>
        <v/>
      </c>
      <c r="T4531">
        <f>MAX(T4530,R4531)</f>
        <v/>
      </c>
      <c r="U4531">
        <f>R4531/T4531-1</f>
        <v/>
      </c>
      <c r="V4531" t="n">
        <v>18.33709166958132</v>
      </c>
      <c r="W4531" s="5">
        <f>R4531-V4531</f>
        <v/>
      </c>
    </row>
    <row r="4532">
      <c r="A4532" s="3" t="n">
        <v>45114</v>
      </c>
      <c r="B4532">
        <f>Prices!B4532</f>
        <v/>
      </c>
      <c r="C4532">
        <f>Prices!C4532</f>
        <v/>
      </c>
      <c r="D4532">
        <f>Prices!D4532</f>
        <v/>
      </c>
      <c r="E4532">
        <f>Prices!E4532</f>
        <v/>
      </c>
      <c r="F4532">
        <f>Prices!F4532</f>
        <v/>
      </c>
      <c r="G4532">
        <f>IF(AND(4530&gt;=16,TEXT(A4532,"yyyy-mm")&lt;&gt;TEXT(A4533,"yyyy-mm")),1,0)</f>
        <v/>
      </c>
      <c r="H4532">
        <f>IF(OR(H4531=1,G4532=1),1,0)</f>
        <v/>
      </c>
      <c r="I4532">
        <f>IF(H4531=0,1,SUMPRODUCT(J4531:N4531,B4532:F4532)+O4531*(1+0.00023125256064071564))</f>
        <v/>
      </c>
      <c r="J4532">
        <f>IF(G4532=1,0.2*R4532/B4532,J4531)</f>
        <v/>
      </c>
      <c r="K4532">
        <f>IF(G4532=1,0.2*R4532/C4532,K4531)</f>
        <v/>
      </c>
      <c r="L4532">
        <f>IF(G4532=1,0.2*R4532/D4532,L4531)</f>
        <v/>
      </c>
      <c r="M4532">
        <f>IF(G4532=1,0.2*R4532/E4532,M4531)</f>
        <v/>
      </c>
      <c r="N4532">
        <f>IF(G4532=1,0.2*R4532/F4532,N4531)</f>
        <v/>
      </c>
      <c r="O4532">
        <f>IF(G4532=1,R4532*(1-1.0),IF(H4531=0,1,O4531*(1+0.00023125256064071564)))</f>
        <v/>
      </c>
      <c r="P4532">
        <f>IF(G4532=1,IF(H4531=0,1,ABS(0.2-J4531*B4532/I4532)+ABS(0.2-K4531*C4532/I4532)+ABS(0.2-L4531*D4532/I4532)+ABS(0.2-M4531*E4532/I4532)+ABS(0.2-N4531*F4532/I4532)),0)</f>
        <v/>
      </c>
      <c r="Q4532">
        <f>P4532*0.0015</f>
        <v/>
      </c>
      <c r="R4532">
        <f>I4532*(1-Q4532)</f>
        <v/>
      </c>
      <c r="S4532">
        <f>R4532/R4531-1</f>
        <v/>
      </c>
      <c r="T4532">
        <f>MAX(T4531,R4532)</f>
        <v/>
      </c>
      <c r="U4532">
        <f>R4532/T4532-1</f>
        <v/>
      </c>
      <c r="V4532" t="n">
        <v>18.23135634790332</v>
      </c>
      <c r="W4532" s="5">
        <f>R4532-V4532</f>
        <v/>
      </c>
    </row>
    <row r="4533">
      <c r="A4533" s="3" t="n">
        <v>45117</v>
      </c>
      <c r="B4533">
        <f>Prices!B4533</f>
        <v/>
      </c>
      <c r="C4533">
        <f>Prices!C4533</f>
        <v/>
      </c>
      <c r="D4533">
        <f>Prices!D4533</f>
        <v/>
      </c>
      <c r="E4533">
        <f>Prices!E4533</f>
        <v/>
      </c>
      <c r="F4533">
        <f>Prices!F4533</f>
        <v/>
      </c>
      <c r="G4533">
        <f>IF(AND(4531&gt;=16,TEXT(A4533,"yyyy-mm")&lt;&gt;TEXT(A4534,"yyyy-mm")),1,0)</f>
        <v/>
      </c>
      <c r="H4533">
        <f>IF(OR(H4532=1,G4533=1),1,0)</f>
        <v/>
      </c>
      <c r="I4533">
        <f>IF(H4532=0,1,SUMPRODUCT(J4532:N4532,B4533:F4533)+O4532*(1+0.00023125256064071564))</f>
        <v/>
      </c>
      <c r="J4533">
        <f>IF(G4533=1,0.2*R4533/B4533,J4532)</f>
        <v/>
      </c>
      <c r="K4533">
        <f>IF(G4533=1,0.2*R4533/C4533,K4532)</f>
        <v/>
      </c>
      <c r="L4533">
        <f>IF(G4533=1,0.2*R4533/D4533,L4532)</f>
        <v/>
      </c>
      <c r="M4533">
        <f>IF(G4533=1,0.2*R4533/E4533,M4532)</f>
        <v/>
      </c>
      <c r="N4533">
        <f>IF(G4533=1,0.2*R4533/F4533,N4532)</f>
        <v/>
      </c>
      <c r="O4533">
        <f>IF(G4533=1,R4533*(1-1.0),IF(H4532=0,1,O4532*(1+0.00023125256064071564)))</f>
        <v/>
      </c>
      <c r="P4533">
        <f>IF(G4533=1,IF(H4532=0,1,ABS(0.2-J4532*B4533/I4533)+ABS(0.2-K4532*C4533/I4533)+ABS(0.2-L4532*D4533/I4533)+ABS(0.2-M4532*E4533/I4533)+ABS(0.2-N4532*F4533/I4533)),0)</f>
        <v/>
      </c>
      <c r="Q4533">
        <f>P4533*0.0015</f>
        <v/>
      </c>
      <c r="R4533">
        <f>I4533*(1-Q4533)</f>
        <v/>
      </c>
      <c r="S4533">
        <f>R4533/R4532-1</f>
        <v/>
      </c>
      <c r="T4533">
        <f>MAX(T4532,R4533)</f>
        <v/>
      </c>
      <c r="U4533">
        <f>R4533/T4533-1</f>
        <v/>
      </c>
      <c r="V4533" t="n">
        <v>18.1349055157329</v>
      </c>
      <c r="W4533" s="5">
        <f>R4533-V4533</f>
        <v/>
      </c>
    </row>
    <row r="4534">
      <c r="A4534" s="3" t="n">
        <v>45118</v>
      </c>
      <c r="B4534">
        <f>Prices!B4534</f>
        <v/>
      </c>
      <c r="C4534">
        <f>Prices!C4534</f>
        <v/>
      </c>
      <c r="D4534">
        <f>Prices!D4534</f>
        <v/>
      </c>
      <c r="E4534">
        <f>Prices!E4534</f>
        <v/>
      </c>
      <c r="F4534">
        <f>Prices!F4534</f>
        <v/>
      </c>
      <c r="G4534">
        <f>IF(AND(4532&gt;=16,TEXT(A4534,"yyyy-mm")&lt;&gt;TEXT(A4535,"yyyy-mm")),1,0)</f>
        <v/>
      </c>
      <c r="H4534">
        <f>IF(OR(H4533=1,G4534=1),1,0)</f>
        <v/>
      </c>
      <c r="I4534">
        <f>IF(H4533=0,1,SUMPRODUCT(J4533:N4533,B4534:F4534)+O4533*(1+0.00023125256064071564))</f>
        <v/>
      </c>
      <c r="J4534">
        <f>IF(G4534=1,0.2*R4534/B4534,J4533)</f>
        <v/>
      </c>
      <c r="K4534">
        <f>IF(G4534=1,0.2*R4534/C4534,K4533)</f>
        <v/>
      </c>
      <c r="L4534">
        <f>IF(G4534=1,0.2*R4534/D4534,L4533)</f>
        <v/>
      </c>
      <c r="M4534">
        <f>IF(G4534=1,0.2*R4534/E4534,M4533)</f>
        <v/>
      </c>
      <c r="N4534">
        <f>IF(G4534=1,0.2*R4534/F4534,N4533)</f>
        <v/>
      </c>
      <c r="O4534">
        <f>IF(G4534=1,R4534*(1-1.0),IF(H4533=0,1,O4533*(1+0.00023125256064071564)))</f>
        <v/>
      </c>
      <c r="P4534">
        <f>IF(G4534=1,IF(H4533=0,1,ABS(0.2-J4533*B4534/I4534)+ABS(0.2-K4533*C4534/I4534)+ABS(0.2-L4533*D4534/I4534)+ABS(0.2-M4533*E4534/I4534)+ABS(0.2-N4533*F4534/I4534)),0)</f>
        <v/>
      </c>
      <c r="Q4534">
        <f>P4534*0.0015</f>
        <v/>
      </c>
      <c r="R4534">
        <f>I4534*(1-Q4534)</f>
        <v/>
      </c>
      <c r="S4534">
        <f>R4534/R4533-1</f>
        <v/>
      </c>
      <c r="T4534">
        <f>MAX(T4533,R4534)</f>
        <v/>
      </c>
      <c r="U4534">
        <f>R4534/T4534-1</f>
        <v/>
      </c>
      <c r="V4534" t="n">
        <v>18.30336993907507</v>
      </c>
      <c r="W4534" s="5">
        <f>R4534-V4534</f>
        <v/>
      </c>
    </row>
    <row r="4535">
      <c r="A4535" s="3" t="n">
        <v>45119</v>
      </c>
      <c r="B4535">
        <f>Prices!B4535</f>
        <v/>
      </c>
      <c r="C4535">
        <f>Prices!C4535</f>
        <v/>
      </c>
      <c r="D4535">
        <f>Prices!D4535</f>
        <v/>
      </c>
      <c r="E4535">
        <f>Prices!E4535</f>
        <v/>
      </c>
      <c r="F4535">
        <f>Prices!F4535</f>
        <v/>
      </c>
      <c r="G4535">
        <f>IF(AND(4533&gt;=16,TEXT(A4535,"yyyy-mm")&lt;&gt;TEXT(A4536,"yyyy-mm")),1,0)</f>
        <v/>
      </c>
      <c r="H4535">
        <f>IF(OR(H4534=1,G4535=1),1,0)</f>
        <v/>
      </c>
      <c r="I4535">
        <f>IF(H4534=0,1,SUMPRODUCT(J4534:N4534,B4535:F4535)+O4534*(1+0.00023125256064071564))</f>
        <v/>
      </c>
      <c r="J4535">
        <f>IF(G4535=1,0.2*R4535/B4535,J4534)</f>
        <v/>
      </c>
      <c r="K4535">
        <f>IF(G4535=1,0.2*R4535/C4535,K4534)</f>
        <v/>
      </c>
      <c r="L4535">
        <f>IF(G4535=1,0.2*R4535/D4535,L4534)</f>
        <v/>
      </c>
      <c r="M4535">
        <f>IF(G4535=1,0.2*R4535/E4535,M4534)</f>
        <v/>
      </c>
      <c r="N4535">
        <f>IF(G4535=1,0.2*R4535/F4535,N4534)</f>
        <v/>
      </c>
      <c r="O4535">
        <f>IF(G4535=1,R4535*(1-1.0),IF(H4534=0,1,O4534*(1+0.00023125256064071564)))</f>
        <v/>
      </c>
      <c r="P4535">
        <f>IF(G4535=1,IF(H4534=0,1,ABS(0.2-J4534*B4535/I4535)+ABS(0.2-K4534*C4535/I4535)+ABS(0.2-L4534*D4535/I4535)+ABS(0.2-M4534*E4535/I4535)+ABS(0.2-N4534*F4535/I4535)),0)</f>
        <v/>
      </c>
      <c r="Q4535">
        <f>P4535*0.0015</f>
        <v/>
      </c>
      <c r="R4535">
        <f>I4535*(1-Q4535)</f>
        <v/>
      </c>
      <c r="S4535">
        <f>R4535/R4534-1</f>
        <v/>
      </c>
      <c r="T4535">
        <f>MAX(T4534,R4535)</f>
        <v/>
      </c>
      <c r="U4535">
        <f>R4535/T4535-1</f>
        <v/>
      </c>
      <c r="V4535" t="n">
        <v>18.36480754896948</v>
      </c>
      <c r="W4535" s="5">
        <f>R4535-V4535</f>
        <v/>
      </c>
    </row>
    <row r="4536">
      <c r="A4536" s="3" t="n">
        <v>45120</v>
      </c>
      <c r="B4536">
        <f>Prices!B4536</f>
        <v/>
      </c>
      <c r="C4536">
        <f>Prices!C4536</f>
        <v/>
      </c>
      <c r="D4536">
        <f>Prices!D4536</f>
        <v/>
      </c>
      <c r="E4536">
        <f>Prices!E4536</f>
        <v/>
      </c>
      <c r="F4536">
        <f>Prices!F4536</f>
        <v/>
      </c>
      <c r="G4536">
        <f>IF(AND(4534&gt;=16,TEXT(A4536,"yyyy-mm")&lt;&gt;TEXT(A4537,"yyyy-mm")),1,0)</f>
        <v/>
      </c>
      <c r="H4536">
        <f>IF(OR(H4535=1,G4536=1),1,0)</f>
        <v/>
      </c>
      <c r="I4536">
        <f>IF(H4535=0,1,SUMPRODUCT(J4535:N4535,B4536:F4536)+O4535*(1+0.00023125256064071564))</f>
        <v/>
      </c>
      <c r="J4536">
        <f>IF(G4536=1,0.2*R4536/B4536,J4535)</f>
        <v/>
      </c>
      <c r="K4536">
        <f>IF(G4536=1,0.2*R4536/C4536,K4535)</f>
        <v/>
      </c>
      <c r="L4536">
        <f>IF(G4536=1,0.2*R4536/D4536,L4535)</f>
        <v/>
      </c>
      <c r="M4536">
        <f>IF(G4536=1,0.2*R4536/E4536,M4535)</f>
        <v/>
      </c>
      <c r="N4536">
        <f>IF(G4536=1,0.2*R4536/F4536,N4535)</f>
        <v/>
      </c>
      <c r="O4536">
        <f>IF(G4536=1,R4536*(1-1.0),IF(H4535=0,1,O4535*(1+0.00023125256064071564)))</f>
        <v/>
      </c>
      <c r="P4536">
        <f>IF(G4536=1,IF(H4535=0,1,ABS(0.2-J4535*B4536/I4536)+ABS(0.2-K4535*C4536/I4536)+ABS(0.2-L4535*D4536/I4536)+ABS(0.2-M4535*E4536/I4536)+ABS(0.2-N4535*F4536/I4536)),0)</f>
        <v/>
      </c>
      <c r="Q4536">
        <f>P4536*0.0015</f>
        <v/>
      </c>
      <c r="R4536">
        <f>I4536*(1-Q4536)</f>
        <v/>
      </c>
      <c r="S4536">
        <f>R4536/R4535-1</f>
        <v/>
      </c>
      <c r="T4536">
        <f>MAX(T4535,R4536)</f>
        <v/>
      </c>
      <c r="U4536">
        <f>R4536/T4536-1</f>
        <v/>
      </c>
      <c r="V4536" t="n">
        <v>18.22054824001912</v>
      </c>
      <c r="W4536" s="5">
        <f>R4536-V4536</f>
        <v/>
      </c>
    </row>
    <row r="4537">
      <c r="A4537" s="3" t="n">
        <v>45121</v>
      </c>
      <c r="B4537">
        <f>Prices!B4537</f>
        <v/>
      </c>
      <c r="C4537">
        <f>Prices!C4537</f>
        <v/>
      </c>
      <c r="D4537">
        <f>Prices!D4537</f>
        <v/>
      </c>
      <c r="E4537">
        <f>Prices!E4537</f>
        <v/>
      </c>
      <c r="F4537">
        <f>Prices!F4537</f>
        <v/>
      </c>
      <c r="G4537">
        <f>IF(AND(4535&gt;=16,TEXT(A4537,"yyyy-mm")&lt;&gt;TEXT(A4538,"yyyy-mm")),1,0)</f>
        <v/>
      </c>
      <c r="H4537">
        <f>IF(OR(H4536=1,G4537=1),1,0)</f>
        <v/>
      </c>
      <c r="I4537">
        <f>IF(H4536=0,1,SUMPRODUCT(J4536:N4536,B4537:F4537)+O4536*(1+0.00023125256064071564))</f>
        <v/>
      </c>
      <c r="J4537">
        <f>IF(G4537=1,0.2*R4537/B4537,J4536)</f>
        <v/>
      </c>
      <c r="K4537">
        <f>IF(G4537=1,0.2*R4537/C4537,K4536)</f>
        <v/>
      </c>
      <c r="L4537">
        <f>IF(G4537=1,0.2*R4537/D4537,L4536)</f>
        <v/>
      </c>
      <c r="M4537">
        <f>IF(G4537=1,0.2*R4537/E4537,M4536)</f>
        <v/>
      </c>
      <c r="N4537">
        <f>IF(G4537=1,0.2*R4537/F4537,N4536)</f>
        <v/>
      </c>
      <c r="O4537">
        <f>IF(G4537=1,R4537*(1-1.0),IF(H4536=0,1,O4536*(1+0.00023125256064071564)))</f>
        <v/>
      </c>
      <c r="P4537">
        <f>IF(G4537=1,IF(H4536=0,1,ABS(0.2-J4536*B4537/I4537)+ABS(0.2-K4536*C4537/I4537)+ABS(0.2-L4536*D4537/I4537)+ABS(0.2-M4536*E4537/I4537)+ABS(0.2-N4536*F4537/I4537)),0)</f>
        <v/>
      </c>
      <c r="Q4537">
        <f>P4537*0.0015</f>
        <v/>
      </c>
      <c r="R4537">
        <f>I4537*(1-Q4537)</f>
        <v/>
      </c>
      <c r="S4537">
        <f>R4537/R4536-1</f>
        <v/>
      </c>
      <c r="T4537">
        <f>MAX(T4536,R4537)</f>
        <v/>
      </c>
      <c r="U4537">
        <f>R4537/T4537-1</f>
        <v/>
      </c>
      <c r="V4537" t="n">
        <v>18.40218732896108</v>
      </c>
      <c r="W4537" s="5">
        <f>R4537-V4537</f>
        <v/>
      </c>
    </row>
    <row r="4538">
      <c r="A4538" s="3" t="n">
        <v>45124</v>
      </c>
      <c r="B4538">
        <f>Prices!B4538</f>
        <v/>
      </c>
      <c r="C4538">
        <f>Prices!C4538</f>
        <v/>
      </c>
      <c r="D4538">
        <f>Prices!D4538</f>
        <v/>
      </c>
      <c r="E4538">
        <f>Prices!E4538</f>
        <v/>
      </c>
      <c r="F4538">
        <f>Prices!F4538</f>
        <v/>
      </c>
      <c r="G4538">
        <f>IF(AND(4536&gt;=16,TEXT(A4538,"yyyy-mm")&lt;&gt;TEXT(A4539,"yyyy-mm")),1,0)</f>
        <v/>
      </c>
      <c r="H4538">
        <f>IF(OR(H4537=1,G4538=1),1,0)</f>
        <v/>
      </c>
      <c r="I4538">
        <f>IF(H4537=0,1,SUMPRODUCT(J4537:N4537,B4538:F4538)+O4537*(1+0.00023125256064071564))</f>
        <v/>
      </c>
      <c r="J4538">
        <f>IF(G4538=1,0.2*R4538/B4538,J4537)</f>
        <v/>
      </c>
      <c r="K4538">
        <f>IF(G4538=1,0.2*R4538/C4538,K4537)</f>
        <v/>
      </c>
      <c r="L4538">
        <f>IF(G4538=1,0.2*R4538/D4538,L4537)</f>
        <v/>
      </c>
      <c r="M4538">
        <f>IF(G4538=1,0.2*R4538/E4538,M4537)</f>
        <v/>
      </c>
      <c r="N4538">
        <f>IF(G4538=1,0.2*R4538/F4538,N4537)</f>
        <v/>
      </c>
      <c r="O4538">
        <f>IF(G4538=1,R4538*(1-1.0),IF(H4537=0,1,O4537*(1+0.00023125256064071564)))</f>
        <v/>
      </c>
      <c r="P4538">
        <f>IF(G4538=1,IF(H4537=0,1,ABS(0.2-J4537*B4538/I4538)+ABS(0.2-K4537*C4538/I4538)+ABS(0.2-L4537*D4538/I4538)+ABS(0.2-M4537*E4538/I4538)+ABS(0.2-N4537*F4538/I4538)),0)</f>
        <v/>
      </c>
      <c r="Q4538">
        <f>P4538*0.0015</f>
        <v/>
      </c>
      <c r="R4538">
        <f>I4538*(1-Q4538)</f>
        <v/>
      </c>
      <c r="S4538">
        <f>R4538/R4537-1</f>
        <v/>
      </c>
      <c r="T4538">
        <f>MAX(T4537,R4538)</f>
        <v/>
      </c>
      <c r="U4538">
        <f>R4538/T4538-1</f>
        <v/>
      </c>
      <c r="V4538" t="n">
        <v>18.47826902866587</v>
      </c>
      <c r="W4538" s="5">
        <f>R4538-V4538</f>
        <v/>
      </c>
    </row>
    <row r="4539">
      <c r="A4539" s="3" t="n">
        <v>45125</v>
      </c>
      <c r="B4539">
        <f>Prices!B4539</f>
        <v/>
      </c>
      <c r="C4539">
        <f>Prices!C4539</f>
        <v/>
      </c>
      <c r="D4539">
        <f>Prices!D4539</f>
        <v/>
      </c>
      <c r="E4539">
        <f>Prices!E4539</f>
        <v/>
      </c>
      <c r="F4539">
        <f>Prices!F4539</f>
        <v/>
      </c>
      <c r="G4539">
        <f>IF(AND(4537&gt;=16,TEXT(A4539,"yyyy-mm")&lt;&gt;TEXT(A4540,"yyyy-mm")),1,0)</f>
        <v/>
      </c>
      <c r="H4539">
        <f>IF(OR(H4538=1,G4539=1),1,0)</f>
        <v/>
      </c>
      <c r="I4539">
        <f>IF(H4538=0,1,SUMPRODUCT(J4538:N4538,B4539:F4539)+O4538*(1+0.00023125256064071564))</f>
        <v/>
      </c>
      <c r="J4539">
        <f>IF(G4539=1,0.2*R4539/B4539,J4538)</f>
        <v/>
      </c>
      <c r="K4539">
        <f>IF(G4539=1,0.2*R4539/C4539,K4538)</f>
        <v/>
      </c>
      <c r="L4539">
        <f>IF(G4539=1,0.2*R4539/D4539,L4538)</f>
        <v/>
      </c>
      <c r="M4539">
        <f>IF(G4539=1,0.2*R4539/E4539,M4538)</f>
        <v/>
      </c>
      <c r="N4539">
        <f>IF(G4539=1,0.2*R4539/F4539,N4538)</f>
        <v/>
      </c>
      <c r="O4539">
        <f>IF(G4539=1,R4539*(1-1.0),IF(H4538=0,1,O4538*(1+0.00023125256064071564)))</f>
        <v/>
      </c>
      <c r="P4539">
        <f>IF(G4539=1,IF(H4538=0,1,ABS(0.2-J4538*B4539/I4539)+ABS(0.2-K4538*C4539/I4539)+ABS(0.2-L4538*D4539/I4539)+ABS(0.2-M4538*E4539/I4539)+ABS(0.2-N4538*F4539/I4539)),0)</f>
        <v/>
      </c>
      <c r="Q4539">
        <f>P4539*0.0015</f>
        <v/>
      </c>
      <c r="R4539">
        <f>I4539*(1-Q4539)</f>
        <v/>
      </c>
      <c r="S4539">
        <f>R4539/R4538-1</f>
        <v/>
      </c>
      <c r="T4539">
        <f>MAX(T4538,R4539)</f>
        <v/>
      </c>
      <c r="U4539">
        <f>R4539/T4539-1</f>
        <v/>
      </c>
      <c r="V4539" t="n">
        <v>18.43035304663932</v>
      </c>
      <c r="W4539" s="5">
        <f>R4539-V4539</f>
        <v/>
      </c>
    </row>
    <row r="4540">
      <c r="A4540" s="3" t="n">
        <v>45126</v>
      </c>
      <c r="B4540">
        <f>Prices!B4540</f>
        <v/>
      </c>
      <c r="C4540">
        <f>Prices!C4540</f>
        <v/>
      </c>
      <c r="D4540">
        <f>Prices!D4540</f>
        <v/>
      </c>
      <c r="E4540">
        <f>Prices!E4540</f>
        <v/>
      </c>
      <c r="F4540">
        <f>Prices!F4540</f>
        <v/>
      </c>
      <c r="G4540">
        <f>IF(AND(4538&gt;=16,TEXT(A4540,"yyyy-mm")&lt;&gt;TEXT(A4541,"yyyy-mm")),1,0)</f>
        <v/>
      </c>
      <c r="H4540">
        <f>IF(OR(H4539=1,G4540=1),1,0)</f>
        <v/>
      </c>
      <c r="I4540">
        <f>IF(H4539=0,1,SUMPRODUCT(J4539:N4539,B4540:F4540)+O4539*(1+0.00023125256064071564))</f>
        <v/>
      </c>
      <c r="J4540">
        <f>IF(G4540=1,0.2*R4540/B4540,J4539)</f>
        <v/>
      </c>
      <c r="K4540">
        <f>IF(G4540=1,0.2*R4540/C4540,K4539)</f>
        <v/>
      </c>
      <c r="L4540">
        <f>IF(G4540=1,0.2*R4540/D4540,L4539)</f>
        <v/>
      </c>
      <c r="M4540">
        <f>IF(G4540=1,0.2*R4540/E4540,M4539)</f>
        <v/>
      </c>
      <c r="N4540">
        <f>IF(G4540=1,0.2*R4540/F4540,N4539)</f>
        <v/>
      </c>
      <c r="O4540">
        <f>IF(G4540=1,R4540*(1-1.0),IF(H4539=0,1,O4539*(1+0.00023125256064071564)))</f>
        <v/>
      </c>
      <c r="P4540">
        <f>IF(G4540=1,IF(H4539=0,1,ABS(0.2-J4539*B4540/I4540)+ABS(0.2-K4539*C4540/I4540)+ABS(0.2-L4539*D4540/I4540)+ABS(0.2-M4539*E4540/I4540)+ABS(0.2-N4539*F4540/I4540)),0)</f>
        <v/>
      </c>
      <c r="Q4540">
        <f>P4540*0.0015</f>
        <v/>
      </c>
      <c r="R4540">
        <f>I4540*(1-Q4540)</f>
        <v/>
      </c>
      <c r="S4540">
        <f>R4540/R4539-1</f>
        <v/>
      </c>
      <c r="T4540">
        <f>MAX(T4539,R4540)</f>
        <v/>
      </c>
      <c r="U4540">
        <f>R4540/T4540-1</f>
        <v/>
      </c>
      <c r="V4540" t="n">
        <v>18.57155492529485</v>
      </c>
      <c r="W4540" s="5">
        <f>R4540-V4540</f>
        <v/>
      </c>
    </row>
    <row r="4541">
      <c r="A4541" s="3" t="n">
        <v>45127</v>
      </c>
      <c r="B4541">
        <f>Prices!B4541</f>
        <v/>
      </c>
      <c r="C4541">
        <f>Prices!C4541</f>
        <v/>
      </c>
      <c r="D4541">
        <f>Prices!D4541</f>
        <v/>
      </c>
      <c r="E4541">
        <f>Prices!E4541</f>
        <v/>
      </c>
      <c r="F4541">
        <f>Prices!F4541</f>
        <v/>
      </c>
      <c r="G4541">
        <f>IF(AND(4539&gt;=16,TEXT(A4541,"yyyy-mm")&lt;&gt;TEXT(A4542,"yyyy-mm")),1,0)</f>
        <v/>
      </c>
      <c r="H4541">
        <f>IF(OR(H4540=1,G4541=1),1,0)</f>
        <v/>
      </c>
      <c r="I4541">
        <f>IF(H4540=0,1,SUMPRODUCT(J4540:N4540,B4541:F4541)+O4540*(1+0.00023125256064071564))</f>
        <v/>
      </c>
      <c r="J4541">
        <f>IF(G4541=1,0.2*R4541/B4541,J4540)</f>
        <v/>
      </c>
      <c r="K4541">
        <f>IF(G4541=1,0.2*R4541/C4541,K4540)</f>
        <v/>
      </c>
      <c r="L4541">
        <f>IF(G4541=1,0.2*R4541/D4541,L4540)</f>
        <v/>
      </c>
      <c r="M4541">
        <f>IF(G4541=1,0.2*R4541/E4541,M4540)</f>
        <v/>
      </c>
      <c r="N4541">
        <f>IF(G4541=1,0.2*R4541/F4541,N4540)</f>
        <v/>
      </c>
      <c r="O4541">
        <f>IF(G4541=1,R4541*(1-1.0),IF(H4540=0,1,O4540*(1+0.00023125256064071564)))</f>
        <v/>
      </c>
      <c r="P4541">
        <f>IF(G4541=1,IF(H4540=0,1,ABS(0.2-J4540*B4541/I4541)+ABS(0.2-K4540*C4541/I4541)+ABS(0.2-L4540*D4541/I4541)+ABS(0.2-M4540*E4541/I4541)+ABS(0.2-N4540*F4541/I4541)),0)</f>
        <v/>
      </c>
      <c r="Q4541">
        <f>P4541*0.0015</f>
        <v/>
      </c>
      <c r="R4541">
        <f>I4541*(1-Q4541)</f>
        <v/>
      </c>
      <c r="S4541">
        <f>R4541/R4540-1</f>
        <v/>
      </c>
      <c r="T4541">
        <f>MAX(T4540,R4541)</f>
        <v/>
      </c>
      <c r="U4541">
        <f>R4541/T4541-1</f>
        <v/>
      </c>
      <c r="V4541" t="n">
        <v>18.60078017743069</v>
      </c>
      <c r="W4541" s="5">
        <f>R4541-V4541</f>
        <v/>
      </c>
    </row>
    <row r="4542">
      <c r="A4542" s="3" t="n">
        <v>45128</v>
      </c>
      <c r="B4542">
        <f>Prices!B4542</f>
        <v/>
      </c>
      <c r="C4542">
        <f>Prices!C4542</f>
        <v/>
      </c>
      <c r="D4542">
        <f>Prices!D4542</f>
        <v/>
      </c>
      <c r="E4542">
        <f>Prices!E4542</f>
        <v/>
      </c>
      <c r="F4542">
        <f>Prices!F4542</f>
        <v/>
      </c>
      <c r="G4542">
        <f>IF(AND(4540&gt;=16,TEXT(A4542,"yyyy-mm")&lt;&gt;TEXT(A4543,"yyyy-mm")),1,0)</f>
        <v/>
      </c>
      <c r="H4542">
        <f>IF(OR(H4541=1,G4542=1),1,0)</f>
        <v/>
      </c>
      <c r="I4542">
        <f>IF(H4541=0,1,SUMPRODUCT(J4541:N4541,B4542:F4542)+O4541*(1+0.00023125256064071564))</f>
        <v/>
      </c>
      <c r="J4542">
        <f>IF(G4542=1,0.2*R4542/B4542,J4541)</f>
        <v/>
      </c>
      <c r="K4542">
        <f>IF(G4542=1,0.2*R4542/C4542,K4541)</f>
        <v/>
      </c>
      <c r="L4542">
        <f>IF(G4542=1,0.2*R4542/D4542,L4541)</f>
        <v/>
      </c>
      <c r="M4542">
        <f>IF(G4542=1,0.2*R4542/E4542,M4541)</f>
        <v/>
      </c>
      <c r="N4542">
        <f>IF(G4542=1,0.2*R4542/F4542,N4541)</f>
        <v/>
      </c>
      <c r="O4542">
        <f>IF(G4542=1,R4542*(1-1.0),IF(H4541=0,1,O4541*(1+0.00023125256064071564)))</f>
        <v/>
      </c>
      <c r="P4542">
        <f>IF(G4542=1,IF(H4541=0,1,ABS(0.2-J4541*B4542/I4542)+ABS(0.2-K4541*C4542/I4542)+ABS(0.2-L4541*D4542/I4542)+ABS(0.2-M4541*E4542/I4542)+ABS(0.2-N4541*F4542/I4542)),0)</f>
        <v/>
      </c>
      <c r="Q4542">
        <f>P4542*0.0015</f>
        <v/>
      </c>
      <c r="R4542">
        <f>I4542*(1-Q4542)</f>
        <v/>
      </c>
      <c r="S4542">
        <f>R4542/R4541-1</f>
        <v/>
      </c>
      <c r="T4542">
        <f>MAX(T4541,R4542)</f>
        <v/>
      </c>
      <c r="U4542">
        <f>R4542/T4542-1</f>
        <v/>
      </c>
      <c r="V4542" t="n">
        <v>18.5377660409131</v>
      </c>
      <c r="W4542" s="5">
        <f>R4542-V4542</f>
        <v/>
      </c>
    </row>
    <row r="4543">
      <c r="A4543" s="3" t="n">
        <v>45131</v>
      </c>
      <c r="B4543">
        <f>Prices!B4543</f>
        <v/>
      </c>
      <c r="C4543">
        <f>Prices!C4543</f>
        <v/>
      </c>
      <c r="D4543">
        <f>Prices!D4543</f>
        <v/>
      </c>
      <c r="E4543">
        <f>Prices!E4543</f>
        <v/>
      </c>
      <c r="F4543">
        <f>Prices!F4543</f>
        <v/>
      </c>
      <c r="G4543">
        <f>IF(AND(4541&gt;=16,TEXT(A4543,"yyyy-mm")&lt;&gt;TEXT(A4544,"yyyy-mm")),1,0)</f>
        <v/>
      </c>
      <c r="H4543">
        <f>IF(OR(H4542=1,G4543=1),1,0)</f>
        <v/>
      </c>
      <c r="I4543">
        <f>IF(H4542=0,1,SUMPRODUCT(J4542:N4542,B4543:F4543)+O4542*(1+0.00023125256064071564))</f>
        <v/>
      </c>
      <c r="J4543">
        <f>IF(G4543=1,0.2*R4543/B4543,J4542)</f>
        <v/>
      </c>
      <c r="K4543">
        <f>IF(G4543=1,0.2*R4543/C4543,K4542)</f>
        <v/>
      </c>
      <c r="L4543">
        <f>IF(G4543=1,0.2*R4543/D4543,L4542)</f>
        <v/>
      </c>
      <c r="M4543">
        <f>IF(G4543=1,0.2*R4543/E4543,M4542)</f>
        <v/>
      </c>
      <c r="N4543">
        <f>IF(G4543=1,0.2*R4543/F4543,N4542)</f>
        <v/>
      </c>
      <c r="O4543">
        <f>IF(G4543=1,R4543*(1-1.0),IF(H4542=0,1,O4542*(1+0.00023125256064071564)))</f>
        <v/>
      </c>
      <c r="P4543">
        <f>IF(G4543=1,IF(H4542=0,1,ABS(0.2-J4542*B4543/I4543)+ABS(0.2-K4542*C4543/I4543)+ABS(0.2-L4542*D4543/I4543)+ABS(0.2-M4542*E4543/I4543)+ABS(0.2-N4542*F4543/I4543)),0)</f>
        <v/>
      </c>
      <c r="Q4543">
        <f>P4543*0.0015</f>
        <v/>
      </c>
      <c r="R4543">
        <f>I4543*(1-Q4543)</f>
        <v/>
      </c>
      <c r="S4543">
        <f>R4543/R4542-1</f>
        <v/>
      </c>
      <c r="T4543">
        <f>MAX(T4542,R4543)</f>
        <v/>
      </c>
      <c r="U4543">
        <f>R4543/T4543-1</f>
        <v/>
      </c>
      <c r="V4543" t="n">
        <v>18.62978126522403</v>
      </c>
      <c r="W4543" s="5">
        <f>R4543-V4543</f>
        <v/>
      </c>
    </row>
    <row r="4544">
      <c r="A4544" s="3" t="n">
        <v>45132</v>
      </c>
      <c r="B4544">
        <f>Prices!B4544</f>
        <v/>
      </c>
      <c r="C4544">
        <f>Prices!C4544</f>
        <v/>
      </c>
      <c r="D4544">
        <f>Prices!D4544</f>
        <v/>
      </c>
      <c r="E4544">
        <f>Prices!E4544</f>
        <v/>
      </c>
      <c r="F4544">
        <f>Prices!F4544</f>
        <v/>
      </c>
      <c r="G4544">
        <f>IF(AND(4542&gt;=16,TEXT(A4544,"yyyy-mm")&lt;&gt;TEXT(A4545,"yyyy-mm")),1,0)</f>
        <v/>
      </c>
      <c r="H4544">
        <f>IF(OR(H4543=1,G4544=1),1,0)</f>
        <v/>
      </c>
      <c r="I4544">
        <f>IF(H4543=0,1,SUMPRODUCT(J4543:N4543,B4544:F4544)+O4543*(1+0.00023125256064071564))</f>
        <v/>
      </c>
      <c r="J4544">
        <f>IF(G4544=1,0.2*R4544/B4544,J4543)</f>
        <v/>
      </c>
      <c r="K4544">
        <f>IF(G4544=1,0.2*R4544/C4544,K4543)</f>
        <v/>
      </c>
      <c r="L4544">
        <f>IF(G4544=1,0.2*R4544/D4544,L4543)</f>
        <v/>
      </c>
      <c r="M4544">
        <f>IF(G4544=1,0.2*R4544/E4544,M4543)</f>
        <v/>
      </c>
      <c r="N4544">
        <f>IF(G4544=1,0.2*R4544/F4544,N4543)</f>
        <v/>
      </c>
      <c r="O4544">
        <f>IF(G4544=1,R4544*(1-1.0),IF(H4543=0,1,O4543*(1+0.00023125256064071564)))</f>
        <v/>
      </c>
      <c r="P4544">
        <f>IF(G4544=1,IF(H4543=0,1,ABS(0.2-J4543*B4544/I4544)+ABS(0.2-K4543*C4544/I4544)+ABS(0.2-L4543*D4544/I4544)+ABS(0.2-M4543*E4544/I4544)+ABS(0.2-N4543*F4544/I4544)),0)</f>
        <v/>
      </c>
      <c r="Q4544">
        <f>P4544*0.0015</f>
        <v/>
      </c>
      <c r="R4544">
        <f>I4544*(1-Q4544)</f>
        <v/>
      </c>
      <c r="S4544">
        <f>R4544/R4543-1</f>
        <v/>
      </c>
      <c r="T4544">
        <f>MAX(T4543,R4544)</f>
        <v/>
      </c>
      <c r="U4544">
        <f>R4544/T4544-1</f>
        <v/>
      </c>
      <c r="V4544" t="n">
        <v>18.62908385112411</v>
      </c>
      <c r="W4544" s="5">
        <f>R4544-V4544</f>
        <v/>
      </c>
    </row>
    <row r="4545">
      <c r="A4545" s="3" t="n">
        <v>45133</v>
      </c>
      <c r="B4545">
        <f>Prices!B4545</f>
        <v/>
      </c>
      <c r="C4545">
        <f>Prices!C4545</f>
        <v/>
      </c>
      <c r="D4545">
        <f>Prices!D4545</f>
        <v/>
      </c>
      <c r="E4545">
        <f>Prices!E4545</f>
        <v/>
      </c>
      <c r="F4545">
        <f>Prices!F4545</f>
        <v/>
      </c>
      <c r="G4545">
        <f>IF(AND(4543&gt;=16,TEXT(A4545,"yyyy-mm")&lt;&gt;TEXT(A4546,"yyyy-mm")),1,0)</f>
        <v/>
      </c>
      <c r="H4545">
        <f>IF(OR(H4544=1,G4545=1),1,0)</f>
        <v/>
      </c>
      <c r="I4545">
        <f>IF(H4544=0,1,SUMPRODUCT(J4544:N4544,B4545:F4545)+O4544*(1+0.00023125256064071564))</f>
        <v/>
      </c>
      <c r="J4545">
        <f>IF(G4545=1,0.2*R4545/B4545,J4544)</f>
        <v/>
      </c>
      <c r="K4545">
        <f>IF(G4545=1,0.2*R4545/C4545,K4544)</f>
        <v/>
      </c>
      <c r="L4545">
        <f>IF(G4545=1,0.2*R4545/D4545,L4544)</f>
        <v/>
      </c>
      <c r="M4545">
        <f>IF(G4545=1,0.2*R4545/E4545,M4544)</f>
        <v/>
      </c>
      <c r="N4545">
        <f>IF(G4545=1,0.2*R4545/F4545,N4544)</f>
        <v/>
      </c>
      <c r="O4545">
        <f>IF(G4545=1,R4545*(1-1.0),IF(H4544=0,1,O4544*(1+0.00023125256064071564)))</f>
        <v/>
      </c>
      <c r="P4545">
        <f>IF(G4545=1,IF(H4544=0,1,ABS(0.2-J4544*B4545/I4545)+ABS(0.2-K4544*C4545/I4545)+ABS(0.2-L4544*D4545/I4545)+ABS(0.2-M4544*E4545/I4545)+ABS(0.2-N4544*F4545/I4545)),0)</f>
        <v/>
      </c>
      <c r="Q4545">
        <f>P4545*0.0015</f>
        <v/>
      </c>
      <c r="R4545">
        <f>I4545*(1-Q4545)</f>
        <v/>
      </c>
      <c r="S4545">
        <f>R4545/R4544-1</f>
        <v/>
      </c>
      <c r="T4545">
        <f>MAX(T4544,R4545)</f>
        <v/>
      </c>
      <c r="U4545">
        <f>R4545/T4545-1</f>
        <v/>
      </c>
      <c r="V4545" t="n">
        <v>18.7164761467516</v>
      </c>
      <c r="W4545" s="5">
        <f>R4545-V4545</f>
        <v/>
      </c>
    </row>
    <row r="4546">
      <c r="A4546" s="3" t="n">
        <v>45134</v>
      </c>
      <c r="B4546">
        <f>Prices!B4546</f>
        <v/>
      </c>
      <c r="C4546">
        <f>Prices!C4546</f>
        <v/>
      </c>
      <c r="D4546">
        <f>Prices!D4546</f>
        <v/>
      </c>
      <c r="E4546">
        <f>Prices!E4546</f>
        <v/>
      </c>
      <c r="F4546">
        <f>Prices!F4546</f>
        <v/>
      </c>
      <c r="G4546">
        <f>IF(AND(4544&gt;=16,TEXT(A4546,"yyyy-mm")&lt;&gt;TEXT(A4547,"yyyy-mm")),1,0)</f>
        <v/>
      </c>
      <c r="H4546">
        <f>IF(OR(H4545=1,G4546=1),1,0)</f>
        <v/>
      </c>
      <c r="I4546">
        <f>IF(H4545=0,1,SUMPRODUCT(J4545:N4545,B4546:F4546)+O4545*(1+0.00023125256064071564))</f>
        <v/>
      </c>
      <c r="J4546">
        <f>IF(G4546=1,0.2*R4546/B4546,J4545)</f>
        <v/>
      </c>
      <c r="K4546">
        <f>IF(G4546=1,0.2*R4546/C4546,K4545)</f>
        <v/>
      </c>
      <c r="L4546">
        <f>IF(G4546=1,0.2*R4546/D4546,L4545)</f>
        <v/>
      </c>
      <c r="M4546">
        <f>IF(G4546=1,0.2*R4546/E4546,M4545)</f>
        <v/>
      </c>
      <c r="N4546">
        <f>IF(G4546=1,0.2*R4546/F4546,N4545)</f>
        <v/>
      </c>
      <c r="O4546">
        <f>IF(G4546=1,R4546*(1-1.0),IF(H4545=0,1,O4545*(1+0.00023125256064071564)))</f>
        <v/>
      </c>
      <c r="P4546">
        <f>IF(G4546=1,IF(H4545=0,1,ABS(0.2-J4545*B4546/I4546)+ABS(0.2-K4545*C4546/I4546)+ABS(0.2-L4545*D4546/I4546)+ABS(0.2-M4545*E4546/I4546)+ABS(0.2-N4545*F4546/I4546)),0)</f>
        <v/>
      </c>
      <c r="Q4546">
        <f>P4546*0.0015</f>
        <v/>
      </c>
      <c r="R4546">
        <f>I4546*(1-Q4546)</f>
        <v/>
      </c>
      <c r="S4546">
        <f>R4546/R4545-1</f>
        <v/>
      </c>
      <c r="T4546">
        <f>MAX(T4545,R4546)</f>
        <v/>
      </c>
      <c r="U4546">
        <f>R4546/T4546-1</f>
        <v/>
      </c>
      <c r="V4546" t="n">
        <v>18.73813017377815</v>
      </c>
      <c r="W4546" s="5">
        <f>R4546-V4546</f>
        <v/>
      </c>
    </row>
    <row r="4547">
      <c r="A4547" s="3" t="n">
        <v>45135</v>
      </c>
      <c r="B4547">
        <f>Prices!B4547</f>
        <v/>
      </c>
      <c r="C4547">
        <f>Prices!C4547</f>
        <v/>
      </c>
      <c r="D4547">
        <f>Prices!D4547</f>
        <v/>
      </c>
      <c r="E4547">
        <f>Prices!E4547</f>
        <v/>
      </c>
      <c r="F4547">
        <f>Prices!F4547</f>
        <v/>
      </c>
      <c r="G4547">
        <f>IF(AND(4545&gt;=16,TEXT(A4547,"yyyy-mm")&lt;&gt;TEXT(A4548,"yyyy-mm")),1,0)</f>
        <v/>
      </c>
      <c r="H4547">
        <f>IF(OR(H4546=1,G4547=1),1,0)</f>
        <v/>
      </c>
      <c r="I4547">
        <f>IF(H4546=0,1,SUMPRODUCT(J4546:N4546,B4547:F4547)+O4546*(1+0.00023125256064071564))</f>
        <v/>
      </c>
      <c r="J4547">
        <f>IF(G4547=1,0.2*R4547/B4547,J4546)</f>
        <v/>
      </c>
      <c r="K4547">
        <f>IF(G4547=1,0.2*R4547/C4547,K4546)</f>
        <v/>
      </c>
      <c r="L4547">
        <f>IF(G4547=1,0.2*R4547/D4547,L4546)</f>
        <v/>
      </c>
      <c r="M4547">
        <f>IF(G4547=1,0.2*R4547/E4547,M4546)</f>
        <v/>
      </c>
      <c r="N4547">
        <f>IF(G4547=1,0.2*R4547/F4547,N4546)</f>
        <v/>
      </c>
      <c r="O4547">
        <f>IF(G4547=1,R4547*(1-1.0),IF(H4546=0,1,O4546*(1+0.00023125256064071564)))</f>
        <v/>
      </c>
      <c r="P4547">
        <f>IF(G4547=1,IF(H4546=0,1,ABS(0.2-J4546*B4547/I4547)+ABS(0.2-K4546*C4547/I4547)+ABS(0.2-L4546*D4547/I4547)+ABS(0.2-M4546*E4547/I4547)+ABS(0.2-N4546*F4547/I4547)),0)</f>
        <v/>
      </c>
      <c r="Q4547">
        <f>P4547*0.0015</f>
        <v/>
      </c>
      <c r="R4547">
        <f>I4547*(1-Q4547)</f>
        <v/>
      </c>
      <c r="S4547">
        <f>R4547/R4546-1</f>
        <v/>
      </c>
      <c r="T4547">
        <f>MAX(T4546,R4547)</f>
        <v/>
      </c>
      <c r="U4547">
        <f>R4547/T4547-1</f>
        <v/>
      </c>
      <c r="V4547" t="n">
        <v>18.88329685816277</v>
      </c>
      <c r="W4547" s="5">
        <f>R4547-V4547</f>
        <v/>
      </c>
    </row>
    <row r="4548">
      <c r="A4548" s="3" t="n">
        <v>45138</v>
      </c>
      <c r="B4548">
        <f>Prices!B4548</f>
        <v/>
      </c>
      <c r="C4548">
        <f>Prices!C4548</f>
        <v/>
      </c>
      <c r="D4548">
        <f>Prices!D4548</f>
        <v/>
      </c>
      <c r="E4548">
        <f>Prices!E4548</f>
        <v/>
      </c>
      <c r="F4548">
        <f>Prices!F4548</f>
        <v/>
      </c>
      <c r="G4548">
        <f>IF(AND(4546&gt;=16,TEXT(A4548,"yyyy-mm")&lt;&gt;TEXT(A4549,"yyyy-mm")),1,0)</f>
        <v/>
      </c>
      <c r="H4548">
        <f>IF(OR(H4547=1,G4548=1),1,0)</f>
        <v/>
      </c>
      <c r="I4548">
        <f>IF(H4547=0,1,SUMPRODUCT(J4547:N4547,B4548:F4548)+O4547*(1+0.00023125256064071564))</f>
        <v/>
      </c>
      <c r="J4548">
        <f>IF(G4548=1,0.2*R4548/B4548,J4547)</f>
        <v/>
      </c>
      <c r="K4548">
        <f>IF(G4548=1,0.2*R4548/C4548,K4547)</f>
        <v/>
      </c>
      <c r="L4548">
        <f>IF(G4548=1,0.2*R4548/D4548,L4547)</f>
        <v/>
      </c>
      <c r="M4548">
        <f>IF(G4548=1,0.2*R4548/E4548,M4547)</f>
        <v/>
      </c>
      <c r="N4548">
        <f>IF(G4548=1,0.2*R4548/F4548,N4547)</f>
        <v/>
      </c>
      <c r="O4548">
        <f>IF(G4548=1,R4548*(1-1.0),IF(H4547=0,1,O4547*(1+0.00023125256064071564)))</f>
        <v/>
      </c>
      <c r="P4548">
        <f>IF(G4548=1,IF(H4547=0,1,ABS(0.2-J4547*B4548/I4548)+ABS(0.2-K4547*C4548/I4548)+ABS(0.2-L4547*D4548/I4548)+ABS(0.2-M4547*E4548/I4548)+ABS(0.2-N4547*F4548/I4548)),0)</f>
        <v/>
      </c>
      <c r="Q4548">
        <f>P4548*0.0015</f>
        <v/>
      </c>
      <c r="R4548">
        <f>I4548*(1-Q4548)</f>
        <v/>
      </c>
      <c r="S4548">
        <f>R4548/R4547-1</f>
        <v/>
      </c>
      <c r="T4548">
        <f>MAX(T4547,R4548)</f>
        <v/>
      </c>
      <c r="U4548">
        <f>R4548/T4548-1</f>
        <v/>
      </c>
      <c r="V4548" t="n">
        <v>19.03588363620224</v>
      </c>
      <c r="W4548" s="5">
        <f>R4548-V4548</f>
        <v/>
      </c>
    </row>
    <row r="4549">
      <c r="A4549" s="3" t="n">
        <v>45139</v>
      </c>
      <c r="B4549">
        <f>Prices!B4549</f>
        <v/>
      </c>
      <c r="C4549">
        <f>Prices!C4549</f>
        <v/>
      </c>
      <c r="D4549">
        <f>Prices!D4549</f>
        <v/>
      </c>
      <c r="E4549">
        <f>Prices!E4549</f>
        <v/>
      </c>
      <c r="F4549">
        <f>Prices!F4549</f>
        <v/>
      </c>
      <c r="G4549">
        <f>IF(AND(4547&gt;=16,TEXT(A4549,"yyyy-mm")&lt;&gt;TEXT(A4550,"yyyy-mm")),1,0)</f>
        <v/>
      </c>
      <c r="H4549">
        <f>IF(OR(H4548=1,G4549=1),1,0)</f>
        <v/>
      </c>
      <c r="I4549">
        <f>IF(H4548=0,1,SUMPRODUCT(J4548:N4548,B4549:F4549)+O4548*(1+0.00023125256064071564))</f>
        <v/>
      </c>
      <c r="J4549">
        <f>IF(G4549=1,0.2*R4549/B4549,J4548)</f>
        <v/>
      </c>
      <c r="K4549">
        <f>IF(G4549=1,0.2*R4549/C4549,K4548)</f>
        <v/>
      </c>
      <c r="L4549">
        <f>IF(G4549=1,0.2*R4549/D4549,L4548)</f>
        <v/>
      </c>
      <c r="M4549">
        <f>IF(G4549=1,0.2*R4549/E4549,M4548)</f>
        <v/>
      </c>
      <c r="N4549">
        <f>IF(G4549=1,0.2*R4549/F4549,N4548)</f>
        <v/>
      </c>
      <c r="O4549">
        <f>IF(G4549=1,R4549*(1-1.0),IF(H4548=0,1,O4548*(1+0.00023125256064071564)))</f>
        <v/>
      </c>
      <c r="P4549">
        <f>IF(G4549=1,IF(H4548=0,1,ABS(0.2-J4548*B4549/I4549)+ABS(0.2-K4548*C4549/I4549)+ABS(0.2-L4548*D4549/I4549)+ABS(0.2-M4548*E4549/I4549)+ABS(0.2-N4548*F4549/I4549)),0)</f>
        <v/>
      </c>
      <c r="Q4549">
        <f>P4549*0.0015</f>
        <v/>
      </c>
      <c r="R4549">
        <f>I4549*(1-Q4549)</f>
        <v/>
      </c>
      <c r="S4549">
        <f>R4549/R4548-1</f>
        <v/>
      </c>
      <c r="T4549">
        <f>MAX(T4548,R4549)</f>
        <v/>
      </c>
      <c r="U4549">
        <f>R4549/T4549-1</f>
        <v/>
      </c>
      <c r="V4549" t="n">
        <v>19.02010289063679</v>
      </c>
      <c r="W4549" s="5">
        <f>R4549-V4549</f>
        <v/>
      </c>
    </row>
    <row r="4550">
      <c r="A4550" s="3" t="n">
        <v>45140</v>
      </c>
      <c r="B4550">
        <f>Prices!B4550</f>
        <v/>
      </c>
      <c r="C4550">
        <f>Prices!C4550</f>
        <v/>
      </c>
      <c r="D4550">
        <f>Prices!D4550</f>
        <v/>
      </c>
      <c r="E4550">
        <f>Prices!E4550</f>
        <v/>
      </c>
      <c r="F4550">
        <f>Prices!F4550</f>
        <v/>
      </c>
      <c r="G4550">
        <f>IF(AND(4548&gt;=16,TEXT(A4550,"yyyy-mm")&lt;&gt;TEXT(A4551,"yyyy-mm")),1,0)</f>
        <v/>
      </c>
      <c r="H4550">
        <f>IF(OR(H4549=1,G4550=1),1,0)</f>
        <v/>
      </c>
      <c r="I4550">
        <f>IF(H4549=0,1,SUMPRODUCT(J4549:N4549,B4550:F4550)+O4549*(1+0.00023125256064071564))</f>
        <v/>
      </c>
      <c r="J4550">
        <f>IF(G4550=1,0.2*R4550/B4550,J4549)</f>
        <v/>
      </c>
      <c r="K4550">
        <f>IF(G4550=1,0.2*R4550/C4550,K4549)</f>
        <v/>
      </c>
      <c r="L4550">
        <f>IF(G4550=1,0.2*R4550/D4550,L4549)</f>
        <v/>
      </c>
      <c r="M4550">
        <f>IF(G4550=1,0.2*R4550/E4550,M4549)</f>
        <v/>
      </c>
      <c r="N4550">
        <f>IF(G4550=1,0.2*R4550/F4550,N4549)</f>
        <v/>
      </c>
      <c r="O4550">
        <f>IF(G4550=1,R4550*(1-1.0),IF(H4549=0,1,O4549*(1+0.00023125256064071564)))</f>
        <v/>
      </c>
      <c r="P4550">
        <f>IF(G4550=1,IF(H4549=0,1,ABS(0.2-J4549*B4550/I4550)+ABS(0.2-K4549*C4550/I4550)+ABS(0.2-L4549*D4550/I4550)+ABS(0.2-M4549*E4550/I4550)+ABS(0.2-N4549*F4550/I4550)),0)</f>
        <v/>
      </c>
      <c r="Q4550">
        <f>P4550*0.0015</f>
        <v/>
      </c>
      <c r="R4550">
        <f>I4550*(1-Q4550)</f>
        <v/>
      </c>
      <c r="S4550">
        <f>R4550/R4549-1</f>
        <v/>
      </c>
      <c r="T4550">
        <f>MAX(T4549,R4550)</f>
        <v/>
      </c>
      <c r="U4550">
        <f>R4550/T4550-1</f>
        <v/>
      </c>
      <c r="V4550" t="n">
        <v>18.77314528032802</v>
      </c>
      <c r="W4550" s="5">
        <f>R4550-V4550</f>
        <v/>
      </c>
    </row>
    <row r="4551">
      <c r="A4551" s="3" t="n">
        <v>45141</v>
      </c>
      <c r="B4551">
        <f>Prices!B4551</f>
        <v/>
      </c>
      <c r="C4551">
        <f>Prices!C4551</f>
        <v/>
      </c>
      <c r="D4551">
        <f>Prices!D4551</f>
        <v/>
      </c>
      <c r="E4551">
        <f>Prices!E4551</f>
        <v/>
      </c>
      <c r="F4551">
        <f>Prices!F4551</f>
        <v/>
      </c>
      <c r="G4551">
        <f>IF(AND(4549&gt;=16,TEXT(A4551,"yyyy-mm")&lt;&gt;TEXT(A4552,"yyyy-mm")),1,0)</f>
        <v/>
      </c>
      <c r="H4551">
        <f>IF(OR(H4550=1,G4551=1),1,0)</f>
        <v/>
      </c>
      <c r="I4551">
        <f>IF(H4550=0,1,SUMPRODUCT(J4550:N4550,B4551:F4551)+O4550*(1+0.00023125256064071564))</f>
        <v/>
      </c>
      <c r="J4551">
        <f>IF(G4551=1,0.2*R4551/B4551,J4550)</f>
        <v/>
      </c>
      <c r="K4551">
        <f>IF(G4551=1,0.2*R4551/C4551,K4550)</f>
        <v/>
      </c>
      <c r="L4551">
        <f>IF(G4551=1,0.2*R4551/D4551,L4550)</f>
        <v/>
      </c>
      <c r="M4551">
        <f>IF(G4551=1,0.2*R4551/E4551,M4550)</f>
        <v/>
      </c>
      <c r="N4551">
        <f>IF(G4551=1,0.2*R4551/F4551,N4550)</f>
        <v/>
      </c>
      <c r="O4551">
        <f>IF(G4551=1,R4551*(1-1.0),IF(H4550=0,1,O4550*(1+0.00023125256064071564)))</f>
        <v/>
      </c>
      <c r="P4551">
        <f>IF(G4551=1,IF(H4550=0,1,ABS(0.2-J4550*B4551/I4551)+ABS(0.2-K4550*C4551/I4551)+ABS(0.2-L4550*D4551/I4551)+ABS(0.2-M4550*E4551/I4551)+ABS(0.2-N4550*F4551/I4551)),0)</f>
        <v/>
      </c>
      <c r="Q4551">
        <f>P4551*0.0015</f>
        <v/>
      </c>
      <c r="R4551">
        <f>I4551*(1-Q4551)</f>
        <v/>
      </c>
      <c r="S4551">
        <f>R4551/R4550-1</f>
        <v/>
      </c>
      <c r="T4551">
        <f>MAX(T4550,R4551)</f>
        <v/>
      </c>
      <c r="U4551">
        <f>R4551/T4551-1</f>
        <v/>
      </c>
      <c r="V4551" t="n">
        <v>18.71758108957948</v>
      </c>
      <c r="W4551" s="5">
        <f>R4551-V4551</f>
        <v/>
      </c>
    </row>
    <row r="4552">
      <c r="A4552" s="3" t="n">
        <v>45142</v>
      </c>
      <c r="B4552">
        <f>Prices!B4552</f>
        <v/>
      </c>
      <c r="C4552">
        <f>Prices!C4552</f>
        <v/>
      </c>
      <c r="D4552">
        <f>Prices!D4552</f>
        <v/>
      </c>
      <c r="E4552">
        <f>Prices!E4552</f>
        <v/>
      </c>
      <c r="F4552">
        <f>Prices!F4552</f>
        <v/>
      </c>
      <c r="G4552">
        <f>IF(AND(4550&gt;=16,TEXT(A4552,"yyyy-mm")&lt;&gt;TEXT(A4553,"yyyy-mm")),1,0)</f>
        <v/>
      </c>
      <c r="H4552">
        <f>IF(OR(H4551=1,G4552=1),1,0)</f>
        <v/>
      </c>
      <c r="I4552">
        <f>IF(H4551=0,1,SUMPRODUCT(J4551:N4551,B4552:F4552)+O4551*(1+0.00023125256064071564))</f>
        <v/>
      </c>
      <c r="J4552">
        <f>IF(G4552=1,0.2*R4552/B4552,J4551)</f>
        <v/>
      </c>
      <c r="K4552">
        <f>IF(G4552=1,0.2*R4552/C4552,K4551)</f>
        <v/>
      </c>
      <c r="L4552">
        <f>IF(G4552=1,0.2*R4552/D4552,L4551)</f>
        <v/>
      </c>
      <c r="M4552">
        <f>IF(G4552=1,0.2*R4552/E4552,M4551)</f>
        <v/>
      </c>
      <c r="N4552">
        <f>IF(G4552=1,0.2*R4552/F4552,N4551)</f>
        <v/>
      </c>
      <c r="O4552">
        <f>IF(G4552=1,R4552*(1-1.0),IF(H4551=0,1,O4551*(1+0.00023125256064071564)))</f>
        <v/>
      </c>
      <c r="P4552">
        <f>IF(G4552=1,IF(H4551=0,1,ABS(0.2-J4551*B4552/I4552)+ABS(0.2-K4551*C4552/I4552)+ABS(0.2-L4551*D4552/I4552)+ABS(0.2-M4551*E4552/I4552)+ABS(0.2-N4551*F4552/I4552)),0)</f>
        <v/>
      </c>
      <c r="Q4552">
        <f>P4552*0.0015</f>
        <v/>
      </c>
      <c r="R4552">
        <f>I4552*(1-Q4552)</f>
        <v/>
      </c>
      <c r="S4552">
        <f>R4552/R4551-1</f>
        <v/>
      </c>
      <c r="T4552">
        <f>MAX(T4551,R4552)</f>
        <v/>
      </c>
      <c r="U4552">
        <f>R4552/T4552-1</f>
        <v/>
      </c>
      <c r="V4552" t="n">
        <v>18.79235313442664</v>
      </c>
      <c r="W4552" s="5">
        <f>R4552-V4552</f>
        <v/>
      </c>
    </row>
    <row r="4553">
      <c r="A4553" s="3" t="n">
        <v>45145</v>
      </c>
      <c r="B4553">
        <f>Prices!B4553</f>
        <v/>
      </c>
      <c r="C4553">
        <f>Prices!C4553</f>
        <v/>
      </c>
      <c r="D4553">
        <f>Prices!D4553</f>
        <v/>
      </c>
      <c r="E4553">
        <f>Prices!E4553</f>
        <v/>
      </c>
      <c r="F4553">
        <f>Prices!F4553</f>
        <v/>
      </c>
      <c r="G4553">
        <f>IF(AND(4551&gt;=16,TEXT(A4553,"yyyy-mm")&lt;&gt;TEXT(A4554,"yyyy-mm")),1,0)</f>
        <v/>
      </c>
      <c r="H4553">
        <f>IF(OR(H4552=1,G4553=1),1,0)</f>
        <v/>
      </c>
      <c r="I4553">
        <f>IF(H4552=0,1,SUMPRODUCT(J4552:N4552,B4553:F4553)+O4552*(1+0.00023125256064071564))</f>
        <v/>
      </c>
      <c r="J4553">
        <f>IF(G4553=1,0.2*R4553/B4553,J4552)</f>
        <v/>
      </c>
      <c r="K4553">
        <f>IF(G4553=1,0.2*R4553/C4553,K4552)</f>
        <v/>
      </c>
      <c r="L4553">
        <f>IF(G4553=1,0.2*R4553/D4553,L4552)</f>
        <v/>
      </c>
      <c r="M4553">
        <f>IF(G4553=1,0.2*R4553/E4553,M4552)</f>
        <v/>
      </c>
      <c r="N4553">
        <f>IF(G4553=1,0.2*R4553/F4553,N4552)</f>
        <v/>
      </c>
      <c r="O4553">
        <f>IF(G4553=1,R4553*(1-1.0),IF(H4552=0,1,O4552*(1+0.00023125256064071564)))</f>
        <v/>
      </c>
      <c r="P4553">
        <f>IF(G4553=1,IF(H4552=0,1,ABS(0.2-J4552*B4553/I4553)+ABS(0.2-K4552*C4553/I4553)+ABS(0.2-L4552*D4553/I4553)+ABS(0.2-M4552*E4553/I4553)+ABS(0.2-N4552*F4553/I4553)),0)</f>
        <v/>
      </c>
      <c r="Q4553">
        <f>P4553*0.0015</f>
        <v/>
      </c>
      <c r="R4553">
        <f>I4553*(1-Q4553)</f>
        <v/>
      </c>
      <c r="S4553">
        <f>R4553/R4552-1</f>
        <v/>
      </c>
      <c r="T4553">
        <f>MAX(T4552,R4553)</f>
        <v/>
      </c>
      <c r="U4553">
        <f>R4553/T4553-1</f>
        <v/>
      </c>
      <c r="V4553" t="n">
        <v>18.85989288542403</v>
      </c>
      <c r="W4553" s="5">
        <f>R4553-V4553</f>
        <v/>
      </c>
    </row>
    <row r="4554">
      <c r="A4554" s="3" t="n">
        <v>45146</v>
      </c>
      <c r="B4554">
        <f>Prices!B4554</f>
        <v/>
      </c>
      <c r="C4554">
        <f>Prices!C4554</f>
        <v/>
      </c>
      <c r="D4554">
        <f>Prices!D4554</f>
        <v/>
      </c>
      <c r="E4554">
        <f>Prices!E4554</f>
        <v/>
      </c>
      <c r="F4554">
        <f>Prices!F4554</f>
        <v/>
      </c>
      <c r="G4554">
        <f>IF(AND(4552&gt;=16,TEXT(A4554,"yyyy-mm")&lt;&gt;TEXT(A4555,"yyyy-mm")),1,0)</f>
        <v/>
      </c>
      <c r="H4554">
        <f>IF(OR(H4553=1,G4554=1),1,0)</f>
        <v/>
      </c>
      <c r="I4554">
        <f>IF(H4553=0,1,SUMPRODUCT(J4553:N4553,B4554:F4554)+O4553*(1+0.00023125256064071564))</f>
        <v/>
      </c>
      <c r="J4554">
        <f>IF(G4554=1,0.2*R4554/B4554,J4553)</f>
        <v/>
      </c>
      <c r="K4554">
        <f>IF(G4554=1,0.2*R4554/C4554,K4553)</f>
        <v/>
      </c>
      <c r="L4554">
        <f>IF(G4554=1,0.2*R4554/D4554,L4553)</f>
        <v/>
      </c>
      <c r="M4554">
        <f>IF(G4554=1,0.2*R4554/E4554,M4553)</f>
        <v/>
      </c>
      <c r="N4554">
        <f>IF(G4554=1,0.2*R4554/F4554,N4553)</f>
        <v/>
      </c>
      <c r="O4554">
        <f>IF(G4554=1,R4554*(1-1.0),IF(H4553=0,1,O4553*(1+0.00023125256064071564)))</f>
        <v/>
      </c>
      <c r="P4554">
        <f>IF(G4554=1,IF(H4553=0,1,ABS(0.2-J4553*B4554/I4554)+ABS(0.2-K4553*C4554/I4554)+ABS(0.2-L4553*D4554/I4554)+ABS(0.2-M4553*E4554/I4554)+ABS(0.2-N4553*F4554/I4554)),0)</f>
        <v/>
      </c>
      <c r="Q4554">
        <f>P4554*0.0015</f>
        <v/>
      </c>
      <c r="R4554">
        <f>I4554*(1-Q4554)</f>
        <v/>
      </c>
      <c r="S4554">
        <f>R4554/R4553-1</f>
        <v/>
      </c>
      <c r="T4554">
        <f>MAX(T4553,R4554)</f>
        <v/>
      </c>
      <c r="U4554">
        <f>R4554/T4554-1</f>
        <v/>
      </c>
      <c r="V4554" t="n">
        <v>18.89435693402205</v>
      </c>
      <c r="W4554" s="5">
        <f>R4554-V4554</f>
        <v/>
      </c>
    </row>
    <row r="4555">
      <c r="A4555" s="3" t="n">
        <v>45147</v>
      </c>
      <c r="B4555">
        <f>Prices!B4555</f>
        <v/>
      </c>
      <c r="C4555">
        <f>Prices!C4555</f>
        <v/>
      </c>
      <c r="D4555">
        <f>Prices!D4555</f>
        <v/>
      </c>
      <c r="E4555">
        <f>Prices!E4555</f>
        <v/>
      </c>
      <c r="F4555">
        <f>Prices!F4555</f>
        <v/>
      </c>
      <c r="G4555">
        <f>IF(AND(4553&gt;=16,TEXT(A4555,"yyyy-mm")&lt;&gt;TEXT(A4556,"yyyy-mm")),1,0)</f>
        <v/>
      </c>
      <c r="H4555">
        <f>IF(OR(H4554=1,G4555=1),1,0)</f>
        <v/>
      </c>
      <c r="I4555">
        <f>IF(H4554=0,1,SUMPRODUCT(J4554:N4554,B4555:F4555)+O4554*(1+0.00023125256064071564))</f>
        <v/>
      </c>
      <c r="J4555">
        <f>IF(G4555=1,0.2*R4555/B4555,J4554)</f>
        <v/>
      </c>
      <c r="K4555">
        <f>IF(G4555=1,0.2*R4555/C4555,K4554)</f>
        <v/>
      </c>
      <c r="L4555">
        <f>IF(G4555=1,0.2*R4555/D4555,L4554)</f>
        <v/>
      </c>
      <c r="M4555">
        <f>IF(G4555=1,0.2*R4555/E4555,M4554)</f>
        <v/>
      </c>
      <c r="N4555">
        <f>IF(G4555=1,0.2*R4555/F4555,N4554)</f>
        <v/>
      </c>
      <c r="O4555">
        <f>IF(G4555=1,R4555*(1-1.0),IF(H4554=0,1,O4554*(1+0.00023125256064071564)))</f>
        <v/>
      </c>
      <c r="P4555">
        <f>IF(G4555=1,IF(H4554=0,1,ABS(0.2-J4554*B4555/I4555)+ABS(0.2-K4554*C4555/I4555)+ABS(0.2-L4554*D4555/I4555)+ABS(0.2-M4554*E4555/I4555)+ABS(0.2-N4554*F4555/I4555)),0)</f>
        <v/>
      </c>
      <c r="Q4555">
        <f>P4555*0.0015</f>
        <v/>
      </c>
      <c r="R4555">
        <f>I4555*(1-Q4555)</f>
        <v/>
      </c>
      <c r="S4555">
        <f>R4555/R4554-1</f>
        <v/>
      </c>
      <c r="T4555">
        <f>MAX(T4554,R4555)</f>
        <v/>
      </c>
      <c r="U4555">
        <f>R4555/T4555-1</f>
        <v/>
      </c>
      <c r="V4555" t="n">
        <v>18.9551955532357</v>
      </c>
      <c r="W4555" s="5">
        <f>R4555-V4555</f>
        <v/>
      </c>
    </row>
    <row r="4556">
      <c r="A4556" s="3" t="n">
        <v>45148</v>
      </c>
      <c r="B4556">
        <f>Prices!B4556</f>
        <v/>
      </c>
      <c r="C4556">
        <f>Prices!C4556</f>
        <v/>
      </c>
      <c r="D4556">
        <f>Prices!D4556</f>
        <v/>
      </c>
      <c r="E4556">
        <f>Prices!E4556</f>
        <v/>
      </c>
      <c r="F4556">
        <f>Prices!F4556</f>
        <v/>
      </c>
      <c r="G4556">
        <f>IF(AND(4554&gt;=16,TEXT(A4556,"yyyy-mm")&lt;&gt;TEXT(A4557,"yyyy-mm")),1,0)</f>
        <v/>
      </c>
      <c r="H4556">
        <f>IF(OR(H4555=1,G4556=1),1,0)</f>
        <v/>
      </c>
      <c r="I4556">
        <f>IF(H4555=0,1,SUMPRODUCT(J4555:N4555,B4556:F4556)+O4555*(1+0.00023125256064071564))</f>
        <v/>
      </c>
      <c r="J4556">
        <f>IF(G4556=1,0.2*R4556/B4556,J4555)</f>
        <v/>
      </c>
      <c r="K4556">
        <f>IF(G4556=1,0.2*R4556/C4556,K4555)</f>
        <v/>
      </c>
      <c r="L4556">
        <f>IF(G4556=1,0.2*R4556/D4556,L4555)</f>
        <v/>
      </c>
      <c r="M4556">
        <f>IF(G4556=1,0.2*R4556/E4556,M4555)</f>
        <v/>
      </c>
      <c r="N4556">
        <f>IF(G4556=1,0.2*R4556/F4556,N4555)</f>
        <v/>
      </c>
      <c r="O4556">
        <f>IF(G4556=1,R4556*(1-1.0),IF(H4555=0,1,O4555*(1+0.00023125256064071564)))</f>
        <v/>
      </c>
      <c r="P4556">
        <f>IF(G4556=1,IF(H4555=0,1,ABS(0.2-J4555*B4556/I4556)+ABS(0.2-K4555*C4556/I4556)+ABS(0.2-L4555*D4556/I4556)+ABS(0.2-M4555*E4556/I4556)+ABS(0.2-N4555*F4556/I4556)),0)</f>
        <v/>
      </c>
      <c r="Q4556">
        <f>P4556*0.0015</f>
        <v/>
      </c>
      <c r="R4556">
        <f>I4556*(1-Q4556)</f>
        <v/>
      </c>
      <c r="S4556">
        <f>R4556/R4555-1</f>
        <v/>
      </c>
      <c r="T4556">
        <f>MAX(T4555,R4556)</f>
        <v/>
      </c>
      <c r="U4556">
        <f>R4556/T4556-1</f>
        <v/>
      </c>
      <c r="V4556" t="n">
        <v>18.87304895960724</v>
      </c>
      <c r="W4556" s="5">
        <f>R4556-V4556</f>
        <v/>
      </c>
    </row>
    <row r="4557">
      <c r="A4557" s="3" t="n">
        <v>45149</v>
      </c>
      <c r="B4557">
        <f>Prices!B4557</f>
        <v/>
      </c>
      <c r="C4557">
        <f>Prices!C4557</f>
        <v/>
      </c>
      <c r="D4557">
        <f>Prices!D4557</f>
        <v/>
      </c>
      <c r="E4557">
        <f>Prices!E4557</f>
        <v/>
      </c>
      <c r="F4557">
        <f>Prices!F4557</f>
        <v/>
      </c>
      <c r="G4557">
        <f>IF(AND(4555&gt;=16,TEXT(A4557,"yyyy-mm")&lt;&gt;TEXT(A4558,"yyyy-mm")),1,0)</f>
        <v/>
      </c>
      <c r="H4557">
        <f>IF(OR(H4556=1,G4557=1),1,0)</f>
        <v/>
      </c>
      <c r="I4557">
        <f>IF(H4556=0,1,SUMPRODUCT(J4556:N4556,B4557:F4557)+O4556*(1+0.00023125256064071564))</f>
        <v/>
      </c>
      <c r="J4557">
        <f>IF(G4557=1,0.2*R4557/B4557,J4556)</f>
        <v/>
      </c>
      <c r="K4557">
        <f>IF(G4557=1,0.2*R4557/C4557,K4556)</f>
        <v/>
      </c>
      <c r="L4557">
        <f>IF(G4557=1,0.2*R4557/D4557,L4556)</f>
        <v/>
      </c>
      <c r="M4557">
        <f>IF(G4557=1,0.2*R4557/E4557,M4556)</f>
        <v/>
      </c>
      <c r="N4557">
        <f>IF(G4557=1,0.2*R4557/F4557,N4556)</f>
        <v/>
      </c>
      <c r="O4557">
        <f>IF(G4557=1,R4557*(1-1.0),IF(H4556=0,1,O4556*(1+0.00023125256064071564)))</f>
        <v/>
      </c>
      <c r="P4557">
        <f>IF(G4557=1,IF(H4556=0,1,ABS(0.2-J4556*B4557/I4557)+ABS(0.2-K4556*C4557/I4557)+ABS(0.2-L4556*D4557/I4557)+ABS(0.2-M4556*E4557/I4557)+ABS(0.2-N4556*F4557/I4557)),0)</f>
        <v/>
      </c>
      <c r="Q4557">
        <f>P4557*0.0015</f>
        <v/>
      </c>
      <c r="R4557">
        <f>I4557*(1-Q4557)</f>
        <v/>
      </c>
      <c r="S4557">
        <f>R4557/R4556-1</f>
        <v/>
      </c>
      <c r="T4557">
        <f>MAX(T4556,R4557)</f>
        <v/>
      </c>
      <c r="U4557">
        <f>R4557/T4557-1</f>
        <v/>
      </c>
      <c r="V4557" t="n">
        <v>18.84345757457975</v>
      </c>
      <c r="W4557" s="5">
        <f>R4557-V4557</f>
        <v/>
      </c>
    </row>
    <row r="4558">
      <c r="A4558" s="3" t="n">
        <v>45152</v>
      </c>
      <c r="B4558">
        <f>Prices!B4558</f>
        <v/>
      </c>
      <c r="C4558">
        <f>Prices!C4558</f>
        <v/>
      </c>
      <c r="D4558">
        <f>Prices!D4558</f>
        <v/>
      </c>
      <c r="E4558">
        <f>Prices!E4558</f>
        <v/>
      </c>
      <c r="F4558">
        <f>Prices!F4558</f>
        <v/>
      </c>
      <c r="G4558">
        <f>IF(AND(4556&gt;=16,TEXT(A4558,"yyyy-mm")&lt;&gt;TEXT(A4559,"yyyy-mm")),1,0)</f>
        <v/>
      </c>
      <c r="H4558">
        <f>IF(OR(H4557=1,G4558=1),1,0)</f>
        <v/>
      </c>
      <c r="I4558">
        <f>IF(H4557=0,1,SUMPRODUCT(J4557:N4557,B4558:F4558)+O4557*(1+0.00023125256064071564))</f>
        <v/>
      </c>
      <c r="J4558">
        <f>IF(G4558=1,0.2*R4558/B4558,J4557)</f>
        <v/>
      </c>
      <c r="K4558">
        <f>IF(G4558=1,0.2*R4558/C4558,K4557)</f>
        <v/>
      </c>
      <c r="L4558">
        <f>IF(G4558=1,0.2*R4558/D4558,L4557)</f>
        <v/>
      </c>
      <c r="M4558">
        <f>IF(G4558=1,0.2*R4558/E4558,M4557)</f>
        <v/>
      </c>
      <c r="N4558">
        <f>IF(G4558=1,0.2*R4558/F4558,N4557)</f>
        <v/>
      </c>
      <c r="O4558">
        <f>IF(G4558=1,R4558*(1-1.0),IF(H4557=0,1,O4557*(1+0.00023125256064071564)))</f>
        <v/>
      </c>
      <c r="P4558">
        <f>IF(G4558=1,IF(H4557=0,1,ABS(0.2-J4557*B4558/I4558)+ABS(0.2-K4557*C4558/I4558)+ABS(0.2-L4557*D4558/I4558)+ABS(0.2-M4557*E4558/I4558)+ABS(0.2-N4557*F4558/I4558)),0)</f>
        <v/>
      </c>
      <c r="Q4558">
        <f>P4558*0.0015</f>
        <v/>
      </c>
      <c r="R4558">
        <f>I4558*(1-Q4558)</f>
        <v/>
      </c>
      <c r="S4558">
        <f>R4558/R4557-1</f>
        <v/>
      </c>
      <c r="T4558">
        <f>MAX(T4557,R4558)</f>
        <v/>
      </c>
      <c r="U4558">
        <f>R4558/T4558-1</f>
        <v/>
      </c>
      <c r="V4558" t="n">
        <v>18.75858411539473</v>
      </c>
      <c r="W4558" s="5">
        <f>R4558-V4558</f>
        <v/>
      </c>
    </row>
    <row r="4559">
      <c r="A4559" s="3" t="n">
        <v>45154</v>
      </c>
      <c r="B4559">
        <f>Prices!B4559</f>
        <v/>
      </c>
      <c r="C4559">
        <f>Prices!C4559</f>
        <v/>
      </c>
      <c r="D4559">
        <f>Prices!D4559</f>
        <v/>
      </c>
      <c r="E4559">
        <f>Prices!E4559</f>
        <v/>
      </c>
      <c r="F4559">
        <f>Prices!F4559</f>
        <v/>
      </c>
      <c r="G4559">
        <f>IF(AND(4557&gt;=16,TEXT(A4559,"yyyy-mm")&lt;&gt;TEXT(A4560,"yyyy-mm")),1,0)</f>
        <v/>
      </c>
      <c r="H4559">
        <f>IF(OR(H4558=1,G4559=1),1,0)</f>
        <v/>
      </c>
      <c r="I4559">
        <f>IF(H4558=0,1,SUMPRODUCT(J4558:N4558,B4559:F4559)+O4558*(1+0.00023125256064071564))</f>
        <v/>
      </c>
      <c r="J4559">
        <f>IF(G4559=1,0.2*R4559/B4559,J4558)</f>
        <v/>
      </c>
      <c r="K4559">
        <f>IF(G4559=1,0.2*R4559/C4559,K4558)</f>
        <v/>
      </c>
      <c r="L4559">
        <f>IF(G4559=1,0.2*R4559/D4559,L4558)</f>
        <v/>
      </c>
      <c r="M4559">
        <f>IF(G4559=1,0.2*R4559/E4559,M4558)</f>
        <v/>
      </c>
      <c r="N4559">
        <f>IF(G4559=1,0.2*R4559/F4559,N4558)</f>
        <v/>
      </c>
      <c r="O4559">
        <f>IF(G4559=1,R4559*(1-1.0),IF(H4558=0,1,O4558*(1+0.00023125256064071564)))</f>
        <v/>
      </c>
      <c r="P4559">
        <f>IF(G4559=1,IF(H4558=0,1,ABS(0.2-J4558*B4559/I4559)+ABS(0.2-K4558*C4559/I4559)+ABS(0.2-L4558*D4559/I4559)+ABS(0.2-M4558*E4559/I4559)+ABS(0.2-N4558*F4559/I4559)),0)</f>
        <v/>
      </c>
      <c r="Q4559">
        <f>P4559*0.0015</f>
        <v/>
      </c>
      <c r="R4559">
        <f>I4559*(1-Q4559)</f>
        <v/>
      </c>
      <c r="S4559">
        <f>R4559/R4558-1</f>
        <v/>
      </c>
      <c r="T4559">
        <f>MAX(T4558,R4559)</f>
        <v/>
      </c>
      <c r="U4559">
        <f>R4559/T4559-1</f>
        <v/>
      </c>
      <c r="V4559" t="n">
        <v>18.79138248051092</v>
      </c>
      <c r="W4559" s="5">
        <f>R4559-V4559</f>
        <v/>
      </c>
    </row>
    <row r="4560">
      <c r="A4560" s="3" t="n">
        <v>45155</v>
      </c>
      <c r="B4560">
        <f>Prices!B4560</f>
        <v/>
      </c>
      <c r="C4560">
        <f>Prices!C4560</f>
        <v/>
      </c>
      <c r="D4560">
        <f>Prices!D4560</f>
        <v/>
      </c>
      <c r="E4560">
        <f>Prices!E4560</f>
        <v/>
      </c>
      <c r="F4560">
        <f>Prices!F4560</f>
        <v/>
      </c>
      <c r="G4560">
        <f>IF(AND(4558&gt;=16,TEXT(A4560,"yyyy-mm")&lt;&gt;TEXT(A4561,"yyyy-mm")),1,0)</f>
        <v/>
      </c>
      <c r="H4560">
        <f>IF(OR(H4559=1,G4560=1),1,0)</f>
        <v/>
      </c>
      <c r="I4560">
        <f>IF(H4559=0,1,SUMPRODUCT(J4559:N4559,B4560:F4560)+O4559*(1+0.00023125256064071564))</f>
        <v/>
      </c>
      <c r="J4560">
        <f>IF(G4560=1,0.2*R4560/B4560,J4559)</f>
        <v/>
      </c>
      <c r="K4560">
        <f>IF(G4560=1,0.2*R4560/C4560,K4559)</f>
        <v/>
      </c>
      <c r="L4560">
        <f>IF(G4560=1,0.2*R4560/D4560,L4559)</f>
        <v/>
      </c>
      <c r="M4560">
        <f>IF(G4560=1,0.2*R4560/E4560,M4559)</f>
        <v/>
      </c>
      <c r="N4560">
        <f>IF(G4560=1,0.2*R4560/F4560,N4559)</f>
        <v/>
      </c>
      <c r="O4560">
        <f>IF(G4560=1,R4560*(1-1.0),IF(H4559=0,1,O4559*(1+0.00023125256064071564)))</f>
        <v/>
      </c>
      <c r="P4560">
        <f>IF(G4560=1,IF(H4559=0,1,ABS(0.2-J4559*B4560/I4560)+ABS(0.2-K4559*C4560/I4560)+ABS(0.2-L4559*D4560/I4560)+ABS(0.2-M4559*E4560/I4560)+ABS(0.2-N4559*F4560/I4560)),0)</f>
        <v/>
      </c>
      <c r="Q4560">
        <f>P4560*0.0015</f>
        <v/>
      </c>
      <c r="R4560">
        <f>I4560*(1-Q4560)</f>
        <v/>
      </c>
      <c r="S4560">
        <f>R4560/R4559-1</f>
        <v/>
      </c>
      <c r="T4560">
        <f>MAX(T4559,R4560)</f>
        <v/>
      </c>
      <c r="U4560">
        <f>R4560/T4560-1</f>
        <v/>
      </c>
      <c r="V4560" t="n">
        <v>18.82194943141952</v>
      </c>
      <c r="W4560" s="5">
        <f>R4560-V4560</f>
        <v/>
      </c>
    </row>
    <row r="4561">
      <c r="A4561" s="3" t="n">
        <v>45156</v>
      </c>
      <c r="B4561">
        <f>Prices!B4561</f>
        <v/>
      </c>
      <c r="C4561">
        <f>Prices!C4561</f>
        <v/>
      </c>
      <c r="D4561">
        <f>Prices!D4561</f>
        <v/>
      </c>
      <c r="E4561">
        <f>Prices!E4561</f>
        <v/>
      </c>
      <c r="F4561">
        <f>Prices!F4561</f>
        <v/>
      </c>
      <c r="G4561">
        <f>IF(AND(4559&gt;=16,TEXT(A4561,"yyyy-mm")&lt;&gt;TEXT(A4562,"yyyy-mm")),1,0)</f>
        <v/>
      </c>
      <c r="H4561">
        <f>IF(OR(H4560=1,G4561=1),1,0)</f>
        <v/>
      </c>
      <c r="I4561">
        <f>IF(H4560=0,1,SUMPRODUCT(J4560:N4560,B4561:F4561)+O4560*(1+0.00023125256064071564))</f>
        <v/>
      </c>
      <c r="J4561">
        <f>IF(G4561=1,0.2*R4561/B4561,J4560)</f>
        <v/>
      </c>
      <c r="K4561">
        <f>IF(G4561=1,0.2*R4561/C4561,K4560)</f>
        <v/>
      </c>
      <c r="L4561">
        <f>IF(G4561=1,0.2*R4561/D4561,L4560)</f>
        <v/>
      </c>
      <c r="M4561">
        <f>IF(G4561=1,0.2*R4561/E4561,M4560)</f>
        <v/>
      </c>
      <c r="N4561">
        <f>IF(G4561=1,0.2*R4561/F4561,N4560)</f>
        <v/>
      </c>
      <c r="O4561">
        <f>IF(G4561=1,R4561*(1-1.0),IF(H4560=0,1,O4560*(1+0.00023125256064071564)))</f>
        <v/>
      </c>
      <c r="P4561">
        <f>IF(G4561=1,IF(H4560=0,1,ABS(0.2-J4560*B4561/I4561)+ABS(0.2-K4560*C4561/I4561)+ABS(0.2-L4560*D4561/I4561)+ABS(0.2-M4560*E4561/I4561)+ABS(0.2-N4560*F4561/I4561)),0)</f>
        <v/>
      </c>
      <c r="Q4561">
        <f>P4561*0.0015</f>
        <v/>
      </c>
      <c r="R4561">
        <f>I4561*(1-Q4561)</f>
        <v/>
      </c>
      <c r="S4561">
        <f>R4561/R4560-1</f>
        <v/>
      </c>
      <c r="T4561">
        <f>MAX(T4560,R4561)</f>
        <v/>
      </c>
      <c r="U4561">
        <f>R4561/T4561-1</f>
        <v/>
      </c>
      <c r="V4561" t="n">
        <v>18.75865130052928</v>
      </c>
      <c r="W4561" s="5">
        <f>R4561-V4561</f>
        <v/>
      </c>
    </row>
    <row r="4562">
      <c r="A4562" s="3" t="n">
        <v>45159</v>
      </c>
      <c r="B4562">
        <f>Prices!B4562</f>
        <v/>
      </c>
      <c r="C4562">
        <f>Prices!C4562</f>
        <v/>
      </c>
      <c r="D4562">
        <f>Prices!D4562</f>
        <v/>
      </c>
      <c r="E4562">
        <f>Prices!E4562</f>
        <v/>
      </c>
      <c r="F4562">
        <f>Prices!F4562</f>
        <v/>
      </c>
      <c r="G4562">
        <f>IF(AND(4560&gt;=16,TEXT(A4562,"yyyy-mm")&lt;&gt;TEXT(A4563,"yyyy-mm")),1,0)</f>
        <v/>
      </c>
      <c r="H4562">
        <f>IF(OR(H4561=1,G4562=1),1,0)</f>
        <v/>
      </c>
      <c r="I4562">
        <f>IF(H4561=0,1,SUMPRODUCT(J4561:N4561,B4562:F4562)+O4561*(1+0.00023125256064071564))</f>
        <v/>
      </c>
      <c r="J4562">
        <f>IF(G4562=1,0.2*R4562/B4562,J4561)</f>
        <v/>
      </c>
      <c r="K4562">
        <f>IF(G4562=1,0.2*R4562/C4562,K4561)</f>
        <v/>
      </c>
      <c r="L4562">
        <f>IF(G4562=1,0.2*R4562/D4562,L4561)</f>
        <v/>
      </c>
      <c r="M4562">
        <f>IF(G4562=1,0.2*R4562/E4562,M4561)</f>
        <v/>
      </c>
      <c r="N4562">
        <f>IF(G4562=1,0.2*R4562/F4562,N4561)</f>
        <v/>
      </c>
      <c r="O4562">
        <f>IF(G4562=1,R4562*(1-1.0),IF(H4561=0,1,O4561*(1+0.00023125256064071564)))</f>
        <v/>
      </c>
      <c r="P4562">
        <f>IF(G4562=1,IF(H4561=0,1,ABS(0.2-J4561*B4562/I4562)+ABS(0.2-K4561*C4562/I4562)+ABS(0.2-L4561*D4562/I4562)+ABS(0.2-M4561*E4562/I4562)+ABS(0.2-N4561*F4562/I4562)),0)</f>
        <v/>
      </c>
      <c r="Q4562">
        <f>P4562*0.0015</f>
        <v/>
      </c>
      <c r="R4562">
        <f>I4562*(1-Q4562)</f>
        <v/>
      </c>
      <c r="S4562">
        <f>R4562/R4561-1</f>
        <v/>
      </c>
      <c r="T4562">
        <f>MAX(T4561,R4562)</f>
        <v/>
      </c>
      <c r="U4562">
        <f>R4562/T4562-1</f>
        <v/>
      </c>
      <c r="V4562" t="n">
        <v>18.87268546876932</v>
      </c>
      <c r="W4562" s="5">
        <f>R4562-V4562</f>
        <v/>
      </c>
    </row>
    <row r="4563">
      <c r="A4563" s="3" t="n">
        <v>45160</v>
      </c>
      <c r="B4563">
        <f>Prices!B4563</f>
        <v/>
      </c>
      <c r="C4563">
        <f>Prices!C4563</f>
        <v/>
      </c>
      <c r="D4563">
        <f>Prices!D4563</f>
        <v/>
      </c>
      <c r="E4563">
        <f>Prices!E4563</f>
        <v/>
      </c>
      <c r="F4563">
        <f>Prices!F4563</f>
        <v/>
      </c>
      <c r="G4563">
        <f>IF(AND(4561&gt;=16,TEXT(A4563,"yyyy-mm")&lt;&gt;TEXT(A4564,"yyyy-mm")),1,0)</f>
        <v/>
      </c>
      <c r="H4563">
        <f>IF(OR(H4562=1,G4563=1),1,0)</f>
        <v/>
      </c>
      <c r="I4563">
        <f>IF(H4562=0,1,SUMPRODUCT(J4562:N4562,B4563:F4563)+O4562*(1+0.00023125256064071564))</f>
        <v/>
      </c>
      <c r="J4563">
        <f>IF(G4563=1,0.2*R4563/B4563,J4562)</f>
        <v/>
      </c>
      <c r="K4563">
        <f>IF(G4563=1,0.2*R4563/C4563,K4562)</f>
        <v/>
      </c>
      <c r="L4563">
        <f>IF(G4563=1,0.2*R4563/D4563,L4562)</f>
        <v/>
      </c>
      <c r="M4563">
        <f>IF(G4563=1,0.2*R4563/E4563,M4562)</f>
        <v/>
      </c>
      <c r="N4563">
        <f>IF(G4563=1,0.2*R4563/F4563,N4562)</f>
        <v/>
      </c>
      <c r="O4563">
        <f>IF(G4563=1,R4563*(1-1.0),IF(H4562=0,1,O4562*(1+0.00023125256064071564)))</f>
        <v/>
      </c>
      <c r="P4563">
        <f>IF(G4563=1,IF(H4562=0,1,ABS(0.2-J4562*B4563/I4563)+ABS(0.2-K4562*C4563/I4563)+ABS(0.2-L4562*D4563/I4563)+ABS(0.2-M4562*E4563/I4563)+ABS(0.2-N4562*F4563/I4563)),0)</f>
        <v/>
      </c>
      <c r="Q4563">
        <f>P4563*0.0015</f>
        <v/>
      </c>
      <c r="R4563">
        <f>I4563*(1-Q4563)</f>
        <v/>
      </c>
      <c r="S4563">
        <f>R4563/R4562-1</f>
        <v/>
      </c>
      <c r="T4563">
        <f>MAX(T4562,R4563)</f>
        <v/>
      </c>
      <c r="U4563">
        <f>R4563/T4563-1</f>
        <v/>
      </c>
      <c r="V4563" t="n">
        <v>18.9505783918827</v>
      </c>
      <c r="W4563" s="5">
        <f>R4563-V4563</f>
        <v/>
      </c>
    </row>
    <row r="4564">
      <c r="A4564" s="3" t="n">
        <v>45161</v>
      </c>
      <c r="B4564">
        <f>Prices!B4564</f>
        <v/>
      </c>
      <c r="C4564">
        <f>Prices!C4564</f>
        <v/>
      </c>
      <c r="D4564">
        <f>Prices!D4564</f>
        <v/>
      </c>
      <c r="E4564">
        <f>Prices!E4564</f>
        <v/>
      </c>
      <c r="F4564">
        <f>Prices!F4564</f>
        <v/>
      </c>
      <c r="G4564">
        <f>IF(AND(4562&gt;=16,TEXT(A4564,"yyyy-mm")&lt;&gt;TEXT(A4565,"yyyy-mm")),1,0)</f>
        <v/>
      </c>
      <c r="H4564">
        <f>IF(OR(H4563=1,G4564=1),1,0)</f>
        <v/>
      </c>
      <c r="I4564">
        <f>IF(H4563=0,1,SUMPRODUCT(J4563:N4563,B4564:F4564)+O4563*(1+0.00023125256064071564))</f>
        <v/>
      </c>
      <c r="J4564">
        <f>IF(G4564=1,0.2*R4564/B4564,J4563)</f>
        <v/>
      </c>
      <c r="K4564">
        <f>IF(G4564=1,0.2*R4564/C4564,K4563)</f>
        <v/>
      </c>
      <c r="L4564">
        <f>IF(G4564=1,0.2*R4564/D4564,L4563)</f>
        <v/>
      </c>
      <c r="M4564">
        <f>IF(G4564=1,0.2*R4564/E4564,M4563)</f>
        <v/>
      </c>
      <c r="N4564">
        <f>IF(G4564=1,0.2*R4564/F4564,N4563)</f>
        <v/>
      </c>
      <c r="O4564">
        <f>IF(G4564=1,R4564*(1-1.0),IF(H4563=0,1,O4563*(1+0.00023125256064071564)))</f>
        <v/>
      </c>
      <c r="P4564">
        <f>IF(G4564=1,IF(H4563=0,1,ABS(0.2-J4563*B4564/I4564)+ABS(0.2-K4563*C4564/I4564)+ABS(0.2-L4563*D4564/I4564)+ABS(0.2-M4563*E4564/I4564)+ABS(0.2-N4563*F4564/I4564)),0)</f>
        <v/>
      </c>
      <c r="Q4564">
        <f>P4564*0.0015</f>
        <v/>
      </c>
      <c r="R4564">
        <f>I4564*(1-Q4564)</f>
        <v/>
      </c>
      <c r="S4564">
        <f>R4564/R4563-1</f>
        <v/>
      </c>
      <c r="T4564">
        <f>MAX(T4563,R4564)</f>
        <v/>
      </c>
      <c r="U4564">
        <f>R4564/T4564-1</f>
        <v/>
      </c>
      <c r="V4564" t="n">
        <v>19.0430732718409</v>
      </c>
      <c r="W4564" s="5">
        <f>R4564-V4564</f>
        <v/>
      </c>
    </row>
    <row r="4565">
      <c r="A4565" s="3" t="n">
        <v>45162</v>
      </c>
      <c r="B4565">
        <f>Prices!B4565</f>
        <v/>
      </c>
      <c r="C4565">
        <f>Prices!C4565</f>
        <v/>
      </c>
      <c r="D4565">
        <f>Prices!D4565</f>
        <v/>
      </c>
      <c r="E4565">
        <f>Prices!E4565</f>
        <v/>
      </c>
      <c r="F4565">
        <f>Prices!F4565</f>
        <v/>
      </c>
      <c r="G4565">
        <f>IF(AND(4563&gt;=16,TEXT(A4565,"yyyy-mm")&lt;&gt;TEXT(A4566,"yyyy-mm")),1,0)</f>
        <v/>
      </c>
      <c r="H4565">
        <f>IF(OR(H4564=1,G4565=1),1,0)</f>
        <v/>
      </c>
      <c r="I4565">
        <f>IF(H4564=0,1,SUMPRODUCT(J4564:N4564,B4565:F4565)+O4564*(1+0.00023125256064071564))</f>
        <v/>
      </c>
      <c r="J4565">
        <f>IF(G4565=1,0.2*R4565/B4565,J4564)</f>
        <v/>
      </c>
      <c r="K4565">
        <f>IF(G4565=1,0.2*R4565/C4565,K4564)</f>
        <v/>
      </c>
      <c r="L4565">
        <f>IF(G4565=1,0.2*R4565/D4565,L4564)</f>
        <v/>
      </c>
      <c r="M4565">
        <f>IF(G4565=1,0.2*R4565/E4565,M4564)</f>
        <v/>
      </c>
      <c r="N4565">
        <f>IF(G4565=1,0.2*R4565/F4565,N4564)</f>
        <v/>
      </c>
      <c r="O4565">
        <f>IF(G4565=1,R4565*(1-1.0),IF(H4564=0,1,O4564*(1+0.00023125256064071564)))</f>
        <v/>
      </c>
      <c r="P4565">
        <f>IF(G4565=1,IF(H4564=0,1,ABS(0.2-J4564*B4565/I4565)+ABS(0.2-K4564*C4565/I4565)+ABS(0.2-L4564*D4565/I4565)+ABS(0.2-M4564*E4565/I4565)+ABS(0.2-N4564*F4565/I4565)),0)</f>
        <v/>
      </c>
      <c r="Q4565">
        <f>P4565*0.0015</f>
        <v/>
      </c>
      <c r="R4565">
        <f>I4565*(1-Q4565)</f>
        <v/>
      </c>
      <c r="S4565">
        <f>R4565/R4564-1</f>
        <v/>
      </c>
      <c r="T4565">
        <f>MAX(T4564,R4565)</f>
        <v/>
      </c>
      <c r="U4565">
        <f>R4565/T4565-1</f>
        <v/>
      </c>
      <c r="V4565" t="n">
        <v>19.04122734687506</v>
      </c>
      <c r="W4565" s="5">
        <f>R4565-V4565</f>
        <v/>
      </c>
    </row>
    <row r="4566">
      <c r="A4566" s="3" t="n">
        <v>45163</v>
      </c>
      <c r="B4566">
        <f>Prices!B4566</f>
        <v/>
      </c>
      <c r="C4566">
        <f>Prices!C4566</f>
        <v/>
      </c>
      <c r="D4566">
        <f>Prices!D4566</f>
        <v/>
      </c>
      <c r="E4566">
        <f>Prices!E4566</f>
        <v/>
      </c>
      <c r="F4566">
        <f>Prices!F4566</f>
        <v/>
      </c>
      <c r="G4566">
        <f>IF(AND(4564&gt;=16,TEXT(A4566,"yyyy-mm")&lt;&gt;TEXT(A4567,"yyyy-mm")),1,0)</f>
        <v/>
      </c>
      <c r="H4566">
        <f>IF(OR(H4565=1,G4566=1),1,0)</f>
        <v/>
      </c>
      <c r="I4566">
        <f>IF(H4565=0,1,SUMPRODUCT(J4565:N4565,B4566:F4566)+O4565*(1+0.00023125256064071564))</f>
        <v/>
      </c>
      <c r="J4566">
        <f>IF(G4566=1,0.2*R4566/B4566,J4565)</f>
        <v/>
      </c>
      <c r="K4566">
        <f>IF(G4566=1,0.2*R4566/C4566,K4565)</f>
        <v/>
      </c>
      <c r="L4566">
        <f>IF(G4566=1,0.2*R4566/D4566,L4565)</f>
        <v/>
      </c>
      <c r="M4566">
        <f>IF(G4566=1,0.2*R4566/E4566,M4565)</f>
        <v/>
      </c>
      <c r="N4566">
        <f>IF(G4566=1,0.2*R4566/F4566,N4565)</f>
        <v/>
      </c>
      <c r="O4566">
        <f>IF(G4566=1,R4566*(1-1.0),IF(H4565=0,1,O4565*(1+0.00023125256064071564)))</f>
        <v/>
      </c>
      <c r="P4566">
        <f>IF(G4566=1,IF(H4565=0,1,ABS(0.2-J4565*B4566/I4566)+ABS(0.2-K4565*C4566/I4566)+ABS(0.2-L4565*D4566/I4566)+ABS(0.2-M4565*E4566/I4566)+ABS(0.2-N4565*F4566/I4566)),0)</f>
        <v/>
      </c>
      <c r="Q4566">
        <f>P4566*0.0015</f>
        <v/>
      </c>
      <c r="R4566">
        <f>I4566*(1-Q4566)</f>
        <v/>
      </c>
      <c r="S4566">
        <f>R4566/R4565-1</f>
        <v/>
      </c>
      <c r="T4566">
        <f>MAX(T4565,R4566)</f>
        <v/>
      </c>
      <c r="U4566">
        <f>R4566/T4566-1</f>
        <v/>
      </c>
      <c r="V4566" t="n">
        <v>18.91045709209362</v>
      </c>
      <c r="W4566" s="5">
        <f>R4566-V4566</f>
        <v/>
      </c>
    </row>
    <row r="4567">
      <c r="A4567" s="3" t="n">
        <v>45166</v>
      </c>
      <c r="B4567">
        <f>Prices!B4567</f>
        <v/>
      </c>
      <c r="C4567">
        <f>Prices!C4567</f>
        <v/>
      </c>
      <c r="D4567">
        <f>Prices!D4567</f>
        <v/>
      </c>
      <c r="E4567">
        <f>Prices!E4567</f>
        <v/>
      </c>
      <c r="F4567">
        <f>Prices!F4567</f>
        <v/>
      </c>
      <c r="G4567">
        <f>IF(AND(4565&gt;=16,TEXT(A4567,"yyyy-mm")&lt;&gt;TEXT(A4568,"yyyy-mm")),1,0)</f>
        <v/>
      </c>
      <c r="H4567">
        <f>IF(OR(H4566=1,G4567=1),1,0)</f>
        <v/>
      </c>
      <c r="I4567">
        <f>IF(H4566=0,1,SUMPRODUCT(J4566:N4566,B4567:F4567)+O4566*(1+0.00023125256064071564))</f>
        <v/>
      </c>
      <c r="J4567">
        <f>IF(G4567=1,0.2*R4567/B4567,J4566)</f>
        <v/>
      </c>
      <c r="K4567">
        <f>IF(G4567=1,0.2*R4567/C4567,K4566)</f>
        <v/>
      </c>
      <c r="L4567">
        <f>IF(G4567=1,0.2*R4567/D4567,L4566)</f>
        <v/>
      </c>
      <c r="M4567">
        <f>IF(G4567=1,0.2*R4567/E4567,M4566)</f>
        <v/>
      </c>
      <c r="N4567">
        <f>IF(G4567=1,0.2*R4567/F4567,N4566)</f>
        <v/>
      </c>
      <c r="O4567">
        <f>IF(G4567=1,R4567*(1-1.0),IF(H4566=0,1,O4566*(1+0.00023125256064071564)))</f>
        <v/>
      </c>
      <c r="P4567">
        <f>IF(G4567=1,IF(H4566=0,1,ABS(0.2-J4566*B4567/I4567)+ABS(0.2-K4566*C4567/I4567)+ABS(0.2-L4566*D4567/I4567)+ABS(0.2-M4566*E4567/I4567)+ABS(0.2-N4566*F4567/I4567)),0)</f>
        <v/>
      </c>
      <c r="Q4567">
        <f>P4567*0.0015</f>
        <v/>
      </c>
      <c r="R4567">
        <f>I4567*(1-Q4567)</f>
        <v/>
      </c>
      <c r="S4567">
        <f>R4567/R4566-1</f>
        <v/>
      </c>
      <c r="T4567">
        <f>MAX(T4566,R4567)</f>
        <v/>
      </c>
      <c r="U4567">
        <f>R4567/T4567-1</f>
        <v/>
      </c>
      <c r="V4567" t="n">
        <v>18.98729057671011</v>
      </c>
      <c r="W4567" s="5">
        <f>R4567-V4567</f>
        <v/>
      </c>
    </row>
    <row r="4568">
      <c r="A4568" s="3" t="n">
        <v>45167</v>
      </c>
      <c r="B4568">
        <f>Prices!B4568</f>
        <v/>
      </c>
      <c r="C4568">
        <f>Prices!C4568</f>
        <v/>
      </c>
      <c r="D4568">
        <f>Prices!D4568</f>
        <v/>
      </c>
      <c r="E4568">
        <f>Prices!E4568</f>
        <v/>
      </c>
      <c r="F4568">
        <f>Prices!F4568</f>
        <v/>
      </c>
      <c r="G4568">
        <f>IF(AND(4566&gt;=16,TEXT(A4568,"yyyy-mm")&lt;&gt;TEXT(A4569,"yyyy-mm")),1,0)</f>
        <v/>
      </c>
      <c r="H4568">
        <f>IF(OR(H4567=1,G4568=1),1,0)</f>
        <v/>
      </c>
      <c r="I4568">
        <f>IF(H4567=0,1,SUMPRODUCT(J4567:N4567,B4568:F4568)+O4567*(1+0.00023125256064071564))</f>
        <v/>
      </c>
      <c r="J4568">
        <f>IF(G4568=1,0.2*R4568/B4568,J4567)</f>
        <v/>
      </c>
      <c r="K4568">
        <f>IF(G4568=1,0.2*R4568/C4568,K4567)</f>
        <v/>
      </c>
      <c r="L4568">
        <f>IF(G4568=1,0.2*R4568/D4568,L4567)</f>
        <v/>
      </c>
      <c r="M4568">
        <f>IF(G4568=1,0.2*R4568/E4568,M4567)</f>
        <v/>
      </c>
      <c r="N4568">
        <f>IF(G4568=1,0.2*R4568/F4568,N4567)</f>
        <v/>
      </c>
      <c r="O4568">
        <f>IF(G4568=1,R4568*(1-1.0),IF(H4567=0,1,O4567*(1+0.00023125256064071564)))</f>
        <v/>
      </c>
      <c r="P4568">
        <f>IF(G4568=1,IF(H4567=0,1,ABS(0.2-J4567*B4568/I4568)+ABS(0.2-K4567*C4568/I4568)+ABS(0.2-L4567*D4568/I4568)+ABS(0.2-M4567*E4568/I4568)+ABS(0.2-N4567*F4568/I4568)),0)</f>
        <v/>
      </c>
      <c r="Q4568">
        <f>P4568*0.0015</f>
        <v/>
      </c>
      <c r="R4568">
        <f>I4568*(1-Q4568)</f>
        <v/>
      </c>
      <c r="S4568">
        <f>R4568/R4567-1</f>
        <v/>
      </c>
      <c r="T4568">
        <f>MAX(T4567,R4568)</f>
        <v/>
      </c>
      <c r="U4568">
        <f>R4568/T4568-1</f>
        <v/>
      </c>
      <c r="V4568" t="n">
        <v>19.0488856160955</v>
      </c>
      <c r="W4568" s="5">
        <f>R4568-V4568</f>
        <v/>
      </c>
    </row>
    <row r="4569">
      <c r="A4569" s="3" t="n">
        <v>45168</v>
      </c>
      <c r="B4569">
        <f>Prices!B4569</f>
        <v/>
      </c>
      <c r="C4569">
        <f>Prices!C4569</f>
        <v/>
      </c>
      <c r="D4569">
        <f>Prices!D4569</f>
        <v/>
      </c>
      <c r="E4569">
        <f>Prices!E4569</f>
        <v/>
      </c>
      <c r="F4569">
        <f>Prices!F4569</f>
        <v/>
      </c>
      <c r="G4569">
        <f>IF(AND(4567&gt;=16,TEXT(A4569,"yyyy-mm")&lt;&gt;TEXT(A4570,"yyyy-mm")),1,0)</f>
        <v/>
      </c>
      <c r="H4569">
        <f>IF(OR(H4568=1,G4569=1),1,0)</f>
        <v/>
      </c>
      <c r="I4569">
        <f>IF(H4568=0,1,SUMPRODUCT(J4568:N4568,B4569:F4569)+O4568*(1+0.00023125256064071564))</f>
        <v/>
      </c>
      <c r="J4569">
        <f>IF(G4569=1,0.2*R4569/B4569,J4568)</f>
        <v/>
      </c>
      <c r="K4569">
        <f>IF(G4569=1,0.2*R4569/C4569,K4568)</f>
        <v/>
      </c>
      <c r="L4569">
        <f>IF(G4569=1,0.2*R4569/D4569,L4568)</f>
        <v/>
      </c>
      <c r="M4569">
        <f>IF(G4569=1,0.2*R4569/E4569,M4568)</f>
        <v/>
      </c>
      <c r="N4569">
        <f>IF(G4569=1,0.2*R4569/F4569,N4568)</f>
        <v/>
      </c>
      <c r="O4569">
        <f>IF(G4569=1,R4569*(1-1.0),IF(H4568=0,1,O4568*(1+0.00023125256064071564)))</f>
        <v/>
      </c>
      <c r="P4569">
        <f>IF(G4569=1,IF(H4568=0,1,ABS(0.2-J4568*B4569/I4569)+ABS(0.2-K4568*C4569/I4569)+ABS(0.2-L4568*D4569/I4569)+ABS(0.2-M4568*E4569/I4569)+ABS(0.2-N4568*F4569/I4569)),0)</f>
        <v/>
      </c>
      <c r="Q4569">
        <f>P4569*0.0015</f>
        <v/>
      </c>
      <c r="R4569">
        <f>I4569*(1-Q4569)</f>
        <v/>
      </c>
      <c r="S4569">
        <f>R4569/R4568-1</f>
        <v/>
      </c>
      <c r="T4569">
        <f>MAX(T4568,R4569)</f>
        <v/>
      </c>
      <c r="U4569">
        <f>R4569/T4569-1</f>
        <v/>
      </c>
      <c r="V4569" t="n">
        <v>19.13828507509634</v>
      </c>
      <c r="W4569" s="5">
        <f>R4569-V4569</f>
        <v/>
      </c>
    </row>
    <row r="4570">
      <c r="A4570" s="3" t="n">
        <v>45169</v>
      </c>
      <c r="B4570">
        <f>Prices!B4570</f>
        <v/>
      </c>
      <c r="C4570">
        <f>Prices!C4570</f>
        <v/>
      </c>
      <c r="D4570">
        <f>Prices!D4570</f>
        <v/>
      </c>
      <c r="E4570">
        <f>Prices!E4570</f>
        <v/>
      </c>
      <c r="F4570">
        <f>Prices!F4570</f>
        <v/>
      </c>
      <c r="G4570">
        <f>IF(AND(4568&gt;=16,TEXT(A4570,"yyyy-mm")&lt;&gt;TEXT(A4571,"yyyy-mm")),1,0)</f>
        <v/>
      </c>
      <c r="H4570">
        <f>IF(OR(H4569=1,G4570=1),1,0)</f>
        <v/>
      </c>
      <c r="I4570">
        <f>IF(H4569=0,1,SUMPRODUCT(J4569:N4569,B4570:F4570)+O4569*(1+0.00023125256064071564))</f>
        <v/>
      </c>
      <c r="J4570">
        <f>IF(G4570=1,0.2*R4570/B4570,J4569)</f>
        <v/>
      </c>
      <c r="K4570">
        <f>IF(G4570=1,0.2*R4570/C4570,K4569)</f>
        <v/>
      </c>
      <c r="L4570">
        <f>IF(G4570=1,0.2*R4570/D4570,L4569)</f>
        <v/>
      </c>
      <c r="M4570">
        <f>IF(G4570=1,0.2*R4570/E4570,M4569)</f>
        <v/>
      </c>
      <c r="N4570">
        <f>IF(G4570=1,0.2*R4570/F4570,N4569)</f>
        <v/>
      </c>
      <c r="O4570">
        <f>IF(G4570=1,R4570*(1-1.0),IF(H4569=0,1,O4569*(1+0.00023125256064071564)))</f>
        <v/>
      </c>
      <c r="P4570">
        <f>IF(G4570=1,IF(H4569=0,1,ABS(0.2-J4569*B4570/I4570)+ABS(0.2-K4569*C4570/I4570)+ABS(0.2-L4569*D4570/I4570)+ABS(0.2-M4569*E4570/I4570)+ABS(0.2-N4569*F4570/I4570)),0)</f>
        <v/>
      </c>
      <c r="Q4570">
        <f>P4570*0.0015</f>
        <v/>
      </c>
      <c r="R4570">
        <f>I4570*(1-Q4570)</f>
        <v/>
      </c>
      <c r="S4570">
        <f>R4570/R4569-1</f>
        <v/>
      </c>
      <c r="T4570">
        <f>MAX(T4569,R4570)</f>
        <v/>
      </c>
      <c r="U4570">
        <f>R4570/T4570-1</f>
        <v/>
      </c>
      <c r="V4570" t="n">
        <v>19.16334623125049</v>
      </c>
      <c r="W4570" s="5">
        <f>R4570-V4570</f>
        <v/>
      </c>
    </row>
    <row r="4571">
      <c r="A4571" s="3" t="n">
        <v>45170</v>
      </c>
      <c r="B4571">
        <f>Prices!B4571</f>
        <v/>
      </c>
      <c r="C4571">
        <f>Prices!C4571</f>
        <v/>
      </c>
      <c r="D4571">
        <f>Prices!D4571</f>
        <v/>
      </c>
      <c r="E4571">
        <f>Prices!E4571</f>
        <v/>
      </c>
      <c r="F4571">
        <f>Prices!F4571</f>
        <v/>
      </c>
      <c r="G4571">
        <f>IF(AND(4569&gt;=16,TEXT(A4571,"yyyy-mm")&lt;&gt;TEXT(A4572,"yyyy-mm")),1,0)</f>
        <v/>
      </c>
      <c r="H4571">
        <f>IF(OR(H4570=1,G4571=1),1,0)</f>
        <v/>
      </c>
      <c r="I4571">
        <f>IF(H4570=0,1,SUMPRODUCT(J4570:N4570,B4571:F4571)+O4570*(1+0.00023125256064071564))</f>
        <v/>
      </c>
      <c r="J4571">
        <f>IF(G4571=1,0.2*R4571/B4571,J4570)</f>
        <v/>
      </c>
      <c r="K4571">
        <f>IF(G4571=1,0.2*R4571/C4571,K4570)</f>
        <v/>
      </c>
      <c r="L4571">
        <f>IF(G4571=1,0.2*R4571/D4571,L4570)</f>
        <v/>
      </c>
      <c r="M4571">
        <f>IF(G4571=1,0.2*R4571/E4571,M4570)</f>
        <v/>
      </c>
      <c r="N4571">
        <f>IF(G4571=1,0.2*R4571/F4571,N4570)</f>
        <v/>
      </c>
      <c r="O4571">
        <f>IF(G4571=1,R4571*(1-1.0),IF(H4570=0,1,O4570*(1+0.00023125256064071564)))</f>
        <v/>
      </c>
      <c r="P4571">
        <f>IF(G4571=1,IF(H4570=0,1,ABS(0.2-J4570*B4571/I4571)+ABS(0.2-K4570*C4571/I4571)+ABS(0.2-L4570*D4571/I4571)+ABS(0.2-M4570*E4571/I4571)+ABS(0.2-N4570*F4571/I4571)),0)</f>
        <v/>
      </c>
      <c r="Q4571">
        <f>P4571*0.0015</f>
        <v/>
      </c>
      <c r="R4571">
        <f>I4571*(1-Q4571)</f>
        <v/>
      </c>
      <c r="S4571">
        <f>R4571/R4570-1</f>
        <v/>
      </c>
      <c r="T4571">
        <f>MAX(T4570,R4571)</f>
        <v/>
      </c>
      <c r="U4571">
        <f>R4571/T4571-1</f>
        <v/>
      </c>
      <c r="V4571" t="n">
        <v>19.36813555069424</v>
      </c>
      <c r="W4571" s="5">
        <f>R4571-V4571</f>
        <v/>
      </c>
    </row>
    <row r="4572">
      <c r="A4572" s="3" t="n">
        <v>45173</v>
      </c>
      <c r="B4572">
        <f>Prices!B4572</f>
        <v/>
      </c>
      <c r="C4572">
        <f>Prices!C4572</f>
        <v/>
      </c>
      <c r="D4572">
        <f>Prices!D4572</f>
        <v/>
      </c>
      <c r="E4572">
        <f>Prices!E4572</f>
        <v/>
      </c>
      <c r="F4572">
        <f>Prices!F4572</f>
        <v/>
      </c>
      <c r="G4572">
        <f>IF(AND(4570&gt;=16,TEXT(A4572,"yyyy-mm")&lt;&gt;TEXT(A4573,"yyyy-mm")),1,0)</f>
        <v/>
      </c>
      <c r="H4572">
        <f>IF(OR(H4571=1,G4572=1),1,0)</f>
        <v/>
      </c>
      <c r="I4572">
        <f>IF(H4571=0,1,SUMPRODUCT(J4571:N4571,B4572:F4572)+O4571*(1+0.00023125256064071564))</f>
        <v/>
      </c>
      <c r="J4572">
        <f>IF(G4572=1,0.2*R4572/B4572,J4571)</f>
        <v/>
      </c>
      <c r="K4572">
        <f>IF(G4572=1,0.2*R4572/C4572,K4571)</f>
        <v/>
      </c>
      <c r="L4572">
        <f>IF(G4572=1,0.2*R4572/D4572,L4571)</f>
        <v/>
      </c>
      <c r="M4572">
        <f>IF(G4572=1,0.2*R4572/E4572,M4571)</f>
        <v/>
      </c>
      <c r="N4572">
        <f>IF(G4572=1,0.2*R4572/F4572,N4571)</f>
        <v/>
      </c>
      <c r="O4572">
        <f>IF(G4572=1,R4572*(1-1.0),IF(H4571=0,1,O4571*(1+0.00023125256064071564)))</f>
        <v/>
      </c>
      <c r="P4572">
        <f>IF(G4572=1,IF(H4571=0,1,ABS(0.2-J4571*B4572/I4572)+ABS(0.2-K4571*C4572/I4572)+ABS(0.2-L4571*D4572/I4572)+ABS(0.2-M4571*E4572/I4572)+ABS(0.2-N4571*F4572/I4572)),0)</f>
        <v/>
      </c>
      <c r="Q4572">
        <f>P4572*0.0015</f>
        <v/>
      </c>
      <c r="R4572">
        <f>I4572*(1-Q4572)</f>
        <v/>
      </c>
      <c r="S4572">
        <f>R4572/R4571-1</f>
        <v/>
      </c>
      <c r="T4572">
        <f>MAX(T4571,R4572)</f>
        <v/>
      </c>
      <c r="U4572">
        <f>R4572/T4572-1</f>
        <v/>
      </c>
      <c r="V4572" t="n">
        <v>19.60636039902779</v>
      </c>
      <c r="W4572" s="5">
        <f>R4572-V4572</f>
        <v/>
      </c>
    </row>
    <row r="4573">
      <c r="A4573" s="3" t="n">
        <v>45174</v>
      </c>
      <c r="B4573">
        <f>Prices!B4573</f>
        <v/>
      </c>
      <c r="C4573">
        <f>Prices!C4573</f>
        <v/>
      </c>
      <c r="D4573">
        <f>Prices!D4573</f>
        <v/>
      </c>
      <c r="E4573">
        <f>Prices!E4573</f>
        <v/>
      </c>
      <c r="F4573">
        <f>Prices!F4573</f>
        <v/>
      </c>
      <c r="G4573">
        <f>IF(AND(4571&gt;=16,TEXT(A4573,"yyyy-mm")&lt;&gt;TEXT(A4574,"yyyy-mm")),1,0)</f>
        <v/>
      </c>
      <c r="H4573">
        <f>IF(OR(H4572=1,G4573=1),1,0)</f>
        <v/>
      </c>
      <c r="I4573">
        <f>IF(H4572=0,1,SUMPRODUCT(J4572:N4572,B4573:F4573)+O4572*(1+0.00023125256064071564))</f>
        <v/>
      </c>
      <c r="J4573">
        <f>IF(G4573=1,0.2*R4573/B4573,J4572)</f>
        <v/>
      </c>
      <c r="K4573">
        <f>IF(G4573=1,0.2*R4573/C4573,K4572)</f>
        <v/>
      </c>
      <c r="L4573">
        <f>IF(G4573=1,0.2*R4573/D4573,L4572)</f>
        <v/>
      </c>
      <c r="M4573">
        <f>IF(G4573=1,0.2*R4573/E4573,M4572)</f>
        <v/>
      </c>
      <c r="N4573">
        <f>IF(G4573=1,0.2*R4573/F4573,N4572)</f>
        <v/>
      </c>
      <c r="O4573">
        <f>IF(G4573=1,R4573*(1-1.0),IF(H4572=0,1,O4572*(1+0.00023125256064071564)))</f>
        <v/>
      </c>
      <c r="P4573">
        <f>IF(G4573=1,IF(H4572=0,1,ABS(0.2-J4572*B4573/I4573)+ABS(0.2-K4572*C4573/I4573)+ABS(0.2-L4572*D4573/I4573)+ABS(0.2-M4572*E4573/I4573)+ABS(0.2-N4572*F4573/I4573)),0)</f>
        <v/>
      </c>
      <c r="Q4573">
        <f>P4573*0.0015</f>
        <v/>
      </c>
      <c r="R4573">
        <f>I4573*(1-Q4573)</f>
        <v/>
      </c>
      <c r="S4573">
        <f>R4573/R4572-1</f>
        <v/>
      </c>
      <c r="T4573">
        <f>MAX(T4572,R4573)</f>
        <v/>
      </c>
      <c r="U4573">
        <f>R4573/T4573-1</f>
        <v/>
      </c>
      <c r="V4573" t="n">
        <v>19.76607023135297</v>
      </c>
      <c r="W4573" s="5">
        <f>R4573-V4573</f>
        <v/>
      </c>
    </row>
    <row r="4574">
      <c r="A4574" s="3" t="n">
        <v>45175</v>
      </c>
      <c r="B4574">
        <f>Prices!B4574</f>
        <v/>
      </c>
      <c r="C4574">
        <f>Prices!C4574</f>
        <v/>
      </c>
      <c r="D4574">
        <f>Prices!D4574</f>
        <v/>
      </c>
      <c r="E4574">
        <f>Prices!E4574</f>
        <v/>
      </c>
      <c r="F4574">
        <f>Prices!F4574</f>
        <v/>
      </c>
      <c r="G4574">
        <f>IF(AND(4572&gt;=16,TEXT(A4574,"yyyy-mm")&lt;&gt;TEXT(A4575,"yyyy-mm")),1,0)</f>
        <v/>
      </c>
      <c r="H4574">
        <f>IF(OR(H4573=1,G4574=1),1,0)</f>
        <v/>
      </c>
      <c r="I4574">
        <f>IF(H4573=0,1,SUMPRODUCT(J4573:N4573,B4574:F4574)+O4573*(1+0.00023125256064071564))</f>
        <v/>
      </c>
      <c r="J4574">
        <f>IF(G4574=1,0.2*R4574/B4574,J4573)</f>
        <v/>
      </c>
      <c r="K4574">
        <f>IF(G4574=1,0.2*R4574/C4574,K4573)</f>
        <v/>
      </c>
      <c r="L4574">
        <f>IF(G4574=1,0.2*R4574/D4574,L4573)</f>
        <v/>
      </c>
      <c r="M4574">
        <f>IF(G4574=1,0.2*R4574/E4574,M4573)</f>
        <v/>
      </c>
      <c r="N4574">
        <f>IF(G4574=1,0.2*R4574/F4574,N4573)</f>
        <v/>
      </c>
      <c r="O4574">
        <f>IF(G4574=1,R4574*(1-1.0),IF(H4573=0,1,O4573*(1+0.00023125256064071564)))</f>
        <v/>
      </c>
      <c r="P4574">
        <f>IF(G4574=1,IF(H4573=0,1,ABS(0.2-J4573*B4574/I4574)+ABS(0.2-K4573*C4574/I4574)+ABS(0.2-L4573*D4574/I4574)+ABS(0.2-M4573*E4574/I4574)+ABS(0.2-N4573*F4574/I4574)),0)</f>
        <v/>
      </c>
      <c r="Q4574">
        <f>P4574*0.0015</f>
        <v/>
      </c>
      <c r="R4574">
        <f>I4574*(1-Q4574)</f>
        <v/>
      </c>
      <c r="S4574">
        <f>R4574/R4573-1</f>
        <v/>
      </c>
      <c r="T4574">
        <f>MAX(T4573,R4574)</f>
        <v/>
      </c>
      <c r="U4574">
        <f>R4574/T4574-1</f>
        <v/>
      </c>
      <c r="V4574" t="n">
        <v>19.73868470812712</v>
      </c>
      <c r="W4574" s="5">
        <f>R4574-V4574</f>
        <v/>
      </c>
    </row>
    <row r="4575">
      <c r="A4575" s="3" t="n">
        <v>45176</v>
      </c>
      <c r="B4575">
        <f>Prices!B4575</f>
        <v/>
      </c>
      <c r="C4575">
        <f>Prices!C4575</f>
        <v/>
      </c>
      <c r="D4575">
        <f>Prices!D4575</f>
        <v/>
      </c>
      <c r="E4575">
        <f>Prices!E4575</f>
        <v/>
      </c>
      <c r="F4575">
        <f>Prices!F4575</f>
        <v/>
      </c>
      <c r="G4575">
        <f>IF(AND(4573&gt;=16,TEXT(A4575,"yyyy-mm")&lt;&gt;TEXT(A4576,"yyyy-mm")),1,0)</f>
        <v/>
      </c>
      <c r="H4575">
        <f>IF(OR(H4574=1,G4575=1),1,0)</f>
        <v/>
      </c>
      <c r="I4575">
        <f>IF(H4574=0,1,SUMPRODUCT(J4574:N4574,B4575:F4575)+O4574*(1+0.00023125256064071564))</f>
        <v/>
      </c>
      <c r="J4575">
        <f>IF(G4575=1,0.2*R4575/B4575,J4574)</f>
        <v/>
      </c>
      <c r="K4575">
        <f>IF(G4575=1,0.2*R4575/C4575,K4574)</f>
        <v/>
      </c>
      <c r="L4575">
        <f>IF(G4575=1,0.2*R4575/D4575,L4574)</f>
        <v/>
      </c>
      <c r="M4575">
        <f>IF(G4575=1,0.2*R4575/E4575,M4574)</f>
        <v/>
      </c>
      <c r="N4575">
        <f>IF(G4575=1,0.2*R4575/F4575,N4574)</f>
        <v/>
      </c>
      <c r="O4575">
        <f>IF(G4575=1,R4575*(1-1.0),IF(H4574=0,1,O4574*(1+0.00023125256064071564)))</f>
        <v/>
      </c>
      <c r="P4575">
        <f>IF(G4575=1,IF(H4574=0,1,ABS(0.2-J4574*B4575/I4575)+ABS(0.2-K4574*C4575/I4575)+ABS(0.2-L4574*D4575/I4575)+ABS(0.2-M4574*E4575/I4575)+ABS(0.2-N4574*F4575/I4575)),0)</f>
        <v/>
      </c>
      <c r="Q4575">
        <f>P4575*0.0015</f>
        <v/>
      </c>
      <c r="R4575">
        <f>I4575*(1-Q4575)</f>
        <v/>
      </c>
      <c r="S4575">
        <f>R4575/R4574-1</f>
        <v/>
      </c>
      <c r="T4575">
        <f>MAX(T4574,R4575)</f>
        <v/>
      </c>
      <c r="U4575">
        <f>R4575/T4575-1</f>
        <v/>
      </c>
      <c r="V4575" t="n">
        <v>19.87914197221832</v>
      </c>
      <c r="W4575" s="5">
        <f>R4575-V4575</f>
        <v/>
      </c>
    </row>
    <row r="4576">
      <c r="A4576" s="3" t="n">
        <v>45177</v>
      </c>
      <c r="B4576">
        <f>Prices!B4576</f>
        <v/>
      </c>
      <c r="C4576">
        <f>Prices!C4576</f>
        <v/>
      </c>
      <c r="D4576">
        <f>Prices!D4576</f>
        <v/>
      </c>
      <c r="E4576">
        <f>Prices!E4576</f>
        <v/>
      </c>
      <c r="F4576">
        <f>Prices!F4576</f>
        <v/>
      </c>
      <c r="G4576">
        <f>IF(AND(4574&gt;=16,TEXT(A4576,"yyyy-mm")&lt;&gt;TEXT(A4577,"yyyy-mm")),1,0)</f>
        <v/>
      </c>
      <c r="H4576">
        <f>IF(OR(H4575=1,G4576=1),1,0)</f>
        <v/>
      </c>
      <c r="I4576">
        <f>IF(H4575=0,1,SUMPRODUCT(J4575:N4575,B4576:F4576)+O4575*(1+0.00023125256064071564))</f>
        <v/>
      </c>
      <c r="J4576">
        <f>IF(G4576=1,0.2*R4576/B4576,J4575)</f>
        <v/>
      </c>
      <c r="K4576">
        <f>IF(G4576=1,0.2*R4576/C4576,K4575)</f>
        <v/>
      </c>
      <c r="L4576">
        <f>IF(G4576=1,0.2*R4576/D4576,L4575)</f>
        <v/>
      </c>
      <c r="M4576">
        <f>IF(G4576=1,0.2*R4576/E4576,M4575)</f>
        <v/>
      </c>
      <c r="N4576">
        <f>IF(G4576=1,0.2*R4576/F4576,N4575)</f>
        <v/>
      </c>
      <c r="O4576">
        <f>IF(G4576=1,R4576*(1-1.0),IF(H4575=0,1,O4575*(1+0.00023125256064071564)))</f>
        <v/>
      </c>
      <c r="P4576">
        <f>IF(G4576=1,IF(H4575=0,1,ABS(0.2-J4575*B4576/I4576)+ABS(0.2-K4575*C4576/I4576)+ABS(0.2-L4575*D4576/I4576)+ABS(0.2-M4575*E4576/I4576)+ABS(0.2-N4575*F4576/I4576)),0)</f>
        <v/>
      </c>
      <c r="Q4576">
        <f>P4576*0.0015</f>
        <v/>
      </c>
      <c r="R4576">
        <f>I4576*(1-Q4576)</f>
        <v/>
      </c>
      <c r="S4576">
        <f>R4576/R4575-1</f>
        <v/>
      </c>
      <c r="T4576">
        <f>MAX(T4575,R4576)</f>
        <v/>
      </c>
      <c r="U4576">
        <f>R4576/T4576-1</f>
        <v/>
      </c>
      <c r="V4576" t="n">
        <v>20.09186888790121</v>
      </c>
      <c r="W4576" s="5">
        <f>R4576-V4576</f>
        <v/>
      </c>
    </row>
    <row r="4577">
      <c r="A4577" s="3" t="n">
        <v>45180</v>
      </c>
      <c r="B4577">
        <f>Prices!B4577</f>
        <v/>
      </c>
      <c r="C4577">
        <f>Prices!C4577</f>
        <v/>
      </c>
      <c r="D4577">
        <f>Prices!D4577</f>
        <v/>
      </c>
      <c r="E4577">
        <f>Prices!E4577</f>
        <v/>
      </c>
      <c r="F4577">
        <f>Prices!F4577</f>
        <v/>
      </c>
      <c r="G4577">
        <f>IF(AND(4575&gt;=16,TEXT(A4577,"yyyy-mm")&lt;&gt;TEXT(A4578,"yyyy-mm")),1,0)</f>
        <v/>
      </c>
      <c r="H4577">
        <f>IF(OR(H4576=1,G4577=1),1,0)</f>
        <v/>
      </c>
      <c r="I4577">
        <f>IF(H4576=0,1,SUMPRODUCT(J4576:N4576,B4577:F4577)+O4576*(1+0.00023125256064071564))</f>
        <v/>
      </c>
      <c r="J4577">
        <f>IF(G4577=1,0.2*R4577/B4577,J4576)</f>
        <v/>
      </c>
      <c r="K4577">
        <f>IF(G4577=1,0.2*R4577/C4577,K4576)</f>
        <v/>
      </c>
      <c r="L4577">
        <f>IF(G4577=1,0.2*R4577/D4577,L4576)</f>
        <v/>
      </c>
      <c r="M4577">
        <f>IF(G4577=1,0.2*R4577/E4577,M4576)</f>
        <v/>
      </c>
      <c r="N4577">
        <f>IF(G4577=1,0.2*R4577/F4577,N4576)</f>
        <v/>
      </c>
      <c r="O4577">
        <f>IF(G4577=1,R4577*(1-1.0),IF(H4576=0,1,O4576*(1+0.00023125256064071564)))</f>
        <v/>
      </c>
      <c r="P4577">
        <f>IF(G4577=1,IF(H4576=0,1,ABS(0.2-J4576*B4577/I4577)+ABS(0.2-K4576*C4577/I4577)+ABS(0.2-L4576*D4577/I4577)+ABS(0.2-M4576*E4577/I4577)+ABS(0.2-N4576*F4577/I4577)),0)</f>
        <v/>
      </c>
      <c r="Q4577">
        <f>P4577*0.0015</f>
        <v/>
      </c>
      <c r="R4577">
        <f>I4577*(1-Q4577)</f>
        <v/>
      </c>
      <c r="S4577">
        <f>R4577/R4576-1</f>
        <v/>
      </c>
      <c r="T4577">
        <f>MAX(T4576,R4577)</f>
        <v/>
      </c>
      <c r="U4577">
        <f>R4577/T4577-1</f>
        <v/>
      </c>
      <c r="V4577" t="n">
        <v>20.32692869808712</v>
      </c>
      <c r="W4577" s="5">
        <f>R4577-V4577</f>
        <v/>
      </c>
    </row>
    <row r="4578">
      <c r="A4578" s="3" t="n">
        <v>45181</v>
      </c>
      <c r="B4578">
        <f>Prices!B4578</f>
        <v/>
      </c>
      <c r="C4578">
        <f>Prices!C4578</f>
        <v/>
      </c>
      <c r="D4578">
        <f>Prices!D4578</f>
        <v/>
      </c>
      <c r="E4578">
        <f>Prices!E4578</f>
        <v/>
      </c>
      <c r="F4578">
        <f>Prices!F4578</f>
        <v/>
      </c>
      <c r="G4578">
        <f>IF(AND(4576&gt;=16,TEXT(A4578,"yyyy-mm")&lt;&gt;TEXT(A4579,"yyyy-mm")),1,0)</f>
        <v/>
      </c>
      <c r="H4578">
        <f>IF(OR(H4577=1,G4578=1),1,0)</f>
        <v/>
      </c>
      <c r="I4578">
        <f>IF(H4577=0,1,SUMPRODUCT(J4577:N4577,B4578:F4578)+O4577*(1+0.00023125256064071564))</f>
        <v/>
      </c>
      <c r="J4578">
        <f>IF(G4578=1,0.2*R4578/B4578,J4577)</f>
        <v/>
      </c>
      <c r="K4578">
        <f>IF(G4578=1,0.2*R4578/C4578,K4577)</f>
        <v/>
      </c>
      <c r="L4578">
        <f>IF(G4578=1,0.2*R4578/D4578,L4577)</f>
        <v/>
      </c>
      <c r="M4578">
        <f>IF(G4578=1,0.2*R4578/E4578,M4577)</f>
        <v/>
      </c>
      <c r="N4578">
        <f>IF(G4578=1,0.2*R4578/F4578,N4577)</f>
        <v/>
      </c>
      <c r="O4578">
        <f>IF(G4578=1,R4578*(1-1.0),IF(H4577=0,1,O4577*(1+0.00023125256064071564)))</f>
        <v/>
      </c>
      <c r="P4578">
        <f>IF(G4578=1,IF(H4577=0,1,ABS(0.2-J4577*B4578/I4578)+ABS(0.2-K4577*C4578/I4578)+ABS(0.2-L4577*D4578/I4578)+ABS(0.2-M4577*E4578/I4578)+ABS(0.2-N4577*F4578/I4578)),0)</f>
        <v/>
      </c>
      <c r="Q4578">
        <f>P4578*0.0015</f>
        <v/>
      </c>
      <c r="R4578">
        <f>I4578*(1-Q4578)</f>
        <v/>
      </c>
      <c r="S4578">
        <f>R4578/R4577-1</f>
        <v/>
      </c>
      <c r="T4578">
        <f>MAX(T4577,R4578)</f>
        <v/>
      </c>
      <c r="U4578">
        <f>R4578/T4578-1</f>
        <v/>
      </c>
      <c r="V4578" t="n">
        <v>19.7620125302903</v>
      </c>
      <c r="W4578" s="5">
        <f>R4578-V4578</f>
        <v/>
      </c>
    </row>
    <row r="4579">
      <c r="A4579" s="3" t="n">
        <v>45182</v>
      </c>
      <c r="B4579">
        <f>Prices!B4579</f>
        <v/>
      </c>
      <c r="C4579">
        <f>Prices!C4579</f>
        <v/>
      </c>
      <c r="D4579">
        <f>Prices!D4579</f>
        <v/>
      </c>
      <c r="E4579">
        <f>Prices!E4579</f>
        <v/>
      </c>
      <c r="F4579">
        <f>Prices!F4579</f>
        <v/>
      </c>
      <c r="G4579">
        <f>IF(AND(4577&gt;=16,TEXT(A4579,"yyyy-mm")&lt;&gt;TEXT(A4580,"yyyy-mm")),1,0)</f>
        <v/>
      </c>
      <c r="H4579">
        <f>IF(OR(H4578=1,G4579=1),1,0)</f>
        <v/>
      </c>
      <c r="I4579">
        <f>IF(H4578=0,1,SUMPRODUCT(J4578:N4578,B4579:F4579)+O4578*(1+0.00023125256064071564))</f>
        <v/>
      </c>
      <c r="J4579">
        <f>IF(G4579=1,0.2*R4579/B4579,J4578)</f>
        <v/>
      </c>
      <c r="K4579">
        <f>IF(G4579=1,0.2*R4579/C4579,K4578)</f>
        <v/>
      </c>
      <c r="L4579">
        <f>IF(G4579=1,0.2*R4579/D4579,L4578)</f>
        <v/>
      </c>
      <c r="M4579">
        <f>IF(G4579=1,0.2*R4579/E4579,M4578)</f>
        <v/>
      </c>
      <c r="N4579">
        <f>IF(G4579=1,0.2*R4579/F4579,N4578)</f>
        <v/>
      </c>
      <c r="O4579">
        <f>IF(G4579=1,R4579*(1-1.0),IF(H4578=0,1,O4578*(1+0.00023125256064071564)))</f>
        <v/>
      </c>
      <c r="P4579">
        <f>IF(G4579=1,IF(H4578=0,1,ABS(0.2-J4578*B4579/I4579)+ABS(0.2-K4578*C4579/I4579)+ABS(0.2-L4578*D4579/I4579)+ABS(0.2-M4578*E4579/I4579)+ABS(0.2-N4578*F4579/I4579)),0)</f>
        <v/>
      </c>
      <c r="Q4579">
        <f>P4579*0.0015</f>
        <v/>
      </c>
      <c r="R4579">
        <f>I4579*(1-Q4579)</f>
        <v/>
      </c>
      <c r="S4579">
        <f>R4579/R4578-1</f>
        <v/>
      </c>
      <c r="T4579">
        <f>MAX(T4578,R4579)</f>
        <v/>
      </c>
      <c r="U4579">
        <f>R4579/T4579-1</f>
        <v/>
      </c>
      <c r="V4579" t="n">
        <v>19.88263445074763</v>
      </c>
      <c r="W4579" s="5">
        <f>R4579-V4579</f>
        <v/>
      </c>
    </row>
    <row r="4580">
      <c r="A4580" s="3" t="n">
        <v>45183</v>
      </c>
      <c r="B4580">
        <f>Prices!B4580</f>
        <v/>
      </c>
      <c r="C4580">
        <f>Prices!C4580</f>
        <v/>
      </c>
      <c r="D4580">
        <f>Prices!D4580</f>
        <v/>
      </c>
      <c r="E4580">
        <f>Prices!E4580</f>
        <v/>
      </c>
      <c r="F4580">
        <f>Prices!F4580</f>
        <v/>
      </c>
      <c r="G4580">
        <f>IF(AND(4578&gt;=16,TEXT(A4580,"yyyy-mm")&lt;&gt;TEXT(A4581,"yyyy-mm")),1,0)</f>
        <v/>
      </c>
      <c r="H4580">
        <f>IF(OR(H4579=1,G4580=1),1,0)</f>
        <v/>
      </c>
      <c r="I4580">
        <f>IF(H4579=0,1,SUMPRODUCT(J4579:N4579,B4580:F4580)+O4579*(1+0.00023125256064071564))</f>
        <v/>
      </c>
      <c r="J4580">
        <f>IF(G4580=1,0.2*R4580/B4580,J4579)</f>
        <v/>
      </c>
      <c r="K4580">
        <f>IF(G4580=1,0.2*R4580/C4580,K4579)</f>
        <v/>
      </c>
      <c r="L4580">
        <f>IF(G4580=1,0.2*R4580/D4580,L4579)</f>
        <v/>
      </c>
      <c r="M4580">
        <f>IF(G4580=1,0.2*R4580/E4580,M4579)</f>
        <v/>
      </c>
      <c r="N4580">
        <f>IF(G4580=1,0.2*R4580/F4580,N4579)</f>
        <v/>
      </c>
      <c r="O4580">
        <f>IF(G4580=1,R4580*(1-1.0),IF(H4579=0,1,O4579*(1+0.00023125256064071564)))</f>
        <v/>
      </c>
      <c r="P4580">
        <f>IF(G4580=1,IF(H4579=0,1,ABS(0.2-J4579*B4580/I4580)+ABS(0.2-K4579*C4580/I4580)+ABS(0.2-L4579*D4580/I4580)+ABS(0.2-M4579*E4580/I4580)+ABS(0.2-N4579*F4580/I4580)),0)</f>
        <v/>
      </c>
      <c r="Q4580">
        <f>P4580*0.0015</f>
        <v/>
      </c>
      <c r="R4580">
        <f>I4580*(1-Q4580)</f>
        <v/>
      </c>
      <c r="S4580">
        <f>R4580/R4579-1</f>
        <v/>
      </c>
      <c r="T4580">
        <f>MAX(T4579,R4580)</f>
        <v/>
      </c>
      <c r="U4580">
        <f>R4580/T4580-1</f>
        <v/>
      </c>
      <c r="V4580" t="n">
        <v>20.06501748428039</v>
      </c>
      <c r="W4580" s="5">
        <f>R4580-V4580</f>
        <v/>
      </c>
    </row>
    <row r="4581">
      <c r="A4581" s="3" t="n">
        <v>45184</v>
      </c>
      <c r="B4581">
        <f>Prices!B4581</f>
        <v/>
      </c>
      <c r="C4581">
        <f>Prices!C4581</f>
        <v/>
      </c>
      <c r="D4581">
        <f>Prices!D4581</f>
        <v/>
      </c>
      <c r="E4581">
        <f>Prices!E4581</f>
        <v/>
      </c>
      <c r="F4581">
        <f>Prices!F4581</f>
        <v/>
      </c>
      <c r="G4581">
        <f>IF(AND(4579&gt;=16,TEXT(A4581,"yyyy-mm")&lt;&gt;TEXT(A4582,"yyyy-mm")),1,0)</f>
        <v/>
      </c>
      <c r="H4581">
        <f>IF(OR(H4580=1,G4581=1),1,0)</f>
        <v/>
      </c>
      <c r="I4581">
        <f>IF(H4580=0,1,SUMPRODUCT(J4580:N4580,B4581:F4581)+O4580*(1+0.00023125256064071564))</f>
        <v/>
      </c>
      <c r="J4581">
        <f>IF(G4581=1,0.2*R4581/B4581,J4580)</f>
        <v/>
      </c>
      <c r="K4581">
        <f>IF(G4581=1,0.2*R4581/C4581,K4580)</f>
        <v/>
      </c>
      <c r="L4581">
        <f>IF(G4581=1,0.2*R4581/D4581,L4580)</f>
        <v/>
      </c>
      <c r="M4581">
        <f>IF(G4581=1,0.2*R4581/E4581,M4580)</f>
        <v/>
      </c>
      <c r="N4581">
        <f>IF(G4581=1,0.2*R4581/F4581,N4580)</f>
        <v/>
      </c>
      <c r="O4581">
        <f>IF(G4581=1,R4581*(1-1.0),IF(H4580=0,1,O4580*(1+0.00023125256064071564)))</f>
        <v/>
      </c>
      <c r="P4581">
        <f>IF(G4581=1,IF(H4580=0,1,ABS(0.2-J4580*B4581/I4581)+ABS(0.2-K4580*C4581/I4581)+ABS(0.2-L4580*D4581/I4581)+ABS(0.2-M4580*E4581/I4581)+ABS(0.2-N4580*F4581/I4581)),0)</f>
        <v/>
      </c>
      <c r="Q4581">
        <f>P4581*0.0015</f>
        <v/>
      </c>
      <c r="R4581">
        <f>I4581*(1-Q4581)</f>
        <v/>
      </c>
      <c r="S4581">
        <f>R4581/R4580-1</f>
        <v/>
      </c>
      <c r="T4581">
        <f>MAX(T4580,R4581)</f>
        <v/>
      </c>
      <c r="U4581">
        <f>R4581/T4581-1</f>
        <v/>
      </c>
      <c r="V4581" t="n">
        <v>20.07690597077503</v>
      </c>
      <c r="W4581" s="5">
        <f>R4581-V4581</f>
        <v/>
      </c>
    </row>
    <row r="4582">
      <c r="A4582" s="3" t="n">
        <v>45187</v>
      </c>
      <c r="B4582">
        <f>Prices!B4582</f>
        <v/>
      </c>
      <c r="C4582">
        <f>Prices!C4582</f>
        <v/>
      </c>
      <c r="D4582">
        <f>Prices!D4582</f>
        <v/>
      </c>
      <c r="E4582">
        <f>Prices!E4582</f>
        <v/>
      </c>
      <c r="F4582">
        <f>Prices!F4582</f>
        <v/>
      </c>
      <c r="G4582">
        <f>IF(AND(4580&gt;=16,TEXT(A4582,"yyyy-mm")&lt;&gt;TEXT(A4583,"yyyy-mm")),1,0)</f>
        <v/>
      </c>
      <c r="H4582">
        <f>IF(OR(H4581=1,G4582=1),1,0)</f>
        <v/>
      </c>
      <c r="I4582">
        <f>IF(H4581=0,1,SUMPRODUCT(J4581:N4581,B4582:F4582)+O4581*(1+0.00023125256064071564))</f>
        <v/>
      </c>
      <c r="J4582">
        <f>IF(G4582=1,0.2*R4582/B4582,J4581)</f>
        <v/>
      </c>
      <c r="K4582">
        <f>IF(G4582=1,0.2*R4582/C4582,K4581)</f>
        <v/>
      </c>
      <c r="L4582">
        <f>IF(G4582=1,0.2*R4582/D4582,L4581)</f>
        <v/>
      </c>
      <c r="M4582">
        <f>IF(G4582=1,0.2*R4582/E4582,M4581)</f>
        <v/>
      </c>
      <c r="N4582">
        <f>IF(G4582=1,0.2*R4582/F4582,N4581)</f>
        <v/>
      </c>
      <c r="O4582">
        <f>IF(G4582=1,R4582*(1-1.0),IF(H4581=0,1,O4581*(1+0.00023125256064071564)))</f>
        <v/>
      </c>
      <c r="P4582">
        <f>IF(G4582=1,IF(H4581=0,1,ABS(0.2-J4581*B4582/I4582)+ABS(0.2-K4581*C4582/I4582)+ABS(0.2-L4581*D4582/I4582)+ABS(0.2-M4581*E4582/I4582)+ABS(0.2-N4581*F4582/I4582)),0)</f>
        <v/>
      </c>
      <c r="Q4582">
        <f>P4582*0.0015</f>
        <v/>
      </c>
      <c r="R4582">
        <f>I4582*(1-Q4582)</f>
        <v/>
      </c>
      <c r="S4582">
        <f>R4582/R4581-1</f>
        <v/>
      </c>
      <c r="T4582">
        <f>MAX(T4581,R4582)</f>
        <v/>
      </c>
      <c r="U4582">
        <f>R4582/T4582-1</f>
        <v/>
      </c>
      <c r="V4582" t="n">
        <v>20.09928423222585</v>
      </c>
      <c r="W4582" s="5">
        <f>R4582-V4582</f>
        <v/>
      </c>
    </row>
    <row r="4583">
      <c r="A4583" s="3" t="n">
        <v>45189</v>
      </c>
      <c r="B4583">
        <f>Prices!B4583</f>
        <v/>
      </c>
      <c r="C4583">
        <f>Prices!C4583</f>
        <v/>
      </c>
      <c r="D4583">
        <f>Prices!D4583</f>
        <v/>
      </c>
      <c r="E4583">
        <f>Prices!E4583</f>
        <v/>
      </c>
      <c r="F4583">
        <f>Prices!F4583</f>
        <v/>
      </c>
      <c r="G4583">
        <f>IF(AND(4581&gt;=16,TEXT(A4583,"yyyy-mm")&lt;&gt;TEXT(A4584,"yyyy-mm")),1,0)</f>
        <v/>
      </c>
      <c r="H4583">
        <f>IF(OR(H4582=1,G4583=1),1,0)</f>
        <v/>
      </c>
      <c r="I4583">
        <f>IF(H4582=0,1,SUMPRODUCT(J4582:N4582,B4583:F4583)+O4582*(1+0.00023125256064071564))</f>
        <v/>
      </c>
      <c r="J4583">
        <f>IF(G4583=1,0.2*R4583/B4583,J4582)</f>
        <v/>
      </c>
      <c r="K4583">
        <f>IF(G4583=1,0.2*R4583/C4583,K4582)</f>
        <v/>
      </c>
      <c r="L4583">
        <f>IF(G4583=1,0.2*R4583/D4583,L4582)</f>
        <v/>
      </c>
      <c r="M4583">
        <f>IF(G4583=1,0.2*R4583/E4583,M4582)</f>
        <v/>
      </c>
      <c r="N4583">
        <f>IF(G4583=1,0.2*R4583/F4583,N4582)</f>
        <v/>
      </c>
      <c r="O4583">
        <f>IF(G4583=1,R4583*(1-1.0),IF(H4582=0,1,O4582*(1+0.00023125256064071564)))</f>
        <v/>
      </c>
      <c r="P4583">
        <f>IF(G4583=1,IF(H4582=0,1,ABS(0.2-J4582*B4583/I4583)+ABS(0.2-K4582*C4583/I4583)+ABS(0.2-L4582*D4583/I4583)+ABS(0.2-M4582*E4583/I4583)+ABS(0.2-N4582*F4583/I4583)),0)</f>
        <v/>
      </c>
      <c r="Q4583">
        <f>P4583*0.0015</f>
        <v/>
      </c>
      <c r="R4583">
        <f>I4583*(1-Q4583)</f>
        <v/>
      </c>
      <c r="S4583">
        <f>R4583/R4582-1</f>
        <v/>
      </c>
      <c r="T4583">
        <f>MAX(T4582,R4583)</f>
        <v/>
      </c>
      <c r="U4583">
        <f>R4583/T4583-1</f>
        <v/>
      </c>
      <c r="V4583" t="n">
        <v>20.00430534716178</v>
      </c>
      <c r="W4583" s="5">
        <f>R4583-V4583</f>
        <v/>
      </c>
    </row>
    <row r="4584">
      <c r="A4584" s="3" t="n">
        <v>45190</v>
      </c>
      <c r="B4584">
        <f>Prices!B4584</f>
        <v/>
      </c>
      <c r="C4584">
        <f>Prices!C4584</f>
        <v/>
      </c>
      <c r="D4584">
        <f>Prices!D4584</f>
        <v/>
      </c>
      <c r="E4584">
        <f>Prices!E4584</f>
        <v/>
      </c>
      <c r="F4584">
        <f>Prices!F4584</f>
        <v/>
      </c>
      <c r="G4584">
        <f>IF(AND(4582&gt;=16,TEXT(A4584,"yyyy-mm")&lt;&gt;TEXT(A4585,"yyyy-mm")),1,0)</f>
        <v/>
      </c>
      <c r="H4584">
        <f>IF(OR(H4583=1,G4584=1),1,0)</f>
        <v/>
      </c>
      <c r="I4584">
        <f>IF(H4583=0,1,SUMPRODUCT(J4583:N4583,B4584:F4584)+O4583*(1+0.00023125256064071564))</f>
        <v/>
      </c>
      <c r="J4584">
        <f>IF(G4584=1,0.2*R4584/B4584,J4583)</f>
        <v/>
      </c>
      <c r="K4584">
        <f>IF(G4584=1,0.2*R4584/C4584,K4583)</f>
        <v/>
      </c>
      <c r="L4584">
        <f>IF(G4584=1,0.2*R4584/D4584,L4583)</f>
        <v/>
      </c>
      <c r="M4584">
        <f>IF(G4584=1,0.2*R4584/E4584,M4583)</f>
        <v/>
      </c>
      <c r="N4584">
        <f>IF(G4584=1,0.2*R4584/F4584,N4583)</f>
        <v/>
      </c>
      <c r="O4584">
        <f>IF(G4584=1,R4584*(1-1.0),IF(H4583=0,1,O4583*(1+0.00023125256064071564)))</f>
        <v/>
      </c>
      <c r="P4584">
        <f>IF(G4584=1,IF(H4583=0,1,ABS(0.2-J4583*B4584/I4584)+ABS(0.2-K4583*C4584/I4584)+ABS(0.2-L4583*D4584/I4584)+ABS(0.2-M4583*E4584/I4584)+ABS(0.2-N4583*F4584/I4584)),0)</f>
        <v/>
      </c>
      <c r="Q4584">
        <f>P4584*0.0015</f>
        <v/>
      </c>
      <c r="R4584">
        <f>I4584*(1-Q4584)</f>
        <v/>
      </c>
      <c r="S4584">
        <f>R4584/R4583-1</f>
        <v/>
      </c>
      <c r="T4584">
        <f>MAX(T4583,R4584)</f>
        <v/>
      </c>
      <c r="U4584">
        <f>R4584/T4584-1</f>
        <v/>
      </c>
      <c r="V4584" t="n">
        <v>19.82257998131829</v>
      </c>
      <c r="W4584" s="5">
        <f>R4584-V4584</f>
        <v/>
      </c>
    </row>
    <row r="4585">
      <c r="A4585" s="3" t="n">
        <v>45191</v>
      </c>
      <c r="B4585">
        <f>Prices!B4585</f>
        <v/>
      </c>
      <c r="C4585">
        <f>Prices!C4585</f>
        <v/>
      </c>
      <c r="D4585">
        <f>Prices!D4585</f>
        <v/>
      </c>
      <c r="E4585">
        <f>Prices!E4585</f>
        <v/>
      </c>
      <c r="F4585">
        <f>Prices!F4585</f>
        <v/>
      </c>
      <c r="G4585">
        <f>IF(AND(4583&gt;=16,TEXT(A4585,"yyyy-mm")&lt;&gt;TEXT(A4586,"yyyy-mm")),1,0)</f>
        <v/>
      </c>
      <c r="H4585">
        <f>IF(OR(H4584=1,G4585=1),1,0)</f>
        <v/>
      </c>
      <c r="I4585">
        <f>IF(H4584=0,1,SUMPRODUCT(J4584:N4584,B4585:F4585)+O4584*(1+0.00023125256064071564))</f>
        <v/>
      </c>
      <c r="J4585">
        <f>IF(G4585=1,0.2*R4585/B4585,J4584)</f>
        <v/>
      </c>
      <c r="K4585">
        <f>IF(G4585=1,0.2*R4585/C4585,K4584)</f>
        <v/>
      </c>
      <c r="L4585">
        <f>IF(G4585=1,0.2*R4585/D4585,L4584)</f>
        <v/>
      </c>
      <c r="M4585">
        <f>IF(G4585=1,0.2*R4585/E4585,M4584)</f>
        <v/>
      </c>
      <c r="N4585">
        <f>IF(G4585=1,0.2*R4585/F4585,N4584)</f>
        <v/>
      </c>
      <c r="O4585">
        <f>IF(G4585=1,R4585*(1-1.0),IF(H4584=0,1,O4584*(1+0.00023125256064071564)))</f>
        <v/>
      </c>
      <c r="P4585">
        <f>IF(G4585=1,IF(H4584=0,1,ABS(0.2-J4584*B4585/I4585)+ABS(0.2-K4584*C4585/I4585)+ABS(0.2-L4584*D4585/I4585)+ABS(0.2-M4584*E4585/I4585)+ABS(0.2-N4584*F4585/I4585)),0)</f>
        <v/>
      </c>
      <c r="Q4585">
        <f>P4585*0.0015</f>
        <v/>
      </c>
      <c r="R4585">
        <f>I4585*(1-Q4585)</f>
        <v/>
      </c>
      <c r="S4585">
        <f>R4585/R4584-1</f>
        <v/>
      </c>
      <c r="T4585">
        <f>MAX(T4584,R4585)</f>
        <v/>
      </c>
      <c r="U4585">
        <f>R4585/T4585-1</f>
        <v/>
      </c>
      <c r="V4585" t="n">
        <v>19.84738201631523</v>
      </c>
      <c r="W4585" s="5">
        <f>R4585-V4585</f>
        <v/>
      </c>
    </row>
    <row r="4586">
      <c r="A4586" s="3" t="n">
        <v>45194</v>
      </c>
      <c r="B4586">
        <f>Prices!B4586</f>
        <v/>
      </c>
      <c r="C4586">
        <f>Prices!C4586</f>
        <v/>
      </c>
      <c r="D4586">
        <f>Prices!D4586</f>
        <v/>
      </c>
      <c r="E4586">
        <f>Prices!E4586</f>
        <v/>
      </c>
      <c r="F4586">
        <f>Prices!F4586</f>
        <v/>
      </c>
      <c r="G4586">
        <f>IF(AND(4584&gt;=16,TEXT(A4586,"yyyy-mm")&lt;&gt;TEXT(A4587,"yyyy-mm")),1,0)</f>
        <v/>
      </c>
      <c r="H4586">
        <f>IF(OR(H4585=1,G4586=1),1,0)</f>
        <v/>
      </c>
      <c r="I4586">
        <f>IF(H4585=0,1,SUMPRODUCT(J4585:N4585,B4586:F4586)+O4585*(1+0.00023125256064071564))</f>
        <v/>
      </c>
      <c r="J4586">
        <f>IF(G4586=1,0.2*R4586/B4586,J4585)</f>
        <v/>
      </c>
      <c r="K4586">
        <f>IF(G4586=1,0.2*R4586/C4586,K4585)</f>
        <v/>
      </c>
      <c r="L4586">
        <f>IF(G4586=1,0.2*R4586/D4586,L4585)</f>
        <v/>
      </c>
      <c r="M4586">
        <f>IF(G4586=1,0.2*R4586/E4586,M4585)</f>
        <v/>
      </c>
      <c r="N4586">
        <f>IF(G4586=1,0.2*R4586/F4586,N4585)</f>
        <v/>
      </c>
      <c r="O4586">
        <f>IF(G4586=1,R4586*(1-1.0),IF(H4585=0,1,O4585*(1+0.00023125256064071564)))</f>
        <v/>
      </c>
      <c r="P4586">
        <f>IF(G4586=1,IF(H4585=0,1,ABS(0.2-J4585*B4586/I4586)+ABS(0.2-K4585*C4586/I4586)+ABS(0.2-L4585*D4586/I4586)+ABS(0.2-M4585*E4586/I4586)+ABS(0.2-N4585*F4586/I4586)),0)</f>
        <v/>
      </c>
      <c r="Q4586">
        <f>P4586*0.0015</f>
        <v/>
      </c>
      <c r="R4586">
        <f>I4586*(1-Q4586)</f>
        <v/>
      </c>
      <c r="S4586">
        <f>R4586/R4585-1</f>
        <v/>
      </c>
      <c r="T4586">
        <f>MAX(T4585,R4586)</f>
        <v/>
      </c>
      <c r="U4586">
        <f>R4586/T4586-1</f>
        <v/>
      </c>
      <c r="V4586" t="n">
        <v>19.89737104149525</v>
      </c>
      <c r="W4586" s="5">
        <f>R4586-V4586</f>
        <v/>
      </c>
    </row>
    <row r="4587">
      <c r="A4587" s="3" t="n">
        <v>45195</v>
      </c>
      <c r="B4587">
        <f>Prices!B4587</f>
        <v/>
      </c>
      <c r="C4587">
        <f>Prices!C4587</f>
        <v/>
      </c>
      <c r="D4587">
        <f>Prices!D4587</f>
        <v/>
      </c>
      <c r="E4587">
        <f>Prices!E4587</f>
        <v/>
      </c>
      <c r="F4587">
        <f>Prices!F4587</f>
        <v/>
      </c>
      <c r="G4587">
        <f>IF(AND(4585&gt;=16,TEXT(A4587,"yyyy-mm")&lt;&gt;TEXT(A4588,"yyyy-mm")),1,0)</f>
        <v/>
      </c>
      <c r="H4587">
        <f>IF(OR(H4586=1,G4587=1),1,0)</f>
        <v/>
      </c>
      <c r="I4587">
        <f>IF(H4586=0,1,SUMPRODUCT(J4586:N4586,B4587:F4587)+O4586*(1+0.00023125256064071564))</f>
        <v/>
      </c>
      <c r="J4587">
        <f>IF(G4587=1,0.2*R4587/B4587,J4586)</f>
        <v/>
      </c>
      <c r="K4587">
        <f>IF(G4587=1,0.2*R4587/C4587,K4586)</f>
        <v/>
      </c>
      <c r="L4587">
        <f>IF(G4587=1,0.2*R4587/D4587,L4586)</f>
        <v/>
      </c>
      <c r="M4587">
        <f>IF(G4587=1,0.2*R4587/E4587,M4586)</f>
        <v/>
      </c>
      <c r="N4587">
        <f>IF(G4587=1,0.2*R4587/F4587,N4586)</f>
        <v/>
      </c>
      <c r="O4587">
        <f>IF(G4587=1,R4587*(1-1.0),IF(H4586=0,1,O4586*(1+0.00023125256064071564)))</f>
        <v/>
      </c>
      <c r="P4587">
        <f>IF(G4587=1,IF(H4586=0,1,ABS(0.2-J4586*B4587/I4587)+ABS(0.2-K4586*C4587/I4587)+ABS(0.2-L4586*D4587/I4587)+ABS(0.2-M4586*E4587/I4587)+ABS(0.2-N4586*F4587/I4587)),0)</f>
        <v/>
      </c>
      <c r="Q4587">
        <f>P4587*0.0015</f>
        <v/>
      </c>
      <c r="R4587">
        <f>I4587*(1-Q4587)</f>
        <v/>
      </c>
      <c r="S4587">
        <f>R4587/R4586-1</f>
        <v/>
      </c>
      <c r="T4587">
        <f>MAX(T4586,R4587)</f>
        <v/>
      </c>
      <c r="U4587">
        <f>R4587/T4587-1</f>
        <v/>
      </c>
      <c r="V4587" t="n">
        <v>19.93423421748798</v>
      </c>
      <c r="W4587" s="5">
        <f>R4587-V4587</f>
        <v/>
      </c>
    </row>
    <row r="4588">
      <c r="A4588" s="3" t="n">
        <v>45196</v>
      </c>
      <c r="B4588">
        <f>Prices!B4588</f>
        <v/>
      </c>
      <c r="C4588">
        <f>Prices!C4588</f>
        <v/>
      </c>
      <c r="D4588">
        <f>Prices!D4588</f>
        <v/>
      </c>
      <c r="E4588">
        <f>Prices!E4588</f>
        <v/>
      </c>
      <c r="F4588">
        <f>Prices!F4588</f>
        <v/>
      </c>
      <c r="G4588">
        <f>IF(AND(4586&gt;=16,TEXT(A4588,"yyyy-mm")&lt;&gt;TEXT(A4589,"yyyy-mm")),1,0)</f>
        <v/>
      </c>
      <c r="H4588">
        <f>IF(OR(H4587=1,G4588=1),1,0)</f>
        <v/>
      </c>
      <c r="I4588">
        <f>IF(H4587=0,1,SUMPRODUCT(J4587:N4587,B4588:F4588)+O4587*(1+0.00023125256064071564))</f>
        <v/>
      </c>
      <c r="J4588">
        <f>IF(G4588=1,0.2*R4588/B4588,J4587)</f>
        <v/>
      </c>
      <c r="K4588">
        <f>IF(G4588=1,0.2*R4588/C4588,K4587)</f>
        <v/>
      </c>
      <c r="L4588">
        <f>IF(G4588=1,0.2*R4588/D4588,L4587)</f>
        <v/>
      </c>
      <c r="M4588">
        <f>IF(G4588=1,0.2*R4588/E4588,M4587)</f>
        <v/>
      </c>
      <c r="N4588">
        <f>IF(G4588=1,0.2*R4588/F4588,N4587)</f>
        <v/>
      </c>
      <c r="O4588">
        <f>IF(G4588=1,R4588*(1-1.0),IF(H4587=0,1,O4587*(1+0.00023125256064071564)))</f>
        <v/>
      </c>
      <c r="P4588">
        <f>IF(G4588=1,IF(H4587=0,1,ABS(0.2-J4587*B4588/I4588)+ABS(0.2-K4587*C4588/I4588)+ABS(0.2-L4587*D4588/I4588)+ABS(0.2-M4587*E4588/I4588)+ABS(0.2-N4587*F4588/I4588)),0)</f>
        <v/>
      </c>
      <c r="Q4588">
        <f>P4588*0.0015</f>
        <v/>
      </c>
      <c r="R4588">
        <f>I4588*(1-Q4588)</f>
        <v/>
      </c>
      <c r="S4588">
        <f>R4588/R4587-1</f>
        <v/>
      </c>
      <c r="T4588">
        <f>MAX(T4587,R4588)</f>
        <v/>
      </c>
      <c r="U4588">
        <f>R4588/T4588-1</f>
        <v/>
      </c>
      <c r="V4588" t="n">
        <v>20.07313483860014</v>
      </c>
      <c r="W4588" s="5">
        <f>R4588-V4588</f>
        <v/>
      </c>
    </row>
    <row r="4589">
      <c r="A4589" s="3" t="n">
        <v>45197</v>
      </c>
      <c r="B4589">
        <f>Prices!B4589</f>
        <v/>
      </c>
      <c r="C4589">
        <f>Prices!C4589</f>
        <v/>
      </c>
      <c r="D4589">
        <f>Prices!D4589</f>
        <v/>
      </c>
      <c r="E4589">
        <f>Prices!E4589</f>
        <v/>
      </c>
      <c r="F4589">
        <f>Prices!F4589</f>
        <v/>
      </c>
      <c r="G4589">
        <f>IF(AND(4587&gt;=16,TEXT(A4589,"yyyy-mm")&lt;&gt;TEXT(A4590,"yyyy-mm")),1,0)</f>
        <v/>
      </c>
      <c r="H4589">
        <f>IF(OR(H4588=1,G4589=1),1,0)</f>
        <v/>
      </c>
      <c r="I4589">
        <f>IF(H4588=0,1,SUMPRODUCT(J4588:N4588,B4589:F4589)+O4588*(1+0.00023125256064071564))</f>
        <v/>
      </c>
      <c r="J4589">
        <f>IF(G4589=1,0.2*R4589/B4589,J4588)</f>
        <v/>
      </c>
      <c r="K4589">
        <f>IF(G4589=1,0.2*R4589/C4589,K4588)</f>
        <v/>
      </c>
      <c r="L4589">
        <f>IF(G4589=1,0.2*R4589/D4589,L4588)</f>
        <v/>
      </c>
      <c r="M4589">
        <f>IF(G4589=1,0.2*R4589/E4589,M4588)</f>
        <v/>
      </c>
      <c r="N4589">
        <f>IF(G4589=1,0.2*R4589/F4589,N4588)</f>
        <v/>
      </c>
      <c r="O4589">
        <f>IF(G4589=1,R4589*(1-1.0),IF(H4588=0,1,O4588*(1+0.00023125256064071564)))</f>
        <v/>
      </c>
      <c r="P4589">
        <f>IF(G4589=1,IF(H4588=0,1,ABS(0.2-J4588*B4589/I4589)+ABS(0.2-K4588*C4589/I4589)+ABS(0.2-L4588*D4589/I4589)+ABS(0.2-M4588*E4589/I4589)+ABS(0.2-N4588*F4589/I4589)),0)</f>
        <v/>
      </c>
      <c r="Q4589">
        <f>P4589*0.0015</f>
        <v/>
      </c>
      <c r="R4589">
        <f>I4589*(1-Q4589)</f>
        <v/>
      </c>
      <c r="S4589">
        <f>R4589/R4588-1</f>
        <v/>
      </c>
      <c r="T4589">
        <f>MAX(T4588,R4589)</f>
        <v/>
      </c>
      <c r="U4589">
        <f>R4589/T4589-1</f>
        <v/>
      </c>
      <c r="V4589" t="n">
        <v>19.85393970151325</v>
      </c>
      <c r="W4589" s="5">
        <f>R4589-V4589</f>
        <v/>
      </c>
    </row>
    <row r="4590">
      <c r="A4590" s="3" t="n">
        <v>45198</v>
      </c>
      <c r="B4590">
        <f>Prices!B4590</f>
        <v/>
      </c>
      <c r="C4590">
        <f>Prices!C4590</f>
        <v/>
      </c>
      <c r="D4590">
        <f>Prices!D4590</f>
        <v/>
      </c>
      <c r="E4590">
        <f>Prices!E4590</f>
        <v/>
      </c>
      <c r="F4590">
        <f>Prices!F4590</f>
        <v/>
      </c>
      <c r="G4590">
        <f>IF(AND(4588&gt;=16,TEXT(A4590,"yyyy-mm")&lt;&gt;TEXT(A4591,"yyyy-mm")),1,0)</f>
        <v/>
      </c>
      <c r="H4590">
        <f>IF(OR(H4589=1,G4590=1),1,0)</f>
        <v/>
      </c>
      <c r="I4590">
        <f>IF(H4589=0,1,SUMPRODUCT(J4589:N4589,B4590:F4590)+O4589*(1+0.00023125256064071564))</f>
        <v/>
      </c>
      <c r="J4590">
        <f>IF(G4590=1,0.2*R4590/B4590,J4589)</f>
        <v/>
      </c>
      <c r="K4590">
        <f>IF(G4590=1,0.2*R4590/C4590,K4589)</f>
        <v/>
      </c>
      <c r="L4590">
        <f>IF(G4590=1,0.2*R4590/D4590,L4589)</f>
        <v/>
      </c>
      <c r="M4590">
        <f>IF(G4590=1,0.2*R4590/E4590,M4589)</f>
        <v/>
      </c>
      <c r="N4590">
        <f>IF(G4590=1,0.2*R4590/F4590,N4589)</f>
        <v/>
      </c>
      <c r="O4590">
        <f>IF(G4590=1,R4590*(1-1.0),IF(H4589=0,1,O4589*(1+0.00023125256064071564)))</f>
        <v/>
      </c>
      <c r="P4590">
        <f>IF(G4590=1,IF(H4589=0,1,ABS(0.2-J4589*B4590/I4590)+ABS(0.2-K4589*C4590/I4590)+ABS(0.2-L4589*D4590/I4590)+ABS(0.2-M4589*E4590/I4590)+ABS(0.2-N4589*F4590/I4590)),0)</f>
        <v/>
      </c>
      <c r="Q4590">
        <f>P4590*0.0015</f>
        <v/>
      </c>
      <c r="R4590">
        <f>I4590*(1-Q4590)</f>
        <v/>
      </c>
      <c r="S4590">
        <f>R4590/R4589-1</f>
        <v/>
      </c>
      <c r="T4590">
        <f>MAX(T4589,R4590)</f>
        <v/>
      </c>
      <c r="U4590">
        <f>R4590/T4590-1</f>
        <v/>
      </c>
      <c r="V4590" t="n">
        <v>20.08662836160033</v>
      </c>
      <c r="W4590" s="5">
        <f>R4590-V4590</f>
        <v/>
      </c>
    </row>
    <row r="4591">
      <c r="A4591" s="3" t="n">
        <v>45202</v>
      </c>
      <c r="B4591">
        <f>Prices!B4591</f>
        <v/>
      </c>
      <c r="C4591">
        <f>Prices!C4591</f>
        <v/>
      </c>
      <c r="D4591">
        <f>Prices!D4591</f>
        <v/>
      </c>
      <c r="E4591">
        <f>Prices!E4591</f>
        <v/>
      </c>
      <c r="F4591">
        <f>Prices!F4591</f>
        <v/>
      </c>
      <c r="G4591">
        <f>IF(AND(4589&gt;=16,TEXT(A4591,"yyyy-mm")&lt;&gt;TEXT(A4592,"yyyy-mm")),1,0)</f>
        <v/>
      </c>
      <c r="H4591">
        <f>IF(OR(H4590=1,G4591=1),1,0)</f>
        <v/>
      </c>
      <c r="I4591">
        <f>IF(H4590=0,1,SUMPRODUCT(J4590:N4590,B4591:F4591)+O4590*(1+0.00023125256064071564))</f>
        <v/>
      </c>
      <c r="J4591">
        <f>IF(G4591=1,0.2*R4591/B4591,J4590)</f>
        <v/>
      </c>
      <c r="K4591">
        <f>IF(G4591=1,0.2*R4591/C4591,K4590)</f>
        <v/>
      </c>
      <c r="L4591">
        <f>IF(G4591=1,0.2*R4591/D4591,L4590)</f>
        <v/>
      </c>
      <c r="M4591">
        <f>IF(G4591=1,0.2*R4591/E4591,M4590)</f>
        <v/>
      </c>
      <c r="N4591">
        <f>IF(G4591=1,0.2*R4591/F4591,N4590)</f>
        <v/>
      </c>
      <c r="O4591">
        <f>IF(G4591=1,R4591*(1-1.0),IF(H4590=0,1,O4590*(1+0.00023125256064071564)))</f>
        <v/>
      </c>
      <c r="P4591">
        <f>IF(G4591=1,IF(H4590=0,1,ABS(0.2-J4590*B4591/I4591)+ABS(0.2-K4590*C4591/I4591)+ABS(0.2-L4590*D4591/I4591)+ABS(0.2-M4590*E4591/I4591)+ABS(0.2-N4590*F4591/I4591)),0)</f>
        <v/>
      </c>
      <c r="Q4591">
        <f>P4591*0.0015</f>
        <v/>
      </c>
      <c r="R4591">
        <f>I4591*(1-Q4591)</f>
        <v/>
      </c>
      <c r="S4591">
        <f>R4591/R4590-1</f>
        <v/>
      </c>
      <c r="T4591">
        <f>MAX(T4590,R4591)</f>
        <v/>
      </c>
      <c r="U4591">
        <f>R4591/T4591-1</f>
        <v/>
      </c>
      <c r="V4591" t="n">
        <v>20.1057072702486</v>
      </c>
      <c r="W4591" s="5">
        <f>R4591-V4591</f>
        <v/>
      </c>
    </row>
    <row r="4592">
      <c r="A4592" s="3" t="n">
        <v>45203</v>
      </c>
      <c r="B4592">
        <f>Prices!B4592</f>
        <v/>
      </c>
      <c r="C4592">
        <f>Prices!C4592</f>
        <v/>
      </c>
      <c r="D4592">
        <f>Prices!D4592</f>
        <v/>
      </c>
      <c r="E4592">
        <f>Prices!E4592</f>
        <v/>
      </c>
      <c r="F4592">
        <f>Prices!F4592</f>
        <v/>
      </c>
      <c r="G4592">
        <f>IF(AND(4590&gt;=16,TEXT(A4592,"yyyy-mm")&lt;&gt;TEXT(A4593,"yyyy-mm")),1,0)</f>
        <v/>
      </c>
      <c r="H4592">
        <f>IF(OR(H4591=1,G4592=1),1,0)</f>
        <v/>
      </c>
      <c r="I4592">
        <f>IF(H4591=0,1,SUMPRODUCT(J4591:N4591,B4592:F4592)+O4591*(1+0.00023125256064071564))</f>
        <v/>
      </c>
      <c r="J4592">
        <f>IF(G4592=1,0.2*R4592/B4592,J4591)</f>
        <v/>
      </c>
      <c r="K4592">
        <f>IF(G4592=1,0.2*R4592/C4592,K4591)</f>
        <v/>
      </c>
      <c r="L4592">
        <f>IF(G4592=1,0.2*R4592/D4592,L4591)</f>
        <v/>
      </c>
      <c r="M4592">
        <f>IF(G4592=1,0.2*R4592/E4592,M4591)</f>
        <v/>
      </c>
      <c r="N4592">
        <f>IF(G4592=1,0.2*R4592/F4592,N4591)</f>
        <v/>
      </c>
      <c r="O4592">
        <f>IF(G4592=1,R4592*(1-1.0),IF(H4591=0,1,O4591*(1+0.00023125256064071564)))</f>
        <v/>
      </c>
      <c r="P4592">
        <f>IF(G4592=1,IF(H4591=0,1,ABS(0.2-J4591*B4592/I4592)+ABS(0.2-K4591*C4592/I4592)+ABS(0.2-L4591*D4592/I4592)+ABS(0.2-M4591*E4592/I4592)+ABS(0.2-N4591*F4592/I4592)),0)</f>
        <v/>
      </c>
      <c r="Q4592">
        <f>P4592*0.0015</f>
        <v/>
      </c>
      <c r="R4592">
        <f>I4592*(1-Q4592)</f>
        <v/>
      </c>
      <c r="S4592">
        <f>R4592/R4591-1</f>
        <v/>
      </c>
      <c r="T4592">
        <f>MAX(T4591,R4592)</f>
        <v/>
      </c>
      <c r="U4592">
        <f>R4592/T4592-1</f>
        <v/>
      </c>
      <c r="V4592" t="n">
        <v>19.820375417328</v>
      </c>
      <c r="W4592" s="5">
        <f>R4592-V4592</f>
        <v/>
      </c>
    </row>
    <row r="4593">
      <c r="A4593" s="3" t="n">
        <v>45204</v>
      </c>
      <c r="B4593">
        <f>Prices!B4593</f>
        <v/>
      </c>
      <c r="C4593">
        <f>Prices!C4593</f>
        <v/>
      </c>
      <c r="D4593">
        <f>Prices!D4593</f>
        <v/>
      </c>
      <c r="E4593">
        <f>Prices!E4593</f>
        <v/>
      </c>
      <c r="F4593">
        <f>Prices!F4593</f>
        <v/>
      </c>
      <c r="G4593">
        <f>IF(AND(4591&gt;=16,TEXT(A4593,"yyyy-mm")&lt;&gt;TEXT(A4594,"yyyy-mm")),1,0)</f>
        <v/>
      </c>
      <c r="H4593">
        <f>IF(OR(H4592=1,G4593=1),1,0)</f>
        <v/>
      </c>
      <c r="I4593">
        <f>IF(H4592=0,1,SUMPRODUCT(J4592:N4592,B4593:F4593)+O4592*(1+0.00023125256064071564))</f>
        <v/>
      </c>
      <c r="J4593">
        <f>IF(G4593=1,0.2*R4593/B4593,J4592)</f>
        <v/>
      </c>
      <c r="K4593">
        <f>IF(G4593=1,0.2*R4593/C4593,K4592)</f>
        <v/>
      </c>
      <c r="L4593">
        <f>IF(G4593=1,0.2*R4593/D4593,L4592)</f>
        <v/>
      </c>
      <c r="M4593">
        <f>IF(G4593=1,0.2*R4593/E4593,M4592)</f>
        <v/>
      </c>
      <c r="N4593">
        <f>IF(G4593=1,0.2*R4593/F4593,N4592)</f>
        <v/>
      </c>
      <c r="O4593">
        <f>IF(G4593=1,R4593*(1-1.0),IF(H4592=0,1,O4592*(1+0.00023125256064071564)))</f>
        <v/>
      </c>
      <c r="P4593">
        <f>IF(G4593=1,IF(H4592=0,1,ABS(0.2-J4592*B4593/I4593)+ABS(0.2-K4592*C4593/I4593)+ABS(0.2-L4592*D4593/I4593)+ABS(0.2-M4592*E4593/I4593)+ABS(0.2-N4592*F4593/I4593)),0)</f>
        <v/>
      </c>
      <c r="Q4593">
        <f>P4593*0.0015</f>
        <v/>
      </c>
      <c r="R4593">
        <f>I4593*(1-Q4593)</f>
        <v/>
      </c>
      <c r="S4593">
        <f>R4593/R4592-1</f>
        <v/>
      </c>
      <c r="T4593">
        <f>MAX(T4592,R4593)</f>
        <v/>
      </c>
      <c r="U4593">
        <f>R4593/T4593-1</f>
        <v/>
      </c>
      <c r="V4593" t="n">
        <v>19.8325480350496</v>
      </c>
      <c r="W4593" s="5">
        <f>R4593-V4593</f>
        <v/>
      </c>
    </row>
    <row r="4594">
      <c r="A4594" s="3" t="n">
        <v>45205</v>
      </c>
      <c r="B4594">
        <f>Prices!B4594</f>
        <v/>
      </c>
      <c r="C4594">
        <f>Prices!C4594</f>
        <v/>
      </c>
      <c r="D4594">
        <f>Prices!D4594</f>
        <v/>
      </c>
      <c r="E4594">
        <f>Prices!E4594</f>
        <v/>
      </c>
      <c r="F4594">
        <f>Prices!F4594</f>
        <v/>
      </c>
      <c r="G4594">
        <f>IF(AND(4592&gt;=16,TEXT(A4594,"yyyy-mm")&lt;&gt;TEXT(A4595,"yyyy-mm")),1,0)</f>
        <v/>
      </c>
      <c r="H4594">
        <f>IF(OR(H4593=1,G4594=1),1,0)</f>
        <v/>
      </c>
      <c r="I4594">
        <f>IF(H4593=0,1,SUMPRODUCT(J4593:N4593,B4594:F4594)+O4593*(1+0.00023125256064071564))</f>
        <v/>
      </c>
      <c r="J4594">
        <f>IF(G4594=1,0.2*R4594/B4594,J4593)</f>
        <v/>
      </c>
      <c r="K4594">
        <f>IF(G4594=1,0.2*R4594/C4594,K4593)</f>
        <v/>
      </c>
      <c r="L4594">
        <f>IF(G4594=1,0.2*R4594/D4594,L4593)</f>
        <v/>
      </c>
      <c r="M4594">
        <f>IF(G4594=1,0.2*R4594/E4594,M4593)</f>
        <v/>
      </c>
      <c r="N4594">
        <f>IF(G4594=1,0.2*R4594/F4594,N4593)</f>
        <v/>
      </c>
      <c r="O4594">
        <f>IF(G4594=1,R4594*(1-1.0),IF(H4593=0,1,O4593*(1+0.00023125256064071564)))</f>
        <v/>
      </c>
      <c r="P4594">
        <f>IF(G4594=1,IF(H4593=0,1,ABS(0.2-J4593*B4594/I4594)+ABS(0.2-K4593*C4594/I4594)+ABS(0.2-L4593*D4594/I4594)+ABS(0.2-M4593*E4594/I4594)+ABS(0.2-N4593*F4594/I4594)),0)</f>
        <v/>
      </c>
      <c r="Q4594">
        <f>P4594*0.0015</f>
        <v/>
      </c>
      <c r="R4594">
        <f>I4594*(1-Q4594)</f>
        <v/>
      </c>
      <c r="S4594">
        <f>R4594/R4593-1</f>
        <v/>
      </c>
      <c r="T4594">
        <f>MAX(T4593,R4594)</f>
        <v/>
      </c>
      <c r="U4594">
        <f>R4594/T4594-1</f>
        <v/>
      </c>
      <c r="V4594" t="n">
        <v>19.9307964693955</v>
      </c>
      <c r="W4594" s="5">
        <f>R4594-V4594</f>
        <v/>
      </c>
    </row>
    <row r="4595">
      <c r="A4595" s="3" t="n">
        <v>45208</v>
      </c>
      <c r="B4595">
        <f>Prices!B4595</f>
        <v/>
      </c>
      <c r="C4595">
        <f>Prices!C4595</f>
        <v/>
      </c>
      <c r="D4595">
        <f>Prices!D4595</f>
        <v/>
      </c>
      <c r="E4595">
        <f>Prices!E4595</f>
        <v/>
      </c>
      <c r="F4595">
        <f>Prices!F4595</f>
        <v/>
      </c>
      <c r="G4595">
        <f>IF(AND(4593&gt;=16,TEXT(A4595,"yyyy-mm")&lt;&gt;TEXT(A4596,"yyyy-mm")),1,0)</f>
        <v/>
      </c>
      <c r="H4595">
        <f>IF(OR(H4594=1,G4595=1),1,0)</f>
        <v/>
      </c>
      <c r="I4595">
        <f>IF(H4594=0,1,SUMPRODUCT(J4594:N4594,B4595:F4595)+O4594*(1+0.00023125256064071564))</f>
        <v/>
      </c>
      <c r="J4595">
        <f>IF(G4595=1,0.2*R4595/B4595,J4594)</f>
        <v/>
      </c>
      <c r="K4595">
        <f>IF(G4595=1,0.2*R4595/C4595,K4594)</f>
        <v/>
      </c>
      <c r="L4595">
        <f>IF(G4595=1,0.2*R4595/D4595,L4594)</f>
        <v/>
      </c>
      <c r="M4595">
        <f>IF(G4595=1,0.2*R4595/E4595,M4594)</f>
        <v/>
      </c>
      <c r="N4595">
        <f>IF(G4595=1,0.2*R4595/F4595,N4594)</f>
        <v/>
      </c>
      <c r="O4595">
        <f>IF(G4595=1,R4595*(1-1.0),IF(H4594=0,1,O4594*(1+0.00023125256064071564)))</f>
        <v/>
      </c>
      <c r="P4595">
        <f>IF(G4595=1,IF(H4594=0,1,ABS(0.2-J4594*B4595/I4595)+ABS(0.2-K4594*C4595/I4595)+ABS(0.2-L4594*D4595/I4595)+ABS(0.2-M4594*E4595/I4595)+ABS(0.2-N4594*F4595/I4595)),0)</f>
        <v/>
      </c>
      <c r="Q4595">
        <f>P4595*0.0015</f>
        <v/>
      </c>
      <c r="R4595">
        <f>I4595*(1-Q4595)</f>
        <v/>
      </c>
      <c r="S4595">
        <f>R4595/R4594-1</f>
        <v/>
      </c>
      <c r="T4595">
        <f>MAX(T4594,R4595)</f>
        <v/>
      </c>
      <c r="U4595">
        <f>R4595/T4595-1</f>
        <v/>
      </c>
      <c r="V4595" t="n">
        <v>19.66358404114327</v>
      </c>
      <c r="W4595" s="5">
        <f>R4595-V4595</f>
        <v/>
      </c>
    </row>
    <row r="4596">
      <c r="A4596" s="3" t="n">
        <v>45209</v>
      </c>
      <c r="B4596">
        <f>Prices!B4596</f>
        <v/>
      </c>
      <c r="C4596">
        <f>Prices!C4596</f>
        <v/>
      </c>
      <c r="D4596">
        <f>Prices!D4596</f>
        <v/>
      </c>
      <c r="E4596">
        <f>Prices!E4596</f>
        <v/>
      </c>
      <c r="F4596">
        <f>Prices!F4596</f>
        <v/>
      </c>
      <c r="G4596">
        <f>IF(AND(4594&gt;=16,TEXT(A4596,"yyyy-mm")&lt;&gt;TEXT(A4597,"yyyy-mm")),1,0)</f>
        <v/>
      </c>
      <c r="H4596">
        <f>IF(OR(H4595=1,G4596=1),1,0)</f>
        <v/>
      </c>
      <c r="I4596">
        <f>IF(H4595=0,1,SUMPRODUCT(J4595:N4595,B4596:F4596)+O4595*(1+0.00023125256064071564))</f>
        <v/>
      </c>
      <c r="J4596">
        <f>IF(G4596=1,0.2*R4596/B4596,J4595)</f>
        <v/>
      </c>
      <c r="K4596">
        <f>IF(G4596=1,0.2*R4596/C4596,K4595)</f>
        <v/>
      </c>
      <c r="L4596">
        <f>IF(G4596=1,0.2*R4596/D4596,L4595)</f>
        <v/>
      </c>
      <c r="M4596">
        <f>IF(G4596=1,0.2*R4596/E4596,M4595)</f>
        <v/>
      </c>
      <c r="N4596">
        <f>IF(G4596=1,0.2*R4596/F4596,N4595)</f>
        <v/>
      </c>
      <c r="O4596">
        <f>IF(G4596=1,R4596*(1-1.0),IF(H4595=0,1,O4595*(1+0.00023125256064071564)))</f>
        <v/>
      </c>
      <c r="P4596">
        <f>IF(G4596=1,IF(H4595=0,1,ABS(0.2-J4595*B4596/I4596)+ABS(0.2-K4595*C4596/I4596)+ABS(0.2-L4595*D4596/I4596)+ABS(0.2-M4595*E4596/I4596)+ABS(0.2-N4595*F4596/I4596)),0)</f>
        <v/>
      </c>
      <c r="Q4596">
        <f>P4596*0.0015</f>
        <v/>
      </c>
      <c r="R4596">
        <f>I4596*(1-Q4596)</f>
        <v/>
      </c>
      <c r="S4596">
        <f>R4596/R4595-1</f>
        <v/>
      </c>
      <c r="T4596">
        <f>MAX(T4595,R4596)</f>
        <v/>
      </c>
      <c r="U4596">
        <f>R4596/T4596-1</f>
        <v/>
      </c>
      <c r="V4596" t="n">
        <v>19.94749061378597</v>
      </c>
      <c r="W4596" s="5">
        <f>R4596-V4596</f>
        <v/>
      </c>
    </row>
    <row r="4597">
      <c r="A4597" s="3" t="n">
        <v>45210</v>
      </c>
      <c r="B4597">
        <f>Prices!B4597</f>
        <v/>
      </c>
      <c r="C4597">
        <f>Prices!C4597</f>
        <v/>
      </c>
      <c r="D4597">
        <f>Prices!D4597</f>
        <v/>
      </c>
      <c r="E4597">
        <f>Prices!E4597</f>
        <v/>
      </c>
      <c r="F4597">
        <f>Prices!F4597</f>
        <v/>
      </c>
      <c r="G4597">
        <f>IF(AND(4595&gt;=16,TEXT(A4597,"yyyy-mm")&lt;&gt;TEXT(A4598,"yyyy-mm")),1,0)</f>
        <v/>
      </c>
      <c r="H4597">
        <f>IF(OR(H4596=1,G4597=1),1,0)</f>
        <v/>
      </c>
      <c r="I4597">
        <f>IF(H4596=0,1,SUMPRODUCT(J4596:N4596,B4597:F4597)+O4596*(1+0.00023125256064071564))</f>
        <v/>
      </c>
      <c r="J4597">
        <f>IF(G4597=1,0.2*R4597/B4597,J4596)</f>
        <v/>
      </c>
      <c r="K4597">
        <f>IF(G4597=1,0.2*R4597/C4597,K4596)</f>
        <v/>
      </c>
      <c r="L4597">
        <f>IF(G4597=1,0.2*R4597/D4597,L4596)</f>
        <v/>
      </c>
      <c r="M4597">
        <f>IF(G4597=1,0.2*R4597/E4597,M4596)</f>
        <v/>
      </c>
      <c r="N4597">
        <f>IF(G4597=1,0.2*R4597/F4597,N4596)</f>
        <v/>
      </c>
      <c r="O4597">
        <f>IF(G4597=1,R4597*(1-1.0),IF(H4596=0,1,O4596*(1+0.00023125256064071564)))</f>
        <v/>
      </c>
      <c r="P4597">
        <f>IF(G4597=1,IF(H4596=0,1,ABS(0.2-J4596*B4597/I4597)+ABS(0.2-K4596*C4597/I4597)+ABS(0.2-L4596*D4597/I4597)+ABS(0.2-M4596*E4597/I4597)+ABS(0.2-N4596*F4597/I4597)),0)</f>
        <v/>
      </c>
      <c r="Q4597">
        <f>P4597*0.0015</f>
        <v/>
      </c>
      <c r="R4597">
        <f>I4597*(1-Q4597)</f>
        <v/>
      </c>
      <c r="S4597">
        <f>R4597/R4596-1</f>
        <v/>
      </c>
      <c r="T4597">
        <f>MAX(T4596,R4597)</f>
        <v/>
      </c>
      <c r="U4597">
        <f>R4597/T4597-1</f>
        <v/>
      </c>
      <c r="V4597" t="n">
        <v>20.02815598557327</v>
      </c>
      <c r="W4597" s="5">
        <f>R4597-V4597</f>
        <v/>
      </c>
    </row>
    <row r="4598">
      <c r="A4598" s="3" t="n">
        <v>45211</v>
      </c>
      <c r="B4598">
        <f>Prices!B4598</f>
        <v/>
      </c>
      <c r="C4598">
        <f>Prices!C4598</f>
        <v/>
      </c>
      <c r="D4598">
        <f>Prices!D4598</f>
        <v/>
      </c>
      <c r="E4598">
        <f>Prices!E4598</f>
        <v/>
      </c>
      <c r="F4598">
        <f>Prices!F4598</f>
        <v/>
      </c>
      <c r="G4598">
        <f>IF(AND(4596&gt;=16,TEXT(A4598,"yyyy-mm")&lt;&gt;TEXT(A4599,"yyyy-mm")),1,0)</f>
        <v/>
      </c>
      <c r="H4598">
        <f>IF(OR(H4597=1,G4598=1),1,0)</f>
        <v/>
      </c>
      <c r="I4598">
        <f>IF(H4597=0,1,SUMPRODUCT(J4597:N4597,B4598:F4598)+O4597*(1+0.00023125256064071564))</f>
        <v/>
      </c>
      <c r="J4598">
        <f>IF(G4598=1,0.2*R4598/B4598,J4597)</f>
        <v/>
      </c>
      <c r="K4598">
        <f>IF(G4598=1,0.2*R4598/C4598,K4597)</f>
        <v/>
      </c>
      <c r="L4598">
        <f>IF(G4598=1,0.2*R4598/D4598,L4597)</f>
        <v/>
      </c>
      <c r="M4598">
        <f>IF(G4598=1,0.2*R4598/E4598,M4597)</f>
        <v/>
      </c>
      <c r="N4598">
        <f>IF(G4598=1,0.2*R4598/F4598,N4597)</f>
        <v/>
      </c>
      <c r="O4598">
        <f>IF(G4598=1,R4598*(1-1.0),IF(H4597=0,1,O4597*(1+0.00023125256064071564)))</f>
        <v/>
      </c>
      <c r="P4598">
        <f>IF(G4598=1,IF(H4597=0,1,ABS(0.2-J4597*B4598/I4598)+ABS(0.2-K4597*C4598/I4598)+ABS(0.2-L4597*D4598/I4598)+ABS(0.2-M4597*E4598/I4598)+ABS(0.2-N4597*F4598/I4598)),0)</f>
        <v/>
      </c>
      <c r="Q4598">
        <f>P4598*0.0015</f>
        <v/>
      </c>
      <c r="R4598">
        <f>I4598*(1-Q4598)</f>
        <v/>
      </c>
      <c r="S4598">
        <f>R4598/R4597-1</f>
        <v/>
      </c>
      <c r="T4598">
        <f>MAX(T4597,R4598)</f>
        <v/>
      </c>
      <c r="U4598">
        <f>R4598/T4598-1</f>
        <v/>
      </c>
      <c r="V4598" t="n">
        <v>20.10070751155674</v>
      </c>
      <c r="W4598" s="5">
        <f>R4598-V4598</f>
        <v/>
      </c>
    </row>
    <row r="4599">
      <c r="A4599" s="3" t="n">
        <v>45212</v>
      </c>
      <c r="B4599">
        <f>Prices!B4599</f>
        <v/>
      </c>
      <c r="C4599">
        <f>Prices!C4599</f>
        <v/>
      </c>
      <c r="D4599">
        <f>Prices!D4599</f>
        <v/>
      </c>
      <c r="E4599">
        <f>Prices!E4599</f>
        <v/>
      </c>
      <c r="F4599">
        <f>Prices!F4599</f>
        <v/>
      </c>
      <c r="G4599">
        <f>IF(AND(4597&gt;=16,TEXT(A4599,"yyyy-mm")&lt;&gt;TEXT(A4600,"yyyy-mm")),1,0)</f>
        <v/>
      </c>
      <c r="H4599">
        <f>IF(OR(H4598=1,G4599=1),1,0)</f>
        <v/>
      </c>
      <c r="I4599">
        <f>IF(H4598=0,1,SUMPRODUCT(J4598:N4598,B4599:F4599)+O4598*(1+0.00023125256064071564))</f>
        <v/>
      </c>
      <c r="J4599">
        <f>IF(G4599=1,0.2*R4599/B4599,J4598)</f>
        <v/>
      </c>
      <c r="K4599">
        <f>IF(G4599=1,0.2*R4599/C4599,K4598)</f>
        <v/>
      </c>
      <c r="L4599">
        <f>IF(G4599=1,0.2*R4599/D4599,L4598)</f>
        <v/>
      </c>
      <c r="M4599">
        <f>IF(G4599=1,0.2*R4599/E4599,M4598)</f>
        <v/>
      </c>
      <c r="N4599">
        <f>IF(G4599=1,0.2*R4599/F4599,N4598)</f>
        <v/>
      </c>
      <c r="O4599">
        <f>IF(G4599=1,R4599*(1-1.0),IF(H4598=0,1,O4598*(1+0.00023125256064071564)))</f>
        <v/>
      </c>
      <c r="P4599">
        <f>IF(G4599=1,IF(H4598=0,1,ABS(0.2-J4598*B4599/I4599)+ABS(0.2-K4598*C4599/I4599)+ABS(0.2-L4598*D4599/I4599)+ABS(0.2-M4598*E4599/I4599)+ABS(0.2-N4598*F4599/I4599)),0)</f>
        <v/>
      </c>
      <c r="Q4599">
        <f>P4599*0.0015</f>
        <v/>
      </c>
      <c r="R4599">
        <f>I4599*(1-Q4599)</f>
        <v/>
      </c>
      <c r="S4599">
        <f>R4599/R4598-1</f>
        <v/>
      </c>
      <c r="T4599">
        <f>MAX(T4598,R4599)</f>
        <v/>
      </c>
      <c r="U4599">
        <f>R4599/T4599-1</f>
        <v/>
      </c>
      <c r="V4599" t="n">
        <v>20.08138787369953</v>
      </c>
      <c r="W4599" s="5">
        <f>R4599-V4599</f>
        <v/>
      </c>
    </row>
    <row r="4600">
      <c r="A4600" s="3" t="n">
        <v>45215</v>
      </c>
      <c r="B4600">
        <f>Prices!B4600</f>
        <v/>
      </c>
      <c r="C4600">
        <f>Prices!C4600</f>
        <v/>
      </c>
      <c r="D4600">
        <f>Prices!D4600</f>
        <v/>
      </c>
      <c r="E4600">
        <f>Prices!E4600</f>
        <v/>
      </c>
      <c r="F4600">
        <f>Prices!F4600</f>
        <v/>
      </c>
      <c r="G4600">
        <f>IF(AND(4598&gt;=16,TEXT(A4600,"yyyy-mm")&lt;&gt;TEXT(A4601,"yyyy-mm")),1,0)</f>
        <v/>
      </c>
      <c r="H4600">
        <f>IF(OR(H4599=1,G4600=1),1,0)</f>
        <v/>
      </c>
      <c r="I4600">
        <f>IF(H4599=0,1,SUMPRODUCT(J4599:N4599,B4600:F4600)+O4599*(1+0.00023125256064071564))</f>
        <v/>
      </c>
      <c r="J4600">
        <f>IF(G4600=1,0.2*R4600/B4600,J4599)</f>
        <v/>
      </c>
      <c r="K4600">
        <f>IF(G4600=1,0.2*R4600/C4600,K4599)</f>
        <v/>
      </c>
      <c r="L4600">
        <f>IF(G4600=1,0.2*R4600/D4600,L4599)</f>
        <v/>
      </c>
      <c r="M4600">
        <f>IF(G4600=1,0.2*R4600/E4600,M4599)</f>
        <v/>
      </c>
      <c r="N4600">
        <f>IF(G4600=1,0.2*R4600/F4600,N4599)</f>
        <v/>
      </c>
      <c r="O4600">
        <f>IF(G4600=1,R4600*(1-1.0),IF(H4599=0,1,O4599*(1+0.00023125256064071564)))</f>
        <v/>
      </c>
      <c r="P4600">
        <f>IF(G4600=1,IF(H4599=0,1,ABS(0.2-J4599*B4600/I4600)+ABS(0.2-K4599*C4600/I4600)+ABS(0.2-L4599*D4600/I4600)+ABS(0.2-M4599*E4600/I4600)+ABS(0.2-N4599*F4600/I4600)),0)</f>
        <v/>
      </c>
      <c r="Q4600">
        <f>P4600*0.0015</f>
        <v/>
      </c>
      <c r="R4600">
        <f>I4600*(1-Q4600)</f>
        <v/>
      </c>
      <c r="S4600">
        <f>R4600/R4599-1</f>
        <v/>
      </c>
      <c r="T4600">
        <f>MAX(T4599,R4600)</f>
        <v/>
      </c>
      <c r="U4600">
        <f>R4600/T4600-1</f>
        <v/>
      </c>
      <c r="V4600" t="n">
        <v>20.1536976896246</v>
      </c>
      <c r="W4600" s="5">
        <f>R4600-V4600</f>
        <v/>
      </c>
    </row>
    <row r="4601">
      <c r="A4601" s="3" t="n">
        <v>45216</v>
      </c>
      <c r="B4601">
        <f>Prices!B4601</f>
        <v/>
      </c>
      <c r="C4601">
        <f>Prices!C4601</f>
        <v/>
      </c>
      <c r="D4601">
        <f>Prices!D4601</f>
        <v/>
      </c>
      <c r="E4601">
        <f>Prices!E4601</f>
        <v/>
      </c>
      <c r="F4601">
        <f>Prices!F4601</f>
        <v/>
      </c>
      <c r="G4601">
        <f>IF(AND(4599&gt;=16,TEXT(A4601,"yyyy-mm")&lt;&gt;TEXT(A4602,"yyyy-mm")),1,0)</f>
        <v/>
      </c>
      <c r="H4601">
        <f>IF(OR(H4600=1,G4601=1),1,0)</f>
        <v/>
      </c>
      <c r="I4601">
        <f>IF(H4600=0,1,SUMPRODUCT(J4600:N4600,B4601:F4601)+O4600*(1+0.00023125256064071564))</f>
        <v/>
      </c>
      <c r="J4601">
        <f>IF(G4601=1,0.2*R4601/B4601,J4600)</f>
        <v/>
      </c>
      <c r="K4601">
        <f>IF(G4601=1,0.2*R4601/C4601,K4600)</f>
        <v/>
      </c>
      <c r="L4601">
        <f>IF(G4601=1,0.2*R4601/D4601,L4600)</f>
        <v/>
      </c>
      <c r="M4601">
        <f>IF(G4601=1,0.2*R4601/E4601,M4600)</f>
        <v/>
      </c>
      <c r="N4601">
        <f>IF(G4601=1,0.2*R4601/F4601,N4600)</f>
        <v/>
      </c>
      <c r="O4601">
        <f>IF(G4601=1,R4601*(1-1.0),IF(H4600=0,1,O4600*(1+0.00023125256064071564)))</f>
        <v/>
      </c>
      <c r="P4601">
        <f>IF(G4601=1,IF(H4600=0,1,ABS(0.2-J4600*B4601/I4601)+ABS(0.2-K4600*C4601/I4601)+ABS(0.2-L4600*D4601/I4601)+ABS(0.2-M4600*E4601/I4601)+ABS(0.2-N4600*F4601/I4601)),0)</f>
        <v/>
      </c>
      <c r="Q4601">
        <f>P4601*0.0015</f>
        <v/>
      </c>
      <c r="R4601">
        <f>I4601*(1-Q4601)</f>
        <v/>
      </c>
      <c r="S4601">
        <f>R4601/R4600-1</f>
        <v/>
      </c>
      <c r="T4601">
        <f>MAX(T4600,R4601)</f>
        <v/>
      </c>
      <c r="U4601">
        <f>R4601/T4601-1</f>
        <v/>
      </c>
      <c r="V4601" t="n">
        <v>20.27598639251624</v>
      </c>
      <c r="W4601" s="5">
        <f>R4601-V4601</f>
        <v/>
      </c>
    </row>
    <row r="4602">
      <c r="A4602" s="3" t="n">
        <v>45217</v>
      </c>
      <c r="B4602">
        <f>Prices!B4602</f>
        <v/>
      </c>
      <c r="C4602">
        <f>Prices!C4602</f>
        <v/>
      </c>
      <c r="D4602">
        <f>Prices!D4602</f>
        <v/>
      </c>
      <c r="E4602">
        <f>Prices!E4602</f>
        <v/>
      </c>
      <c r="F4602">
        <f>Prices!F4602</f>
        <v/>
      </c>
      <c r="G4602">
        <f>IF(AND(4600&gt;=16,TEXT(A4602,"yyyy-mm")&lt;&gt;TEXT(A4603,"yyyy-mm")),1,0)</f>
        <v/>
      </c>
      <c r="H4602">
        <f>IF(OR(H4601=1,G4602=1),1,0)</f>
        <v/>
      </c>
      <c r="I4602">
        <f>IF(H4601=0,1,SUMPRODUCT(J4601:N4601,B4602:F4602)+O4601*(1+0.00023125256064071564))</f>
        <v/>
      </c>
      <c r="J4602">
        <f>IF(G4602=1,0.2*R4602/B4602,J4601)</f>
        <v/>
      </c>
      <c r="K4602">
        <f>IF(G4602=1,0.2*R4602/C4602,K4601)</f>
        <v/>
      </c>
      <c r="L4602">
        <f>IF(G4602=1,0.2*R4602/D4602,L4601)</f>
        <v/>
      </c>
      <c r="M4602">
        <f>IF(G4602=1,0.2*R4602/E4602,M4601)</f>
        <v/>
      </c>
      <c r="N4602">
        <f>IF(G4602=1,0.2*R4602/F4602,N4601)</f>
        <v/>
      </c>
      <c r="O4602">
        <f>IF(G4602=1,R4602*(1-1.0),IF(H4601=0,1,O4601*(1+0.00023125256064071564)))</f>
        <v/>
      </c>
      <c r="P4602">
        <f>IF(G4602=1,IF(H4601=0,1,ABS(0.2-J4601*B4602/I4602)+ABS(0.2-K4601*C4602/I4602)+ABS(0.2-L4601*D4602/I4602)+ABS(0.2-M4601*E4602/I4602)+ABS(0.2-N4601*F4602/I4602)),0)</f>
        <v/>
      </c>
      <c r="Q4602">
        <f>P4602*0.0015</f>
        <v/>
      </c>
      <c r="R4602">
        <f>I4602*(1-Q4602)</f>
        <v/>
      </c>
      <c r="S4602">
        <f>R4602/R4601-1</f>
        <v/>
      </c>
      <c r="T4602">
        <f>MAX(T4601,R4602)</f>
        <v/>
      </c>
      <c r="U4602">
        <f>R4602/T4602-1</f>
        <v/>
      </c>
      <c r="V4602" t="n">
        <v>20.11042638806263</v>
      </c>
      <c r="W4602" s="5">
        <f>R4602-V4602</f>
        <v/>
      </c>
    </row>
    <row r="4603">
      <c r="A4603" s="3" t="n">
        <v>45218</v>
      </c>
      <c r="B4603">
        <f>Prices!B4603</f>
        <v/>
      </c>
      <c r="C4603">
        <f>Prices!C4603</f>
        <v/>
      </c>
      <c r="D4603">
        <f>Prices!D4603</f>
        <v/>
      </c>
      <c r="E4603">
        <f>Prices!E4603</f>
        <v/>
      </c>
      <c r="F4603">
        <f>Prices!F4603</f>
        <v/>
      </c>
      <c r="G4603">
        <f>IF(AND(4601&gt;=16,TEXT(A4603,"yyyy-mm")&lt;&gt;TEXT(A4604,"yyyy-mm")),1,0)</f>
        <v/>
      </c>
      <c r="H4603">
        <f>IF(OR(H4602=1,G4603=1),1,0)</f>
        <v/>
      </c>
      <c r="I4603">
        <f>IF(H4602=0,1,SUMPRODUCT(J4602:N4602,B4603:F4603)+O4602*(1+0.00023125256064071564))</f>
        <v/>
      </c>
      <c r="J4603">
        <f>IF(G4603=1,0.2*R4603/B4603,J4602)</f>
        <v/>
      </c>
      <c r="K4603">
        <f>IF(G4603=1,0.2*R4603/C4603,K4602)</f>
        <v/>
      </c>
      <c r="L4603">
        <f>IF(G4603=1,0.2*R4603/D4603,L4602)</f>
        <v/>
      </c>
      <c r="M4603">
        <f>IF(G4603=1,0.2*R4603/E4603,M4602)</f>
        <v/>
      </c>
      <c r="N4603">
        <f>IF(G4603=1,0.2*R4603/F4603,N4602)</f>
        <v/>
      </c>
      <c r="O4603">
        <f>IF(G4603=1,R4603*(1-1.0),IF(H4602=0,1,O4602*(1+0.00023125256064071564)))</f>
        <v/>
      </c>
      <c r="P4603">
        <f>IF(G4603=1,IF(H4602=0,1,ABS(0.2-J4602*B4603/I4603)+ABS(0.2-K4602*C4603/I4603)+ABS(0.2-L4602*D4603/I4603)+ABS(0.2-M4602*E4603/I4603)+ABS(0.2-N4602*F4603/I4603)),0)</f>
        <v/>
      </c>
      <c r="Q4603">
        <f>P4603*0.0015</f>
        <v/>
      </c>
      <c r="R4603">
        <f>I4603*(1-Q4603)</f>
        <v/>
      </c>
      <c r="S4603">
        <f>R4603/R4602-1</f>
        <v/>
      </c>
      <c r="T4603">
        <f>MAX(T4602,R4603)</f>
        <v/>
      </c>
      <c r="U4603">
        <f>R4603/T4603-1</f>
        <v/>
      </c>
      <c r="V4603" t="n">
        <v>20.12295025721185</v>
      </c>
      <c r="W4603" s="5">
        <f>R4603-V4603</f>
        <v/>
      </c>
    </row>
    <row r="4604">
      <c r="A4604" s="3" t="n">
        <v>45219</v>
      </c>
      <c r="B4604">
        <f>Prices!B4604</f>
        <v/>
      </c>
      <c r="C4604">
        <f>Prices!C4604</f>
        <v/>
      </c>
      <c r="D4604">
        <f>Prices!D4604</f>
        <v/>
      </c>
      <c r="E4604">
        <f>Prices!E4604</f>
        <v/>
      </c>
      <c r="F4604">
        <f>Prices!F4604</f>
        <v/>
      </c>
      <c r="G4604">
        <f>IF(AND(4602&gt;=16,TEXT(A4604,"yyyy-mm")&lt;&gt;TEXT(A4605,"yyyy-mm")),1,0)</f>
        <v/>
      </c>
      <c r="H4604">
        <f>IF(OR(H4603=1,G4604=1),1,0)</f>
        <v/>
      </c>
      <c r="I4604">
        <f>IF(H4603=0,1,SUMPRODUCT(J4603:N4603,B4604:F4604)+O4603*(1+0.00023125256064071564))</f>
        <v/>
      </c>
      <c r="J4604">
        <f>IF(G4604=1,0.2*R4604/B4604,J4603)</f>
        <v/>
      </c>
      <c r="K4604">
        <f>IF(G4604=1,0.2*R4604/C4604,K4603)</f>
        <v/>
      </c>
      <c r="L4604">
        <f>IF(G4604=1,0.2*R4604/D4604,L4603)</f>
        <v/>
      </c>
      <c r="M4604">
        <f>IF(G4604=1,0.2*R4604/E4604,M4603)</f>
        <v/>
      </c>
      <c r="N4604">
        <f>IF(G4604=1,0.2*R4604/F4604,N4603)</f>
        <v/>
      </c>
      <c r="O4604">
        <f>IF(G4604=1,R4604*(1-1.0),IF(H4603=0,1,O4603*(1+0.00023125256064071564)))</f>
        <v/>
      </c>
      <c r="P4604">
        <f>IF(G4604=1,IF(H4603=0,1,ABS(0.2-J4603*B4604/I4604)+ABS(0.2-K4603*C4604/I4604)+ABS(0.2-L4603*D4604/I4604)+ABS(0.2-M4603*E4604/I4604)+ABS(0.2-N4603*F4604/I4604)),0)</f>
        <v/>
      </c>
      <c r="Q4604">
        <f>P4604*0.0015</f>
        <v/>
      </c>
      <c r="R4604">
        <f>I4604*(1-Q4604)</f>
        <v/>
      </c>
      <c r="S4604">
        <f>R4604/R4603-1</f>
        <v/>
      </c>
      <c r="T4604">
        <f>MAX(T4603,R4604)</f>
        <v/>
      </c>
      <c r="U4604">
        <f>R4604/T4604-1</f>
        <v/>
      </c>
      <c r="V4604" t="n">
        <v>19.96740737758272</v>
      </c>
      <c r="W4604" s="5">
        <f>R4604-V4604</f>
        <v/>
      </c>
    </row>
    <row r="4605">
      <c r="A4605" s="3" t="n">
        <v>45222</v>
      </c>
      <c r="B4605">
        <f>Prices!B4605</f>
        <v/>
      </c>
      <c r="C4605">
        <f>Prices!C4605</f>
        <v/>
      </c>
      <c r="D4605">
        <f>Prices!D4605</f>
        <v/>
      </c>
      <c r="E4605">
        <f>Prices!E4605</f>
        <v/>
      </c>
      <c r="F4605">
        <f>Prices!F4605</f>
        <v/>
      </c>
      <c r="G4605">
        <f>IF(AND(4603&gt;=16,TEXT(A4605,"yyyy-mm")&lt;&gt;TEXT(A4606,"yyyy-mm")),1,0)</f>
        <v/>
      </c>
      <c r="H4605">
        <f>IF(OR(H4604=1,G4605=1),1,0)</f>
        <v/>
      </c>
      <c r="I4605">
        <f>IF(H4604=0,1,SUMPRODUCT(J4604:N4604,B4605:F4605)+O4604*(1+0.00023125256064071564))</f>
        <v/>
      </c>
      <c r="J4605">
        <f>IF(G4605=1,0.2*R4605/B4605,J4604)</f>
        <v/>
      </c>
      <c r="K4605">
        <f>IF(G4605=1,0.2*R4605/C4605,K4604)</f>
        <v/>
      </c>
      <c r="L4605">
        <f>IF(G4605=1,0.2*R4605/D4605,L4604)</f>
        <v/>
      </c>
      <c r="M4605">
        <f>IF(G4605=1,0.2*R4605/E4605,M4604)</f>
        <v/>
      </c>
      <c r="N4605">
        <f>IF(G4605=1,0.2*R4605/F4605,N4604)</f>
        <v/>
      </c>
      <c r="O4605">
        <f>IF(G4605=1,R4605*(1-1.0),IF(H4604=0,1,O4604*(1+0.00023125256064071564)))</f>
        <v/>
      </c>
      <c r="P4605">
        <f>IF(G4605=1,IF(H4604=0,1,ABS(0.2-J4604*B4605/I4605)+ABS(0.2-K4604*C4605/I4605)+ABS(0.2-L4604*D4605/I4605)+ABS(0.2-M4604*E4605/I4605)+ABS(0.2-N4604*F4605/I4605)),0)</f>
        <v/>
      </c>
      <c r="Q4605">
        <f>P4605*0.0015</f>
        <v/>
      </c>
      <c r="R4605">
        <f>I4605*(1-Q4605)</f>
        <v/>
      </c>
      <c r="S4605">
        <f>R4605/R4604-1</f>
        <v/>
      </c>
      <c r="T4605">
        <f>MAX(T4604,R4605)</f>
        <v/>
      </c>
      <c r="U4605">
        <f>R4605/T4605-1</f>
        <v/>
      </c>
      <c r="V4605" t="n">
        <v>19.45960667613144</v>
      </c>
      <c r="W4605" s="5">
        <f>R4605-V4605</f>
        <v/>
      </c>
    </row>
    <row r="4606">
      <c r="A4606" s="3" t="n">
        <v>45224</v>
      </c>
      <c r="B4606">
        <f>Prices!B4606</f>
        <v/>
      </c>
      <c r="C4606">
        <f>Prices!C4606</f>
        <v/>
      </c>
      <c r="D4606">
        <f>Prices!D4606</f>
        <v/>
      </c>
      <c r="E4606">
        <f>Prices!E4606</f>
        <v/>
      </c>
      <c r="F4606">
        <f>Prices!F4606</f>
        <v/>
      </c>
      <c r="G4606">
        <f>IF(AND(4604&gt;=16,TEXT(A4606,"yyyy-mm")&lt;&gt;TEXT(A4607,"yyyy-mm")),1,0)</f>
        <v/>
      </c>
      <c r="H4606">
        <f>IF(OR(H4605=1,G4606=1),1,0)</f>
        <v/>
      </c>
      <c r="I4606">
        <f>IF(H4605=0,1,SUMPRODUCT(J4605:N4605,B4606:F4606)+O4605*(1+0.00023125256064071564))</f>
        <v/>
      </c>
      <c r="J4606">
        <f>IF(G4606=1,0.2*R4606/B4606,J4605)</f>
        <v/>
      </c>
      <c r="K4606">
        <f>IF(G4606=1,0.2*R4606/C4606,K4605)</f>
        <v/>
      </c>
      <c r="L4606">
        <f>IF(G4606=1,0.2*R4606/D4606,L4605)</f>
        <v/>
      </c>
      <c r="M4606">
        <f>IF(G4606=1,0.2*R4606/E4606,M4605)</f>
        <v/>
      </c>
      <c r="N4606">
        <f>IF(G4606=1,0.2*R4606/F4606,N4605)</f>
        <v/>
      </c>
      <c r="O4606">
        <f>IF(G4606=1,R4606*(1-1.0),IF(H4605=0,1,O4605*(1+0.00023125256064071564)))</f>
        <v/>
      </c>
      <c r="P4606">
        <f>IF(G4606=1,IF(H4605=0,1,ABS(0.2-J4605*B4606/I4606)+ABS(0.2-K4605*C4606/I4606)+ABS(0.2-L4605*D4606/I4606)+ABS(0.2-M4605*E4606/I4606)+ABS(0.2-N4605*F4606/I4606)),0)</f>
        <v/>
      </c>
      <c r="Q4606">
        <f>P4606*0.0015</f>
        <v/>
      </c>
      <c r="R4606">
        <f>I4606*(1-Q4606)</f>
        <v/>
      </c>
      <c r="S4606">
        <f>R4606/R4605-1</f>
        <v/>
      </c>
      <c r="T4606">
        <f>MAX(T4605,R4606)</f>
        <v/>
      </c>
      <c r="U4606">
        <f>R4606/T4606-1</f>
        <v/>
      </c>
      <c r="V4606" t="n">
        <v>19.31928389127384</v>
      </c>
      <c r="W4606" s="5">
        <f>R4606-V4606</f>
        <v/>
      </c>
    </row>
    <row r="4607">
      <c r="A4607" s="3" t="n">
        <v>45225</v>
      </c>
      <c r="B4607">
        <f>Prices!B4607</f>
        <v/>
      </c>
      <c r="C4607">
        <f>Prices!C4607</f>
        <v/>
      </c>
      <c r="D4607">
        <f>Prices!D4607</f>
        <v/>
      </c>
      <c r="E4607">
        <f>Prices!E4607</f>
        <v/>
      </c>
      <c r="F4607">
        <f>Prices!F4607</f>
        <v/>
      </c>
      <c r="G4607">
        <f>IF(AND(4605&gt;=16,TEXT(A4607,"yyyy-mm")&lt;&gt;TEXT(A4608,"yyyy-mm")),1,0)</f>
        <v/>
      </c>
      <c r="H4607">
        <f>IF(OR(H4606=1,G4607=1),1,0)</f>
        <v/>
      </c>
      <c r="I4607">
        <f>IF(H4606=0,1,SUMPRODUCT(J4606:N4606,B4607:F4607)+O4606*(1+0.00023125256064071564))</f>
        <v/>
      </c>
      <c r="J4607">
        <f>IF(G4607=1,0.2*R4607/B4607,J4606)</f>
        <v/>
      </c>
      <c r="K4607">
        <f>IF(G4607=1,0.2*R4607/C4607,K4606)</f>
        <v/>
      </c>
      <c r="L4607">
        <f>IF(G4607=1,0.2*R4607/D4607,L4606)</f>
        <v/>
      </c>
      <c r="M4607">
        <f>IF(G4607=1,0.2*R4607/E4607,M4606)</f>
        <v/>
      </c>
      <c r="N4607">
        <f>IF(G4607=1,0.2*R4607/F4607,N4606)</f>
        <v/>
      </c>
      <c r="O4607">
        <f>IF(G4607=1,R4607*(1-1.0),IF(H4606=0,1,O4606*(1+0.00023125256064071564)))</f>
        <v/>
      </c>
      <c r="P4607">
        <f>IF(G4607=1,IF(H4606=0,1,ABS(0.2-J4606*B4607/I4607)+ABS(0.2-K4606*C4607/I4607)+ABS(0.2-L4606*D4607/I4607)+ABS(0.2-M4606*E4607/I4607)+ABS(0.2-N4606*F4607/I4607)),0)</f>
        <v/>
      </c>
      <c r="Q4607">
        <f>P4607*0.0015</f>
        <v/>
      </c>
      <c r="R4607">
        <f>I4607*(1-Q4607)</f>
        <v/>
      </c>
      <c r="S4607">
        <f>R4607/R4606-1</f>
        <v/>
      </c>
      <c r="T4607">
        <f>MAX(T4606,R4607)</f>
        <v/>
      </c>
      <c r="U4607">
        <f>R4607/T4607-1</f>
        <v/>
      </c>
      <c r="V4607" t="n">
        <v>19.12413945692983</v>
      </c>
      <c r="W4607" s="5">
        <f>R4607-V4607</f>
        <v/>
      </c>
    </row>
    <row r="4608">
      <c r="A4608" s="3" t="n">
        <v>45226</v>
      </c>
      <c r="B4608">
        <f>Prices!B4608</f>
        <v/>
      </c>
      <c r="C4608">
        <f>Prices!C4608</f>
        <v/>
      </c>
      <c r="D4608">
        <f>Prices!D4608</f>
        <v/>
      </c>
      <c r="E4608">
        <f>Prices!E4608</f>
        <v/>
      </c>
      <c r="F4608">
        <f>Prices!F4608</f>
        <v/>
      </c>
      <c r="G4608">
        <f>IF(AND(4606&gt;=16,TEXT(A4608,"yyyy-mm")&lt;&gt;TEXT(A4609,"yyyy-mm")),1,0)</f>
        <v/>
      </c>
      <c r="H4608">
        <f>IF(OR(H4607=1,G4608=1),1,0)</f>
        <v/>
      </c>
      <c r="I4608">
        <f>IF(H4607=0,1,SUMPRODUCT(J4607:N4607,B4608:F4608)+O4607*(1+0.00023125256064071564))</f>
        <v/>
      </c>
      <c r="J4608">
        <f>IF(G4608=1,0.2*R4608/B4608,J4607)</f>
        <v/>
      </c>
      <c r="K4608">
        <f>IF(G4608=1,0.2*R4608/C4608,K4607)</f>
        <v/>
      </c>
      <c r="L4608">
        <f>IF(G4608=1,0.2*R4608/D4608,L4607)</f>
        <v/>
      </c>
      <c r="M4608">
        <f>IF(G4608=1,0.2*R4608/E4608,M4607)</f>
        <v/>
      </c>
      <c r="N4608">
        <f>IF(G4608=1,0.2*R4608/F4608,N4607)</f>
        <v/>
      </c>
      <c r="O4608">
        <f>IF(G4608=1,R4608*(1-1.0),IF(H4607=0,1,O4607*(1+0.00023125256064071564)))</f>
        <v/>
      </c>
      <c r="P4608">
        <f>IF(G4608=1,IF(H4607=0,1,ABS(0.2-J4607*B4608/I4608)+ABS(0.2-K4607*C4608/I4608)+ABS(0.2-L4607*D4608/I4608)+ABS(0.2-M4607*E4608/I4608)+ABS(0.2-N4607*F4608/I4608)),0)</f>
        <v/>
      </c>
      <c r="Q4608">
        <f>P4608*0.0015</f>
        <v/>
      </c>
      <c r="R4608">
        <f>I4608*(1-Q4608)</f>
        <v/>
      </c>
      <c r="S4608">
        <f>R4608/R4607-1</f>
        <v/>
      </c>
      <c r="T4608">
        <f>MAX(T4607,R4608)</f>
        <v/>
      </c>
      <c r="U4608">
        <f>R4608/T4608-1</f>
        <v/>
      </c>
      <c r="V4608" t="n">
        <v>19.47519201500058</v>
      </c>
      <c r="W4608" s="5">
        <f>R4608-V4608</f>
        <v/>
      </c>
    </row>
    <row r="4609">
      <c r="A4609" s="3" t="n">
        <v>45229</v>
      </c>
      <c r="B4609">
        <f>Prices!B4609</f>
        <v/>
      </c>
      <c r="C4609">
        <f>Prices!C4609</f>
        <v/>
      </c>
      <c r="D4609">
        <f>Prices!D4609</f>
        <v/>
      </c>
      <c r="E4609">
        <f>Prices!E4609</f>
        <v/>
      </c>
      <c r="F4609">
        <f>Prices!F4609</f>
        <v/>
      </c>
      <c r="G4609">
        <f>IF(AND(4607&gt;=16,TEXT(A4609,"yyyy-mm")&lt;&gt;TEXT(A4610,"yyyy-mm")),1,0)</f>
        <v/>
      </c>
      <c r="H4609">
        <f>IF(OR(H4608=1,G4609=1),1,0)</f>
        <v/>
      </c>
      <c r="I4609">
        <f>IF(H4608=0,1,SUMPRODUCT(J4608:N4608,B4609:F4609)+O4608*(1+0.00023125256064071564))</f>
        <v/>
      </c>
      <c r="J4609">
        <f>IF(G4609=1,0.2*R4609/B4609,J4608)</f>
        <v/>
      </c>
      <c r="K4609">
        <f>IF(G4609=1,0.2*R4609/C4609,K4608)</f>
        <v/>
      </c>
      <c r="L4609">
        <f>IF(G4609=1,0.2*R4609/D4609,L4608)</f>
        <v/>
      </c>
      <c r="M4609">
        <f>IF(G4609=1,0.2*R4609/E4609,M4608)</f>
        <v/>
      </c>
      <c r="N4609">
        <f>IF(G4609=1,0.2*R4609/F4609,N4608)</f>
        <v/>
      </c>
      <c r="O4609">
        <f>IF(G4609=1,R4609*(1-1.0),IF(H4608=0,1,O4608*(1+0.00023125256064071564)))</f>
        <v/>
      </c>
      <c r="P4609">
        <f>IF(G4609=1,IF(H4608=0,1,ABS(0.2-J4608*B4609/I4609)+ABS(0.2-K4608*C4609/I4609)+ABS(0.2-L4608*D4609/I4609)+ABS(0.2-M4608*E4609/I4609)+ABS(0.2-N4608*F4609/I4609)),0)</f>
        <v/>
      </c>
      <c r="Q4609">
        <f>P4609*0.0015</f>
        <v/>
      </c>
      <c r="R4609">
        <f>I4609*(1-Q4609)</f>
        <v/>
      </c>
      <c r="S4609">
        <f>R4609/R4608-1</f>
        <v/>
      </c>
      <c r="T4609">
        <f>MAX(T4608,R4609)</f>
        <v/>
      </c>
      <c r="U4609">
        <f>R4609/T4609-1</f>
        <v/>
      </c>
      <c r="V4609" t="n">
        <v>19.47733244573832</v>
      </c>
      <c r="W4609" s="5">
        <f>R4609-V4609</f>
        <v/>
      </c>
    </row>
    <row r="4610">
      <c r="A4610" s="3" t="n">
        <v>45230</v>
      </c>
      <c r="B4610">
        <f>Prices!B4610</f>
        <v/>
      </c>
      <c r="C4610">
        <f>Prices!C4610</f>
        <v/>
      </c>
      <c r="D4610">
        <f>Prices!D4610</f>
        <v/>
      </c>
      <c r="E4610">
        <f>Prices!E4610</f>
        <v/>
      </c>
      <c r="F4610">
        <f>Prices!F4610</f>
        <v/>
      </c>
      <c r="G4610">
        <f>IF(AND(4608&gt;=16,TEXT(A4610,"yyyy-mm")&lt;&gt;TEXT(A4611,"yyyy-mm")),1,0)</f>
        <v/>
      </c>
      <c r="H4610">
        <f>IF(OR(H4609=1,G4610=1),1,0)</f>
        <v/>
      </c>
      <c r="I4610">
        <f>IF(H4609=0,1,SUMPRODUCT(J4609:N4609,B4610:F4610)+O4609*(1+0.00023125256064071564))</f>
        <v/>
      </c>
      <c r="J4610">
        <f>IF(G4610=1,0.2*R4610/B4610,J4609)</f>
        <v/>
      </c>
      <c r="K4610">
        <f>IF(G4610=1,0.2*R4610/C4610,K4609)</f>
        <v/>
      </c>
      <c r="L4610">
        <f>IF(G4610=1,0.2*R4610/D4610,L4609)</f>
        <v/>
      </c>
      <c r="M4610">
        <f>IF(G4610=1,0.2*R4610/E4610,M4609)</f>
        <v/>
      </c>
      <c r="N4610">
        <f>IF(G4610=1,0.2*R4610/F4610,N4609)</f>
        <v/>
      </c>
      <c r="O4610">
        <f>IF(G4610=1,R4610*(1-1.0),IF(H4609=0,1,O4609*(1+0.00023125256064071564)))</f>
        <v/>
      </c>
      <c r="P4610">
        <f>IF(G4610=1,IF(H4609=0,1,ABS(0.2-J4609*B4610/I4610)+ABS(0.2-K4609*C4610/I4610)+ABS(0.2-L4609*D4610/I4610)+ABS(0.2-M4609*E4610/I4610)+ABS(0.2-N4609*F4610/I4610)),0)</f>
        <v/>
      </c>
      <c r="Q4610">
        <f>P4610*0.0015</f>
        <v/>
      </c>
      <c r="R4610">
        <f>I4610*(1-Q4610)</f>
        <v/>
      </c>
      <c r="S4610">
        <f>R4610/R4609-1</f>
        <v/>
      </c>
      <c r="T4610">
        <f>MAX(T4609,R4610)</f>
        <v/>
      </c>
      <c r="U4610">
        <f>R4610/T4610-1</f>
        <v/>
      </c>
      <c r="V4610" t="n">
        <v>19.52897324274547</v>
      </c>
      <c r="W4610" s="5">
        <f>R4610-V4610</f>
        <v/>
      </c>
    </row>
    <row r="4611">
      <c r="A4611" s="3" t="n">
        <v>45231</v>
      </c>
      <c r="B4611">
        <f>Prices!B4611</f>
        <v/>
      </c>
      <c r="C4611">
        <f>Prices!C4611</f>
        <v/>
      </c>
      <c r="D4611">
        <f>Prices!D4611</f>
        <v/>
      </c>
      <c r="E4611">
        <f>Prices!E4611</f>
        <v/>
      </c>
      <c r="F4611">
        <f>Prices!F4611</f>
        <v/>
      </c>
      <c r="G4611">
        <f>IF(AND(4609&gt;=16,TEXT(A4611,"yyyy-mm")&lt;&gt;TEXT(A4612,"yyyy-mm")),1,0)</f>
        <v/>
      </c>
      <c r="H4611">
        <f>IF(OR(H4610=1,G4611=1),1,0)</f>
        <v/>
      </c>
      <c r="I4611">
        <f>IF(H4610=0,1,SUMPRODUCT(J4610:N4610,B4611:F4611)+O4610*(1+0.00023125256064071564))</f>
        <v/>
      </c>
      <c r="J4611">
        <f>IF(G4611=1,0.2*R4611/B4611,J4610)</f>
        <v/>
      </c>
      <c r="K4611">
        <f>IF(G4611=1,0.2*R4611/C4611,K4610)</f>
        <v/>
      </c>
      <c r="L4611">
        <f>IF(G4611=1,0.2*R4611/D4611,L4610)</f>
        <v/>
      </c>
      <c r="M4611">
        <f>IF(G4611=1,0.2*R4611/E4611,M4610)</f>
        <v/>
      </c>
      <c r="N4611">
        <f>IF(G4611=1,0.2*R4611/F4611,N4610)</f>
        <v/>
      </c>
      <c r="O4611">
        <f>IF(G4611=1,R4611*(1-1.0),IF(H4610=0,1,O4610*(1+0.00023125256064071564)))</f>
        <v/>
      </c>
      <c r="P4611">
        <f>IF(G4611=1,IF(H4610=0,1,ABS(0.2-J4610*B4611/I4611)+ABS(0.2-K4610*C4611/I4611)+ABS(0.2-L4610*D4611/I4611)+ABS(0.2-M4610*E4611/I4611)+ABS(0.2-N4610*F4611/I4611)),0)</f>
        <v/>
      </c>
      <c r="Q4611">
        <f>P4611*0.0015</f>
        <v/>
      </c>
      <c r="R4611">
        <f>I4611*(1-Q4611)</f>
        <v/>
      </c>
      <c r="S4611">
        <f>R4611/R4610-1</f>
        <v/>
      </c>
      <c r="T4611">
        <f>MAX(T4610,R4611)</f>
        <v/>
      </c>
      <c r="U4611">
        <f>R4611/T4611-1</f>
        <v/>
      </c>
      <c r="V4611" t="n">
        <v>19.44970725333384</v>
      </c>
      <c r="W4611" s="5">
        <f>R4611-V4611</f>
        <v/>
      </c>
    </row>
    <row r="4612">
      <c r="A4612" s="3" t="n">
        <v>45232</v>
      </c>
      <c r="B4612">
        <f>Prices!B4612</f>
        <v/>
      </c>
      <c r="C4612">
        <f>Prices!C4612</f>
        <v/>
      </c>
      <c r="D4612">
        <f>Prices!D4612</f>
        <v/>
      </c>
      <c r="E4612">
        <f>Prices!E4612</f>
        <v/>
      </c>
      <c r="F4612">
        <f>Prices!F4612</f>
        <v/>
      </c>
      <c r="G4612">
        <f>IF(AND(4610&gt;=16,TEXT(A4612,"yyyy-mm")&lt;&gt;TEXT(A4613,"yyyy-mm")),1,0)</f>
        <v/>
      </c>
      <c r="H4612">
        <f>IF(OR(H4611=1,G4612=1),1,0)</f>
        <v/>
      </c>
      <c r="I4612">
        <f>IF(H4611=0,1,SUMPRODUCT(J4611:N4611,B4612:F4612)+O4611*(1+0.00023125256064071564))</f>
        <v/>
      </c>
      <c r="J4612">
        <f>IF(G4612=1,0.2*R4612/B4612,J4611)</f>
        <v/>
      </c>
      <c r="K4612">
        <f>IF(G4612=1,0.2*R4612/C4612,K4611)</f>
        <v/>
      </c>
      <c r="L4612">
        <f>IF(G4612=1,0.2*R4612/D4612,L4611)</f>
        <v/>
      </c>
      <c r="M4612">
        <f>IF(G4612=1,0.2*R4612/E4612,M4611)</f>
        <v/>
      </c>
      <c r="N4612">
        <f>IF(G4612=1,0.2*R4612/F4612,N4611)</f>
        <v/>
      </c>
      <c r="O4612">
        <f>IF(G4612=1,R4612*(1-1.0),IF(H4611=0,1,O4611*(1+0.00023125256064071564)))</f>
        <v/>
      </c>
      <c r="P4612">
        <f>IF(G4612=1,IF(H4611=0,1,ABS(0.2-J4611*B4612/I4612)+ABS(0.2-K4611*C4612/I4612)+ABS(0.2-L4611*D4612/I4612)+ABS(0.2-M4611*E4612/I4612)+ABS(0.2-N4611*F4612/I4612)),0)</f>
        <v/>
      </c>
      <c r="Q4612">
        <f>P4612*0.0015</f>
        <v/>
      </c>
      <c r="R4612">
        <f>I4612*(1-Q4612)</f>
        <v/>
      </c>
      <c r="S4612">
        <f>R4612/R4611-1</f>
        <v/>
      </c>
      <c r="T4612">
        <f>MAX(T4611,R4612)</f>
        <v/>
      </c>
      <c r="U4612">
        <f>R4612/T4612-1</f>
        <v/>
      </c>
      <c r="V4612" t="n">
        <v>19.73676822520359</v>
      </c>
      <c r="W4612" s="5">
        <f>R4612-V4612</f>
        <v/>
      </c>
    </row>
    <row r="4613">
      <c r="A4613" s="3" t="n">
        <v>45233</v>
      </c>
      <c r="B4613">
        <f>Prices!B4613</f>
        <v/>
      </c>
      <c r="C4613">
        <f>Prices!C4613</f>
        <v/>
      </c>
      <c r="D4613">
        <f>Prices!D4613</f>
        <v/>
      </c>
      <c r="E4613">
        <f>Prices!E4613</f>
        <v/>
      </c>
      <c r="F4613">
        <f>Prices!F4613</f>
        <v/>
      </c>
      <c r="G4613">
        <f>IF(AND(4611&gt;=16,TEXT(A4613,"yyyy-mm")&lt;&gt;TEXT(A4614,"yyyy-mm")),1,0)</f>
        <v/>
      </c>
      <c r="H4613">
        <f>IF(OR(H4612=1,G4613=1),1,0)</f>
        <v/>
      </c>
      <c r="I4613">
        <f>IF(H4612=0,1,SUMPRODUCT(J4612:N4612,B4613:F4613)+O4612*(1+0.00023125256064071564))</f>
        <v/>
      </c>
      <c r="J4613">
        <f>IF(G4613=1,0.2*R4613/B4613,J4612)</f>
        <v/>
      </c>
      <c r="K4613">
        <f>IF(G4613=1,0.2*R4613/C4613,K4612)</f>
        <v/>
      </c>
      <c r="L4613">
        <f>IF(G4613=1,0.2*R4613/D4613,L4612)</f>
        <v/>
      </c>
      <c r="M4613">
        <f>IF(G4613=1,0.2*R4613/E4613,M4612)</f>
        <v/>
      </c>
      <c r="N4613">
        <f>IF(G4613=1,0.2*R4613/F4613,N4612)</f>
        <v/>
      </c>
      <c r="O4613">
        <f>IF(G4613=1,R4613*(1-1.0),IF(H4612=0,1,O4612*(1+0.00023125256064071564)))</f>
        <v/>
      </c>
      <c r="P4613">
        <f>IF(G4613=1,IF(H4612=0,1,ABS(0.2-J4612*B4613/I4613)+ABS(0.2-K4612*C4613/I4613)+ABS(0.2-L4612*D4613/I4613)+ABS(0.2-M4612*E4613/I4613)+ABS(0.2-N4612*F4613/I4613)),0)</f>
        <v/>
      </c>
      <c r="Q4613">
        <f>P4613*0.0015</f>
        <v/>
      </c>
      <c r="R4613">
        <f>I4613*(1-Q4613)</f>
        <v/>
      </c>
      <c r="S4613">
        <f>R4613/R4612-1</f>
        <v/>
      </c>
      <c r="T4613">
        <f>MAX(T4612,R4613)</f>
        <v/>
      </c>
      <c r="U4613">
        <f>R4613/T4613-1</f>
        <v/>
      </c>
      <c r="V4613" t="n">
        <v>19.86657413595342</v>
      </c>
      <c r="W4613" s="5">
        <f>R4613-V4613</f>
        <v/>
      </c>
    </row>
    <row r="4614">
      <c r="A4614" s="3" t="n">
        <v>45236</v>
      </c>
      <c r="B4614">
        <f>Prices!B4614</f>
        <v/>
      </c>
      <c r="C4614">
        <f>Prices!C4614</f>
        <v/>
      </c>
      <c r="D4614">
        <f>Prices!D4614</f>
        <v/>
      </c>
      <c r="E4614">
        <f>Prices!E4614</f>
        <v/>
      </c>
      <c r="F4614">
        <f>Prices!F4614</f>
        <v/>
      </c>
      <c r="G4614">
        <f>IF(AND(4612&gt;=16,TEXT(A4614,"yyyy-mm")&lt;&gt;TEXT(A4615,"yyyy-mm")),1,0)</f>
        <v/>
      </c>
      <c r="H4614">
        <f>IF(OR(H4613=1,G4614=1),1,0)</f>
        <v/>
      </c>
      <c r="I4614">
        <f>IF(H4613=0,1,SUMPRODUCT(J4613:N4613,B4614:F4614)+O4613*(1+0.00023125256064071564))</f>
        <v/>
      </c>
      <c r="J4614">
        <f>IF(G4614=1,0.2*R4614/B4614,J4613)</f>
        <v/>
      </c>
      <c r="K4614">
        <f>IF(G4614=1,0.2*R4614/C4614,K4613)</f>
        <v/>
      </c>
      <c r="L4614">
        <f>IF(G4614=1,0.2*R4614/D4614,L4613)</f>
        <v/>
      </c>
      <c r="M4614">
        <f>IF(G4614=1,0.2*R4614/E4614,M4613)</f>
        <v/>
      </c>
      <c r="N4614">
        <f>IF(G4614=1,0.2*R4614/F4614,N4613)</f>
        <v/>
      </c>
      <c r="O4614">
        <f>IF(G4614=1,R4614*(1-1.0),IF(H4613=0,1,O4613*(1+0.00023125256064071564)))</f>
        <v/>
      </c>
      <c r="P4614">
        <f>IF(G4614=1,IF(H4613=0,1,ABS(0.2-J4613*B4614/I4614)+ABS(0.2-K4613*C4614/I4614)+ABS(0.2-L4613*D4614/I4614)+ABS(0.2-M4613*E4614/I4614)+ABS(0.2-N4613*F4614/I4614)),0)</f>
        <v/>
      </c>
      <c r="Q4614">
        <f>P4614*0.0015</f>
        <v/>
      </c>
      <c r="R4614">
        <f>I4614*(1-Q4614)</f>
        <v/>
      </c>
      <c r="S4614">
        <f>R4614/R4613-1</f>
        <v/>
      </c>
      <c r="T4614">
        <f>MAX(T4613,R4614)</f>
        <v/>
      </c>
      <c r="U4614">
        <f>R4614/T4614-1</f>
        <v/>
      </c>
      <c r="V4614" t="n">
        <v>20.02719296979519</v>
      </c>
      <c r="W4614" s="5">
        <f>R4614-V4614</f>
        <v/>
      </c>
    </row>
    <row r="4615">
      <c r="A4615" s="3" t="n">
        <v>45237</v>
      </c>
      <c r="B4615">
        <f>Prices!B4615</f>
        <v/>
      </c>
      <c r="C4615">
        <f>Prices!C4615</f>
        <v/>
      </c>
      <c r="D4615">
        <f>Prices!D4615</f>
        <v/>
      </c>
      <c r="E4615">
        <f>Prices!E4615</f>
        <v/>
      </c>
      <c r="F4615">
        <f>Prices!F4615</f>
        <v/>
      </c>
      <c r="G4615">
        <f>IF(AND(4613&gt;=16,TEXT(A4615,"yyyy-mm")&lt;&gt;TEXT(A4616,"yyyy-mm")),1,0)</f>
        <v/>
      </c>
      <c r="H4615">
        <f>IF(OR(H4614=1,G4615=1),1,0)</f>
        <v/>
      </c>
      <c r="I4615">
        <f>IF(H4614=0,1,SUMPRODUCT(J4614:N4614,B4615:F4615)+O4614*(1+0.00023125256064071564))</f>
        <v/>
      </c>
      <c r="J4615">
        <f>IF(G4615=1,0.2*R4615/B4615,J4614)</f>
        <v/>
      </c>
      <c r="K4615">
        <f>IF(G4615=1,0.2*R4615/C4615,K4614)</f>
        <v/>
      </c>
      <c r="L4615">
        <f>IF(G4615=1,0.2*R4615/D4615,L4614)</f>
        <v/>
      </c>
      <c r="M4615">
        <f>IF(G4615=1,0.2*R4615/E4615,M4614)</f>
        <v/>
      </c>
      <c r="N4615">
        <f>IF(G4615=1,0.2*R4615/F4615,N4614)</f>
        <v/>
      </c>
      <c r="O4615">
        <f>IF(G4615=1,R4615*(1-1.0),IF(H4614=0,1,O4614*(1+0.00023125256064071564)))</f>
        <v/>
      </c>
      <c r="P4615">
        <f>IF(G4615=1,IF(H4614=0,1,ABS(0.2-J4614*B4615/I4615)+ABS(0.2-K4614*C4615/I4615)+ABS(0.2-L4614*D4615/I4615)+ABS(0.2-M4614*E4615/I4615)+ABS(0.2-N4614*F4615/I4615)),0)</f>
        <v/>
      </c>
      <c r="Q4615">
        <f>P4615*0.0015</f>
        <v/>
      </c>
      <c r="R4615">
        <f>I4615*(1-Q4615)</f>
        <v/>
      </c>
      <c r="S4615">
        <f>R4615/R4614-1</f>
        <v/>
      </c>
      <c r="T4615">
        <f>MAX(T4614,R4615)</f>
        <v/>
      </c>
      <c r="U4615">
        <f>R4615/T4615-1</f>
        <v/>
      </c>
      <c r="V4615" t="n">
        <v>20.13800514347131</v>
      </c>
      <c r="W4615" s="5">
        <f>R4615-V4615</f>
        <v/>
      </c>
    </row>
    <row r="4616">
      <c r="A4616" s="3" t="n">
        <v>45238</v>
      </c>
      <c r="B4616">
        <f>Prices!B4616</f>
        <v/>
      </c>
      <c r="C4616">
        <f>Prices!C4616</f>
        <v/>
      </c>
      <c r="D4616">
        <f>Prices!D4616</f>
        <v/>
      </c>
      <c r="E4616">
        <f>Prices!E4616</f>
        <v/>
      </c>
      <c r="F4616">
        <f>Prices!F4616</f>
        <v/>
      </c>
      <c r="G4616">
        <f>IF(AND(4614&gt;=16,TEXT(A4616,"yyyy-mm")&lt;&gt;TEXT(A4617,"yyyy-mm")),1,0)</f>
        <v/>
      </c>
      <c r="H4616">
        <f>IF(OR(H4615=1,G4616=1),1,0)</f>
        <v/>
      </c>
      <c r="I4616">
        <f>IF(H4615=0,1,SUMPRODUCT(J4615:N4615,B4616:F4616)+O4615*(1+0.00023125256064071564))</f>
        <v/>
      </c>
      <c r="J4616">
        <f>IF(G4616=1,0.2*R4616/B4616,J4615)</f>
        <v/>
      </c>
      <c r="K4616">
        <f>IF(G4616=1,0.2*R4616/C4616,K4615)</f>
        <v/>
      </c>
      <c r="L4616">
        <f>IF(G4616=1,0.2*R4616/D4616,L4615)</f>
        <v/>
      </c>
      <c r="M4616">
        <f>IF(G4616=1,0.2*R4616/E4616,M4615)</f>
        <v/>
      </c>
      <c r="N4616">
        <f>IF(G4616=1,0.2*R4616/F4616,N4615)</f>
        <v/>
      </c>
      <c r="O4616">
        <f>IF(G4616=1,R4616*(1-1.0),IF(H4615=0,1,O4615*(1+0.00023125256064071564)))</f>
        <v/>
      </c>
      <c r="P4616">
        <f>IF(G4616=1,IF(H4615=0,1,ABS(0.2-J4615*B4616/I4616)+ABS(0.2-K4615*C4616/I4616)+ABS(0.2-L4615*D4616/I4616)+ABS(0.2-M4615*E4616/I4616)+ABS(0.2-N4615*F4616/I4616)),0)</f>
        <v/>
      </c>
      <c r="Q4616">
        <f>P4616*0.0015</f>
        <v/>
      </c>
      <c r="R4616">
        <f>I4616*(1-Q4616)</f>
        <v/>
      </c>
      <c r="S4616">
        <f>R4616/R4615-1</f>
        <v/>
      </c>
      <c r="T4616">
        <f>MAX(T4615,R4616)</f>
        <v/>
      </c>
      <c r="U4616">
        <f>R4616/T4616-1</f>
        <v/>
      </c>
      <c r="V4616" t="n">
        <v>20.2986583766768</v>
      </c>
      <c r="W4616" s="5">
        <f>R4616-V4616</f>
        <v/>
      </c>
    </row>
    <row r="4617">
      <c r="A4617" s="3" t="n">
        <v>45239</v>
      </c>
      <c r="B4617">
        <f>Prices!B4617</f>
        <v/>
      </c>
      <c r="C4617">
        <f>Prices!C4617</f>
        <v/>
      </c>
      <c r="D4617">
        <f>Prices!D4617</f>
        <v/>
      </c>
      <c r="E4617">
        <f>Prices!E4617</f>
        <v/>
      </c>
      <c r="F4617">
        <f>Prices!F4617</f>
        <v/>
      </c>
      <c r="G4617">
        <f>IF(AND(4615&gt;=16,TEXT(A4617,"yyyy-mm")&lt;&gt;TEXT(A4618,"yyyy-mm")),1,0)</f>
        <v/>
      </c>
      <c r="H4617">
        <f>IF(OR(H4616=1,G4617=1),1,0)</f>
        <v/>
      </c>
      <c r="I4617">
        <f>IF(H4616=0,1,SUMPRODUCT(J4616:N4616,B4617:F4617)+O4616*(1+0.00023125256064071564))</f>
        <v/>
      </c>
      <c r="J4617">
        <f>IF(G4617=1,0.2*R4617/B4617,J4616)</f>
        <v/>
      </c>
      <c r="K4617">
        <f>IF(G4617=1,0.2*R4617/C4617,K4616)</f>
        <v/>
      </c>
      <c r="L4617">
        <f>IF(G4617=1,0.2*R4617/D4617,L4616)</f>
        <v/>
      </c>
      <c r="M4617">
        <f>IF(G4617=1,0.2*R4617/E4617,M4616)</f>
        <v/>
      </c>
      <c r="N4617">
        <f>IF(G4617=1,0.2*R4617/F4617,N4616)</f>
        <v/>
      </c>
      <c r="O4617">
        <f>IF(G4617=1,R4617*(1-1.0),IF(H4616=0,1,O4616*(1+0.00023125256064071564)))</f>
        <v/>
      </c>
      <c r="P4617">
        <f>IF(G4617=1,IF(H4616=0,1,ABS(0.2-J4616*B4617/I4617)+ABS(0.2-K4616*C4617/I4617)+ABS(0.2-L4616*D4617/I4617)+ABS(0.2-M4616*E4617/I4617)+ABS(0.2-N4616*F4617/I4617)),0)</f>
        <v/>
      </c>
      <c r="Q4617">
        <f>P4617*0.0015</f>
        <v/>
      </c>
      <c r="R4617">
        <f>I4617*(1-Q4617)</f>
        <v/>
      </c>
      <c r="S4617">
        <f>R4617/R4616-1</f>
        <v/>
      </c>
      <c r="T4617">
        <f>MAX(T4616,R4617)</f>
        <v/>
      </c>
      <c r="U4617">
        <f>R4617/T4617-1</f>
        <v/>
      </c>
      <c r="V4617" t="n">
        <v>20.33032497213738</v>
      </c>
      <c r="W4617" s="5">
        <f>R4617-V4617</f>
        <v/>
      </c>
    </row>
    <row r="4618">
      <c r="A4618" s="3" t="n">
        <v>45240</v>
      </c>
      <c r="B4618">
        <f>Prices!B4618</f>
        <v/>
      </c>
      <c r="C4618">
        <f>Prices!C4618</f>
        <v/>
      </c>
      <c r="D4618">
        <f>Prices!D4618</f>
        <v/>
      </c>
      <c r="E4618">
        <f>Prices!E4618</f>
        <v/>
      </c>
      <c r="F4618">
        <f>Prices!F4618</f>
        <v/>
      </c>
      <c r="G4618">
        <f>IF(AND(4616&gt;=16,TEXT(A4618,"yyyy-mm")&lt;&gt;TEXT(A4619,"yyyy-mm")),1,0)</f>
        <v/>
      </c>
      <c r="H4618">
        <f>IF(OR(H4617=1,G4618=1),1,0)</f>
        <v/>
      </c>
      <c r="I4618">
        <f>IF(H4617=0,1,SUMPRODUCT(J4617:N4617,B4618:F4618)+O4617*(1+0.00023125256064071564))</f>
        <v/>
      </c>
      <c r="J4618">
        <f>IF(G4618=1,0.2*R4618/B4618,J4617)</f>
        <v/>
      </c>
      <c r="K4618">
        <f>IF(G4618=1,0.2*R4618/C4618,K4617)</f>
        <v/>
      </c>
      <c r="L4618">
        <f>IF(G4618=1,0.2*R4618/D4618,L4617)</f>
        <v/>
      </c>
      <c r="M4618">
        <f>IF(G4618=1,0.2*R4618/E4618,M4617)</f>
        <v/>
      </c>
      <c r="N4618">
        <f>IF(G4618=1,0.2*R4618/F4618,N4617)</f>
        <v/>
      </c>
      <c r="O4618">
        <f>IF(G4618=1,R4618*(1-1.0),IF(H4617=0,1,O4617*(1+0.00023125256064071564)))</f>
        <v/>
      </c>
      <c r="P4618">
        <f>IF(G4618=1,IF(H4617=0,1,ABS(0.2-J4617*B4618/I4618)+ABS(0.2-K4617*C4618/I4618)+ABS(0.2-L4617*D4618/I4618)+ABS(0.2-M4617*E4618/I4618)+ABS(0.2-N4617*F4618/I4618)),0)</f>
        <v/>
      </c>
      <c r="Q4618">
        <f>P4618*0.0015</f>
        <v/>
      </c>
      <c r="R4618">
        <f>I4618*(1-Q4618)</f>
        <v/>
      </c>
      <c r="S4618">
        <f>R4618/R4617-1</f>
        <v/>
      </c>
      <c r="T4618">
        <f>MAX(T4617,R4618)</f>
        <v/>
      </c>
      <c r="U4618">
        <f>R4618/T4618-1</f>
        <v/>
      </c>
      <c r="V4618" t="n">
        <v>20.4455070920047</v>
      </c>
      <c r="W4618" s="5">
        <f>R4618-V4618</f>
        <v/>
      </c>
    </row>
    <row r="4619">
      <c r="A4619" s="3" t="n">
        <v>45242</v>
      </c>
      <c r="B4619">
        <f>Prices!B4619</f>
        <v/>
      </c>
      <c r="C4619">
        <f>Prices!C4619</f>
        <v/>
      </c>
      <c r="D4619">
        <f>Prices!D4619</f>
        <v/>
      </c>
      <c r="E4619">
        <f>Prices!E4619</f>
        <v/>
      </c>
      <c r="F4619">
        <f>Prices!F4619</f>
        <v/>
      </c>
      <c r="G4619">
        <f>IF(AND(4617&gt;=16,TEXT(A4619,"yyyy-mm")&lt;&gt;TEXT(A4620,"yyyy-mm")),1,0)</f>
        <v/>
      </c>
      <c r="H4619">
        <f>IF(OR(H4618=1,G4619=1),1,0)</f>
        <v/>
      </c>
      <c r="I4619">
        <f>IF(H4618=0,1,SUMPRODUCT(J4618:N4618,B4619:F4619)+O4618*(1+0.00023125256064071564))</f>
        <v/>
      </c>
      <c r="J4619">
        <f>IF(G4619=1,0.2*R4619/B4619,J4618)</f>
        <v/>
      </c>
      <c r="K4619">
        <f>IF(G4619=1,0.2*R4619/C4619,K4618)</f>
        <v/>
      </c>
      <c r="L4619">
        <f>IF(G4619=1,0.2*R4619/D4619,L4618)</f>
        <v/>
      </c>
      <c r="M4619">
        <f>IF(G4619=1,0.2*R4619/E4619,M4618)</f>
        <v/>
      </c>
      <c r="N4619">
        <f>IF(G4619=1,0.2*R4619/F4619,N4618)</f>
        <v/>
      </c>
      <c r="O4619">
        <f>IF(G4619=1,R4619*(1-1.0),IF(H4618=0,1,O4618*(1+0.00023125256064071564)))</f>
        <v/>
      </c>
      <c r="P4619">
        <f>IF(G4619=1,IF(H4618=0,1,ABS(0.2-J4618*B4619/I4619)+ABS(0.2-K4618*C4619/I4619)+ABS(0.2-L4618*D4619/I4619)+ABS(0.2-M4618*E4619/I4619)+ABS(0.2-N4618*F4619/I4619)),0)</f>
        <v/>
      </c>
      <c r="Q4619">
        <f>P4619*0.0015</f>
        <v/>
      </c>
      <c r="R4619">
        <f>I4619*(1-Q4619)</f>
        <v/>
      </c>
      <c r="S4619">
        <f>R4619/R4618-1</f>
        <v/>
      </c>
      <c r="T4619">
        <f>MAX(T4618,R4619)</f>
        <v/>
      </c>
      <c r="U4619">
        <f>R4619/T4619-1</f>
        <v/>
      </c>
      <c r="V4619" t="n">
        <v>20.60553626452928</v>
      </c>
      <c r="W4619" s="5">
        <f>R4619-V4619</f>
        <v/>
      </c>
    </row>
    <row r="4620">
      <c r="A4620" s="3" t="n">
        <v>45243</v>
      </c>
      <c r="B4620">
        <f>Prices!B4620</f>
        <v/>
      </c>
      <c r="C4620">
        <f>Prices!C4620</f>
        <v/>
      </c>
      <c r="D4620">
        <f>Prices!D4620</f>
        <v/>
      </c>
      <c r="E4620">
        <f>Prices!E4620</f>
        <v/>
      </c>
      <c r="F4620">
        <f>Prices!F4620</f>
        <v/>
      </c>
      <c r="G4620">
        <f>IF(AND(4618&gt;=16,TEXT(A4620,"yyyy-mm")&lt;&gt;TEXT(A4621,"yyyy-mm")),1,0)</f>
        <v/>
      </c>
      <c r="H4620">
        <f>IF(OR(H4619=1,G4620=1),1,0)</f>
        <v/>
      </c>
      <c r="I4620">
        <f>IF(H4619=0,1,SUMPRODUCT(J4619:N4619,B4620:F4620)+O4619*(1+0.00023125256064071564))</f>
        <v/>
      </c>
      <c r="J4620">
        <f>IF(G4620=1,0.2*R4620/B4620,J4619)</f>
        <v/>
      </c>
      <c r="K4620">
        <f>IF(G4620=1,0.2*R4620/C4620,K4619)</f>
        <v/>
      </c>
      <c r="L4620">
        <f>IF(G4620=1,0.2*R4620/D4620,L4619)</f>
        <v/>
      </c>
      <c r="M4620">
        <f>IF(G4620=1,0.2*R4620/E4620,M4619)</f>
        <v/>
      </c>
      <c r="N4620">
        <f>IF(G4620=1,0.2*R4620/F4620,N4619)</f>
        <v/>
      </c>
      <c r="O4620">
        <f>IF(G4620=1,R4620*(1-1.0),IF(H4619=0,1,O4619*(1+0.00023125256064071564)))</f>
        <v/>
      </c>
      <c r="P4620">
        <f>IF(G4620=1,IF(H4619=0,1,ABS(0.2-J4619*B4620/I4620)+ABS(0.2-K4619*C4620/I4620)+ABS(0.2-L4619*D4620/I4620)+ABS(0.2-M4619*E4620/I4620)+ABS(0.2-N4619*F4620/I4620)),0)</f>
        <v/>
      </c>
      <c r="Q4620">
        <f>P4620*0.0015</f>
        <v/>
      </c>
      <c r="R4620">
        <f>I4620*(1-Q4620)</f>
        <v/>
      </c>
      <c r="S4620">
        <f>R4620/R4619-1</f>
        <v/>
      </c>
      <c r="T4620">
        <f>MAX(T4619,R4620)</f>
        <v/>
      </c>
      <c r="U4620">
        <f>R4620/T4620-1</f>
        <v/>
      </c>
      <c r="V4620" t="n">
        <v>20.68288568217495</v>
      </c>
      <c r="W4620" s="5">
        <f>R4620-V4620</f>
        <v/>
      </c>
    </row>
    <row r="4621">
      <c r="A4621" s="3" t="n">
        <v>45245</v>
      </c>
      <c r="B4621">
        <f>Prices!B4621</f>
        <v/>
      </c>
      <c r="C4621">
        <f>Prices!C4621</f>
        <v/>
      </c>
      <c r="D4621">
        <f>Prices!D4621</f>
        <v/>
      </c>
      <c r="E4621">
        <f>Prices!E4621</f>
        <v/>
      </c>
      <c r="F4621">
        <f>Prices!F4621</f>
        <v/>
      </c>
      <c r="G4621">
        <f>IF(AND(4619&gt;=16,TEXT(A4621,"yyyy-mm")&lt;&gt;TEXT(A4622,"yyyy-mm")),1,0)</f>
        <v/>
      </c>
      <c r="H4621">
        <f>IF(OR(H4620=1,G4621=1),1,0)</f>
        <v/>
      </c>
      <c r="I4621">
        <f>IF(H4620=0,1,SUMPRODUCT(J4620:N4620,B4621:F4621)+O4620*(1+0.00023125256064071564))</f>
        <v/>
      </c>
      <c r="J4621">
        <f>IF(G4621=1,0.2*R4621/B4621,J4620)</f>
        <v/>
      </c>
      <c r="K4621">
        <f>IF(G4621=1,0.2*R4621/C4621,K4620)</f>
        <v/>
      </c>
      <c r="L4621">
        <f>IF(G4621=1,0.2*R4621/D4621,L4620)</f>
        <v/>
      </c>
      <c r="M4621">
        <f>IF(G4621=1,0.2*R4621/E4621,M4620)</f>
        <v/>
      </c>
      <c r="N4621">
        <f>IF(G4621=1,0.2*R4621/F4621,N4620)</f>
        <v/>
      </c>
      <c r="O4621">
        <f>IF(G4621=1,R4621*(1-1.0),IF(H4620=0,1,O4620*(1+0.00023125256064071564)))</f>
        <v/>
      </c>
      <c r="P4621">
        <f>IF(G4621=1,IF(H4620=0,1,ABS(0.2-J4620*B4621/I4621)+ABS(0.2-K4620*C4621/I4621)+ABS(0.2-L4620*D4621/I4621)+ABS(0.2-M4620*E4621/I4621)+ABS(0.2-N4620*F4621/I4621)),0)</f>
        <v/>
      </c>
      <c r="Q4621">
        <f>P4621*0.0015</f>
        <v/>
      </c>
      <c r="R4621">
        <f>I4621*(1-Q4621)</f>
        <v/>
      </c>
      <c r="S4621">
        <f>R4621/R4620-1</f>
        <v/>
      </c>
      <c r="T4621">
        <f>MAX(T4620,R4621)</f>
        <v/>
      </c>
      <c r="U4621">
        <f>R4621/T4621-1</f>
        <v/>
      </c>
      <c r="V4621" t="n">
        <v>20.86733934502484</v>
      </c>
      <c r="W4621" s="5">
        <f>R4621-V4621</f>
        <v/>
      </c>
    </row>
    <row r="4622">
      <c r="A4622" s="3" t="n">
        <v>45246</v>
      </c>
      <c r="B4622">
        <f>Prices!B4622</f>
        <v/>
      </c>
      <c r="C4622">
        <f>Prices!C4622</f>
        <v/>
      </c>
      <c r="D4622">
        <f>Prices!D4622</f>
        <v/>
      </c>
      <c r="E4622">
        <f>Prices!E4622</f>
        <v/>
      </c>
      <c r="F4622">
        <f>Prices!F4622</f>
        <v/>
      </c>
      <c r="G4622">
        <f>IF(AND(4620&gt;=16,TEXT(A4622,"yyyy-mm")&lt;&gt;TEXT(A4623,"yyyy-mm")),1,0)</f>
        <v/>
      </c>
      <c r="H4622">
        <f>IF(OR(H4621=1,G4622=1),1,0)</f>
        <v/>
      </c>
      <c r="I4622">
        <f>IF(H4621=0,1,SUMPRODUCT(J4621:N4621,B4622:F4622)+O4621*(1+0.00023125256064071564))</f>
        <v/>
      </c>
      <c r="J4622">
        <f>IF(G4622=1,0.2*R4622/B4622,J4621)</f>
        <v/>
      </c>
      <c r="K4622">
        <f>IF(G4622=1,0.2*R4622/C4622,K4621)</f>
        <v/>
      </c>
      <c r="L4622">
        <f>IF(G4622=1,0.2*R4622/D4622,L4621)</f>
        <v/>
      </c>
      <c r="M4622">
        <f>IF(G4622=1,0.2*R4622/E4622,M4621)</f>
        <v/>
      </c>
      <c r="N4622">
        <f>IF(G4622=1,0.2*R4622/F4622,N4621)</f>
        <v/>
      </c>
      <c r="O4622">
        <f>IF(G4622=1,R4622*(1-1.0),IF(H4621=0,1,O4621*(1+0.00023125256064071564)))</f>
        <v/>
      </c>
      <c r="P4622">
        <f>IF(G4622=1,IF(H4621=0,1,ABS(0.2-J4621*B4622/I4622)+ABS(0.2-K4621*C4622/I4622)+ABS(0.2-L4621*D4622/I4622)+ABS(0.2-M4621*E4622/I4622)+ABS(0.2-N4621*F4622/I4622)),0)</f>
        <v/>
      </c>
      <c r="Q4622">
        <f>P4622*0.0015</f>
        <v/>
      </c>
      <c r="R4622">
        <f>I4622*(1-Q4622)</f>
        <v/>
      </c>
      <c r="S4622">
        <f>R4622/R4621-1</f>
        <v/>
      </c>
      <c r="T4622">
        <f>MAX(T4621,R4622)</f>
        <v/>
      </c>
      <c r="U4622">
        <f>R4622/T4622-1</f>
        <v/>
      </c>
      <c r="V4622" t="n">
        <v>20.98822638890587</v>
      </c>
      <c r="W4622" s="5">
        <f>R4622-V4622</f>
        <v/>
      </c>
    </row>
    <row r="4623">
      <c r="A4623" s="3" t="n">
        <v>45247</v>
      </c>
      <c r="B4623">
        <f>Prices!B4623</f>
        <v/>
      </c>
      <c r="C4623">
        <f>Prices!C4623</f>
        <v/>
      </c>
      <c r="D4623">
        <f>Prices!D4623</f>
        <v/>
      </c>
      <c r="E4623">
        <f>Prices!E4623</f>
        <v/>
      </c>
      <c r="F4623">
        <f>Prices!F4623</f>
        <v/>
      </c>
      <c r="G4623">
        <f>IF(AND(4621&gt;=16,TEXT(A4623,"yyyy-mm")&lt;&gt;TEXT(A4624,"yyyy-mm")),1,0)</f>
        <v/>
      </c>
      <c r="H4623">
        <f>IF(OR(H4622=1,G4623=1),1,0)</f>
        <v/>
      </c>
      <c r="I4623">
        <f>IF(H4622=0,1,SUMPRODUCT(J4622:N4622,B4623:F4623)+O4622*(1+0.00023125256064071564))</f>
        <v/>
      </c>
      <c r="J4623">
        <f>IF(G4623=1,0.2*R4623/B4623,J4622)</f>
        <v/>
      </c>
      <c r="K4623">
        <f>IF(G4623=1,0.2*R4623/C4623,K4622)</f>
        <v/>
      </c>
      <c r="L4623">
        <f>IF(G4623=1,0.2*R4623/D4623,L4622)</f>
        <v/>
      </c>
      <c r="M4623">
        <f>IF(G4623=1,0.2*R4623/E4623,M4622)</f>
        <v/>
      </c>
      <c r="N4623">
        <f>IF(G4623=1,0.2*R4623/F4623,N4622)</f>
        <v/>
      </c>
      <c r="O4623">
        <f>IF(G4623=1,R4623*(1-1.0),IF(H4622=0,1,O4622*(1+0.00023125256064071564)))</f>
        <v/>
      </c>
      <c r="P4623">
        <f>IF(G4623=1,IF(H4622=0,1,ABS(0.2-J4622*B4623/I4623)+ABS(0.2-K4622*C4623/I4623)+ABS(0.2-L4622*D4623/I4623)+ABS(0.2-M4622*E4623/I4623)+ABS(0.2-N4622*F4623/I4623)),0)</f>
        <v/>
      </c>
      <c r="Q4623">
        <f>P4623*0.0015</f>
        <v/>
      </c>
      <c r="R4623">
        <f>I4623*(1-Q4623)</f>
        <v/>
      </c>
      <c r="S4623">
        <f>R4623/R4622-1</f>
        <v/>
      </c>
      <c r="T4623">
        <f>MAX(T4622,R4623)</f>
        <v/>
      </c>
      <c r="U4623">
        <f>R4623/T4623-1</f>
        <v/>
      </c>
      <c r="V4623" t="n">
        <v>21.0461623641556</v>
      </c>
      <c r="W4623" s="5">
        <f>R4623-V4623</f>
        <v/>
      </c>
    </row>
    <row r="4624">
      <c r="A4624" s="3" t="n">
        <v>45250</v>
      </c>
      <c r="B4624">
        <f>Prices!B4624</f>
        <v/>
      </c>
      <c r="C4624">
        <f>Prices!C4624</f>
        <v/>
      </c>
      <c r="D4624">
        <f>Prices!D4624</f>
        <v/>
      </c>
      <c r="E4624">
        <f>Prices!E4624</f>
        <v/>
      </c>
      <c r="F4624">
        <f>Prices!F4624</f>
        <v/>
      </c>
      <c r="G4624">
        <f>IF(AND(4622&gt;=16,TEXT(A4624,"yyyy-mm")&lt;&gt;TEXT(A4625,"yyyy-mm")),1,0)</f>
        <v/>
      </c>
      <c r="H4624">
        <f>IF(OR(H4623=1,G4624=1),1,0)</f>
        <v/>
      </c>
      <c r="I4624">
        <f>IF(H4623=0,1,SUMPRODUCT(J4623:N4623,B4624:F4624)+O4623*(1+0.00023125256064071564))</f>
        <v/>
      </c>
      <c r="J4624">
        <f>IF(G4624=1,0.2*R4624/B4624,J4623)</f>
        <v/>
      </c>
      <c r="K4624">
        <f>IF(G4624=1,0.2*R4624/C4624,K4623)</f>
        <v/>
      </c>
      <c r="L4624">
        <f>IF(G4624=1,0.2*R4624/D4624,L4623)</f>
        <v/>
      </c>
      <c r="M4624">
        <f>IF(G4624=1,0.2*R4624/E4624,M4623)</f>
        <v/>
      </c>
      <c r="N4624">
        <f>IF(G4624=1,0.2*R4624/F4624,N4623)</f>
        <v/>
      </c>
      <c r="O4624">
        <f>IF(G4624=1,R4624*(1-1.0),IF(H4623=0,1,O4623*(1+0.00023125256064071564)))</f>
        <v/>
      </c>
      <c r="P4624">
        <f>IF(G4624=1,IF(H4623=0,1,ABS(0.2-J4623*B4624/I4624)+ABS(0.2-K4623*C4624/I4624)+ABS(0.2-L4623*D4624/I4624)+ABS(0.2-M4623*E4624/I4624)+ABS(0.2-N4623*F4624/I4624)),0)</f>
        <v/>
      </c>
      <c r="Q4624">
        <f>P4624*0.0015</f>
        <v/>
      </c>
      <c r="R4624">
        <f>I4624*(1-Q4624)</f>
        <v/>
      </c>
      <c r="S4624">
        <f>R4624/R4623-1</f>
        <v/>
      </c>
      <c r="T4624">
        <f>MAX(T4623,R4624)</f>
        <v/>
      </c>
      <c r="U4624">
        <f>R4624/T4624-1</f>
        <v/>
      </c>
      <c r="V4624" t="n">
        <v>21.13222646493302</v>
      </c>
      <c r="W4624" s="5">
        <f>R4624-V4624</f>
        <v/>
      </c>
    </row>
    <row r="4625">
      <c r="A4625" s="3" t="n">
        <v>45251</v>
      </c>
      <c r="B4625">
        <f>Prices!B4625</f>
        <v/>
      </c>
      <c r="C4625">
        <f>Prices!C4625</f>
        <v/>
      </c>
      <c r="D4625">
        <f>Prices!D4625</f>
        <v/>
      </c>
      <c r="E4625">
        <f>Prices!E4625</f>
        <v/>
      </c>
      <c r="F4625">
        <f>Prices!F4625</f>
        <v/>
      </c>
      <c r="G4625">
        <f>IF(AND(4623&gt;=16,TEXT(A4625,"yyyy-mm")&lt;&gt;TEXT(A4626,"yyyy-mm")),1,0)</f>
        <v/>
      </c>
      <c r="H4625">
        <f>IF(OR(H4624=1,G4625=1),1,0)</f>
        <v/>
      </c>
      <c r="I4625">
        <f>IF(H4624=0,1,SUMPRODUCT(J4624:N4624,B4625:F4625)+O4624*(1+0.00023125256064071564))</f>
        <v/>
      </c>
      <c r="J4625">
        <f>IF(G4625=1,0.2*R4625/B4625,J4624)</f>
        <v/>
      </c>
      <c r="K4625">
        <f>IF(G4625=1,0.2*R4625/C4625,K4624)</f>
        <v/>
      </c>
      <c r="L4625">
        <f>IF(G4625=1,0.2*R4625/D4625,L4624)</f>
        <v/>
      </c>
      <c r="M4625">
        <f>IF(G4625=1,0.2*R4625/E4625,M4624)</f>
        <v/>
      </c>
      <c r="N4625">
        <f>IF(G4625=1,0.2*R4625/F4625,N4624)</f>
        <v/>
      </c>
      <c r="O4625">
        <f>IF(G4625=1,R4625*(1-1.0),IF(H4624=0,1,O4624*(1+0.00023125256064071564)))</f>
        <v/>
      </c>
      <c r="P4625">
        <f>IF(G4625=1,IF(H4624=0,1,ABS(0.2-J4624*B4625/I4625)+ABS(0.2-K4624*C4625/I4625)+ABS(0.2-L4624*D4625/I4625)+ABS(0.2-M4624*E4625/I4625)+ABS(0.2-N4624*F4625/I4625)),0)</f>
        <v/>
      </c>
      <c r="Q4625">
        <f>P4625*0.0015</f>
        <v/>
      </c>
      <c r="R4625">
        <f>I4625*(1-Q4625)</f>
        <v/>
      </c>
      <c r="S4625">
        <f>R4625/R4624-1</f>
        <v/>
      </c>
      <c r="T4625">
        <f>MAX(T4624,R4625)</f>
        <v/>
      </c>
      <c r="U4625">
        <f>R4625/T4625-1</f>
        <v/>
      </c>
      <c r="V4625" t="n">
        <v>21.06180490383242</v>
      </c>
      <c r="W4625" s="5">
        <f>R4625-V4625</f>
        <v/>
      </c>
    </row>
    <row r="4626">
      <c r="A4626" s="3" t="n">
        <v>45252</v>
      </c>
      <c r="B4626">
        <f>Prices!B4626</f>
        <v/>
      </c>
      <c r="C4626">
        <f>Prices!C4626</f>
        <v/>
      </c>
      <c r="D4626">
        <f>Prices!D4626</f>
        <v/>
      </c>
      <c r="E4626">
        <f>Prices!E4626</f>
        <v/>
      </c>
      <c r="F4626">
        <f>Prices!F4626</f>
        <v/>
      </c>
      <c r="G4626">
        <f>IF(AND(4624&gt;=16,TEXT(A4626,"yyyy-mm")&lt;&gt;TEXT(A4627,"yyyy-mm")),1,0)</f>
        <v/>
      </c>
      <c r="H4626">
        <f>IF(OR(H4625=1,G4626=1),1,0)</f>
        <v/>
      </c>
      <c r="I4626">
        <f>IF(H4625=0,1,SUMPRODUCT(J4625:N4625,B4626:F4626)+O4625*(1+0.00023125256064071564))</f>
        <v/>
      </c>
      <c r="J4626">
        <f>IF(G4626=1,0.2*R4626/B4626,J4625)</f>
        <v/>
      </c>
      <c r="K4626">
        <f>IF(G4626=1,0.2*R4626/C4626,K4625)</f>
        <v/>
      </c>
      <c r="L4626">
        <f>IF(G4626=1,0.2*R4626/D4626,L4625)</f>
        <v/>
      </c>
      <c r="M4626">
        <f>IF(G4626=1,0.2*R4626/E4626,M4625)</f>
        <v/>
      </c>
      <c r="N4626">
        <f>IF(G4626=1,0.2*R4626/F4626,N4625)</f>
        <v/>
      </c>
      <c r="O4626">
        <f>IF(G4626=1,R4626*(1-1.0),IF(H4625=0,1,O4625*(1+0.00023125256064071564)))</f>
        <v/>
      </c>
      <c r="P4626">
        <f>IF(G4626=1,IF(H4625=0,1,ABS(0.2-J4625*B4626/I4626)+ABS(0.2-K4625*C4626/I4626)+ABS(0.2-L4625*D4626/I4626)+ABS(0.2-M4625*E4626/I4626)+ABS(0.2-N4625*F4626/I4626)),0)</f>
        <v/>
      </c>
      <c r="Q4626">
        <f>P4626*0.0015</f>
        <v/>
      </c>
      <c r="R4626">
        <f>I4626*(1-Q4626)</f>
        <v/>
      </c>
      <c r="S4626">
        <f>R4626/R4625-1</f>
        <v/>
      </c>
      <c r="T4626">
        <f>MAX(T4625,R4626)</f>
        <v/>
      </c>
      <c r="U4626">
        <f>R4626/T4626-1</f>
        <v/>
      </c>
      <c r="V4626" t="n">
        <v>21.07558961573112</v>
      </c>
      <c r="W4626" s="5">
        <f>R4626-V4626</f>
        <v/>
      </c>
    </row>
    <row r="4627">
      <c r="A4627" s="3" t="n">
        <v>45253</v>
      </c>
      <c r="B4627">
        <f>Prices!B4627</f>
        <v/>
      </c>
      <c r="C4627">
        <f>Prices!C4627</f>
        <v/>
      </c>
      <c r="D4627">
        <f>Prices!D4627</f>
        <v/>
      </c>
      <c r="E4627">
        <f>Prices!E4627</f>
        <v/>
      </c>
      <c r="F4627">
        <f>Prices!F4627</f>
        <v/>
      </c>
      <c r="G4627">
        <f>IF(AND(4625&gt;=16,TEXT(A4627,"yyyy-mm")&lt;&gt;TEXT(A4628,"yyyy-mm")),1,0)</f>
        <v/>
      </c>
      <c r="H4627">
        <f>IF(OR(H4626=1,G4627=1),1,0)</f>
        <v/>
      </c>
      <c r="I4627">
        <f>IF(H4626=0,1,SUMPRODUCT(J4626:N4626,B4627:F4627)+O4626*(1+0.00023125256064071564))</f>
        <v/>
      </c>
      <c r="J4627">
        <f>IF(G4627=1,0.2*R4627/B4627,J4626)</f>
        <v/>
      </c>
      <c r="K4627">
        <f>IF(G4627=1,0.2*R4627/C4627,K4626)</f>
        <v/>
      </c>
      <c r="L4627">
        <f>IF(G4627=1,0.2*R4627/D4627,L4626)</f>
        <v/>
      </c>
      <c r="M4627">
        <f>IF(G4627=1,0.2*R4627/E4627,M4626)</f>
        <v/>
      </c>
      <c r="N4627">
        <f>IF(G4627=1,0.2*R4627/F4627,N4626)</f>
        <v/>
      </c>
      <c r="O4627">
        <f>IF(G4627=1,R4627*(1-1.0),IF(H4626=0,1,O4626*(1+0.00023125256064071564)))</f>
        <v/>
      </c>
      <c r="P4627">
        <f>IF(G4627=1,IF(H4626=0,1,ABS(0.2-J4626*B4627/I4627)+ABS(0.2-K4626*C4627/I4627)+ABS(0.2-L4626*D4627/I4627)+ABS(0.2-M4626*E4627/I4627)+ABS(0.2-N4626*F4627/I4627)),0)</f>
        <v/>
      </c>
      <c r="Q4627">
        <f>P4627*0.0015</f>
        <v/>
      </c>
      <c r="R4627">
        <f>I4627*(1-Q4627)</f>
        <v/>
      </c>
      <c r="S4627">
        <f>R4627/R4626-1</f>
        <v/>
      </c>
      <c r="T4627">
        <f>MAX(T4626,R4627)</f>
        <v/>
      </c>
      <c r="U4627">
        <f>R4627/T4627-1</f>
        <v/>
      </c>
      <c r="V4627" t="n">
        <v>21.12323929583819</v>
      </c>
      <c r="W4627" s="5">
        <f>R4627-V4627</f>
        <v/>
      </c>
    </row>
    <row r="4628">
      <c r="A4628" s="3" t="n">
        <v>45254</v>
      </c>
      <c r="B4628">
        <f>Prices!B4628</f>
        <v/>
      </c>
      <c r="C4628">
        <f>Prices!C4628</f>
        <v/>
      </c>
      <c r="D4628">
        <f>Prices!D4628</f>
        <v/>
      </c>
      <c r="E4628">
        <f>Prices!E4628</f>
        <v/>
      </c>
      <c r="F4628">
        <f>Prices!F4628</f>
        <v/>
      </c>
      <c r="G4628">
        <f>IF(AND(4626&gt;=16,TEXT(A4628,"yyyy-mm")&lt;&gt;TEXT(A4629,"yyyy-mm")),1,0)</f>
        <v/>
      </c>
      <c r="H4628">
        <f>IF(OR(H4627=1,G4628=1),1,0)</f>
        <v/>
      </c>
      <c r="I4628">
        <f>IF(H4627=0,1,SUMPRODUCT(J4627:N4627,B4628:F4628)+O4627*(1+0.00023125256064071564))</f>
        <v/>
      </c>
      <c r="J4628">
        <f>IF(G4628=1,0.2*R4628/B4628,J4627)</f>
        <v/>
      </c>
      <c r="K4628">
        <f>IF(G4628=1,0.2*R4628/C4628,K4627)</f>
        <v/>
      </c>
      <c r="L4628">
        <f>IF(G4628=1,0.2*R4628/D4628,L4627)</f>
        <v/>
      </c>
      <c r="M4628">
        <f>IF(G4628=1,0.2*R4628/E4628,M4627)</f>
        <v/>
      </c>
      <c r="N4628">
        <f>IF(G4628=1,0.2*R4628/F4628,N4627)</f>
        <v/>
      </c>
      <c r="O4628">
        <f>IF(G4628=1,R4628*(1-1.0),IF(H4627=0,1,O4627*(1+0.00023125256064071564)))</f>
        <v/>
      </c>
      <c r="P4628">
        <f>IF(G4628=1,IF(H4627=0,1,ABS(0.2-J4627*B4628/I4628)+ABS(0.2-K4627*C4628/I4628)+ABS(0.2-L4627*D4628/I4628)+ABS(0.2-M4627*E4628/I4628)+ABS(0.2-N4627*F4628/I4628)),0)</f>
        <v/>
      </c>
      <c r="Q4628">
        <f>P4628*0.0015</f>
        <v/>
      </c>
      <c r="R4628">
        <f>I4628*(1-Q4628)</f>
        <v/>
      </c>
      <c r="S4628">
        <f>R4628/R4627-1</f>
        <v/>
      </c>
      <c r="T4628">
        <f>MAX(T4627,R4628)</f>
        <v/>
      </c>
      <c r="U4628">
        <f>R4628/T4628-1</f>
        <v/>
      </c>
      <c r="V4628" t="n">
        <v>21.08033865642992</v>
      </c>
      <c r="W4628" s="5">
        <f>R4628-V4628</f>
        <v/>
      </c>
    </row>
    <row r="4629">
      <c r="A4629" s="3" t="n">
        <v>45258</v>
      </c>
      <c r="B4629">
        <f>Prices!B4629</f>
        <v/>
      </c>
      <c r="C4629">
        <f>Prices!C4629</f>
        <v/>
      </c>
      <c r="D4629">
        <f>Prices!D4629</f>
        <v/>
      </c>
      <c r="E4629">
        <f>Prices!E4629</f>
        <v/>
      </c>
      <c r="F4629">
        <f>Prices!F4629</f>
        <v/>
      </c>
      <c r="G4629">
        <f>IF(AND(4627&gt;=16,TEXT(A4629,"yyyy-mm")&lt;&gt;TEXT(A4630,"yyyy-mm")),1,0)</f>
        <v/>
      </c>
      <c r="H4629">
        <f>IF(OR(H4628=1,G4629=1),1,0)</f>
        <v/>
      </c>
      <c r="I4629">
        <f>IF(H4628=0,1,SUMPRODUCT(J4628:N4628,B4629:F4629)+O4628*(1+0.00023125256064071564))</f>
        <v/>
      </c>
      <c r="J4629">
        <f>IF(G4629=1,0.2*R4629/B4629,J4628)</f>
        <v/>
      </c>
      <c r="K4629">
        <f>IF(G4629=1,0.2*R4629/C4629,K4628)</f>
        <v/>
      </c>
      <c r="L4629">
        <f>IF(G4629=1,0.2*R4629/D4629,L4628)</f>
        <v/>
      </c>
      <c r="M4629">
        <f>IF(G4629=1,0.2*R4629/E4629,M4628)</f>
        <v/>
      </c>
      <c r="N4629">
        <f>IF(G4629=1,0.2*R4629/F4629,N4628)</f>
        <v/>
      </c>
      <c r="O4629">
        <f>IF(G4629=1,R4629*(1-1.0),IF(H4628=0,1,O4628*(1+0.00023125256064071564)))</f>
        <v/>
      </c>
      <c r="P4629">
        <f>IF(G4629=1,IF(H4628=0,1,ABS(0.2-J4628*B4629/I4629)+ABS(0.2-K4628*C4629/I4629)+ABS(0.2-L4628*D4629/I4629)+ABS(0.2-M4628*E4629/I4629)+ABS(0.2-N4628*F4629/I4629)),0)</f>
        <v/>
      </c>
      <c r="Q4629">
        <f>P4629*0.0015</f>
        <v/>
      </c>
      <c r="R4629">
        <f>I4629*(1-Q4629)</f>
        <v/>
      </c>
      <c r="S4629">
        <f>R4629/R4628-1</f>
        <v/>
      </c>
      <c r="T4629">
        <f>MAX(T4628,R4629)</f>
        <v/>
      </c>
      <c r="U4629">
        <f>R4629/T4629-1</f>
        <v/>
      </c>
      <c r="V4629" t="n">
        <v>21.19015603201633</v>
      </c>
      <c r="W4629" s="5">
        <f>R4629-V4629</f>
        <v/>
      </c>
    </row>
    <row r="4630">
      <c r="A4630" s="3" t="n">
        <v>45259</v>
      </c>
      <c r="B4630">
        <f>Prices!B4630</f>
        <v/>
      </c>
      <c r="C4630">
        <f>Prices!C4630</f>
        <v/>
      </c>
      <c r="D4630">
        <f>Prices!D4630</f>
        <v/>
      </c>
      <c r="E4630">
        <f>Prices!E4630</f>
        <v/>
      </c>
      <c r="F4630">
        <f>Prices!F4630</f>
        <v/>
      </c>
      <c r="G4630">
        <f>IF(AND(4628&gt;=16,TEXT(A4630,"yyyy-mm")&lt;&gt;TEXT(A4631,"yyyy-mm")),1,0)</f>
        <v/>
      </c>
      <c r="H4630">
        <f>IF(OR(H4629=1,G4630=1),1,0)</f>
        <v/>
      </c>
      <c r="I4630">
        <f>IF(H4629=0,1,SUMPRODUCT(J4629:N4629,B4630:F4630)+O4629*(1+0.00023125256064071564))</f>
        <v/>
      </c>
      <c r="J4630">
        <f>IF(G4630=1,0.2*R4630/B4630,J4629)</f>
        <v/>
      </c>
      <c r="K4630">
        <f>IF(G4630=1,0.2*R4630/C4630,K4629)</f>
        <v/>
      </c>
      <c r="L4630">
        <f>IF(G4630=1,0.2*R4630/D4630,L4629)</f>
        <v/>
      </c>
      <c r="M4630">
        <f>IF(G4630=1,0.2*R4630/E4630,M4629)</f>
        <v/>
      </c>
      <c r="N4630">
        <f>IF(G4630=1,0.2*R4630/F4630,N4629)</f>
        <v/>
      </c>
      <c r="O4630">
        <f>IF(G4630=1,R4630*(1-1.0),IF(H4629=0,1,O4629*(1+0.00023125256064071564)))</f>
        <v/>
      </c>
      <c r="P4630">
        <f>IF(G4630=1,IF(H4629=0,1,ABS(0.2-J4629*B4630/I4630)+ABS(0.2-K4629*C4630/I4630)+ABS(0.2-L4629*D4630/I4630)+ABS(0.2-M4629*E4630/I4630)+ABS(0.2-N4629*F4630/I4630)),0)</f>
        <v/>
      </c>
      <c r="Q4630">
        <f>P4630*0.0015</f>
        <v/>
      </c>
      <c r="R4630">
        <f>I4630*(1-Q4630)</f>
        <v/>
      </c>
      <c r="S4630">
        <f>R4630/R4629-1</f>
        <v/>
      </c>
      <c r="T4630">
        <f>MAX(T4629,R4630)</f>
        <v/>
      </c>
      <c r="U4630">
        <f>R4630/T4630-1</f>
        <v/>
      </c>
      <c r="V4630" t="n">
        <v>21.37219679781801</v>
      </c>
      <c r="W4630" s="5">
        <f>R4630-V4630</f>
        <v/>
      </c>
    </row>
    <row r="4631">
      <c r="A4631" s="3" t="n">
        <v>45260</v>
      </c>
      <c r="B4631">
        <f>Prices!B4631</f>
        <v/>
      </c>
      <c r="C4631">
        <f>Prices!C4631</f>
        <v/>
      </c>
      <c r="D4631">
        <f>Prices!D4631</f>
        <v/>
      </c>
      <c r="E4631">
        <f>Prices!E4631</f>
        <v/>
      </c>
      <c r="F4631">
        <f>Prices!F4631</f>
        <v/>
      </c>
      <c r="G4631">
        <f>IF(AND(4629&gt;=16,TEXT(A4631,"yyyy-mm")&lt;&gt;TEXT(A4632,"yyyy-mm")),1,0)</f>
        <v/>
      </c>
      <c r="H4631">
        <f>IF(OR(H4630=1,G4631=1),1,0)</f>
        <v/>
      </c>
      <c r="I4631">
        <f>IF(H4630=0,1,SUMPRODUCT(J4630:N4630,B4631:F4631)+O4630*(1+0.00023125256064071564))</f>
        <v/>
      </c>
      <c r="J4631">
        <f>IF(G4631=1,0.2*R4631/B4631,J4630)</f>
        <v/>
      </c>
      <c r="K4631">
        <f>IF(G4631=1,0.2*R4631/C4631,K4630)</f>
        <v/>
      </c>
      <c r="L4631">
        <f>IF(G4631=1,0.2*R4631/D4631,L4630)</f>
        <v/>
      </c>
      <c r="M4631">
        <f>IF(G4631=1,0.2*R4631/E4631,M4630)</f>
        <v/>
      </c>
      <c r="N4631">
        <f>IF(G4631=1,0.2*R4631/F4631,N4630)</f>
        <v/>
      </c>
      <c r="O4631">
        <f>IF(G4631=1,R4631*(1-1.0),IF(H4630=0,1,O4630*(1+0.00023125256064071564)))</f>
        <v/>
      </c>
      <c r="P4631">
        <f>IF(G4631=1,IF(H4630=0,1,ABS(0.2-J4630*B4631/I4631)+ABS(0.2-K4630*C4631/I4631)+ABS(0.2-L4630*D4631/I4631)+ABS(0.2-M4630*E4631/I4631)+ABS(0.2-N4630*F4631/I4631)),0)</f>
        <v/>
      </c>
      <c r="Q4631">
        <f>P4631*0.0015</f>
        <v/>
      </c>
      <c r="R4631">
        <f>I4631*(1-Q4631)</f>
        <v/>
      </c>
      <c r="S4631">
        <f>R4631/R4630-1</f>
        <v/>
      </c>
      <c r="T4631">
        <f>MAX(T4630,R4631)</f>
        <v/>
      </c>
      <c r="U4631">
        <f>R4631/T4631-1</f>
        <v/>
      </c>
      <c r="V4631" t="n">
        <v>21.56235616522241</v>
      </c>
      <c r="W4631" s="5">
        <f>R4631-V4631</f>
        <v/>
      </c>
    </row>
    <row r="4632">
      <c r="A4632" s="3" t="n">
        <v>45261</v>
      </c>
      <c r="B4632">
        <f>Prices!B4632</f>
        <v/>
      </c>
      <c r="C4632">
        <f>Prices!C4632</f>
        <v/>
      </c>
      <c r="D4632">
        <f>Prices!D4632</f>
        <v/>
      </c>
      <c r="E4632">
        <f>Prices!E4632</f>
        <v/>
      </c>
      <c r="F4632">
        <f>Prices!F4632</f>
        <v/>
      </c>
      <c r="G4632">
        <f>IF(AND(4630&gt;=16,TEXT(A4632,"yyyy-mm")&lt;&gt;TEXT(A4633,"yyyy-mm")),1,0)</f>
        <v/>
      </c>
      <c r="H4632">
        <f>IF(OR(H4631=1,G4632=1),1,0)</f>
        <v/>
      </c>
      <c r="I4632">
        <f>IF(H4631=0,1,SUMPRODUCT(J4631:N4631,B4632:F4632)+O4631*(1+0.00023125256064071564))</f>
        <v/>
      </c>
      <c r="J4632">
        <f>IF(G4632=1,0.2*R4632/B4632,J4631)</f>
        <v/>
      </c>
      <c r="K4632">
        <f>IF(G4632=1,0.2*R4632/C4632,K4631)</f>
        <v/>
      </c>
      <c r="L4632">
        <f>IF(G4632=1,0.2*R4632/D4632,L4631)</f>
        <v/>
      </c>
      <c r="M4632">
        <f>IF(G4632=1,0.2*R4632/E4632,M4631)</f>
        <v/>
      </c>
      <c r="N4632">
        <f>IF(G4632=1,0.2*R4632/F4632,N4631)</f>
        <v/>
      </c>
      <c r="O4632">
        <f>IF(G4632=1,R4632*(1-1.0),IF(H4631=0,1,O4631*(1+0.00023125256064071564)))</f>
        <v/>
      </c>
      <c r="P4632">
        <f>IF(G4632=1,IF(H4631=0,1,ABS(0.2-J4631*B4632/I4632)+ABS(0.2-K4631*C4632/I4632)+ABS(0.2-L4631*D4632/I4632)+ABS(0.2-M4631*E4632/I4632)+ABS(0.2-N4631*F4632/I4632)),0)</f>
        <v/>
      </c>
      <c r="Q4632">
        <f>P4632*0.0015</f>
        <v/>
      </c>
      <c r="R4632">
        <f>I4632*(1-Q4632)</f>
        <v/>
      </c>
      <c r="S4632">
        <f>R4632/R4631-1</f>
        <v/>
      </c>
      <c r="T4632">
        <f>MAX(T4631,R4632)</f>
        <v/>
      </c>
      <c r="U4632">
        <f>R4632/T4632-1</f>
        <v/>
      </c>
      <c r="V4632" t="n">
        <v>21.82082563175919</v>
      </c>
      <c r="W4632" s="5">
        <f>R4632-V4632</f>
        <v/>
      </c>
    </row>
    <row r="4633">
      <c r="A4633" s="3" t="n">
        <v>45264</v>
      </c>
      <c r="B4633">
        <f>Prices!B4633</f>
        <v/>
      </c>
      <c r="C4633">
        <f>Prices!C4633</f>
        <v/>
      </c>
      <c r="D4633">
        <f>Prices!D4633</f>
        <v/>
      </c>
      <c r="E4633">
        <f>Prices!E4633</f>
        <v/>
      </c>
      <c r="F4633">
        <f>Prices!F4633</f>
        <v/>
      </c>
      <c r="G4633">
        <f>IF(AND(4631&gt;=16,TEXT(A4633,"yyyy-mm")&lt;&gt;TEXT(A4634,"yyyy-mm")),1,0)</f>
        <v/>
      </c>
      <c r="H4633">
        <f>IF(OR(H4632=1,G4633=1),1,0)</f>
        <v/>
      </c>
      <c r="I4633">
        <f>IF(H4632=0,1,SUMPRODUCT(J4632:N4632,B4633:F4633)+O4632*(1+0.00023125256064071564))</f>
        <v/>
      </c>
      <c r="J4633">
        <f>IF(G4633=1,0.2*R4633/B4633,J4632)</f>
        <v/>
      </c>
      <c r="K4633">
        <f>IF(G4633=1,0.2*R4633/C4633,K4632)</f>
        <v/>
      </c>
      <c r="L4633">
        <f>IF(G4633=1,0.2*R4633/D4633,L4632)</f>
        <v/>
      </c>
      <c r="M4633">
        <f>IF(G4633=1,0.2*R4633/E4633,M4632)</f>
        <v/>
      </c>
      <c r="N4633">
        <f>IF(G4633=1,0.2*R4633/F4633,N4632)</f>
        <v/>
      </c>
      <c r="O4633">
        <f>IF(G4633=1,R4633*(1-1.0),IF(H4632=0,1,O4632*(1+0.00023125256064071564)))</f>
        <v/>
      </c>
      <c r="P4633">
        <f>IF(G4633=1,IF(H4632=0,1,ABS(0.2-J4632*B4633/I4633)+ABS(0.2-K4632*C4633/I4633)+ABS(0.2-L4632*D4633/I4633)+ABS(0.2-M4632*E4633/I4633)+ABS(0.2-N4632*F4633/I4633)),0)</f>
        <v/>
      </c>
      <c r="Q4633">
        <f>P4633*0.0015</f>
        <v/>
      </c>
      <c r="R4633">
        <f>I4633*(1-Q4633)</f>
        <v/>
      </c>
      <c r="S4633">
        <f>R4633/R4632-1</f>
        <v/>
      </c>
      <c r="T4633">
        <f>MAX(T4632,R4633)</f>
        <v/>
      </c>
      <c r="U4633">
        <f>R4633/T4633-1</f>
        <v/>
      </c>
      <c r="V4633" t="n">
        <v>22.18647318384091</v>
      </c>
      <c r="W4633" s="5">
        <f>R4633-V4633</f>
        <v/>
      </c>
    </row>
    <row r="4634">
      <c r="A4634" s="3" t="n">
        <v>45265</v>
      </c>
      <c r="B4634">
        <f>Prices!B4634</f>
        <v/>
      </c>
      <c r="C4634">
        <f>Prices!C4634</f>
        <v/>
      </c>
      <c r="D4634">
        <f>Prices!D4634</f>
        <v/>
      </c>
      <c r="E4634">
        <f>Prices!E4634</f>
        <v/>
      </c>
      <c r="F4634">
        <f>Prices!F4634</f>
        <v/>
      </c>
      <c r="G4634">
        <f>IF(AND(4632&gt;=16,TEXT(A4634,"yyyy-mm")&lt;&gt;TEXT(A4635,"yyyy-mm")),1,0)</f>
        <v/>
      </c>
      <c r="H4634">
        <f>IF(OR(H4633=1,G4634=1),1,0)</f>
        <v/>
      </c>
      <c r="I4634">
        <f>IF(H4633=0,1,SUMPRODUCT(J4633:N4633,B4634:F4634)+O4633*(1+0.00023125256064071564))</f>
        <v/>
      </c>
      <c r="J4634">
        <f>IF(G4634=1,0.2*R4634/B4634,J4633)</f>
        <v/>
      </c>
      <c r="K4634">
        <f>IF(G4634=1,0.2*R4634/C4634,K4633)</f>
        <v/>
      </c>
      <c r="L4634">
        <f>IF(G4634=1,0.2*R4634/D4634,L4633)</f>
        <v/>
      </c>
      <c r="M4634">
        <f>IF(G4634=1,0.2*R4634/E4634,M4633)</f>
        <v/>
      </c>
      <c r="N4634">
        <f>IF(G4634=1,0.2*R4634/F4634,N4633)</f>
        <v/>
      </c>
      <c r="O4634">
        <f>IF(G4634=1,R4634*(1-1.0),IF(H4633=0,1,O4633*(1+0.00023125256064071564)))</f>
        <v/>
      </c>
      <c r="P4634">
        <f>IF(G4634=1,IF(H4633=0,1,ABS(0.2-J4633*B4634/I4634)+ABS(0.2-K4633*C4634/I4634)+ABS(0.2-L4633*D4634/I4634)+ABS(0.2-M4633*E4634/I4634)+ABS(0.2-N4633*F4634/I4634)),0)</f>
        <v/>
      </c>
      <c r="Q4634">
        <f>P4634*0.0015</f>
        <v/>
      </c>
      <c r="R4634">
        <f>I4634*(1-Q4634)</f>
        <v/>
      </c>
      <c r="S4634">
        <f>R4634/R4633-1</f>
        <v/>
      </c>
      <c r="T4634">
        <f>MAX(T4633,R4634)</f>
        <v/>
      </c>
      <c r="U4634">
        <f>R4634/T4634-1</f>
        <v/>
      </c>
      <c r="V4634" t="n">
        <v>22.2845483075873</v>
      </c>
      <c r="W4634" s="5">
        <f>R4634-V4634</f>
        <v/>
      </c>
    </row>
    <row r="4635">
      <c r="A4635" s="3" t="n">
        <v>45266</v>
      </c>
      <c r="B4635">
        <f>Prices!B4635</f>
        <v/>
      </c>
      <c r="C4635">
        <f>Prices!C4635</f>
        <v/>
      </c>
      <c r="D4635">
        <f>Prices!D4635</f>
        <v/>
      </c>
      <c r="E4635">
        <f>Prices!E4635</f>
        <v/>
      </c>
      <c r="F4635">
        <f>Prices!F4635</f>
        <v/>
      </c>
      <c r="G4635">
        <f>IF(AND(4633&gt;=16,TEXT(A4635,"yyyy-mm")&lt;&gt;TEXT(A4636,"yyyy-mm")),1,0)</f>
        <v/>
      </c>
      <c r="H4635">
        <f>IF(OR(H4634=1,G4635=1),1,0)</f>
        <v/>
      </c>
      <c r="I4635">
        <f>IF(H4634=0,1,SUMPRODUCT(J4634:N4634,B4635:F4635)+O4634*(1+0.00023125256064071564))</f>
        <v/>
      </c>
      <c r="J4635">
        <f>IF(G4635=1,0.2*R4635/B4635,J4634)</f>
        <v/>
      </c>
      <c r="K4635">
        <f>IF(G4635=1,0.2*R4635/C4635,K4634)</f>
        <v/>
      </c>
      <c r="L4635">
        <f>IF(G4635=1,0.2*R4635/D4635,L4634)</f>
        <v/>
      </c>
      <c r="M4635">
        <f>IF(G4635=1,0.2*R4635/E4635,M4634)</f>
        <v/>
      </c>
      <c r="N4635">
        <f>IF(G4635=1,0.2*R4635/F4635,N4634)</f>
        <v/>
      </c>
      <c r="O4635">
        <f>IF(G4635=1,R4635*(1-1.0),IF(H4634=0,1,O4634*(1+0.00023125256064071564)))</f>
        <v/>
      </c>
      <c r="P4635">
        <f>IF(G4635=1,IF(H4634=0,1,ABS(0.2-J4634*B4635/I4635)+ABS(0.2-K4634*C4635/I4635)+ABS(0.2-L4634*D4635/I4635)+ABS(0.2-M4634*E4635/I4635)+ABS(0.2-N4634*F4635/I4635)),0)</f>
        <v/>
      </c>
      <c r="Q4635">
        <f>P4635*0.0015</f>
        <v/>
      </c>
      <c r="R4635">
        <f>I4635*(1-Q4635)</f>
        <v/>
      </c>
      <c r="S4635">
        <f>R4635/R4634-1</f>
        <v/>
      </c>
      <c r="T4635">
        <f>MAX(T4634,R4635)</f>
        <v/>
      </c>
      <c r="U4635">
        <f>R4635/T4635-1</f>
        <v/>
      </c>
      <c r="V4635" t="n">
        <v>22.36581996354574</v>
      </c>
      <c r="W4635" s="5">
        <f>R4635-V4635</f>
        <v/>
      </c>
    </row>
    <row r="4636">
      <c r="A4636" s="3" t="n">
        <v>45267</v>
      </c>
      <c r="B4636">
        <f>Prices!B4636</f>
        <v/>
      </c>
      <c r="C4636">
        <f>Prices!C4636</f>
        <v/>
      </c>
      <c r="D4636">
        <f>Prices!D4636</f>
        <v/>
      </c>
      <c r="E4636">
        <f>Prices!E4636</f>
        <v/>
      </c>
      <c r="F4636">
        <f>Prices!F4636</f>
        <v/>
      </c>
      <c r="G4636">
        <f>IF(AND(4634&gt;=16,TEXT(A4636,"yyyy-mm")&lt;&gt;TEXT(A4637,"yyyy-mm")),1,0)</f>
        <v/>
      </c>
      <c r="H4636">
        <f>IF(OR(H4635=1,G4636=1),1,0)</f>
        <v/>
      </c>
      <c r="I4636">
        <f>IF(H4635=0,1,SUMPRODUCT(J4635:N4635,B4636:F4636)+O4635*(1+0.00023125256064071564))</f>
        <v/>
      </c>
      <c r="J4636">
        <f>IF(G4636=1,0.2*R4636/B4636,J4635)</f>
        <v/>
      </c>
      <c r="K4636">
        <f>IF(G4636=1,0.2*R4636/C4636,K4635)</f>
        <v/>
      </c>
      <c r="L4636">
        <f>IF(G4636=1,0.2*R4636/D4636,L4635)</f>
        <v/>
      </c>
      <c r="M4636">
        <f>IF(G4636=1,0.2*R4636/E4636,M4635)</f>
        <v/>
      </c>
      <c r="N4636">
        <f>IF(G4636=1,0.2*R4636/F4636,N4635)</f>
        <v/>
      </c>
      <c r="O4636">
        <f>IF(G4636=1,R4636*(1-1.0),IF(H4635=0,1,O4635*(1+0.00023125256064071564)))</f>
        <v/>
      </c>
      <c r="P4636">
        <f>IF(G4636=1,IF(H4635=0,1,ABS(0.2-J4635*B4636/I4636)+ABS(0.2-K4635*C4636/I4636)+ABS(0.2-L4635*D4636/I4636)+ABS(0.2-M4635*E4636/I4636)+ABS(0.2-N4635*F4636/I4636)),0)</f>
        <v/>
      </c>
      <c r="Q4636">
        <f>P4636*0.0015</f>
        <v/>
      </c>
      <c r="R4636">
        <f>I4636*(1-Q4636)</f>
        <v/>
      </c>
      <c r="S4636">
        <f>R4636/R4635-1</f>
        <v/>
      </c>
      <c r="T4636">
        <f>MAX(T4635,R4636)</f>
        <v/>
      </c>
      <c r="U4636">
        <f>R4636/T4636-1</f>
        <v/>
      </c>
      <c r="V4636" t="n">
        <v>22.40198322131172</v>
      </c>
      <c r="W4636" s="5">
        <f>R4636-V4636</f>
        <v/>
      </c>
    </row>
    <row r="4637">
      <c r="A4637" s="3" t="n">
        <v>45268</v>
      </c>
      <c r="B4637">
        <f>Prices!B4637</f>
        <v/>
      </c>
      <c r="C4637">
        <f>Prices!C4637</f>
        <v/>
      </c>
      <c r="D4637">
        <f>Prices!D4637</f>
        <v/>
      </c>
      <c r="E4637">
        <f>Prices!E4637</f>
        <v/>
      </c>
      <c r="F4637">
        <f>Prices!F4637</f>
        <v/>
      </c>
      <c r="G4637">
        <f>IF(AND(4635&gt;=16,TEXT(A4637,"yyyy-mm")&lt;&gt;TEXT(A4638,"yyyy-mm")),1,0)</f>
        <v/>
      </c>
      <c r="H4637">
        <f>IF(OR(H4636=1,G4637=1),1,0)</f>
        <v/>
      </c>
      <c r="I4637">
        <f>IF(H4636=0,1,SUMPRODUCT(J4636:N4636,B4637:F4637)+O4636*(1+0.00023125256064071564))</f>
        <v/>
      </c>
      <c r="J4637">
        <f>IF(G4637=1,0.2*R4637/B4637,J4636)</f>
        <v/>
      </c>
      <c r="K4637">
        <f>IF(G4637=1,0.2*R4637/C4637,K4636)</f>
        <v/>
      </c>
      <c r="L4637">
        <f>IF(G4637=1,0.2*R4637/D4637,L4636)</f>
        <v/>
      </c>
      <c r="M4637">
        <f>IF(G4637=1,0.2*R4637/E4637,M4636)</f>
        <v/>
      </c>
      <c r="N4637">
        <f>IF(G4637=1,0.2*R4637/F4637,N4636)</f>
        <v/>
      </c>
      <c r="O4637">
        <f>IF(G4637=1,R4637*(1-1.0),IF(H4636=0,1,O4636*(1+0.00023125256064071564)))</f>
        <v/>
      </c>
      <c r="P4637">
        <f>IF(G4637=1,IF(H4636=0,1,ABS(0.2-J4636*B4637/I4637)+ABS(0.2-K4636*C4637/I4637)+ABS(0.2-L4636*D4637/I4637)+ABS(0.2-M4636*E4637/I4637)+ABS(0.2-N4636*F4637/I4637)),0)</f>
        <v/>
      </c>
      <c r="Q4637">
        <f>P4637*0.0015</f>
        <v/>
      </c>
      <c r="R4637">
        <f>I4637*(1-Q4637)</f>
        <v/>
      </c>
      <c r="S4637">
        <f>R4637/R4636-1</f>
        <v/>
      </c>
      <c r="T4637">
        <f>MAX(T4636,R4637)</f>
        <v/>
      </c>
      <c r="U4637">
        <f>R4637/T4637-1</f>
        <v/>
      </c>
      <c r="V4637" t="n">
        <v>22.38765489186791</v>
      </c>
      <c r="W4637" s="5">
        <f>R4637-V4637</f>
        <v/>
      </c>
    </row>
    <row r="4638">
      <c r="A4638" s="3" t="n">
        <v>45271</v>
      </c>
      <c r="B4638">
        <f>Prices!B4638</f>
        <v/>
      </c>
      <c r="C4638">
        <f>Prices!C4638</f>
        <v/>
      </c>
      <c r="D4638">
        <f>Prices!D4638</f>
        <v/>
      </c>
      <c r="E4638">
        <f>Prices!E4638</f>
        <v/>
      </c>
      <c r="F4638">
        <f>Prices!F4638</f>
        <v/>
      </c>
      <c r="G4638">
        <f>IF(AND(4636&gt;=16,TEXT(A4638,"yyyy-mm")&lt;&gt;TEXT(A4639,"yyyy-mm")),1,0)</f>
        <v/>
      </c>
      <c r="H4638">
        <f>IF(OR(H4637=1,G4638=1),1,0)</f>
        <v/>
      </c>
      <c r="I4638">
        <f>IF(H4637=0,1,SUMPRODUCT(J4637:N4637,B4638:F4638)+O4637*(1+0.00023125256064071564))</f>
        <v/>
      </c>
      <c r="J4638">
        <f>IF(G4638=1,0.2*R4638/B4638,J4637)</f>
        <v/>
      </c>
      <c r="K4638">
        <f>IF(G4638=1,0.2*R4638/C4638,K4637)</f>
        <v/>
      </c>
      <c r="L4638">
        <f>IF(G4638=1,0.2*R4638/D4638,L4637)</f>
        <v/>
      </c>
      <c r="M4638">
        <f>IF(G4638=1,0.2*R4638/E4638,M4637)</f>
        <v/>
      </c>
      <c r="N4638">
        <f>IF(G4638=1,0.2*R4638/F4638,N4637)</f>
        <v/>
      </c>
      <c r="O4638">
        <f>IF(G4638=1,R4638*(1-1.0),IF(H4637=0,1,O4637*(1+0.00023125256064071564)))</f>
        <v/>
      </c>
      <c r="P4638">
        <f>IF(G4638=1,IF(H4637=0,1,ABS(0.2-J4637*B4638/I4638)+ABS(0.2-K4637*C4638/I4638)+ABS(0.2-L4637*D4638/I4638)+ABS(0.2-M4637*E4638/I4638)+ABS(0.2-N4637*F4638/I4638)),0)</f>
        <v/>
      </c>
      <c r="Q4638">
        <f>P4638*0.0015</f>
        <v/>
      </c>
      <c r="R4638">
        <f>I4638*(1-Q4638)</f>
        <v/>
      </c>
      <c r="S4638">
        <f>R4638/R4637-1</f>
        <v/>
      </c>
      <c r="T4638">
        <f>MAX(T4637,R4638)</f>
        <v/>
      </c>
      <c r="U4638">
        <f>R4638/T4638-1</f>
        <v/>
      </c>
      <c r="V4638" t="n">
        <v>22.58650527806313</v>
      </c>
      <c r="W4638" s="5">
        <f>R4638-V4638</f>
        <v/>
      </c>
    </row>
    <row r="4639">
      <c r="A4639" s="3" t="n">
        <v>45272</v>
      </c>
      <c r="B4639">
        <f>Prices!B4639</f>
        <v/>
      </c>
      <c r="C4639">
        <f>Prices!C4639</f>
        <v/>
      </c>
      <c r="D4639">
        <f>Prices!D4639</f>
        <v/>
      </c>
      <c r="E4639">
        <f>Prices!E4639</f>
        <v/>
      </c>
      <c r="F4639">
        <f>Prices!F4639</f>
        <v/>
      </c>
      <c r="G4639">
        <f>IF(AND(4637&gt;=16,TEXT(A4639,"yyyy-mm")&lt;&gt;TEXT(A4640,"yyyy-mm")),1,0)</f>
        <v/>
      </c>
      <c r="H4639">
        <f>IF(OR(H4638=1,G4639=1),1,0)</f>
        <v/>
      </c>
      <c r="I4639">
        <f>IF(H4638=0,1,SUMPRODUCT(J4638:N4638,B4639:F4639)+O4638*(1+0.00023125256064071564))</f>
        <v/>
      </c>
      <c r="J4639">
        <f>IF(G4639=1,0.2*R4639/B4639,J4638)</f>
        <v/>
      </c>
      <c r="K4639">
        <f>IF(G4639=1,0.2*R4639/C4639,K4638)</f>
        <v/>
      </c>
      <c r="L4639">
        <f>IF(G4639=1,0.2*R4639/D4639,L4638)</f>
        <v/>
      </c>
      <c r="M4639">
        <f>IF(G4639=1,0.2*R4639/E4639,M4638)</f>
        <v/>
      </c>
      <c r="N4639">
        <f>IF(G4639=1,0.2*R4639/F4639,N4638)</f>
        <v/>
      </c>
      <c r="O4639">
        <f>IF(G4639=1,R4639*(1-1.0),IF(H4638=0,1,O4638*(1+0.00023125256064071564)))</f>
        <v/>
      </c>
      <c r="P4639">
        <f>IF(G4639=1,IF(H4638=0,1,ABS(0.2-J4638*B4639/I4639)+ABS(0.2-K4638*C4639/I4639)+ABS(0.2-L4638*D4639/I4639)+ABS(0.2-M4638*E4639/I4639)+ABS(0.2-N4638*F4639/I4639)),0)</f>
        <v/>
      </c>
      <c r="Q4639">
        <f>P4639*0.0015</f>
        <v/>
      </c>
      <c r="R4639">
        <f>I4639*(1-Q4639)</f>
        <v/>
      </c>
      <c r="S4639">
        <f>R4639/R4638-1</f>
        <v/>
      </c>
      <c r="T4639">
        <f>MAX(T4638,R4639)</f>
        <v/>
      </c>
      <c r="U4639">
        <f>R4639/T4639-1</f>
        <v/>
      </c>
      <c r="V4639" t="n">
        <v>22.54124547794703</v>
      </c>
      <c r="W4639" s="5">
        <f>R4639-V4639</f>
        <v/>
      </c>
    </row>
    <row r="4640">
      <c r="A4640" s="3" t="n">
        <v>45273</v>
      </c>
      <c r="B4640">
        <f>Prices!B4640</f>
        <v/>
      </c>
      <c r="C4640">
        <f>Prices!C4640</f>
        <v/>
      </c>
      <c r="D4640">
        <f>Prices!D4640</f>
        <v/>
      </c>
      <c r="E4640">
        <f>Prices!E4640</f>
        <v/>
      </c>
      <c r="F4640">
        <f>Prices!F4640</f>
        <v/>
      </c>
      <c r="G4640">
        <f>IF(AND(4638&gt;=16,TEXT(A4640,"yyyy-mm")&lt;&gt;TEXT(A4641,"yyyy-mm")),1,0)</f>
        <v/>
      </c>
      <c r="H4640">
        <f>IF(OR(H4639=1,G4640=1),1,0)</f>
        <v/>
      </c>
      <c r="I4640">
        <f>IF(H4639=0,1,SUMPRODUCT(J4639:N4639,B4640:F4640)+O4639*(1+0.00023125256064071564))</f>
        <v/>
      </c>
      <c r="J4640">
        <f>IF(G4640=1,0.2*R4640/B4640,J4639)</f>
        <v/>
      </c>
      <c r="K4640">
        <f>IF(G4640=1,0.2*R4640/C4640,K4639)</f>
        <v/>
      </c>
      <c r="L4640">
        <f>IF(G4640=1,0.2*R4640/D4640,L4639)</f>
        <v/>
      </c>
      <c r="M4640">
        <f>IF(G4640=1,0.2*R4640/E4640,M4639)</f>
        <v/>
      </c>
      <c r="N4640">
        <f>IF(G4640=1,0.2*R4640/F4640,N4639)</f>
        <v/>
      </c>
      <c r="O4640">
        <f>IF(G4640=1,R4640*(1-1.0),IF(H4639=0,1,O4639*(1+0.00023125256064071564)))</f>
        <v/>
      </c>
      <c r="P4640">
        <f>IF(G4640=1,IF(H4639=0,1,ABS(0.2-J4639*B4640/I4640)+ABS(0.2-K4639*C4640/I4640)+ABS(0.2-L4639*D4640/I4640)+ABS(0.2-M4639*E4640/I4640)+ABS(0.2-N4639*F4640/I4640)),0)</f>
        <v/>
      </c>
      <c r="Q4640">
        <f>P4640*0.0015</f>
        <v/>
      </c>
      <c r="R4640">
        <f>I4640*(1-Q4640)</f>
        <v/>
      </c>
      <c r="S4640">
        <f>R4640/R4639-1</f>
        <v/>
      </c>
      <c r="T4640">
        <f>MAX(T4639,R4640)</f>
        <v/>
      </c>
      <c r="U4640">
        <f>R4640/T4640-1</f>
        <v/>
      </c>
      <c r="V4640" t="n">
        <v>22.82399064911221</v>
      </c>
      <c r="W4640" s="5">
        <f>R4640-V4640</f>
        <v/>
      </c>
    </row>
    <row r="4641">
      <c r="A4641" s="3" t="n">
        <v>45274</v>
      </c>
      <c r="B4641">
        <f>Prices!B4641</f>
        <v/>
      </c>
      <c r="C4641">
        <f>Prices!C4641</f>
        <v/>
      </c>
      <c r="D4641">
        <f>Prices!D4641</f>
        <v/>
      </c>
      <c r="E4641">
        <f>Prices!E4641</f>
        <v/>
      </c>
      <c r="F4641">
        <f>Prices!F4641</f>
        <v/>
      </c>
      <c r="G4641">
        <f>IF(AND(4639&gt;=16,TEXT(A4641,"yyyy-mm")&lt;&gt;TEXT(A4642,"yyyy-mm")),1,0)</f>
        <v/>
      </c>
      <c r="H4641">
        <f>IF(OR(H4640=1,G4641=1),1,0)</f>
        <v/>
      </c>
      <c r="I4641">
        <f>IF(H4640=0,1,SUMPRODUCT(J4640:N4640,B4641:F4641)+O4640*(1+0.00023125256064071564))</f>
        <v/>
      </c>
      <c r="J4641">
        <f>IF(G4641=1,0.2*R4641/B4641,J4640)</f>
        <v/>
      </c>
      <c r="K4641">
        <f>IF(G4641=1,0.2*R4641/C4641,K4640)</f>
        <v/>
      </c>
      <c r="L4641">
        <f>IF(G4641=1,0.2*R4641/D4641,L4640)</f>
        <v/>
      </c>
      <c r="M4641">
        <f>IF(G4641=1,0.2*R4641/E4641,M4640)</f>
        <v/>
      </c>
      <c r="N4641">
        <f>IF(G4641=1,0.2*R4641/F4641,N4640)</f>
        <v/>
      </c>
      <c r="O4641">
        <f>IF(G4641=1,R4641*(1-1.0),IF(H4640=0,1,O4640*(1+0.00023125256064071564)))</f>
        <v/>
      </c>
      <c r="P4641">
        <f>IF(G4641=1,IF(H4640=0,1,ABS(0.2-J4640*B4641/I4641)+ABS(0.2-K4640*C4641/I4641)+ABS(0.2-L4640*D4641/I4641)+ABS(0.2-M4640*E4641/I4641)+ABS(0.2-N4640*F4641/I4641)),0)</f>
        <v/>
      </c>
      <c r="Q4641">
        <f>P4641*0.0015</f>
        <v/>
      </c>
      <c r="R4641">
        <f>I4641*(1-Q4641)</f>
        <v/>
      </c>
      <c r="S4641">
        <f>R4641/R4640-1</f>
        <v/>
      </c>
      <c r="T4641">
        <f>MAX(T4640,R4641)</f>
        <v/>
      </c>
      <c r="U4641">
        <f>R4641/T4641-1</f>
        <v/>
      </c>
      <c r="V4641" t="n">
        <v>23.05843992354595</v>
      </c>
      <c r="W4641" s="5">
        <f>R4641-V4641</f>
        <v/>
      </c>
    </row>
    <row r="4642">
      <c r="A4642" s="3" t="n">
        <v>45275</v>
      </c>
      <c r="B4642">
        <f>Prices!B4642</f>
        <v/>
      </c>
      <c r="C4642">
        <f>Prices!C4642</f>
        <v/>
      </c>
      <c r="D4642">
        <f>Prices!D4642</f>
        <v/>
      </c>
      <c r="E4642">
        <f>Prices!E4642</f>
        <v/>
      </c>
      <c r="F4642">
        <f>Prices!F4642</f>
        <v/>
      </c>
      <c r="G4642">
        <f>IF(AND(4640&gt;=16,TEXT(A4642,"yyyy-mm")&lt;&gt;TEXT(A4643,"yyyy-mm")),1,0)</f>
        <v/>
      </c>
      <c r="H4642">
        <f>IF(OR(H4641=1,G4642=1),1,0)</f>
        <v/>
      </c>
      <c r="I4642">
        <f>IF(H4641=0,1,SUMPRODUCT(J4641:N4641,B4642:F4642)+O4641*(1+0.00023125256064071564))</f>
        <v/>
      </c>
      <c r="J4642">
        <f>IF(G4642=1,0.2*R4642/B4642,J4641)</f>
        <v/>
      </c>
      <c r="K4642">
        <f>IF(G4642=1,0.2*R4642/C4642,K4641)</f>
        <v/>
      </c>
      <c r="L4642">
        <f>IF(G4642=1,0.2*R4642/D4642,L4641)</f>
        <v/>
      </c>
      <c r="M4642">
        <f>IF(G4642=1,0.2*R4642/E4642,M4641)</f>
        <v/>
      </c>
      <c r="N4642">
        <f>IF(G4642=1,0.2*R4642/F4642,N4641)</f>
        <v/>
      </c>
      <c r="O4642">
        <f>IF(G4642=1,R4642*(1-1.0),IF(H4641=0,1,O4641*(1+0.00023125256064071564)))</f>
        <v/>
      </c>
      <c r="P4642">
        <f>IF(G4642=1,IF(H4641=0,1,ABS(0.2-J4641*B4642/I4642)+ABS(0.2-K4641*C4642/I4642)+ABS(0.2-L4641*D4642/I4642)+ABS(0.2-M4641*E4642/I4642)+ABS(0.2-N4641*F4642/I4642)),0)</f>
        <v/>
      </c>
      <c r="Q4642">
        <f>P4642*0.0015</f>
        <v/>
      </c>
      <c r="R4642">
        <f>I4642*(1-Q4642)</f>
        <v/>
      </c>
      <c r="S4642">
        <f>R4642/R4641-1</f>
        <v/>
      </c>
      <c r="T4642">
        <f>MAX(T4641,R4642)</f>
        <v/>
      </c>
      <c r="U4642">
        <f>R4642/T4642-1</f>
        <v/>
      </c>
      <c r="V4642" t="n">
        <v>23.21905737597914</v>
      </c>
      <c r="W4642" s="5">
        <f>R4642-V4642</f>
        <v/>
      </c>
    </row>
    <row r="4643">
      <c r="A4643" s="3" t="n">
        <v>45278</v>
      </c>
      <c r="B4643">
        <f>Prices!B4643</f>
        <v/>
      </c>
      <c r="C4643">
        <f>Prices!C4643</f>
        <v/>
      </c>
      <c r="D4643">
        <f>Prices!D4643</f>
        <v/>
      </c>
      <c r="E4643">
        <f>Prices!E4643</f>
        <v/>
      </c>
      <c r="F4643">
        <f>Prices!F4643</f>
        <v/>
      </c>
      <c r="G4643">
        <f>IF(AND(4641&gt;=16,TEXT(A4643,"yyyy-mm")&lt;&gt;TEXT(A4644,"yyyy-mm")),1,0)</f>
        <v/>
      </c>
      <c r="H4643">
        <f>IF(OR(H4642=1,G4643=1),1,0)</f>
        <v/>
      </c>
      <c r="I4643">
        <f>IF(H4642=0,1,SUMPRODUCT(J4642:N4642,B4643:F4643)+O4642*(1+0.00023125256064071564))</f>
        <v/>
      </c>
      <c r="J4643">
        <f>IF(G4643=1,0.2*R4643/B4643,J4642)</f>
        <v/>
      </c>
      <c r="K4643">
        <f>IF(G4643=1,0.2*R4643/C4643,K4642)</f>
        <v/>
      </c>
      <c r="L4643">
        <f>IF(G4643=1,0.2*R4643/D4643,L4642)</f>
        <v/>
      </c>
      <c r="M4643">
        <f>IF(G4643=1,0.2*R4643/E4643,M4642)</f>
        <v/>
      </c>
      <c r="N4643">
        <f>IF(G4643=1,0.2*R4643/F4643,N4642)</f>
        <v/>
      </c>
      <c r="O4643">
        <f>IF(G4643=1,R4643*(1-1.0),IF(H4642=0,1,O4642*(1+0.00023125256064071564)))</f>
        <v/>
      </c>
      <c r="P4643">
        <f>IF(G4643=1,IF(H4642=0,1,ABS(0.2-J4642*B4643/I4643)+ABS(0.2-K4642*C4643/I4643)+ABS(0.2-L4642*D4643/I4643)+ABS(0.2-M4642*E4643/I4643)+ABS(0.2-N4642*F4643/I4643)),0)</f>
        <v/>
      </c>
      <c r="Q4643">
        <f>P4643*0.0015</f>
        <v/>
      </c>
      <c r="R4643">
        <f>I4643*(1-Q4643)</f>
        <v/>
      </c>
      <c r="S4643">
        <f>R4643/R4642-1</f>
        <v/>
      </c>
      <c r="T4643">
        <f>MAX(T4642,R4643)</f>
        <v/>
      </c>
      <c r="U4643">
        <f>R4643/T4643-1</f>
        <v/>
      </c>
      <c r="V4643" t="n">
        <v>23.27134663003996</v>
      </c>
      <c r="W4643" s="5">
        <f>R4643-V4643</f>
        <v/>
      </c>
    </row>
    <row r="4644">
      <c r="A4644" s="3" t="n">
        <v>45279</v>
      </c>
      <c r="B4644">
        <f>Prices!B4644</f>
        <v/>
      </c>
      <c r="C4644">
        <f>Prices!C4644</f>
        <v/>
      </c>
      <c r="D4644">
        <f>Prices!D4644</f>
        <v/>
      </c>
      <c r="E4644">
        <f>Prices!E4644</f>
        <v/>
      </c>
      <c r="F4644">
        <f>Prices!F4644</f>
        <v/>
      </c>
      <c r="G4644">
        <f>IF(AND(4642&gt;=16,TEXT(A4644,"yyyy-mm")&lt;&gt;TEXT(A4645,"yyyy-mm")),1,0)</f>
        <v/>
      </c>
      <c r="H4644">
        <f>IF(OR(H4643=1,G4644=1),1,0)</f>
        <v/>
      </c>
      <c r="I4644">
        <f>IF(H4643=0,1,SUMPRODUCT(J4643:N4643,B4644:F4644)+O4643*(1+0.00023125256064071564))</f>
        <v/>
      </c>
      <c r="J4644">
        <f>IF(G4644=1,0.2*R4644/B4644,J4643)</f>
        <v/>
      </c>
      <c r="K4644">
        <f>IF(G4644=1,0.2*R4644/C4644,K4643)</f>
        <v/>
      </c>
      <c r="L4644">
        <f>IF(G4644=1,0.2*R4644/D4644,L4643)</f>
        <v/>
      </c>
      <c r="M4644">
        <f>IF(G4644=1,0.2*R4644/E4644,M4643)</f>
        <v/>
      </c>
      <c r="N4644">
        <f>IF(G4644=1,0.2*R4644/F4644,N4643)</f>
        <v/>
      </c>
      <c r="O4644">
        <f>IF(G4644=1,R4644*(1-1.0),IF(H4643=0,1,O4643*(1+0.00023125256064071564)))</f>
        <v/>
      </c>
      <c r="P4644">
        <f>IF(G4644=1,IF(H4643=0,1,ABS(0.2-J4643*B4644/I4644)+ABS(0.2-K4643*C4644/I4644)+ABS(0.2-L4643*D4644/I4644)+ABS(0.2-M4643*E4644/I4644)+ABS(0.2-N4643*F4644/I4644)),0)</f>
        <v/>
      </c>
      <c r="Q4644">
        <f>P4644*0.0015</f>
        <v/>
      </c>
      <c r="R4644">
        <f>I4644*(1-Q4644)</f>
        <v/>
      </c>
      <c r="S4644">
        <f>R4644/R4643-1</f>
        <v/>
      </c>
      <c r="T4644">
        <f>MAX(T4643,R4644)</f>
        <v/>
      </c>
      <c r="U4644">
        <f>R4644/T4644-1</f>
        <v/>
      </c>
      <c r="V4644" t="n">
        <v>23.29511232362667</v>
      </c>
      <c r="W4644" s="5">
        <f>R4644-V4644</f>
        <v/>
      </c>
    </row>
    <row r="4645">
      <c r="A4645" s="3" t="n">
        <v>45280</v>
      </c>
      <c r="B4645">
        <f>Prices!B4645</f>
        <v/>
      </c>
      <c r="C4645">
        <f>Prices!C4645</f>
        <v/>
      </c>
      <c r="D4645">
        <f>Prices!D4645</f>
        <v/>
      </c>
      <c r="E4645">
        <f>Prices!E4645</f>
        <v/>
      </c>
      <c r="F4645">
        <f>Prices!F4645</f>
        <v/>
      </c>
      <c r="G4645">
        <f>IF(AND(4643&gt;=16,TEXT(A4645,"yyyy-mm")&lt;&gt;TEXT(A4646,"yyyy-mm")),1,0)</f>
        <v/>
      </c>
      <c r="H4645">
        <f>IF(OR(H4644=1,G4645=1),1,0)</f>
        <v/>
      </c>
      <c r="I4645">
        <f>IF(H4644=0,1,SUMPRODUCT(J4644:N4644,B4645:F4645)+O4644*(1+0.00023125256064071564))</f>
        <v/>
      </c>
      <c r="J4645">
        <f>IF(G4645=1,0.2*R4645/B4645,J4644)</f>
        <v/>
      </c>
      <c r="K4645">
        <f>IF(G4645=1,0.2*R4645/C4645,K4644)</f>
        <v/>
      </c>
      <c r="L4645">
        <f>IF(G4645=1,0.2*R4645/D4645,L4644)</f>
        <v/>
      </c>
      <c r="M4645">
        <f>IF(G4645=1,0.2*R4645/E4645,M4644)</f>
        <v/>
      </c>
      <c r="N4645">
        <f>IF(G4645=1,0.2*R4645/F4645,N4644)</f>
        <v/>
      </c>
      <c r="O4645">
        <f>IF(G4645=1,R4645*(1-1.0),IF(H4644=0,1,O4644*(1+0.00023125256064071564)))</f>
        <v/>
      </c>
      <c r="P4645">
        <f>IF(G4645=1,IF(H4644=0,1,ABS(0.2-J4644*B4645/I4645)+ABS(0.2-K4644*C4645/I4645)+ABS(0.2-L4644*D4645/I4645)+ABS(0.2-M4644*E4645/I4645)+ABS(0.2-N4644*F4645/I4645)),0)</f>
        <v/>
      </c>
      <c r="Q4645">
        <f>P4645*0.0015</f>
        <v/>
      </c>
      <c r="R4645">
        <f>I4645*(1-Q4645)</f>
        <v/>
      </c>
      <c r="S4645">
        <f>R4645/R4644-1</f>
        <v/>
      </c>
      <c r="T4645">
        <f>MAX(T4644,R4645)</f>
        <v/>
      </c>
      <c r="U4645">
        <f>R4645/T4645-1</f>
        <v/>
      </c>
      <c r="V4645" t="n">
        <v>22.60852759526166</v>
      </c>
      <c r="W4645" s="5">
        <f>R4645-V4645</f>
        <v/>
      </c>
    </row>
    <row r="4646">
      <c r="A4646" s="3" t="n">
        <v>45281</v>
      </c>
      <c r="B4646">
        <f>Prices!B4646</f>
        <v/>
      </c>
      <c r="C4646">
        <f>Prices!C4646</f>
        <v/>
      </c>
      <c r="D4646">
        <f>Prices!D4646</f>
        <v/>
      </c>
      <c r="E4646">
        <f>Prices!E4646</f>
        <v/>
      </c>
      <c r="F4646">
        <f>Prices!F4646</f>
        <v/>
      </c>
      <c r="G4646">
        <f>IF(AND(4644&gt;=16,TEXT(A4646,"yyyy-mm")&lt;&gt;TEXT(A4647,"yyyy-mm")),1,0)</f>
        <v/>
      </c>
      <c r="H4646">
        <f>IF(OR(H4645=1,G4646=1),1,0)</f>
        <v/>
      </c>
      <c r="I4646">
        <f>IF(H4645=0,1,SUMPRODUCT(J4645:N4645,B4646:F4646)+O4645*(1+0.00023125256064071564))</f>
        <v/>
      </c>
      <c r="J4646">
        <f>IF(G4646=1,0.2*R4646/B4646,J4645)</f>
        <v/>
      </c>
      <c r="K4646">
        <f>IF(G4646=1,0.2*R4646/C4646,K4645)</f>
        <v/>
      </c>
      <c r="L4646">
        <f>IF(G4646=1,0.2*R4646/D4646,L4645)</f>
        <v/>
      </c>
      <c r="M4646">
        <f>IF(G4646=1,0.2*R4646/E4646,M4645)</f>
        <v/>
      </c>
      <c r="N4646">
        <f>IF(G4646=1,0.2*R4646/F4646,N4645)</f>
        <v/>
      </c>
      <c r="O4646">
        <f>IF(G4646=1,R4646*(1-1.0),IF(H4645=0,1,O4645*(1+0.00023125256064071564)))</f>
        <v/>
      </c>
      <c r="P4646">
        <f>IF(G4646=1,IF(H4645=0,1,ABS(0.2-J4645*B4646/I4646)+ABS(0.2-K4645*C4646/I4646)+ABS(0.2-L4645*D4646/I4646)+ABS(0.2-M4645*E4646/I4646)+ABS(0.2-N4645*F4646/I4646)),0)</f>
        <v/>
      </c>
      <c r="Q4646">
        <f>P4646*0.0015</f>
        <v/>
      </c>
      <c r="R4646">
        <f>I4646*(1-Q4646)</f>
        <v/>
      </c>
      <c r="S4646">
        <f>R4646/R4645-1</f>
        <v/>
      </c>
      <c r="T4646">
        <f>MAX(T4645,R4646)</f>
        <v/>
      </c>
      <c r="U4646">
        <f>R4646/T4646-1</f>
        <v/>
      </c>
      <c r="V4646" t="n">
        <v>22.93634402646808</v>
      </c>
      <c r="W4646" s="5">
        <f>R4646-V4646</f>
        <v/>
      </c>
    </row>
    <row r="4647">
      <c r="A4647" s="3" t="n">
        <v>45282</v>
      </c>
      <c r="B4647">
        <f>Prices!B4647</f>
        <v/>
      </c>
      <c r="C4647">
        <f>Prices!C4647</f>
        <v/>
      </c>
      <c r="D4647">
        <f>Prices!D4647</f>
        <v/>
      </c>
      <c r="E4647">
        <f>Prices!E4647</f>
        <v/>
      </c>
      <c r="F4647">
        <f>Prices!F4647</f>
        <v/>
      </c>
      <c r="G4647">
        <f>IF(AND(4645&gt;=16,TEXT(A4647,"yyyy-mm")&lt;&gt;TEXT(A4648,"yyyy-mm")),1,0)</f>
        <v/>
      </c>
      <c r="H4647">
        <f>IF(OR(H4646=1,G4647=1),1,0)</f>
        <v/>
      </c>
      <c r="I4647">
        <f>IF(H4646=0,1,SUMPRODUCT(J4646:N4646,B4647:F4647)+O4646*(1+0.00023125256064071564))</f>
        <v/>
      </c>
      <c r="J4647">
        <f>IF(G4647=1,0.2*R4647/B4647,J4646)</f>
        <v/>
      </c>
      <c r="K4647">
        <f>IF(G4647=1,0.2*R4647/C4647,K4646)</f>
        <v/>
      </c>
      <c r="L4647">
        <f>IF(G4647=1,0.2*R4647/D4647,L4646)</f>
        <v/>
      </c>
      <c r="M4647">
        <f>IF(G4647=1,0.2*R4647/E4647,M4646)</f>
        <v/>
      </c>
      <c r="N4647">
        <f>IF(G4647=1,0.2*R4647/F4647,N4646)</f>
        <v/>
      </c>
      <c r="O4647">
        <f>IF(G4647=1,R4647*(1-1.0),IF(H4646=0,1,O4646*(1+0.00023125256064071564)))</f>
        <v/>
      </c>
      <c r="P4647">
        <f>IF(G4647=1,IF(H4646=0,1,ABS(0.2-J4646*B4647/I4647)+ABS(0.2-K4646*C4647/I4647)+ABS(0.2-L4646*D4647/I4647)+ABS(0.2-M4646*E4647/I4647)+ABS(0.2-N4646*F4647/I4647)),0)</f>
        <v/>
      </c>
      <c r="Q4647">
        <f>P4647*0.0015</f>
        <v/>
      </c>
      <c r="R4647">
        <f>I4647*(1-Q4647)</f>
        <v/>
      </c>
      <c r="S4647">
        <f>R4647/R4646-1</f>
        <v/>
      </c>
      <c r="T4647">
        <f>MAX(T4646,R4647)</f>
        <v/>
      </c>
      <c r="U4647">
        <f>R4647/T4647-1</f>
        <v/>
      </c>
      <c r="V4647" t="n">
        <v>23.10045975861481</v>
      </c>
      <c r="W4647" s="5">
        <f>R4647-V4647</f>
        <v/>
      </c>
    </row>
    <row r="4648">
      <c r="A4648" s="3" t="n">
        <v>45286</v>
      </c>
      <c r="B4648">
        <f>Prices!B4648</f>
        <v/>
      </c>
      <c r="C4648">
        <f>Prices!C4648</f>
        <v/>
      </c>
      <c r="D4648">
        <f>Prices!D4648</f>
        <v/>
      </c>
      <c r="E4648">
        <f>Prices!E4648</f>
        <v/>
      </c>
      <c r="F4648">
        <f>Prices!F4648</f>
        <v/>
      </c>
      <c r="G4648">
        <f>IF(AND(4646&gt;=16,TEXT(A4648,"yyyy-mm")&lt;&gt;TEXT(A4649,"yyyy-mm")),1,0)</f>
        <v/>
      </c>
      <c r="H4648">
        <f>IF(OR(H4647=1,G4648=1),1,0)</f>
        <v/>
      </c>
      <c r="I4648">
        <f>IF(H4647=0,1,SUMPRODUCT(J4647:N4647,B4648:F4648)+O4647*(1+0.00023125256064071564))</f>
        <v/>
      </c>
      <c r="J4648">
        <f>IF(G4648=1,0.2*R4648/B4648,J4647)</f>
        <v/>
      </c>
      <c r="K4648">
        <f>IF(G4648=1,0.2*R4648/C4648,K4647)</f>
        <v/>
      </c>
      <c r="L4648">
        <f>IF(G4648=1,0.2*R4648/D4648,L4647)</f>
        <v/>
      </c>
      <c r="M4648">
        <f>IF(G4648=1,0.2*R4648/E4648,M4647)</f>
        <v/>
      </c>
      <c r="N4648">
        <f>IF(G4648=1,0.2*R4648/F4648,N4647)</f>
        <v/>
      </c>
      <c r="O4648">
        <f>IF(G4648=1,R4648*(1-1.0),IF(H4647=0,1,O4647*(1+0.00023125256064071564)))</f>
        <v/>
      </c>
      <c r="P4648">
        <f>IF(G4648=1,IF(H4647=0,1,ABS(0.2-J4647*B4648/I4648)+ABS(0.2-K4647*C4648/I4648)+ABS(0.2-L4647*D4648/I4648)+ABS(0.2-M4647*E4648/I4648)+ABS(0.2-N4647*F4648/I4648)),0)</f>
        <v/>
      </c>
      <c r="Q4648">
        <f>P4648*0.0015</f>
        <v/>
      </c>
      <c r="R4648">
        <f>I4648*(1-Q4648)</f>
        <v/>
      </c>
      <c r="S4648">
        <f>R4648/R4647-1</f>
        <v/>
      </c>
      <c r="T4648">
        <f>MAX(T4647,R4648)</f>
        <v/>
      </c>
      <c r="U4648">
        <f>R4648/T4648-1</f>
        <v/>
      </c>
      <c r="V4648" t="n">
        <v>23.28235354193287</v>
      </c>
      <c r="W4648" s="5">
        <f>R4648-V4648</f>
        <v/>
      </c>
    </row>
    <row r="4649">
      <c r="A4649" s="3" t="n">
        <v>45287</v>
      </c>
      <c r="B4649">
        <f>Prices!B4649</f>
        <v/>
      </c>
      <c r="C4649">
        <f>Prices!C4649</f>
        <v/>
      </c>
      <c r="D4649">
        <f>Prices!D4649</f>
        <v/>
      </c>
      <c r="E4649">
        <f>Prices!E4649</f>
        <v/>
      </c>
      <c r="F4649">
        <f>Prices!F4649</f>
        <v/>
      </c>
      <c r="G4649">
        <f>IF(AND(4647&gt;=16,TEXT(A4649,"yyyy-mm")&lt;&gt;TEXT(A4650,"yyyy-mm")),1,0)</f>
        <v/>
      </c>
      <c r="H4649">
        <f>IF(OR(H4648=1,G4649=1),1,0)</f>
        <v/>
      </c>
      <c r="I4649">
        <f>IF(H4648=0,1,SUMPRODUCT(J4648:N4648,B4649:F4649)+O4648*(1+0.00023125256064071564))</f>
        <v/>
      </c>
      <c r="J4649">
        <f>IF(G4649=1,0.2*R4649/B4649,J4648)</f>
        <v/>
      </c>
      <c r="K4649">
        <f>IF(G4649=1,0.2*R4649/C4649,K4648)</f>
        <v/>
      </c>
      <c r="L4649">
        <f>IF(G4649=1,0.2*R4649/D4649,L4648)</f>
        <v/>
      </c>
      <c r="M4649">
        <f>IF(G4649=1,0.2*R4649/E4649,M4648)</f>
        <v/>
      </c>
      <c r="N4649">
        <f>IF(G4649=1,0.2*R4649/F4649,N4648)</f>
        <v/>
      </c>
      <c r="O4649">
        <f>IF(G4649=1,R4649*(1-1.0),IF(H4648=0,1,O4648*(1+0.00023125256064071564)))</f>
        <v/>
      </c>
      <c r="P4649">
        <f>IF(G4649=1,IF(H4648=0,1,ABS(0.2-J4648*B4649/I4649)+ABS(0.2-K4648*C4649/I4649)+ABS(0.2-L4648*D4649/I4649)+ABS(0.2-M4648*E4649/I4649)+ABS(0.2-N4648*F4649/I4649)),0)</f>
        <v/>
      </c>
      <c r="Q4649">
        <f>P4649*0.0015</f>
        <v/>
      </c>
      <c r="R4649">
        <f>I4649*(1-Q4649)</f>
        <v/>
      </c>
      <c r="S4649">
        <f>R4649/R4648-1</f>
        <v/>
      </c>
      <c r="T4649">
        <f>MAX(T4648,R4649)</f>
        <v/>
      </c>
      <c r="U4649">
        <f>R4649/T4649-1</f>
        <v/>
      </c>
      <c r="V4649" t="n">
        <v>23.34627551873858</v>
      </c>
      <c r="W4649" s="5">
        <f>R4649-V4649</f>
        <v/>
      </c>
    </row>
    <row r="4650">
      <c r="A4650" s="3" t="n">
        <v>45288</v>
      </c>
      <c r="B4650">
        <f>Prices!B4650</f>
        <v/>
      </c>
      <c r="C4650">
        <f>Prices!C4650</f>
        <v/>
      </c>
      <c r="D4650">
        <f>Prices!D4650</f>
        <v/>
      </c>
      <c r="E4650">
        <f>Prices!E4650</f>
        <v/>
      </c>
      <c r="F4650">
        <f>Prices!F4650</f>
        <v/>
      </c>
      <c r="G4650">
        <f>IF(AND(4648&gt;=16,TEXT(A4650,"yyyy-mm")&lt;&gt;TEXT(A4651,"yyyy-mm")),1,0)</f>
        <v/>
      </c>
      <c r="H4650">
        <f>IF(OR(H4649=1,G4650=1),1,0)</f>
        <v/>
      </c>
      <c r="I4650">
        <f>IF(H4649=0,1,SUMPRODUCT(J4649:N4649,B4650:F4650)+O4649*(1+0.00023125256064071564))</f>
        <v/>
      </c>
      <c r="J4650">
        <f>IF(G4650=1,0.2*R4650/B4650,J4649)</f>
        <v/>
      </c>
      <c r="K4650">
        <f>IF(G4650=1,0.2*R4650/C4650,K4649)</f>
        <v/>
      </c>
      <c r="L4650">
        <f>IF(G4650=1,0.2*R4650/D4650,L4649)</f>
        <v/>
      </c>
      <c r="M4650">
        <f>IF(G4650=1,0.2*R4650/E4650,M4649)</f>
        <v/>
      </c>
      <c r="N4650">
        <f>IF(G4650=1,0.2*R4650/F4650,N4649)</f>
        <v/>
      </c>
      <c r="O4650">
        <f>IF(G4650=1,R4650*(1-1.0),IF(H4649=0,1,O4649*(1+0.00023125256064071564)))</f>
        <v/>
      </c>
      <c r="P4650">
        <f>IF(G4650=1,IF(H4649=0,1,ABS(0.2-J4649*B4650/I4650)+ABS(0.2-K4649*C4650/I4650)+ABS(0.2-L4649*D4650/I4650)+ABS(0.2-M4649*E4650/I4650)+ABS(0.2-N4649*F4650/I4650)),0)</f>
        <v/>
      </c>
      <c r="Q4650">
        <f>P4650*0.0015</f>
        <v/>
      </c>
      <c r="R4650">
        <f>I4650*(1-Q4650)</f>
        <v/>
      </c>
      <c r="S4650">
        <f>R4650/R4649-1</f>
        <v/>
      </c>
      <c r="T4650">
        <f>MAX(T4649,R4650)</f>
        <v/>
      </c>
      <c r="U4650">
        <f>R4650/T4650-1</f>
        <v/>
      </c>
      <c r="V4650" t="n">
        <v>23.52110555944023</v>
      </c>
      <c r="W4650" s="5">
        <f>R4650-V4650</f>
        <v/>
      </c>
    </row>
    <row r="4651">
      <c r="A4651" s="3" t="n">
        <v>45289</v>
      </c>
      <c r="B4651">
        <f>Prices!B4651</f>
        <v/>
      </c>
      <c r="C4651">
        <f>Prices!C4651</f>
        <v/>
      </c>
      <c r="D4651">
        <f>Prices!D4651</f>
        <v/>
      </c>
      <c r="E4651">
        <f>Prices!E4651</f>
        <v/>
      </c>
      <c r="F4651">
        <f>Prices!F4651</f>
        <v/>
      </c>
      <c r="G4651">
        <f>IF(AND(4649&gt;=16,TEXT(A4651,"yyyy-mm")&lt;&gt;TEXT(A4652,"yyyy-mm")),1,0)</f>
        <v/>
      </c>
      <c r="H4651">
        <f>IF(OR(H4650=1,G4651=1),1,0)</f>
        <v/>
      </c>
      <c r="I4651">
        <f>IF(H4650=0,1,SUMPRODUCT(J4650:N4650,B4651:F4651)+O4650*(1+0.00023125256064071564))</f>
        <v/>
      </c>
      <c r="J4651">
        <f>IF(G4651=1,0.2*R4651/B4651,J4650)</f>
        <v/>
      </c>
      <c r="K4651">
        <f>IF(G4651=1,0.2*R4651/C4651,K4650)</f>
        <v/>
      </c>
      <c r="L4651">
        <f>IF(G4651=1,0.2*R4651/D4651,L4650)</f>
        <v/>
      </c>
      <c r="M4651">
        <f>IF(G4651=1,0.2*R4651/E4651,M4650)</f>
        <v/>
      </c>
      <c r="N4651">
        <f>IF(G4651=1,0.2*R4651/F4651,N4650)</f>
        <v/>
      </c>
      <c r="O4651">
        <f>IF(G4651=1,R4651*(1-1.0),IF(H4650=0,1,O4650*(1+0.00023125256064071564)))</f>
        <v/>
      </c>
      <c r="P4651">
        <f>IF(G4651=1,IF(H4650=0,1,ABS(0.2-J4650*B4651/I4651)+ABS(0.2-K4650*C4651/I4651)+ABS(0.2-L4650*D4651/I4651)+ABS(0.2-M4650*E4651/I4651)+ABS(0.2-N4650*F4651/I4651)),0)</f>
        <v/>
      </c>
      <c r="Q4651">
        <f>P4651*0.0015</f>
        <v/>
      </c>
      <c r="R4651">
        <f>I4651*(1-Q4651)</f>
        <v/>
      </c>
      <c r="S4651">
        <f>R4651/R4650-1</f>
        <v/>
      </c>
      <c r="T4651">
        <f>MAX(T4650,R4651)</f>
        <v/>
      </c>
      <c r="U4651">
        <f>R4651/T4651-1</f>
        <v/>
      </c>
      <c r="V4651" t="n">
        <v>23.58181965976476</v>
      </c>
      <c r="W4651" s="5">
        <f>R4651-V4651</f>
        <v/>
      </c>
    </row>
    <row r="4652">
      <c r="A4652" s="3" t="n">
        <v>45292</v>
      </c>
      <c r="B4652">
        <f>Prices!B4652</f>
        <v/>
      </c>
      <c r="C4652">
        <f>Prices!C4652</f>
        <v/>
      </c>
      <c r="D4652">
        <f>Prices!D4652</f>
        <v/>
      </c>
      <c r="E4652">
        <f>Prices!E4652</f>
        <v/>
      </c>
      <c r="F4652">
        <f>Prices!F4652</f>
        <v/>
      </c>
      <c r="G4652">
        <f>IF(AND(4650&gt;=16,TEXT(A4652,"yyyy-mm")&lt;&gt;TEXT(A4653,"yyyy-mm")),1,0)</f>
        <v/>
      </c>
      <c r="H4652">
        <f>IF(OR(H4651=1,G4652=1),1,0)</f>
        <v/>
      </c>
      <c r="I4652">
        <f>IF(H4651=0,1,SUMPRODUCT(J4651:N4651,B4652:F4652)+O4651*(1+0.00023125256064071564))</f>
        <v/>
      </c>
      <c r="J4652">
        <f>IF(G4652=1,0.2*R4652/B4652,J4651)</f>
        <v/>
      </c>
      <c r="K4652">
        <f>IF(G4652=1,0.2*R4652/C4652,K4651)</f>
        <v/>
      </c>
      <c r="L4652">
        <f>IF(G4652=1,0.2*R4652/D4652,L4651)</f>
        <v/>
      </c>
      <c r="M4652">
        <f>IF(G4652=1,0.2*R4652/E4652,M4651)</f>
        <v/>
      </c>
      <c r="N4652">
        <f>IF(G4652=1,0.2*R4652/F4652,N4651)</f>
        <v/>
      </c>
      <c r="O4652">
        <f>IF(G4652=1,R4652*(1-1.0),IF(H4651=0,1,O4651*(1+0.00023125256064071564)))</f>
        <v/>
      </c>
      <c r="P4652">
        <f>IF(G4652=1,IF(H4651=0,1,ABS(0.2-J4651*B4652/I4652)+ABS(0.2-K4651*C4652/I4652)+ABS(0.2-L4651*D4652/I4652)+ABS(0.2-M4651*E4652/I4652)+ABS(0.2-N4651*F4652/I4652)),0)</f>
        <v/>
      </c>
      <c r="Q4652">
        <f>P4652*0.0015</f>
        <v/>
      </c>
      <c r="R4652">
        <f>I4652*(1-Q4652)</f>
        <v/>
      </c>
      <c r="S4652">
        <f>R4652/R4651-1</f>
        <v/>
      </c>
      <c r="T4652">
        <f>MAX(T4651,R4652)</f>
        <v/>
      </c>
      <c r="U4652">
        <f>R4652/T4652-1</f>
        <v/>
      </c>
      <c r="V4652" t="n">
        <v>23.6700970774071</v>
      </c>
      <c r="W4652" s="5">
        <f>R4652-V4652</f>
        <v/>
      </c>
    </row>
    <row r="4653">
      <c r="A4653" s="3" t="n">
        <v>45293</v>
      </c>
      <c r="B4653">
        <f>Prices!B4653</f>
        <v/>
      </c>
      <c r="C4653">
        <f>Prices!C4653</f>
        <v/>
      </c>
      <c r="D4653">
        <f>Prices!D4653</f>
        <v/>
      </c>
      <c r="E4653">
        <f>Prices!E4653</f>
        <v/>
      </c>
      <c r="F4653">
        <f>Prices!F4653</f>
        <v/>
      </c>
      <c r="G4653">
        <f>IF(AND(4651&gt;=16,TEXT(A4653,"yyyy-mm")&lt;&gt;TEXT(A4654,"yyyy-mm")),1,0)</f>
        <v/>
      </c>
      <c r="H4653">
        <f>IF(OR(H4652=1,G4653=1),1,0)</f>
        <v/>
      </c>
      <c r="I4653">
        <f>IF(H4652=0,1,SUMPRODUCT(J4652:N4652,B4653:F4653)+O4652*(1+0.00023125256064071564))</f>
        <v/>
      </c>
      <c r="J4653">
        <f>IF(G4653=1,0.2*R4653/B4653,J4652)</f>
        <v/>
      </c>
      <c r="K4653">
        <f>IF(G4653=1,0.2*R4653/C4653,K4652)</f>
        <v/>
      </c>
      <c r="L4653">
        <f>IF(G4653=1,0.2*R4653/D4653,L4652)</f>
        <v/>
      </c>
      <c r="M4653">
        <f>IF(G4653=1,0.2*R4653/E4653,M4652)</f>
        <v/>
      </c>
      <c r="N4653">
        <f>IF(G4653=1,0.2*R4653/F4653,N4652)</f>
        <v/>
      </c>
      <c r="O4653">
        <f>IF(G4653=1,R4653*(1-1.0),IF(H4652=0,1,O4652*(1+0.00023125256064071564)))</f>
        <v/>
      </c>
      <c r="P4653">
        <f>IF(G4653=1,IF(H4652=0,1,ABS(0.2-J4652*B4653/I4653)+ABS(0.2-K4652*C4653/I4653)+ABS(0.2-L4652*D4653/I4653)+ABS(0.2-M4652*E4653/I4653)+ABS(0.2-N4652*F4653/I4653)),0)</f>
        <v/>
      </c>
      <c r="Q4653">
        <f>P4653*0.0015</f>
        <v/>
      </c>
      <c r="R4653">
        <f>I4653*(1-Q4653)</f>
        <v/>
      </c>
      <c r="S4653">
        <f>R4653/R4652-1</f>
        <v/>
      </c>
      <c r="T4653">
        <f>MAX(T4652,R4653)</f>
        <v/>
      </c>
      <c r="U4653">
        <f>R4653/T4653-1</f>
        <v/>
      </c>
      <c r="V4653" t="n">
        <v>23.6592558351911</v>
      </c>
      <c r="W4653" s="5">
        <f>R4653-V4653</f>
        <v/>
      </c>
    </row>
    <row r="4654">
      <c r="A4654" s="3" t="n">
        <v>45294</v>
      </c>
      <c r="B4654">
        <f>Prices!B4654</f>
        <v/>
      </c>
      <c r="C4654">
        <f>Prices!C4654</f>
        <v/>
      </c>
      <c r="D4654">
        <f>Prices!D4654</f>
        <v/>
      </c>
      <c r="E4654">
        <f>Prices!E4654</f>
        <v/>
      </c>
      <c r="F4654">
        <f>Prices!F4654</f>
        <v/>
      </c>
      <c r="G4654">
        <f>IF(AND(4652&gt;=16,TEXT(A4654,"yyyy-mm")&lt;&gt;TEXT(A4655,"yyyy-mm")),1,0)</f>
        <v/>
      </c>
      <c r="H4654">
        <f>IF(OR(H4653=1,G4654=1),1,0)</f>
        <v/>
      </c>
      <c r="I4654">
        <f>IF(H4653=0,1,SUMPRODUCT(J4653:N4653,B4654:F4654)+O4653*(1+0.00023125256064071564))</f>
        <v/>
      </c>
      <c r="J4654">
        <f>IF(G4654=1,0.2*R4654/B4654,J4653)</f>
        <v/>
      </c>
      <c r="K4654">
        <f>IF(G4654=1,0.2*R4654/C4654,K4653)</f>
        <v/>
      </c>
      <c r="L4654">
        <f>IF(G4654=1,0.2*R4654/D4654,L4653)</f>
        <v/>
      </c>
      <c r="M4654">
        <f>IF(G4654=1,0.2*R4654/E4654,M4653)</f>
        <v/>
      </c>
      <c r="N4654">
        <f>IF(G4654=1,0.2*R4654/F4654,N4653)</f>
        <v/>
      </c>
      <c r="O4654">
        <f>IF(G4654=1,R4654*(1-1.0),IF(H4653=0,1,O4653*(1+0.00023125256064071564)))</f>
        <v/>
      </c>
      <c r="P4654">
        <f>IF(G4654=1,IF(H4653=0,1,ABS(0.2-J4653*B4654/I4654)+ABS(0.2-K4653*C4654/I4654)+ABS(0.2-L4653*D4654/I4654)+ABS(0.2-M4653*E4654/I4654)+ABS(0.2-N4653*F4654/I4654)),0)</f>
        <v/>
      </c>
      <c r="Q4654">
        <f>P4654*0.0015</f>
        <v/>
      </c>
      <c r="R4654">
        <f>I4654*(1-Q4654)</f>
        <v/>
      </c>
      <c r="S4654">
        <f>R4654/R4653-1</f>
        <v/>
      </c>
      <c r="T4654">
        <f>MAX(T4653,R4654)</f>
        <v/>
      </c>
      <c r="U4654">
        <f>R4654/T4654-1</f>
        <v/>
      </c>
      <c r="V4654" t="n">
        <v>23.64196706434875</v>
      </c>
      <c r="W4654" s="5">
        <f>R4654-V4654</f>
        <v/>
      </c>
    </row>
    <row r="4655">
      <c r="A4655" s="3" t="n">
        <v>45295</v>
      </c>
      <c r="B4655">
        <f>Prices!B4655</f>
        <v/>
      </c>
      <c r="C4655">
        <f>Prices!C4655</f>
        <v/>
      </c>
      <c r="D4655">
        <f>Prices!D4655</f>
        <v/>
      </c>
      <c r="E4655">
        <f>Prices!E4655</f>
        <v/>
      </c>
      <c r="F4655">
        <f>Prices!F4655</f>
        <v/>
      </c>
      <c r="G4655">
        <f>IF(AND(4653&gt;=16,TEXT(A4655,"yyyy-mm")&lt;&gt;TEXT(A4656,"yyyy-mm")),1,0)</f>
        <v/>
      </c>
      <c r="H4655">
        <f>IF(OR(H4654=1,G4655=1),1,0)</f>
        <v/>
      </c>
      <c r="I4655">
        <f>IF(H4654=0,1,SUMPRODUCT(J4654:N4654,B4655:F4655)+O4654*(1+0.00023125256064071564))</f>
        <v/>
      </c>
      <c r="J4655">
        <f>IF(G4655=1,0.2*R4655/B4655,J4654)</f>
        <v/>
      </c>
      <c r="K4655">
        <f>IF(G4655=1,0.2*R4655/C4655,K4654)</f>
        <v/>
      </c>
      <c r="L4655">
        <f>IF(G4655=1,0.2*R4655/D4655,L4654)</f>
        <v/>
      </c>
      <c r="M4655">
        <f>IF(G4655=1,0.2*R4655/E4655,M4654)</f>
        <v/>
      </c>
      <c r="N4655">
        <f>IF(G4655=1,0.2*R4655/F4655,N4654)</f>
        <v/>
      </c>
      <c r="O4655">
        <f>IF(G4655=1,R4655*(1-1.0),IF(H4654=0,1,O4654*(1+0.00023125256064071564)))</f>
        <v/>
      </c>
      <c r="P4655">
        <f>IF(G4655=1,IF(H4654=0,1,ABS(0.2-J4654*B4655/I4655)+ABS(0.2-K4654*C4655/I4655)+ABS(0.2-L4654*D4655/I4655)+ABS(0.2-M4654*E4655/I4655)+ABS(0.2-N4654*F4655/I4655)),0)</f>
        <v/>
      </c>
      <c r="Q4655">
        <f>P4655*0.0015</f>
        <v/>
      </c>
      <c r="R4655">
        <f>I4655*(1-Q4655)</f>
        <v/>
      </c>
      <c r="S4655">
        <f>R4655/R4654-1</f>
        <v/>
      </c>
      <c r="T4655">
        <f>MAX(T4654,R4655)</f>
        <v/>
      </c>
      <c r="U4655">
        <f>R4655/T4655-1</f>
        <v/>
      </c>
      <c r="V4655" t="n">
        <v>23.89089639495671</v>
      </c>
      <c r="W4655" s="5">
        <f>R4655-V4655</f>
        <v/>
      </c>
    </row>
    <row r="4656">
      <c r="A4656" s="3" t="n">
        <v>45296</v>
      </c>
      <c r="B4656">
        <f>Prices!B4656</f>
        <v/>
      </c>
      <c r="C4656">
        <f>Prices!C4656</f>
        <v/>
      </c>
      <c r="D4656">
        <f>Prices!D4656</f>
        <v/>
      </c>
      <c r="E4656">
        <f>Prices!E4656</f>
        <v/>
      </c>
      <c r="F4656">
        <f>Prices!F4656</f>
        <v/>
      </c>
      <c r="G4656">
        <f>IF(AND(4654&gt;=16,TEXT(A4656,"yyyy-mm")&lt;&gt;TEXT(A4657,"yyyy-mm")),1,0)</f>
        <v/>
      </c>
      <c r="H4656">
        <f>IF(OR(H4655=1,G4656=1),1,0)</f>
        <v/>
      </c>
      <c r="I4656">
        <f>IF(H4655=0,1,SUMPRODUCT(J4655:N4655,B4656:F4656)+O4655*(1+0.00023125256064071564))</f>
        <v/>
      </c>
      <c r="J4656">
        <f>IF(G4656=1,0.2*R4656/B4656,J4655)</f>
        <v/>
      </c>
      <c r="K4656">
        <f>IF(G4656=1,0.2*R4656/C4656,K4655)</f>
        <v/>
      </c>
      <c r="L4656">
        <f>IF(G4656=1,0.2*R4656/D4656,L4655)</f>
        <v/>
      </c>
      <c r="M4656">
        <f>IF(G4656=1,0.2*R4656/E4656,M4655)</f>
        <v/>
      </c>
      <c r="N4656">
        <f>IF(G4656=1,0.2*R4656/F4656,N4655)</f>
        <v/>
      </c>
      <c r="O4656">
        <f>IF(G4656=1,R4656*(1-1.0),IF(H4655=0,1,O4655*(1+0.00023125256064071564)))</f>
        <v/>
      </c>
      <c r="P4656">
        <f>IF(G4656=1,IF(H4655=0,1,ABS(0.2-J4655*B4656/I4656)+ABS(0.2-K4655*C4656/I4656)+ABS(0.2-L4655*D4656/I4656)+ABS(0.2-M4655*E4656/I4656)+ABS(0.2-N4655*F4656/I4656)),0)</f>
        <v/>
      </c>
      <c r="Q4656">
        <f>P4656*0.0015</f>
        <v/>
      </c>
      <c r="R4656">
        <f>I4656*(1-Q4656)</f>
        <v/>
      </c>
      <c r="S4656">
        <f>R4656/R4655-1</f>
        <v/>
      </c>
      <c r="T4656">
        <f>MAX(T4655,R4656)</f>
        <v/>
      </c>
      <c r="U4656">
        <f>R4656/T4656-1</f>
        <v/>
      </c>
      <c r="V4656" t="n">
        <v>23.9497367280238</v>
      </c>
      <c r="W4656" s="5">
        <f>R4656-V4656</f>
        <v/>
      </c>
    </row>
    <row r="4657">
      <c r="A4657" s="3" t="n">
        <v>45299</v>
      </c>
      <c r="B4657">
        <f>Prices!B4657</f>
        <v/>
      </c>
      <c r="C4657">
        <f>Prices!C4657</f>
        <v/>
      </c>
      <c r="D4657">
        <f>Prices!D4657</f>
        <v/>
      </c>
      <c r="E4657">
        <f>Prices!E4657</f>
        <v/>
      </c>
      <c r="F4657">
        <f>Prices!F4657</f>
        <v/>
      </c>
      <c r="G4657">
        <f>IF(AND(4655&gt;=16,TEXT(A4657,"yyyy-mm")&lt;&gt;TEXT(A4658,"yyyy-mm")),1,0)</f>
        <v/>
      </c>
      <c r="H4657">
        <f>IF(OR(H4656=1,G4657=1),1,0)</f>
        <v/>
      </c>
      <c r="I4657">
        <f>IF(H4656=0,1,SUMPRODUCT(J4656:N4656,B4657:F4657)+O4656*(1+0.00023125256064071564))</f>
        <v/>
      </c>
      <c r="J4657">
        <f>IF(G4657=1,0.2*R4657/B4657,J4656)</f>
        <v/>
      </c>
      <c r="K4657">
        <f>IF(G4657=1,0.2*R4657/C4657,K4656)</f>
        <v/>
      </c>
      <c r="L4657">
        <f>IF(G4657=1,0.2*R4657/D4657,L4656)</f>
        <v/>
      </c>
      <c r="M4657">
        <f>IF(G4657=1,0.2*R4657/E4657,M4656)</f>
        <v/>
      </c>
      <c r="N4657">
        <f>IF(G4657=1,0.2*R4657/F4657,N4656)</f>
        <v/>
      </c>
      <c r="O4657">
        <f>IF(G4657=1,R4657*(1-1.0),IF(H4656=0,1,O4656*(1+0.00023125256064071564)))</f>
        <v/>
      </c>
      <c r="P4657">
        <f>IF(G4657=1,IF(H4656=0,1,ABS(0.2-J4656*B4657/I4657)+ABS(0.2-K4656*C4657/I4657)+ABS(0.2-L4656*D4657/I4657)+ABS(0.2-M4656*E4657/I4657)+ABS(0.2-N4656*F4657/I4657)),0)</f>
        <v/>
      </c>
      <c r="Q4657">
        <f>P4657*0.0015</f>
        <v/>
      </c>
      <c r="R4657">
        <f>I4657*(1-Q4657)</f>
        <v/>
      </c>
      <c r="S4657">
        <f>R4657/R4656-1</f>
        <v/>
      </c>
      <c r="T4657">
        <f>MAX(T4656,R4657)</f>
        <v/>
      </c>
      <c r="U4657">
        <f>R4657/T4657-1</f>
        <v/>
      </c>
      <c r="V4657" t="n">
        <v>23.77856912749546</v>
      </c>
      <c r="W4657" s="5">
        <f>R4657-V4657</f>
        <v/>
      </c>
    </row>
    <row r="4658">
      <c r="A4658" s="3" t="n">
        <v>45300</v>
      </c>
      <c r="B4658">
        <f>Prices!B4658</f>
        <v/>
      </c>
      <c r="C4658">
        <f>Prices!C4658</f>
        <v/>
      </c>
      <c r="D4658">
        <f>Prices!D4658</f>
        <v/>
      </c>
      <c r="E4658">
        <f>Prices!E4658</f>
        <v/>
      </c>
      <c r="F4658">
        <f>Prices!F4658</f>
        <v/>
      </c>
      <c r="G4658">
        <f>IF(AND(4656&gt;=16,TEXT(A4658,"yyyy-mm")&lt;&gt;TEXT(A4659,"yyyy-mm")),1,0)</f>
        <v/>
      </c>
      <c r="H4658">
        <f>IF(OR(H4657=1,G4658=1),1,0)</f>
        <v/>
      </c>
      <c r="I4658">
        <f>IF(H4657=0,1,SUMPRODUCT(J4657:N4657,B4658:F4658)+O4657*(1+0.00023125256064071564))</f>
        <v/>
      </c>
      <c r="J4658">
        <f>IF(G4658=1,0.2*R4658/B4658,J4657)</f>
        <v/>
      </c>
      <c r="K4658">
        <f>IF(G4658=1,0.2*R4658/C4658,K4657)</f>
        <v/>
      </c>
      <c r="L4658">
        <f>IF(G4658=1,0.2*R4658/D4658,L4657)</f>
        <v/>
      </c>
      <c r="M4658">
        <f>IF(G4658=1,0.2*R4658/E4658,M4657)</f>
        <v/>
      </c>
      <c r="N4658">
        <f>IF(G4658=1,0.2*R4658/F4658,N4657)</f>
        <v/>
      </c>
      <c r="O4658">
        <f>IF(G4658=1,R4658*(1-1.0),IF(H4657=0,1,O4657*(1+0.00023125256064071564)))</f>
        <v/>
      </c>
      <c r="P4658">
        <f>IF(G4658=1,IF(H4657=0,1,ABS(0.2-J4657*B4658/I4658)+ABS(0.2-K4657*C4658/I4658)+ABS(0.2-L4657*D4658/I4658)+ABS(0.2-M4657*E4658/I4658)+ABS(0.2-N4657*F4658/I4658)),0)</f>
        <v/>
      </c>
      <c r="Q4658">
        <f>P4658*0.0015</f>
        <v/>
      </c>
      <c r="R4658">
        <f>I4658*(1-Q4658)</f>
        <v/>
      </c>
      <c r="S4658">
        <f>R4658/R4657-1</f>
        <v/>
      </c>
      <c r="T4658">
        <f>MAX(T4657,R4658)</f>
        <v/>
      </c>
      <c r="U4658">
        <f>R4658/T4658-1</f>
        <v/>
      </c>
      <c r="V4658" t="n">
        <v>23.80600653355974</v>
      </c>
      <c r="W4658" s="5">
        <f>R4658-V4658</f>
        <v/>
      </c>
    </row>
    <row r="4659">
      <c r="A4659" s="3" t="n">
        <v>45301</v>
      </c>
      <c r="B4659">
        <f>Prices!B4659</f>
        <v/>
      </c>
      <c r="C4659">
        <f>Prices!C4659</f>
        <v/>
      </c>
      <c r="D4659">
        <f>Prices!D4659</f>
        <v/>
      </c>
      <c r="E4659">
        <f>Prices!E4659</f>
        <v/>
      </c>
      <c r="F4659">
        <f>Prices!F4659</f>
        <v/>
      </c>
      <c r="G4659">
        <f>IF(AND(4657&gt;=16,TEXT(A4659,"yyyy-mm")&lt;&gt;TEXT(A4660,"yyyy-mm")),1,0)</f>
        <v/>
      </c>
      <c r="H4659">
        <f>IF(OR(H4658=1,G4659=1),1,0)</f>
        <v/>
      </c>
      <c r="I4659">
        <f>IF(H4658=0,1,SUMPRODUCT(J4658:N4658,B4659:F4659)+O4658*(1+0.00023125256064071564))</f>
        <v/>
      </c>
      <c r="J4659">
        <f>IF(G4659=1,0.2*R4659/B4659,J4658)</f>
        <v/>
      </c>
      <c r="K4659">
        <f>IF(G4659=1,0.2*R4659/C4659,K4658)</f>
        <v/>
      </c>
      <c r="L4659">
        <f>IF(G4659=1,0.2*R4659/D4659,L4658)</f>
        <v/>
      </c>
      <c r="M4659">
        <f>IF(G4659=1,0.2*R4659/E4659,M4658)</f>
        <v/>
      </c>
      <c r="N4659">
        <f>IF(G4659=1,0.2*R4659/F4659,N4658)</f>
        <v/>
      </c>
      <c r="O4659">
        <f>IF(G4659=1,R4659*(1-1.0),IF(H4658=0,1,O4658*(1+0.00023125256064071564)))</f>
        <v/>
      </c>
      <c r="P4659">
        <f>IF(G4659=1,IF(H4658=0,1,ABS(0.2-J4658*B4659/I4659)+ABS(0.2-K4658*C4659/I4659)+ABS(0.2-L4658*D4659/I4659)+ABS(0.2-M4658*E4659/I4659)+ABS(0.2-N4658*F4659/I4659)),0)</f>
        <v/>
      </c>
      <c r="Q4659">
        <f>P4659*0.0015</f>
        <v/>
      </c>
      <c r="R4659">
        <f>I4659*(1-Q4659)</f>
        <v/>
      </c>
      <c r="S4659">
        <f>R4659/R4658-1</f>
        <v/>
      </c>
      <c r="T4659">
        <f>MAX(T4658,R4659)</f>
        <v/>
      </c>
      <c r="U4659">
        <f>R4659/T4659-1</f>
        <v/>
      </c>
      <c r="V4659" t="n">
        <v>23.82556318517215</v>
      </c>
      <c r="W4659" s="5">
        <f>R4659-V4659</f>
        <v/>
      </c>
    </row>
    <row r="4660">
      <c r="A4660" s="3" t="n">
        <v>45302</v>
      </c>
      <c r="B4660">
        <f>Prices!B4660</f>
        <v/>
      </c>
      <c r="C4660">
        <f>Prices!C4660</f>
        <v/>
      </c>
      <c r="D4660">
        <f>Prices!D4660</f>
        <v/>
      </c>
      <c r="E4660">
        <f>Prices!E4660</f>
        <v/>
      </c>
      <c r="F4660">
        <f>Prices!F4660</f>
        <v/>
      </c>
      <c r="G4660">
        <f>IF(AND(4658&gt;=16,TEXT(A4660,"yyyy-mm")&lt;&gt;TEXT(A4661,"yyyy-mm")),1,0)</f>
        <v/>
      </c>
      <c r="H4660">
        <f>IF(OR(H4659=1,G4660=1),1,0)</f>
        <v/>
      </c>
      <c r="I4660">
        <f>IF(H4659=0,1,SUMPRODUCT(J4659:N4659,B4660:F4660)+O4659*(1+0.00023125256064071564))</f>
        <v/>
      </c>
      <c r="J4660">
        <f>IF(G4660=1,0.2*R4660/B4660,J4659)</f>
        <v/>
      </c>
      <c r="K4660">
        <f>IF(G4660=1,0.2*R4660/C4660,K4659)</f>
        <v/>
      </c>
      <c r="L4660">
        <f>IF(G4660=1,0.2*R4660/D4660,L4659)</f>
        <v/>
      </c>
      <c r="M4660">
        <f>IF(G4660=1,0.2*R4660/E4660,M4659)</f>
        <v/>
      </c>
      <c r="N4660">
        <f>IF(G4660=1,0.2*R4660/F4660,N4659)</f>
        <v/>
      </c>
      <c r="O4660">
        <f>IF(G4660=1,R4660*(1-1.0),IF(H4659=0,1,O4659*(1+0.00023125256064071564)))</f>
        <v/>
      </c>
      <c r="P4660">
        <f>IF(G4660=1,IF(H4659=0,1,ABS(0.2-J4659*B4660/I4660)+ABS(0.2-K4659*C4660/I4660)+ABS(0.2-L4659*D4660/I4660)+ABS(0.2-M4659*E4660/I4660)+ABS(0.2-N4659*F4660/I4660)),0)</f>
        <v/>
      </c>
      <c r="Q4660">
        <f>P4660*0.0015</f>
        <v/>
      </c>
      <c r="R4660">
        <f>I4660*(1-Q4660)</f>
        <v/>
      </c>
      <c r="S4660">
        <f>R4660/R4659-1</f>
        <v/>
      </c>
      <c r="T4660">
        <f>MAX(T4659,R4660)</f>
        <v/>
      </c>
      <c r="U4660">
        <f>R4660/T4660-1</f>
        <v/>
      </c>
      <c r="V4660" t="n">
        <v>23.91740727730789</v>
      </c>
      <c r="W4660" s="5">
        <f>R4660-V4660</f>
        <v/>
      </c>
    </row>
    <row r="4661">
      <c r="A4661" s="3" t="n">
        <v>45303</v>
      </c>
      <c r="B4661">
        <f>Prices!B4661</f>
        <v/>
      </c>
      <c r="C4661">
        <f>Prices!C4661</f>
        <v/>
      </c>
      <c r="D4661">
        <f>Prices!D4661</f>
        <v/>
      </c>
      <c r="E4661">
        <f>Prices!E4661</f>
        <v/>
      </c>
      <c r="F4661">
        <f>Prices!F4661</f>
        <v/>
      </c>
      <c r="G4661">
        <f>IF(AND(4659&gt;=16,TEXT(A4661,"yyyy-mm")&lt;&gt;TEXT(A4662,"yyyy-mm")),1,0)</f>
        <v/>
      </c>
      <c r="H4661">
        <f>IF(OR(H4660=1,G4661=1),1,0)</f>
        <v/>
      </c>
      <c r="I4661">
        <f>IF(H4660=0,1,SUMPRODUCT(J4660:N4660,B4661:F4661)+O4660*(1+0.00023125256064071564))</f>
        <v/>
      </c>
      <c r="J4661">
        <f>IF(G4661=1,0.2*R4661/B4661,J4660)</f>
        <v/>
      </c>
      <c r="K4661">
        <f>IF(G4661=1,0.2*R4661/C4661,K4660)</f>
        <v/>
      </c>
      <c r="L4661">
        <f>IF(G4661=1,0.2*R4661/D4661,L4660)</f>
        <v/>
      </c>
      <c r="M4661">
        <f>IF(G4661=1,0.2*R4661/E4661,M4660)</f>
        <v/>
      </c>
      <c r="N4661">
        <f>IF(G4661=1,0.2*R4661/F4661,N4660)</f>
        <v/>
      </c>
      <c r="O4661">
        <f>IF(G4661=1,R4661*(1-1.0),IF(H4660=0,1,O4660*(1+0.00023125256064071564)))</f>
        <v/>
      </c>
      <c r="P4661">
        <f>IF(G4661=1,IF(H4660=0,1,ABS(0.2-J4660*B4661/I4661)+ABS(0.2-K4660*C4661/I4661)+ABS(0.2-L4660*D4661/I4661)+ABS(0.2-M4660*E4661/I4661)+ABS(0.2-N4660*F4661/I4661)),0)</f>
        <v/>
      </c>
      <c r="Q4661">
        <f>P4661*0.0015</f>
        <v/>
      </c>
      <c r="R4661">
        <f>I4661*(1-Q4661)</f>
        <v/>
      </c>
      <c r="S4661">
        <f>R4661/R4660-1</f>
        <v/>
      </c>
      <c r="T4661">
        <f>MAX(T4660,R4661)</f>
        <v/>
      </c>
      <c r="U4661">
        <f>R4661/T4661-1</f>
        <v/>
      </c>
      <c r="V4661" t="n">
        <v>24.07728261084345</v>
      </c>
      <c r="W4661" s="5">
        <f>R4661-V4661</f>
        <v/>
      </c>
    </row>
    <row r="4662">
      <c r="A4662" s="3" t="n">
        <v>45306</v>
      </c>
      <c r="B4662">
        <f>Prices!B4662</f>
        <v/>
      </c>
      <c r="C4662">
        <f>Prices!C4662</f>
        <v/>
      </c>
      <c r="D4662">
        <f>Prices!D4662</f>
        <v/>
      </c>
      <c r="E4662">
        <f>Prices!E4662</f>
        <v/>
      </c>
      <c r="F4662">
        <f>Prices!F4662</f>
        <v/>
      </c>
      <c r="G4662">
        <f>IF(AND(4660&gt;=16,TEXT(A4662,"yyyy-mm")&lt;&gt;TEXT(A4663,"yyyy-mm")),1,0)</f>
        <v/>
      </c>
      <c r="H4662">
        <f>IF(OR(H4661=1,G4662=1),1,0)</f>
        <v/>
      </c>
      <c r="I4662">
        <f>IF(H4661=0,1,SUMPRODUCT(J4661:N4661,B4662:F4662)+O4661*(1+0.00023125256064071564))</f>
        <v/>
      </c>
      <c r="J4662">
        <f>IF(G4662=1,0.2*R4662/B4662,J4661)</f>
        <v/>
      </c>
      <c r="K4662">
        <f>IF(G4662=1,0.2*R4662/C4662,K4661)</f>
        <v/>
      </c>
      <c r="L4662">
        <f>IF(G4662=1,0.2*R4662/D4662,L4661)</f>
        <v/>
      </c>
      <c r="M4662">
        <f>IF(G4662=1,0.2*R4662/E4662,M4661)</f>
        <v/>
      </c>
      <c r="N4662">
        <f>IF(G4662=1,0.2*R4662/F4662,N4661)</f>
        <v/>
      </c>
      <c r="O4662">
        <f>IF(G4662=1,R4662*(1-1.0),IF(H4661=0,1,O4661*(1+0.00023125256064071564)))</f>
        <v/>
      </c>
      <c r="P4662">
        <f>IF(G4662=1,IF(H4661=0,1,ABS(0.2-J4661*B4662/I4662)+ABS(0.2-K4661*C4662/I4662)+ABS(0.2-L4661*D4662/I4662)+ABS(0.2-M4661*E4662/I4662)+ABS(0.2-N4661*F4662/I4662)),0)</f>
        <v/>
      </c>
      <c r="Q4662">
        <f>P4662*0.0015</f>
        <v/>
      </c>
      <c r="R4662">
        <f>I4662*(1-Q4662)</f>
        <v/>
      </c>
      <c r="S4662">
        <f>R4662/R4661-1</f>
        <v/>
      </c>
      <c r="T4662">
        <f>MAX(T4661,R4662)</f>
        <v/>
      </c>
      <c r="U4662">
        <f>R4662/T4662-1</f>
        <v/>
      </c>
      <c r="V4662" t="n">
        <v>24.35188786912886</v>
      </c>
      <c r="W4662" s="5">
        <f>R4662-V4662</f>
        <v/>
      </c>
    </row>
    <row r="4663">
      <c r="A4663" s="3" t="n">
        <v>45307</v>
      </c>
      <c r="B4663">
        <f>Prices!B4663</f>
        <v/>
      </c>
      <c r="C4663">
        <f>Prices!C4663</f>
        <v/>
      </c>
      <c r="D4663">
        <f>Prices!D4663</f>
        <v/>
      </c>
      <c r="E4663">
        <f>Prices!E4663</f>
        <v/>
      </c>
      <c r="F4663">
        <f>Prices!F4663</f>
        <v/>
      </c>
      <c r="G4663">
        <f>IF(AND(4661&gt;=16,TEXT(A4663,"yyyy-mm")&lt;&gt;TEXT(A4664,"yyyy-mm")),1,0)</f>
        <v/>
      </c>
      <c r="H4663">
        <f>IF(OR(H4662=1,G4663=1),1,0)</f>
        <v/>
      </c>
      <c r="I4663">
        <f>IF(H4662=0,1,SUMPRODUCT(J4662:N4662,B4663:F4663)+O4662*(1+0.00023125256064071564))</f>
        <v/>
      </c>
      <c r="J4663">
        <f>IF(G4663=1,0.2*R4663/B4663,J4662)</f>
        <v/>
      </c>
      <c r="K4663">
        <f>IF(G4663=1,0.2*R4663/C4663,K4662)</f>
        <v/>
      </c>
      <c r="L4663">
        <f>IF(G4663=1,0.2*R4663/D4663,L4662)</f>
        <v/>
      </c>
      <c r="M4663">
        <f>IF(G4663=1,0.2*R4663/E4663,M4662)</f>
        <v/>
      </c>
      <c r="N4663">
        <f>IF(G4663=1,0.2*R4663/F4663,N4662)</f>
        <v/>
      </c>
      <c r="O4663">
        <f>IF(G4663=1,R4663*(1-1.0),IF(H4662=0,1,O4662*(1+0.00023125256064071564)))</f>
        <v/>
      </c>
      <c r="P4663">
        <f>IF(G4663=1,IF(H4662=0,1,ABS(0.2-J4662*B4663/I4663)+ABS(0.2-K4662*C4663/I4663)+ABS(0.2-L4662*D4663/I4663)+ABS(0.2-M4662*E4663/I4663)+ABS(0.2-N4662*F4663/I4663)),0)</f>
        <v/>
      </c>
      <c r="Q4663">
        <f>P4663*0.0015</f>
        <v/>
      </c>
      <c r="R4663">
        <f>I4663*(1-Q4663)</f>
        <v/>
      </c>
      <c r="S4663">
        <f>R4663/R4662-1</f>
        <v/>
      </c>
      <c r="T4663">
        <f>MAX(T4662,R4663)</f>
        <v/>
      </c>
      <c r="U4663">
        <f>R4663/T4663-1</f>
        <v/>
      </c>
      <c r="V4663" t="n">
        <v>24.3340212461086</v>
      </c>
      <c r="W4663" s="5">
        <f>R4663-V4663</f>
        <v/>
      </c>
    </row>
    <row r="4664">
      <c r="A4664" s="3" t="n">
        <v>45308</v>
      </c>
      <c r="B4664">
        <f>Prices!B4664</f>
        <v/>
      </c>
      <c r="C4664">
        <f>Prices!C4664</f>
        <v/>
      </c>
      <c r="D4664">
        <f>Prices!D4664</f>
        <v/>
      </c>
      <c r="E4664">
        <f>Prices!E4664</f>
        <v/>
      </c>
      <c r="F4664">
        <f>Prices!F4664</f>
        <v/>
      </c>
      <c r="G4664">
        <f>IF(AND(4662&gt;=16,TEXT(A4664,"yyyy-mm")&lt;&gt;TEXT(A4665,"yyyy-mm")),1,0)</f>
        <v/>
      </c>
      <c r="H4664">
        <f>IF(OR(H4663=1,G4664=1),1,0)</f>
        <v/>
      </c>
      <c r="I4664">
        <f>IF(H4663=0,1,SUMPRODUCT(J4663:N4663,B4664:F4664)+O4663*(1+0.00023125256064071564))</f>
        <v/>
      </c>
      <c r="J4664">
        <f>IF(G4664=1,0.2*R4664/B4664,J4663)</f>
        <v/>
      </c>
      <c r="K4664">
        <f>IF(G4664=1,0.2*R4664/C4664,K4663)</f>
        <v/>
      </c>
      <c r="L4664">
        <f>IF(G4664=1,0.2*R4664/D4664,L4663)</f>
        <v/>
      </c>
      <c r="M4664">
        <f>IF(G4664=1,0.2*R4664/E4664,M4663)</f>
        <v/>
      </c>
      <c r="N4664">
        <f>IF(G4664=1,0.2*R4664/F4664,N4663)</f>
        <v/>
      </c>
      <c r="O4664">
        <f>IF(G4664=1,R4664*(1-1.0),IF(H4663=0,1,O4663*(1+0.00023125256064071564)))</f>
        <v/>
      </c>
      <c r="P4664">
        <f>IF(G4664=1,IF(H4663=0,1,ABS(0.2-J4663*B4664/I4664)+ABS(0.2-K4663*C4664/I4664)+ABS(0.2-L4663*D4664/I4664)+ABS(0.2-M4663*E4664/I4664)+ABS(0.2-N4663*F4664/I4664)),0)</f>
        <v/>
      </c>
      <c r="Q4664">
        <f>P4664*0.0015</f>
        <v/>
      </c>
      <c r="R4664">
        <f>I4664*(1-Q4664)</f>
        <v/>
      </c>
      <c r="S4664">
        <f>R4664/R4663-1</f>
        <v/>
      </c>
      <c r="T4664">
        <f>MAX(T4663,R4664)</f>
        <v/>
      </c>
      <c r="U4664">
        <f>R4664/T4664-1</f>
        <v/>
      </c>
      <c r="V4664" t="n">
        <v>24.09678690921715</v>
      </c>
      <c r="W4664" s="5">
        <f>R4664-V4664</f>
        <v/>
      </c>
    </row>
    <row r="4665">
      <c r="A4665" s="3" t="n">
        <v>45309</v>
      </c>
      <c r="B4665">
        <f>Prices!B4665</f>
        <v/>
      </c>
      <c r="C4665">
        <f>Prices!C4665</f>
        <v/>
      </c>
      <c r="D4665">
        <f>Prices!D4665</f>
        <v/>
      </c>
      <c r="E4665">
        <f>Prices!E4665</f>
        <v/>
      </c>
      <c r="F4665">
        <f>Prices!F4665</f>
        <v/>
      </c>
      <c r="G4665">
        <f>IF(AND(4663&gt;=16,TEXT(A4665,"yyyy-mm")&lt;&gt;TEXT(A4666,"yyyy-mm")),1,0)</f>
        <v/>
      </c>
      <c r="H4665">
        <f>IF(OR(H4664=1,G4665=1),1,0)</f>
        <v/>
      </c>
      <c r="I4665">
        <f>IF(H4664=0,1,SUMPRODUCT(J4664:N4664,B4665:F4665)+O4664*(1+0.00023125256064071564))</f>
        <v/>
      </c>
      <c r="J4665">
        <f>IF(G4665=1,0.2*R4665/B4665,J4664)</f>
        <v/>
      </c>
      <c r="K4665">
        <f>IF(G4665=1,0.2*R4665/C4665,K4664)</f>
        <v/>
      </c>
      <c r="L4665">
        <f>IF(G4665=1,0.2*R4665/D4665,L4664)</f>
        <v/>
      </c>
      <c r="M4665">
        <f>IF(G4665=1,0.2*R4665/E4665,M4664)</f>
        <v/>
      </c>
      <c r="N4665">
        <f>IF(G4665=1,0.2*R4665/F4665,N4664)</f>
        <v/>
      </c>
      <c r="O4665">
        <f>IF(G4665=1,R4665*(1-1.0),IF(H4664=0,1,O4664*(1+0.00023125256064071564)))</f>
        <v/>
      </c>
      <c r="P4665">
        <f>IF(G4665=1,IF(H4664=0,1,ABS(0.2-J4664*B4665/I4665)+ABS(0.2-K4664*C4665/I4665)+ABS(0.2-L4664*D4665/I4665)+ABS(0.2-M4664*E4665/I4665)+ABS(0.2-N4664*F4665/I4665)),0)</f>
        <v/>
      </c>
      <c r="Q4665">
        <f>P4665*0.0015</f>
        <v/>
      </c>
      <c r="R4665">
        <f>I4665*(1-Q4665)</f>
        <v/>
      </c>
      <c r="S4665">
        <f>R4665/R4664-1</f>
        <v/>
      </c>
      <c r="T4665">
        <f>MAX(T4664,R4665)</f>
        <v/>
      </c>
      <c r="U4665">
        <f>R4665/T4665-1</f>
        <v/>
      </c>
      <c r="V4665" t="n">
        <v>24.07650130990722</v>
      </c>
      <c r="W4665" s="5">
        <f>R4665-V4665</f>
        <v/>
      </c>
    </row>
    <row r="4666">
      <c r="A4666" s="3" t="n">
        <v>45310</v>
      </c>
      <c r="B4666">
        <f>Prices!B4666</f>
        <v/>
      </c>
      <c r="C4666">
        <f>Prices!C4666</f>
        <v/>
      </c>
      <c r="D4666">
        <f>Prices!D4666</f>
        <v/>
      </c>
      <c r="E4666">
        <f>Prices!E4666</f>
        <v/>
      </c>
      <c r="F4666">
        <f>Prices!F4666</f>
        <v/>
      </c>
      <c r="G4666">
        <f>IF(AND(4664&gt;=16,TEXT(A4666,"yyyy-mm")&lt;&gt;TEXT(A4667,"yyyy-mm")),1,0)</f>
        <v/>
      </c>
      <c r="H4666">
        <f>IF(OR(H4665=1,G4666=1),1,0)</f>
        <v/>
      </c>
      <c r="I4666">
        <f>IF(H4665=0,1,SUMPRODUCT(J4665:N4665,B4666:F4666)+O4665*(1+0.00023125256064071564))</f>
        <v/>
      </c>
      <c r="J4666">
        <f>IF(G4666=1,0.2*R4666/B4666,J4665)</f>
        <v/>
      </c>
      <c r="K4666">
        <f>IF(G4666=1,0.2*R4666/C4666,K4665)</f>
        <v/>
      </c>
      <c r="L4666">
        <f>IF(G4666=1,0.2*R4666/D4666,L4665)</f>
        <v/>
      </c>
      <c r="M4666">
        <f>IF(G4666=1,0.2*R4666/E4666,M4665)</f>
        <v/>
      </c>
      <c r="N4666">
        <f>IF(G4666=1,0.2*R4666/F4666,N4665)</f>
        <v/>
      </c>
      <c r="O4666">
        <f>IF(G4666=1,R4666*(1-1.0),IF(H4665=0,1,O4665*(1+0.00023125256064071564)))</f>
        <v/>
      </c>
      <c r="P4666">
        <f>IF(G4666=1,IF(H4665=0,1,ABS(0.2-J4665*B4666/I4666)+ABS(0.2-K4665*C4666/I4666)+ABS(0.2-L4665*D4666/I4666)+ABS(0.2-M4665*E4666/I4666)+ABS(0.2-N4665*F4666/I4666)),0)</f>
        <v/>
      </c>
      <c r="Q4666">
        <f>P4666*0.0015</f>
        <v/>
      </c>
      <c r="R4666">
        <f>I4666*(1-Q4666)</f>
        <v/>
      </c>
      <c r="S4666">
        <f>R4666/R4665-1</f>
        <v/>
      </c>
      <c r="T4666">
        <f>MAX(T4665,R4666)</f>
        <v/>
      </c>
      <c r="U4666">
        <f>R4666/T4666-1</f>
        <v/>
      </c>
      <c r="V4666" t="n">
        <v>24.52021124993779</v>
      </c>
      <c r="W4666" s="5">
        <f>R4666-V4666</f>
        <v/>
      </c>
    </row>
    <row r="4667">
      <c r="A4667" s="3" t="n">
        <v>45311</v>
      </c>
      <c r="B4667">
        <f>Prices!B4667</f>
        <v/>
      </c>
      <c r="C4667">
        <f>Prices!C4667</f>
        <v/>
      </c>
      <c r="D4667">
        <f>Prices!D4667</f>
        <v/>
      </c>
      <c r="E4667">
        <f>Prices!E4667</f>
        <v/>
      </c>
      <c r="F4667">
        <f>Prices!F4667</f>
        <v/>
      </c>
      <c r="G4667">
        <f>IF(AND(4665&gt;=16,TEXT(A4667,"yyyy-mm")&lt;&gt;TEXT(A4668,"yyyy-mm")),1,0)</f>
        <v/>
      </c>
      <c r="H4667">
        <f>IF(OR(H4666=1,G4667=1),1,0)</f>
        <v/>
      </c>
      <c r="I4667">
        <f>IF(H4666=0,1,SUMPRODUCT(J4666:N4666,B4667:F4667)+O4666*(1+0.00023125256064071564))</f>
        <v/>
      </c>
      <c r="J4667">
        <f>IF(G4667=1,0.2*R4667/B4667,J4666)</f>
        <v/>
      </c>
      <c r="K4667">
        <f>IF(G4667=1,0.2*R4667/C4667,K4666)</f>
        <v/>
      </c>
      <c r="L4667">
        <f>IF(G4667=1,0.2*R4667/D4667,L4666)</f>
        <v/>
      </c>
      <c r="M4667">
        <f>IF(G4667=1,0.2*R4667/E4667,M4666)</f>
        <v/>
      </c>
      <c r="N4667">
        <f>IF(G4667=1,0.2*R4667/F4667,N4666)</f>
        <v/>
      </c>
      <c r="O4667">
        <f>IF(G4667=1,R4667*(1-1.0),IF(H4666=0,1,O4666*(1+0.00023125256064071564)))</f>
        <v/>
      </c>
      <c r="P4667">
        <f>IF(G4667=1,IF(H4666=0,1,ABS(0.2-J4666*B4667/I4667)+ABS(0.2-K4666*C4667/I4667)+ABS(0.2-L4666*D4667/I4667)+ABS(0.2-M4666*E4667/I4667)+ABS(0.2-N4666*F4667/I4667)),0)</f>
        <v/>
      </c>
      <c r="Q4667">
        <f>P4667*0.0015</f>
        <v/>
      </c>
      <c r="R4667">
        <f>I4667*(1-Q4667)</f>
        <v/>
      </c>
      <c r="S4667">
        <f>R4667/R4666-1</f>
        <v/>
      </c>
      <c r="T4667">
        <f>MAX(T4666,R4667)</f>
        <v/>
      </c>
      <c r="U4667">
        <f>R4667/T4667-1</f>
        <v/>
      </c>
      <c r="V4667" t="n">
        <v>24.66867968372979</v>
      </c>
      <c r="W4667" s="5">
        <f>R4667-V4667</f>
        <v/>
      </c>
    </row>
    <row r="4668">
      <c r="A4668" s="3" t="n">
        <v>45314</v>
      </c>
      <c r="B4668">
        <f>Prices!B4668</f>
        <v/>
      </c>
      <c r="C4668">
        <f>Prices!C4668</f>
        <v/>
      </c>
      <c r="D4668">
        <f>Prices!D4668</f>
        <v/>
      </c>
      <c r="E4668">
        <f>Prices!E4668</f>
        <v/>
      </c>
      <c r="F4668">
        <f>Prices!F4668</f>
        <v/>
      </c>
      <c r="G4668">
        <f>IF(AND(4666&gt;=16,TEXT(A4668,"yyyy-mm")&lt;&gt;TEXT(A4669,"yyyy-mm")),1,0)</f>
        <v/>
      </c>
      <c r="H4668">
        <f>IF(OR(H4667=1,G4668=1),1,0)</f>
        <v/>
      </c>
      <c r="I4668">
        <f>IF(H4667=0,1,SUMPRODUCT(J4667:N4667,B4668:F4668)+O4667*(1+0.00023125256064071564))</f>
        <v/>
      </c>
      <c r="J4668">
        <f>IF(G4668=1,0.2*R4668/B4668,J4667)</f>
        <v/>
      </c>
      <c r="K4668">
        <f>IF(G4668=1,0.2*R4668/C4668,K4667)</f>
        <v/>
      </c>
      <c r="L4668">
        <f>IF(G4668=1,0.2*R4668/D4668,L4667)</f>
        <v/>
      </c>
      <c r="M4668">
        <f>IF(G4668=1,0.2*R4668/E4668,M4667)</f>
        <v/>
      </c>
      <c r="N4668">
        <f>IF(G4668=1,0.2*R4668/F4668,N4667)</f>
        <v/>
      </c>
      <c r="O4668">
        <f>IF(G4668=1,R4668*(1-1.0),IF(H4667=0,1,O4667*(1+0.00023125256064071564)))</f>
        <v/>
      </c>
      <c r="P4668">
        <f>IF(G4668=1,IF(H4667=0,1,ABS(0.2-J4667*B4668/I4668)+ABS(0.2-K4667*C4668/I4668)+ABS(0.2-L4667*D4668/I4668)+ABS(0.2-M4667*E4668/I4668)+ABS(0.2-N4667*F4668/I4668)),0)</f>
        <v/>
      </c>
      <c r="Q4668">
        <f>P4668*0.0015</f>
        <v/>
      </c>
      <c r="R4668">
        <f>I4668*(1-Q4668)</f>
        <v/>
      </c>
      <c r="S4668">
        <f>R4668/R4667-1</f>
        <v/>
      </c>
      <c r="T4668">
        <f>MAX(T4667,R4668)</f>
        <v/>
      </c>
      <c r="U4668">
        <f>R4668/T4668-1</f>
        <v/>
      </c>
      <c r="V4668" t="n">
        <v>23.88237906445869</v>
      </c>
      <c r="W4668" s="5">
        <f>R4668-V4668</f>
        <v/>
      </c>
    </row>
    <row r="4669">
      <c r="A4669" s="3" t="n">
        <v>45315</v>
      </c>
      <c r="B4669">
        <f>Prices!B4669</f>
        <v/>
      </c>
      <c r="C4669">
        <f>Prices!C4669</f>
        <v/>
      </c>
      <c r="D4669">
        <f>Prices!D4669</f>
        <v/>
      </c>
      <c r="E4669">
        <f>Prices!E4669</f>
        <v/>
      </c>
      <c r="F4669">
        <f>Prices!F4669</f>
        <v/>
      </c>
      <c r="G4669">
        <f>IF(AND(4667&gt;=16,TEXT(A4669,"yyyy-mm")&lt;&gt;TEXT(A4670,"yyyy-mm")),1,0)</f>
        <v/>
      </c>
      <c r="H4669">
        <f>IF(OR(H4668=1,G4669=1),1,0)</f>
        <v/>
      </c>
      <c r="I4669">
        <f>IF(H4668=0,1,SUMPRODUCT(J4668:N4668,B4669:F4669)+O4668*(1+0.00023125256064071564))</f>
        <v/>
      </c>
      <c r="J4669">
        <f>IF(G4669=1,0.2*R4669/B4669,J4668)</f>
        <v/>
      </c>
      <c r="K4669">
        <f>IF(G4669=1,0.2*R4669/C4669,K4668)</f>
        <v/>
      </c>
      <c r="L4669">
        <f>IF(G4669=1,0.2*R4669/D4669,L4668)</f>
        <v/>
      </c>
      <c r="M4669">
        <f>IF(G4669=1,0.2*R4669/E4669,M4668)</f>
        <v/>
      </c>
      <c r="N4669">
        <f>IF(G4669=1,0.2*R4669/F4669,N4668)</f>
        <v/>
      </c>
      <c r="O4669">
        <f>IF(G4669=1,R4669*(1-1.0),IF(H4668=0,1,O4668*(1+0.00023125256064071564)))</f>
        <v/>
      </c>
      <c r="P4669">
        <f>IF(G4669=1,IF(H4668=0,1,ABS(0.2-J4668*B4669/I4669)+ABS(0.2-K4668*C4669/I4669)+ABS(0.2-L4668*D4669/I4669)+ABS(0.2-M4668*E4669/I4669)+ABS(0.2-N4668*F4669/I4669)),0)</f>
        <v/>
      </c>
      <c r="Q4669">
        <f>P4669*0.0015</f>
        <v/>
      </c>
      <c r="R4669">
        <f>I4669*(1-Q4669)</f>
        <v/>
      </c>
      <c r="S4669">
        <f>R4669/R4668-1</f>
        <v/>
      </c>
      <c r="T4669">
        <f>MAX(T4668,R4669)</f>
        <v/>
      </c>
      <c r="U4669">
        <f>R4669/T4669-1</f>
        <v/>
      </c>
      <c r="V4669" t="n">
        <v>24.40184188838871</v>
      </c>
      <c r="W4669" s="5">
        <f>R4669-V4669</f>
        <v/>
      </c>
    </row>
    <row r="4670">
      <c r="A4670" s="3" t="n">
        <v>45316</v>
      </c>
      <c r="B4670">
        <f>Prices!B4670</f>
        <v/>
      </c>
      <c r="C4670">
        <f>Prices!C4670</f>
        <v/>
      </c>
      <c r="D4670">
        <f>Prices!D4670</f>
        <v/>
      </c>
      <c r="E4670">
        <f>Prices!E4670</f>
        <v/>
      </c>
      <c r="F4670">
        <f>Prices!F4670</f>
        <v/>
      </c>
      <c r="G4670">
        <f>IF(AND(4668&gt;=16,TEXT(A4670,"yyyy-mm")&lt;&gt;TEXT(A4671,"yyyy-mm")),1,0)</f>
        <v/>
      </c>
      <c r="H4670">
        <f>IF(OR(H4669=1,G4670=1),1,0)</f>
        <v/>
      </c>
      <c r="I4670">
        <f>IF(H4669=0,1,SUMPRODUCT(J4669:N4669,B4670:F4670)+O4669*(1+0.00023125256064071564))</f>
        <v/>
      </c>
      <c r="J4670">
        <f>IF(G4670=1,0.2*R4670/B4670,J4669)</f>
        <v/>
      </c>
      <c r="K4670">
        <f>IF(G4670=1,0.2*R4670/C4670,K4669)</f>
        <v/>
      </c>
      <c r="L4670">
        <f>IF(G4670=1,0.2*R4670/D4670,L4669)</f>
        <v/>
      </c>
      <c r="M4670">
        <f>IF(G4670=1,0.2*R4670/E4670,M4669)</f>
        <v/>
      </c>
      <c r="N4670">
        <f>IF(G4670=1,0.2*R4670/F4670,N4669)</f>
        <v/>
      </c>
      <c r="O4670">
        <f>IF(G4670=1,R4670*(1-1.0),IF(H4669=0,1,O4669*(1+0.00023125256064071564)))</f>
        <v/>
      </c>
      <c r="P4670">
        <f>IF(G4670=1,IF(H4669=0,1,ABS(0.2-J4669*B4670/I4670)+ABS(0.2-K4669*C4670/I4670)+ABS(0.2-L4669*D4670/I4670)+ABS(0.2-M4669*E4670/I4670)+ABS(0.2-N4669*F4670/I4670)),0)</f>
        <v/>
      </c>
      <c r="Q4670">
        <f>P4670*0.0015</f>
        <v/>
      </c>
      <c r="R4670">
        <f>I4670*(1-Q4670)</f>
        <v/>
      </c>
      <c r="S4670">
        <f>R4670/R4669-1</f>
        <v/>
      </c>
      <c r="T4670">
        <f>MAX(T4669,R4670)</f>
        <v/>
      </c>
      <c r="U4670">
        <f>R4670/T4670-1</f>
        <v/>
      </c>
      <c r="V4670" t="n">
        <v>24.39603071918647</v>
      </c>
      <c r="W4670" s="5">
        <f>R4670-V4670</f>
        <v/>
      </c>
    </row>
    <row r="4671">
      <c r="A4671" s="3" t="n">
        <v>45320</v>
      </c>
      <c r="B4671">
        <f>Prices!B4671</f>
        <v/>
      </c>
      <c r="C4671">
        <f>Prices!C4671</f>
        <v/>
      </c>
      <c r="D4671">
        <f>Prices!D4671</f>
        <v/>
      </c>
      <c r="E4671">
        <f>Prices!E4671</f>
        <v/>
      </c>
      <c r="F4671">
        <f>Prices!F4671</f>
        <v/>
      </c>
      <c r="G4671">
        <f>IF(AND(4669&gt;=16,TEXT(A4671,"yyyy-mm")&lt;&gt;TEXT(A4672,"yyyy-mm")),1,0)</f>
        <v/>
      </c>
      <c r="H4671">
        <f>IF(OR(H4670=1,G4671=1),1,0)</f>
        <v/>
      </c>
      <c r="I4671">
        <f>IF(H4670=0,1,SUMPRODUCT(J4670:N4670,B4671:F4671)+O4670*(1+0.00023125256064071564))</f>
        <v/>
      </c>
      <c r="J4671">
        <f>IF(G4671=1,0.2*R4671/B4671,J4670)</f>
        <v/>
      </c>
      <c r="K4671">
        <f>IF(G4671=1,0.2*R4671/C4671,K4670)</f>
        <v/>
      </c>
      <c r="L4671">
        <f>IF(G4671=1,0.2*R4671/D4671,L4670)</f>
        <v/>
      </c>
      <c r="M4671">
        <f>IF(G4671=1,0.2*R4671/E4671,M4670)</f>
        <v/>
      </c>
      <c r="N4671">
        <f>IF(G4671=1,0.2*R4671/F4671,N4670)</f>
        <v/>
      </c>
      <c r="O4671">
        <f>IF(G4671=1,R4671*(1-1.0),IF(H4670=0,1,O4670*(1+0.00023125256064071564)))</f>
        <v/>
      </c>
      <c r="P4671">
        <f>IF(G4671=1,IF(H4670=0,1,ABS(0.2-J4670*B4671/I4671)+ABS(0.2-K4670*C4671/I4671)+ABS(0.2-L4670*D4671/I4671)+ABS(0.2-M4670*E4671/I4671)+ABS(0.2-N4670*F4671/I4671)),0)</f>
        <v/>
      </c>
      <c r="Q4671">
        <f>P4671*0.0015</f>
        <v/>
      </c>
      <c r="R4671">
        <f>I4671*(1-Q4671)</f>
        <v/>
      </c>
      <c r="S4671">
        <f>R4671/R4670-1</f>
        <v/>
      </c>
      <c r="T4671">
        <f>MAX(T4670,R4671)</f>
        <v/>
      </c>
      <c r="U4671">
        <f>R4671/T4671-1</f>
        <v/>
      </c>
      <c r="V4671" t="n">
        <v>24.83549831299561</v>
      </c>
      <c r="W4671" s="5">
        <f>R4671-V4671</f>
        <v/>
      </c>
    </row>
    <row r="4672">
      <c r="A4672" s="3" t="n">
        <v>45321</v>
      </c>
      <c r="B4672">
        <f>Prices!B4672</f>
        <v/>
      </c>
      <c r="C4672">
        <f>Prices!C4672</f>
        <v/>
      </c>
      <c r="D4672">
        <f>Prices!D4672</f>
        <v/>
      </c>
      <c r="E4672">
        <f>Prices!E4672</f>
        <v/>
      </c>
      <c r="F4672">
        <f>Prices!F4672</f>
        <v/>
      </c>
      <c r="G4672">
        <f>IF(AND(4670&gt;=16,TEXT(A4672,"yyyy-mm")&lt;&gt;TEXT(A4673,"yyyy-mm")),1,0)</f>
        <v/>
      </c>
      <c r="H4672">
        <f>IF(OR(H4671=1,G4672=1),1,0)</f>
        <v/>
      </c>
      <c r="I4672">
        <f>IF(H4671=0,1,SUMPRODUCT(J4671:N4671,B4672:F4672)+O4671*(1+0.00023125256064071564))</f>
        <v/>
      </c>
      <c r="J4672">
        <f>IF(G4672=1,0.2*R4672/B4672,J4671)</f>
        <v/>
      </c>
      <c r="K4672">
        <f>IF(G4672=1,0.2*R4672/C4672,K4671)</f>
        <v/>
      </c>
      <c r="L4672">
        <f>IF(G4672=1,0.2*R4672/D4672,L4671)</f>
        <v/>
      </c>
      <c r="M4672">
        <f>IF(G4672=1,0.2*R4672/E4672,M4671)</f>
        <v/>
      </c>
      <c r="N4672">
        <f>IF(G4672=1,0.2*R4672/F4672,N4671)</f>
        <v/>
      </c>
      <c r="O4672">
        <f>IF(G4672=1,R4672*(1-1.0),IF(H4671=0,1,O4671*(1+0.00023125256064071564)))</f>
        <v/>
      </c>
      <c r="P4672">
        <f>IF(G4672=1,IF(H4671=0,1,ABS(0.2-J4671*B4672/I4672)+ABS(0.2-K4671*C4672/I4672)+ABS(0.2-L4671*D4672/I4672)+ABS(0.2-M4671*E4672/I4672)+ABS(0.2-N4671*F4672/I4672)),0)</f>
        <v/>
      </c>
      <c r="Q4672">
        <f>P4672*0.0015</f>
        <v/>
      </c>
      <c r="R4672">
        <f>I4672*(1-Q4672)</f>
        <v/>
      </c>
      <c r="S4672">
        <f>R4672/R4671-1</f>
        <v/>
      </c>
      <c r="T4672">
        <f>MAX(T4671,R4672)</f>
        <v/>
      </c>
      <c r="U4672">
        <f>R4672/T4672-1</f>
        <v/>
      </c>
      <c r="V4672" t="n">
        <v>24.78899583061126</v>
      </c>
      <c r="W4672" s="5">
        <f>R4672-V4672</f>
        <v/>
      </c>
    </row>
    <row r="4673">
      <c r="A4673" s="3" t="n">
        <v>45322</v>
      </c>
      <c r="B4673">
        <f>Prices!B4673</f>
        <v/>
      </c>
      <c r="C4673">
        <f>Prices!C4673</f>
        <v/>
      </c>
      <c r="D4673">
        <f>Prices!D4673</f>
        <v/>
      </c>
      <c r="E4673">
        <f>Prices!E4673</f>
        <v/>
      </c>
      <c r="F4673">
        <f>Prices!F4673</f>
        <v/>
      </c>
      <c r="G4673">
        <f>IF(AND(4671&gt;=16,TEXT(A4673,"yyyy-mm")&lt;&gt;TEXT(A4674,"yyyy-mm")),1,0)</f>
        <v/>
      </c>
      <c r="H4673">
        <f>IF(OR(H4672=1,G4673=1),1,0)</f>
        <v/>
      </c>
      <c r="I4673">
        <f>IF(H4672=0,1,SUMPRODUCT(J4672:N4672,B4673:F4673)+O4672*(1+0.00023125256064071564))</f>
        <v/>
      </c>
      <c r="J4673">
        <f>IF(G4673=1,0.2*R4673/B4673,J4672)</f>
        <v/>
      </c>
      <c r="K4673">
        <f>IF(G4673=1,0.2*R4673/C4673,K4672)</f>
        <v/>
      </c>
      <c r="L4673">
        <f>IF(G4673=1,0.2*R4673/D4673,L4672)</f>
        <v/>
      </c>
      <c r="M4673">
        <f>IF(G4673=1,0.2*R4673/E4673,M4672)</f>
        <v/>
      </c>
      <c r="N4673">
        <f>IF(G4673=1,0.2*R4673/F4673,N4672)</f>
        <v/>
      </c>
      <c r="O4673">
        <f>IF(G4673=1,R4673*(1-1.0),IF(H4672=0,1,O4672*(1+0.00023125256064071564)))</f>
        <v/>
      </c>
      <c r="P4673">
        <f>IF(G4673=1,IF(H4672=0,1,ABS(0.2-J4672*B4673/I4673)+ABS(0.2-K4672*C4673/I4673)+ABS(0.2-L4672*D4673/I4673)+ABS(0.2-M4672*E4673/I4673)+ABS(0.2-N4672*F4673/I4673)),0)</f>
        <v/>
      </c>
      <c r="Q4673">
        <f>P4673*0.0015</f>
        <v/>
      </c>
      <c r="R4673">
        <f>I4673*(1-Q4673)</f>
        <v/>
      </c>
      <c r="S4673">
        <f>R4673/R4672-1</f>
        <v/>
      </c>
      <c r="T4673">
        <f>MAX(T4672,R4673)</f>
        <v/>
      </c>
      <c r="U4673">
        <f>R4673/T4673-1</f>
        <v/>
      </c>
      <c r="V4673" t="n">
        <v>25.21183089386949</v>
      </c>
      <c r="W4673" s="5">
        <f>R4673-V4673</f>
        <v/>
      </c>
    </row>
    <row r="4674">
      <c r="A4674" s="3" t="n">
        <v>45323</v>
      </c>
      <c r="B4674">
        <f>Prices!B4674</f>
        <v/>
      </c>
      <c r="C4674">
        <f>Prices!C4674</f>
        <v/>
      </c>
      <c r="D4674">
        <f>Prices!D4674</f>
        <v/>
      </c>
      <c r="E4674">
        <f>Prices!E4674</f>
        <v/>
      </c>
      <c r="F4674">
        <f>Prices!F4674</f>
        <v/>
      </c>
      <c r="G4674">
        <f>IF(AND(4672&gt;=16,TEXT(A4674,"yyyy-mm")&lt;&gt;TEXT(A4675,"yyyy-mm")),1,0)</f>
        <v/>
      </c>
      <c r="H4674">
        <f>IF(OR(H4673=1,G4674=1),1,0)</f>
        <v/>
      </c>
      <c r="I4674">
        <f>IF(H4673=0,1,SUMPRODUCT(J4673:N4673,B4674:F4674)+O4673*(1+0.00023125256064071564))</f>
        <v/>
      </c>
      <c r="J4674">
        <f>IF(G4674=1,0.2*R4674/B4674,J4673)</f>
        <v/>
      </c>
      <c r="K4674">
        <f>IF(G4674=1,0.2*R4674/C4674,K4673)</f>
        <v/>
      </c>
      <c r="L4674">
        <f>IF(G4674=1,0.2*R4674/D4674,L4673)</f>
        <v/>
      </c>
      <c r="M4674">
        <f>IF(G4674=1,0.2*R4674/E4674,M4673)</f>
        <v/>
      </c>
      <c r="N4674">
        <f>IF(G4674=1,0.2*R4674/F4674,N4673)</f>
        <v/>
      </c>
      <c r="O4674">
        <f>IF(G4674=1,R4674*(1-1.0),IF(H4673=0,1,O4673*(1+0.00023125256064071564)))</f>
        <v/>
      </c>
      <c r="P4674">
        <f>IF(G4674=1,IF(H4673=0,1,ABS(0.2-J4673*B4674/I4674)+ABS(0.2-K4673*C4674/I4674)+ABS(0.2-L4673*D4674/I4674)+ABS(0.2-M4673*E4674/I4674)+ABS(0.2-N4673*F4674/I4674)),0)</f>
        <v/>
      </c>
      <c r="Q4674">
        <f>P4674*0.0015</f>
        <v/>
      </c>
      <c r="R4674">
        <f>I4674*(1-Q4674)</f>
        <v/>
      </c>
      <c r="S4674">
        <f>R4674/R4673-1</f>
        <v/>
      </c>
      <c r="T4674">
        <f>MAX(T4673,R4674)</f>
        <v/>
      </c>
      <c r="U4674">
        <f>R4674/T4674-1</f>
        <v/>
      </c>
      <c r="V4674" t="n">
        <v>25.1412793179056</v>
      </c>
      <c r="W4674" s="5">
        <f>R4674-V4674</f>
        <v/>
      </c>
    </row>
    <row r="4675">
      <c r="A4675" s="3" t="n">
        <v>45324</v>
      </c>
      <c r="B4675">
        <f>Prices!B4675</f>
        <v/>
      </c>
      <c r="C4675">
        <f>Prices!C4675</f>
        <v/>
      </c>
      <c r="D4675">
        <f>Prices!D4675</f>
        <v/>
      </c>
      <c r="E4675">
        <f>Prices!E4675</f>
        <v/>
      </c>
      <c r="F4675">
        <f>Prices!F4675</f>
        <v/>
      </c>
      <c r="G4675">
        <f>IF(AND(4673&gt;=16,TEXT(A4675,"yyyy-mm")&lt;&gt;TEXT(A4676,"yyyy-mm")),1,0)</f>
        <v/>
      </c>
      <c r="H4675">
        <f>IF(OR(H4674=1,G4675=1),1,0)</f>
        <v/>
      </c>
      <c r="I4675">
        <f>IF(H4674=0,1,SUMPRODUCT(J4674:N4674,B4675:F4675)+O4674*(1+0.00023125256064071564))</f>
        <v/>
      </c>
      <c r="J4675">
        <f>IF(G4675=1,0.2*R4675/B4675,J4674)</f>
        <v/>
      </c>
      <c r="K4675">
        <f>IF(G4675=1,0.2*R4675/C4675,K4674)</f>
        <v/>
      </c>
      <c r="L4675">
        <f>IF(G4675=1,0.2*R4675/D4675,L4674)</f>
        <v/>
      </c>
      <c r="M4675">
        <f>IF(G4675=1,0.2*R4675/E4675,M4674)</f>
        <v/>
      </c>
      <c r="N4675">
        <f>IF(G4675=1,0.2*R4675/F4675,N4674)</f>
        <v/>
      </c>
      <c r="O4675">
        <f>IF(G4675=1,R4675*(1-1.0),IF(H4674=0,1,O4674*(1+0.00023125256064071564)))</f>
        <v/>
      </c>
      <c r="P4675">
        <f>IF(G4675=1,IF(H4674=0,1,ABS(0.2-J4674*B4675/I4675)+ABS(0.2-K4674*C4675/I4675)+ABS(0.2-L4674*D4675/I4675)+ABS(0.2-M4674*E4675/I4675)+ABS(0.2-N4674*F4675/I4675)),0)</f>
        <v/>
      </c>
      <c r="Q4675">
        <f>P4675*0.0015</f>
        <v/>
      </c>
      <c r="R4675">
        <f>I4675*(1-Q4675)</f>
        <v/>
      </c>
      <c r="S4675">
        <f>R4675/R4674-1</f>
        <v/>
      </c>
      <c r="T4675">
        <f>MAX(T4674,R4675)</f>
        <v/>
      </c>
      <c r="U4675">
        <f>R4675/T4675-1</f>
        <v/>
      </c>
      <c r="V4675" t="n">
        <v>25.47071119344344</v>
      </c>
      <c r="W4675" s="5">
        <f>R4675-V4675</f>
        <v/>
      </c>
    </row>
    <row r="4676">
      <c r="A4676" s="3" t="n">
        <v>45327</v>
      </c>
      <c r="B4676">
        <f>Prices!B4676</f>
        <v/>
      </c>
      <c r="C4676">
        <f>Prices!C4676</f>
        <v/>
      </c>
      <c r="D4676">
        <f>Prices!D4676</f>
        <v/>
      </c>
      <c r="E4676">
        <f>Prices!E4676</f>
        <v/>
      </c>
      <c r="F4676">
        <f>Prices!F4676</f>
        <v/>
      </c>
      <c r="G4676">
        <f>IF(AND(4674&gt;=16,TEXT(A4676,"yyyy-mm")&lt;&gt;TEXT(A4677,"yyyy-mm")),1,0)</f>
        <v/>
      </c>
      <c r="H4676">
        <f>IF(OR(H4675=1,G4676=1),1,0)</f>
        <v/>
      </c>
      <c r="I4676">
        <f>IF(H4675=0,1,SUMPRODUCT(J4675:N4675,B4676:F4676)+O4675*(1+0.00023125256064071564))</f>
        <v/>
      </c>
      <c r="J4676">
        <f>IF(G4676=1,0.2*R4676/B4676,J4675)</f>
        <v/>
      </c>
      <c r="K4676">
        <f>IF(G4676=1,0.2*R4676/C4676,K4675)</f>
        <v/>
      </c>
      <c r="L4676">
        <f>IF(G4676=1,0.2*R4676/D4676,L4675)</f>
        <v/>
      </c>
      <c r="M4676">
        <f>IF(G4676=1,0.2*R4676/E4676,M4675)</f>
        <v/>
      </c>
      <c r="N4676">
        <f>IF(G4676=1,0.2*R4676/F4676,N4675)</f>
        <v/>
      </c>
      <c r="O4676">
        <f>IF(G4676=1,R4676*(1-1.0),IF(H4675=0,1,O4675*(1+0.00023125256064071564)))</f>
        <v/>
      </c>
      <c r="P4676">
        <f>IF(G4676=1,IF(H4675=0,1,ABS(0.2-J4675*B4676/I4676)+ABS(0.2-K4675*C4676/I4676)+ABS(0.2-L4675*D4676/I4676)+ABS(0.2-M4675*E4676/I4676)+ABS(0.2-N4675*F4676/I4676)),0)</f>
        <v/>
      </c>
      <c r="Q4676">
        <f>P4676*0.0015</f>
        <v/>
      </c>
      <c r="R4676">
        <f>I4676*(1-Q4676)</f>
        <v/>
      </c>
      <c r="S4676">
        <f>R4676/R4675-1</f>
        <v/>
      </c>
      <c r="T4676">
        <f>MAX(T4675,R4676)</f>
        <v/>
      </c>
      <c r="U4676">
        <f>R4676/T4676-1</f>
        <v/>
      </c>
      <c r="V4676" t="n">
        <v>25.49132538245532</v>
      </c>
      <c r="W4676" s="5">
        <f>R4676-V4676</f>
        <v/>
      </c>
    </row>
    <row r="4677">
      <c r="A4677" s="3" t="n">
        <v>45328</v>
      </c>
      <c r="B4677">
        <f>Prices!B4677</f>
        <v/>
      </c>
      <c r="C4677">
        <f>Prices!C4677</f>
        <v/>
      </c>
      <c r="D4677">
        <f>Prices!D4677</f>
        <v/>
      </c>
      <c r="E4677">
        <f>Prices!E4677</f>
        <v/>
      </c>
      <c r="F4677">
        <f>Prices!F4677</f>
        <v/>
      </c>
      <c r="G4677">
        <f>IF(AND(4675&gt;=16,TEXT(A4677,"yyyy-mm")&lt;&gt;TEXT(A4678,"yyyy-mm")),1,0)</f>
        <v/>
      </c>
      <c r="H4677">
        <f>IF(OR(H4676=1,G4677=1),1,0)</f>
        <v/>
      </c>
      <c r="I4677">
        <f>IF(H4676=0,1,SUMPRODUCT(J4676:N4676,B4677:F4677)+O4676*(1+0.00023125256064071564))</f>
        <v/>
      </c>
      <c r="J4677">
        <f>IF(G4677=1,0.2*R4677/B4677,J4676)</f>
        <v/>
      </c>
      <c r="K4677">
        <f>IF(G4677=1,0.2*R4677/C4677,K4676)</f>
        <v/>
      </c>
      <c r="L4677">
        <f>IF(G4677=1,0.2*R4677/D4677,L4676)</f>
        <v/>
      </c>
      <c r="M4677">
        <f>IF(G4677=1,0.2*R4677/E4677,M4676)</f>
        <v/>
      </c>
      <c r="N4677">
        <f>IF(G4677=1,0.2*R4677/F4677,N4676)</f>
        <v/>
      </c>
      <c r="O4677">
        <f>IF(G4677=1,R4677*(1-1.0),IF(H4676=0,1,O4676*(1+0.00023125256064071564)))</f>
        <v/>
      </c>
      <c r="P4677">
        <f>IF(G4677=1,IF(H4676=0,1,ABS(0.2-J4676*B4677/I4677)+ABS(0.2-K4676*C4677/I4677)+ABS(0.2-L4676*D4677/I4677)+ABS(0.2-M4676*E4677/I4677)+ABS(0.2-N4676*F4677/I4677)),0)</f>
        <v/>
      </c>
      <c r="Q4677">
        <f>P4677*0.0015</f>
        <v/>
      </c>
      <c r="R4677">
        <f>I4677*(1-Q4677)</f>
        <v/>
      </c>
      <c r="S4677">
        <f>R4677/R4676-1</f>
        <v/>
      </c>
      <c r="T4677">
        <f>MAX(T4676,R4677)</f>
        <v/>
      </c>
      <c r="U4677">
        <f>R4677/T4677-1</f>
        <v/>
      </c>
      <c r="V4677" t="n">
        <v>25.74670542621665</v>
      </c>
      <c r="W4677" s="5">
        <f>R4677-V4677</f>
        <v/>
      </c>
    </row>
    <row r="4678">
      <c r="A4678" s="3" t="n">
        <v>45329</v>
      </c>
      <c r="B4678">
        <f>Prices!B4678</f>
        <v/>
      </c>
      <c r="C4678">
        <f>Prices!C4678</f>
        <v/>
      </c>
      <c r="D4678">
        <f>Prices!D4678</f>
        <v/>
      </c>
      <c r="E4678">
        <f>Prices!E4678</f>
        <v/>
      </c>
      <c r="F4678">
        <f>Prices!F4678</f>
        <v/>
      </c>
      <c r="G4678">
        <f>IF(AND(4676&gt;=16,TEXT(A4678,"yyyy-mm")&lt;&gt;TEXT(A4679,"yyyy-mm")),1,0)</f>
        <v/>
      </c>
      <c r="H4678">
        <f>IF(OR(H4677=1,G4678=1),1,0)</f>
        <v/>
      </c>
      <c r="I4678">
        <f>IF(H4677=0,1,SUMPRODUCT(J4677:N4677,B4678:F4678)+O4677*(1+0.00023125256064071564))</f>
        <v/>
      </c>
      <c r="J4678">
        <f>IF(G4678=1,0.2*R4678/B4678,J4677)</f>
        <v/>
      </c>
      <c r="K4678">
        <f>IF(G4678=1,0.2*R4678/C4678,K4677)</f>
        <v/>
      </c>
      <c r="L4678">
        <f>IF(G4678=1,0.2*R4678/D4678,L4677)</f>
        <v/>
      </c>
      <c r="M4678">
        <f>IF(G4678=1,0.2*R4678/E4678,M4677)</f>
        <v/>
      </c>
      <c r="N4678">
        <f>IF(G4678=1,0.2*R4678/F4678,N4677)</f>
        <v/>
      </c>
      <c r="O4678">
        <f>IF(G4678=1,R4678*(1-1.0),IF(H4677=0,1,O4677*(1+0.00023125256064071564)))</f>
        <v/>
      </c>
      <c r="P4678">
        <f>IF(G4678=1,IF(H4677=0,1,ABS(0.2-J4677*B4678/I4678)+ABS(0.2-K4677*C4678/I4678)+ABS(0.2-L4677*D4678/I4678)+ABS(0.2-M4677*E4678/I4678)+ABS(0.2-N4677*F4678/I4678)),0)</f>
        <v/>
      </c>
      <c r="Q4678">
        <f>P4678*0.0015</f>
        <v/>
      </c>
      <c r="R4678">
        <f>I4678*(1-Q4678)</f>
        <v/>
      </c>
      <c r="S4678">
        <f>R4678/R4677-1</f>
        <v/>
      </c>
      <c r="T4678">
        <f>MAX(T4677,R4678)</f>
        <v/>
      </c>
      <c r="U4678">
        <f>R4678/T4678-1</f>
        <v/>
      </c>
      <c r="V4678" t="n">
        <v>25.91234403309346</v>
      </c>
      <c r="W4678" s="5">
        <f>R4678-V4678</f>
        <v/>
      </c>
    </row>
    <row r="4679">
      <c r="A4679" s="3" t="n">
        <v>45330</v>
      </c>
      <c r="B4679">
        <f>Prices!B4679</f>
        <v/>
      </c>
      <c r="C4679">
        <f>Prices!C4679</f>
        <v/>
      </c>
      <c r="D4679">
        <f>Prices!D4679</f>
        <v/>
      </c>
      <c r="E4679">
        <f>Prices!E4679</f>
        <v/>
      </c>
      <c r="F4679">
        <f>Prices!F4679</f>
        <v/>
      </c>
      <c r="G4679">
        <f>IF(AND(4677&gt;=16,TEXT(A4679,"yyyy-mm")&lt;&gt;TEXT(A4680,"yyyy-mm")),1,0)</f>
        <v/>
      </c>
      <c r="H4679">
        <f>IF(OR(H4678=1,G4679=1),1,0)</f>
        <v/>
      </c>
      <c r="I4679">
        <f>IF(H4678=0,1,SUMPRODUCT(J4678:N4678,B4679:F4679)+O4678*(1+0.00023125256064071564))</f>
        <v/>
      </c>
      <c r="J4679">
        <f>IF(G4679=1,0.2*R4679/B4679,J4678)</f>
        <v/>
      </c>
      <c r="K4679">
        <f>IF(G4679=1,0.2*R4679/C4679,K4678)</f>
        <v/>
      </c>
      <c r="L4679">
        <f>IF(G4679=1,0.2*R4679/D4679,L4678)</f>
        <v/>
      </c>
      <c r="M4679">
        <f>IF(G4679=1,0.2*R4679/E4679,M4678)</f>
        <v/>
      </c>
      <c r="N4679">
        <f>IF(G4679=1,0.2*R4679/F4679,N4678)</f>
        <v/>
      </c>
      <c r="O4679">
        <f>IF(G4679=1,R4679*(1-1.0),IF(H4678=0,1,O4678*(1+0.00023125256064071564)))</f>
        <v/>
      </c>
      <c r="P4679">
        <f>IF(G4679=1,IF(H4678=0,1,ABS(0.2-J4678*B4679/I4679)+ABS(0.2-K4678*C4679/I4679)+ABS(0.2-L4678*D4679/I4679)+ABS(0.2-M4678*E4679/I4679)+ABS(0.2-N4678*F4679/I4679)),0)</f>
        <v/>
      </c>
      <c r="Q4679">
        <f>P4679*0.0015</f>
        <v/>
      </c>
      <c r="R4679">
        <f>I4679*(1-Q4679)</f>
        <v/>
      </c>
      <c r="S4679">
        <f>R4679/R4678-1</f>
        <v/>
      </c>
      <c r="T4679">
        <f>MAX(T4678,R4679)</f>
        <v/>
      </c>
      <c r="U4679">
        <f>R4679/T4679-1</f>
        <v/>
      </c>
      <c r="V4679" t="n">
        <v>25.95000549124244</v>
      </c>
      <c r="W4679" s="5">
        <f>R4679-V4679</f>
        <v/>
      </c>
    </row>
    <row r="4680">
      <c r="A4680" s="3" t="n">
        <v>45331</v>
      </c>
      <c r="B4680">
        <f>Prices!B4680</f>
        <v/>
      </c>
      <c r="C4680">
        <f>Prices!C4680</f>
        <v/>
      </c>
      <c r="D4680">
        <f>Prices!D4680</f>
        <v/>
      </c>
      <c r="E4680">
        <f>Prices!E4680</f>
        <v/>
      </c>
      <c r="F4680">
        <f>Prices!F4680</f>
        <v/>
      </c>
      <c r="G4680">
        <f>IF(AND(4678&gt;=16,TEXT(A4680,"yyyy-mm")&lt;&gt;TEXT(A4681,"yyyy-mm")),1,0)</f>
        <v/>
      </c>
      <c r="H4680">
        <f>IF(OR(H4679=1,G4680=1),1,0)</f>
        <v/>
      </c>
      <c r="I4680">
        <f>IF(H4679=0,1,SUMPRODUCT(J4679:N4679,B4680:F4680)+O4679*(1+0.00023125256064071564))</f>
        <v/>
      </c>
      <c r="J4680">
        <f>IF(G4680=1,0.2*R4680/B4680,J4679)</f>
        <v/>
      </c>
      <c r="K4680">
        <f>IF(G4680=1,0.2*R4680/C4680,K4679)</f>
        <v/>
      </c>
      <c r="L4680">
        <f>IF(G4680=1,0.2*R4680/D4680,L4679)</f>
        <v/>
      </c>
      <c r="M4680">
        <f>IF(G4680=1,0.2*R4680/E4680,M4679)</f>
        <v/>
      </c>
      <c r="N4680">
        <f>IF(G4680=1,0.2*R4680/F4680,N4679)</f>
        <v/>
      </c>
      <c r="O4680">
        <f>IF(G4680=1,R4680*(1-1.0),IF(H4679=0,1,O4679*(1+0.00023125256064071564)))</f>
        <v/>
      </c>
      <c r="P4680">
        <f>IF(G4680=1,IF(H4679=0,1,ABS(0.2-J4679*B4680/I4680)+ABS(0.2-K4679*C4680/I4680)+ABS(0.2-L4679*D4680/I4680)+ABS(0.2-M4679*E4680/I4680)+ABS(0.2-N4679*F4680/I4680)),0)</f>
        <v/>
      </c>
      <c r="Q4680">
        <f>P4680*0.0015</f>
        <v/>
      </c>
      <c r="R4680">
        <f>I4680*(1-Q4680)</f>
        <v/>
      </c>
      <c r="S4680">
        <f>R4680/R4679-1</f>
        <v/>
      </c>
      <c r="T4680">
        <f>MAX(T4679,R4680)</f>
        <v/>
      </c>
      <c r="U4680">
        <f>R4680/T4680-1</f>
        <v/>
      </c>
      <c r="V4680" t="n">
        <v>25.61864376061331</v>
      </c>
      <c r="W4680" s="5">
        <f>R4680-V4680</f>
        <v/>
      </c>
    </row>
    <row r="4681">
      <c r="A4681" s="3" t="n">
        <v>45334</v>
      </c>
      <c r="B4681">
        <f>Prices!B4681</f>
        <v/>
      </c>
      <c r="C4681">
        <f>Prices!C4681</f>
        <v/>
      </c>
      <c r="D4681">
        <f>Prices!D4681</f>
        <v/>
      </c>
      <c r="E4681">
        <f>Prices!E4681</f>
        <v/>
      </c>
      <c r="F4681">
        <f>Prices!F4681</f>
        <v/>
      </c>
      <c r="G4681">
        <f>IF(AND(4679&gt;=16,TEXT(A4681,"yyyy-mm")&lt;&gt;TEXT(A4682,"yyyy-mm")),1,0)</f>
        <v/>
      </c>
      <c r="H4681">
        <f>IF(OR(H4680=1,G4681=1),1,0)</f>
        <v/>
      </c>
      <c r="I4681">
        <f>IF(H4680=0,1,SUMPRODUCT(J4680:N4680,B4681:F4681)+O4680*(1+0.00023125256064071564))</f>
        <v/>
      </c>
      <c r="J4681">
        <f>IF(G4681=1,0.2*R4681/B4681,J4680)</f>
        <v/>
      </c>
      <c r="K4681">
        <f>IF(G4681=1,0.2*R4681/C4681,K4680)</f>
        <v/>
      </c>
      <c r="L4681">
        <f>IF(G4681=1,0.2*R4681/D4681,L4680)</f>
        <v/>
      </c>
      <c r="M4681">
        <f>IF(G4681=1,0.2*R4681/E4681,M4680)</f>
        <v/>
      </c>
      <c r="N4681">
        <f>IF(G4681=1,0.2*R4681/F4681,N4680)</f>
        <v/>
      </c>
      <c r="O4681">
        <f>IF(G4681=1,R4681*(1-1.0),IF(H4680=0,1,O4680*(1+0.00023125256064071564)))</f>
        <v/>
      </c>
      <c r="P4681">
        <f>IF(G4681=1,IF(H4680=0,1,ABS(0.2-J4680*B4681/I4681)+ABS(0.2-K4680*C4681/I4681)+ABS(0.2-L4680*D4681/I4681)+ABS(0.2-M4680*E4681/I4681)+ABS(0.2-N4680*F4681/I4681)),0)</f>
        <v/>
      </c>
      <c r="Q4681">
        <f>P4681*0.0015</f>
        <v/>
      </c>
      <c r="R4681">
        <f>I4681*(1-Q4681)</f>
        <v/>
      </c>
      <c r="S4681">
        <f>R4681/R4680-1</f>
        <v/>
      </c>
      <c r="T4681">
        <f>MAX(T4680,R4681)</f>
        <v/>
      </c>
      <c r="U4681">
        <f>R4681/T4681-1</f>
        <v/>
      </c>
      <c r="V4681" t="n">
        <v>24.88198578847323</v>
      </c>
      <c r="W4681" s="5">
        <f>R4681-V4681</f>
        <v/>
      </c>
    </row>
    <row r="4682">
      <c r="A4682" s="3" t="n">
        <v>45335</v>
      </c>
      <c r="B4682">
        <f>Prices!B4682</f>
        <v/>
      </c>
      <c r="C4682">
        <f>Prices!C4682</f>
        <v/>
      </c>
      <c r="D4682">
        <f>Prices!D4682</f>
        <v/>
      </c>
      <c r="E4682">
        <f>Prices!E4682</f>
        <v/>
      </c>
      <c r="F4682">
        <f>Prices!F4682</f>
        <v/>
      </c>
      <c r="G4682">
        <f>IF(AND(4680&gt;=16,TEXT(A4682,"yyyy-mm")&lt;&gt;TEXT(A4683,"yyyy-mm")),1,0)</f>
        <v/>
      </c>
      <c r="H4682">
        <f>IF(OR(H4681=1,G4682=1),1,0)</f>
        <v/>
      </c>
      <c r="I4682">
        <f>IF(H4681=0,1,SUMPRODUCT(J4681:N4681,B4682:F4682)+O4681*(1+0.00023125256064071564))</f>
        <v/>
      </c>
      <c r="J4682">
        <f>IF(G4682=1,0.2*R4682/B4682,J4681)</f>
        <v/>
      </c>
      <c r="K4682">
        <f>IF(G4682=1,0.2*R4682/C4682,K4681)</f>
        <v/>
      </c>
      <c r="L4682">
        <f>IF(G4682=1,0.2*R4682/D4682,L4681)</f>
        <v/>
      </c>
      <c r="M4682">
        <f>IF(G4682=1,0.2*R4682/E4682,M4681)</f>
        <v/>
      </c>
      <c r="N4682">
        <f>IF(G4682=1,0.2*R4682/F4682,N4681)</f>
        <v/>
      </c>
      <c r="O4682">
        <f>IF(G4682=1,R4682*(1-1.0),IF(H4681=0,1,O4681*(1+0.00023125256064071564)))</f>
        <v/>
      </c>
      <c r="P4682">
        <f>IF(G4682=1,IF(H4681=0,1,ABS(0.2-J4681*B4682/I4682)+ABS(0.2-K4681*C4682/I4682)+ABS(0.2-L4681*D4682/I4682)+ABS(0.2-M4681*E4682/I4682)+ABS(0.2-N4681*F4682/I4682)),0)</f>
        <v/>
      </c>
      <c r="Q4682">
        <f>P4682*0.0015</f>
        <v/>
      </c>
      <c r="R4682">
        <f>I4682*(1-Q4682)</f>
        <v/>
      </c>
      <c r="S4682">
        <f>R4682/R4681-1</f>
        <v/>
      </c>
      <c r="T4682">
        <f>MAX(T4681,R4682)</f>
        <v/>
      </c>
      <c r="U4682">
        <f>R4682/T4682-1</f>
        <v/>
      </c>
      <c r="V4682" t="n">
        <v>25.03930675335557</v>
      </c>
      <c r="W4682" s="5">
        <f>R4682-V4682</f>
        <v/>
      </c>
    </row>
    <row r="4683">
      <c r="A4683" s="3" t="n">
        <v>45336</v>
      </c>
      <c r="B4683">
        <f>Prices!B4683</f>
        <v/>
      </c>
      <c r="C4683">
        <f>Prices!C4683</f>
        <v/>
      </c>
      <c r="D4683">
        <f>Prices!D4683</f>
        <v/>
      </c>
      <c r="E4683">
        <f>Prices!E4683</f>
        <v/>
      </c>
      <c r="F4683">
        <f>Prices!F4683</f>
        <v/>
      </c>
      <c r="G4683">
        <f>IF(AND(4681&gt;=16,TEXT(A4683,"yyyy-mm")&lt;&gt;TEXT(A4684,"yyyy-mm")),1,0)</f>
        <v/>
      </c>
      <c r="H4683">
        <f>IF(OR(H4682=1,G4683=1),1,0)</f>
        <v/>
      </c>
      <c r="I4683">
        <f>IF(H4682=0,1,SUMPRODUCT(J4682:N4682,B4683:F4683)+O4682*(1+0.00023125256064071564))</f>
        <v/>
      </c>
      <c r="J4683">
        <f>IF(G4683=1,0.2*R4683/B4683,J4682)</f>
        <v/>
      </c>
      <c r="K4683">
        <f>IF(G4683=1,0.2*R4683/C4683,K4682)</f>
        <v/>
      </c>
      <c r="L4683">
        <f>IF(G4683=1,0.2*R4683/D4683,L4682)</f>
        <v/>
      </c>
      <c r="M4683">
        <f>IF(G4683=1,0.2*R4683/E4683,M4682)</f>
        <v/>
      </c>
      <c r="N4683">
        <f>IF(G4683=1,0.2*R4683/F4683,N4682)</f>
        <v/>
      </c>
      <c r="O4683">
        <f>IF(G4683=1,R4683*(1-1.0),IF(H4682=0,1,O4682*(1+0.00023125256064071564)))</f>
        <v/>
      </c>
      <c r="P4683">
        <f>IF(G4683=1,IF(H4682=0,1,ABS(0.2-J4682*B4683/I4683)+ABS(0.2-K4682*C4683/I4683)+ABS(0.2-L4682*D4683/I4683)+ABS(0.2-M4682*E4683/I4683)+ABS(0.2-N4682*F4683/I4683)),0)</f>
        <v/>
      </c>
      <c r="Q4683">
        <f>P4683*0.0015</f>
        <v/>
      </c>
      <c r="R4683">
        <f>I4683*(1-Q4683)</f>
        <v/>
      </c>
      <c r="S4683">
        <f>R4683/R4682-1</f>
        <v/>
      </c>
      <c r="T4683">
        <f>MAX(T4682,R4683)</f>
        <v/>
      </c>
      <c r="U4683">
        <f>R4683/T4683-1</f>
        <v/>
      </c>
      <c r="V4683" t="n">
        <v>25.41586542835553</v>
      </c>
      <c r="W4683" s="5">
        <f>R4683-V4683</f>
        <v/>
      </c>
    </row>
    <row r="4684">
      <c r="A4684" s="3" t="n">
        <v>45337</v>
      </c>
      <c r="B4684">
        <f>Prices!B4684</f>
        <v/>
      </c>
      <c r="C4684">
        <f>Prices!C4684</f>
        <v/>
      </c>
      <c r="D4684">
        <f>Prices!D4684</f>
        <v/>
      </c>
      <c r="E4684">
        <f>Prices!E4684</f>
        <v/>
      </c>
      <c r="F4684">
        <f>Prices!F4684</f>
        <v/>
      </c>
      <c r="G4684">
        <f>IF(AND(4682&gt;=16,TEXT(A4684,"yyyy-mm")&lt;&gt;TEXT(A4685,"yyyy-mm")),1,0)</f>
        <v/>
      </c>
      <c r="H4684">
        <f>IF(OR(H4683=1,G4684=1),1,0)</f>
        <v/>
      </c>
      <c r="I4684">
        <f>IF(H4683=0,1,SUMPRODUCT(J4683:N4683,B4684:F4684)+O4683*(1+0.00023125256064071564))</f>
        <v/>
      </c>
      <c r="J4684">
        <f>IF(G4684=1,0.2*R4684/B4684,J4683)</f>
        <v/>
      </c>
      <c r="K4684">
        <f>IF(G4684=1,0.2*R4684/C4684,K4683)</f>
        <v/>
      </c>
      <c r="L4684">
        <f>IF(G4684=1,0.2*R4684/D4684,L4683)</f>
        <v/>
      </c>
      <c r="M4684">
        <f>IF(G4684=1,0.2*R4684/E4684,M4683)</f>
        <v/>
      </c>
      <c r="N4684">
        <f>IF(G4684=1,0.2*R4684/F4684,N4683)</f>
        <v/>
      </c>
      <c r="O4684">
        <f>IF(G4684=1,R4684*(1-1.0),IF(H4683=0,1,O4683*(1+0.00023125256064071564)))</f>
        <v/>
      </c>
      <c r="P4684">
        <f>IF(G4684=1,IF(H4683=0,1,ABS(0.2-J4683*B4684/I4684)+ABS(0.2-K4683*C4684/I4684)+ABS(0.2-L4683*D4684/I4684)+ABS(0.2-M4683*E4684/I4684)+ABS(0.2-N4683*F4684/I4684)),0)</f>
        <v/>
      </c>
      <c r="Q4684">
        <f>P4684*0.0015</f>
        <v/>
      </c>
      <c r="R4684">
        <f>I4684*(1-Q4684)</f>
        <v/>
      </c>
      <c r="S4684">
        <f>R4684/R4683-1</f>
        <v/>
      </c>
      <c r="T4684">
        <f>MAX(T4683,R4684)</f>
        <v/>
      </c>
      <c r="U4684">
        <f>R4684/T4684-1</f>
        <v/>
      </c>
      <c r="V4684" t="n">
        <v>25.75382431189339</v>
      </c>
      <c r="W4684" s="5">
        <f>R4684-V4684</f>
        <v/>
      </c>
    </row>
    <row r="4685">
      <c r="A4685" s="3" t="n">
        <v>45338</v>
      </c>
      <c r="B4685">
        <f>Prices!B4685</f>
        <v/>
      </c>
      <c r="C4685">
        <f>Prices!C4685</f>
        <v/>
      </c>
      <c r="D4685">
        <f>Prices!D4685</f>
        <v/>
      </c>
      <c r="E4685">
        <f>Prices!E4685</f>
        <v/>
      </c>
      <c r="F4685">
        <f>Prices!F4685</f>
        <v/>
      </c>
      <c r="G4685">
        <f>IF(AND(4683&gt;=16,TEXT(A4685,"yyyy-mm")&lt;&gt;TEXT(A4686,"yyyy-mm")),1,0)</f>
        <v/>
      </c>
      <c r="H4685">
        <f>IF(OR(H4684=1,G4685=1),1,0)</f>
        <v/>
      </c>
      <c r="I4685">
        <f>IF(H4684=0,1,SUMPRODUCT(J4684:N4684,B4685:F4685)+O4684*(1+0.00023125256064071564))</f>
        <v/>
      </c>
      <c r="J4685">
        <f>IF(G4685=1,0.2*R4685/B4685,J4684)</f>
        <v/>
      </c>
      <c r="K4685">
        <f>IF(G4685=1,0.2*R4685/C4685,K4684)</f>
        <v/>
      </c>
      <c r="L4685">
        <f>IF(G4685=1,0.2*R4685/D4685,L4684)</f>
        <v/>
      </c>
      <c r="M4685">
        <f>IF(G4685=1,0.2*R4685/E4685,M4684)</f>
        <v/>
      </c>
      <c r="N4685">
        <f>IF(G4685=1,0.2*R4685/F4685,N4684)</f>
        <v/>
      </c>
      <c r="O4685">
        <f>IF(G4685=1,R4685*(1-1.0),IF(H4684=0,1,O4684*(1+0.00023125256064071564)))</f>
        <v/>
      </c>
      <c r="P4685">
        <f>IF(G4685=1,IF(H4684=0,1,ABS(0.2-J4684*B4685/I4685)+ABS(0.2-K4684*C4685/I4685)+ABS(0.2-L4684*D4685/I4685)+ABS(0.2-M4684*E4685/I4685)+ABS(0.2-N4684*F4685/I4685)),0)</f>
        <v/>
      </c>
      <c r="Q4685">
        <f>P4685*0.0015</f>
        <v/>
      </c>
      <c r="R4685">
        <f>I4685*(1-Q4685)</f>
        <v/>
      </c>
      <c r="S4685">
        <f>R4685/R4684-1</f>
        <v/>
      </c>
      <c r="T4685">
        <f>MAX(T4684,R4685)</f>
        <v/>
      </c>
      <c r="U4685">
        <f>R4685/T4685-1</f>
        <v/>
      </c>
      <c r="V4685" t="n">
        <v>25.8283677865963</v>
      </c>
      <c r="W4685" s="5">
        <f>R4685-V4685</f>
        <v/>
      </c>
    </row>
    <row r="4686">
      <c r="A4686" s="3" t="n">
        <v>45341</v>
      </c>
      <c r="B4686">
        <f>Prices!B4686</f>
        <v/>
      </c>
      <c r="C4686">
        <f>Prices!C4686</f>
        <v/>
      </c>
      <c r="D4686">
        <f>Prices!D4686</f>
        <v/>
      </c>
      <c r="E4686">
        <f>Prices!E4686</f>
        <v/>
      </c>
      <c r="F4686">
        <f>Prices!F4686</f>
        <v/>
      </c>
      <c r="G4686">
        <f>IF(AND(4684&gt;=16,TEXT(A4686,"yyyy-mm")&lt;&gt;TEXT(A4687,"yyyy-mm")),1,0)</f>
        <v/>
      </c>
      <c r="H4686">
        <f>IF(OR(H4685=1,G4686=1),1,0)</f>
        <v/>
      </c>
      <c r="I4686">
        <f>IF(H4685=0,1,SUMPRODUCT(J4685:N4685,B4686:F4686)+O4685*(1+0.00023125256064071564))</f>
        <v/>
      </c>
      <c r="J4686">
        <f>IF(G4686=1,0.2*R4686/B4686,J4685)</f>
        <v/>
      </c>
      <c r="K4686">
        <f>IF(G4686=1,0.2*R4686/C4686,K4685)</f>
        <v/>
      </c>
      <c r="L4686">
        <f>IF(G4686=1,0.2*R4686/D4686,L4685)</f>
        <v/>
      </c>
      <c r="M4686">
        <f>IF(G4686=1,0.2*R4686/E4686,M4685)</f>
        <v/>
      </c>
      <c r="N4686">
        <f>IF(G4686=1,0.2*R4686/F4686,N4685)</f>
        <v/>
      </c>
      <c r="O4686">
        <f>IF(G4686=1,R4686*(1-1.0),IF(H4685=0,1,O4685*(1+0.00023125256064071564)))</f>
        <v/>
      </c>
      <c r="P4686">
        <f>IF(G4686=1,IF(H4685=0,1,ABS(0.2-J4685*B4686/I4686)+ABS(0.2-K4685*C4686/I4686)+ABS(0.2-L4685*D4686/I4686)+ABS(0.2-M4685*E4686/I4686)+ABS(0.2-N4685*F4686/I4686)),0)</f>
        <v/>
      </c>
      <c r="Q4686">
        <f>P4686*0.0015</f>
        <v/>
      </c>
      <c r="R4686">
        <f>I4686*(1-Q4686)</f>
        <v/>
      </c>
      <c r="S4686">
        <f>R4686/R4685-1</f>
        <v/>
      </c>
      <c r="T4686">
        <f>MAX(T4685,R4686)</f>
        <v/>
      </c>
      <c r="U4686">
        <f>R4686/T4686-1</f>
        <v/>
      </c>
      <c r="V4686" t="n">
        <v>25.90115865184206</v>
      </c>
      <c r="W4686" s="5">
        <f>R4686-V4686</f>
        <v/>
      </c>
    </row>
    <row r="4687">
      <c r="A4687" s="3" t="n">
        <v>45342</v>
      </c>
      <c r="B4687">
        <f>Prices!B4687</f>
        <v/>
      </c>
      <c r="C4687">
        <f>Prices!C4687</f>
        <v/>
      </c>
      <c r="D4687">
        <f>Prices!D4687</f>
        <v/>
      </c>
      <c r="E4687">
        <f>Prices!E4687</f>
        <v/>
      </c>
      <c r="F4687">
        <f>Prices!F4687</f>
        <v/>
      </c>
      <c r="G4687">
        <f>IF(AND(4685&gt;=16,TEXT(A4687,"yyyy-mm")&lt;&gt;TEXT(A4688,"yyyy-mm")),1,0)</f>
        <v/>
      </c>
      <c r="H4687">
        <f>IF(OR(H4686=1,G4687=1),1,0)</f>
        <v/>
      </c>
      <c r="I4687">
        <f>IF(H4686=0,1,SUMPRODUCT(J4686:N4686,B4687:F4687)+O4686*(1+0.00023125256064071564))</f>
        <v/>
      </c>
      <c r="J4687">
        <f>IF(G4687=1,0.2*R4687/B4687,J4686)</f>
        <v/>
      </c>
      <c r="K4687">
        <f>IF(G4687=1,0.2*R4687/C4687,K4686)</f>
        <v/>
      </c>
      <c r="L4687">
        <f>IF(G4687=1,0.2*R4687/D4687,L4686)</f>
        <v/>
      </c>
      <c r="M4687">
        <f>IF(G4687=1,0.2*R4687/E4687,M4686)</f>
        <v/>
      </c>
      <c r="N4687">
        <f>IF(G4687=1,0.2*R4687/F4687,N4686)</f>
        <v/>
      </c>
      <c r="O4687">
        <f>IF(G4687=1,R4687*(1-1.0),IF(H4686=0,1,O4686*(1+0.00023125256064071564)))</f>
        <v/>
      </c>
      <c r="P4687">
        <f>IF(G4687=1,IF(H4686=0,1,ABS(0.2-J4686*B4687/I4687)+ABS(0.2-K4686*C4687/I4687)+ABS(0.2-L4686*D4687/I4687)+ABS(0.2-M4686*E4687/I4687)+ABS(0.2-N4686*F4687/I4687)),0)</f>
        <v/>
      </c>
      <c r="Q4687">
        <f>P4687*0.0015</f>
        <v/>
      </c>
      <c r="R4687">
        <f>I4687*(1-Q4687)</f>
        <v/>
      </c>
      <c r="S4687">
        <f>R4687/R4686-1</f>
        <v/>
      </c>
      <c r="T4687">
        <f>MAX(T4686,R4687)</f>
        <v/>
      </c>
      <c r="U4687">
        <f>R4687/T4687-1</f>
        <v/>
      </c>
      <c r="V4687" t="n">
        <v>25.87355646072838</v>
      </c>
      <c r="W4687" s="5">
        <f>R4687-V4687</f>
        <v/>
      </c>
    </row>
    <row r="4688">
      <c r="A4688" s="3" t="n">
        <v>45343</v>
      </c>
      <c r="B4688">
        <f>Prices!B4688</f>
        <v/>
      </c>
      <c r="C4688">
        <f>Prices!C4688</f>
        <v/>
      </c>
      <c r="D4688">
        <f>Prices!D4688</f>
        <v/>
      </c>
      <c r="E4688">
        <f>Prices!E4688</f>
        <v/>
      </c>
      <c r="F4688">
        <f>Prices!F4688</f>
        <v/>
      </c>
      <c r="G4688">
        <f>IF(AND(4686&gt;=16,TEXT(A4688,"yyyy-mm")&lt;&gt;TEXT(A4689,"yyyy-mm")),1,0)</f>
        <v/>
      </c>
      <c r="H4688">
        <f>IF(OR(H4687=1,G4688=1),1,0)</f>
        <v/>
      </c>
      <c r="I4688">
        <f>IF(H4687=0,1,SUMPRODUCT(J4687:N4687,B4688:F4688)+O4687*(1+0.00023125256064071564))</f>
        <v/>
      </c>
      <c r="J4688">
        <f>IF(G4688=1,0.2*R4688/B4688,J4687)</f>
        <v/>
      </c>
      <c r="K4688">
        <f>IF(G4688=1,0.2*R4688/C4688,K4687)</f>
        <v/>
      </c>
      <c r="L4688">
        <f>IF(G4688=1,0.2*R4688/D4688,L4687)</f>
        <v/>
      </c>
      <c r="M4688">
        <f>IF(G4688=1,0.2*R4688/E4688,M4687)</f>
        <v/>
      </c>
      <c r="N4688">
        <f>IF(G4688=1,0.2*R4688/F4688,N4687)</f>
        <v/>
      </c>
      <c r="O4688">
        <f>IF(G4688=1,R4688*(1-1.0),IF(H4687=0,1,O4687*(1+0.00023125256064071564)))</f>
        <v/>
      </c>
      <c r="P4688">
        <f>IF(G4688=1,IF(H4687=0,1,ABS(0.2-J4687*B4688/I4688)+ABS(0.2-K4687*C4688/I4688)+ABS(0.2-L4687*D4688/I4688)+ABS(0.2-M4687*E4688/I4688)+ABS(0.2-N4687*F4688/I4688)),0)</f>
        <v/>
      </c>
      <c r="Q4688">
        <f>P4688*0.0015</f>
        <v/>
      </c>
      <c r="R4688">
        <f>I4688*(1-Q4688)</f>
        <v/>
      </c>
      <c r="S4688">
        <f>R4688/R4687-1</f>
        <v/>
      </c>
      <c r="T4688">
        <f>MAX(T4687,R4688)</f>
        <v/>
      </c>
      <c r="U4688">
        <f>R4688/T4688-1</f>
        <v/>
      </c>
      <c r="V4688" t="n">
        <v>25.57245212752307</v>
      </c>
      <c r="W4688" s="5">
        <f>R4688-V4688</f>
        <v/>
      </c>
    </row>
    <row r="4689">
      <c r="A4689" s="3" t="n">
        <v>45344</v>
      </c>
      <c r="B4689">
        <f>Prices!B4689</f>
        <v/>
      </c>
      <c r="C4689">
        <f>Prices!C4689</f>
        <v/>
      </c>
      <c r="D4689">
        <f>Prices!D4689</f>
        <v/>
      </c>
      <c r="E4689">
        <f>Prices!E4689</f>
        <v/>
      </c>
      <c r="F4689">
        <f>Prices!F4689</f>
        <v/>
      </c>
      <c r="G4689">
        <f>IF(AND(4687&gt;=16,TEXT(A4689,"yyyy-mm")&lt;&gt;TEXT(A4690,"yyyy-mm")),1,0)</f>
        <v/>
      </c>
      <c r="H4689">
        <f>IF(OR(H4688=1,G4689=1),1,0)</f>
        <v/>
      </c>
      <c r="I4689">
        <f>IF(H4688=0,1,SUMPRODUCT(J4688:N4688,B4689:F4689)+O4688*(1+0.00023125256064071564))</f>
        <v/>
      </c>
      <c r="J4689">
        <f>IF(G4689=1,0.2*R4689/B4689,J4688)</f>
        <v/>
      </c>
      <c r="K4689">
        <f>IF(G4689=1,0.2*R4689/C4689,K4688)</f>
        <v/>
      </c>
      <c r="L4689">
        <f>IF(G4689=1,0.2*R4689/D4689,L4688)</f>
        <v/>
      </c>
      <c r="M4689">
        <f>IF(G4689=1,0.2*R4689/E4689,M4688)</f>
        <v/>
      </c>
      <c r="N4689">
        <f>IF(G4689=1,0.2*R4689/F4689,N4688)</f>
        <v/>
      </c>
      <c r="O4689">
        <f>IF(G4689=1,R4689*(1-1.0),IF(H4688=0,1,O4688*(1+0.00023125256064071564)))</f>
        <v/>
      </c>
      <c r="P4689">
        <f>IF(G4689=1,IF(H4688=0,1,ABS(0.2-J4688*B4689/I4689)+ABS(0.2-K4688*C4689/I4689)+ABS(0.2-L4688*D4689/I4689)+ABS(0.2-M4688*E4689/I4689)+ABS(0.2-N4688*F4689/I4689)),0)</f>
        <v/>
      </c>
      <c r="Q4689">
        <f>P4689*0.0015</f>
        <v/>
      </c>
      <c r="R4689">
        <f>I4689*(1-Q4689)</f>
        <v/>
      </c>
      <c r="S4689">
        <f>R4689/R4688-1</f>
        <v/>
      </c>
      <c r="T4689">
        <f>MAX(T4688,R4689)</f>
        <v/>
      </c>
      <c r="U4689">
        <f>R4689/T4689-1</f>
        <v/>
      </c>
      <c r="V4689" t="n">
        <v>25.77635051055793</v>
      </c>
      <c r="W4689" s="5">
        <f>R4689-V4689</f>
        <v/>
      </c>
    </row>
    <row r="4690">
      <c r="A4690" s="3" t="n">
        <v>45345</v>
      </c>
      <c r="B4690">
        <f>Prices!B4690</f>
        <v/>
      </c>
      <c r="C4690">
        <f>Prices!C4690</f>
        <v/>
      </c>
      <c r="D4690">
        <f>Prices!D4690</f>
        <v/>
      </c>
      <c r="E4690">
        <f>Prices!E4690</f>
        <v/>
      </c>
      <c r="F4690">
        <f>Prices!F4690</f>
        <v/>
      </c>
      <c r="G4690">
        <f>IF(AND(4688&gt;=16,TEXT(A4690,"yyyy-mm")&lt;&gt;TEXT(A4691,"yyyy-mm")),1,0)</f>
        <v/>
      </c>
      <c r="H4690">
        <f>IF(OR(H4689=1,G4690=1),1,0)</f>
        <v/>
      </c>
      <c r="I4690">
        <f>IF(H4689=0,1,SUMPRODUCT(J4689:N4689,B4690:F4690)+O4689*(1+0.00023125256064071564))</f>
        <v/>
      </c>
      <c r="J4690">
        <f>IF(G4690=1,0.2*R4690/B4690,J4689)</f>
        <v/>
      </c>
      <c r="K4690">
        <f>IF(G4690=1,0.2*R4690/C4690,K4689)</f>
        <v/>
      </c>
      <c r="L4690">
        <f>IF(G4690=1,0.2*R4690/D4690,L4689)</f>
        <v/>
      </c>
      <c r="M4690">
        <f>IF(G4690=1,0.2*R4690/E4690,M4689)</f>
        <v/>
      </c>
      <c r="N4690">
        <f>IF(G4690=1,0.2*R4690/F4690,N4689)</f>
        <v/>
      </c>
      <c r="O4690">
        <f>IF(G4690=1,R4690*(1-1.0),IF(H4689=0,1,O4689*(1+0.00023125256064071564)))</f>
        <v/>
      </c>
      <c r="P4690">
        <f>IF(G4690=1,IF(H4689=0,1,ABS(0.2-J4689*B4690/I4690)+ABS(0.2-K4689*C4690/I4690)+ABS(0.2-L4689*D4690/I4690)+ABS(0.2-M4689*E4690/I4690)+ABS(0.2-N4689*F4690/I4690)),0)</f>
        <v/>
      </c>
      <c r="Q4690">
        <f>P4690*0.0015</f>
        <v/>
      </c>
      <c r="R4690">
        <f>I4690*(1-Q4690)</f>
        <v/>
      </c>
      <c r="S4690">
        <f>R4690/R4689-1</f>
        <v/>
      </c>
      <c r="T4690">
        <f>MAX(T4689,R4690)</f>
        <v/>
      </c>
      <c r="U4690">
        <f>R4690/T4690-1</f>
        <v/>
      </c>
      <c r="V4690" t="n">
        <v>25.82846153828898</v>
      </c>
      <c r="W4690" s="5">
        <f>R4690-V4690</f>
        <v/>
      </c>
    </row>
    <row r="4691">
      <c r="A4691" s="3" t="n">
        <v>45348</v>
      </c>
      <c r="B4691">
        <f>Prices!B4691</f>
        <v/>
      </c>
      <c r="C4691">
        <f>Prices!C4691</f>
        <v/>
      </c>
      <c r="D4691">
        <f>Prices!D4691</f>
        <v/>
      </c>
      <c r="E4691">
        <f>Prices!E4691</f>
        <v/>
      </c>
      <c r="F4691">
        <f>Prices!F4691</f>
        <v/>
      </c>
      <c r="G4691">
        <f>IF(AND(4689&gt;=16,TEXT(A4691,"yyyy-mm")&lt;&gt;TEXT(A4692,"yyyy-mm")),1,0)</f>
        <v/>
      </c>
      <c r="H4691">
        <f>IF(OR(H4690=1,G4691=1),1,0)</f>
        <v/>
      </c>
      <c r="I4691">
        <f>IF(H4690=0,1,SUMPRODUCT(J4690:N4690,B4691:F4691)+O4690*(1+0.00023125256064071564))</f>
        <v/>
      </c>
      <c r="J4691">
        <f>IF(G4691=1,0.2*R4691/B4691,J4690)</f>
        <v/>
      </c>
      <c r="K4691">
        <f>IF(G4691=1,0.2*R4691/C4691,K4690)</f>
        <v/>
      </c>
      <c r="L4691">
        <f>IF(G4691=1,0.2*R4691/D4691,L4690)</f>
        <v/>
      </c>
      <c r="M4691">
        <f>IF(G4691=1,0.2*R4691/E4691,M4690)</f>
        <v/>
      </c>
      <c r="N4691">
        <f>IF(G4691=1,0.2*R4691/F4691,N4690)</f>
        <v/>
      </c>
      <c r="O4691">
        <f>IF(G4691=1,R4691*(1-1.0),IF(H4690=0,1,O4690*(1+0.00023125256064071564)))</f>
        <v/>
      </c>
      <c r="P4691">
        <f>IF(G4691=1,IF(H4690=0,1,ABS(0.2-J4690*B4691/I4691)+ABS(0.2-K4690*C4691/I4691)+ABS(0.2-L4690*D4691/I4691)+ABS(0.2-M4690*E4691/I4691)+ABS(0.2-N4690*F4691/I4691)),0)</f>
        <v/>
      </c>
      <c r="Q4691">
        <f>P4691*0.0015</f>
        <v/>
      </c>
      <c r="R4691">
        <f>I4691*(1-Q4691)</f>
        <v/>
      </c>
      <c r="S4691">
        <f>R4691/R4690-1</f>
        <v/>
      </c>
      <c r="T4691">
        <f>MAX(T4690,R4691)</f>
        <v/>
      </c>
      <c r="U4691">
        <f>R4691/T4691-1</f>
        <v/>
      </c>
      <c r="V4691" t="n">
        <v>25.73749165401196</v>
      </c>
      <c r="W4691" s="5">
        <f>R4691-V4691</f>
        <v/>
      </c>
    </row>
    <row r="4692">
      <c r="A4692" s="3" t="n">
        <v>45349</v>
      </c>
      <c r="B4692">
        <f>Prices!B4692</f>
        <v/>
      </c>
      <c r="C4692">
        <f>Prices!C4692</f>
        <v/>
      </c>
      <c r="D4692">
        <f>Prices!D4692</f>
        <v/>
      </c>
      <c r="E4692">
        <f>Prices!E4692</f>
        <v/>
      </c>
      <c r="F4692">
        <f>Prices!F4692</f>
        <v/>
      </c>
      <c r="G4692">
        <f>IF(AND(4690&gt;=16,TEXT(A4692,"yyyy-mm")&lt;&gt;TEXT(A4693,"yyyy-mm")),1,0)</f>
        <v/>
      </c>
      <c r="H4692">
        <f>IF(OR(H4691=1,G4692=1),1,0)</f>
        <v/>
      </c>
      <c r="I4692">
        <f>IF(H4691=0,1,SUMPRODUCT(J4691:N4691,B4692:F4692)+O4691*(1+0.00023125256064071564))</f>
        <v/>
      </c>
      <c r="J4692">
        <f>IF(G4692=1,0.2*R4692/B4692,J4691)</f>
        <v/>
      </c>
      <c r="K4692">
        <f>IF(G4692=1,0.2*R4692/C4692,K4691)</f>
        <v/>
      </c>
      <c r="L4692">
        <f>IF(G4692=1,0.2*R4692/D4692,L4691)</f>
        <v/>
      </c>
      <c r="M4692">
        <f>IF(G4692=1,0.2*R4692/E4692,M4691)</f>
        <v/>
      </c>
      <c r="N4692">
        <f>IF(G4692=1,0.2*R4692/F4692,N4691)</f>
        <v/>
      </c>
      <c r="O4692">
        <f>IF(G4692=1,R4692*(1-1.0),IF(H4691=0,1,O4691*(1+0.00023125256064071564)))</f>
        <v/>
      </c>
      <c r="P4692">
        <f>IF(G4692=1,IF(H4691=0,1,ABS(0.2-J4691*B4692/I4692)+ABS(0.2-K4691*C4692/I4692)+ABS(0.2-L4691*D4692/I4692)+ABS(0.2-M4691*E4692/I4692)+ABS(0.2-N4691*F4692/I4692)),0)</f>
        <v/>
      </c>
      <c r="Q4692">
        <f>P4692*0.0015</f>
        <v/>
      </c>
      <c r="R4692">
        <f>I4692*(1-Q4692)</f>
        <v/>
      </c>
      <c r="S4692">
        <f>R4692/R4691-1</f>
        <v/>
      </c>
      <c r="T4692">
        <f>MAX(T4691,R4692)</f>
        <v/>
      </c>
      <c r="U4692">
        <f>R4692/T4692-1</f>
        <v/>
      </c>
      <c r="V4692" t="n">
        <v>25.74183546256623</v>
      </c>
      <c r="W4692" s="5">
        <f>R4692-V4692</f>
        <v/>
      </c>
    </row>
    <row r="4693">
      <c r="A4693" s="3" t="n">
        <v>45350</v>
      </c>
      <c r="B4693">
        <f>Prices!B4693</f>
        <v/>
      </c>
      <c r="C4693">
        <f>Prices!C4693</f>
        <v/>
      </c>
      <c r="D4693">
        <f>Prices!D4693</f>
        <v/>
      </c>
      <c r="E4693">
        <f>Prices!E4693</f>
        <v/>
      </c>
      <c r="F4693">
        <f>Prices!F4693</f>
        <v/>
      </c>
      <c r="G4693">
        <f>IF(AND(4691&gt;=16,TEXT(A4693,"yyyy-mm")&lt;&gt;TEXT(A4694,"yyyy-mm")),1,0)</f>
        <v/>
      </c>
      <c r="H4693">
        <f>IF(OR(H4692=1,G4693=1),1,0)</f>
        <v/>
      </c>
      <c r="I4693">
        <f>IF(H4692=0,1,SUMPRODUCT(J4692:N4692,B4693:F4693)+O4692*(1+0.00023125256064071564))</f>
        <v/>
      </c>
      <c r="J4693">
        <f>IF(G4693=1,0.2*R4693/B4693,J4692)</f>
        <v/>
      </c>
      <c r="K4693">
        <f>IF(G4693=1,0.2*R4693/C4693,K4692)</f>
        <v/>
      </c>
      <c r="L4693">
        <f>IF(G4693=1,0.2*R4693/D4693,L4692)</f>
        <v/>
      </c>
      <c r="M4693">
        <f>IF(G4693=1,0.2*R4693/E4693,M4692)</f>
        <v/>
      </c>
      <c r="N4693">
        <f>IF(G4693=1,0.2*R4693/F4693,N4692)</f>
        <v/>
      </c>
      <c r="O4693">
        <f>IF(G4693=1,R4693*(1-1.0),IF(H4692=0,1,O4692*(1+0.00023125256064071564)))</f>
        <v/>
      </c>
      <c r="P4693">
        <f>IF(G4693=1,IF(H4692=0,1,ABS(0.2-J4692*B4693/I4693)+ABS(0.2-K4692*C4693/I4693)+ABS(0.2-L4692*D4693/I4693)+ABS(0.2-M4692*E4693/I4693)+ABS(0.2-N4692*F4693/I4693)),0)</f>
        <v/>
      </c>
      <c r="Q4693">
        <f>P4693*0.0015</f>
        <v/>
      </c>
      <c r="R4693">
        <f>I4693*(1-Q4693)</f>
        <v/>
      </c>
      <c r="S4693">
        <f>R4693/R4692-1</f>
        <v/>
      </c>
      <c r="T4693">
        <f>MAX(T4692,R4693)</f>
        <v/>
      </c>
      <c r="U4693">
        <f>R4693/T4693-1</f>
        <v/>
      </c>
      <c r="V4693" t="n">
        <v>25.30702502246793</v>
      </c>
      <c r="W4693" s="5">
        <f>R4693-V4693</f>
        <v/>
      </c>
    </row>
    <row r="4694">
      <c r="A4694" s="3" t="n">
        <v>45351</v>
      </c>
      <c r="B4694">
        <f>Prices!B4694</f>
        <v/>
      </c>
      <c r="C4694">
        <f>Prices!C4694</f>
        <v/>
      </c>
      <c r="D4694">
        <f>Prices!D4694</f>
        <v/>
      </c>
      <c r="E4694">
        <f>Prices!E4694</f>
        <v/>
      </c>
      <c r="F4694">
        <f>Prices!F4694</f>
        <v/>
      </c>
      <c r="G4694">
        <f>IF(AND(4692&gt;=16,TEXT(A4694,"yyyy-mm")&lt;&gt;TEXT(A4695,"yyyy-mm")),1,0)</f>
        <v/>
      </c>
      <c r="H4694">
        <f>IF(OR(H4693=1,G4694=1),1,0)</f>
        <v/>
      </c>
      <c r="I4694">
        <f>IF(H4693=0,1,SUMPRODUCT(J4693:N4693,B4694:F4694)+O4693*(1+0.00023125256064071564))</f>
        <v/>
      </c>
      <c r="J4694">
        <f>IF(G4694=1,0.2*R4694/B4694,J4693)</f>
        <v/>
      </c>
      <c r="K4694">
        <f>IF(G4694=1,0.2*R4694/C4694,K4693)</f>
        <v/>
      </c>
      <c r="L4694">
        <f>IF(G4694=1,0.2*R4694/D4694,L4693)</f>
        <v/>
      </c>
      <c r="M4694">
        <f>IF(G4694=1,0.2*R4694/E4694,M4693)</f>
        <v/>
      </c>
      <c r="N4694">
        <f>IF(G4694=1,0.2*R4694/F4694,N4693)</f>
        <v/>
      </c>
      <c r="O4694">
        <f>IF(G4694=1,R4694*(1-1.0),IF(H4693=0,1,O4693*(1+0.00023125256064071564)))</f>
        <v/>
      </c>
      <c r="P4694">
        <f>IF(G4694=1,IF(H4693=0,1,ABS(0.2-J4693*B4694/I4694)+ABS(0.2-K4693*C4694/I4694)+ABS(0.2-L4693*D4694/I4694)+ABS(0.2-M4693*E4694/I4694)+ABS(0.2-N4693*F4694/I4694)),0)</f>
        <v/>
      </c>
      <c r="Q4694">
        <f>P4694*0.0015</f>
        <v/>
      </c>
      <c r="R4694">
        <f>I4694*(1-Q4694)</f>
        <v/>
      </c>
      <c r="S4694">
        <f>R4694/R4693-1</f>
        <v/>
      </c>
      <c r="T4694">
        <f>MAX(T4693,R4694)</f>
        <v/>
      </c>
      <c r="U4694">
        <f>R4694/T4694-1</f>
        <v/>
      </c>
      <c r="V4694" t="n">
        <v>25.46300687172388</v>
      </c>
      <c r="W4694" s="5">
        <f>R4694-V4694</f>
        <v/>
      </c>
    </row>
    <row r="4695">
      <c r="A4695" s="3" t="n">
        <v>45352</v>
      </c>
      <c r="B4695">
        <f>Prices!B4695</f>
        <v/>
      </c>
      <c r="C4695">
        <f>Prices!C4695</f>
        <v/>
      </c>
      <c r="D4695">
        <f>Prices!D4695</f>
        <v/>
      </c>
      <c r="E4695">
        <f>Prices!E4695</f>
        <v/>
      </c>
      <c r="F4695">
        <f>Prices!F4695</f>
        <v/>
      </c>
      <c r="G4695">
        <f>IF(AND(4693&gt;=16,TEXT(A4695,"yyyy-mm")&lt;&gt;TEXT(A4696,"yyyy-mm")),1,0)</f>
        <v/>
      </c>
      <c r="H4695">
        <f>IF(OR(H4694=1,G4695=1),1,0)</f>
        <v/>
      </c>
      <c r="I4695">
        <f>IF(H4694=0,1,SUMPRODUCT(J4694:N4694,B4695:F4695)+O4694*(1+0.00023125256064071564))</f>
        <v/>
      </c>
      <c r="J4695">
        <f>IF(G4695=1,0.2*R4695/B4695,J4694)</f>
        <v/>
      </c>
      <c r="K4695">
        <f>IF(G4695=1,0.2*R4695/C4695,K4694)</f>
        <v/>
      </c>
      <c r="L4695">
        <f>IF(G4695=1,0.2*R4695/D4695,L4694)</f>
        <v/>
      </c>
      <c r="M4695">
        <f>IF(G4695=1,0.2*R4695/E4695,M4694)</f>
        <v/>
      </c>
      <c r="N4695">
        <f>IF(G4695=1,0.2*R4695/F4695,N4694)</f>
        <v/>
      </c>
      <c r="O4695">
        <f>IF(G4695=1,R4695*(1-1.0),IF(H4694=0,1,O4694*(1+0.00023125256064071564)))</f>
        <v/>
      </c>
      <c r="P4695">
        <f>IF(G4695=1,IF(H4694=0,1,ABS(0.2-J4694*B4695/I4695)+ABS(0.2-K4694*C4695/I4695)+ABS(0.2-L4694*D4695/I4695)+ABS(0.2-M4694*E4695/I4695)+ABS(0.2-N4694*F4695/I4695)),0)</f>
        <v/>
      </c>
      <c r="Q4695">
        <f>P4695*0.0015</f>
        <v/>
      </c>
      <c r="R4695">
        <f>I4695*(1-Q4695)</f>
        <v/>
      </c>
      <c r="S4695">
        <f>R4695/R4694-1</f>
        <v/>
      </c>
      <c r="T4695">
        <f>MAX(T4694,R4695)</f>
        <v/>
      </c>
      <c r="U4695">
        <f>R4695/T4695-1</f>
        <v/>
      </c>
      <c r="V4695" t="n">
        <v>25.76813745791776</v>
      </c>
      <c r="W4695" s="5">
        <f>R4695-V4695</f>
        <v/>
      </c>
    </row>
    <row r="4696">
      <c r="A4696" s="3" t="n">
        <v>45353</v>
      </c>
      <c r="B4696">
        <f>Prices!B4696</f>
        <v/>
      </c>
      <c r="C4696">
        <f>Prices!C4696</f>
        <v/>
      </c>
      <c r="D4696">
        <f>Prices!D4696</f>
        <v/>
      </c>
      <c r="E4696">
        <f>Prices!E4696</f>
        <v/>
      </c>
      <c r="F4696">
        <f>Prices!F4696</f>
        <v/>
      </c>
      <c r="G4696">
        <f>IF(AND(4694&gt;=16,TEXT(A4696,"yyyy-mm")&lt;&gt;TEXT(A4697,"yyyy-mm")),1,0)</f>
        <v/>
      </c>
      <c r="H4696">
        <f>IF(OR(H4695=1,G4696=1),1,0)</f>
        <v/>
      </c>
      <c r="I4696">
        <f>IF(H4695=0,1,SUMPRODUCT(J4695:N4695,B4696:F4696)+O4695*(1+0.00023125256064071564))</f>
        <v/>
      </c>
      <c r="J4696">
        <f>IF(G4696=1,0.2*R4696/B4696,J4695)</f>
        <v/>
      </c>
      <c r="K4696">
        <f>IF(G4696=1,0.2*R4696/C4696,K4695)</f>
        <v/>
      </c>
      <c r="L4696">
        <f>IF(G4696=1,0.2*R4696/D4696,L4695)</f>
        <v/>
      </c>
      <c r="M4696">
        <f>IF(G4696=1,0.2*R4696/E4696,M4695)</f>
        <v/>
      </c>
      <c r="N4696">
        <f>IF(G4696=1,0.2*R4696/F4696,N4695)</f>
        <v/>
      </c>
      <c r="O4696">
        <f>IF(G4696=1,R4696*(1-1.0),IF(H4695=0,1,O4695*(1+0.00023125256064071564)))</f>
        <v/>
      </c>
      <c r="P4696">
        <f>IF(G4696=1,IF(H4695=0,1,ABS(0.2-J4695*B4696/I4696)+ABS(0.2-K4695*C4696/I4696)+ABS(0.2-L4695*D4696/I4696)+ABS(0.2-M4695*E4696/I4696)+ABS(0.2-N4695*F4696/I4696)),0)</f>
        <v/>
      </c>
      <c r="Q4696">
        <f>P4696*0.0015</f>
        <v/>
      </c>
      <c r="R4696">
        <f>I4696*(1-Q4696)</f>
        <v/>
      </c>
      <c r="S4696">
        <f>R4696/R4695-1</f>
        <v/>
      </c>
      <c r="T4696">
        <f>MAX(T4695,R4696)</f>
        <v/>
      </c>
      <c r="U4696">
        <f>R4696/T4696-1</f>
        <v/>
      </c>
      <c r="V4696" t="n">
        <v>25.92309487757054</v>
      </c>
      <c r="W4696" s="5">
        <f>R4696-V4696</f>
        <v/>
      </c>
    </row>
    <row r="4697">
      <c r="A4697" s="3" t="n">
        <v>45355</v>
      </c>
      <c r="B4697">
        <f>Prices!B4697</f>
        <v/>
      </c>
      <c r="C4697">
        <f>Prices!C4697</f>
        <v/>
      </c>
      <c r="D4697">
        <f>Prices!D4697</f>
        <v/>
      </c>
      <c r="E4697">
        <f>Prices!E4697</f>
        <v/>
      </c>
      <c r="F4697">
        <f>Prices!F4697</f>
        <v/>
      </c>
      <c r="G4697">
        <f>IF(AND(4695&gt;=16,TEXT(A4697,"yyyy-mm")&lt;&gt;TEXT(A4698,"yyyy-mm")),1,0)</f>
        <v/>
      </c>
      <c r="H4697">
        <f>IF(OR(H4696=1,G4697=1),1,0)</f>
        <v/>
      </c>
      <c r="I4697">
        <f>IF(H4696=0,1,SUMPRODUCT(J4696:N4696,B4697:F4697)+O4696*(1+0.00023125256064071564))</f>
        <v/>
      </c>
      <c r="J4697">
        <f>IF(G4697=1,0.2*R4697/B4697,J4696)</f>
        <v/>
      </c>
      <c r="K4697">
        <f>IF(G4697=1,0.2*R4697/C4697,K4696)</f>
        <v/>
      </c>
      <c r="L4697">
        <f>IF(G4697=1,0.2*R4697/D4697,L4696)</f>
        <v/>
      </c>
      <c r="M4697">
        <f>IF(G4697=1,0.2*R4697/E4697,M4696)</f>
        <v/>
      </c>
      <c r="N4697">
        <f>IF(G4697=1,0.2*R4697/F4697,N4696)</f>
        <v/>
      </c>
      <c r="O4697">
        <f>IF(G4697=1,R4697*(1-1.0),IF(H4696=0,1,O4696*(1+0.00023125256064071564)))</f>
        <v/>
      </c>
      <c r="P4697">
        <f>IF(G4697=1,IF(H4696=0,1,ABS(0.2-J4696*B4697/I4697)+ABS(0.2-K4696*C4697/I4697)+ABS(0.2-L4696*D4697/I4697)+ABS(0.2-M4696*E4697/I4697)+ABS(0.2-N4696*F4697/I4697)),0)</f>
        <v/>
      </c>
      <c r="Q4697">
        <f>P4697*0.0015</f>
        <v/>
      </c>
      <c r="R4697">
        <f>I4697*(1-Q4697)</f>
        <v/>
      </c>
      <c r="S4697">
        <f>R4697/R4696-1</f>
        <v/>
      </c>
      <c r="T4697">
        <f>MAX(T4696,R4697)</f>
        <v/>
      </c>
      <c r="U4697">
        <f>R4697/T4697-1</f>
        <v/>
      </c>
      <c r="V4697" t="n">
        <v>26.0158546617408</v>
      </c>
      <c r="W4697" s="5">
        <f>R4697-V4697</f>
        <v/>
      </c>
    </row>
    <row r="4698">
      <c r="A4698" s="3" t="n">
        <v>45356</v>
      </c>
      <c r="B4698">
        <f>Prices!B4698</f>
        <v/>
      </c>
      <c r="C4698">
        <f>Prices!C4698</f>
        <v/>
      </c>
      <c r="D4698">
        <f>Prices!D4698</f>
        <v/>
      </c>
      <c r="E4698">
        <f>Prices!E4698</f>
        <v/>
      </c>
      <c r="F4698">
        <f>Prices!F4698</f>
        <v/>
      </c>
      <c r="G4698">
        <f>IF(AND(4696&gt;=16,TEXT(A4698,"yyyy-mm")&lt;&gt;TEXT(A4699,"yyyy-mm")),1,0)</f>
        <v/>
      </c>
      <c r="H4698">
        <f>IF(OR(H4697=1,G4698=1),1,0)</f>
        <v/>
      </c>
      <c r="I4698">
        <f>IF(H4697=0,1,SUMPRODUCT(J4697:N4697,B4698:F4698)+O4697*(1+0.00023125256064071564))</f>
        <v/>
      </c>
      <c r="J4698">
        <f>IF(G4698=1,0.2*R4698/B4698,J4697)</f>
        <v/>
      </c>
      <c r="K4698">
        <f>IF(G4698=1,0.2*R4698/C4698,K4697)</f>
        <v/>
      </c>
      <c r="L4698">
        <f>IF(G4698=1,0.2*R4698/D4698,L4697)</f>
        <v/>
      </c>
      <c r="M4698">
        <f>IF(G4698=1,0.2*R4698/E4698,M4697)</f>
        <v/>
      </c>
      <c r="N4698">
        <f>IF(G4698=1,0.2*R4698/F4698,N4697)</f>
        <v/>
      </c>
      <c r="O4698">
        <f>IF(G4698=1,R4698*(1-1.0),IF(H4697=0,1,O4697*(1+0.00023125256064071564)))</f>
        <v/>
      </c>
      <c r="P4698">
        <f>IF(G4698=1,IF(H4697=0,1,ABS(0.2-J4697*B4698/I4698)+ABS(0.2-K4697*C4698/I4698)+ABS(0.2-L4697*D4698/I4698)+ABS(0.2-M4697*E4698/I4698)+ABS(0.2-N4697*F4698/I4698)),0)</f>
        <v/>
      </c>
      <c r="Q4698">
        <f>P4698*0.0015</f>
        <v/>
      </c>
      <c r="R4698">
        <f>I4698*(1-Q4698)</f>
        <v/>
      </c>
      <c r="S4698">
        <f>R4698/R4697-1</f>
        <v/>
      </c>
      <c r="T4698">
        <f>MAX(T4697,R4698)</f>
        <v/>
      </c>
      <c r="U4698">
        <f>R4698/T4698-1</f>
        <v/>
      </c>
      <c r="V4698" t="n">
        <v>25.96402146032796</v>
      </c>
      <c r="W4698" s="5">
        <f>R4698-V4698</f>
        <v/>
      </c>
    </row>
    <row r="4699">
      <c r="A4699" s="3" t="n">
        <v>45357</v>
      </c>
      <c r="B4699">
        <f>Prices!B4699</f>
        <v/>
      </c>
      <c r="C4699">
        <f>Prices!C4699</f>
        <v/>
      </c>
      <c r="D4699">
        <f>Prices!D4699</f>
        <v/>
      </c>
      <c r="E4699">
        <f>Prices!E4699</f>
        <v/>
      </c>
      <c r="F4699">
        <f>Prices!F4699</f>
        <v/>
      </c>
      <c r="G4699">
        <f>IF(AND(4697&gt;=16,TEXT(A4699,"yyyy-mm")&lt;&gt;TEXT(A4700,"yyyy-mm")),1,0)</f>
        <v/>
      </c>
      <c r="H4699">
        <f>IF(OR(H4698=1,G4699=1),1,0)</f>
        <v/>
      </c>
      <c r="I4699">
        <f>IF(H4698=0,1,SUMPRODUCT(J4698:N4698,B4699:F4699)+O4698*(1+0.00023125256064071564))</f>
        <v/>
      </c>
      <c r="J4699">
        <f>IF(G4699=1,0.2*R4699/B4699,J4698)</f>
        <v/>
      </c>
      <c r="K4699">
        <f>IF(G4699=1,0.2*R4699/C4699,K4698)</f>
        <v/>
      </c>
      <c r="L4699">
        <f>IF(G4699=1,0.2*R4699/D4699,L4698)</f>
        <v/>
      </c>
      <c r="M4699">
        <f>IF(G4699=1,0.2*R4699/E4699,M4698)</f>
        <v/>
      </c>
      <c r="N4699">
        <f>IF(G4699=1,0.2*R4699/F4699,N4698)</f>
        <v/>
      </c>
      <c r="O4699">
        <f>IF(G4699=1,R4699*(1-1.0),IF(H4698=0,1,O4698*(1+0.00023125256064071564)))</f>
        <v/>
      </c>
      <c r="P4699">
        <f>IF(G4699=1,IF(H4698=0,1,ABS(0.2-J4698*B4699/I4699)+ABS(0.2-K4698*C4699/I4699)+ABS(0.2-L4698*D4699/I4699)+ABS(0.2-M4698*E4699/I4699)+ABS(0.2-N4698*F4699/I4699)),0)</f>
        <v/>
      </c>
      <c r="Q4699">
        <f>P4699*0.0015</f>
        <v/>
      </c>
      <c r="R4699">
        <f>I4699*(1-Q4699)</f>
        <v/>
      </c>
      <c r="S4699">
        <f>R4699/R4698-1</f>
        <v/>
      </c>
      <c r="T4699">
        <f>MAX(T4698,R4699)</f>
        <v/>
      </c>
      <c r="U4699">
        <f>R4699/T4699-1</f>
        <v/>
      </c>
      <c r="V4699" t="n">
        <v>25.79085047733649</v>
      </c>
      <c r="W4699" s="5">
        <f>R4699-V4699</f>
        <v/>
      </c>
    </row>
    <row r="4700">
      <c r="A4700" s="3" t="n">
        <v>45358</v>
      </c>
      <c r="B4700">
        <f>Prices!B4700</f>
        <v/>
      </c>
      <c r="C4700">
        <f>Prices!C4700</f>
        <v/>
      </c>
      <c r="D4700">
        <f>Prices!D4700</f>
        <v/>
      </c>
      <c r="E4700">
        <f>Prices!E4700</f>
        <v/>
      </c>
      <c r="F4700">
        <f>Prices!F4700</f>
        <v/>
      </c>
      <c r="G4700">
        <f>IF(AND(4698&gt;=16,TEXT(A4700,"yyyy-mm")&lt;&gt;TEXT(A4701,"yyyy-mm")),1,0)</f>
        <v/>
      </c>
      <c r="H4700">
        <f>IF(OR(H4699=1,G4700=1),1,0)</f>
        <v/>
      </c>
      <c r="I4700">
        <f>IF(H4699=0,1,SUMPRODUCT(J4699:N4699,B4700:F4700)+O4699*(1+0.00023125256064071564))</f>
        <v/>
      </c>
      <c r="J4700">
        <f>IF(G4700=1,0.2*R4700/B4700,J4699)</f>
        <v/>
      </c>
      <c r="K4700">
        <f>IF(G4700=1,0.2*R4700/C4700,K4699)</f>
        <v/>
      </c>
      <c r="L4700">
        <f>IF(G4700=1,0.2*R4700/D4700,L4699)</f>
        <v/>
      </c>
      <c r="M4700">
        <f>IF(G4700=1,0.2*R4700/E4700,M4699)</f>
        <v/>
      </c>
      <c r="N4700">
        <f>IF(G4700=1,0.2*R4700/F4700,N4699)</f>
        <v/>
      </c>
      <c r="O4700">
        <f>IF(G4700=1,R4700*(1-1.0),IF(H4699=0,1,O4699*(1+0.00023125256064071564)))</f>
        <v/>
      </c>
      <c r="P4700">
        <f>IF(G4700=1,IF(H4699=0,1,ABS(0.2-J4699*B4700/I4700)+ABS(0.2-K4699*C4700/I4700)+ABS(0.2-L4699*D4700/I4700)+ABS(0.2-M4699*E4700/I4700)+ABS(0.2-N4699*F4700/I4700)),0)</f>
        <v/>
      </c>
      <c r="Q4700">
        <f>P4700*0.0015</f>
        <v/>
      </c>
      <c r="R4700">
        <f>I4700*(1-Q4700)</f>
        <v/>
      </c>
      <c r="S4700">
        <f>R4700/R4699-1</f>
        <v/>
      </c>
      <c r="T4700">
        <f>MAX(T4699,R4700)</f>
        <v/>
      </c>
      <c r="U4700">
        <f>R4700/T4700-1</f>
        <v/>
      </c>
      <c r="V4700" t="n">
        <v>25.8999137338642</v>
      </c>
      <c r="W4700" s="5">
        <f>R4700-V4700</f>
        <v/>
      </c>
    </row>
    <row r="4701">
      <c r="A4701" s="3" t="n">
        <v>45362</v>
      </c>
      <c r="B4701">
        <f>Prices!B4701</f>
        <v/>
      </c>
      <c r="C4701">
        <f>Prices!C4701</f>
        <v/>
      </c>
      <c r="D4701">
        <f>Prices!D4701</f>
        <v/>
      </c>
      <c r="E4701">
        <f>Prices!E4701</f>
        <v/>
      </c>
      <c r="F4701">
        <f>Prices!F4701</f>
        <v/>
      </c>
      <c r="G4701">
        <f>IF(AND(4699&gt;=16,TEXT(A4701,"yyyy-mm")&lt;&gt;TEXT(A4702,"yyyy-mm")),1,0)</f>
        <v/>
      </c>
      <c r="H4701">
        <f>IF(OR(H4700=1,G4701=1),1,0)</f>
        <v/>
      </c>
      <c r="I4701">
        <f>IF(H4700=0,1,SUMPRODUCT(J4700:N4700,B4701:F4701)+O4700*(1+0.00023125256064071564))</f>
        <v/>
      </c>
      <c r="J4701">
        <f>IF(G4701=1,0.2*R4701/B4701,J4700)</f>
        <v/>
      </c>
      <c r="K4701">
        <f>IF(G4701=1,0.2*R4701/C4701,K4700)</f>
        <v/>
      </c>
      <c r="L4701">
        <f>IF(G4701=1,0.2*R4701/D4701,L4700)</f>
        <v/>
      </c>
      <c r="M4701">
        <f>IF(G4701=1,0.2*R4701/E4701,M4700)</f>
        <v/>
      </c>
      <c r="N4701">
        <f>IF(G4701=1,0.2*R4701/F4701,N4700)</f>
        <v/>
      </c>
      <c r="O4701">
        <f>IF(G4701=1,R4701*(1-1.0),IF(H4700=0,1,O4700*(1+0.00023125256064071564)))</f>
        <v/>
      </c>
      <c r="P4701">
        <f>IF(G4701=1,IF(H4700=0,1,ABS(0.2-J4700*B4701/I4701)+ABS(0.2-K4700*C4701/I4701)+ABS(0.2-L4700*D4701/I4701)+ABS(0.2-M4700*E4701/I4701)+ABS(0.2-N4700*F4701/I4701)),0)</f>
        <v/>
      </c>
      <c r="Q4701">
        <f>P4701*0.0015</f>
        <v/>
      </c>
      <c r="R4701">
        <f>I4701*(1-Q4701)</f>
        <v/>
      </c>
      <c r="S4701">
        <f>R4701/R4700-1</f>
        <v/>
      </c>
      <c r="T4701">
        <f>MAX(T4700,R4701)</f>
        <v/>
      </c>
      <c r="U4701">
        <f>R4701/T4701-1</f>
        <v/>
      </c>
      <c r="V4701" t="n">
        <v>25.70531338419683</v>
      </c>
      <c r="W4701" s="5">
        <f>R4701-V4701</f>
        <v/>
      </c>
    </row>
    <row r="4702">
      <c r="A4702" s="3" t="n">
        <v>45363</v>
      </c>
      <c r="B4702">
        <f>Prices!B4702</f>
        <v/>
      </c>
      <c r="C4702">
        <f>Prices!C4702</f>
        <v/>
      </c>
      <c r="D4702">
        <f>Prices!D4702</f>
        <v/>
      </c>
      <c r="E4702">
        <f>Prices!E4702</f>
        <v/>
      </c>
      <c r="F4702">
        <f>Prices!F4702</f>
        <v/>
      </c>
      <c r="G4702">
        <f>IF(AND(4700&gt;=16,TEXT(A4702,"yyyy-mm")&lt;&gt;TEXT(A4703,"yyyy-mm")),1,0)</f>
        <v/>
      </c>
      <c r="H4702">
        <f>IF(OR(H4701=1,G4702=1),1,0)</f>
        <v/>
      </c>
      <c r="I4702">
        <f>IF(H4701=0,1,SUMPRODUCT(J4701:N4701,B4702:F4702)+O4701*(1+0.00023125256064071564))</f>
        <v/>
      </c>
      <c r="J4702">
        <f>IF(G4702=1,0.2*R4702/B4702,J4701)</f>
        <v/>
      </c>
      <c r="K4702">
        <f>IF(G4702=1,0.2*R4702/C4702,K4701)</f>
        <v/>
      </c>
      <c r="L4702">
        <f>IF(G4702=1,0.2*R4702/D4702,L4701)</f>
        <v/>
      </c>
      <c r="M4702">
        <f>IF(G4702=1,0.2*R4702/E4702,M4701)</f>
        <v/>
      </c>
      <c r="N4702">
        <f>IF(G4702=1,0.2*R4702/F4702,N4701)</f>
        <v/>
      </c>
      <c r="O4702">
        <f>IF(G4702=1,R4702*(1-1.0),IF(H4701=0,1,O4701*(1+0.00023125256064071564)))</f>
        <v/>
      </c>
      <c r="P4702">
        <f>IF(G4702=1,IF(H4701=0,1,ABS(0.2-J4701*B4702/I4702)+ABS(0.2-K4701*C4702/I4702)+ABS(0.2-L4701*D4702/I4702)+ABS(0.2-M4701*E4702/I4702)+ABS(0.2-N4701*F4702/I4702)),0)</f>
        <v/>
      </c>
      <c r="Q4702">
        <f>P4702*0.0015</f>
        <v/>
      </c>
      <c r="R4702">
        <f>I4702*(1-Q4702)</f>
        <v/>
      </c>
      <c r="S4702">
        <f>R4702/R4701-1</f>
        <v/>
      </c>
      <c r="T4702">
        <f>MAX(T4701,R4702)</f>
        <v/>
      </c>
      <c r="U4702">
        <f>R4702/T4702-1</f>
        <v/>
      </c>
      <c r="V4702" t="n">
        <v>25.34754032443056</v>
      </c>
      <c r="W4702" s="5">
        <f>R4702-V4702</f>
        <v/>
      </c>
    </row>
    <row r="4703">
      <c r="A4703" s="3" t="n">
        <v>45364</v>
      </c>
      <c r="B4703">
        <f>Prices!B4703</f>
        <v/>
      </c>
      <c r="C4703">
        <f>Prices!C4703</f>
        <v/>
      </c>
      <c r="D4703">
        <f>Prices!D4703</f>
        <v/>
      </c>
      <c r="E4703">
        <f>Prices!E4703</f>
        <v/>
      </c>
      <c r="F4703">
        <f>Prices!F4703</f>
        <v/>
      </c>
      <c r="G4703">
        <f>IF(AND(4701&gt;=16,TEXT(A4703,"yyyy-mm")&lt;&gt;TEXT(A4704,"yyyy-mm")),1,0)</f>
        <v/>
      </c>
      <c r="H4703">
        <f>IF(OR(H4702=1,G4703=1),1,0)</f>
        <v/>
      </c>
      <c r="I4703">
        <f>IF(H4702=0,1,SUMPRODUCT(J4702:N4702,B4703:F4703)+O4702*(1+0.00023125256064071564))</f>
        <v/>
      </c>
      <c r="J4703">
        <f>IF(G4703=1,0.2*R4703/B4703,J4702)</f>
        <v/>
      </c>
      <c r="K4703">
        <f>IF(G4703=1,0.2*R4703/C4703,K4702)</f>
        <v/>
      </c>
      <c r="L4703">
        <f>IF(G4703=1,0.2*R4703/D4703,L4702)</f>
        <v/>
      </c>
      <c r="M4703">
        <f>IF(G4703=1,0.2*R4703/E4703,M4702)</f>
        <v/>
      </c>
      <c r="N4703">
        <f>IF(G4703=1,0.2*R4703/F4703,N4702)</f>
        <v/>
      </c>
      <c r="O4703">
        <f>IF(G4703=1,R4703*(1-1.0),IF(H4702=0,1,O4702*(1+0.00023125256064071564)))</f>
        <v/>
      </c>
      <c r="P4703">
        <f>IF(G4703=1,IF(H4702=0,1,ABS(0.2-J4702*B4703/I4703)+ABS(0.2-K4702*C4703/I4703)+ABS(0.2-L4702*D4703/I4703)+ABS(0.2-M4702*E4703/I4703)+ABS(0.2-N4702*F4703/I4703)),0)</f>
        <v/>
      </c>
      <c r="Q4703">
        <f>P4703*0.0015</f>
        <v/>
      </c>
      <c r="R4703">
        <f>I4703*(1-Q4703)</f>
        <v/>
      </c>
      <c r="S4703">
        <f>R4703/R4702-1</f>
        <v/>
      </c>
      <c r="T4703">
        <f>MAX(T4702,R4703)</f>
        <v/>
      </c>
      <c r="U4703">
        <f>R4703/T4703-1</f>
        <v/>
      </c>
      <c r="V4703" t="n">
        <v>24.22445224424115</v>
      </c>
      <c r="W4703" s="5">
        <f>R4703-V4703</f>
        <v/>
      </c>
    </row>
    <row r="4704">
      <c r="A4704" s="3" t="n">
        <v>45365</v>
      </c>
      <c r="B4704">
        <f>Prices!B4704</f>
        <v/>
      </c>
      <c r="C4704">
        <f>Prices!C4704</f>
        <v/>
      </c>
      <c r="D4704">
        <f>Prices!D4704</f>
        <v/>
      </c>
      <c r="E4704">
        <f>Prices!E4704</f>
        <v/>
      </c>
      <c r="F4704">
        <f>Prices!F4704</f>
        <v/>
      </c>
      <c r="G4704">
        <f>IF(AND(4702&gt;=16,TEXT(A4704,"yyyy-mm")&lt;&gt;TEXT(A4705,"yyyy-mm")),1,0)</f>
        <v/>
      </c>
      <c r="H4704">
        <f>IF(OR(H4703=1,G4704=1),1,0)</f>
        <v/>
      </c>
      <c r="I4704">
        <f>IF(H4703=0,1,SUMPRODUCT(J4703:N4703,B4704:F4704)+O4703*(1+0.00023125256064071564))</f>
        <v/>
      </c>
      <c r="J4704">
        <f>IF(G4704=1,0.2*R4704/B4704,J4703)</f>
        <v/>
      </c>
      <c r="K4704">
        <f>IF(G4704=1,0.2*R4704/C4704,K4703)</f>
        <v/>
      </c>
      <c r="L4704">
        <f>IF(G4704=1,0.2*R4704/D4704,L4703)</f>
        <v/>
      </c>
      <c r="M4704">
        <f>IF(G4704=1,0.2*R4704/E4704,M4703)</f>
        <v/>
      </c>
      <c r="N4704">
        <f>IF(G4704=1,0.2*R4704/F4704,N4703)</f>
        <v/>
      </c>
      <c r="O4704">
        <f>IF(G4704=1,R4704*(1-1.0),IF(H4703=0,1,O4703*(1+0.00023125256064071564)))</f>
        <v/>
      </c>
      <c r="P4704">
        <f>IF(G4704=1,IF(H4703=0,1,ABS(0.2-J4703*B4704/I4704)+ABS(0.2-K4703*C4704/I4704)+ABS(0.2-L4703*D4704/I4704)+ABS(0.2-M4703*E4704/I4704)+ABS(0.2-N4703*F4704/I4704)),0)</f>
        <v/>
      </c>
      <c r="Q4704">
        <f>P4704*0.0015</f>
        <v/>
      </c>
      <c r="R4704">
        <f>I4704*(1-Q4704)</f>
        <v/>
      </c>
      <c r="S4704">
        <f>R4704/R4703-1</f>
        <v/>
      </c>
      <c r="T4704">
        <f>MAX(T4703,R4704)</f>
        <v/>
      </c>
      <c r="U4704">
        <f>R4704/T4704-1</f>
        <v/>
      </c>
      <c r="V4704" t="n">
        <v>24.83371996960634</v>
      </c>
      <c r="W4704" s="5">
        <f>R4704-V4704</f>
        <v/>
      </c>
    </row>
    <row r="4705">
      <c r="A4705" s="3" t="n">
        <v>45366</v>
      </c>
      <c r="B4705">
        <f>Prices!B4705</f>
        <v/>
      </c>
      <c r="C4705">
        <f>Prices!C4705</f>
        <v/>
      </c>
      <c r="D4705">
        <f>Prices!D4705</f>
        <v/>
      </c>
      <c r="E4705">
        <f>Prices!E4705</f>
        <v/>
      </c>
      <c r="F4705">
        <f>Prices!F4705</f>
        <v/>
      </c>
      <c r="G4705">
        <f>IF(AND(4703&gt;=16,TEXT(A4705,"yyyy-mm")&lt;&gt;TEXT(A4706,"yyyy-mm")),1,0)</f>
        <v/>
      </c>
      <c r="H4705">
        <f>IF(OR(H4704=1,G4705=1),1,0)</f>
        <v/>
      </c>
      <c r="I4705">
        <f>IF(H4704=0,1,SUMPRODUCT(J4704:N4704,B4705:F4705)+O4704*(1+0.00023125256064071564))</f>
        <v/>
      </c>
      <c r="J4705">
        <f>IF(G4705=1,0.2*R4705/B4705,J4704)</f>
        <v/>
      </c>
      <c r="K4705">
        <f>IF(G4705=1,0.2*R4705/C4705,K4704)</f>
        <v/>
      </c>
      <c r="L4705">
        <f>IF(G4705=1,0.2*R4705/D4705,L4704)</f>
        <v/>
      </c>
      <c r="M4705">
        <f>IF(G4705=1,0.2*R4705/E4705,M4704)</f>
        <v/>
      </c>
      <c r="N4705">
        <f>IF(G4705=1,0.2*R4705/F4705,N4704)</f>
        <v/>
      </c>
      <c r="O4705">
        <f>IF(G4705=1,R4705*(1-1.0),IF(H4704=0,1,O4704*(1+0.00023125256064071564)))</f>
        <v/>
      </c>
      <c r="P4705">
        <f>IF(G4705=1,IF(H4704=0,1,ABS(0.2-J4704*B4705/I4705)+ABS(0.2-K4704*C4705/I4705)+ABS(0.2-L4704*D4705/I4705)+ABS(0.2-M4704*E4705/I4705)+ABS(0.2-N4704*F4705/I4705)),0)</f>
        <v/>
      </c>
      <c r="Q4705">
        <f>P4705*0.0015</f>
        <v/>
      </c>
      <c r="R4705">
        <f>I4705*(1-Q4705)</f>
        <v/>
      </c>
      <c r="S4705">
        <f>R4705/R4704-1</f>
        <v/>
      </c>
      <c r="T4705">
        <f>MAX(T4704,R4705)</f>
        <v/>
      </c>
      <c r="U4705">
        <f>R4705/T4705-1</f>
        <v/>
      </c>
      <c r="V4705" t="n">
        <v>24.70928573449789</v>
      </c>
      <c r="W4705" s="5">
        <f>R4705-V4705</f>
        <v/>
      </c>
    </row>
    <row r="4706">
      <c r="A4706" s="3" t="n">
        <v>45369</v>
      </c>
      <c r="B4706">
        <f>Prices!B4706</f>
        <v/>
      </c>
      <c r="C4706">
        <f>Prices!C4706</f>
        <v/>
      </c>
      <c r="D4706">
        <f>Prices!D4706</f>
        <v/>
      </c>
      <c r="E4706">
        <f>Prices!E4706</f>
        <v/>
      </c>
      <c r="F4706">
        <f>Prices!F4706</f>
        <v/>
      </c>
      <c r="G4706">
        <f>IF(AND(4704&gt;=16,TEXT(A4706,"yyyy-mm")&lt;&gt;TEXT(A4707,"yyyy-mm")),1,0)</f>
        <v/>
      </c>
      <c r="H4706">
        <f>IF(OR(H4705=1,G4706=1),1,0)</f>
        <v/>
      </c>
      <c r="I4706">
        <f>IF(H4705=0,1,SUMPRODUCT(J4705:N4705,B4706:F4706)+O4705*(1+0.00023125256064071564))</f>
        <v/>
      </c>
      <c r="J4706">
        <f>IF(G4706=1,0.2*R4706/B4706,J4705)</f>
        <v/>
      </c>
      <c r="K4706">
        <f>IF(G4706=1,0.2*R4706/C4706,K4705)</f>
        <v/>
      </c>
      <c r="L4706">
        <f>IF(G4706=1,0.2*R4706/D4706,L4705)</f>
        <v/>
      </c>
      <c r="M4706">
        <f>IF(G4706=1,0.2*R4706/E4706,M4705)</f>
        <v/>
      </c>
      <c r="N4706">
        <f>IF(G4706=1,0.2*R4706/F4706,N4705)</f>
        <v/>
      </c>
      <c r="O4706">
        <f>IF(G4706=1,R4706*(1-1.0),IF(H4705=0,1,O4705*(1+0.00023125256064071564)))</f>
        <v/>
      </c>
      <c r="P4706">
        <f>IF(G4706=1,IF(H4705=0,1,ABS(0.2-J4705*B4706/I4706)+ABS(0.2-K4705*C4706/I4706)+ABS(0.2-L4705*D4706/I4706)+ABS(0.2-M4705*E4706/I4706)+ABS(0.2-N4705*F4706/I4706)),0)</f>
        <v/>
      </c>
      <c r="Q4706">
        <f>P4706*0.0015</f>
        <v/>
      </c>
      <c r="R4706">
        <f>I4706*(1-Q4706)</f>
        <v/>
      </c>
      <c r="S4706">
        <f>R4706/R4705-1</f>
        <v/>
      </c>
      <c r="T4706">
        <f>MAX(T4705,R4706)</f>
        <v/>
      </c>
      <c r="U4706">
        <f>R4706/T4706-1</f>
        <v/>
      </c>
      <c r="V4706" t="n">
        <v>24.65424952012962</v>
      </c>
      <c r="W4706" s="5">
        <f>R4706-V4706</f>
        <v/>
      </c>
    </row>
    <row r="4707">
      <c r="A4707" s="3" t="n">
        <v>45370</v>
      </c>
      <c r="B4707">
        <f>Prices!B4707</f>
        <v/>
      </c>
      <c r="C4707">
        <f>Prices!C4707</f>
        <v/>
      </c>
      <c r="D4707">
        <f>Prices!D4707</f>
        <v/>
      </c>
      <c r="E4707">
        <f>Prices!E4707</f>
        <v/>
      </c>
      <c r="F4707">
        <f>Prices!F4707</f>
        <v/>
      </c>
      <c r="G4707">
        <f>IF(AND(4705&gt;=16,TEXT(A4707,"yyyy-mm")&lt;&gt;TEXT(A4708,"yyyy-mm")),1,0)</f>
        <v/>
      </c>
      <c r="H4707">
        <f>IF(OR(H4706=1,G4707=1),1,0)</f>
        <v/>
      </c>
      <c r="I4707">
        <f>IF(H4706=0,1,SUMPRODUCT(J4706:N4706,B4707:F4707)+O4706*(1+0.00023125256064071564))</f>
        <v/>
      </c>
      <c r="J4707">
        <f>IF(G4707=1,0.2*R4707/B4707,J4706)</f>
        <v/>
      </c>
      <c r="K4707">
        <f>IF(G4707=1,0.2*R4707/C4707,K4706)</f>
        <v/>
      </c>
      <c r="L4707">
        <f>IF(G4707=1,0.2*R4707/D4707,L4706)</f>
        <v/>
      </c>
      <c r="M4707">
        <f>IF(G4707=1,0.2*R4707/E4707,M4706)</f>
        <v/>
      </c>
      <c r="N4707">
        <f>IF(G4707=1,0.2*R4707/F4707,N4706)</f>
        <v/>
      </c>
      <c r="O4707">
        <f>IF(G4707=1,R4707*(1-1.0),IF(H4706=0,1,O4706*(1+0.00023125256064071564)))</f>
        <v/>
      </c>
      <c r="P4707">
        <f>IF(G4707=1,IF(H4706=0,1,ABS(0.2-J4706*B4707/I4707)+ABS(0.2-K4706*C4707/I4707)+ABS(0.2-L4706*D4707/I4707)+ABS(0.2-M4706*E4707/I4707)+ABS(0.2-N4706*F4707/I4707)),0)</f>
        <v/>
      </c>
      <c r="Q4707">
        <f>P4707*0.0015</f>
        <v/>
      </c>
      <c r="R4707">
        <f>I4707*(1-Q4707)</f>
        <v/>
      </c>
      <c r="S4707">
        <f>R4707/R4706-1</f>
        <v/>
      </c>
      <c r="T4707">
        <f>MAX(T4706,R4707)</f>
        <v/>
      </c>
      <c r="U4707">
        <f>R4707/T4707-1</f>
        <v/>
      </c>
      <c r="V4707" t="n">
        <v>24.27097265920638</v>
      </c>
      <c r="W4707" s="5">
        <f>R4707-V4707</f>
        <v/>
      </c>
    </row>
    <row r="4708">
      <c r="A4708" s="3" t="n">
        <v>45371</v>
      </c>
      <c r="B4708">
        <f>Prices!B4708</f>
        <v/>
      </c>
      <c r="C4708">
        <f>Prices!C4708</f>
        <v/>
      </c>
      <c r="D4708">
        <f>Prices!D4708</f>
        <v/>
      </c>
      <c r="E4708">
        <f>Prices!E4708</f>
        <v/>
      </c>
      <c r="F4708">
        <f>Prices!F4708</f>
        <v/>
      </c>
      <c r="G4708">
        <f>IF(AND(4706&gt;=16,TEXT(A4708,"yyyy-mm")&lt;&gt;TEXT(A4709,"yyyy-mm")),1,0)</f>
        <v/>
      </c>
      <c r="H4708">
        <f>IF(OR(H4707=1,G4708=1),1,0)</f>
        <v/>
      </c>
      <c r="I4708">
        <f>IF(H4707=0,1,SUMPRODUCT(J4707:N4707,B4708:F4708)+O4707*(1+0.00023125256064071564))</f>
        <v/>
      </c>
      <c r="J4708">
        <f>IF(G4708=1,0.2*R4708/B4708,J4707)</f>
        <v/>
      </c>
      <c r="K4708">
        <f>IF(G4708=1,0.2*R4708/C4708,K4707)</f>
        <v/>
      </c>
      <c r="L4708">
        <f>IF(G4708=1,0.2*R4708/D4708,L4707)</f>
        <v/>
      </c>
      <c r="M4708">
        <f>IF(G4708=1,0.2*R4708/E4708,M4707)</f>
        <v/>
      </c>
      <c r="N4708">
        <f>IF(G4708=1,0.2*R4708/F4708,N4707)</f>
        <v/>
      </c>
      <c r="O4708">
        <f>IF(G4708=1,R4708*(1-1.0),IF(H4707=0,1,O4707*(1+0.00023125256064071564)))</f>
        <v/>
      </c>
      <c r="P4708">
        <f>IF(G4708=1,IF(H4707=0,1,ABS(0.2-J4707*B4708/I4708)+ABS(0.2-K4707*C4708/I4708)+ABS(0.2-L4707*D4708/I4708)+ABS(0.2-M4707*E4708/I4708)+ABS(0.2-N4707*F4708/I4708)),0)</f>
        <v/>
      </c>
      <c r="Q4708">
        <f>P4708*0.0015</f>
        <v/>
      </c>
      <c r="R4708">
        <f>I4708*(1-Q4708)</f>
        <v/>
      </c>
      <c r="S4708">
        <f>R4708/R4707-1</f>
        <v/>
      </c>
      <c r="T4708">
        <f>MAX(T4707,R4708)</f>
        <v/>
      </c>
      <c r="U4708">
        <f>R4708/T4708-1</f>
        <v/>
      </c>
      <c r="V4708" t="n">
        <v>24.34003172998499</v>
      </c>
      <c r="W4708" s="5">
        <f>R4708-V4708</f>
        <v/>
      </c>
    </row>
    <row r="4709">
      <c r="A4709" s="3" t="n">
        <v>45372</v>
      </c>
      <c r="B4709">
        <f>Prices!B4709</f>
        <v/>
      </c>
      <c r="C4709">
        <f>Prices!C4709</f>
        <v/>
      </c>
      <c r="D4709">
        <f>Prices!D4709</f>
        <v/>
      </c>
      <c r="E4709">
        <f>Prices!E4709</f>
        <v/>
      </c>
      <c r="F4709">
        <f>Prices!F4709</f>
        <v/>
      </c>
      <c r="G4709">
        <f>IF(AND(4707&gt;=16,TEXT(A4709,"yyyy-mm")&lt;&gt;TEXT(A4710,"yyyy-mm")),1,0)</f>
        <v/>
      </c>
      <c r="H4709">
        <f>IF(OR(H4708=1,G4709=1),1,0)</f>
        <v/>
      </c>
      <c r="I4709">
        <f>IF(H4708=0,1,SUMPRODUCT(J4708:N4708,B4709:F4709)+O4708*(1+0.00023125256064071564))</f>
        <v/>
      </c>
      <c r="J4709">
        <f>IF(G4709=1,0.2*R4709/B4709,J4708)</f>
        <v/>
      </c>
      <c r="K4709">
        <f>IF(G4709=1,0.2*R4709/C4709,K4708)</f>
        <v/>
      </c>
      <c r="L4709">
        <f>IF(G4709=1,0.2*R4709/D4709,L4708)</f>
        <v/>
      </c>
      <c r="M4709">
        <f>IF(G4709=1,0.2*R4709/E4709,M4708)</f>
        <v/>
      </c>
      <c r="N4709">
        <f>IF(G4709=1,0.2*R4709/F4709,N4708)</f>
        <v/>
      </c>
      <c r="O4709">
        <f>IF(G4709=1,R4709*(1-1.0),IF(H4708=0,1,O4708*(1+0.00023125256064071564)))</f>
        <v/>
      </c>
      <c r="P4709">
        <f>IF(G4709=1,IF(H4708=0,1,ABS(0.2-J4708*B4709/I4709)+ABS(0.2-K4708*C4709/I4709)+ABS(0.2-L4708*D4709/I4709)+ABS(0.2-M4708*E4709/I4709)+ABS(0.2-N4708*F4709/I4709)),0)</f>
        <v/>
      </c>
      <c r="Q4709">
        <f>P4709*0.0015</f>
        <v/>
      </c>
      <c r="R4709">
        <f>I4709*(1-Q4709)</f>
        <v/>
      </c>
      <c r="S4709">
        <f>R4709/R4708-1</f>
        <v/>
      </c>
      <c r="T4709">
        <f>MAX(T4708,R4709)</f>
        <v/>
      </c>
      <c r="U4709">
        <f>R4709/T4709-1</f>
        <v/>
      </c>
      <c r="V4709" t="n">
        <v>24.9510390997689</v>
      </c>
      <c r="W4709" s="5">
        <f>R4709-V4709</f>
        <v/>
      </c>
    </row>
    <row r="4710">
      <c r="A4710" s="3" t="n">
        <v>45373</v>
      </c>
      <c r="B4710">
        <f>Prices!B4710</f>
        <v/>
      </c>
      <c r="C4710">
        <f>Prices!C4710</f>
        <v/>
      </c>
      <c r="D4710">
        <f>Prices!D4710</f>
        <v/>
      </c>
      <c r="E4710">
        <f>Prices!E4710</f>
        <v/>
      </c>
      <c r="F4710">
        <f>Prices!F4710</f>
        <v/>
      </c>
      <c r="G4710">
        <f>IF(AND(4708&gt;=16,TEXT(A4710,"yyyy-mm")&lt;&gt;TEXT(A4711,"yyyy-mm")),1,0)</f>
        <v/>
      </c>
      <c r="H4710">
        <f>IF(OR(H4709=1,G4710=1),1,0)</f>
        <v/>
      </c>
      <c r="I4710">
        <f>IF(H4709=0,1,SUMPRODUCT(J4709:N4709,B4710:F4710)+O4709*(1+0.00023125256064071564))</f>
        <v/>
      </c>
      <c r="J4710">
        <f>IF(G4710=1,0.2*R4710/B4710,J4709)</f>
        <v/>
      </c>
      <c r="K4710">
        <f>IF(G4710=1,0.2*R4710/C4710,K4709)</f>
        <v/>
      </c>
      <c r="L4710">
        <f>IF(G4710=1,0.2*R4710/D4710,L4709)</f>
        <v/>
      </c>
      <c r="M4710">
        <f>IF(G4710=1,0.2*R4710/E4710,M4709)</f>
        <v/>
      </c>
      <c r="N4710">
        <f>IF(G4710=1,0.2*R4710/F4710,N4709)</f>
        <v/>
      </c>
      <c r="O4710">
        <f>IF(G4710=1,R4710*(1-1.0),IF(H4709=0,1,O4709*(1+0.00023125256064071564)))</f>
        <v/>
      </c>
      <c r="P4710">
        <f>IF(G4710=1,IF(H4709=0,1,ABS(0.2-J4709*B4710/I4710)+ABS(0.2-K4709*C4710/I4710)+ABS(0.2-L4709*D4710/I4710)+ABS(0.2-M4709*E4710/I4710)+ABS(0.2-N4709*F4710/I4710)),0)</f>
        <v/>
      </c>
      <c r="Q4710">
        <f>P4710*0.0015</f>
        <v/>
      </c>
      <c r="R4710">
        <f>I4710*(1-Q4710)</f>
        <v/>
      </c>
      <c r="S4710">
        <f>R4710/R4709-1</f>
        <v/>
      </c>
      <c r="T4710">
        <f>MAX(T4709,R4710)</f>
        <v/>
      </c>
      <c r="U4710">
        <f>R4710/T4710-1</f>
        <v/>
      </c>
      <c r="V4710" t="n">
        <v>25.10453300294758</v>
      </c>
      <c r="W4710" s="5">
        <f>R4710-V4710</f>
        <v/>
      </c>
    </row>
    <row r="4711">
      <c r="A4711" s="3" t="n">
        <v>45377</v>
      </c>
      <c r="B4711">
        <f>Prices!B4711</f>
        <v/>
      </c>
      <c r="C4711">
        <f>Prices!C4711</f>
        <v/>
      </c>
      <c r="D4711">
        <f>Prices!D4711</f>
        <v/>
      </c>
      <c r="E4711">
        <f>Prices!E4711</f>
        <v/>
      </c>
      <c r="F4711">
        <f>Prices!F4711</f>
        <v/>
      </c>
      <c r="G4711">
        <f>IF(AND(4709&gt;=16,TEXT(A4711,"yyyy-mm")&lt;&gt;TEXT(A4712,"yyyy-mm")),1,0)</f>
        <v/>
      </c>
      <c r="H4711">
        <f>IF(OR(H4710=1,G4711=1),1,0)</f>
        <v/>
      </c>
      <c r="I4711">
        <f>IF(H4710=0,1,SUMPRODUCT(J4710:N4710,B4711:F4711)+O4710*(1+0.00023125256064071564))</f>
        <v/>
      </c>
      <c r="J4711">
        <f>IF(G4711=1,0.2*R4711/B4711,J4710)</f>
        <v/>
      </c>
      <c r="K4711">
        <f>IF(G4711=1,0.2*R4711/C4711,K4710)</f>
        <v/>
      </c>
      <c r="L4711">
        <f>IF(G4711=1,0.2*R4711/D4711,L4710)</f>
        <v/>
      </c>
      <c r="M4711">
        <f>IF(G4711=1,0.2*R4711/E4711,M4710)</f>
        <v/>
      </c>
      <c r="N4711">
        <f>IF(G4711=1,0.2*R4711/F4711,N4710)</f>
        <v/>
      </c>
      <c r="O4711">
        <f>IF(G4711=1,R4711*(1-1.0),IF(H4710=0,1,O4710*(1+0.00023125256064071564)))</f>
        <v/>
      </c>
      <c r="P4711">
        <f>IF(G4711=1,IF(H4710=0,1,ABS(0.2-J4710*B4711/I4711)+ABS(0.2-K4710*C4711/I4711)+ABS(0.2-L4710*D4711/I4711)+ABS(0.2-M4710*E4711/I4711)+ABS(0.2-N4710*F4711/I4711)),0)</f>
        <v/>
      </c>
      <c r="Q4711">
        <f>P4711*0.0015</f>
        <v/>
      </c>
      <c r="R4711">
        <f>I4711*(1-Q4711)</f>
        <v/>
      </c>
      <c r="S4711">
        <f>R4711/R4710-1</f>
        <v/>
      </c>
      <c r="T4711">
        <f>MAX(T4710,R4711)</f>
        <v/>
      </c>
      <c r="U4711">
        <f>R4711/T4711-1</f>
        <v/>
      </c>
      <c r="V4711" t="n">
        <v>25.33966617904963</v>
      </c>
      <c r="W4711" s="5">
        <f>R4711-V4711</f>
        <v/>
      </c>
    </row>
    <row r="4712">
      <c r="A4712" s="3" t="n">
        <v>45378</v>
      </c>
      <c r="B4712">
        <f>Prices!B4712</f>
        <v/>
      </c>
      <c r="C4712">
        <f>Prices!C4712</f>
        <v/>
      </c>
      <c r="D4712">
        <f>Prices!D4712</f>
        <v/>
      </c>
      <c r="E4712">
        <f>Prices!E4712</f>
        <v/>
      </c>
      <c r="F4712">
        <f>Prices!F4712</f>
        <v/>
      </c>
      <c r="G4712">
        <f>IF(AND(4710&gt;=16,TEXT(A4712,"yyyy-mm")&lt;&gt;TEXT(A4713,"yyyy-mm")),1,0)</f>
        <v/>
      </c>
      <c r="H4712">
        <f>IF(OR(H4711=1,G4712=1),1,0)</f>
        <v/>
      </c>
      <c r="I4712">
        <f>IF(H4711=0,1,SUMPRODUCT(J4711:N4711,B4712:F4712)+O4711*(1+0.00023125256064071564))</f>
        <v/>
      </c>
      <c r="J4712">
        <f>IF(G4712=1,0.2*R4712/B4712,J4711)</f>
        <v/>
      </c>
      <c r="K4712">
        <f>IF(G4712=1,0.2*R4712/C4712,K4711)</f>
        <v/>
      </c>
      <c r="L4712">
        <f>IF(G4712=1,0.2*R4712/D4712,L4711)</f>
        <v/>
      </c>
      <c r="M4712">
        <f>IF(G4712=1,0.2*R4712/E4712,M4711)</f>
        <v/>
      </c>
      <c r="N4712">
        <f>IF(G4712=1,0.2*R4712/F4712,N4711)</f>
        <v/>
      </c>
      <c r="O4712">
        <f>IF(G4712=1,R4712*(1-1.0),IF(H4711=0,1,O4711*(1+0.00023125256064071564)))</f>
        <v/>
      </c>
      <c r="P4712">
        <f>IF(G4712=1,IF(H4711=0,1,ABS(0.2-J4711*B4712/I4712)+ABS(0.2-K4711*C4712/I4712)+ABS(0.2-L4711*D4712/I4712)+ABS(0.2-M4711*E4712/I4712)+ABS(0.2-N4711*F4712/I4712)),0)</f>
        <v/>
      </c>
      <c r="Q4712">
        <f>P4712*0.0015</f>
        <v/>
      </c>
      <c r="R4712">
        <f>I4712*(1-Q4712)</f>
        <v/>
      </c>
      <c r="S4712">
        <f>R4712/R4711-1</f>
        <v/>
      </c>
      <c r="T4712">
        <f>MAX(T4711,R4712)</f>
        <v/>
      </c>
      <c r="U4712">
        <f>R4712/T4712-1</f>
        <v/>
      </c>
      <c r="V4712" t="n">
        <v>25.35801530398938</v>
      </c>
      <c r="W4712" s="5">
        <f>R4712-V4712</f>
        <v/>
      </c>
    </row>
    <row r="4713">
      <c r="A4713" s="3" t="n">
        <v>45379</v>
      </c>
      <c r="B4713">
        <f>Prices!B4713</f>
        <v/>
      </c>
      <c r="C4713">
        <f>Prices!C4713</f>
        <v/>
      </c>
      <c r="D4713">
        <f>Prices!D4713</f>
        <v/>
      </c>
      <c r="E4713">
        <f>Prices!E4713</f>
        <v/>
      </c>
      <c r="F4713">
        <f>Prices!F4713</f>
        <v/>
      </c>
      <c r="G4713">
        <f>IF(AND(4711&gt;=16,TEXT(A4713,"yyyy-mm")&lt;&gt;TEXT(A4714,"yyyy-mm")),1,0)</f>
        <v/>
      </c>
      <c r="H4713">
        <f>IF(OR(H4712=1,G4713=1),1,0)</f>
        <v/>
      </c>
      <c r="I4713">
        <f>IF(H4712=0,1,SUMPRODUCT(J4712:N4712,B4713:F4713)+O4712*(1+0.00023125256064071564))</f>
        <v/>
      </c>
      <c r="J4713">
        <f>IF(G4713=1,0.2*R4713/B4713,J4712)</f>
        <v/>
      </c>
      <c r="K4713">
        <f>IF(G4713=1,0.2*R4713/C4713,K4712)</f>
        <v/>
      </c>
      <c r="L4713">
        <f>IF(G4713=1,0.2*R4713/D4713,L4712)</f>
        <v/>
      </c>
      <c r="M4713">
        <f>IF(G4713=1,0.2*R4713/E4713,M4712)</f>
        <v/>
      </c>
      <c r="N4713">
        <f>IF(G4713=1,0.2*R4713/F4713,N4712)</f>
        <v/>
      </c>
      <c r="O4713">
        <f>IF(G4713=1,R4713*(1-1.0),IF(H4712=0,1,O4712*(1+0.00023125256064071564)))</f>
        <v/>
      </c>
      <c r="P4713">
        <f>IF(G4713=1,IF(H4712=0,1,ABS(0.2-J4712*B4713/I4713)+ABS(0.2-K4712*C4713/I4713)+ABS(0.2-L4712*D4713/I4713)+ABS(0.2-M4712*E4713/I4713)+ABS(0.2-N4712*F4713/I4713)),0)</f>
        <v/>
      </c>
      <c r="Q4713">
        <f>P4713*0.0015</f>
        <v/>
      </c>
      <c r="R4713">
        <f>I4713*(1-Q4713)</f>
        <v/>
      </c>
      <c r="S4713">
        <f>R4713/R4712-1</f>
        <v/>
      </c>
      <c r="T4713">
        <f>MAX(T4712,R4713)</f>
        <v/>
      </c>
      <c r="U4713">
        <f>R4713/T4713-1</f>
        <v/>
      </c>
      <c r="V4713" t="n">
        <v>25.55453996799694</v>
      </c>
      <c r="W4713" s="5">
        <f>R4713-V4713</f>
        <v/>
      </c>
    </row>
    <row r="4714">
      <c r="A4714" s="3" t="n">
        <v>45383</v>
      </c>
      <c r="B4714">
        <f>Prices!B4714</f>
        <v/>
      </c>
      <c r="C4714">
        <f>Prices!C4714</f>
        <v/>
      </c>
      <c r="D4714">
        <f>Prices!D4714</f>
        <v/>
      </c>
      <c r="E4714">
        <f>Prices!E4714</f>
        <v/>
      </c>
      <c r="F4714">
        <f>Prices!F4714</f>
        <v/>
      </c>
      <c r="G4714">
        <f>IF(AND(4712&gt;=16,TEXT(A4714,"yyyy-mm")&lt;&gt;TEXT(A4715,"yyyy-mm")),1,0)</f>
        <v/>
      </c>
      <c r="H4714">
        <f>IF(OR(H4713=1,G4714=1),1,0)</f>
        <v/>
      </c>
      <c r="I4714">
        <f>IF(H4713=0,1,SUMPRODUCT(J4713:N4713,B4714:F4714)+O4713*(1+0.00023125256064071564))</f>
        <v/>
      </c>
      <c r="J4714">
        <f>IF(G4714=1,0.2*R4714/B4714,J4713)</f>
        <v/>
      </c>
      <c r="K4714">
        <f>IF(G4714=1,0.2*R4714/C4714,K4713)</f>
        <v/>
      </c>
      <c r="L4714">
        <f>IF(G4714=1,0.2*R4714/D4714,L4713)</f>
        <v/>
      </c>
      <c r="M4714">
        <f>IF(G4714=1,0.2*R4714/E4714,M4713)</f>
        <v/>
      </c>
      <c r="N4714">
        <f>IF(G4714=1,0.2*R4714/F4714,N4713)</f>
        <v/>
      </c>
      <c r="O4714">
        <f>IF(G4714=1,R4714*(1-1.0),IF(H4713=0,1,O4713*(1+0.00023125256064071564)))</f>
        <v/>
      </c>
      <c r="P4714">
        <f>IF(G4714=1,IF(H4713=0,1,ABS(0.2-J4713*B4714/I4714)+ABS(0.2-K4713*C4714/I4714)+ABS(0.2-L4713*D4714/I4714)+ABS(0.2-M4713*E4714/I4714)+ABS(0.2-N4713*F4714/I4714)),0)</f>
        <v/>
      </c>
      <c r="Q4714">
        <f>P4714*0.0015</f>
        <v/>
      </c>
      <c r="R4714">
        <f>I4714*(1-Q4714)</f>
        <v/>
      </c>
      <c r="S4714">
        <f>R4714/R4713-1</f>
        <v/>
      </c>
      <c r="T4714">
        <f>MAX(T4713,R4714)</f>
        <v/>
      </c>
      <c r="U4714">
        <f>R4714/T4714-1</f>
        <v/>
      </c>
      <c r="V4714" t="n">
        <v>26.04910513318648</v>
      </c>
      <c r="W4714" s="5">
        <f>R4714-V4714</f>
        <v/>
      </c>
    </row>
    <row r="4715">
      <c r="A4715" s="3" t="n">
        <v>45384</v>
      </c>
      <c r="B4715">
        <f>Prices!B4715</f>
        <v/>
      </c>
      <c r="C4715">
        <f>Prices!C4715</f>
        <v/>
      </c>
      <c r="D4715">
        <f>Prices!D4715</f>
        <v/>
      </c>
      <c r="E4715">
        <f>Prices!E4715</f>
        <v/>
      </c>
      <c r="F4715">
        <f>Prices!F4715</f>
        <v/>
      </c>
      <c r="G4715">
        <f>IF(AND(4713&gt;=16,TEXT(A4715,"yyyy-mm")&lt;&gt;TEXT(A4716,"yyyy-mm")),1,0)</f>
        <v/>
      </c>
      <c r="H4715">
        <f>IF(OR(H4714=1,G4715=1),1,0)</f>
        <v/>
      </c>
      <c r="I4715">
        <f>IF(H4714=0,1,SUMPRODUCT(J4714:N4714,B4715:F4715)+O4714*(1+0.00023125256064071564))</f>
        <v/>
      </c>
      <c r="J4715">
        <f>IF(G4715=1,0.2*R4715/B4715,J4714)</f>
        <v/>
      </c>
      <c r="K4715">
        <f>IF(G4715=1,0.2*R4715/C4715,K4714)</f>
        <v/>
      </c>
      <c r="L4715">
        <f>IF(G4715=1,0.2*R4715/D4715,L4714)</f>
        <v/>
      </c>
      <c r="M4715">
        <f>IF(G4715=1,0.2*R4715/E4715,M4714)</f>
        <v/>
      </c>
      <c r="N4715">
        <f>IF(G4715=1,0.2*R4715/F4715,N4714)</f>
        <v/>
      </c>
      <c r="O4715">
        <f>IF(G4715=1,R4715*(1-1.0),IF(H4714=0,1,O4714*(1+0.00023125256064071564)))</f>
        <v/>
      </c>
      <c r="P4715">
        <f>IF(G4715=1,IF(H4714=0,1,ABS(0.2-J4714*B4715/I4715)+ABS(0.2-K4714*C4715/I4715)+ABS(0.2-L4714*D4715/I4715)+ABS(0.2-M4714*E4715/I4715)+ABS(0.2-N4714*F4715/I4715)),0)</f>
        <v/>
      </c>
      <c r="Q4715">
        <f>P4715*0.0015</f>
        <v/>
      </c>
      <c r="R4715">
        <f>I4715*(1-Q4715)</f>
        <v/>
      </c>
      <c r="S4715">
        <f>R4715/R4714-1</f>
        <v/>
      </c>
      <c r="T4715">
        <f>MAX(T4714,R4715)</f>
        <v/>
      </c>
      <c r="U4715">
        <f>R4715/T4715-1</f>
        <v/>
      </c>
      <c r="V4715" t="n">
        <v>26.32105957749802</v>
      </c>
      <c r="W4715" s="5">
        <f>R4715-V4715</f>
        <v/>
      </c>
    </row>
    <row r="4716">
      <c r="A4716" s="3" t="n">
        <v>45385</v>
      </c>
      <c r="B4716">
        <f>Prices!B4716</f>
        <v/>
      </c>
      <c r="C4716">
        <f>Prices!C4716</f>
        <v/>
      </c>
      <c r="D4716">
        <f>Prices!D4716</f>
        <v/>
      </c>
      <c r="E4716">
        <f>Prices!E4716</f>
        <v/>
      </c>
      <c r="F4716">
        <f>Prices!F4716</f>
        <v/>
      </c>
      <c r="G4716">
        <f>IF(AND(4714&gt;=16,TEXT(A4716,"yyyy-mm")&lt;&gt;TEXT(A4717,"yyyy-mm")),1,0)</f>
        <v/>
      </c>
      <c r="H4716">
        <f>IF(OR(H4715=1,G4716=1),1,0)</f>
        <v/>
      </c>
      <c r="I4716">
        <f>IF(H4715=0,1,SUMPRODUCT(J4715:N4715,B4716:F4716)+O4715*(1+0.00023125256064071564))</f>
        <v/>
      </c>
      <c r="J4716">
        <f>IF(G4716=1,0.2*R4716/B4716,J4715)</f>
        <v/>
      </c>
      <c r="K4716">
        <f>IF(G4716=1,0.2*R4716/C4716,K4715)</f>
        <v/>
      </c>
      <c r="L4716">
        <f>IF(G4716=1,0.2*R4716/D4716,L4715)</f>
        <v/>
      </c>
      <c r="M4716">
        <f>IF(G4716=1,0.2*R4716/E4716,M4715)</f>
        <v/>
      </c>
      <c r="N4716">
        <f>IF(G4716=1,0.2*R4716/F4716,N4715)</f>
        <v/>
      </c>
      <c r="O4716">
        <f>IF(G4716=1,R4716*(1-1.0),IF(H4715=0,1,O4715*(1+0.00023125256064071564)))</f>
        <v/>
      </c>
      <c r="P4716">
        <f>IF(G4716=1,IF(H4715=0,1,ABS(0.2-J4715*B4716/I4716)+ABS(0.2-K4715*C4716/I4716)+ABS(0.2-L4715*D4716/I4716)+ABS(0.2-M4715*E4716/I4716)+ABS(0.2-N4715*F4716/I4716)),0)</f>
        <v/>
      </c>
      <c r="Q4716">
        <f>P4716*0.0015</f>
        <v/>
      </c>
      <c r="R4716">
        <f>I4716*(1-Q4716)</f>
        <v/>
      </c>
      <c r="S4716">
        <f>R4716/R4715-1</f>
        <v/>
      </c>
      <c r="T4716">
        <f>MAX(T4715,R4716)</f>
        <v/>
      </c>
      <c r="U4716">
        <f>R4716/T4716-1</f>
        <v/>
      </c>
      <c r="V4716" t="n">
        <v>26.50834497738422</v>
      </c>
      <c r="W4716" s="5">
        <f>R4716-V4716</f>
        <v/>
      </c>
    </row>
    <row r="4717">
      <c r="A4717" s="3" t="n">
        <v>45386</v>
      </c>
      <c r="B4717">
        <f>Prices!B4717</f>
        <v/>
      </c>
      <c r="C4717">
        <f>Prices!C4717</f>
        <v/>
      </c>
      <c r="D4717">
        <f>Prices!D4717</f>
        <v/>
      </c>
      <c r="E4717">
        <f>Prices!E4717</f>
        <v/>
      </c>
      <c r="F4717">
        <f>Prices!F4717</f>
        <v/>
      </c>
      <c r="G4717">
        <f>IF(AND(4715&gt;=16,TEXT(A4717,"yyyy-mm")&lt;&gt;TEXT(A4718,"yyyy-mm")),1,0)</f>
        <v/>
      </c>
      <c r="H4717">
        <f>IF(OR(H4716=1,G4717=1),1,0)</f>
        <v/>
      </c>
      <c r="I4717">
        <f>IF(H4716=0,1,SUMPRODUCT(J4716:N4716,B4717:F4717)+O4716*(1+0.00023125256064071564))</f>
        <v/>
      </c>
      <c r="J4717">
        <f>IF(G4717=1,0.2*R4717/B4717,J4716)</f>
        <v/>
      </c>
      <c r="K4717">
        <f>IF(G4717=1,0.2*R4717/C4717,K4716)</f>
        <v/>
      </c>
      <c r="L4717">
        <f>IF(G4717=1,0.2*R4717/D4717,L4716)</f>
        <v/>
      </c>
      <c r="M4717">
        <f>IF(G4717=1,0.2*R4717/E4717,M4716)</f>
        <v/>
      </c>
      <c r="N4717">
        <f>IF(G4717=1,0.2*R4717/F4717,N4716)</f>
        <v/>
      </c>
      <c r="O4717">
        <f>IF(G4717=1,R4717*(1-1.0),IF(H4716=0,1,O4716*(1+0.00023125256064071564)))</f>
        <v/>
      </c>
      <c r="P4717">
        <f>IF(G4717=1,IF(H4716=0,1,ABS(0.2-J4716*B4717/I4717)+ABS(0.2-K4716*C4717/I4717)+ABS(0.2-L4716*D4717/I4717)+ABS(0.2-M4716*E4717/I4717)+ABS(0.2-N4716*F4717/I4717)),0)</f>
        <v/>
      </c>
      <c r="Q4717">
        <f>P4717*0.0015</f>
        <v/>
      </c>
      <c r="R4717">
        <f>I4717*(1-Q4717)</f>
        <v/>
      </c>
      <c r="S4717">
        <f>R4717/R4716-1</f>
        <v/>
      </c>
      <c r="T4717">
        <f>MAX(T4716,R4717)</f>
        <v/>
      </c>
      <c r="U4717">
        <f>R4717/T4717-1</f>
        <v/>
      </c>
      <c r="V4717" t="n">
        <v>26.48180391783234</v>
      </c>
      <c r="W4717" s="5">
        <f>R4717-V4717</f>
        <v/>
      </c>
    </row>
    <row r="4718">
      <c r="A4718" s="3" t="n">
        <v>45387</v>
      </c>
      <c r="B4718">
        <f>Prices!B4718</f>
        <v/>
      </c>
      <c r="C4718">
        <f>Prices!C4718</f>
        <v/>
      </c>
      <c r="D4718">
        <f>Prices!D4718</f>
        <v/>
      </c>
      <c r="E4718">
        <f>Prices!E4718</f>
        <v/>
      </c>
      <c r="F4718">
        <f>Prices!F4718</f>
        <v/>
      </c>
      <c r="G4718">
        <f>IF(AND(4716&gt;=16,TEXT(A4718,"yyyy-mm")&lt;&gt;TEXT(A4719,"yyyy-mm")),1,0)</f>
        <v/>
      </c>
      <c r="H4718">
        <f>IF(OR(H4717=1,G4718=1),1,0)</f>
        <v/>
      </c>
      <c r="I4718">
        <f>IF(H4717=0,1,SUMPRODUCT(J4717:N4717,B4718:F4718)+O4717*(1+0.00023125256064071564))</f>
        <v/>
      </c>
      <c r="J4718">
        <f>IF(G4718=1,0.2*R4718/B4718,J4717)</f>
        <v/>
      </c>
      <c r="K4718">
        <f>IF(G4718=1,0.2*R4718/C4718,K4717)</f>
        <v/>
      </c>
      <c r="L4718">
        <f>IF(G4718=1,0.2*R4718/D4718,L4717)</f>
        <v/>
      </c>
      <c r="M4718">
        <f>IF(G4718=1,0.2*R4718/E4718,M4717)</f>
        <v/>
      </c>
      <c r="N4718">
        <f>IF(G4718=1,0.2*R4718/F4718,N4717)</f>
        <v/>
      </c>
      <c r="O4718">
        <f>IF(G4718=1,R4718*(1-1.0),IF(H4717=0,1,O4717*(1+0.00023125256064071564)))</f>
        <v/>
      </c>
      <c r="P4718">
        <f>IF(G4718=1,IF(H4717=0,1,ABS(0.2-J4717*B4718/I4718)+ABS(0.2-K4717*C4718/I4718)+ABS(0.2-L4717*D4718/I4718)+ABS(0.2-M4717*E4718/I4718)+ABS(0.2-N4717*F4718/I4718)),0)</f>
        <v/>
      </c>
      <c r="Q4718">
        <f>P4718*0.0015</f>
        <v/>
      </c>
      <c r="R4718">
        <f>I4718*(1-Q4718)</f>
        <v/>
      </c>
      <c r="S4718">
        <f>R4718/R4717-1</f>
        <v/>
      </c>
      <c r="T4718">
        <f>MAX(T4717,R4718)</f>
        <v/>
      </c>
      <c r="U4718">
        <f>R4718/T4718-1</f>
        <v/>
      </c>
      <c r="V4718" t="n">
        <v>26.58221400639381</v>
      </c>
      <c r="W4718" s="5">
        <f>R4718-V4718</f>
        <v/>
      </c>
    </row>
    <row r="4719">
      <c r="A4719" s="3" t="n">
        <v>45390</v>
      </c>
      <c r="B4719">
        <f>Prices!B4719</f>
        <v/>
      </c>
      <c r="C4719">
        <f>Prices!C4719</f>
        <v/>
      </c>
      <c r="D4719">
        <f>Prices!D4719</f>
        <v/>
      </c>
      <c r="E4719">
        <f>Prices!E4719</f>
        <v/>
      </c>
      <c r="F4719">
        <f>Prices!F4719</f>
        <v/>
      </c>
      <c r="G4719">
        <f>IF(AND(4717&gt;=16,TEXT(A4719,"yyyy-mm")&lt;&gt;TEXT(A4720,"yyyy-mm")),1,0)</f>
        <v/>
      </c>
      <c r="H4719">
        <f>IF(OR(H4718=1,G4719=1),1,0)</f>
        <v/>
      </c>
      <c r="I4719">
        <f>IF(H4718=0,1,SUMPRODUCT(J4718:N4718,B4719:F4719)+O4718*(1+0.00023125256064071564))</f>
        <v/>
      </c>
      <c r="J4719">
        <f>IF(G4719=1,0.2*R4719/B4719,J4718)</f>
        <v/>
      </c>
      <c r="K4719">
        <f>IF(G4719=1,0.2*R4719/C4719,K4718)</f>
        <v/>
      </c>
      <c r="L4719">
        <f>IF(G4719=1,0.2*R4719/D4719,L4718)</f>
        <v/>
      </c>
      <c r="M4719">
        <f>IF(G4719=1,0.2*R4719/E4719,M4718)</f>
        <v/>
      </c>
      <c r="N4719">
        <f>IF(G4719=1,0.2*R4719/F4719,N4718)</f>
        <v/>
      </c>
      <c r="O4719">
        <f>IF(G4719=1,R4719*(1-1.0),IF(H4718=0,1,O4718*(1+0.00023125256064071564)))</f>
        <v/>
      </c>
      <c r="P4719">
        <f>IF(G4719=1,IF(H4718=0,1,ABS(0.2-J4718*B4719/I4719)+ABS(0.2-K4718*C4719/I4719)+ABS(0.2-L4718*D4719/I4719)+ABS(0.2-M4718*E4719/I4719)+ABS(0.2-N4718*F4719/I4719)),0)</f>
        <v/>
      </c>
      <c r="Q4719">
        <f>P4719*0.0015</f>
        <v/>
      </c>
      <c r="R4719">
        <f>I4719*(1-Q4719)</f>
        <v/>
      </c>
      <c r="S4719">
        <f>R4719/R4718-1</f>
        <v/>
      </c>
      <c r="T4719">
        <f>MAX(T4718,R4719)</f>
        <v/>
      </c>
      <c r="U4719">
        <f>R4719/T4719-1</f>
        <v/>
      </c>
      <c r="V4719" t="n">
        <v>26.57085578585948</v>
      </c>
      <c r="W4719" s="5">
        <f>R4719-V4719</f>
        <v/>
      </c>
    </row>
    <row r="4720">
      <c r="A4720" s="3" t="n">
        <v>45391</v>
      </c>
      <c r="B4720">
        <f>Prices!B4720</f>
        <v/>
      </c>
      <c r="C4720">
        <f>Prices!C4720</f>
        <v/>
      </c>
      <c r="D4720">
        <f>Prices!D4720</f>
        <v/>
      </c>
      <c r="E4720">
        <f>Prices!E4720</f>
        <v/>
      </c>
      <c r="F4720">
        <f>Prices!F4720</f>
        <v/>
      </c>
      <c r="G4720">
        <f>IF(AND(4718&gt;=16,TEXT(A4720,"yyyy-mm")&lt;&gt;TEXT(A4721,"yyyy-mm")),1,0)</f>
        <v/>
      </c>
      <c r="H4720">
        <f>IF(OR(H4719=1,G4720=1),1,0)</f>
        <v/>
      </c>
      <c r="I4720">
        <f>IF(H4719=0,1,SUMPRODUCT(J4719:N4719,B4720:F4720)+O4719*(1+0.00023125256064071564))</f>
        <v/>
      </c>
      <c r="J4720">
        <f>IF(G4720=1,0.2*R4720/B4720,J4719)</f>
        <v/>
      </c>
      <c r="K4720">
        <f>IF(G4720=1,0.2*R4720/C4720,K4719)</f>
        <v/>
      </c>
      <c r="L4720">
        <f>IF(G4720=1,0.2*R4720/D4720,L4719)</f>
        <v/>
      </c>
      <c r="M4720">
        <f>IF(G4720=1,0.2*R4720/E4720,M4719)</f>
        <v/>
      </c>
      <c r="N4720">
        <f>IF(G4720=1,0.2*R4720/F4720,N4719)</f>
        <v/>
      </c>
      <c r="O4720">
        <f>IF(G4720=1,R4720*(1-1.0),IF(H4719=0,1,O4719*(1+0.00023125256064071564)))</f>
        <v/>
      </c>
      <c r="P4720">
        <f>IF(G4720=1,IF(H4719=0,1,ABS(0.2-J4719*B4720/I4720)+ABS(0.2-K4719*C4720/I4720)+ABS(0.2-L4719*D4720/I4720)+ABS(0.2-M4719*E4720/I4720)+ABS(0.2-N4719*F4720/I4720)),0)</f>
        <v/>
      </c>
      <c r="Q4720">
        <f>P4720*0.0015</f>
        <v/>
      </c>
      <c r="R4720">
        <f>I4720*(1-Q4720)</f>
        <v/>
      </c>
      <c r="S4720">
        <f>R4720/R4719-1</f>
        <v/>
      </c>
      <c r="T4720">
        <f>MAX(T4719,R4720)</f>
        <v/>
      </c>
      <c r="U4720">
        <f>R4720/T4720-1</f>
        <v/>
      </c>
      <c r="V4720" t="n">
        <v>26.49946776229261</v>
      </c>
      <c r="W4720" s="5">
        <f>R4720-V4720</f>
        <v/>
      </c>
    </row>
    <row r="4721">
      <c r="A4721" s="3" t="n">
        <v>45392</v>
      </c>
      <c r="B4721">
        <f>Prices!B4721</f>
        <v/>
      </c>
      <c r="C4721">
        <f>Prices!C4721</f>
        <v/>
      </c>
      <c r="D4721">
        <f>Prices!D4721</f>
        <v/>
      </c>
      <c r="E4721">
        <f>Prices!E4721</f>
        <v/>
      </c>
      <c r="F4721">
        <f>Prices!F4721</f>
        <v/>
      </c>
      <c r="G4721">
        <f>IF(AND(4719&gt;=16,TEXT(A4721,"yyyy-mm")&lt;&gt;TEXT(A4722,"yyyy-mm")),1,0)</f>
        <v/>
      </c>
      <c r="H4721">
        <f>IF(OR(H4720=1,G4721=1),1,0)</f>
        <v/>
      </c>
      <c r="I4721">
        <f>IF(H4720=0,1,SUMPRODUCT(J4720:N4720,B4721:F4721)+O4720*(1+0.00023125256064071564))</f>
        <v/>
      </c>
      <c r="J4721">
        <f>IF(G4721=1,0.2*R4721/B4721,J4720)</f>
        <v/>
      </c>
      <c r="K4721">
        <f>IF(G4721=1,0.2*R4721/C4721,K4720)</f>
        <v/>
      </c>
      <c r="L4721">
        <f>IF(G4721=1,0.2*R4721/D4721,L4720)</f>
        <v/>
      </c>
      <c r="M4721">
        <f>IF(G4721=1,0.2*R4721/E4721,M4720)</f>
        <v/>
      </c>
      <c r="N4721">
        <f>IF(G4721=1,0.2*R4721/F4721,N4720)</f>
        <v/>
      </c>
      <c r="O4721">
        <f>IF(G4721=1,R4721*(1-1.0),IF(H4720=0,1,O4720*(1+0.00023125256064071564)))</f>
        <v/>
      </c>
      <c r="P4721">
        <f>IF(G4721=1,IF(H4720=0,1,ABS(0.2-J4720*B4721/I4721)+ABS(0.2-K4720*C4721/I4721)+ABS(0.2-L4720*D4721/I4721)+ABS(0.2-M4720*E4721/I4721)+ABS(0.2-N4720*F4721/I4721)),0)</f>
        <v/>
      </c>
      <c r="Q4721">
        <f>P4721*0.0015</f>
        <v/>
      </c>
      <c r="R4721">
        <f>I4721*(1-Q4721)</f>
        <v/>
      </c>
      <c r="S4721">
        <f>R4721/R4720-1</f>
        <v/>
      </c>
      <c r="T4721">
        <f>MAX(T4720,R4721)</f>
        <v/>
      </c>
      <c r="U4721">
        <f>R4721/T4721-1</f>
        <v/>
      </c>
      <c r="V4721" t="n">
        <v>26.75342460082</v>
      </c>
      <c r="W4721" s="5">
        <f>R4721-V4721</f>
        <v/>
      </c>
    </row>
    <row r="4722">
      <c r="A4722" s="3" t="n">
        <v>45394</v>
      </c>
      <c r="B4722">
        <f>Prices!B4722</f>
        <v/>
      </c>
      <c r="C4722">
        <f>Prices!C4722</f>
        <v/>
      </c>
      <c r="D4722">
        <f>Prices!D4722</f>
        <v/>
      </c>
      <c r="E4722">
        <f>Prices!E4722</f>
        <v/>
      </c>
      <c r="F4722">
        <f>Prices!F4722</f>
        <v/>
      </c>
      <c r="G4722">
        <f>IF(AND(4720&gt;=16,TEXT(A4722,"yyyy-mm")&lt;&gt;TEXT(A4723,"yyyy-mm")),1,0)</f>
        <v/>
      </c>
      <c r="H4722">
        <f>IF(OR(H4721=1,G4722=1),1,0)</f>
        <v/>
      </c>
      <c r="I4722">
        <f>IF(H4721=0,1,SUMPRODUCT(J4721:N4721,B4722:F4722)+O4721*(1+0.00023125256064071564))</f>
        <v/>
      </c>
      <c r="J4722">
        <f>IF(G4722=1,0.2*R4722/B4722,J4721)</f>
        <v/>
      </c>
      <c r="K4722">
        <f>IF(G4722=1,0.2*R4722/C4722,K4721)</f>
        <v/>
      </c>
      <c r="L4722">
        <f>IF(G4722=1,0.2*R4722/D4722,L4721)</f>
        <v/>
      </c>
      <c r="M4722">
        <f>IF(G4722=1,0.2*R4722/E4722,M4721)</f>
        <v/>
      </c>
      <c r="N4722">
        <f>IF(G4722=1,0.2*R4722/F4722,N4721)</f>
        <v/>
      </c>
      <c r="O4722">
        <f>IF(G4722=1,R4722*(1-1.0),IF(H4721=0,1,O4721*(1+0.00023125256064071564)))</f>
        <v/>
      </c>
      <c r="P4722">
        <f>IF(G4722=1,IF(H4721=0,1,ABS(0.2-J4721*B4722/I4722)+ABS(0.2-K4721*C4722/I4722)+ABS(0.2-L4721*D4722/I4722)+ABS(0.2-M4721*E4722/I4722)+ABS(0.2-N4721*F4722/I4722)),0)</f>
        <v/>
      </c>
      <c r="Q4722">
        <f>P4722*0.0015</f>
        <v/>
      </c>
      <c r="R4722">
        <f>I4722*(1-Q4722)</f>
        <v/>
      </c>
      <c r="S4722">
        <f>R4722/R4721-1</f>
        <v/>
      </c>
      <c r="T4722">
        <f>MAX(T4721,R4722)</f>
        <v/>
      </c>
      <c r="U4722">
        <f>R4722/T4722-1</f>
        <v/>
      </c>
      <c r="V4722" t="n">
        <v>26.56345565741175</v>
      </c>
      <c r="W4722" s="5">
        <f>R4722-V4722</f>
        <v/>
      </c>
    </row>
    <row r="4723">
      <c r="A4723" s="3" t="n">
        <v>45397</v>
      </c>
      <c r="B4723">
        <f>Prices!B4723</f>
        <v/>
      </c>
      <c r="C4723">
        <f>Prices!C4723</f>
        <v/>
      </c>
      <c r="D4723">
        <f>Prices!D4723</f>
        <v/>
      </c>
      <c r="E4723">
        <f>Prices!E4723</f>
        <v/>
      </c>
      <c r="F4723">
        <f>Prices!F4723</f>
        <v/>
      </c>
      <c r="G4723">
        <f>IF(AND(4721&gt;=16,TEXT(A4723,"yyyy-mm")&lt;&gt;TEXT(A4724,"yyyy-mm")),1,0)</f>
        <v/>
      </c>
      <c r="H4723">
        <f>IF(OR(H4722=1,G4723=1),1,0)</f>
        <v/>
      </c>
      <c r="I4723">
        <f>IF(H4722=0,1,SUMPRODUCT(J4722:N4722,B4723:F4723)+O4722*(1+0.00023125256064071564))</f>
        <v/>
      </c>
      <c r="J4723">
        <f>IF(G4723=1,0.2*R4723/B4723,J4722)</f>
        <v/>
      </c>
      <c r="K4723">
        <f>IF(G4723=1,0.2*R4723/C4723,K4722)</f>
        <v/>
      </c>
      <c r="L4723">
        <f>IF(G4723=1,0.2*R4723/D4723,L4722)</f>
        <v/>
      </c>
      <c r="M4723">
        <f>IF(G4723=1,0.2*R4723/E4723,M4722)</f>
        <v/>
      </c>
      <c r="N4723">
        <f>IF(G4723=1,0.2*R4723/F4723,N4722)</f>
        <v/>
      </c>
      <c r="O4723">
        <f>IF(G4723=1,R4723*(1-1.0),IF(H4722=0,1,O4722*(1+0.00023125256064071564)))</f>
        <v/>
      </c>
      <c r="P4723">
        <f>IF(G4723=1,IF(H4722=0,1,ABS(0.2-J4722*B4723/I4723)+ABS(0.2-K4722*C4723/I4723)+ABS(0.2-L4722*D4723/I4723)+ABS(0.2-M4722*E4723/I4723)+ABS(0.2-N4722*F4723/I4723)),0)</f>
        <v/>
      </c>
      <c r="Q4723">
        <f>P4723*0.0015</f>
        <v/>
      </c>
      <c r="R4723">
        <f>I4723*(1-Q4723)</f>
        <v/>
      </c>
      <c r="S4723">
        <f>R4723/R4722-1</f>
        <v/>
      </c>
      <c r="T4723">
        <f>MAX(T4722,R4723)</f>
        <v/>
      </c>
      <c r="U4723">
        <f>R4723/T4723-1</f>
        <v/>
      </c>
      <c r="V4723" t="n">
        <v>26.21695617992086</v>
      </c>
      <c r="W4723" s="5">
        <f>R4723-V4723</f>
        <v/>
      </c>
    </row>
    <row r="4724">
      <c r="A4724" s="3" t="n">
        <v>45398</v>
      </c>
      <c r="B4724">
        <f>Prices!B4724</f>
        <v/>
      </c>
      <c r="C4724">
        <f>Prices!C4724</f>
        <v/>
      </c>
      <c r="D4724">
        <f>Prices!D4724</f>
        <v/>
      </c>
      <c r="E4724">
        <f>Prices!E4724</f>
        <v/>
      </c>
      <c r="F4724">
        <f>Prices!F4724</f>
        <v/>
      </c>
      <c r="G4724">
        <f>IF(AND(4722&gt;=16,TEXT(A4724,"yyyy-mm")&lt;&gt;TEXT(A4725,"yyyy-mm")),1,0)</f>
        <v/>
      </c>
      <c r="H4724">
        <f>IF(OR(H4723=1,G4724=1),1,0)</f>
        <v/>
      </c>
      <c r="I4724">
        <f>IF(H4723=0,1,SUMPRODUCT(J4723:N4723,B4724:F4724)+O4723*(1+0.00023125256064071564))</f>
        <v/>
      </c>
      <c r="J4724">
        <f>IF(G4724=1,0.2*R4724/B4724,J4723)</f>
        <v/>
      </c>
      <c r="K4724">
        <f>IF(G4724=1,0.2*R4724/C4724,K4723)</f>
        <v/>
      </c>
      <c r="L4724">
        <f>IF(G4724=1,0.2*R4724/D4724,L4723)</f>
        <v/>
      </c>
      <c r="M4724">
        <f>IF(G4724=1,0.2*R4724/E4724,M4723)</f>
        <v/>
      </c>
      <c r="N4724">
        <f>IF(G4724=1,0.2*R4724/F4724,N4723)</f>
        <v/>
      </c>
      <c r="O4724">
        <f>IF(G4724=1,R4724*(1-1.0),IF(H4723=0,1,O4723*(1+0.00023125256064071564)))</f>
        <v/>
      </c>
      <c r="P4724">
        <f>IF(G4724=1,IF(H4723=0,1,ABS(0.2-J4723*B4724/I4724)+ABS(0.2-K4723*C4724/I4724)+ABS(0.2-L4723*D4724/I4724)+ABS(0.2-M4723*E4724/I4724)+ABS(0.2-N4723*F4724/I4724)),0)</f>
        <v/>
      </c>
      <c r="Q4724">
        <f>P4724*0.0015</f>
        <v/>
      </c>
      <c r="R4724">
        <f>I4724*(1-Q4724)</f>
        <v/>
      </c>
      <c r="S4724">
        <f>R4724/R4723-1</f>
        <v/>
      </c>
      <c r="T4724">
        <f>MAX(T4723,R4724)</f>
        <v/>
      </c>
      <c r="U4724">
        <f>R4724/T4724-1</f>
        <v/>
      </c>
      <c r="V4724" t="n">
        <v>26.25072715426433</v>
      </c>
      <c r="W4724" s="5">
        <f>R4724-V4724</f>
        <v/>
      </c>
    </row>
    <row r="4725">
      <c r="A4725" s="3" t="n">
        <v>45400</v>
      </c>
      <c r="B4725">
        <f>Prices!B4725</f>
        <v/>
      </c>
      <c r="C4725">
        <f>Prices!C4725</f>
        <v/>
      </c>
      <c r="D4725">
        <f>Prices!D4725</f>
        <v/>
      </c>
      <c r="E4725">
        <f>Prices!E4725</f>
        <v/>
      </c>
      <c r="F4725">
        <f>Prices!F4725</f>
        <v/>
      </c>
      <c r="G4725">
        <f>IF(AND(4723&gt;=16,TEXT(A4725,"yyyy-mm")&lt;&gt;TEXT(A4726,"yyyy-mm")),1,0)</f>
        <v/>
      </c>
      <c r="H4725">
        <f>IF(OR(H4724=1,G4725=1),1,0)</f>
        <v/>
      </c>
      <c r="I4725">
        <f>IF(H4724=0,1,SUMPRODUCT(J4724:N4724,B4725:F4725)+O4724*(1+0.00023125256064071564))</f>
        <v/>
      </c>
      <c r="J4725">
        <f>IF(G4725=1,0.2*R4725/B4725,J4724)</f>
        <v/>
      </c>
      <c r="K4725">
        <f>IF(G4725=1,0.2*R4725/C4725,K4724)</f>
        <v/>
      </c>
      <c r="L4725">
        <f>IF(G4725=1,0.2*R4725/D4725,L4724)</f>
        <v/>
      </c>
      <c r="M4725">
        <f>IF(G4725=1,0.2*R4725/E4725,M4724)</f>
        <v/>
      </c>
      <c r="N4725">
        <f>IF(G4725=1,0.2*R4725/F4725,N4724)</f>
        <v/>
      </c>
      <c r="O4725">
        <f>IF(G4725=1,R4725*(1-1.0),IF(H4724=0,1,O4724*(1+0.00023125256064071564)))</f>
        <v/>
      </c>
      <c r="P4725">
        <f>IF(G4725=1,IF(H4724=0,1,ABS(0.2-J4724*B4725/I4725)+ABS(0.2-K4724*C4725/I4725)+ABS(0.2-L4724*D4725/I4725)+ABS(0.2-M4724*E4725/I4725)+ABS(0.2-N4724*F4725/I4725)),0)</f>
        <v/>
      </c>
      <c r="Q4725">
        <f>P4725*0.0015</f>
        <v/>
      </c>
      <c r="R4725">
        <f>I4725*(1-Q4725)</f>
        <v/>
      </c>
      <c r="S4725">
        <f>R4725/R4724-1</f>
        <v/>
      </c>
      <c r="T4725">
        <f>MAX(T4724,R4725)</f>
        <v/>
      </c>
      <c r="U4725">
        <f>R4725/T4725-1</f>
        <v/>
      </c>
      <c r="V4725" t="n">
        <v>26.11813416065462</v>
      </c>
      <c r="W4725" s="5">
        <f>R4725-V4725</f>
        <v/>
      </c>
    </row>
    <row r="4726">
      <c r="A4726" s="3" t="n">
        <v>45401</v>
      </c>
      <c r="B4726">
        <f>Prices!B4726</f>
        <v/>
      </c>
      <c r="C4726">
        <f>Prices!C4726</f>
        <v/>
      </c>
      <c r="D4726">
        <f>Prices!D4726</f>
        <v/>
      </c>
      <c r="E4726">
        <f>Prices!E4726</f>
        <v/>
      </c>
      <c r="F4726">
        <f>Prices!F4726</f>
        <v/>
      </c>
      <c r="G4726">
        <f>IF(AND(4724&gt;=16,TEXT(A4726,"yyyy-mm")&lt;&gt;TEXT(A4727,"yyyy-mm")),1,0)</f>
        <v/>
      </c>
      <c r="H4726">
        <f>IF(OR(H4725=1,G4726=1),1,0)</f>
        <v/>
      </c>
      <c r="I4726">
        <f>IF(H4725=0,1,SUMPRODUCT(J4725:N4725,B4726:F4726)+O4725*(1+0.00023125256064071564))</f>
        <v/>
      </c>
      <c r="J4726">
        <f>IF(G4726=1,0.2*R4726/B4726,J4725)</f>
        <v/>
      </c>
      <c r="K4726">
        <f>IF(G4726=1,0.2*R4726/C4726,K4725)</f>
        <v/>
      </c>
      <c r="L4726">
        <f>IF(G4726=1,0.2*R4726/D4726,L4725)</f>
        <v/>
      </c>
      <c r="M4726">
        <f>IF(G4726=1,0.2*R4726/E4726,M4725)</f>
        <v/>
      </c>
      <c r="N4726">
        <f>IF(G4726=1,0.2*R4726/F4726,N4725)</f>
        <v/>
      </c>
      <c r="O4726">
        <f>IF(G4726=1,R4726*(1-1.0),IF(H4725=0,1,O4725*(1+0.00023125256064071564)))</f>
        <v/>
      </c>
      <c r="P4726">
        <f>IF(G4726=1,IF(H4725=0,1,ABS(0.2-J4725*B4726/I4726)+ABS(0.2-K4725*C4726/I4726)+ABS(0.2-L4725*D4726/I4726)+ABS(0.2-M4725*E4726/I4726)+ABS(0.2-N4725*F4726/I4726)),0)</f>
        <v/>
      </c>
      <c r="Q4726">
        <f>P4726*0.0015</f>
        <v/>
      </c>
      <c r="R4726">
        <f>I4726*(1-Q4726)</f>
        <v/>
      </c>
      <c r="S4726">
        <f>R4726/R4725-1</f>
        <v/>
      </c>
      <c r="T4726">
        <f>MAX(T4725,R4726)</f>
        <v/>
      </c>
      <c r="U4726">
        <f>R4726/T4726-1</f>
        <v/>
      </c>
      <c r="V4726" t="n">
        <v>26.05663248178789</v>
      </c>
      <c r="W4726" s="5">
        <f>R4726-V4726</f>
        <v/>
      </c>
    </row>
    <row r="4727">
      <c r="A4727" s="3" t="n">
        <v>45404</v>
      </c>
      <c r="B4727">
        <f>Prices!B4727</f>
        <v/>
      </c>
      <c r="C4727">
        <f>Prices!C4727</f>
        <v/>
      </c>
      <c r="D4727">
        <f>Prices!D4727</f>
        <v/>
      </c>
      <c r="E4727">
        <f>Prices!E4727</f>
        <v/>
      </c>
      <c r="F4727">
        <f>Prices!F4727</f>
        <v/>
      </c>
      <c r="G4727">
        <f>IF(AND(4725&gt;=16,TEXT(A4727,"yyyy-mm")&lt;&gt;TEXT(A4728,"yyyy-mm")),1,0)</f>
        <v/>
      </c>
      <c r="H4727">
        <f>IF(OR(H4726=1,G4727=1),1,0)</f>
        <v/>
      </c>
      <c r="I4727">
        <f>IF(H4726=0,1,SUMPRODUCT(J4726:N4726,B4727:F4727)+O4726*(1+0.00023125256064071564))</f>
        <v/>
      </c>
      <c r="J4727">
        <f>IF(G4727=1,0.2*R4727/B4727,J4726)</f>
        <v/>
      </c>
      <c r="K4727">
        <f>IF(G4727=1,0.2*R4727/C4727,K4726)</f>
        <v/>
      </c>
      <c r="L4727">
        <f>IF(G4727=1,0.2*R4727/D4727,L4726)</f>
        <v/>
      </c>
      <c r="M4727">
        <f>IF(G4727=1,0.2*R4727/E4727,M4726)</f>
        <v/>
      </c>
      <c r="N4727">
        <f>IF(G4727=1,0.2*R4727/F4727,N4726)</f>
        <v/>
      </c>
      <c r="O4727">
        <f>IF(G4727=1,R4727*(1-1.0),IF(H4726=0,1,O4726*(1+0.00023125256064071564)))</f>
        <v/>
      </c>
      <c r="P4727">
        <f>IF(G4727=1,IF(H4726=0,1,ABS(0.2-J4726*B4727/I4727)+ABS(0.2-K4726*C4727/I4727)+ABS(0.2-L4726*D4727/I4727)+ABS(0.2-M4726*E4727/I4727)+ABS(0.2-N4726*F4727/I4727)),0)</f>
        <v/>
      </c>
      <c r="Q4727">
        <f>P4727*0.0015</f>
        <v/>
      </c>
      <c r="R4727">
        <f>I4727*(1-Q4727)</f>
        <v/>
      </c>
      <c r="S4727">
        <f>R4727/R4726-1</f>
        <v/>
      </c>
      <c r="T4727">
        <f>MAX(T4726,R4727)</f>
        <v/>
      </c>
      <c r="U4727">
        <f>R4727/T4727-1</f>
        <v/>
      </c>
      <c r="V4727" t="n">
        <v>26.32599209932403</v>
      </c>
      <c r="W4727" s="5">
        <f>R4727-V4727</f>
        <v/>
      </c>
    </row>
    <row r="4728">
      <c r="A4728" s="3" t="n">
        <v>45405</v>
      </c>
      <c r="B4728">
        <f>Prices!B4728</f>
        <v/>
      </c>
      <c r="C4728">
        <f>Prices!C4728</f>
        <v/>
      </c>
      <c r="D4728">
        <f>Prices!D4728</f>
        <v/>
      </c>
      <c r="E4728">
        <f>Prices!E4728</f>
        <v/>
      </c>
      <c r="F4728">
        <f>Prices!F4728</f>
        <v/>
      </c>
      <c r="G4728">
        <f>IF(AND(4726&gt;=16,TEXT(A4728,"yyyy-mm")&lt;&gt;TEXT(A4729,"yyyy-mm")),1,0)</f>
        <v/>
      </c>
      <c r="H4728">
        <f>IF(OR(H4727=1,G4728=1),1,0)</f>
        <v/>
      </c>
      <c r="I4728">
        <f>IF(H4727=0,1,SUMPRODUCT(J4727:N4727,B4728:F4728)+O4727*(1+0.00023125256064071564))</f>
        <v/>
      </c>
      <c r="J4728">
        <f>IF(G4728=1,0.2*R4728/B4728,J4727)</f>
        <v/>
      </c>
      <c r="K4728">
        <f>IF(G4728=1,0.2*R4728/C4728,K4727)</f>
        <v/>
      </c>
      <c r="L4728">
        <f>IF(G4728=1,0.2*R4728/D4728,L4727)</f>
        <v/>
      </c>
      <c r="M4728">
        <f>IF(G4728=1,0.2*R4728/E4728,M4727)</f>
        <v/>
      </c>
      <c r="N4728">
        <f>IF(G4728=1,0.2*R4728/F4728,N4727)</f>
        <v/>
      </c>
      <c r="O4728">
        <f>IF(G4728=1,R4728*(1-1.0),IF(H4727=0,1,O4727*(1+0.00023125256064071564)))</f>
        <v/>
      </c>
      <c r="P4728">
        <f>IF(G4728=1,IF(H4727=0,1,ABS(0.2-J4727*B4728/I4728)+ABS(0.2-K4727*C4728/I4728)+ABS(0.2-L4727*D4728/I4728)+ABS(0.2-M4727*E4728/I4728)+ABS(0.2-N4727*F4728/I4728)),0)</f>
        <v/>
      </c>
      <c r="Q4728">
        <f>P4728*0.0015</f>
        <v/>
      </c>
      <c r="R4728">
        <f>I4728*(1-Q4728)</f>
        <v/>
      </c>
      <c r="S4728">
        <f>R4728/R4727-1</f>
        <v/>
      </c>
      <c r="T4728">
        <f>MAX(T4727,R4728)</f>
        <v/>
      </c>
      <c r="U4728">
        <f>R4728/T4728-1</f>
        <v/>
      </c>
      <c r="V4728" t="n">
        <v>26.53595072500964</v>
      </c>
      <c r="W4728" s="5">
        <f>R4728-V4728</f>
        <v/>
      </c>
    </row>
    <row r="4729">
      <c r="A4729" s="3" t="n">
        <v>45406</v>
      </c>
      <c r="B4729">
        <f>Prices!B4729</f>
        <v/>
      </c>
      <c r="C4729">
        <f>Prices!C4729</f>
        <v/>
      </c>
      <c r="D4729">
        <f>Prices!D4729</f>
        <v/>
      </c>
      <c r="E4729">
        <f>Prices!E4729</f>
        <v/>
      </c>
      <c r="F4729">
        <f>Prices!F4729</f>
        <v/>
      </c>
      <c r="G4729">
        <f>IF(AND(4727&gt;=16,TEXT(A4729,"yyyy-mm")&lt;&gt;TEXT(A4730,"yyyy-mm")),1,0)</f>
        <v/>
      </c>
      <c r="H4729">
        <f>IF(OR(H4728=1,G4729=1),1,0)</f>
        <v/>
      </c>
      <c r="I4729">
        <f>IF(H4728=0,1,SUMPRODUCT(J4728:N4728,B4729:F4729)+O4728*(1+0.00023125256064071564))</f>
        <v/>
      </c>
      <c r="J4729">
        <f>IF(G4729=1,0.2*R4729/B4729,J4728)</f>
        <v/>
      </c>
      <c r="K4729">
        <f>IF(G4729=1,0.2*R4729/C4729,K4728)</f>
        <v/>
      </c>
      <c r="L4729">
        <f>IF(G4729=1,0.2*R4729/D4729,L4728)</f>
        <v/>
      </c>
      <c r="M4729">
        <f>IF(G4729=1,0.2*R4729/E4729,M4728)</f>
        <v/>
      </c>
      <c r="N4729">
        <f>IF(G4729=1,0.2*R4729/F4729,N4728)</f>
        <v/>
      </c>
      <c r="O4729">
        <f>IF(G4729=1,R4729*(1-1.0),IF(H4728=0,1,O4728*(1+0.00023125256064071564)))</f>
        <v/>
      </c>
      <c r="P4729">
        <f>IF(G4729=1,IF(H4728=0,1,ABS(0.2-J4728*B4729/I4729)+ABS(0.2-K4728*C4729/I4729)+ABS(0.2-L4728*D4729/I4729)+ABS(0.2-M4728*E4729/I4729)+ABS(0.2-N4728*F4729/I4729)),0)</f>
        <v/>
      </c>
      <c r="Q4729">
        <f>P4729*0.0015</f>
        <v/>
      </c>
      <c r="R4729">
        <f>I4729*(1-Q4729)</f>
        <v/>
      </c>
      <c r="S4729">
        <f>R4729/R4728-1</f>
        <v/>
      </c>
      <c r="T4729">
        <f>MAX(T4728,R4729)</f>
        <v/>
      </c>
      <c r="U4729">
        <f>R4729/T4729-1</f>
        <v/>
      </c>
      <c r="V4729" t="n">
        <v>26.75462256071865</v>
      </c>
      <c r="W4729" s="5">
        <f>R4729-V4729</f>
        <v/>
      </c>
    </row>
    <row r="4730">
      <c r="A4730" s="3" t="n">
        <v>45407</v>
      </c>
      <c r="B4730">
        <f>Prices!B4730</f>
        <v/>
      </c>
      <c r="C4730">
        <f>Prices!C4730</f>
        <v/>
      </c>
      <c r="D4730">
        <f>Prices!D4730</f>
        <v/>
      </c>
      <c r="E4730">
        <f>Prices!E4730</f>
        <v/>
      </c>
      <c r="F4730">
        <f>Prices!F4730</f>
        <v/>
      </c>
      <c r="G4730">
        <f>IF(AND(4728&gt;=16,TEXT(A4730,"yyyy-mm")&lt;&gt;TEXT(A4731,"yyyy-mm")),1,0)</f>
        <v/>
      </c>
      <c r="H4730">
        <f>IF(OR(H4729=1,G4730=1),1,0)</f>
        <v/>
      </c>
      <c r="I4730">
        <f>IF(H4729=0,1,SUMPRODUCT(J4729:N4729,B4730:F4730)+O4729*(1+0.00023125256064071564))</f>
        <v/>
      </c>
      <c r="J4730">
        <f>IF(G4730=1,0.2*R4730/B4730,J4729)</f>
        <v/>
      </c>
      <c r="K4730">
        <f>IF(G4730=1,0.2*R4730/C4730,K4729)</f>
        <v/>
      </c>
      <c r="L4730">
        <f>IF(G4730=1,0.2*R4730/D4730,L4729)</f>
        <v/>
      </c>
      <c r="M4730">
        <f>IF(G4730=1,0.2*R4730/E4730,M4729)</f>
        <v/>
      </c>
      <c r="N4730">
        <f>IF(G4730=1,0.2*R4730/F4730,N4729)</f>
        <v/>
      </c>
      <c r="O4730">
        <f>IF(G4730=1,R4730*(1-1.0),IF(H4729=0,1,O4729*(1+0.00023125256064071564)))</f>
        <v/>
      </c>
      <c r="P4730">
        <f>IF(G4730=1,IF(H4729=0,1,ABS(0.2-J4729*B4730/I4730)+ABS(0.2-K4729*C4730/I4730)+ABS(0.2-L4729*D4730/I4730)+ABS(0.2-M4729*E4730/I4730)+ABS(0.2-N4729*F4730/I4730)),0)</f>
        <v/>
      </c>
      <c r="Q4730">
        <f>P4730*0.0015</f>
        <v/>
      </c>
      <c r="R4730">
        <f>I4730*(1-Q4730)</f>
        <v/>
      </c>
      <c r="S4730">
        <f>R4730/R4729-1</f>
        <v/>
      </c>
      <c r="T4730">
        <f>MAX(T4729,R4730)</f>
        <v/>
      </c>
      <c r="U4730">
        <f>R4730/T4730-1</f>
        <v/>
      </c>
      <c r="V4730" t="n">
        <v>26.99502031626044</v>
      </c>
      <c r="W4730" s="5">
        <f>R4730-V4730</f>
        <v/>
      </c>
    </row>
    <row r="4731">
      <c r="A4731" s="3" t="n">
        <v>45408</v>
      </c>
      <c r="B4731">
        <f>Prices!B4731</f>
        <v/>
      </c>
      <c r="C4731">
        <f>Prices!C4731</f>
        <v/>
      </c>
      <c r="D4731">
        <f>Prices!D4731</f>
        <v/>
      </c>
      <c r="E4731">
        <f>Prices!E4731</f>
        <v/>
      </c>
      <c r="F4731">
        <f>Prices!F4731</f>
        <v/>
      </c>
      <c r="G4731">
        <f>IF(AND(4729&gt;=16,TEXT(A4731,"yyyy-mm")&lt;&gt;TEXT(A4732,"yyyy-mm")),1,0)</f>
        <v/>
      </c>
      <c r="H4731">
        <f>IF(OR(H4730=1,G4731=1),1,0)</f>
        <v/>
      </c>
      <c r="I4731">
        <f>IF(H4730=0,1,SUMPRODUCT(J4730:N4730,B4731:F4731)+O4730*(1+0.00023125256064071564))</f>
        <v/>
      </c>
      <c r="J4731">
        <f>IF(G4731=1,0.2*R4731/B4731,J4730)</f>
        <v/>
      </c>
      <c r="K4731">
        <f>IF(G4731=1,0.2*R4731/C4731,K4730)</f>
        <v/>
      </c>
      <c r="L4731">
        <f>IF(G4731=1,0.2*R4731/D4731,L4730)</f>
        <v/>
      </c>
      <c r="M4731">
        <f>IF(G4731=1,0.2*R4731/E4731,M4730)</f>
        <v/>
      </c>
      <c r="N4731">
        <f>IF(G4731=1,0.2*R4731/F4731,N4730)</f>
        <v/>
      </c>
      <c r="O4731">
        <f>IF(G4731=1,R4731*(1-1.0),IF(H4730=0,1,O4730*(1+0.00023125256064071564)))</f>
        <v/>
      </c>
      <c r="P4731">
        <f>IF(G4731=1,IF(H4730=0,1,ABS(0.2-J4730*B4731/I4731)+ABS(0.2-K4730*C4731/I4731)+ABS(0.2-L4730*D4731/I4731)+ABS(0.2-M4730*E4731/I4731)+ABS(0.2-N4730*F4731/I4731)),0)</f>
        <v/>
      </c>
      <c r="Q4731">
        <f>P4731*0.0015</f>
        <v/>
      </c>
      <c r="R4731">
        <f>I4731*(1-Q4731)</f>
        <v/>
      </c>
      <c r="S4731">
        <f>R4731/R4730-1</f>
        <v/>
      </c>
      <c r="T4731">
        <f>MAX(T4730,R4731)</f>
        <v/>
      </c>
      <c r="U4731">
        <f>R4731/T4731-1</f>
        <v/>
      </c>
      <c r="V4731" t="n">
        <v>27.17922258584176</v>
      </c>
      <c r="W4731" s="5">
        <f>R4731-V4731</f>
        <v/>
      </c>
    </row>
    <row r="4732">
      <c r="A4732" s="3" t="n">
        <v>45411</v>
      </c>
      <c r="B4732">
        <f>Prices!B4732</f>
        <v/>
      </c>
      <c r="C4732">
        <f>Prices!C4732</f>
        <v/>
      </c>
      <c r="D4732">
        <f>Prices!D4732</f>
        <v/>
      </c>
      <c r="E4732">
        <f>Prices!E4732</f>
        <v/>
      </c>
      <c r="F4732">
        <f>Prices!F4732</f>
        <v/>
      </c>
      <c r="G4732">
        <f>IF(AND(4730&gt;=16,TEXT(A4732,"yyyy-mm")&lt;&gt;TEXT(A4733,"yyyy-mm")),1,0)</f>
        <v/>
      </c>
      <c r="H4732">
        <f>IF(OR(H4731=1,G4732=1),1,0)</f>
        <v/>
      </c>
      <c r="I4732">
        <f>IF(H4731=0,1,SUMPRODUCT(J4731:N4731,B4732:F4732)+O4731*(1+0.00023125256064071564))</f>
        <v/>
      </c>
      <c r="J4732">
        <f>IF(G4732=1,0.2*R4732/B4732,J4731)</f>
        <v/>
      </c>
      <c r="K4732">
        <f>IF(G4732=1,0.2*R4732/C4732,K4731)</f>
        <v/>
      </c>
      <c r="L4732">
        <f>IF(G4732=1,0.2*R4732/D4732,L4731)</f>
        <v/>
      </c>
      <c r="M4732">
        <f>IF(G4732=1,0.2*R4732/E4732,M4731)</f>
        <v/>
      </c>
      <c r="N4732">
        <f>IF(G4732=1,0.2*R4732/F4732,N4731)</f>
        <v/>
      </c>
      <c r="O4732">
        <f>IF(G4732=1,R4732*(1-1.0),IF(H4731=0,1,O4731*(1+0.00023125256064071564)))</f>
        <v/>
      </c>
      <c r="P4732">
        <f>IF(G4732=1,IF(H4731=0,1,ABS(0.2-J4731*B4732/I4732)+ABS(0.2-K4731*C4732/I4732)+ABS(0.2-L4731*D4732/I4732)+ABS(0.2-M4731*E4732/I4732)+ABS(0.2-N4731*F4732/I4732)),0)</f>
        <v/>
      </c>
      <c r="Q4732">
        <f>P4732*0.0015</f>
        <v/>
      </c>
      <c r="R4732">
        <f>I4732*(1-Q4732)</f>
        <v/>
      </c>
      <c r="S4732">
        <f>R4732/R4731-1</f>
        <v/>
      </c>
      <c r="T4732">
        <f>MAX(T4731,R4732)</f>
        <v/>
      </c>
      <c r="U4732">
        <f>R4732/T4732-1</f>
        <v/>
      </c>
      <c r="V4732" t="n">
        <v>27.26001191310442</v>
      </c>
      <c r="W4732" s="5">
        <f>R4732-V4732</f>
        <v/>
      </c>
    </row>
    <row r="4733">
      <c r="A4733" s="3" t="n">
        <v>45412</v>
      </c>
      <c r="B4733">
        <f>Prices!B4733</f>
        <v/>
      </c>
      <c r="C4733">
        <f>Prices!C4733</f>
        <v/>
      </c>
      <c r="D4733">
        <f>Prices!D4733</f>
        <v/>
      </c>
      <c r="E4733">
        <f>Prices!E4733</f>
        <v/>
      </c>
      <c r="F4733">
        <f>Prices!F4733</f>
        <v/>
      </c>
      <c r="G4733">
        <f>IF(AND(4731&gt;=16,TEXT(A4733,"yyyy-mm")&lt;&gt;TEXT(A4734,"yyyy-mm")),1,0)</f>
        <v/>
      </c>
      <c r="H4733">
        <f>IF(OR(H4732=1,G4733=1),1,0)</f>
        <v/>
      </c>
      <c r="I4733">
        <f>IF(H4732=0,1,SUMPRODUCT(J4732:N4732,B4733:F4733)+O4732*(1+0.00023125256064071564))</f>
        <v/>
      </c>
      <c r="J4733">
        <f>IF(G4733=1,0.2*R4733/B4733,J4732)</f>
        <v/>
      </c>
      <c r="K4733">
        <f>IF(G4733=1,0.2*R4733/C4733,K4732)</f>
        <v/>
      </c>
      <c r="L4733">
        <f>IF(G4733=1,0.2*R4733/D4733,L4732)</f>
        <v/>
      </c>
      <c r="M4733">
        <f>IF(G4733=1,0.2*R4733/E4733,M4732)</f>
        <v/>
      </c>
      <c r="N4733">
        <f>IF(G4733=1,0.2*R4733/F4733,N4732)</f>
        <v/>
      </c>
      <c r="O4733">
        <f>IF(G4733=1,R4733*(1-1.0),IF(H4732=0,1,O4732*(1+0.00023125256064071564)))</f>
        <v/>
      </c>
      <c r="P4733">
        <f>IF(G4733=1,IF(H4732=0,1,ABS(0.2-J4732*B4733/I4733)+ABS(0.2-K4732*C4733/I4733)+ABS(0.2-L4732*D4733/I4733)+ABS(0.2-M4732*E4733/I4733)+ABS(0.2-N4732*F4733/I4733)),0)</f>
        <v/>
      </c>
      <c r="Q4733">
        <f>P4733*0.0015</f>
        <v/>
      </c>
      <c r="R4733">
        <f>I4733*(1-Q4733)</f>
        <v/>
      </c>
      <c r="S4733">
        <f>R4733/R4732-1</f>
        <v/>
      </c>
      <c r="T4733">
        <f>MAX(T4732,R4733)</f>
        <v/>
      </c>
      <c r="U4733">
        <f>R4733/T4733-1</f>
        <v/>
      </c>
      <c r="V4733" t="n">
        <v>27.34624002101485</v>
      </c>
      <c r="W4733" s="5">
        <f>R4733-V4733</f>
        <v/>
      </c>
    </row>
    <row r="4734">
      <c r="A4734" s="3" t="n">
        <v>45414</v>
      </c>
      <c r="B4734">
        <f>Prices!B4734</f>
        <v/>
      </c>
      <c r="C4734">
        <f>Prices!C4734</f>
        <v/>
      </c>
      <c r="D4734">
        <f>Prices!D4734</f>
        <v/>
      </c>
      <c r="E4734">
        <f>Prices!E4734</f>
        <v/>
      </c>
      <c r="F4734">
        <f>Prices!F4734</f>
        <v/>
      </c>
      <c r="G4734">
        <f>IF(AND(4732&gt;=16,TEXT(A4734,"yyyy-mm")&lt;&gt;TEXT(A4735,"yyyy-mm")),1,0)</f>
        <v/>
      </c>
      <c r="H4734">
        <f>IF(OR(H4733=1,G4734=1),1,0)</f>
        <v/>
      </c>
      <c r="I4734">
        <f>IF(H4733=0,1,SUMPRODUCT(J4733:N4733,B4734:F4734)+O4733*(1+0.00023125256064071564))</f>
        <v/>
      </c>
      <c r="J4734">
        <f>IF(G4734=1,0.2*R4734/B4734,J4733)</f>
        <v/>
      </c>
      <c r="K4734">
        <f>IF(G4734=1,0.2*R4734/C4734,K4733)</f>
        <v/>
      </c>
      <c r="L4734">
        <f>IF(G4734=1,0.2*R4734/D4734,L4733)</f>
        <v/>
      </c>
      <c r="M4734">
        <f>IF(G4734=1,0.2*R4734/E4734,M4733)</f>
        <v/>
      </c>
      <c r="N4734">
        <f>IF(G4734=1,0.2*R4734/F4734,N4733)</f>
        <v/>
      </c>
      <c r="O4734">
        <f>IF(G4734=1,R4734*(1-1.0),IF(H4733=0,1,O4733*(1+0.00023125256064071564)))</f>
        <v/>
      </c>
      <c r="P4734">
        <f>IF(G4734=1,IF(H4733=0,1,ABS(0.2-J4733*B4734/I4734)+ABS(0.2-K4733*C4734/I4734)+ABS(0.2-L4733*D4734/I4734)+ABS(0.2-M4733*E4734/I4734)+ABS(0.2-N4733*F4734/I4734)),0)</f>
        <v/>
      </c>
      <c r="Q4734">
        <f>P4734*0.0015</f>
        <v/>
      </c>
      <c r="R4734">
        <f>I4734*(1-Q4734)</f>
        <v/>
      </c>
      <c r="S4734">
        <f>R4734/R4733-1</f>
        <v/>
      </c>
      <c r="T4734">
        <f>MAX(T4733,R4734)</f>
        <v/>
      </c>
      <c r="U4734">
        <f>R4734/T4734-1</f>
        <v/>
      </c>
      <c r="V4734" t="n">
        <v>27.61342269867726</v>
      </c>
      <c r="W4734" s="5">
        <f>R4734-V4734</f>
        <v/>
      </c>
    </row>
    <row r="4735">
      <c r="A4735" s="3" t="n">
        <v>45415</v>
      </c>
      <c r="B4735">
        <f>Prices!B4735</f>
        <v/>
      </c>
      <c r="C4735">
        <f>Prices!C4735</f>
        <v/>
      </c>
      <c r="D4735">
        <f>Prices!D4735</f>
        <v/>
      </c>
      <c r="E4735">
        <f>Prices!E4735</f>
        <v/>
      </c>
      <c r="F4735">
        <f>Prices!F4735</f>
        <v/>
      </c>
      <c r="G4735">
        <f>IF(AND(4733&gt;=16,TEXT(A4735,"yyyy-mm")&lt;&gt;TEXT(A4736,"yyyy-mm")),1,0)</f>
        <v/>
      </c>
      <c r="H4735">
        <f>IF(OR(H4734=1,G4735=1),1,0)</f>
        <v/>
      </c>
      <c r="I4735">
        <f>IF(H4734=0,1,SUMPRODUCT(J4734:N4734,B4735:F4735)+O4734*(1+0.00023125256064071564))</f>
        <v/>
      </c>
      <c r="J4735">
        <f>IF(G4735=1,0.2*R4735/B4735,J4734)</f>
        <v/>
      </c>
      <c r="K4735">
        <f>IF(G4735=1,0.2*R4735/C4735,K4734)</f>
        <v/>
      </c>
      <c r="L4735">
        <f>IF(G4735=1,0.2*R4735/D4735,L4734)</f>
        <v/>
      </c>
      <c r="M4735">
        <f>IF(G4735=1,0.2*R4735/E4735,M4734)</f>
        <v/>
      </c>
      <c r="N4735">
        <f>IF(G4735=1,0.2*R4735/F4735,N4734)</f>
        <v/>
      </c>
      <c r="O4735">
        <f>IF(G4735=1,R4735*(1-1.0),IF(H4734=0,1,O4734*(1+0.00023125256064071564)))</f>
        <v/>
      </c>
      <c r="P4735">
        <f>IF(G4735=1,IF(H4734=0,1,ABS(0.2-J4734*B4735/I4735)+ABS(0.2-K4734*C4735/I4735)+ABS(0.2-L4734*D4735/I4735)+ABS(0.2-M4734*E4735/I4735)+ABS(0.2-N4734*F4735/I4735)),0)</f>
        <v/>
      </c>
      <c r="Q4735">
        <f>P4735*0.0015</f>
        <v/>
      </c>
      <c r="R4735">
        <f>I4735*(1-Q4735)</f>
        <v/>
      </c>
      <c r="S4735">
        <f>R4735/R4734-1</f>
        <v/>
      </c>
      <c r="T4735">
        <f>MAX(T4734,R4735)</f>
        <v/>
      </c>
      <c r="U4735">
        <f>R4735/T4735-1</f>
        <v/>
      </c>
      <c r="V4735" t="n">
        <v>27.5750223561311</v>
      </c>
      <c r="W4735" s="5">
        <f>R4735-V4735</f>
        <v/>
      </c>
    </row>
    <row r="4736">
      <c r="A4736" s="3" t="n">
        <v>45418</v>
      </c>
      <c r="B4736">
        <f>Prices!B4736</f>
        <v/>
      </c>
      <c r="C4736">
        <f>Prices!C4736</f>
        <v/>
      </c>
      <c r="D4736">
        <f>Prices!D4736</f>
        <v/>
      </c>
      <c r="E4736">
        <f>Prices!E4736</f>
        <v/>
      </c>
      <c r="F4736">
        <f>Prices!F4736</f>
        <v/>
      </c>
      <c r="G4736">
        <f>IF(AND(4734&gt;=16,TEXT(A4736,"yyyy-mm")&lt;&gt;TEXT(A4737,"yyyy-mm")),1,0)</f>
        <v/>
      </c>
      <c r="H4736">
        <f>IF(OR(H4735=1,G4736=1),1,0)</f>
        <v/>
      </c>
      <c r="I4736">
        <f>IF(H4735=0,1,SUMPRODUCT(J4735:N4735,B4736:F4736)+O4735*(1+0.00023125256064071564))</f>
        <v/>
      </c>
      <c r="J4736">
        <f>IF(G4736=1,0.2*R4736/B4736,J4735)</f>
        <v/>
      </c>
      <c r="K4736">
        <f>IF(G4736=1,0.2*R4736/C4736,K4735)</f>
        <v/>
      </c>
      <c r="L4736">
        <f>IF(G4736=1,0.2*R4736/D4736,L4735)</f>
        <v/>
      </c>
      <c r="M4736">
        <f>IF(G4736=1,0.2*R4736/E4736,M4735)</f>
        <v/>
      </c>
      <c r="N4736">
        <f>IF(G4736=1,0.2*R4736/F4736,N4735)</f>
        <v/>
      </c>
      <c r="O4736">
        <f>IF(G4736=1,R4736*(1-1.0),IF(H4735=0,1,O4735*(1+0.00023125256064071564)))</f>
        <v/>
      </c>
      <c r="P4736">
        <f>IF(G4736=1,IF(H4735=0,1,ABS(0.2-J4735*B4736/I4736)+ABS(0.2-K4735*C4736/I4736)+ABS(0.2-L4735*D4736/I4736)+ABS(0.2-M4735*E4736/I4736)+ABS(0.2-N4735*F4736/I4736)),0)</f>
        <v/>
      </c>
      <c r="Q4736">
        <f>P4736*0.0015</f>
        <v/>
      </c>
      <c r="R4736">
        <f>I4736*(1-Q4736)</f>
        <v/>
      </c>
      <c r="S4736">
        <f>R4736/R4735-1</f>
        <v/>
      </c>
      <c r="T4736">
        <f>MAX(T4735,R4736)</f>
        <v/>
      </c>
      <c r="U4736">
        <f>R4736/T4736-1</f>
        <v/>
      </c>
      <c r="V4736" t="n">
        <v>27.27431774251153</v>
      </c>
      <c r="W4736" s="5">
        <f>R4736-V4736</f>
        <v/>
      </c>
    </row>
    <row r="4737">
      <c r="A4737" s="3" t="n">
        <v>45419</v>
      </c>
      <c r="B4737">
        <f>Prices!B4737</f>
        <v/>
      </c>
      <c r="C4737">
        <f>Prices!C4737</f>
        <v/>
      </c>
      <c r="D4737">
        <f>Prices!D4737</f>
        <v/>
      </c>
      <c r="E4737">
        <f>Prices!E4737</f>
        <v/>
      </c>
      <c r="F4737">
        <f>Prices!F4737</f>
        <v/>
      </c>
      <c r="G4737">
        <f>IF(AND(4735&gt;=16,TEXT(A4737,"yyyy-mm")&lt;&gt;TEXT(A4738,"yyyy-mm")),1,0)</f>
        <v/>
      </c>
      <c r="H4737">
        <f>IF(OR(H4736=1,G4737=1),1,0)</f>
        <v/>
      </c>
      <c r="I4737">
        <f>IF(H4736=0,1,SUMPRODUCT(J4736:N4736,B4737:F4737)+O4736*(1+0.00023125256064071564))</f>
        <v/>
      </c>
      <c r="J4737">
        <f>IF(G4737=1,0.2*R4737/B4737,J4736)</f>
        <v/>
      </c>
      <c r="K4737">
        <f>IF(G4737=1,0.2*R4737/C4737,K4736)</f>
        <v/>
      </c>
      <c r="L4737">
        <f>IF(G4737=1,0.2*R4737/D4737,L4736)</f>
        <v/>
      </c>
      <c r="M4737">
        <f>IF(G4737=1,0.2*R4737/E4737,M4736)</f>
        <v/>
      </c>
      <c r="N4737">
        <f>IF(G4737=1,0.2*R4737/F4737,N4736)</f>
        <v/>
      </c>
      <c r="O4737">
        <f>IF(G4737=1,R4737*(1-1.0),IF(H4736=0,1,O4736*(1+0.00023125256064071564)))</f>
        <v/>
      </c>
      <c r="P4737">
        <f>IF(G4737=1,IF(H4736=0,1,ABS(0.2-J4736*B4737/I4737)+ABS(0.2-K4736*C4737/I4737)+ABS(0.2-L4736*D4737/I4737)+ABS(0.2-M4736*E4737/I4737)+ABS(0.2-N4736*F4737/I4737)),0)</f>
        <v/>
      </c>
      <c r="Q4737">
        <f>P4737*0.0015</f>
        <v/>
      </c>
      <c r="R4737">
        <f>I4737*(1-Q4737)</f>
        <v/>
      </c>
      <c r="S4737">
        <f>R4737/R4736-1</f>
        <v/>
      </c>
      <c r="T4737">
        <f>MAX(T4736,R4737)</f>
        <v/>
      </c>
      <c r="U4737">
        <f>R4737/T4737-1</f>
        <v/>
      </c>
      <c r="V4737" t="n">
        <v>26.79597280668223</v>
      </c>
      <c r="W4737" s="5">
        <f>R4737-V4737</f>
        <v/>
      </c>
    </row>
    <row r="4738">
      <c r="A4738" s="3" t="n">
        <v>45420</v>
      </c>
      <c r="B4738">
        <f>Prices!B4738</f>
        <v/>
      </c>
      <c r="C4738">
        <f>Prices!C4738</f>
        <v/>
      </c>
      <c r="D4738">
        <f>Prices!D4738</f>
        <v/>
      </c>
      <c r="E4738">
        <f>Prices!E4738</f>
        <v/>
      </c>
      <c r="F4738">
        <f>Prices!F4738</f>
        <v/>
      </c>
      <c r="G4738">
        <f>IF(AND(4736&gt;=16,TEXT(A4738,"yyyy-mm")&lt;&gt;TEXT(A4739,"yyyy-mm")),1,0)</f>
        <v/>
      </c>
      <c r="H4738">
        <f>IF(OR(H4737=1,G4738=1),1,0)</f>
        <v/>
      </c>
      <c r="I4738">
        <f>IF(H4737=0,1,SUMPRODUCT(J4737:N4737,B4738:F4738)+O4737*(1+0.00023125256064071564))</f>
        <v/>
      </c>
      <c r="J4738">
        <f>IF(G4738=1,0.2*R4738/B4738,J4737)</f>
        <v/>
      </c>
      <c r="K4738">
        <f>IF(G4738=1,0.2*R4738/C4738,K4737)</f>
        <v/>
      </c>
      <c r="L4738">
        <f>IF(G4738=1,0.2*R4738/D4738,L4737)</f>
        <v/>
      </c>
      <c r="M4738">
        <f>IF(G4738=1,0.2*R4738/E4738,M4737)</f>
        <v/>
      </c>
      <c r="N4738">
        <f>IF(G4738=1,0.2*R4738/F4738,N4737)</f>
        <v/>
      </c>
      <c r="O4738">
        <f>IF(G4738=1,R4738*(1-1.0),IF(H4737=0,1,O4737*(1+0.00023125256064071564)))</f>
        <v/>
      </c>
      <c r="P4738">
        <f>IF(G4738=1,IF(H4737=0,1,ABS(0.2-J4737*B4738/I4738)+ABS(0.2-K4737*C4738/I4738)+ABS(0.2-L4737*D4738/I4738)+ABS(0.2-M4737*E4738/I4738)+ABS(0.2-N4737*F4738/I4738)),0)</f>
        <v/>
      </c>
      <c r="Q4738">
        <f>P4738*0.0015</f>
        <v/>
      </c>
      <c r="R4738">
        <f>I4738*(1-Q4738)</f>
        <v/>
      </c>
      <c r="S4738">
        <f>R4738/R4737-1</f>
        <v/>
      </c>
      <c r="T4738">
        <f>MAX(T4737,R4738)</f>
        <v/>
      </c>
      <c r="U4738">
        <f>R4738/T4738-1</f>
        <v/>
      </c>
      <c r="V4738" t="n">
        <v>27.05465819703901</v>
      </c>
      <c r="W4738" s="5">
        <f>R4738-V4738</f>
        <v/>
      </c>
    </row>
    <row r="4739">
      <c r="A4739" s="3" t="n">
        <v>45421</v>
      </c>
      <c r="B4739">
        <f>Prices!B4739</f>
        <v/>
      </c>
      <c r="C4739">
        <f>Prices!C4739</f>
        <v/>
      </c>
      <c r="D4739">
        <f>Prices!D4739</f>
        <v/>
      </c>
      <c r="E4739">
        <f>Prices!E4739</f>
        <v/>
      </c>
      <c r="F4739">
        <f>Prices!F4739</f>
        <v/>
      </c>
      <c r="G4739">
        <f>IF(AND(4737&gt;=16,TEXT(A4739,"yyyy-mm")&lt;&gt;TEXT(A4740,"yyyy-mm")),1,0)</f>
        <v/>
      </c>
      <c r="H4739">
        <f>IF(OR(H4738=1,G4739=1),1,0)</f>
        <v/>
      </c>
      <c r="I4739">
        <f>IF(H4738=0,1,SUMPRODUCT(J4738:N4738,B4739:F4739)+O4738*(1+0.00023125256064071564))</f>
        <v/>
      </c>
      <c r="J4739">
        <f>IF(G4739=1,0.2*R4739/B4739,J4738)</f>
        <v/>
      </c>
      <c r="K4739">
        <f>IF(G4739=1,0.2*R4739/C4739,K4738)</f>
        <v/>
      </c>
      <c r="L4739">
        <f>IF(G4739=1,0.2*R4739/D4739,L4738)</f>
        <v/>
      </c>
      <c r="M4739">
        <f>IF(G4739=1,0.2*R4739/E4739,M4738)</f>
        <v/>
      </c>
      <c r="N4739">
        <f>IF(G4739=1,0.2*R4739/F4739,N4738)</f>
        <v/>
      </c>
      <c r="O4739">
        <f>IF(G4739=1,R4739*(1-1.0),IF(H4738=0,1,O4738*(1+0.00023125256064071564)))</f>
        <v/>
      </c>
      <c r="P4739">
        <f>IF(G4739=1,IF(H4738=0,1,ABS(0.2-J4738*B4739/I4739)+ABS(0.2-K4738*C4739/I4739)+ABS(0.2-L4738*D4739/I4739)+ABS(0.2-M4738*E4739/I4739)+ABS(0.2-N4738*F4739/I4739)),0)</f>
        <v/>
      </c>
      <c r="Q4739">
        <f>P4739*0.0015</f>
        <v/>
      </c>
      <c r="R4739">
        <f>I4739*(1-Q4739)</f>
        <v/>
      </c>
      <c r="S4739">
        <f>R4739/R4738-1</f>
        <v/>
      </c>
      <c r="T4739">
        <f>MAX(T4738,R4739)</f>
        <v/>
      </c>
      <c r="U4739">
        <f>R4739/T4739-1</f>
        <v/>
      </c>
      <c r="V4739" t="n">
        <v>26.43816372011676</v>
      </c>
      <c r="W4739" s="5">
        <f>R4739-V4739</f>
        <v/>
      </c>
    </row>
    <row r="4740">
      <c r="A4740" s="3" t="n">
        <v>45422</v>
      </c>
      <c r="B4740">
        <f>Prices!B4740</f>
        <v/>
      </c>
      <c r="C4740">
        <f>Prices!C4740</f>
        <v/>
      </c>
      <c r="D4740">
        <f>Prices!D4740</f>
        <v/>
      </c>
      <c r="E4740">
        <f>Prices!E4740</f>
        <v/>
      </c>
      <c r="F4740">
        <f>Prices!F4740</f>
        <v/>
      </c>
      <c r="G4740">
        <f>IF(AND(4738&gt;=16,TEXT(A4740,"yyyy-mm")&lt;&gt;TEXT(A4741,"yyyy-mm")),1,0)</f>
        <v/>
      </c>
      <c r="H4740">
        <f>IF(OR(H4739=1,G4740=1),1,0)</f>
        <v/>
      </c>
      <c r="I4740">
        <f>IF(H4739=0,1,SUMPRODUCT(J4739:N4739,B4740:F4740)+O4739*(1+0.00023125256064071564))</f>
        <v/>
      </c>
      <c r="J4740">
        <f>IF(G4740=1,0.2*R4740/B4740,J4739)</f>
        <v/>
      </c>
      <c r="K4740">
        <f>IF(G4740=1,0.2*R4740/C4740,K4739)</f>
        <v/>
      </c>
      <c r="L4740">
        <f>IF(G4740=1,0.2*R4740/D4740,L4739)</f>
        <v/>
      </c>
      <c r="M4740">
        <f>IF(G4740=1,0.2*R4740/E4740,M4739)</f>
        <v/>
      </c>
      <c r="N4740">
        <f>IF(G4740=1,0.2*R4740/F4740,N4739)</f>
        <v/>
      </c>
      <c r="O4740">
        <f>IF(G4740=1,R4740*(1-1.0),IF(H4739=0,1,O4739*(1+0.00023125256064071564)))</f>
        <v/>
      </c>
      <c r="P4740">
        <f>IF(G4740=1,IF(H4739=0,1,ABS(0.2-J4739*B4740/I4740)+ABS(0.2-K4739*C4740/I4740)+ABS(0.2-L4739*D4740/I4740)+ABS(0.2-M4739*E4740/I4740)+ABS(0.2-N4739*F4740/I4740)),0)</f>
        <v/>
      </c>
      <c r="Q4740">
        <f>P4740*0.0015</f>
        <v/>
      </c>
      <c r="R4740">
        <f>I4740*(1-Q4740)</f>
        <v/>
      </c>
      <c r="S4740">
        <f>R4740/R4739-1</f>
        <v/>
      </c>
      <c r="T4740">
        <f>MAX(T4739,R4740)</f>
        <v/>
      </c>
      <c r="U4740">
        <f>R4740/T4740-1</f>
        <v/>
      </c>
      <c r="V4740" t="n">
        <v>26.6592068632219</v>
      </c>
      <c r="W4740" s="5">
        <f>R4740-V4740</f>
        <v/>
      </c>
    </row>
    <row r="4741">
      <c r="A4741" s="3" t="n">
        <v>45425</v>
      </c>
      <c r="B4741">
        <f>Prices!B4741</f>
        <v/>
      </c>
      <c r="C4741">
        <f>Prices!C4741</f>
        <v/>
      </c>
      <c r="D4741">
        <f>Prices!D4741</f>
        <v/>
      </c>
      <c r="E4741">
        <f>Prices!E4741</f>
        <v/>
      </c>
      <c r="F4741">
        <f>Prices!F4741</f>
        <v/>
      </c>
      <c r="G4741">
        <f>IF(AND(4739&gt;=16,TEXT(A4741,"yyyy-mm")&lt;&gt;TEXT(A4742,"yyyy-mm")),1,0)</f>
        <v/>
      </c>
      <c r="H4741">
        <f>IF(OR(H4740=1,G4741=1),1,0)</f>
        <v/>
      </c>
      <c r="I4741">
        <f>IF(H4740=0,1,SUMPRODUCT(J4740:N4740,B4741:F4741)+O4740*(1+0.00023125256064071564))</f>
        <v/>
      </c>
      <c r="J4741">
        <f>IF(G4741=1,0.2*R4741/B4741,J4740)</f>
        <v/>
      </c>
      <c r="K4741">
        <f>IF(G4741=1,0.2*R4741/C4741,K4740)</f>
        <v/>
      </c>
      <c r="L4741">
        <f>IF(G4741=1,0.2*R4741/D4741,L4740)</f>
        <v/>
      </c>
      <c r="M4741">
        <f>IF(G4741=1,0.2*R4741/E4741,M4740)</f>
        <v/>
      </c>
      <c r="N4741">
        <f>IF(G4741=1,0.2*R4741/F4741,N4740)</f>
        <v/>
      </c>
      <c r="O4741">
        <f>IF(G4741=1,R4741*(1-1.0),IF(H4740=0,1,O4740*(1+0.00023125256064071564)))</f>
        <v/>
      </c>
      <c r="P4741">
        <f>IF(G4741=1,IF(H4740=0,1,ABS(0.2-J4740*B4741/I4741)+ABS(0.2-K4740*C4741/I4741)+ABS(0.2-L4740*D4741/I4741)+ABS(0.2-M4740*E4741/I4741)+ABS(0.2-N4740*F4741/I4741)),0)</f>
        <v/>
      </c>
      <c r="Q4741">
        <f>P4741*0.0015</f>
        <v/>
      </c>
      <c r="R4741">
        <f>I4741*(1-Q4741)</f>
        <v/>
      </c>
      <c r="S4741">
        <f>R4741/R4740-1</f>
        <v/>
      </c>
      <c r="T4741">
        <f>MAX(T4740,R4741)</f>
        <v/>
      </c>
      <c r="U4741">
        <f>R4741/T4741-1</f>
        <v/>
      </c>
      <c r="V4741" t="n">
        <v>26.69446210521572</v>
      </c>
      <c r="W4741" s="5">
        <f>R4741-V4741</f>
        <v/>
      </c>
    </row>
    <row r="4742">
      <c r="A4742" s="3" t="n">
        <v>45426</v>
      </c>
      <c r="B4742">
        <f>Prices!B4742</f>
        <v/>
      </c>
      <c r="C4742">
        <f>Prices!C4742</f>
        <v/>
      </c>
      <c r="D4742">
        <f>Prices!D4742</f>
        <v/>
      </c>
      <c r="E4742">
        <f>Prices!E4742</f>
        <v/>
      </c>
      <c r="F4742">
        <f>Prices!F4742</f>
        <v/>
      </c>
      <c r="G4742">
        <f>IF(AND(4740&gt;=16,TEXT(A4742,"yyyy-mm")&lt;&gt;TEXT(A4743,"yyyy-mm")),1,0)</f>
        <v/>
      </c>
      <c r="H4742">
        <f>IF(OR(H4741=1,G4742=1),1,0)</f>
        <v/>
      </c>
      <c r="I4742">
        <f>IF(H4741=0,1,SUMPRODUCT(J4741:N4741,B4742:F4742)+O4741*(1+0.00023125256064071564))</f>
        <v/>
      </c>
      <c r="J4742">
        <f>IF(G4742=1,0.2*R4742/B4742,J4741)</f>
        <v/>
      </c>
      <c r="K4742">
        <f>IF(G4742=1,0.2*R4742/C4742,K4741)</f>
        <v/>
      </c>
      <c r="L4742">
        <f>IF(G4742=1,0.2*R4742/D4742,L4741)</f>
        <v/>
      </c>
      <c r="M4742">
        <f>IF(G4742=1,0.2*R4742/E4742,M4741)</f>
        <v/>
      </c>
      <c r="N4742">
        <f>IF(G4742=1,0.2*R4742/F4742,N4741)</f>
        <v/>
      </c>
      <c r="O4742">
        <f>IF(G4742=1,R4742*(1-1.0),IF(H4741=0,1,O4741*(1+0.00023125256064071564)))</f>
        <v/>
      </c>
      <c r="P4742">
        <f>IF(G4742=1,IF(H4741=0,1,ABS(0.2-J4741*B4742/I4742)+ABS(0.2-K4741*C4742/I4742)+ABS(0.2-L4741*D4742/I4742)+ABS(0.2-M4741*E4742/I4742)+ABS(0.2-N4741*F4742/I4742)),0)</f>
        <v/>
      </c>
      <c r="Q4742">
        <f>P4742*0.0015</f>
        <v/>
      </c>
      <c r="R4742">
        <f>I4742*(1-Q4742)</f>
        <v/>
      </c>
      <c r="S4742">
        <f>R4742/R4741-1</f>
        <v/>
      </c>
      <c r="T4742">
        <f>MAX(T4741,R4742)</f>
        <v/>
      </c>
      <c r="U4742">
        <f>R4742/T4742-1</f>
        <v/>
      </c>
      <c r="V4742" t="n">
        <v>27.10910416302559</v>
      </c>
      <c r="W4742" s="5">
        <f>R4742-V4742</f>
        <v/>
      </c>
    </row>
    <row r="4743">
      <c r="A4743" s="3" t="n">
        <v>45427</v>
      </c>
      <c r="B4743">
        <f>Prices!B4743</f>
        <v/>
      </c>
      <c r="C4743">
        <f>Prices!C4743</f>
        <v/>
      </c>
      <c r="D4743">
        <f>Prices!D4743</f>
        <v/>
      </c>
      <c r="E4743">
        <f>Prices!E4743</f>
        <v/>
      </c>
      <c r="F4743">
        <f>Prices!F4743</f>
        <v/>
      </c>
      <c r="G4743">
        <f>IF(AND(4741&gt;=16,TEXT(A4743,"yyyy-mm")&lt;&gt;TEXT(A4744,"yyyy-mm")),1,0)</f>
        <v/>
      </c>
      <c r="H4743">
        <f>IF(OR(H4742=1,G4743=1),1,0)</f>
        <v/>
      </c>
      <c r="I4743">
        <f>IF(H4742=0,1,SUMPRODUCT(J4742:N4742,B4743:F4743)+O4742*(1+0.00023125256064071564))</f>
        <v/>
      </c>
      <c r="J4743">
        <f>IF(G4743=1,0.2*R4743/B4743,J4742)</f>
        <v/>
      </c>
      <c r="K4743">
        <f>IF(G4743=1,0.2*R4743/C4743,K4742)</f>
        <v/>
      </c>
      <c r="L4743">
        <f>IF(G4743=1,0.2*R4743/D4743,L4742)</f>
        <v/>
      </c>
      <c r="M4743">
        <f>IF(G4743=1,0.2*R4743/E4743,M4742)</f>
        <v/>
      </c>
      <c r="N4743">
        <f>IF(G4743=1,0.2*R4743/F4743,N4742)</f>
        <v/>
      </c>
      <c r="O4743">
        <f>IF(G4743=1,R4743*(1-1.0),IF(H4742=0,1,O4742*(1+0.00023125256064071564)))</f>
        <v/>
      </c>
      <c r="P4743">
        <f>IF(G4743=1,IF(H4742=0,1,ABS(0.2-J4742*B4743/I4743)+ABS(0.2-K4742*C4743/I4743)+ABS(0.2-L4742*D4743/I4743)+ABS(0.2-M4742*E4743/I4743)+ABS(0.2-N4742*F4743/I4743)),0)</f>
        <v/>
      </c>
      <c r="Q4743">
        <f>P4743*0.0015</f>
        <v/>
      </c>
      <c r="R4743">
        <f>I4743*(1-Q4743)</f>
        <v/>
      </c>
      <c r="S4743">
        <f>R4743/R4742-1</f>
        <v/>
      </c>
      <c r="T4743">
        <f>MAX(T4742,R4743)</f>
        <v/>
      </c>
      <c r="U4743">
        <f>R4743/T4743-1</f>
        <v/>
      </c>
      <c r="V4743" t="n">
        <v>27.3519513325656</v>
      </c>
      <c r="W4743" s="5">
        <f>R4743-V4743</f>
        <v/>
      </c>
    </row>
    <row r="4744">
      <c r="A4744" s="3" t="n">
        <v>45428</v>
      </c>
      <c r="B4744">
        <f>Prices!B4744</f>
        <v/>
      </c>
      <c r="C4744">
        <f>Prices!C4744</f>
        <v/>
      </c>
      <c r="D4744">
        <f>Prices!D4744</f>
        <v/>
      </c>
      <c r="E4744">
        <f>Prices!E4744</f>
        <v/>
      </c>
      <c r="F4744">
        <f>Prices!F4744</f>
        <v/>
      </c>
      <c r="G4744">
        <f>IF(AND(4742&gt;=16,TEXT(A4744,"yyyy-mm")&lt;&gt;TEXT(A4745,"yyyy-mm")),1,0)</f>
        <v/>
      </c>
      <c r="H4744">
        <f>IF(OR(H4743=1,G4744=1),1,0)</f>
        <v/>
      </c>
      <c r="I4744">
        <f>IF(H4743=0,1,SUMPRODUCT(J4743:N4743,B4744:F4744)+O4743*(1+0.00023125256064071564))</f>
        <v/>
      </c>
      <c r="J4744">
        <f>IF(G4744=1,0.2*R4744/B4744,J4743)</f>
        <v/>
      </c>
      <c r="K4744">
        <f>IF(G4744=1,0.2*R4744/C4744,K4743)</f>
        <v/>
      </c>
      <c r="L4744">
        <f>IF(G4744=1,0.2*R4744/D4744,L4743)</f>
        <v/>
      </c>
      <c r="M4744">
        <f>IF(G4744=1,0.2*R4744/E4744,M4743)</f>
        <v/>
      </c>
      <c r="N4744">
        <f>IF(G4744=1,0.2*R4744/F4744,N4743)</f>
        <v/>
      </c>
      <c r="O4744">
        <f>IF(G4744=1,R4744*(1-1.0),IF(H4743=0,1,O4743*(1+0.00023125256064071564)))</f>
        <v/>
      </c>
      <c r="P4744">
        <f>IF(G4744=1,IF(H4743=0,1,ABS(0.2-J4743*B4744/I4744)+ABS(0.2-K4743*C4744/I4744)+ABS(0.2-L4743*D4744/I4744)+ABS(0.2-M4743*E4744/I4744)+ABS(0.2-N4743*F4744/I4744)),0)</f>
        <v/>
      </c>
      <c r="Q4744">
        <f>P4744*0.0015</f>
        <v/>
      </c>
      <c r="R4744">
        <f>I4744*(1-Q4744)</f>
        <v/>
      </c>
      <c r="S4744">
        <f>R4744/R4743-1</f>
        <v/>
      </c>
      <c r="T4744">
        <f>MAX(T4743,R4744)</f>
        <v/>
      </c>
      <c r="U4744">
        <f>R4744/T4744-1</f>
        <v/>
      </c>
      <c r="V4744" t="n">
        <v>27.58541790821811</v>
      </c>
      <c r="W4744" s="5">
        <f>R4744-V4744</f>
        <v/>
      </c>
    </row>
    <row r="4745">
      <c r="A4745" s="3" t="n">
        <v>45429</v>
      </c>
      <c r="B4745">
        <f>Prices!B4745</f>
        <v/>
      </c>
      <c r="C4745">
        <f>Prices!C4745</f>
        <v/>
      </c>
      <c r="D4745">
        <f>Prices!D4745</f>
        <v/>
      </c>
      <c r="E4745">
        <f>Prices!E4745</f>
        <v/>
      </c>
      <c r="F4745">
        <f>Prices!F4745</f>
        <v/>
      </c>
      <c r="G4745">
        <f>IF(AND(4743&gt;=16,TEXT(A4745,"yyyy-mm")&lt;&gt;TEXT(A4746,"yyyy-mm")),1,0)</f>
        <v/>
      </c>
      <c r="H4745">
        <f>IF(OR(H4744=1,G4745=1),1,0)</f>
        <v/>
      </c>
      <c r="I4745">
        <f>IF(H4744=0,1,SUMPRODUCT(J4744:N4744,B4745:F4745)+O4744*(1+0.00023125256064071564))</f>
        <v/>
      </c>
      <c r="J4745">
        <f>IF(G4745=1,0.2*R4745/B4745,J4744)</f>
        <v/>
      </c>
      <c r="K4745">
        <f>IF(G4745=1,0.2*R4745/C4745,K4744)</f>
        <v/>
      </c>
      <c r="L4745">
        <f>IF(G4745=1,0.2*R4745/D4745,L4744)</f>
        <v/>
      </c>
      <c r="M4745">
        <f>IF(G4745=1,0.2*R4745/E4745,M4744)</f>
        <v/>
      </c>
      <c r="N4745">
        <f>IF(G4745=1,0.2*R4745/F4745,N4744)</f>
        <v/>
      </c>
      <c r="O4745">
        <f>IF(G4745=1,R4745*(1-1.0),IF(H4744=0,1,O4744*(1+0.00023125256064071564)))</f>
        <v/>
      </c>
      <c r="P4745">
        <f>IF(G4745=1,IF(H4744=0,1,ABS(0.2-J4744*B4745/I4745)+ABS(0.2-K4744*C4745/I4745)+ABS(0.2-L4744*D4745/I4745)+ABS(0.2-M4744*E4745/I4745)+ABS(0.2-N4744*F4745/I4745)),0)</f>
        <v/>
      </c>
      <c r="Q4745">
        <f>P4745*0.0015</f>
        <v/>
      </c>
      <c r="R4745">
        <f>I4745*(1-Q4745)</f>
        <v/>
      </c>
      <c r="S4745">
        <f>R4745/R4744-1</f>
        <v/>
      </c>
      <c r="T4745">
        <f>MAX(T4744,R4745)</f>
        <v/>
      </c>
      <c r="U4745">
        <f>R4745/T4745-1</f>
        <v/>
      </c>
      <c r="V4745" t="n">
        <v>27.89306085058465</v>
      </c>
      <c r="W4745" s="5">
        <f>R4745-V4745</f>
        <v/>
      </c>
    </row>
    <row r="4746">
      <c r="A4746" s="3" t="n">
        <v>45430</v>
      </c>
      <c r="B4746">
        <f>Prices!B4746</f>
        <v/>
      </c>
      <c r="C4746">
        <f>Prices!C4746</f>
        <v/>
      </c>
      <c r="D4746">
        <f>Prices!D4746</f>
        <v/>
      </c>
      <c r="E4746">
        <f>Prices!E4746</f>
        <v/>
      </c>
      <c r="F4746">
        <f>Prices!F4746</f>
        <v/>
      </c>
      <c r="G4746">
        <f>IF(AND(4744&gt;=16,TEXT(A4746,"yyyy-mm")&lt;&gt;TEXT(A4747,"yyyy-mm")),1,0)</f>
        <v/>
      </c>
      <c r="H4746">
        <f>IF(OR(H4745=1,G4746=1),1,0)</f>
        <v/>
      </c>
      <c r="I4746">
        <f>IF(H4745=0,1,SUMPRODUCT(J4745:N4745,B4746:F4746)+O4745*(1+0.00023125256064071564))</f>
        <v/>
      </c>
      <c r="J4746">
        <f>IF(G4746=1,0.2*R4746/B4746,J4745)</f>
        <v/>
      </c>
      <c r="K4746">
        <f>IF(G4746=1,0.2*R4746/C4746,K4745)</f>
        <v/>
      </c>
      <c r="L4746">
        <f>IF(G4746=1,0.2*R4746/D4746,L4745)</f>
        <v/>
      </c>
      <c r="M4746">
        <f>IF(G4746=1,0.2*R4746/E4746,M4745)</f>
        <v/>
      </c>
      <c r="N4746">
        <f>IF(G4746=1,0.2*R4746/F4746,N4745)</f>
        <v/>
      </c>
      <c r="O4746">
        <f>IF(G4746=1,R4746*(1-1.0),IF(H4745=0,1,O4745*(1+0.00023125256064071564)))</f>
        <v/>
      </c>
      <c r="P4746">
        <f>IF(G4746=1,IF(H4745=0,1,ABS(0.2-J4745*B4746/I4746)+ABS(0.2-K4745*C4746/I4746)+ABS(0.2-L4745*D4746/I4746)+ABS(0.2-M4745*E4746/I4746)+ABS(0.2-N4745*F4746/I4746)),0)</f>
        <v/>
      </c>
      <c r="Q4746">
        <f>P4746*0.0015</f>
        <v/>
      </c>
      <c r="R4746">
        <f>I4746*(1-Q4746)</f>
        <v/>
      </c>
      <c r="S4746">
        <f>R4746/R4745-1</f>
        <v/>
      </c>
      <c r="T4746">
        <f>MAX(T4745,R4746)</f>
        <v/>
      </c>
      <c r="U4746">
        <f>R4746/T4746-1</f>
        <v/>
      </c>
      <c r="V4746" t="n">
        <v>28.09703096580563</v>
      </c>
      <c r="W4746" s="5">
        <f>R4746-V4746</f>
        <v/>
      </c>
    </row>
    <row r="4747">
      <c r="A4747" s="3" t="n">
        <v>45433</v>
      </c>
      <c r="B4747">
        <f>Prices!B4747</f>
        <v/>
      </c>
      <c r="C4747">
        <f>Prices!C4747</f>
        <v/>
      </c>
      <c r="D4747">
        <f>Prices!D4747</f>
        <v/>
      </c>
      <c r="E4747">
        <f>Prices!E4747</f>
        <v/>
      </c>
      <c r="F4747">
        <f>Prices!F4747</f>
        <v/>
      </c>
      <c r="G4747">
        <f>IF(AND(4745&gt;=16,TEXT(A4747,"yyyy-mm")&lt;&gt;TEXT(A4748,"yyyy-mm")),1,0)</f>
        <v/>
      </c>
      <c r="H4747">
        <f>IF(OR(H4746=1,G4747=1),1,0)</f>
        <v/>
      </c>
      <c r="I4747">
        <f>IF(H4746=0,1,SUMPRODUCT(J4746:N4746,B4747:F4747)+O4746*(1+0.00023125256064071564))</f>
        <v/>
      </c>
      <c r="J4747">
        <f>IF(G4747=1,0.2*R4747/B4747,J4746)</f>
        <v/>
      </c>
      <c r="K4747">
        <f>IF(G4747=1,0.2*R4747/C4747,K4746)</f>
        <v/>
      </c>
      <c r="L4747">
        <f>IF(G4747=1,0.2*R4747/D4747,L4746)</f>
        <v/>
      </c>
      <c r="M4747">
        <f>IF(G4747=1,0.2*R4747/E4747,M4746)</f>
        <v/>
      </c>
      <c r="N4747">
        <f>IF(G4747=1,0.2*R4747/F4747,N4746)</f>
        <v/>
      </c>
      <c r="O4747">
        <f>IF(G4747=1,R4747*(1-1.0),IF(H4746=0,1,O4746*(1+0.00023125256064071564)))</f>
        <v/>
      </c>
      <c r="P4747">
        <f>IF(G4747=1,IF(H4746=0,1,ABS(0.2-J4746*B4747/I4747)+ABS(0.2-K4746*C4747/I4747)+ABS(0.2-L4746*D4747/I4747)+ABS(0.2-M4746*E4747/I4747)+ABS(0.2-N4746*F4747/I4747)),0)</f>
        <v/>
      </c>
      <c r="Q4747">
        <f>P4747*0.0015</f>
        <v/>
      </c>
      <c r="R4747">
        <f>I4747*(1-Q4747)</f>
        <v/>
      </c>
      <c r="S4747">
        <f>R4747/R4746-1</f>
        <v/>
      </c>
      <c r="T4747">
        <f>MAX(T4746,R4747)</f>
        <v/>
      </c>
      <c r="U4747">
        <f>R4747/T4747-1</f>
        <v/>
      </c>
      <c r="V4747" t="n">
        <v>28.33548720887516</v>
      </c>
      <c r="W4747" s="5">
        <f>R4747-V4747</f>
        <v/>
      </c>
    </row>
    <row r="4748">
      <c r="A4748" s="3" t="n">
        <v>45434</v>
      </c>
      <c r="B4748">
        <f>Prices!B4748</f>
        <v/>
      </c>
      <c r="C4748">
        <f>Prices!C4748</f>
        <v/>
      </c>
      <c r="D4748">
        <f>Prices!D4748</f>
        <v/>
      </c>
      <c r="E4748">
        <f>Prices!E4748</f>
        <v/>
      </c>
      <c r="F4748">
        <f>Prices!F4748</f>
        <v/>
      </c>
      <c r="G4748">
        <f>IF(AND(4746&gt;=16,TEXT(A4748,"yyyy-mm")&lt;&gt;TEXT(A4749,"yyyy-mm")),1,0)</f>
        <v/>
      </c>
      <c r="H4748">
        <f>IF(OR(H4747=1,G4748=1),1,0)</f>
        <v/>
      </c>
      <c r="I4748">
        <f>IF(H4747=0,1,SUMPRODUCT(J4747:N4747,B4748:F4748)+O4747*(1+0.00023125256064071564))</f>
        <v/>
      </c>
      <c r="J4748">
        <f>IF(G4748=1,0.2*R4748/B4748,J4747)</f>
        <v/>
      </c>
      <c r="K4748">
        <f>IF(G4748=1,0.2*R4748/C4748,K4747)</f>
        <v/>
      </c>
      <c r="L4748">
        <f>IF(G4748=1,0.2*R4748/D4748,L4747)</f>
        <v/>
      </c>
      <c r="M4748">
        <f>IF(G4748=1,0.2*R4748/E4748,M4747)</f>
        <v/>
      </c>
      <c r="N4748">
        <f>IF(G4748=1,0.2*R4748/F4748,N4747)</f>
        <v/>
      </c>
      <c r="O4748">
        <f>IF(G4748=1,R4748*(1-1.0),IF(H4747=0,1,O4747*(1+0.00023125256064071564)))</f>
        <v/>
      </c>
      <c r="P4748">
        <f>IF(G4748=1,IF(H4747=0,1,ABS(0.2-J4747*B4748/I4748)+ABS(0.2-K4747*C4748/I4748)+ABS(0.2-L4747*D4748/I4748)+ABS(0.2-M4747*E4748/I4748)+ABS(0.2-N4747*F4748/I4748)),0)</f>
        <v/>
      </c>
      <c r="Q4748">
        <f>P4748*0.0015</f>
        <v/>
      </c>
      <c r="R4748">
        <f>I4748*(1-Q4748)</f>
        <v/>
      </c>
      <c r="S4748">
        <f>R4748/R4747-1</f>
        <v/>
      </c>
      <c r="T4748">
        <f>MAX(T4747,R4748)</f>
        <v/>
      </c>
      <c r="U4748">
        <f>R4748/T4748-1</f>
        <v/>
      </c>
      <c r="V4748" t="n">
        <v>28.32645046658744</v>
      </c>
      <c r="W4748" s="5">
        <f>R4748-V4748</f>
        <v/>
      </c>
    </row>
    <row r="4749">
      <c r="A4749" s="3" t="n">
        <v>45435</v>
      </c>
      <c r="B4749">
        <f>Prices!B4749</f>
        <v/>
      </c>
      <c r="C4749">
        <f>Prices!C4749</f>
        <v/>
      </c>
      <c r="D4749">
        <f>Prices!D4749</f>
        <v/>
      </c>
      <c r="E4749">
        <f>Prices!E4749</f>
        <v/>
      </c>
      <c r="F4749">
        <f>Prices!F4749</f>
        <v/>
      </c>
      <c r="G4749">
        <f>IF(AND(4747&gt;=16,TEXT(A4749,"yyyy-mm")&lt;&gt;TEXT(A4750,"yyyy-mm")),1,0)</f>
        <v/>
      </c>
      <c r="H4749">
        <f>IF(OR(H4748=1,G4749=1),1,0)</f>
        <v/>
      </c>
      <c r="I4749">
        <f>IF(H4748=0,1,SUMPRODUCT(J4748:N4748,B4749:F4749)+O4748*(1+0.00023125256064071564))</f>
        <v/>
      </c>
      <c r="J4749">
        <f>IF(G4749=1,0.2*R4749/B4749,J4748)</f>
        <v/>
      </c>
      <c r="K4749">
        <f>IF(G4749=1,0.2*R4749/C4749,K4748)</f>
        <v/>
      </c>
      <c r="L4749">
        <f>IF(G4749=1,0.2*R4749/D4749,L4748)</f>
        <v/>
      </c>
      <c r="M4749">
        <f>IF(G4749=1,0.2*R4749/E4749,M4748)</f>
        <v/>
      </c>
      <c r="N4749">
        <f>IF(G4749=1,0.2*R4749/F4749,N4748)</f>
        <v/>
      </c>
      <c r="O4749">
        <f>IF(G4749=1,R4749*(1-1.0),IF(H4748=0,1,O4748*(1+0.00023125256064071564)))</f>
        <v/>
      </c>
      <c r="P4749">
        <f>IF(G4749=1,IF(H4748=0,1,ABS(0.2-J4748*B4749/I4749)+ABS(0.2-K4748*C4749/I4749)+ABS(0.2-L4748*D4749/I4749)+ABS(0.2-M4748*E4749/I4749)+ABS(0.2-N4748*F4749/I4749)),0)</f>
        <v/>
      </c>
      <c r="Q4749">
        <f>P4749*0.0015</f>
        <v/>
      </c>
      <c r="R4749">
        <f>I4749*(1-Q4749)</f>
        <v/>
      </c>
      <c r="S4749">
        <f>R4749/R4748-1</f>
        <v/>
      </c>
      <c r="T4749">
        <f>MAX(T4748,R4749)</f>
        <v/>
      </c>
      <c r="U4749">
        <f>R4749/T4749-1</f>
        <v/>
      </c>
      <c r="V4749" t="n">
        <v>28.53345417607479</v>
      </c>
      <c r="W4749" s="5">
        <f>R4749-V4749</f>
        <v/>
      </c>
    </row>
    <row r="4750">
      <c r="A4750" s="3" t="n">
        <v>45436</v>
      </c>
      <c r="B4750">
        <f>Prices!B4750</f>
        <v/>
      </c>
      <c r="C4750">
        <f>Prices!C4750</f>
        <v/>
      </c>
      <c r="D4750">
        <f>Prices!D4750</f>
        <v/>
      </c>
      <c r="E4750">
        <f>Prices!E4750</f>
        <v/>
      </c>
      <c r="F4750">
        <f>Prices!F4750</f>
        <v/>
      </c>
      <c r="G4750">
        <f>IF(AND(4748&gt;=16,TEXT(A4750,"yyyy-mm")&lt;&gt;TEXT(A4751,"yyyy-mm")),1,0)</f>
        <v/>
      </c>
      <c r="H4750">
        <f>IF(OR(H4749=1,G4750=1),1,0)</f>
        <v/>
      </c>
      <c r="I4750">
        <f>IF(H4749=0,1,SUMPRODUCT(J4749:N4749,B4750:F4750)+O4749*(1+0.00023125256064071564))</f>
        <v/>
      </c>
      <c r="J4750">
        <f>IF(G4750=1,0.2*R4750/B4750,J4749)</f>
        <v/>
      </c>
      <c r="K4750">
        <f>IF(G4750=1,0.2*R4750/C4750,K4749)</f>
        <v/>
      </c>
      <c r="L4750">
        <f>IF(G4750=1,0.2*R4750/D4750,L4749)</f>
        <v/>
      </c>
      <c r="M4750">
        <f>IF(G4750=1,0.2*R4750/E4750,M4749)</f>
        <v/>
      </c>
      <c r="N4750">
        <f>IF(G4750=1,0.2*R4750/F4750,N4749)</f>
        <v/>
      </c>
      <c r="O4750">
        <f>IF(G4750=1,R4750*(1-1.0),IF(H4749=0,1,O4749*(1+0.00023125256064071564)))</f>
        <v/>
      </c>
      <c r="P4750">
        <f>IF(G4750=1,IF(H4749=0,1,ABS(0.2-J4749*B4750/I4750)+ABS(0.2-K4749*C4750/I4750)+ABS(0.2-L4749*D4750/I4750)+ABS(0.2-M4749*E4750/I4750)+ABS(0.2-N4749*F4750/I4750)),0)</f>
        <v/>
      </c>
      <c r="Q4750">
        <f>P4750*0.0015</f>
        <v/>
      </c>
      <c r="R4750">
        <f>I4750*(1-Q4750)</f>
        <v/>
      </c>
      <c r="S4750">
        <f>R4750/R4749-1</f>
        <v/>
      </c>
      <c r="T4750">
        <f>MAX(T4749,R4750)</f>
        <v/>
      </c>
      <c r="U4750">
        <f>R4750/T4750-1</f>
        <v/>
      </c>
      <c r="V4750" t="n">
        <v>28.56846834186523</v>
      </c>
      <c r="W4750" s="5">
        <f>R4750-V4750</f>
        <v/>
      </c>
    </row>
    <row r="4751">
      <c r="A4751" s="3" t="n">
        <v>45439</v>
      </c>
      <c r="B4751">
        <f>Prices!B4751</f>
        <v/>
      </c>
      <c r="C4751">
        <f>Prices!C4751</f>
        <v/>
      </c>
      <c r="D4751">
        <f>Prices!D4751</f>
        <v/>
      </c>
      <c r="E4751">
        <f>Prices!E4751</f>
        <v/>
      </c>
      <c r="F4751">
        <f>Prices!F4751</f>
        <v/>
      </c>
      <c r="G4751">
        <f>IF(AND(4749&gt;=16,TEXT(A4751,"yyyy-mm")&lt;&gt;TEXT(A4752,"yyyy-mm")),1,0)</f>
        <v/>
      </c>
      <c r="H4751">
        <f>IF(OR(H4750=1,G4751=1),1,0)</f>
        <v/>
      </c>
      <c r="I4751">
        <f>IF(H4750=0,1,SUMPRODUCT(J4750:N4750,B4751:F4751)+O4750*(1+0.00023125256064071564))</f>
        <v/>
      </c>
      <c r="J4751">
        <f>IF(G4751=1,0.2*R4751/B4751,J4750)</f>
        <v/>
      </c>
      <c r="K4751">
        <f>IF(G4751=1,0.2*R4751/C4751,K4750)</f>
        <v/>
      </c>
      <c r="L4751">
        <f>IF(G4751=1,0.2*R4751/D4751,L4750)</f>
        <v/>
      </c>
      <c r="M4751">
        <f>IF(G4751=1,0.2*R4751/E4751,M4750)</f>
        <v/>
      </c>
      <c r="N4751">
        <f>IF(G4751=1,0.2*R4751/F4751,N4750)</f>
        <v/>
      </c>
      <c r="O4751">
        <f>IF(G4751=1,R4751*(1-1.0),IF(H4750=0,1,O4750*(1+0.00023125256064071564)))</f>
        <v/>
      </c>
      <c r="P4751">
        <f>IF(G4751=1,IF(H4750=0,1,ABS(0.2-J4750*B4751/I4751)+ABS(0.2-K4750*C4751/I4751)+ABS(0.2-L4750*D4751/I4751)+ABS(0.2-M4750*E4751/I4751)+ABS(0.2-N4750*F4751/I4751)),0)</f>
        <v/>
      </c>
      <c r="Q4751">
        <f>P4751*0.0015</f>
        <v/>
      </c>
      <c r="R4751">
        <f>I4751*(1-Q4751)</f>
        <v/>
      </c>
      <c r="S4751">
        <f>R4751/R4750-1</f>
        <v/>
      </c>
      <c r="T4751">
        <f>MAX(T4750,R4751)</f>
        <v/>
      </c>
      <c r="U4751">
        <f>R4751/T4751-1</f>
        <v/>
      </c>
      <c r="V4751" t="n">
        <v>28.60144394229461</v>
      </c>
      <c r="W4751" s="5">
        <f>R4751-V4751</f>
        <v/>
      </c>
    </row>
    <row r="4752">
      <c r="A4752" s="3" t="n">
        <v>45440</v>
      </c>
      <c r="B4752">
        <f>Prices!B4752</f>
        <v/>
      </c>
      <c r="C4752">
        <f>Prices!C4752</f>
        <v/>
      </c>
      <c r="D4752">
        <f>Prices!D4752</f>
        <v/>
      </c>
      <c r="E4752">
        <f>Prices!E4752</f>
        <v/>
      </c>
      <c r="F4752">
        <f>Prices!F4752</f>
        <v/>
      </c>
      <c r="G4752">
        <f>IF(AND(4750&gt;=16,TEXT(A4752,"yyyy-mm")&lt;&gt;TEXT(A4753,"yyyy-mm")),1,0)</f>
        <v/>
      </c>
      <c r="H4752">
        <f>IF(OR(H4751=1,G4752=1),1,0)</f>
        <v/>
      </c>
      <c r="I4752">
        <f>IF(H4751=0,1,SUMPRODUCT(J4751:N4751,B4752:F4752)+O4751*(1+0.00023125256064071564))</f>
        <v/>
      </c>
      <c r="J4752">
        <f>IF(G4752=1,0.2*R4752/B4752,J4751)</f>
        <v/>
      </c>
      <c r="K4752">
        <f>IF(G4752=1,0.2*R4752/C4752,K4751)</f>
        <v/>
      </c>
      <c r="L4752">
        <f>IF(G4752=1,0.2*R4752/D4752,L4751)</f>
        <v/>
      </c>
      <c r="M4752">
        <f>IF(G4752=1,0.2*R4752/E4752,M4751)</f>
        <v/>
      </c>
      <c r="N4752">
        <f>IF(G4752=1,0.2*R4752/F4752,N4751)</f>
        <v/>
      </c>
      <c r="O4752">
        <f>IF(G4752=1,R4752*(1-1.0),IF(H4751=0,1,O4751*(1+0.00023125256064071564)))</f>
        <v/>
      </c>
      <c r="P4752">
        <f>IF(G4752=1,IF(H4751=0,1,ABS(0.2-J4751*B4752/I4752)+ABS(0.2-K4751*C4752/I4752)+ABS(0.2-L4751*D4752/I4752)+ABS(0.2-M4751*E4752/I4752)+ABS(0.2-N4751*F4752/I4752)),0)</f>
        <v/>
      </c>
      <c r="Q4752">
        <f>P4752*0.0015</f>
        <v/>
      </c>
      <c r="R4752">
        <f>I4752*(1-Q4752)</f>
        <v/>
      </c>
      <c r="S4752">
        <f>R4752/R4751-1</f>
        <v/>
      </c>
      <c r="T4752">
        <f>MAX(T4751,R4752)</f>
        <v/>
      </c>
      <c r="U4752">
        <f>R4752/T4752-1</f>
        <v/>
      </c>
      <c r="V4752" t="n">
        <v>28.35943617842111</v>
      </c>
      <c r="W4752" s="5">
        <f>R4752-V4752</f>
        <v/>
      </c>
    </row>
    <row r="4753">
      <c r="A4753" s="3" t="n">
        <v>45441</v>
      </c>
      <c r="B4753">
        <f>Prices!B4753</f>
        <v/>
      </c>
      <c r="C4753">
        <f>Prices!C4753</f>
        <v/>
      </c>
      <c r="D4753">
        <f>Prices!D4753</f>
        <v/>
      </c>
      <c r="E4753">
        <f>Prices!E4753</f>
        <v/>
      </c>
      <c r="F4753">
        <f>Prices!F4753</f>
        <v/>
      </c>
      <c r="G4753">
        <f>IF(AND(4751&gt;=16,TEXT(A4753,"yyyy-mm")&lt;&gt;TEXT(A4754,"yyyy-mm")),1,0)</f>
        <v/>
      </c>
      <c r="H4753">
        <f>IF(OR(H4752=1,G4753=1),1,0)</f>
        <v/>
      </c>
      <c r="I4753">
        <f>IF(H4752=0,1,SUMPRODUCT(J4752:N4752,B4753:F4753)+O4752*(1+0.00023125256064071564))</f>
        <v/>
      </c>
      <c r="J4753">
        <f>IF(G4753=1,0.2*R4753/B4753,J4752)</f>
        <v/>
      </c>
      <c r="K4753">
        <f>IF(G4753=1,0.2*R4753/C4753,K4752)</f>
        <v/>
      </c>
      <c r="L4753">
        <f>IF(G4753=1,0.2*R4753/D4753,L4752)</f>
        <v/>
      </c>
      <c r="M4753">
        <f>IF(G4753=1,0.2*R4753/E4753,M4752)</f>
        <v/>
      </c>
      <c r="N4753">
        <f>IF(G4753=1,0.2*R4753/F4753,N4752)</f>
        <v/>
      </c>
      <c r="O4753">
        <f>IF(G4753=1,R4753*(1-1.0),IF(H4752=0,1,O4752*(1+0.00023125256064071564)))</f>
        <v/>
      </c>
      <c r="P4753">
        <f>IF(G4753=1,IF(H4752=0,1,ABS(0.2-J4752*B4753/I4753)+ABS(0.2-K4752*C4753/I4753)+ABS(0.2-L4752*D4753/I4753)+ABS(0.2-M4752*E4753/I4753)+ABS(0.2-N4752*F4753/I4753)),0)</f>
        <v/>
      </c>
      <c r="Q4753">
        <f>P4753*0.0015</f>
        <v/>
      </c>
      <c r="R4753">
        <f>I4753*(1-Q4753)</f>
        <v/>
      </c>
      <c r="S4753">
        <f>R4753/R4752-1</f>
        <v/>
      </c>
      <c r="T4753">
        <f>MAX(T4752,R4753)</f>
        <v/>
      </c>
      <c r="U4753">
        <f>R4753/T4753-1</f>
        <v/>
      </c>
      <c r="V4753" t="n">
        <v>28.2852725454169</v>
      </c>
      <c r="W4753" s="5">
        <f>R4753-V4753</f>
        <v/>
      </c>
    </row>
    <row r="4754">
      <c r="A4754" s="3" t="n">
        <v>45442</v>
      </c>
      <c r="B4754">
        <f>Prices!B4754</f>
        <v/>
      </c>
      <c r="C4754">
        <f>Prices!C4754</f>
        <v/>
      </c>
      <c r="D4754">
        <f>Prices!D4754</f>
        <v/>
      </c>
      <c r="E4754">
        <f>Prices!E4754</f>
        <v/>
      </c>
      <c r="F4754">
        <f>Prices!F4754</f>
        <v/>
      </c>
      <c r="G4754">
        <f>IF(AND(4752&gt;=16,TEXT(A4754,"yyyy-mm")&lt;&gt;TEXT(A4755,"yyyy-mm")),1,0)</f>
        <v/>
      </c>
      <c r="H4754">
        <f>IF(OR(H4753=1,G4754=1),1,0)</f>
        <v/>
      </c>
      <c r="I4754">
        <f>IF(H4753=0,1,SUMPRODUCT(J4753:N4753,B4754:F4754)+O4753*(1+0.00023125256064071564))</f>
        <v/>
      </c>
      <c r="J4754">
        <f>IF(G4754=1,0.2*R4754/B4754,J4753)</f>
        <v/>
      </c>
      <c r="K4754">
        <f>IF(G4754=1,0.2*R4754/C4754,K4753)</f>
        <v/>
      </c>
      <c r="L4754">
        <f>IF(G4754=1,0.2*R4754/D4754,L4753)</f>
        <v/>
      </c>
      <c r="M4754">
        <f>IF(G4754=1,0.2*R4754/E4754,M4753)</f>
        <v/>
      </c>
      <c r="N4754">
        <f>IF(G4754=1,0.2*R4754/F4754,N4753)</f>
        <v/>
      </c>
      <c r="O4754">
        <f>IF(G4754=1,R4754*(1-1.0),IF(H4753=0,1,O4753*(1+0.00023125256064071564)))</f>
        <v/>
      </c>
      <c r="P4754">
        <f>IF(G4754=1,IF(H4753=0,1,ABS(0.2-J4753*B4754/I4754)+ABS(0.2-K4753*C4754/I4754)+ABS(0.2-L4753*D4754/I4754)+ABS(0.2-M4753*E4754/I4754)+ABS(0.2-N4753*F4754/I4754)),0)</f>
        <v/>
      </c>
      <c r="Q4754">
        <f>P4754*0.0015</f>
        <v/>
      </c>
      <c r="R4754">
        <f>I4754*(1-Q4754)</f>
        <v/>
      </c>
      <c r="S4754">
        <f>R4754/R4753-1</f>
        <v/>
      </c>
      <c r="T4754">
        <f>MAX(T4753,R4754)</f>
        <v/>
      </c>
      <c r="U4754">
        <f>R4754/T4754-1</f>
        <v/>
      </c>
      <c r="V4754" t="n">
        <v>27.92394986791472</v>
      </c>
      <c r="W4754" s="5">
        <f>R4754-V4754</f>
        <v/>
      </c>
    </row>
    <row r="4755">
      <c r="A4755" s="3" t="n">
        <v>45443</v>
      </c>
      <c r="B4755">
        <f>Prices!B4755</f>
        <v/>
      </c>
      <c r="C4755">
        <f>Prices!C4755</f>
        <v/>
      </c>
      <c r="D4755">
        <f>Prices!D4755</f>
        <v/>
      </c>
      <c r="E4755">
        <f>Prices!E4755</f>
        <v/>
      </c>
      <c r="F4755">
        <f>Prices!F4755</f>
        <v/>
      </c>
      <c r="G4755">
        <f>IF(AND(4753&gt;=16,TEXT(A4755,"yyyy-mm")&lt;&gt;TEXT(A4756,"yyyy-mm")),1,0)</f>
        <v/>
      </c>
      <c r="H4755">
        <f>IF(OR(H4754=1,G4755=1),1,0)</f>
        <v/>
      </c>
      <c r="I4755">
        <f>IF(H4754=0,1,SUMPRODUCT(J4754:N4754,B4755:F4755)+O4754*(1+0.00023125256064071564))</f>
        <v/>
      </c>
      <c r="J4755">
        <f>IF(G4755=1,0.2*R4755/B4755,J4754)</f>
        <v/>
      </c>
      <c r="K4755">
        <f>IF(G4755=1,0.2*R4755/C4755,K4754)</f>
        <v/>
      </c>
      <c r="L4755">
        <f>IF(G4755=1,0.2*R4755/D4755,L4754)</f>
        <v/>
      </c>
      <c r="M4755">
        <f>IF(G4755=1,0.2*R4755/E4755,M4754)</f>
        <v/>
      </c>
      <c r="N4755">
        <f>IF(G4755=1,0.2*R4755/F4755,N4754)</f>
        <v/>
      </c>
      <c r="O4755">
        <f>IF(G4755=1,R4755*(1-1.0),IF(H4754=0,1,O4754*(1+0.00023125256064071564)))</f>
        <v/>
      </c>
      <c r="P4755">
        <f>IF(G4755=1,IF(H4754=0,1,ABS(0.2-J4754*B4755/I4755)+ABS(0.2-K4754*C4755/I4755)+ABS(0.2-L4754*D4755/I4755)+ABS(0.2-M4754*E4755/I4755)+ABS(0.2-N4754*F4755/I4755)),0)</f>
        <v/>
      </c>
      <c r="Q4755">
        <f>P4755*0.0015</f>
        <v/>
      </c>
      <c r="R4755">
        <f>I4755*(1-Q4755)</f>
        <v/>
      </c>
      <c r="S4755">
        <f>R4755/R4754-1</f>
        <v/>
      </c>
      <c r="T4755">
        <f>MAX(T4754,R4755)</f>
        <v/>
      </c>
      <c r="U4755">
        <f>R4755/T4755-1</f>
        <v/>
      </c>
      <c r="V4755" t="n">
        <v>28.05774447690408</v>
      </c>
      <c r="W4755" s="5">
        <f>R4755-V4755</f>
        <v/>
      </c>
    </row>
    <row r="4756">
      <c r="A4756" s="3" t="n">
        <v>45446</v>
      </c>
      <c r="B4756">
        <f>Prices!B4756</f>
        <v/>
      </c>
      <c r="C4756">
        <f>Prices!C4756</f>
        <v/>
      </c>
      <c r="D4756">
        <f>Prices!D4756</f>
        <v/>
      </c>
      <c r="E4756">
        <f>Prices!E4756</f>
        <v/>
      </c>
      <c r="F4756">
        <f>Prices!F4756</f>
        <v/>
      </c>
      <c r="G4756">
        <f>IF(AND(4754&gt;=16,TEXT(A4756,"yyyy-mm")&lt;&gt;TEXT(A4757,"yyyy-mm")),1,0)</f>
        <v/>
      </c>
      <c r="H4756">
        <f>IF(OR(H4755=1,G4756=1),1,0)</f>
        <v/>
      </c>
      <c r="I4756">
        <f>IF(H4755=0,1,SUMPRODUCT(J4755:N4755,B4756:F4756)+O4755*(1+0.00023125256064071564))</f>
        <v/>
      </c>
      <c r="J4756">
        <f>IF(G4756=1,0.2*R4756/B4756,J4755)</f>
        <v/>
      </c>
      <c r="K4756">
        <f>IF(G4756=1,0.2*R4756/C4756,K4755)</f>
        <v/>
      </c>
      <c r="L4756">
        <f>IF(G4756=1,0.2*R4756/D4756,L4755)</f>
        <v/>
      </c>
      <c r="M4756">
        <f>IF(G4756=1,0.2*R4756/E4756,M4755)</f>
        <v/>
      </c>
      <c r="N4756">
        <f>IF(G4756=1,0.2*R4756/F4756,N4755)</f>
        <v/>
      </c>
      <c r="O4756">
        <f>IF(G4756=1,R4756*(1-1.0),IF(H4755=0,1,O4755*(1+0.00023125256064071564)))</f>
        <v/>
      </c>
      <c r="P4756">
        <f>IF(G4756=1,IF(H4755=0,1,ABS(0.2-J4755*B4756/I4756)+ABS(0.2-K4755*C4756/I4756)+ABS(0.2-L4755*D4756/I4756)+ABS(0.2-M4755*E4756/I4756)+ABS(0.2-N4755*F4756/I4756)),0)</f>
        <v/>
      </c>
      <c r="Q4756">
        <f>P4756*0.0015</f>
        <v/>
      </c>
      <c r="R4756">
        <f>I4756*(1-Q4756)</f>
        <v/>
      </c>
      <c r="S4756">
        <f>R4756/R4755-1</f>
        <v/>
      </c>
      <c r="T4756">
        <f>MAX(T4755,R4756)</f>
        <v/>
      </c>
      <c r="U4756">
        <f>R4756/T4756-1</f>
        <v/>
      </c>
      <c r="V4756" t="n">
        <v>29.16696990874731</v>
      </c>
      <c r="W4756" s="5">
        <f>R4756-V4756</f>
        <v/>
      </c>
    </row>
    <row r="4757">
      <c r="A4757" s="3" t="n">
        <v>45447</v>
      </c>
      <c r="B4757">
        <f>Prices!B4757</f>
        <v/>
      </c>
      <c r="C4757">
        <f>Prices!C4757</f>
        <v/>
      </c>
      <c r="D4757">
        <f>Prices!D4757</f>
        <v/>
      </c>
      <c r="E4757">
        <f>Prices!E4757</f>
        <v/>
      </c>
      <c r="F4757">
        <f>Prices!F4757</f>
        <v/>
      </c>
      <c r="G4757">
        <f>IF(AND(4755&gt;=16,TEXT(A4757,"yyyy-mm")&lt;&gt;TEXT(A4758,"yyyy-mm")),1,0)</f>
        <v/>
      </c>
      <c r="H4757">
        <f>IF(OR(H4756=1,G4757=1),1,0)</f>
        <v/>
      </c>
      <c r="I4757">
        <f>IF(H4756=0,1,SUMPRODUCT(J4756:N4756,B4757:F4757)+O4756*(1+0.00023125256064071564))</f>
        <v/>
      </c>
      <c r="J4757">
        <f>IF(G4757=1,0.2*R4757/B4757,J4756)</f>
        <v/>
      </c>
      <c r="K4757">
        <f>IF(G4757=1,0.2*R4757/C4757,K4756)</f>
        <v/>
      </c>
      <c r="L4757">
        <f>IF(G4757=1,0.2*R4757/D4757,L4756)</f>
        <v/>
      </c>
      <c r="M4757">
        <f>IF(G4757=1,0.2*R4757/E4757,M4756)</f>
        <v/>
      </c>
      <c r="N4757">
        <f>IF(G4757=1,0.2*R4757/F4757,N4756)</f>
        <v/>
      </c>
      <c r="O4757">
        <f>IF(G4757=1,R4757*(1-1.0),IF(H4756=0,1,O4756*(1+0.00023125256064071564)))</f>
        <v/>
      </c>
      <c r="P4757">
        <f>IF(G4757=1,IF(H4756=0,1,ABS(0.2-J4756*B4757/I4757)+ABS(0.2-K4756*C4757/I4757)+ABS(0.2-L4756*D4757/I4757)+ABS(0.2-M4756*E4757/I4757)+ABS(0.2-N4756*F4757/I4757)),0)</f>
        <v/>
      </c>
      <c r="Q4757">
        <f>P4757*0.0015</f>
        <v/>
      </c>
      <c r="R4757">
        <f>I4757*(1-Q4757)</f>
        <v/>
      </c>
      <c r="S4757">
        <f>R4757/R4756-1</f>
        <v/>
      </c>
      <c r="T4757">
        <f>MAX(T4756,R4757)</f>
        <v/>
      </c>
      <c r="U4757">
        <f>R4757/T4757-1</f>
        <v/>
      </c>
      <c r="V4757" t="n">
        <v>26.52102489166536</v>
      </c>
      <c r="W4757" s="5">
        <f>R4757-V4757</f>
        <v/>
      </c>
    </row>
    <row r="4758">
      <c r="A4758" s="3" t="n">
        <v>45448</v>
      </c>
      <c r="B4758">
        <f>Prices!B4758</f>
        <v/>
      </c>
      <c r="C4758">
        <f>Prices!C4758</f>
        <v/>
      </c>
      <c r="D4758">
        <f>Prices!D4758</f>
        <v/>
      </c>
      <c r="E4758">
        <f>Prices!E4758</f>
        <v/>
      </c>
      <c r="F4758">
        <f>Prices!F4758</f>
        <v/>
      </c>
      <c r="G4758">
        <f>IF(AND(4756&gt;=16,TEXT(A4758,"yyyy-mm")&lt;&gt;TEXT(A4759,"yyyy-mm")),1,0)</f>
        <v/>
      </c>
      <c r="H4758">
        <f>IF(OR(H4757=1,G4758=1),1,0)</f>
        <v/>
      </c>
      <c r="I4758">
        <f>IF(H4757=0,1,SUMPRODUCT(J4757:N4757,B4758:F4758)+O4757*(1+0.00023125256064071564))</f>
        <v/>
      </c>
      <c r="J4758">
        <f>IF(G4758=1,0.2*R4758/B4758,J4757)</f>
        <v/>
      </c>
      <c r="K4758">
        <f>IF(G4758=1,0.2*R4758/C4758,K4757)</f>
        <v/>
      </c>
      <c r="L4758">
        <f>IF(G4758=1,0.2*R4758/D4758,L4757)</f>
        <v/>
      </c>
      <c r="M4758">
        <f>IF(G4758=1,0.2*R4758/E4758,M4757)</f>
        <v/>
      </c>
      <c r="N4758">
        <f>IF(G4758=1,0.2*R4758/F4758,N4757)</f>
        <v/>
      </c>
      <c r="O4758">
        <f>IF(G4758=1,R4758*(1-1.0),IF(H4757=0,1,O4757*(1+0.00023125256064071564)))</f>
        <v/>
      </c>
      <c r="P4758">
        <f>IF(G4758=1,IF(H4757=0,1,ABS(0.2-J4757*B4758/I4758)+ABS(0.2-K4757*C4758/I4758)+ABS(0.2-L4757*D4758/I4758)+ABS(0.2-M4757*E4758/I4758)+ABS(0.2-N4757*F4758/I4758)),0)</f>
        <v/>
      </c>
      <c r="Q4758">
        <f>P4758*0.0015</f>
        <v/>
      </c>
      <c r="R4758">
        <f>I4758*(1-Q4758)</f>
        <v/>
      </c>
      <c r="S4758">
        <f>R4758/R4757-1</f>
        <v/>
      </c>
      <c r="T4758">
        <f>MAX(T4757,R4758)</f>
        <v/>
      </c>
      <c r="U4758">
        <f>R4758/T4758-1</f>
        <v/>
      </c>
      <c r="V4758" t="n">
        <v>27.51320963517939</v>
      </c>
      <c r="W4758" s="5">
        <f>R4758-V4758</f>
        <v/>
      </c>
    </row>
    <row r="4759">
      <c r="A4759" s="3" t="n">
        <v>45449</v>
      </c>
      <c r="B4759">
        <f>Prices!B4759</f>
        <v/>
      </c>
      <c r="C4759">
        <f>Prices!C4759</f>
        <v/>
      </c>
      <c r="D4759">
        <f>Prices!D4759</f>
        <v/>
      </c>
      <c r="E4759">
        <f>Prices!E4759</f>
        <v/>
      </c>
      <c r="F4759">
        <f>Prices!F4759</f>
        <v/>
      </c>
      <c r="G4759">
        <f>IF(AND(4757&gt;=16,TEXT(A4759,"yyyy-mm")&lt;&gt;TEXT(A4760,"yyyy-mm")),1,0)</f>
        <v/>
      </c>
      <c r="H4759">
        <f>IF(OR(H4758=1,G4759=1),1,0)</f>
        <v/>
      </c>
      <c r="I4759">
        <f>IF(H4758=0,1,SUMPRODUCT(J4758:N4758,B4759:F4759)+O4758*(1+0.00023125256064071564))</f>
        <v/>
      </c>
      <c r="J4759">
        <f>IF(G4759=1,0.2*R4759/B4759,J4758)</f>
        <v/>
      </c>
      <c r="K4759">
        <f>IF(G4759=1,0.2*R4759/C4759,K4758)</f>
        <v/>
      </c>
      <c r="L4759">
        <f>IF(G4759=1,0.2*R4759/D4759,L4758)</f>
        <v/>
      </c>
      <c r="M4759">
        <f>IF(G4759=1,0.2*R4759/E4759,M4758)</f>
        <v/>
      </c>
      <c r="N4759">
        <f>IF(G4759=1,0.2*R4759/F4759,N4758)</f>
        <v/>
      </c>
      <c r="O4759">
        <f>IF(G4759=1,R4759*(1-1.0),IF(H4758=0,1,O4758*(1+0.00023125256064071564)))</f>
        <v/>
      </c>
      <c r="P4759">
        <f>IF(G4759=1,IF(H4758=0,1,ABS(0.2-J4758*B4759/I4759)+ABS(0.2-K4758*C4759/I4759)+ABS(0.2-L4758*D4759/I4759)+ABS(0.2-M4758*E4759/I4759)+ABS(0.2-N4758*F4759/I4759)),0)</f>
        <v/>
      </c>
      <c r="Q4759">
        <f>P4759*0.0015</f>
        <v/>
      </c>
      <c r="R4759">
        <f>I4759*(1-Q4759)</f>
        <v/>
      </c>
      <c r="S4759">
        <f>R4759/R4758-1</f>
        <v/>
      </c>
      <c r="T4759">
        <f>MAX(T4758,R4759)</f>
        <v/>
      </c>
      <c r="U4759">
        <f>R4759/T4759-1</f>
        <v/>
      </c>
      <c r="V4759" t="n">
        <v>28.1704887120796</v>
      </c>
      <c r="W4759" s="5">
        <f>R4759-V4759</f>
        <v/>
      </c>
    </row>
    <row r="4760">
      <c r="A4760" s="3" t="n">
        <v>45450</v>
      </c>
      <c r="B4760">
        <f>Prices!B4760</f>
        <v/>
      </c>
      <c r="C4760">
        <f>Prices!C4760</f>
        <v/>
      </c>
      <c r="D4760">
        <f>Prices!D4760</f>
        <v/>
      </c>
      <c r="E4760">
        <f>Prices!E4760</f>
        <v/>
      </c>
      <c r="F4760">
        <f>Prices!F4760</f>
        <v/>
      </c>
      <c r="G4760">
        <f>IF(AND(4758&gt;=16,TEXT(A4760,"yyyy-mm")&lt;&gt;TEXT(A4761,"yyyy-mm")),1,0)</f>
        <v/>
      </c>
      <c r="H4760">
        <f>IF(OR(H4759=1,G4760=1),1,0)</f>
        <v/>
      </c>
      <c r="I4760">
        <f>IF(H4759=0,1,SUMPRODUCT(J4759:N4759,B4760:F4760)+O4759*(1+0.00023125256064071564))</f>
        <v/>
      </c>
      <c r="J4760">
        <f>IF(G4760=1,0.2*R4760/B4760,J4759)</f>
        <v/>
      </c>
      <c r="K4760">
        <f>IF(G4760=1,0.2*R4760/C4760,K4759)</f>
        <v/>
      </c>
      <c r="L4760">
        <f>IF(G4760=1,0.2*R4760/D4760,L4759)</f>
        <v/>
      </c>
      <c r="M4760">
        <f>IF(G4760=1,0.2*R4760/E4760,M4759)</f>
        <v/>
      </c>
      <c r="N4760">
        <f>IF(G4760=1,0.2*R4760/F4760,N4759)</f>
        <v/>
      </c>
      <c r="O4760">
        <f>IF(G4760=1,R4760*(1-1.0),IF(H4759=0,1,O4759*(1+0.00023125256064071564)))</f>
        <v/>
      </c>
      <c r="P4760">
        <f>IF(G4760=1,IF(H4759=0,1,ABS(0.2-J4759*B4760/I4760)+ABS(0.2-K4759*C4760/I4760)+ABS(0.2-L4759*D4760/I4760)+ABS(0.2-M4759*E4760/I4760)+ABS(0.2-N4759*F4760/I4760)),0)</f>
        <v/>
      </c>
      <c r="Q4760">
        <f>P4760*0.0015</f>
        <v/>
      </c>
      <c r="R4760">
        <f>I4760*(1-Q4760)</f>
        <v/>
      </c>
      <c r="S4760">
        <f>R4760/R4759-1</f>
        <v/>
      </c>
      <c r="T4760">
        <f>MAX(T4759,R4760)</f>
        <v/>
      </c>
      <c r="U4760">
        <f>R4760/T4760-1</f>
        <v/>
      </c>
      <c r="V4760" t="n">
        <v>28.66831856431515</v>
      </c>
      <c r="W4760" s="5">
        <f>R4760-V4760</f>
        <v/>
      </c>
    </row>
    <row r="4761">
      <c r="A4761" s="3" t="n">
        <v>45453</v>
      </c>
      <c r="B4761">
        <f>Prices!B4761</f>
        <v/>
      </c>
      <c r="C4761">
        <f>Prices!C4761</f>
        <v/>
      </c>
      <c r="D4761">
        <f>Prices!D4761</f>
        <v/>
      </c>
      <c r="E4761">
        <f>Prices!E4761</f>
        <v/>
      </c>
      <c r="F4761">
        <f>Prices!F4761</f>
        <v/>
      </c>
      <c r="G4761">
        <f>IF(AND(4759&gt;=16,TEXT(A4761,"yyyy-mm")&lt;&gt;TEXT(A4762,"yyyy-mm")),1,0)</f>
        <v/>
      </c>
      <c r="H4761">
        <f>IF(OR(H4760=1,G4761=1),1,0)</f>
        <v/>
      </c>
      <c r="I4761">
        <f>IF(H4760=0,1,SUMPRODUCT(J4760:N4760,B4761:F4761)+O4760*(1+0.00023125256064071564))</f>
        <v/>
      </c>
      <c r="J4761">
        <f>IF(G4761=1,0.2*R4761/B4761,J4760)</f>
        <v/>
      </c>
      <c r="K4761">
        <f>IF(G4761=1,0.2*R4761/C4761,K4760)</f>
        <v/>
      </c>
      <c r="L4761">
        <f>IF(G4761=1,0.2*R4761/D4761,L4760)</f>
        <v/>
      </c>
      <c r="M4761">
        <f>IF(G4761=1,0.2*R4761/E4761,M4760)</f>
        <v/>
      </c>
      <c r="N4761">
        <f>IF(G4761=1,0.2*R4761/F4761,N4760)</f>
        <v/>
      </c>
      <c r="O4761">
        <f>IF(G4761=1,R4761*(1-1.0),IF(H4760=0,1,O4760*(1+0.00023125256064071564)))</f>
        <v/>
      </c>
      <c r="P4761">
        <f>IF(G4761=1,IF(H4760=0,1,ABS(0.2-J4760*B4761/I4761)+ABS(0.2-K4760*C4761/I4761)+ABS(0.2-L4760*D4761/I4761)+ABS(0.2-M4760*E4761/I4761)+ABS(0.2-N4760*F4761/I4761)),0)</f>
        <v/>
      </c>
      <c r="Q4761">
        <f>P4761*0.0015</f>
        <v/>
      </c>
      <c r="R4761">
        <f>I4761*(1-Q4761)</f>
        <v/>
      </c>
      <c r="S4761">
        <f>R4761/R4760-1</f>
        <v/>
      </c>
      <c r="T4761">
        <f>MAX(T4760,R4761)</f>
        <v/>
      </c>
      <c r="U4761">
        <f>R4761/T4761-1</f>
        <v/>
      </c>
      <c r="V4761" t="n">
        <v>28.81590002014285</v>
      </c>
      <c r="W4761" s="5">
        <f>R4761-V4761</f>
        <v/>
      </c>
    </row>
    <row r="4762">
      <c r="A4762" s="3" t="n">
        <v>45454</v>
      </c>
      <c r="B4762">
        <f>Prices!B4762</f>
        <v/>
      </c>
      <c r="C4762">
        <f>Prices!C4762</f>
        <v/>
      </c>
      <c r="D4762">
        <f>Prices!D4762</f>
        <v/>
      </c>
      <c r="E4762">
        <f>Prices!E4762</f>
        <v/>
      </c>
      <c r="F4762">
        <f>Prices!F4762</f>
        <v/>
      </c>
      <c r="G4762">
        <f>IF(AND(4760&gt;=16,TEXT(A4762,"yyyy-mm")&lt;&gt;TEXT(A4763,"yyyy-mm")),1,0)</f>
        <v/>
      </c>
      <c r="H4762">
        <f>IF(OR(H4761=1,G4762=1),1,0)</f>
        <v/>
      </c>
      <c r="I4762">
        <f>IF(H4761=0,1,SUMPRODUCT(J4761:N4761,B4762:F4762)+O4761*(1+0.00023125256064071564))</f>
        <v/>
      </c>
      <c r="J4762">
        <f>IF(G4762=1,0.2*R4762/B4762,J4761)</f>
        <v/>
      </c>
      <c r="K4762">
        <f>IF(G4762=1,0.2*R4762/C4762,K4761)</f>
        <v/>
      </c>
      <c r="L4762">
        <f>IF(G4762=1,0.2*R4762/D4762,L4761)</f>
        <v/>
      </c>
      <c r="M4762">
        <f>IF(G4762=1,0.2*R4762/E4762,M4761)</f>
        <v/>
      </c>
      <c r="N4762">
        <f>IF(G4762=1,0.2*R4762/F4762,N4761)</f>
        <v/>
      </c>
      <c r="O4762">
        <f>IF(G4762=1,R4762*(1-1.0),IF(H4761=0,1,O4761*(1+0.00023125256064071564)))</f>
        <v/>
      </c>
      <c r="P4762">
        <f>IF(G4762=1,IF(H4761=0,1,ABS(0.2-J4761*B4762/I4762)+ABS(0.2-K4761*C4762/I4762)+ABS(0.2-L4761*D4762/I4762)+ABS(0.2-M4761*E4762/I4762)+ABS(0.2-N4761*F4762/I4762)),0)</f>
        <v/>
      </c>
      <c r="Q4762">
        <f>P4762*0.0015</f>
        <v/>
      </c>
      <c r="R4762">
        <f>I4762*(1-Q4762)</f>
        <v/>
      </c>
      <c r="S4762">
        <f>R4762/R4761-1</f>
        <v/>
      </c>
      <c r="T4762">
        <f>MAX(T4761,R4762)</f>
        <v/>
      </c>
      <c r="U4762">
        <f>R4762/T4762-1</f>
        <v/>
      </c>
      <c r="V4762" t="n">
        <v>28.99629950255555</v>
      </c>
      <c r="W4762" s="5">
        <f>R4762-V4762</f>
        <v/>
      </c>
    </row>
    <row r="4763">
      <c r="A4763" s="3" t="n">
        <v>45455</v>
      </c>
      <c r="B4763">
        <f>Prices!B4763</f>
        <v/>
      </c>
      <c r="C4763">
        <f>Prices!C4763</f>
        <v/>
      </c>
      <c r="D4763">
        <f>Prices!D4763</f>
        <v/>
      </c>
      <c r="E4763">
        <f>Prices!E4763</f>
        <v/>
      </c>
      <c r="F4763">
        <f>Prices!F4763</f>
        <v/>
      </c>
      <c r="G4763">
        <f>IF(AND(4761&gt;=16,TEXT(A4763,"yyyy-mm")&lt;&gt;TEXT(A4764,"yyyy-mm")),1,0)</f>
        <v/>
      </c>
      <c r="H4763">
        <f>IF(OR(H4762=1,G4763=1),1,0)</f>
        <v/>
      </c>
      <c r="I4763">
        <f>IF(H4762=0,1,SUMPRODUCT(J4762:N4762,B4763:F4763)+O4762*(1+0.00023125256064071564))</f>
        <v/>
      </c>
      <c r="J4763">
        <f>IF(G4763=1,0.2*R4763/B4763,J4762)</f>
        <v/>
      </c>
      <c r="K4763">
        <f>IF(G4763=1,0.2*R4763/C4763,K4762)</f>
        <v/>
      </c>
      <c r="L4763">
        <f>IF(G4763=1,0.2*R4763/D4763,L4762)</f>
        <v/>
      </c>
      <c r="M4763">
        <f>IF(G4763=1,0.2*R4763/E4763,M4762)</f>
        <v/>
      </c>
      <c r="N4763">
        <f>IF(G4763=1,0.2*R4763/F4763,N4762)</f>
        <v/>
      </c>
      <c r="O4763">
        <f>IF(G4763=1,R4763*(1-1.0),IF(H4762=0,1,O4762*(1+0.00023125256064071564)))</f>
        <v/>
      </c>
      <c r="P4763">
        <f>IF(G4763=1,IF(H4762=0,1,ABS(0.2-J4762*B4763/I4763)+ABS(0.2-K4762*C4763/I4763)+ABS(0.2-L4762*D4763/I4763)+ABS(0.2-M4762*E4763/I4763)+ABS(0.2-N4762*F4763/I4763)),0)</f>
        <v/>
      </c>
      <c r="Q4763">
        <f>P4763*0.0015</f>
        <v/>
      </c>
      <c r="R4763">
        <f>I4763*(1-Q4763)</f>
        <v/>
      </c>
      <c r="S4763">
        <f>R4763/R4762-1</f>
        <v/>
      </c>
      <c r="T4763">
        <f>MAX(T4762,R4763)</f>
        <v/>
      </c>
      <c r="U4763">
        <f>R4763/T4763-1</f>
        <v/>
      </c>
      <c r="V4763" t="n">
        <v>29.21054265590441</v>
      </c>
      <c r="W4763" s="5">
        <f>R4763-V4763</f>
        <v/>
      </c>
    </row>
    <row r="4764">
      <c r="A4764" s="3" t="n">
        <v>45456</v>
      </c>
      <c r="B4764">
        <f>Prices!B4764</f>
        <v/>
      </c>
      <c r="C4764">
        <f>Prices!C4764</f>
        <v/>
      </c>
      <c r="D4764">
        <f>Prices!D4764</f>
        <v/>
      </c>
      <c r="E4764">
        <f>Prices!E4764</f>
        <v/>
      </c>
      <c r="F4764">
        <f>Prices!F4764</f>
        <v/>
      </c>
      <c r="G4764">
        <f>IF(AND(4762&gt;=16,TEXT(A4764,"yyyy-mm")&lt;&gt;TEXT(A4765,"yyyy-mm")),1,0)</f>
        <v/>
      </c>
      <c r="H4764">
        <f>IF(OR(H4763=1,G4764=1),1,0)</f>
        <v/>
      </c>
      <c r="I4764">
        <f>IF(H4763=0,1,SUMPRODUCT(J4763:N4763,B4764:F4764)+O4763*(1+0.00023125256064071564))</f>
        <v/>
      </c>
      <c r="J4764">
        <f>IF(G4764=1,0.2*R4764/B4764,J4763)</f>
        <v/>
      </c>
      <c r="K4764">
        <f>IF(G4764=1,0.2*R4764/C4764,K4763)</f>
        <v/>
      </c>
      <c r="L4764">
        <f>IF(G4764=1,0.2*R4764/D4764,L4763)</f>
        <v/>
      </c>
      <c r="M4764">
        <f>IF(G4764=1,0.2*R4764/E4764,M4763)</f>
        <v/>
      </c>
      <c r="N4764">
        <f>IF(G4764=1,0.2*R4764/F4764,N4763)</f>
        <v/>
      </c>
      <c r="O4764">
        <f>IF(G4764=1,R4764*(1-1.0),IF(H4763=0,1,O4763*(1+0.00023125256064071564)))</f>
        <v/>
      </c>
      <c r="P4764">
        <f>IF(G4764=1,IF(H4763=0,1,ABS(0.2-J4763*B4764/I4764)+ABS(0.2-K4763*C4764/I4764)+ABS(0.2-L4763*D4764/I4764)+ABS(0.2-M4763*E4764/I4764)+ABS(0.2-N4763*F4764/I4764)),0)</f>
        <v/>
      </c>
      <c r="Q4764">
        <f>P4764*0.0015</f>
        <v/>
      </c>
      <c r="R4764">
        <f>I4764*(1-Q4764)</f>
        <v/>
      </c>
      <c r="S4764">
        <f>R4764/R4763-1</f>
        <v/>
      </c>
      <c r="T4764">
        <f>MAX(T4763,R4764)</f>
        <v/>
      </c>
      <c r="U4764">
        <f>R4764/T4764-1</f>
        <v/>
      </c>
      <c r="V4764" t="n">
        <v>29.42562671618379</v>
      </c>
      <c r="W4764" s="5">
        <f>R4764-V4764</f>
        <v/>
      </c>
    </row>
    <row r="4765">
      <c r="A4765" s="3" t="n">
        <v>45457</v>
      </c>
      <c r="B4765">
        <f>Prices!B4765</f>
        <v/>
      </c>
      <c r="C4765">
        <f>Prices!C4765</f>
        <v/>
      </c>
      <c r="D4765">
        <f>Prices!D4765</f>
        <v/>
      </c>
      <c r="E4765">
        <f>Prices!E4765</f>
        <v/>
      </c>
      <c r="F4765">
        <f>Prices!F4765</f>
        <v/>
      </c>
      <c r="G4765">
        <f>IF(AND(4763&gt;=16,TEXT(A4765,"yyyy-mm")&lt;&gt;TEXT(A4766,"yyyy-mm")),1,0)</f>
        <v/>
      </c>
      <c r="H4765">
        <f>IF(OR(H4764=1,G4765=1),1,0)</f>
        <v/>
      </c>
      <c r="I4765">
        <f>IF(H4764=0,1,SUMPRODUCT(J4764:N4764,B4765:F4765)+O4764*(1+0.00023125256064071564))</f>
        <v/>
      </c>
      <c r="J4765">
        <f>IF(G4765=1,0.2*R4765/B4765,J4764)</f>
        <v/>
      </c>
      <c r="K4765">
        <f>IF(G4765=1,0.2*R4765/C4765,K4764)</f>
        <v/>
      </c>
      <c r="L4765">
        <f>IF(G4765=1,0.2*R4765/D4765,L4764)</f>
        <v/>
      </c>
      <c r="M4765">
        <f>IF(G4765=1,0.2*R4765/E4765,M4764)</f>
        <v/>
      </c>
      <c r="N4765">
        <f>IF(G4765=1,0.2*R4765/F4765,N4764)</f>
        <v/>
      </c>
      <c r="O4765">
        <f>IF(G4765=1,R4765*(1-1.0),IF(H4764=0,1,O4764*(1+0.00023125256064071564)))</f>
        <v/>
      </c>
      <c r="P4765">
        <f>IF(G4765=1,IF(H4764=0,1,ABS(0.2-J4764*B4765/I4765)+ABS(0.2-K4764*C4765/I4765)+ABS(0.2-L4764*D4765/I4765)+ABS(0.2-M4764*E4765/I4765)+ABS(0.2-N4764*F4765/I4765)),0)</f>
        <v/>
      </c>
      <c r="Q4765">
        <f>P4765*0.0015</f>
        <v/>
      </c>
      <c r="R4765">
        <f>I4765*(1-Q4765)</f>
        <v/>
      </c>
      <c r="S4765">
        <f>R4765/R4764-1</f>
        <v/>
      </c>
      <c r="T4765">
        <f>MAX(T4764,R4765)</f>
        <v/>
      </c>
      <c r="U4765">
        <f>R4765/T4765-1</f>
        <v/>
      </c>
      <c r="V4765" t="n">
        <v>29.63850257309294</v>
      </c>
      <c r="W4765" s="5">
        <f>R4765-V4765</f>
        <v/>
      </c>
    </row>
    <row r="4766">
      <c r="A4766" s="3" t="n">
        <v>45461</v>
      </c>
      <c r="B4766">
        <f>Prices!B4766</f>
        <v/>
      </c>
      <c r="C4766">
        <f>Prices!C4766</f>
        <v/>
      </c>
      <c r="D4766">
        <f>Prices!D4766</f>
        <v/>
      </c>
      <c r="E4766">
        <f>Prices!E4766</f>
        <v/>
      </c>
      <c r="F4766">
        <f>Prices!F4766</f>
        <v/>
      </c>
      <c r="G4766">
        <f>IF(AND(4764&gt;=16,TEXT(A4766,"yyyy-mm")&lt;&gt;TEXT(A4767,"yyyy-mm")),1,0)</f>
        <v/>
      </c>
      <c r="H4766">
        <f>IF(OR(H4765=1,G4766=1),1,0)</f>
        <v/>
      </c>
      <c r="I4766">
        <f>IF(H4765=0,1,SUMPRODUCT(J4765:N4765,B4766:F4766)+O4765*(1+0.00023125256064071564))</f>
        <v/>
      </c>
      <c r="J4766">
        <f>IF(G4766=1,0.2*R4766/B4766,J4765)</f>
        <v/>
      </c>
      <c r="K4766">
        <f>IF(G4766=1,0.2*R4766/C4766,K4765)</f>
        <v/>
      </c>
      <c r="L4766">
        <f>IF(G4766=1,0.2*R4766/D4766,L4765)</f>
        <v/>
      </c>
      <c r="M4766">
        <f>IF(G4766=1,0.2*R4766/E4766,M4765)</f>
        <v/>
      </c>
      <c r="N4766">
        <f>IF(G4766=1,0.2*R4766/F4766,N4765)</f>
        <v/>
      </c>
      <c r="O4766">
        <f>IF(G4766=1,R4766*(1-1.0),IF(H4765=0,1,O4765*(1+0.00023125256064071564)))</f>
        <v/>
      </c>
      <c r="P4766">
        <f>IF(G4766=1,IF(H4765=0,1,ABS(0.2-J4765*B4766/I4766)+ABS(0.2-K4765*C4766/I4766)+ABS(0.2-L4765*D4766/I4766)+ABS(0.2-M4765*E4766/I4766)+ABS(0.2-N4765*F4766/I4766)),0)</f>
        <v/>
      </c>
      <c r="Q4766">
        <f>P4766*0.0015</f>
        <v/>
      </c>
      <c r="R4766">
        <f>I4766*(1-Q4766)</f>
        <v/>
      </c>
      <c r="S4766">
        <f>R4766/R4765-1</f>
        <v/>
      </c>
      <c r="T4766">
        <f>MAX(T4765,R4766)</f>
        <v/>
      </c>
      <c r="U4766">
        <f>R4766/T4766-1</f>
        <v/>
      </c>
      <c r="V4766" t="n">
        <v>29.82223817279959</v>
      </c>
      <c r="W4766" s="5">
        <f>R4766-V4766</f>
        <v/>
      </c>
    </row>
    <row r="4767">
      <c r="A4767" s="3" t="n">
        <v>45462</v>
      </c>
      <c r="B4767">
        <f>Prices!B4767</f>
        <v/>
      </c>
      <c r="C4767">
        <f>Prices!C4767</f>
        <v/>
      </c>
      <c r="D4767">
        <f>Prices!D4767</f>
        <v/>
      </c>
      <c r="E4767">
        <f>Prices!E4767</f>
        <v/>
      </c>
      <c r="F4767">
        <f>Prices!F4767</f>
        <v/>
      </c>
      <c r="G4767">
        <f>IF(AND(4765&gt;=16,TEXT(A4767,"yyyy-mm")&lt;&gt;TEXT(A4768,"yyyy-mm")),1,0)</f>
        <v/>
      </c>
      <c r="H4767">
        <f>IF(OR(H4766=1,G4767=1),1,0)</f>
        <v/>
      </c>
      <c r="I4767">
        <f>IF(H4766=0,1,SUMPRODUCT(J4766:N4766,B4767:F4767)+O4766*(1+0.00023125256064071564))</f>
        <v/>
      </c>
      <c r="J4767">
        <f>IF(G4767=1,0.2*R4767/B4767,J4766)</f>
        <v/>
      </c>
      <c r="K4767">
        <f>IF(G4767=1,0.2*R4767/C4767,K4766)</f>
        <v/>
      </c>
      <c r="L4767">
        <f>IF(G4767=1,0.2*R4767/D4767,L4766)</f>
        <v/>
      </c>
      <c r="M4767">
        <f>IF(G4767=1,0.2*R4767/E4767,M4766)</f>
        <v/>
      </c>
      <c r="N4767">
        <f>IF(G4767=1,0.2*R4767/F4767,N4766)</f>
        <v/>
      </c>
      <c r="O4767">
        <f>IF(G4767=1,R4767*(1-1.0),IF(H4766=0,1,O4766*(1+0.00023125256064071564)))</f>
        <v/>
      </c>
      <c r="P4767">
        <f>IF(G4767=1,IF(H4766=0,1,ABS(0.2-J4766*B4767/I4767)+ABS(0.2-K4766*C4767/I4767)+ABS(0.2-L4766*D4767/I4767)+ABS(0.2-M4766*E4767/I4767)+ABS(0.2-N4766*F4767/I4767)),0)</f>
        <v/>
      </c>
      <c r="Q4767">
        <f>P4767*0.0015</f>
        <v/>
      </c>
      <c r="R4767">
        <f>I4767*(1-Q4767)</f>
        <v/>
      </c>
      <c r="S4767">
        <f>R4767/R4766-1</f>
        <v/>
      </c>
      <c r="T4767">
        <f>MAX(T4766,R4767)</f>
        <v/>
      </c>
      <c r="U4767">
        <f>R4767/T4767-1</f>
        <v/>
      </c>
      <c r="V4767" t="n">
        <v>29.52513167877199</v>
      </c>
      <c r="W4767" s="5">
        <f>R4767-V4767</f>
        <v/>
      </c>
    </row>
    <row r="4768">
      <c r="A4768" s="3" t="n">
        <v>45463</v>
      </c>
      <c r="B4768">
        <f>Prices!B4768</f>
        <v/>
      </c>
      <c r="C4768">
        <f>Prices!C4768</f>
        <v/>
      </c>
      <c r="D4768">
        <f>Prices!D4768</f>
        <v/>
      </c>
      <c r="E4768">
        <f>Prices!E4768</f>
        <v/>
      </c>
      <c r="F4768">
        <f>Prices!F4768</f>
        <v/>
      </c>
      <c r="G4768">
        <f>IF(AND(4766&gt;=16,TEXT(A4768,"yyyy-mm")&lt;&gt;TEXT(A4769,"yyyy-mm")),1,0)</f>
        <v/>
      </c>
      <c r="H4768">
        <f>IF(OR(H4767=1,G4768=1),1,0)</f>
        <v/>
      </c>
      <c r="I4768">
        <f>IF(H4767=0,1,SUMPRODUCT(J4767:N4767,B4768:F4768)+O4767*(1+0.00023125256064071564))</f>
        <v/>
      </c>
      <c r="J4768">
        <f>IF(G4768=1,0.2*R4768/B4768,J4767)</f>
        <v/>
      </c>
      <c r="K4768">
        <f>IF(G4768=1,0.2*R4768/C4768,K4767)</f>
        <v/>
      </c>
      <c r="L4768">
        <f>IF(G4768=1,0.2*R4768/D4768,L4767)</f>
        <v/>
      </c>
      <c r="M4768">
        <f>IF(G4768=1,0.2*R4768/E4768,M4767)</f>
        <v/>
      </c>
      <c r="N4768">
        <f>IF(G4768=1,0.2*R4768/F4768,N4767)</f>
        <v/>
      </c>
      <c r="O4768">
        <f>IF(G4768=1,R4768*(1-1.0),IF(H4767=0,1,O4767*(1+0.00023125256064071564)))</f>
        <v/>
      </c>
      <c r="P4768">
        <f>IF(G4768=1,IF(H4767=0,1,ABS(0.2-J4767*B4768/I4768)+ABS(0.2-K4767*C4768/I4768)+ABS(0.2-L4767*D4768/I4768)+ABS(0.2-M4767*E4768/I4768)+ABS(0.2-N4767*F4768/I4768)),0)</f>
        <v/>
      </c>
      <c r="Q4768">
        <f>P4768*0.0015</f>
        <v/>
      </c>
      <c r="R4768">
        <f>I4768*(1-Q4768)</f>
        <v/>
      </c>
      <c r="S4768">
        <f>R4768/R4767-1</f>
        <v/>
      </c>
      <c r="T4768">
        <f>MAX(T4767,R4768)</f>
        <v/>
      </c>
      <c r="U4768">
        <f>R4768/T4768-1</f>
        <v/>
      </c>
      <c r="V4768" t="n">
        <v>29.67655043469402</v>
      </c>
      <c r="W4768" s="5">
        <f>R4768-V4768</f>
        <v/>
      </c>
    </row>
    <row r="4769">
      <c r="A4769" s="3" t="n">
        <v>45464</v>
      </c>
      <c r="B4769">
        <f>Prices!B4769</f>
        <v/>
      </c>
      <c r="C4769">
        <f>Prices!C4769</f>
        <v/>
      </c>
      <c r="D4769">
        <f>Prices!D4769</f>
        <v/>
      </c>
      <c r="E4769">
        <f>Prices!E4769</f>
        <v/>
      </c>
      <c r="F4769">
        <f>Prices!F4769</f>
        <v/>
      </c>
      <c r="G4769">
        <f>IF(AND(4767&gt;=16,TEXT(A4769,"yyyy-mm")&lt;&gt;TEXT(A4770,"yyyy-mm")),1,0)</f>
        <v/>
      </c>
      <c r="H4769">
        <f>IF(OR(H4768=1,G4769=1),1,0)</f>
        <v/>
      </c>
      <c r="I4769">
        <f>IF(H4768=0,1,SUMPRODUCT(J4768:N4768,B4769:F4769)+O4768*(1+0.00023125256064071564))</f>
        <v/>
      </c>
      <c r="J4769">
        <f>IF(G4769=1,0.2*R4769/B4769,J4768)</f>
        <v/>
      </c>
      <c r="K4769">
        <f>IF(G4769=1,0.2*R4769/C4769,K4768)</f>
        <v/>
      </c>
      <c r="L4769">
        <f>IF(G4769=1,0.2*R4769/D4769,L4768)</f>
        <v/>
      </c>
      <c r="M4769">
        <f>IF(G4769=1,0.2*R4769/E4769,M4768)</f>
        <v/>
      </c>
      <c r="N4769">
        <f>IF(G4769=1,0.2*R4769/F4769,N4768)</f>
        <v/>
      </c>
      <c r="O4769">
        <f>IF(G4769=1,R4769*(1-1.0),IF(H4768=0,1,O4768*(1+0.00023125256064071564)))</f>
        <v/>
      </c>
      <c r="P4769">
        <f>IF(G4769=1,IF(H4768=0,1,ABS(0.2-J4768*B4769/I4769)+ABS(0.2-K4768*C4769/I4769)+ABS(0.2-L4768*D4769/I4769)+ABS(0.2-M4768*E4769/I4769)+ABS(0.2-N4768*F4769/I4769)),0)</f>
        <v/>
      </c>
      <c r="Q4769">
        <f>P4769*0.0015</f>
        <v/>
      </c>
      <c r="R4769">
        <f>I4769*(1-Q4769)</f>
        <v/>
      </c>
      <c r="S4769">
        <f>R4769/R4768-1</f>
        <v/>
      </c>
      <c r="T4769">
        <f>MAX(T4768,R4769)</f>
        <v/>
      </c>
      <c r="U4769">
        <f>R4769/T4769-1</f>
        <v/>
      </c>
      <c r="V4769" t="n">
        <v>29.6198329346562</v>
      </c>
      <c r="W4769" s="5">
        <f>R4769-V4769</f>
        <v/>
      </c>
    </row>
    <row r="4770">
      <c r="A4770" s="3" t="n">
        <v>45467</v>
      </c>
      <c r="B4770">
        <f>Prices!B4770</f>
        <v/>
      </c>
      <c r="C4770">
        <f>Prices!C4770</f>
        <v/>
      </c>
      <c r="D4770">
        <f>Prices!D4770</f>
        <v/>
      </c>
      <c r="E4770">
        <f>Prices!E4770</f>
        <v/>
      </c>
      <c r="F4770">
        <f>Prices!F4770</f>
        <v/>
      </c>
      <c r="G4770">
        <f>IF(AND(4768&gt;=16,TEXT(A4770,"yyyy-mm")&lt;&gt;TEXT(A4771,"yyyy-mm")),1,0)</f>
        <v/>
      </c>
      <c r="H4770">
        <f>IF(OR(H4769=1,G4770=1),1,0)</f>
        <v/>
      </c>
      <c r="I4770">
        <f>IF(H4769=0,1,SUMPRODUCT(J4769:N4769,B4770:F4770)+O4769*(1+0.00023125256064071564))</f>
        <v/>
      </c>
      <c r="J4770">
        <f>IF(G4770=1,0.2*R4770/B4770,J4769)</f>
        <v/>
      </c>
      <c r="K4770">
        <f>IF(G4770=1,0.2*R4770/C4770,K4769)</f>
        <v/>
      </c>
      <c r="L4770">
        <f>IF(G4770=1,0.2*R4770/D4770,L4769)</f>
        <v/>
      </c>
      <c r="M4770">
        <f>IF(G4770=1,0.2*R4770/E4770,M4769)</f>
        <v/>
      </c>
      <c r="N4770">
        <f>IF(G4770=1,0.2*R4770/F4770,N4769)</f>
        <v/>
      </c>
      <c r="O4770">
        <f>IF(G4770=1,R4770*(1-1.0),IF(H4769=0,1,O4769*(1+0.00023125256064071564)))</f>
        <v/>
      </c>
      <c r="P4770">
        <f>IF(G4770=1,IF(H4769=0,1,ABS(0.2-J4769*B4770/I4770)+ABS(0.2-K4769*C4770/I4770)+ABS(0.2-L4769*D4770/I4770)+ABS(0.2-M4769*E4770/I4770)+ABS(0.2-N4769*F4770/I4770)),0)</f>
        <v/>
      </c>
      <c r="Q4770">
        <f>P4770*0.0015</f>
        <v/>
      </c>
      <c r="R4770">
        <f>I4770*(1-Q4770)</f>
        <v/>
      </c>
      <c r="S4770">
        <f>R4770/R4769-1</f>
        <v/>
      </c>
      <c r="T4770">
        <f>MAX(T4769,R4770)</f>
        <v/>
      </c>
      <c r="U4770">
        <f>R4770/T4770-1</f>
        <v/>
      </c>
      <c r="V4770" t="n">
        <v>29.6961634865395</v>
      </c>
      <c r="W4770" s="5">
        <f>R4770-V4770</f>
        <v/>
      </c>
    </row>
    <row r="4771">
      <c r="A4771" s="3" t="n">
        <v>45468</v>
      </c>
      <c r="B4771">
        <f>Prices!B4771</f>
        <v/>
      </c>
      <c r="C4771">
        <f>Prices!C4771</f>
        <v/>
      </c>
      <c r="D4771">
        <f>Prices!D4771</f>
        <v/>
      </c>
      <c r="E4771">
        <f>Prices!E4771</f>
        <v/>
      </c>
      <c r="F4771">
        <f>Prices!F4771</f>
        <v/>
      </c>
      <c r="G4771">
        <f>IF(AND(4769&gt;=16,TEXT(A4771,"yyyy-mm")&lt;&gt;TEXT(A4772,"yyyy-mm")),1,0)</f>
        <v/>
      </c>
      <c r="H4771">
        <f>IF(OR(H4770=1,G4771=1),1,0)</f>
        <v/>
      </c>
      <c r="I4771">
        <f>IF(H4770=0,1,SUMPRODUCT(J4770:N4770,B4771:F4771)+O4770*(1+0.00023125256064071564))</f>
        <v/>
      </c>
      <c r="J4771">
        <f>IF(G4771=1,0.2*R4771/B4771,J4770)</f>
        <v/>
      </c>
      <c r="K4771">
        <f>IF(G4771=1,0.2*R4771/C4771,K4770)</f>
        <v/>
      </c>
      <c r="L4771">
        <f>IF(G4771=1,0.2*R4771/D4771,L4770)</f>
        <v/>
      </c>
      <c r="M4771">
        <f>IF(G4771=1,0.2*R4771/E4771,M4770)</f>
        <v/>
      </c>
      <c r="N4771">
        <f>IF(G4771=1,0.2*R4771/F4771,N4770)</f>
        <v/>
      </c>
      <c r="O4771">
        <f>IF(G4771=1,R4771*(1-1.0),IF(H4770=0,1,O4770*(1+0.00023125256064071564)))</f>
        <v/>
      </c>
      <c r="P4771">
        <f>IF(G4771=1,IF(H4770=0,1,ABS(0.2-J4770*B4771/I4771)+ABS(0.2-K4770*C4771/I4771)+ABS(0.2-L4770*D4771/I4771)+ABS(0.2-M4770*E4771/I4771)+ABS(0.2-N4770*F4771/I4771)),0)</f>
        <v/>
      </c>
      <c r="Q4771">
        <f>P4771*0.0015</f>
        <v/>
      </c>
      <c r="R4771">
        <f>I4771*(1-Q4771)</f>
        <v/>
      </c>
      <c r="S4771">
        <f>R4771/R4770-1</f>
        <v/>
      </c>
      <c r="T4771">
        <f>MAX(T4770,R4771)</f>
        <v/>
      </c>
      <c r="U4771">
        <f>R4771/T4771-1</f>
        <v/>
      </c>
      <c r="V4771" t="n">
        <v>29.59305430878168</v>
      </c>
      <c r="W4771" s="5">
        <f>R4771-V4771</f>
        <v/>
      </c>
    </row>
    <row r="4772">
      <c r="A4772" s="3" t="n">
        <v>45469</v>
      </c>
      <c r="B4772">
        <f>Prices!B4772</f>
        <v/>
      </c>
      <c r="C4772">
        <f>Prices!C4772</f>
        <v/>
      </c>
      <c r="D4772">
        <f>Prices!D4772</f>
        <v/>
      </c>
      <c r="E4772">
        <f>Prices!E4772</f>
        <v/>
      </c>
      <c r="F4772">
        <f>Prices!F4772</f>
        <v/>
      </c>
      <c r="G4772">
        <f>IF(AND(4770&gt;=16,TEXT(A4772,"yyyy-mm")&lt;&gt;TEXT(A4773,"yyyy-mm")),1,0)</f>
        <v/>
      </c>
      <c r="H4772">
        <f>IF(OR(H4771=1,G4772=1),1,0)</f>
        <v/>
      </c>
      <c r="I4772">
        <f>IF(H4771=0,1,SUMPRODUCT(J4771:N4771,B4772:F4772)+O4771*(1+0.00023125256064071564))</f>
        <v/>
      </c>
      <c r="J4772">
        <f>IF(G4772=1,0.2*R4772/B4772,J4771)</f>
        <v/>
      </c>
      <c r="K4772">
        <f>IF(G4772=1,0.2*R4772/C4772,K4771)</f>
        <v/>
      </c>
      <c r="L4772">
        <f>IF(G4772=1,0.2*R4772/D4772,L4771)</f>
        <v/>
      </c>
      <c r="M4772">
        <f>IF(G4772=1,0.2*R4772/E4772,M4771)</f>
        <v/>
      </c>
      <c r="N4772">
        <f>IF(G4772=1,0.2*R4772/F4772,N4771)</f>
        <v/>
      </c>
      <c r="O4772">
        <f>IF(G4772=1,R4772*(1-1.0),IF(H4771=0,1,O4771*(1+0.00023125256064071564)))</f>
        <v/>
      </c>
      <c r="P4772">
        <f>IF(G4772=1,IF(H4771=0,1,ABS(0.2-J4771*B4772/I4772)+ABS(0.2-K4771*C4772/I4772)+ABS(0.2-L4771*D4772/I4772)+ABS(0.2-M4771*E4772/I4772)+ABS(0.2-N4771*F4772/I4772)),0)</f>
        <v/>
      </c>
      <c r="Q4772">
        <f>P4772*0.0015</f>
        <v/>
      </c>
      <c r="R4772">
        <f>I4772*(1-Q4772)</f>
        <v/>
      </c>
      <c r="S4772">
        <f>R4772/R4771-1</f>
        <v/>
      </c>
      <c r="T4772">
        <f>MAX(T4771,R4772)</f>
        <v/>
      </c>
      <c r="U4772">
        <f>R4772/T4772-1</f>
        <v/>
      </c>
      <c r="V4772" t="n">
        <v>29.50544236623106</v>
      </c>
      <c r="W4772" s="5">
        <f>R4772-V4772</f>
        <v/>
      </c>
    </row>
    <row r="4773">
      <c r="A4773" s="3" t="n">
        <v>45470</v>
      </c>
      <c r="B4773">
        <f>Prices!B4773</f>
        <v/>
      </c>
      <c r="C4773">
        <f>Prices!C4773</f>
        <v/>
      </c>
      <c r="D4773">
        <f>Prices!D4773</f>
        <v/>
      </c>
      <c r="E4773">
        <f>Prices!E4773</f>
        <v/>
      </c>
      <c r="F4773">
        <f>Prices!F4773</f>
        <v/>
      </c>
      <c r="G4773">
        <f>IF(AND(4771&gt;=16,TEXT(A4773,"yyyy-mm")&lt;&gt;TEXT(A4774,"yyyy-mm")),1,0)</f>
        <v/>
      </c>
      <c r="H4773">
        <f>IF(OR(H4772=1,G4773=1),1,0)</f>
        <v/>
      </c>
      <c r="I4773">
        <f>IF(H4772=0,1,SUMPRODUCT(J4772:N4772,B4773:F4773)+O4772*(1+0.00023125256064071564))</f>
        <v/>
      </c>
      <c r="J4773">
        <f>IF(G4773=1,0.2*R4773/B4773,J4772)</f>
        <v/>
      </c>
      <c r="K4773">
        <f>IF(G4773=1,0.2*R4773/C4773,K4772)</f>
        <v/>
      </c>
      <c r="L4773">
        <f>IF(G4773=1,0.2*R4773/D4773,L4772)</f>
        <v/>
      </c>
      <c r="M4773">
        <f>IF(G4773=1,0.2*R4773/E4773,M4772)</f>
        <v/>
      </c>
      <c r="N4773">
        <f>IF(G4773=1,0.2*R4773/F4773,N4772)</f>
        <v/>
      </c>
      <c r="O4773">
        <f>IF(G4773=1,R4773*(1-1.0),IF(H4772=0,1,O4772*(1+0.00023125256064071564)))</f>
        <v/>
      </c>
      <c r="P4773">
        <f>IF(G4773=1,IF(H4772=0,1,ABS(0.2-J4772*B4773/I4773)+ABS(0.2-K4772*C4773/I4773)+ABS(0.2-L4772*D4773/I4773)+ABS(0.2-M4772*E4773/I4773)+ABS(0.2-N4772*F4773/I4773)),0)</f>
        <v/>
      </c>
      <c r="Q4773">
        <f>P4773*0.0015</f>
        <v/>
      </c>
      <c r="R4773">
        <f>I4773*(1-Q4773)</f>
        <v/>
      </c>
      <c r="S4773">
        <f>R4773/R4772-1</f>
        <v/>
      </c>
      <c r="T4773">
        <f>MAX(T4772,R4773)</f>
        <v/>
      </c>
      <c r="U4773">
        <f>R4773/T4773-1</f>
        <v/>
      </c>
      <c r="V4773" t="n">
        <v>29.59048162771266</v>
      </c>
      <c r="W4773" s="5">
        <f>R4773-V4773</f>
        <v/>
      </c>
    </row>
    <row r="4774">
      <c r="A4774" s="3" t="n">
        <v>45471</v>
      </c>
      <c r="B4774">
        <f>Prices!B4774</f>
        <v/>
      </c>
      <c r="C4774">
        <f>Prices!C4774</f>
        <v/>
      </c>
      <c r="D4774">
        <f>Prices!D4774</f>
        <v/>
      </c>
      <c r="E4774">
        <f>Prices!E4774</f>
        <v/>
      </c>
      <c r="F4774">
        <f>Prices!F4774</f>
        <v/>
      </c>
      <c r="G4774">
        <f>IF(AND(4772&gt;=16,TEXT(A4774,"yyyy-mm")&lt;&gt;TEXT(A4775,"yyyy-mm")),1,0)</f>
        <v/>
      </c>
      <c r="H4774">
        <f>IF(OR(H4773=1,G4774=1),1,0)</f>
        <v/>
      </c>
      <c r="I4774">
        <f>IF(H4773=0,1,SUMPRODUCT(J4773:N4773,B4774:F4774)+O4773*(1+0.00023125256064071564))</f>
        <v/>
      </c>
      <c r="J4774">
        <f>IF(G4774=1,0.2*R4774/B4774,J4773)</f>
        <v/>
      </c>
      <c r="K4774">
        <f>IF(G4774=1,0.2*R4774/C4774,K4773)</f>
        <v/>
      </c>
      <c r="L4774">
        <f>IF(G4774=1,0.2*R4774/D4774,L4773)</f>
        <v/>
      </c>
      <c r="M4774">
        <f>IF(G4774=1,0.2*R4774/E4774,M4773)</f>
        <v/>
      </c>
      <c r="N4774">
        <f>IF(G4774=1,0.2*R4774/F4774,N4773)</f>
        <v/>
      </c>
      <c r="O4774">
        <f>IF(G4774=1,R4774*(1-1.0),IF(H4773=0,1,O4773*(1+0.00023125256064071564)))</f>
        <v/>
      </c>
      <c r="P4774">
        <f>IF(G4774=1,IF(H4773=0,1,ABS(0.2-J4773*B4774/I4774)+ABS(0.2-K4773*C4774/I4774)+ABS(0.2-L4773*D4774/I4774)+ABS(0.2-M4773*E4774/I4774)+ABS(0.2-N4773*F4774/I4774)),0)</f>
        <v/>
      </c>
      <c r="Q4774">
        <f>P4774*0.0015</f>
        <v/>
      </c>
      <c r="R4774">
        <f>I4774*(1-Q4774)</f>
        <v/>
      </c>
      <c r="S4774">
        <f>R4774/R4773-1</f>
        <v/>
      </c>
      <c r="T4774">
        <f>MAX(T4773,R4774)</f>
        <v/>
      </c>
      <c r="U4774">
        <f>R4774/T4774-1</f>
        <v/>
      </c>
      <c r="V4774" t="n">
        <v>29.75609917437394</v>
      </c>
      <c r="W4774" s="5">
        <f>R4774-V4774</f>
        <v/>
      </c>
    </row>
    <row r="4775">
      <c r="A4775" s="3" t="n">
        <v>45474</v>
      </c>
      <c r="B4775">
        <f>Prices!B4775</f>
        <v/>
      </c>
      <c r="C4775">
        <f>Prices!C4775</f>
        <v/>
      </c>
      <c r="D4775">
        <f>Prices!D4775</f>
        <v/>
      </c>
      <c r="E4775">
        <f>Prices!E4775</f>
        <v/>
      </c>
      <c r="F4775">
        <f>Prices!F4775</f>
        <v/>
      </c>
      <c r="G4775">
        <f>IF(AND(4773&gt;=16,TEXT(A4775,"yyyy-mm")&lt;&gt;TEXT(A4776,"yyyy-mm")),1,0)</f>
        <v/>
      </c>
      <c r="H4775">
        <f>IF(OR(H4774=1,G4775=1),1,0)</f>
        <v/>
      </c>
      <c r="I4775">
        <f>IF(H4774=0,1,SUMPRODUCT(J4774:N4774,B4775:F4775)+O4774*(1+0.00023125256064071564))</f>
        <v/>
      </c>
      <c r="J4775">
        <f>IF(G4775=1,0.2*R4775/B4775,J4774)</f>
        <v/>
      </c>
      <c r="K4775">
        <f>IF(G4775=1,0.2*R4775/C4775,K4774)</f>
        <v/>
      </c>
      <c r="L4775">
        <f>IF(G4775=1,0.2*R4775/D4775,L4774)</f>
        <v/>
      </c>
      <c r="M4775">
        <f>IF(G4775=1,0.2*R4775/E4775,M4774)</f>
        <v/>
      </c>
      <c r="N4775">
        <f>IF(G4775=1,0.2*R4775/F4775,N4774)</f>
        <v/>
      </c>
      <c r="O4775">
        <f>IF(G4775=1,R4775*(1-1.0),IF(H4774=0,1,O4774*(1+0.00023125256064071564)))</f>
        <v/>
      </c>
      <c r="P4775">
        <f>IF(G4775=1,IF(H4774=0,1,ABS(0.2-J4774*B4775/I4775)+ABS(0.2-K4774*C4775/I4775)+ABS(0.2-L4774*D4775/I4775)+ABS(0.2-M4774*E4775/I4775)+ABS(0.2-N4774*F4775/I4775)),0)</f>
        <v/>
      </c>
      <c r="Q4775">
        <f>P4775*0.0015</f>
        <v/>
      </c>
      <c r="R4775">
        <f>I4775*(1-Q4775)</f>
        <v/>
      </c>
      <c r="S4775">
        <f>R4775/R4774-1</f>
        <v/>
      </c>
      <c r="T4775">
        <f>MAX(T4774,R4775)</f>
        <v/>
      </c>
      <c r="U4775">
        <f>R4775/T4775-1</f>
        <v/>
      </c>
      <c r="V4775" t="n">
        <v>29.96149722612399</v>
      </c>
      <c r="W4775" s="5">
        <f>R4775-V4775</f>
        <v/>
      </c>
    </row>
    <row r="4776">
      <c r="A4776" s="3" t="n">
        <v>45475</v>
      </c>
      <c r="B4776">
        <f>Prices!B4776</f>
        <v/>
      </c>
      <c r="C4776">
        <f>Prices!C4776</f>
        <v/>
      </c>
      <c r="D4776">
        <f>Prices!D4776</f>
        <v/>
      </c>
      <c r="E4776">
        <f>Prices!E4776</f>
        <v/>
      </c>
      <c r="F4776">
        <f>Prices!F4776</f>
        <v/>
      </c>
      <c r="G4776">
        <f>IF(AND(4774&gt;=16,TEXT(A4776,"yyyy-mm")&lt;&gt;TEXT(A4777,"yyyy-mm")),1,0)</f>
        <v/>
      </c>
      <c r="H4776">
        <f>IF(OR(H4775=1,G4776=1),1,0)</f>
        <v/>
      </c>
      <c r="I4776">
        <f>IF(H4775=0,1,SUMPRODUCT(J4775:N4775,B4776:F4776)+O4775*(1+0.00023125256064071564))</f>
        <v/>
      </c>
      <c r="J4776">
        <f>IF(G4776=1,0.2*R4776/B4776,J4775)</f>
        <v/>
      </c>
      <c r="K4776">
        <f>IF(G4776=1,0.2*R4776/C4776,K4775)</f>
        <v/>
      </c>
      <c r="L4776">
        <f>IF(G4776=1,0.2*R4776/D4776,L4775)</f>
        <v/>
      </c>
      <c r="M4776">
        <f>IF(G4776=1,0.2*R4776/E4776,M4775)</f>
        <v/>
      </c>
      <c r="N4776">
        <f>IF(G4776=1,0.2*R4776/F4776,N4775)</f>
        <v/>
      </c>
      <c r="O4776">
        <f>IF(G4776=1,R4776*(1-1.0),IF(H4775=0,1,O4775*(1+0.00023125256064071564)))</f>
        <v/>
      </c>
      <c r="P4776">
        <f>IF(G4776=1,IF(H4775=0,1,ABS(0.2-J4775*B4776/I4776)+ABS(0.2-K4775*C4776/I4776)+ABS(0.2-L4775*D4776/I4776)+ABS(0.2-M4775*E4776/I4776)+ABS(0.2-N4775*F4776/I4776)),0)</f>
        <v/>
      </c>
      <c r="Q4776">
        <f>P4776*0.0015</f>
        <v/>
      </c>
      <c r="R4776">
        <f>I4776*(1-Q4776)</f>
        <v/>
      </c>
      <c r="S4776">
        <f>R4776/R4775-1</f>
        <v/>
      </c>
      <c r="T4776">
        <f>MAX(T4775,R4776)</f>
        <v/>
      </c>
      <c r="U4776">
        <f>R4776/T4776-1</f>
        <v/>
      </c>
      <c r="V4776" t="n">
        <v>29.8508114527774</v>
      </c>
      <c r="W4776" s="5">
        <f>R4776-V4776</f>
        <v/>
      </c>
    </row>
    <row r="4777">
      <c r="A4777" s="3" t="n">
        <v>45476</v>
      </c>
      <c r="B4777">
        <f>Prices!B4777</f>
        <v/>
      </c>
      <c r="C4777">
        <f>Prices!C4777</f>
        <v/>
      </c>
      <c r="D4777">
        <f>Prices!D4777</f>
        <v/>
      </c>
      <c r="E4777">
        <f>Prices!E4777</f>
        <v/>
      </c>
      <c r="F4777">
        <f>Prices!F4777</f>
        <v/>
      </c>
      <c r="G4777">
        <f>IF(AND(4775&gt;=16,TEXT(A4777,"yyyy-mm")&lt;&gt;TEXT(A4778,"yyyy-mm")),1,0)</f>
        <v/>
      </c>
      <c r="H4777">
        <f>IF(OR(H4776=1,G4777=1),1,0)</f>
        <v/>
      </c>
      <c r="I4777">
        <f>IF(H4776=0,1,SUMPRODUCT(J4776:N4776,B4777:F4777)+O4776*(1+0.00023125256064071564))</f>
        <v/>
      </c>
      <c r="J4777">
        <f>IF(G4777=1,0.2*R4777/B4777,J4776)</f>
        <v/>
      </c>
      <c r="K4777">
        <f>IF(G4777=1,0.2*R4777/C4777,K4776)</f>
        <v/>
      </c>
      <c r="L4777">
        <f>IF(G4777=1,0.2*R4777/D4777,L4776)</f>
        <v/>
      </c>
      <c r="M4777">
        <f>IF(G4777=1,0.2*R4777/E4777,M4776)</f>
        <v/>
      </c>
      <c r="N4777">
        <f>IF(G4777=1,0.2*R4777/F4777,N4776)</f>
        <v/>
      </c>
      <c r="O4777">
        <f>IF(G4777=1,R4777*(1-1.0),IF(H4776=0,1,O4776*(1+0.00023125256064071564)))</f>
        <v/>
      </c>
      <c r="P4777">
        <f>IF(G4777=1,IF(H4776=0,1,ABS(0.2-J4776*B4777/I4777)+ABS(0.2-K4776*C4777/I4777)+ABS(0.2-L4776*D4777/I4777)+ABS(0.2-M4776*E4777/I4777)+ABS(0.2-N4776*F4777/I4777)),0)</f>
        <v/>
      </c>
      <c r="Q4777">
        <f>P4777*0.0015</f>
        <v/>
      </c>
      <c r="R4777">
        <f>I4777*(1-Q4777)</f>
        <v/>
      </c>
      <c r="S4777">
        <f>R4777/R4776-1</f>
        <v/>
      </c>
      <c r="T4777">
        <f>MAX(T4776,R4777)</f>
        <v/>
      </c>
      <c r="U4777">
        <f>R4777/T4777-1</f>
        <v/>
      </c>
      <c r="V4777" t="n">
        <v>30.22705156579075</v>
      </c>
      <c r="W4777" s="5">
        <f>R4777-V4777</f>
        <v/>
      </c>
    </row>
    <row r="4778">
      <c r="A4778" s="3" t="n">
        <v>45477</v>
      </c>
      <c r="B4778">
        <f>Prices!B4778</f>
        <v/>
      </c>
      <c r="C4778">
        <f>Prices!C4778</f>
        <v/>
      </c>
      <c r="D4778">
        <f>Prices!D4778</f>
        <v/>
      </c>
      <c r="E4778">
        <f>Prices!E4778</f>
        <v/>
      </c>
      <c r="F4778">
        <f>Prices!F4778</f>
        <v/>
      </c>
      <c r="G4778">
        <f>IF(AND(4776&gt;=16,TEXT(A4778,"yyyy-mm")&lt;&gt;TEXT(A4779,"yyyy-mm")),1,0)</f>
        <v/>
      </c>
      <c r="H4778">
        <f>IF(OR(H4777=1,G4778=1),1,0)</f>
        <v/>
      </c>
      <c r="I4778">
        <f>IF(H4777=0,1,SUMPRODUCT(J4777:N4777,B4778:F4778)+O4777*(1+0.00023125256064071564))</f>
        <v/>
      </c>
      <c r="J4778">
        <f>IF(G4778=1,0.2*R4778/B4778,J4777)</f>
        <v/>
      </c>
      <c r="K4778">
        <f>IF(G4778=1,0.2*R4778/C4778,K4777)</f>
        <v/>
      </c>
      <c r="L4778">
        <f>IF(G4778=1,0.2*R4778/D4778,L4777)</f>
        <v/>
      </c>
      <c r="M4778">
        <f>IF(G4778=1,0.2*R4778/E4778,M4777)</f>
        <v/>
      </c>
      <c r="N4778">
        <f>IF(G4778=1,0.2*R4778/F4778,N4777)</f>
        <v/>
      </c>
      <c r="O4778">
        <f>IF(G4778=1,R4778*(1-1.0),IF(H4777=0,1,O4777*(1+0.00023125256064071564)))</f>
        <v/>
      </c>
      <c r="P4778">
        <f>IF(G4778=1,IF(H4777=0,1,ABS(0.2-J4777*B4778/I4778)+ABS(0.2-K4777*C4778/I4778)+ABS(0.2-L4777*D4778/I4778)+ABS(0.2-M4777*E4778/I4778)+ABS(0.2-N4777*F4778/I4778)),0)</f>
        <v/>
      </c>
      <c r="Q4778">
        <f>P4778*0.0015</f>
        <v/>
      </c>
      <c r="R4778">
        <f>I4778*(1-Q4778)</f>
        <v/>
      </c>
      <c r="S4778">
        <f>R4778/R4777-1</f>
        <v/>
      </c>
      <c r="T4778">
        <f>MAX(T4777,R4778)</f>
        <v/>
      </c>
      <c r="U4778">
        <f>R4778/T4778-1</f>
        <v/>
      </c>
      <c r="V4778" t="n">
        <v>30.45054293794514</v>
      </c>
      <c r="W4778" s="5">
        <f>R4778-V4778</f>
        <v/>
      </c>
    </row>
    <row r="4779">
      <c r="A4779" s="3" t="n">
        <v>45478</v>
      </c>
      <c r="B4779">
        <f>Prices!B4779</f>
        <v/>
      </c>
      <c r="C4779">
        <f>Prices!C4779</f>
        <v/>
      </c>
      <c r="D4779">
        <f>Prices!D4779</f>
        <v/>
      </c>
      <c r="E4779">
        <f>Prices!E4779</f>
        <v/>
      </c>
      <c r="F4779">
        <f>Prices!F4779</f>
        <v/>
      </c>
      <c r="G4779">
        <f>IF(AND(4777&gt;=16,TEXT(A4779,"yyyy-mm")&lt;&gt;TEXT(A4780,"yyyy-mm")),1,0)</f>
        <v/>
      </c>
      <c r="H4779">
        <f>IF(OR(H4778=1,G4779=1),1,0)</f>
        <v/>
      </c>
      <c r="I4779">
        <f>IF(H4778=0,1,SUMPRODUCT(J4778:N4778,B4779:F4779)+O4778*(1+0.00023125256064071564))</f>
        <v/>
      </c>
      <c r="J4779">
        <f>IF(G4779=1,0.2*R4779/B4779,J4778)</f>
        <v/>
      </c>
      <c r="K4779">
        <f>IF(G4779=1,0.2*R4779/C4779,K4778)</f>
        <v/>
      </c>
      <c r="L4779">
        <f>IF(G4779=1,0.2*R4779/D4779,L4778)</f>
        <v/>
      </c>
      <c r="M4779">
        <f>IF(G4779=1,0.2*R4779/E4779,M4778)</f>
        <v/>
      </c>
      <c r="N4779">
        <f>IF(G4779=1,0.2*R4779/F4779,N4778)</f>
        <v/>
      </c>
      <c r="O4779">
        <f>IF(G4779=1,R4779*(1-1.0),IF(H4778=0,1,O4778*(1+0.00023125256064071564)))</f>
        <v/>
      </c>
      <c r="P4779">
        <f>IF(G4779=1,IF(H4778=0,1,ABS(0.2-J4778*B4779/I4779)+ABS(0.2-K4778*C4779/I4779)+ABS(0.2-L4778*D4779/I4779)+ABS(0.2-M4778*E4779/I4779)+ABS(0.2-N4778*F4779/I4779)),0)</f>
        <v/>
      </c>
      <c r="Q4779">
        <f>P4779*0.0015</f>
        <v/>
      </c>
      <c r="R4779">
        <f>I4779*(1-Q4779)</f>
        <v/>
      </c>
      <c r="S4779">
        <f>R4779/R4778-1</f>
        <v/>
      </c>
      <c r="T4779">
        <f>MAX(T4778,R4779)</f>
        <v/>
      </c>
      <c r="U4779">
        <f>R4779/T4779-1</f>
        <v/>
      </c>
      <c r="V4779" t="n">
        <v>30.74874209645981</v>
      </c>
      <c r="W4779" s="5">
        <f>R4779-V4779</f>
        <v/>
      </c>
    </row>
    <row r="4780">
      <c r="A4780" s="3" t="n">
        <v>45481</v>
      </c>
      <c r="B4780">
        <f>Prices!B4780</f>
        <v/>
      </c>
      <c r="C4780">
        <f>Prices!C4780</f>
        <v/>
      </c>
      <c r="D4780">
        <f>Prices!D4780</f>
        <v/>
      </c>
      <c r="E4780">
        <f>Prices!E4780</f>
        <v/>
      </c>
      <c r="F4780">
        <f>Prices!F4780</f>
        <v/>
      </c>
      <c r="G4780">
        <f>IF(AND(4778&gt;=16,TEXT(A4780,"yyyy-mm")&lt;&gt;TEXT(A4781,"yyyy-mm")),1,0)</f>
        <v/>
      </c>
      <c r="H4780">
        <f>IF(OR(H4779=1,G4780=1),1,0)</f>
        <v/>
      </c>
      <c r="I4780">
        <f>IF(H4779=0,1,SUMPRODUCT(J4779:N4779,B4780:F4780)+O4779*(1+0.00023125256064071564))</f>
        <v/>
      </c>
      <c r="J4780">
        <f>IF(G4780=1,0.2*R4780/B4780,J4779)</f>
        <v/>
      </c>
      <c r="K4780">
        <f>IF(G4780=1,0.2*R4780/C4780,K4779)</f>
        <v/>
      </c>
      <c r="L4780">
        <f>IF(G4780=1,0.2*R4780/D4780,L4779)</f>
        <v/>
      </c>
      <c r="M4780">
        <f>IF(G4780=1,0.2*R4780/E4780,M4779)</f>
        <v/>
      </c>
      <c r="N4780">
        <f>IF(G4780=1,0.2*R4780/F4780,N4779)</f>
        <v/>
      </c>
      <c r="O4780">
        <f>IF(G4780=1,R4780*(1-1.0),IF(H4779=0,1,O4779*(1+0.00023125256064071564)))</f>
        <v/>
      </c>
      <c r="P4780">
        <f>IF(G4780=1,IF(H4779=0,1,ABS(0.2-J4779*B4780/I4780)+ABS(0.2-K4779*C4780/I4780)+ABS(0.2-L4779*D4780/I4780)+ABS(0.2-M4779*E4780/I4780)+ABS(0.2-N4779*F4780/I4780)),0)</f>
        <v/>
      </c>
      <c r="Q4780">
        <f>P4780*0.0015</f>
        <v/>
      </c>
      <c r="R4780">
        <f>I4780*(1-Q4780)</f>
        <v/>
      </c>
      <c r="S4780">
        <f>R4780/R4779-1</f>
        <v/>
      </c>
      <c r="T4780">
        <f>MAX(T4779,R4780)</f>
        <v/>
      </c>
      <c r="U4780">
        <f>R4780/T4780-1</f>
        <v/>
      </c>
      <c r="V4780" t="n">
        <v>30.83416879123718</v>
      </c>
      <c r="W4780" s="5">
        <f>R4780-V4780</f>
        <v/>
      </c>
    </row>
    <row r="4781">
      <c r="A4781" s="3" t="n">
        <v>45482</v>
      </c>
      <c r="B4781">
        <f>Prices!B4781</f>
        <v/>
      </c>
      <c r="C4781">
        <f>Prices!C4781</f>
        <v/>
      </c>
      <c r="D4781">
        <f>Prices!D4781</f>
        <v/>
      </c>
      <c r="E4781">
        <f>Prices!E4781</f>
        <v/>
      </c>
      <c r="F4781">
        <f>Prices!F4781</f>
        <v/>
      </c>
      <c r="G4781">
        <f>IF(AND(4779&gt;=16,TEXT(A4781,"yyyy-mm")&lt;&gt;TEXT(A4782,"yyyy-mm")),1,0)</f>
        <v/>
      </c>
      <c r="H4781">
        <f>IF(OR(H4780=1,G4781=1),1,0)</f>
        <v/>
      </c>
      <c r="I4781">
        <f>IF(H4780=0,1,SUMPRODUCT(J4780:N4780,B4781:F4781)+O4780*(1+0.00023125256064071564))</f>
        <v/>
      </c>
      <c r="J4781">
        <f>IF(G4781=1,0.2*R4781/B4781,J4780)</f>
        <v/>
      </c>
      <c r="K4781">
        <f>IF(G4781=1,0.2*R4781/C4781,K4780)</f>
        <v/>
      </c>
      <c r="L4781">
        <f>IF(G4781=1,0.2*R4781/D4781,L4780)</f>
        <v/>
      </c>
      <c r="M4781">
        <f>IF(G4781=1,0.2*R4781/E4781,M4780)</f>
        <v/>
      </c>
      <c r="N4781">
        <f>IF(G4781=1,0.2*R4781/F4781,N4780)</f>
        <v/>
      </c>
      <c r="O4781">
        <f>IF(G4781=1,R4781*(1-1.0),IF(H4780=0,1,O4780*(1+0.00023125256064071564)))</f>
        <v/>
      </c>
      <c r="P4781">
        <f>IF(G4781=1,IF(H4780=0,1,ABS(0.2-J4780*B4781/I4781)+ABS(0.2-K4780*C4781/I4781)+ABS(0.2-L4780*D4781/I4781)+ABS(0.2-M4780*E4781/I4781)+ABS(0.2-N4780*F4781/I4781)),0)</f>
        <v/>
      </c>
      <c r="Q4781">
        <f>P4781*0.0015</f>
        <v/>
      </c>
      <c r="R4781">
        <f>I4781*(1-Q4781)</f>
        <v/>
      </c>
      <c r="S4781">
        <f>R4781/R4780-1</f>
        <v/>
      </c>
      <c r="T4781">
        <f>MAX(T4780,R4781)</f>
        <v/>
      </c>
      <c r="U4781">
        <f>R4781/T4781-1</f>
        <v/>
      </c>
      <c r="V4781" t="n">
        <v>30.92887049724098</v>
      </c>
      <c r="W4781" s="5">
        <f>R4781-V4781</f>
        <v/>
      </c>
    </row>
    <row r="4782">
      <c r="A4782" s="3" t="n">
        <v>45483</v>
      </c>
      <c r="B4782">
        <f>Prices!B4782</f>
        <v/>
      </c>
      <c r="C4782">
        <f>Prices!C4782</f>
        <v/>
      </c>
      <c r="D4782">
        <f>Prices!D4782</f>
        <v/>
      </c>
      <c r="E4782">
        <f>Prices!E4782</f>
        <v/>
      </c>
      <c r="F4782">
        <f>Prices!F4782</f>
        <v/>
      </c>
      <c r="G4782">
        <f>IF(AND(4780&gt;=16,TEXT(A4782,"yyyy-mm")&lt;&gt;TEXT(A4783,"yyyy-mm")),1,0)</f>
        <v/>
      </c>
      <c r="H4782">
        <f>IF(OR(H4781=1,G4782=1),1,0)</f>
        <v/>
      </c>
      <c r="I4782">
        <f>IF(H4781=0,1,SUMPRODUCT(J4781:N4781,B4782:F4782)+O4781*(1+0.00023125256064071564))</f>
        <v/>
      </c>
      <c r="J4782">
        <f>IF(G4782=1,0.2*R4782/B4782,J4781)</f>
        <v/>
      </c>
      <c r="K4782">
        <f>IF(G4782=1,0.2*R4782/C4782,K4781)</f>
        <v/>
      </c>
      <c r="L4782">
        <f>IF(G4782=1,0.2*R4782/D4782,L4781)</f>
        <v/>
      </c>
      <c r="M4782">
        <f>IF(G4782=1,0.2*R4782/E4782,M4781)</f>
        <v/>
      </c>
      <c r="N4782">
        <f>IF(G4782=1,0.2*R4782/F4782,N4781)</f>
        <v/>
      </c>
      <c r="O4782">
        <f>IF(G4782=1,R4782*(1-1.0),IF(H4781=0,1,O4781*(1+0.00023125256064071564)))</f>
        <v/>
      </c>
      <c r="P4782">
        <f>IF(G4782=1,IF(H4781=0,1,ABS(0.2-J4781*B4782/I4782)+ABS(0.2-K4781*C4782/I4782)+ABS(0.2-L4781*D4782/I4782)+ABS(0.2-M4781*E4782/I4782)+ABS(0.2-N4781*F4782/I4782)),0)</f>
        <v/>
      </c>
      <c r="Q4782">
        <f>P4782*0.0015</f>
        <v/>
      </c>
      <c r="R4782">
        <f>I4782*(1-Q4782)</f>
        <v/>
      </c>
      <c r="S4782">
        <f>R4782/R4781-1</f>
        <v/>
      </c>
      <c r="T4782">
        <f>MAX(T4781,R4782)</f>
        <v/>
      </c>
      <c r="U4782">
        <f>R4782/T4782-1</f>
        <v/>
      </c>
      <c r="V4782" t="n">
        <v>30.86894372534553</v>
      </c>
      <c r="W4782" s="5">
        <f>R4782-V4782</f>
        <v/>
      </c>
    </row>
    <row r="4783">
      <c r="A4783" s="3" t="n">
        <v>45484</v>
      </c>
      <c r="B4783">
        <f>Prices!B4783</f>
        <v/>
      </c>
      <c r="C4783">
        <f>Prices!C4783</f>
        <v/>
      </c>
      <c r="D4783">
        <f>Prices!D4783</f>
        <v/>
      </c>
      <c r="E4783">
        <f>Prices!E4783</f>
        <v/>
      </c>
      <c r="F4783">
        <f>Prices!F4783</f>
        <v/>
      </c>
      <c r="G4783">
        <f>IF(AND(4781&gt;=16,TEXT(A4783,"yyyy-mm")&lt;&gt;TEXT(A4784,"yyyy-mm")),1,0)</f>
        <v/>
      </c>
      <c r="H4783">
        <f>IF(OR(H4782=1,G4783=1),1,0)</f>
        <v/>
      </c>
      <c r="I4783">
        <f>IF(H4782=0,1,SUMPRODUCT(J4782:N4782,B4783:F4783)+O4782*(1+0.00023125256064071564))</f>
        <v/>
      </c>
      <c r="J4783">
        <f>IF(G4783=1,0.2*R4783/B4783,J4782)</f>
        <v/>
      </c>
      <c r="K4783">
        <f>IF(G4783=1,0.2*R4783/C4783,K4782)</f>
        <v/>
      </c>
      <c r="L4783">
        <f>IF(G4783=1,0.2*R4783/D4783,L4782)</f>
        <v/>
      </c>
      <c r="M4783">
        <f>IF(G4783=1,0.2*R4783/E4783,M4782)</f>
        <v/>
      </c>
      <c r="N4783">
        <f>IF(G4783=1,0.2*R4783/F4783,N4782)</f>
        <v/>
      </c>
      <c r="O4783">
        <f>IF(G4783=1,R4783*(1-1.0),IF(H4782=0,1,O4782*(1+0.00023125256064071564)))</f>
        <v/>
      </c>
      <c r="P4783">
        <f>IF(G4783=1,IF(H4782=0,1,ABS(0.2-J4782*B4783/I4783)+ABS(0.2-K4782*C4783/I4783)+ABS(0.2-L4782*D4783/I4783)+ABS(0.2-M4782*E4783/I4783)+ABS(0.2-N4782*F4783/I4783)),0)</f>
        <v/>
      </c>
      <c r="Q4783">
        <f>P4783*0.0015</f>
        <v/>
      </c>
      <c r="R4783">
        <f>I4783*(1-Q4783)</f>
        <v/>
      </c>
      <c r="S4783">
        <f>R4783/R4782-1</f>
        <v/>
      </c>
      <c r="T4783">
        <f>MAX(T4782,R4783)</f>
        <v/>
      </c>
      <c r="U4783">
        <f>R4783/T4783-1</f>
        <v/>
      </c>
      <c r="V4783" t="n">
        <v>31.04802333258819</v>
      </c>
      <c r="W4783" s="5">
        <f>R4783-V4783</f>
        <v/>
      </c>
    </row>
    <row r="4784">
      <c r="A4784" s="3" t="n">
        <v>45485</v>
      </c>
      <c r="B4784">
        <f>Prices!B4784</f>
        <v/>
      </c>
      <c r="C4784">
        <f>Prices!C4784</f>
        <v/>
      </c>
      <c r="D4784">
        <f>Prices!D4784</f>
        <v/>
      </c>
      <c r="E4784">
        <f>Prices!E4784</f>
        <v/>
      </c>
      <c r="F4784">
        <f>Prices!F4784</f>
        <v/>
      </c>
      <c r="G4784">
        <f>IF(AND(4782&gt;=16,TEXT(A4784,"yyyy-mm")&lt;&gt;TEXT(A4785,"yyyy-mm")),1,0)</f>
        <v/>
      </c>
      <c r="H4784">
        <f>IF(OR(H4783=1,G4784=1),1,0)</f>
        <v/>
      </c>
      <c r="I4784">
        <f>IF(H4783=0,1,SUMPRODUCT(J4783:N4783,B4784:F4784)+O4783*(1+0.00023125256064071564))</f>
        <v/>
      </c>
      <c r="J4784">
        <f>IF(G4784=1,0.2*R4784/B4784,J4783)</f>
        <v/>
      </c>
      <c r="K4784">
        <f>IF(G4784=1,0.2*R4784/C4784,K4783)</f>
        <v/>
      </c>
      <c r="L4784">
        <f>IF(G4784=1,0.2*R4784/D4784,L4783)</f>
        <v/>
      </c>
      <c r="M4784">
        <f>IF(G4784=1,0.2*R4784/E4784,M4783)</f>
        <v/>
      </c>
      <c r="N4784">
        <f>IF(G4784=1,0.2*R4784/F4784,N4783)</f>
        <v/>
      </c>
      <c r="O4784">
        <f>IF(G4784=1,R4784*(1-1.0),IF(H4783=0,1,O4783*(1+0.00023125256064071564)))</f>
        <v/>
      </c>
      <c r="P4784">
        <f>IF(G4784=1,IF(H4783=0,1,ABS(0.2-J4783*B4784/I4784)+ABS(0.2-K4783*C4784/I4784)+ABS(0.2-L4783*D4784/I4784)+ABS(0.2-M4783*E4784/I4784)+ABS(0.2-N4783*F4784/I4784)),0)</f>
        <v/>
      </c>
      <c r="Q4784">
        <f>P4784*0.0015</f>
        <v/>
      </c>
      <c r="R4784">
        <f>I4784*(1-Q4784)</f>
        <v/>
      </c>
      <c r="S4784">
        <f>R4784/R4783-1</f>
        <v/>
      </c>
      <c r="T4784">
        <f>MAX(T4783,R4784)</f>
        <v/>
      </c>
      <c r="U4784">
        <f>R4784/T4784-1</f>
        <v/>
      </c>
      <c r="V4784" t="n">
        <v>31.08381187979392</v>
      </c>
      <c r="W4784" s="5">
        <f>R4784-V4784</f>
        <v/>
      </c>
    </row>
    <row r="4785">
      <c r="A4785" s="3" t="n">
        <v>45488</v>
      </c>
      <c r="B4785">
        <f>Prices!B4785</f>
        <v/>
      </c>
      <c r="C4785">
        <f>Prices!C4785</f>
        <v/>
      </c>
      <c r="D4785">
        <f>Prices!D4785</f>
        <v/>
      </c>
      <c r="E4785">
        <f>Prices!E4785</f>
        <v/>
      </c>
      <c r="F4785">
        <f>Prices!F4785</f>
        <v/>
      </c>
      <c r="G4785">
        <f>IF(AND(4783&gt;=16,TEXT(A4785,"yyyy-mm")&lt;&gt;TEXT(A4786,"yyyy-mm")),1,0)</f>
        <v/>
      </c>
      <c r="H4785">
        <f>IF(OR(H4784=1,G4785=1),1,0)</f>
        <v/>
      </c>
      <c r="I4785">
        <f>IF(H4784=0,1,SUMPRODUCT(J4784:N4784,B4785:F4785)+O4784*(1+0.00023125256064071564))</f>
        <v/>
      </c>
      <c r="J4785">
        <f>IF(G4785=1,0.2*R4785/B4785,J4784)</f>
        <v/>
      </c>
      <c r="K4785">
        <f>IF(G4785=1,0.2*R4785/C4785,K4784)</f>
        <v/>
      </c>
      <c r="L4785">
        <f>IF(G4785=1,0.2*R4785/D4785,L4784)</f>
        <v/>
      </c>
      <c r="M4785">
        <f>IF(G4785=1,0.2*R4785/E4785,M4784)</f>
        <v/>
      </c>
      <c r="N4785">
        <f>IF(G4785=1,0.2*R4785/F4785,N4784)</f>
        <v/>
      </c>
      <c r="O4785">
        <f>IF(G4785=1,R4785*(1-1.0),IF(H4784=0,1,O4784*(1+0.00023125256064071564)))</f>
        <v/>
      </c>
      <c r="P4785">
        <f>IF(G4785=1,IF(H4784=0,1,ABS(0.2-J4784*B4785/I4785)+ABS(0.2-K4784*C4785/I4785)+ABS(0.2-L4784*D4785/I4785)+ABS(0.2-M4784*E4785/I4785)+ABS(0.2-N4784*F4785/I4785)),0)</f>
        <v/>
      </c>
      <c r="Q4785">
        <f>P4785*0.0015</f>
        <v/>
      </c>
      <c r="R4785">
        <f>I4785*(1-Q4785)</f>
        <v/>
      </c>
      <c r="S4785">
        <f>R4785/R4784-1</f>
        <v/>
      </c>
      <c r="T4785">
        <f>MAX(T4784,R4785)</f>
        <v/>
      </c>
      <c r="U4785">
        <f>R4785/T4785-1</f>
        <v/>
      </c>
      <c r="V4785" t="n">
        <v>31.32613387860586</v>
      </c>
      <c r="W4785" s="5">
        <f>R4785-V4785</f>
        <v/>
      </c>
    </row>
    <row r="4786">
      <c r="A4786" s="3" t="n">
        <v>45489</v>
      </c>
      <c r="B4786">
        <f>Prices!B4786</f>
        <v/>
      </c>
      <c r="C4786">
        <f>Prices!C4786</f>
        <v/>
      </c>
      <c r="D4786">
        <f>Prices!D4786</f>
        <v/>
      </c>
      <c r="E4786">
        <f>Prices!E4786</f>
        <v/>
      </c>
      <c r="F4786">
        <f>Prices!F4786</f>
        <v/>
      </c>
      <c r="G4786">
        <f>IF(AND(4784&gt;=16,TEXT(A4786,"yyyy-mm")&lt;&gt;TEXT(A4787,"yyyy-mm")),1,0)</f>
        <v/>
      </c>
      <c r="H4786">
        <f>IF(OR(H4785=1,G4786=1),1,0)</f>
        <v/>
      </c>
      <c r="I4786">
        <f>IF(H4785=0,1,SUMPRODUCT(J4785:N4785,B4786:F4786)+O4785*(1+0.00023125256064071564))</f>
        <v/>
      </c>
      <c r="J4786">
        <f>IF(G4786=1,0.2*R4786/B4786,J4785)</f>
        <v/>
      </c>
      <c r="K4786">
        <f>IF(G4786=1,0.2*R4786/C4786,K4785)</f>
        <v/>
      </c>
      <c r="L4786">
        <f>IF(G4786=1,0.2*R4786/D4786,L4785)</f>
        <v/>
      </c>
      <c r="M4786">
        <f>IF(G4786=1,0.2*R4786/E4786,M4785)</f>
        <v/>
      </c>
      <c r="N4786">
        <f>IF(G4786=1,0.2*R4786/F4786,N4785)</f>
        <v/>
      </c>
      <c r="O4786">
        <f>IF(G4786=1,R4786*(1-1.0),IF(H4785=0,1,O4785*(1+0.00023125256064071564)))</f>
        <v/>
      </c>
      <c r="P4786">
        <f>IF(G4786=1,IF(H4785=0,1,ABS(0.2-J4785*B4786/I4786)+ABS(0.2-K4785*C4786/I4786)+ABS(0.2-L4785*D4786/I4786)+ABS(0.2-M4785*E4786/I4786)+ABS(0.2-N4785*F4786/I4786)),0)</f>
        <v/>
      </c>
      <c r="Q4786">
        <f>P4786*0.0015</f>
        <v/>
      </c>
      <c r="R4786">
        <f>I4786*(1-Q4786)</f>
        <v/>
      </c>
      <c r="S4786">
        <f>R4786/R4785-1</f>
        <v/>
      </c>
      <c r="T4786">
        <f>MAX(T4785,R4786)</f>
        <v/>
      </c>
      <c r="U4786">
        <f>R4786/T4786-1</f>
        <v/>
      </c>
      <c r="V4786" t="n">
        <v>31.25421192490332</v>
      </c>
      <c r="W4786" s="5">
        <f>R4786-V4786</f>
        <v/>
      </c>
    </row>
    <row r="4787">
      <c r="A4787" s="3" t="n">
        <v>45491</v>
      </c>
      <c r="B4787">
        <f>Prices!B4787</f>
        <v/>
      </c>
      <c r="C4787">
        <f>Prices!C4787</f>
        <v/>
      </c>
      <c r="D4787">
        <f>Prices!D4787</f>
        <v/>
      </c>
      <c r="E4787">
        <f>Prices!E4787</f>
        <v/>
      </c>
      <c r="F4787">
        <f>Prices!F4787</f>
        <v/>
      </c>
      <c r="G4787">
        <f>IF(AND(4785&gt;=16,TEXT(A4787,"yyyy-mm")&lt;&gt;TEXT(A4788,"yyyy-mm")),1,0)</f>
        <v/>
      </c>
      <c r="H4787">
        <f>IF(OR(H4786=1,G4787=1),1,0)</f>
        <v/>
      </c>
      <c r="I4787">
        <f>IF(H4786=0,1,SUMPRODUCT(J4786:N4786,B4787:F4787)+O4786*(1+0.00023125256064071564))</f>
        <v/>
      </c>
      <c r="J4787">
        <f>IF(G4787=1,0.2*R4787/B4787,J4786)</f>
        <v/>
      </c>
      <c r="K4787">
        <f>IF(G4787=1,0.2*R4787/C4787,K4786)</f>
        <v/>
      </c>
      <c r="L4787">
        <f>IF(G4787=1,0.2*R4787/D4787,L4786)</f>
        <v/>
      </c>
      <c r="M4787">
        <f>IF(G4787=1,0.2*R4787/E4787,M4786)</f>
        <v/>
      </c>
      <c r="N4787">
        <f>IF(G4787=1,0.2*R4787/F4787,N4786)</f>
        <v/>
      </c>
      <c r="O4787">
        <f>IF(G4787=1,R4787*(1-1.0),IF(H4786=0,1,O4786*(1+0.00023125256064071564)))</f>
        <v/>
      </c>
      <c r="P4787">
        <f>IF(G4787=1,IF(H4786=0,1,ABS(0.2-J4786*B4787/I4787)+ABS(0.2-K4786*C4787/I4787)+ABS(0.2-L4786*D4787/I4787)+ABS(0.2-M4786*E4787/I4787)+ABS(0.2-N4786*F4787/I4787)),0)</f>
        <v/>
      </c>
      <c r="Q4787">
        <f>P4787*0.0015</f>
        <v/>
      </c>
      <c r="R4787">
        <f>I4787*(1-Q4787)</f>
        <v/>
      </c>
      <c r="S4787">
        <f>R4787/R4786-1</f>
        <v/>
      </c>
      <c r="T4787">
        <f>MAX(T4786,R4787)</f>
        <v/>
      </c>
      <c r="U4787">
        <f>R4787/T4787-1</f>
        <v/>
      </c>
      <c r="V4787" t="n">
        <v>30.89827626706747</v>
      </c>
      <c r="W4787" s="5">
        <f>R4787-V4787</f>
        <v/>
      </c>
    </row>
    <row r="4788">
      <c r="A4788" s="3" t="n">
        <v>45492</v>
      </c>
      <c r="B4788">
        <f>Prices!B4788</f>
        <v/>
      </c>
      <c r="C4788">
        <f>Prices!C4788</f>
        <v/>
      </c>
      <c r="D4788">
        <f>Prices!D4788</f>
        <v/>
      </c>
      <c r="E4788">
        <f>Prices!E4788</f>
        <v/>
      </c>
      <c r="F4788">
        <f>Prices!F4788</f>
        <v/>
      </c>
      <c r="G4788">
        <f>IF(AND(4786&gt;=16,TEXT(A4788,"yyyy-mm")&lt;&gt;TEXT(A4789,"yyyy-mm")),1,0)</f>
        <v/>
      </c>
      <c r="H4788">
        <f>IF(OR(H4787=1,G4788=1),1,0)</f>
        <v/>
      </c>
      <c r="I4788">
        <f>IF(H4787=0,1,SUMPRODUCT(J4787:N4787,B4788:F4788)+O4787*(1+0.00023125256064071564))</f>
        <v/>
      </c>
      <c r="J4788">
        <f>IF(G4788=1,0.2*R4788/B4788,J4787)</f>
        <v/>
      </c>
      <c r="K4788">
        <f>IF(G4788=1,0.2*R4788/C4788,K4787)</f>
        <v/>
      </c>
      <c r="L4788">
        <f>IF(G4788=1,0.2*R4788/D4788,L4787)</f>
        <v/>
      </c>
      <c r="M4788">
        <f>IF(G4788=1,0.2*R4788/E4788,M4787)</f>
        <v/>
      </c>
      <c r="N4788">
        <f>IF(G4788=1,0.2*R4788/F4788,N4787)</f>
        <v/>
      </c>
      <c r="O4788">
        <f>IF(G4788=1,R4788*(1-1.0),IF(H4787=0,1,O4787*(1+0.00023125256064071564)))</f>
        <v/>
      </c>
      <c r="P4788">
        <f>IF(G4788=1,IF(H4787=0,1,ABS(0.2-J4787*B4788/I4788)+ABS(0.2-K4787*C4788/I4788)+ABS(0.2-L4787*D4788/I4788)+ABS(0.2-M4787*E4788/I4788)+ABS(0.2-N4787*F4788/I4788)),0)</f>
        <v/>
      </c>
      <c r="Q4788">
        <f>P4788*0.0015</f>
        <v/>
      </c>
      <c r="R4788">
        <f>I4788*(1-Q4788)</f>
        <v/>
      </c>
      <c r="S4788">
        <f>R4788/R4787-1</f>
        <v/>
      </c>
      <c r="T4788">
        <f>MAX(T4787,R4788)</f>
        <v/>
      </c>
      <c r="U4788">
        <f>R4788/T4788-1</f>
        <v/>
      </c>
      <c r="V4788" t="n">
        <v>30.18331722513161</v>
      </c>
      <c r="W4788" s="5">
        <f>R4788-V4788</f>
        <v/>
      </c>
    </row>
    <row r="4789">
      <c r="A4789" s="3" t="n">
        <v>45495</v>
      </c>
      <c r="B4789">
        <f>Prices!B4789</f>
        <v/>
      </c>
      <c r="C4789">
        <f>Prices!C4789</f>
        <v/>
      </c>
      <c r="D4789">
        <f>Prices!D4789</f>
        <v/>
      </c>
      <c r="E4789">
        <f>Prices!E4789</f>
        <v/>
      </c>
      <c r="F4789">
        <f>Prices!F4789</f>
        <v/>
      </c>
      <c r="G4789">
        <f>IF(AND(4787&gt;=16,TEXT(A4789,"yyyy-mm")&lt;&gt;TEXT(A4790,"yyyy-mm")),1,0)</f>
        <v/>
      </c>
      <c r="H4789">
        <f>IF(OR(H4788=1,G4789=1),1,0)</f>
        <v/>
      </c>
      <c r="I4789">
        <f>IF(H4788=0,1,SUMPRODUCT(J4788:N4788,B4789:F4789)+O4788*(1+0.00023125256064071564))</f>
        <v/>
      </c>
      <c r="J4789">
        <f>IF(G4789=1,0.2*R4789/B4789,J4788)</f>
        <v/>
      </c>
      <c r="K4789">
        <f>IF(G4789=1,0.2*R4789/C4789,K4788)</f>
        <v/>
      </c>
      <c r="L4789">
        <f>IF(G4789=1,0.2*R4789/D4789,L4788)</f>
        <v/>
      </c>
      <c r="M4789">
        <f>IF(G4789=1,0.2*R4789/E4789,M4788)</f>
        <v/>
      </c>
      <c r="N4789">
        <f>IF(G4789=1,0.2*R4789/F4789,N4788)</f>
        <v/>
      </c>
      <c r="O4789">
        <f>IF(G4789=1,R4789*(1-1.0),IF(H4788=0,1,O4788*(1+0.00023125256064071564)))</f>
        <v/>
      </c>
      <c r="P4789">
        <f>IF(G4789=1,IF(H4788=0,1,ABS(0.2-J4788*B4789/I4789)+ABS(0.2-K4788*C4789/I4789)+ABS(0.2-L4788*D4789/I4789)+ABS(0.2-M4788*E4789/I4789)+ABS(0.2-N4788*F4789/I4789)),0)</f>
        <v/>
      </c>
      <c r="Q4789">
        <f>P4789*0.0015</f>
        <v/>
      </c>
      <c r="R4789">
        <f>I4789*(1-Q4789)</f>
        <v/>
      </c>
      <c r="S4789">
        <f>R4789/R4788-1</f>
        <v/>
      </c>
      <c r="T4789">
        <f>MAX(T4788,R4789)</f>
        <v/>
      </c>
      <c r="U4789">
        <f>R4789/T4789-1</f>
        <v/>
      </c>
      <c r="V4789" t="n">
        <v>30.45848186852913</v>
      </c>
      <c r="W4789" s="5">
        <f>R4789-V4789</f>
        <v/>
      </c>
    </row>
    <row r="4790">
      <c r="A4790" s="3" t="n">
        <v>45496</v>
      </c>
      <c r="B4790">
        <f>Prices!B4790</f>
        <v/>
      </c>
      <c r="C4790">
        <f>Prices!C4790</f>
        <v/>
      </c>
      <c r="D4790">
        <f>Prices!D4790</f>
        <v/>
      </c>
      <c r="E4790">
        <f>Prices!E4790</f>
        <v/>
      </c>
      <c r="F4790">
        <f>Prices!F4790</f>
        <v/>
      </c>
      <c r="G4790">
        <f>IF(AND(4788&gt;=16,TEXT(A4790,"yyyy-mm")&lt;&gt;TEXT(A4791,"yyyy-mm")),1,0)</f>
        <v/>
      </c>
      <c r="H4790">
        <f>IF(OR(H4789=1,G4790=1),1,0)</f>
        <v/>
      </c>
      <c r="I4790">
        <f>IF(H4789=0,1,SUMPRODUCT(J4789:N4789,B4790:F4790)+O4789*(1+0.00023125256064071564))</f>
        <v/>
      </c>
      <c r="J4790">
        <f>IF(G4790=1,0.2*R4790/B4790,J4789)</f>
        <v/>
      </c>
      <c r="K4790">
        <f>IF(G4790=1,0.2*R4790/C4790,K4789)</f>
        <v/>
      </c>
      <c r="L4790">
        <f>IF(G4790=1,0.2*R4790/D4790,L4789)</f>
        <v/>
      </c>
      <c r="M4790">
        <f>IF(G4790=1,0.2*R4790/E4790,M4789)</f>
        <v/>
      </c>
      <c r="N4790">
        <f>IF(G4790=1,0.2*R4790/F4790,N4789)</f>
        <v/>
      </c>
      <c r="O4790">
        <f>IF(G4790=1,R4790*(1-1.0),IF(H4789=0,1,O4789*(1+0.00023125256064071564)))</f>
        <v/>
      </c>
      <c r="P4790">
        <f>IF(G4790=1,IF(H4789=0,1,ABS(0.2-J4789*B4790/I4790)+ABS(0.2-K4789*C4790/I4790)+ABS(0.2-L4789*D4790/I4790)+ABS(0.2-M4789*E4790/I4790)+ABS(0.2-N4789*F4790/I4790)),0)</f>
        <v/>
      </c>
      <c r="Q4790">
        <f>P4790*0.0015</f>
        <v/>
      </c>
      <c r="R4790">
        <f>I4790*(1-Q4790)</f>
        <v/>
      </c>
      <c r="S4790">
        <f>R4790/R4789-1</f>
        <v/>
      </c>
      <c r="T4790">
        <f>MAX(T4789,R4790)</f>
        <v/>
      </c>
      <c r="U4790">
        <f>R4790/T4790-1</f>
        <v/>
      </c>
      <c r="V4790" t="n">
        <v>30.23622463241202</v>
      </c>
      <c r="W4790" s="5">
        <f>R4790-V4790</f>
        <v/>
      </c>
    </row>
    <row r="4791">
      <c r="A4791" s="3" t="n">
        <v>45497</v>
      </c>
      <c r="B4791">
        <f>Prices!B4791</f>
        <v/>
      </c>
      <c r="C4791">
        <f>Prices!C4791</f>
        <v/>
      </c>
      <c r="D4791">
        <f>Prices!D4791</f>
        <v/>
      </c>
      <c r="E4791">
        <f>Prices!E4791</f>
        <v/>
      </c>
      <c r="F4791">
        <f>Prices!F4791</f>
        <v/>
      </c>
      <c r="G4791">
        <f>IF(AND(4789&gt;=16,TEXT(A4791,"yyyy-mm")&lt;&gt;TEXT(A4792,"yyyy-mm")),1,0)</f>
        <v/>
      </c>
      <c r="H4791">
        <f>IF(OR(H4790=1,G4791=1),1,0)</f>
        <v/>
      </c>
      <c r="I4791">
        <f>IF(H4790=0,1,SUMPRODUCT(J4790:N4790,B4791:F4791)+O4790*(1+0.00023125256064071564))</f>
        <v/>
      </c>
      <c r="J4791">
        <f>IF(G4791=1,0.2*R4791/B4791,J4790)</f>
        <v/>
      </c>
      <c r="K4791">
        <f>IF(G4791=1,0.2*R4791/C4791,K4790)</f>
        <v/>
      </c>
      <c r="L4791">
        <f>IF(G4791=1,0.2*R4791/D4791,L4790)</f>
        <v/>
      </c>
      <c r="M4791">
        <f>IF(G4791=1,0.2*R4791/E4791,M4790)</f>
        <v/>
      </c>
      <c r="N4791">
        <f>IF(G4791=1,0.2*R4791/F4791,N4790)</f>
        <v/>
      </c>
      <c r="O4791">
        <f>IF(G4791=1,R4791*(1-1.0),IF(H4790=0,1,O4790*(1+0.00023125256064071564)))</f>
        <v/>
      </c>
      <c r="P4791">
        <f>IF(G4791=1,IF(H4790=0,1,ABS(0.2-J4790*B4791/I4791)+ABS(0.2-K4790*C4791/I4791)+ABS(0.2-L4790*D4791/I4791)+ABS(0.2-M4790*E4791/I4791)+ABS(0.2-N4790*F4791/I4791)),0)</f>
        <v/>
      </c>
      <c r="Q4791">
        <f>P4791*0.0015</f>
        <v/>
      </c>
      <c r="R4791">
        <f>I4791*(1-Q4791)</f>
        <v/>
      </c>
      <c r="S4791">
        <f>R4791/R4790-1</f>
        <v/>
      </c>
      <c r="T4791">
        <f>MAX(T4790,R4791)</f>
        <v/>
      </c>
      <c r="U4791">
        <f>R4791/T4791-1</f>
        <v/>
      </c>
      <c r="V4791" t="n">
        <v>30.48279066517907</v>
      </c>
      <c r="W4791" s="5">
        <f>R4791-V4791</f>
        <v/>
      </c>
    </row>
    <row r="4792">
      <c r="A4792" s="3" t="n">
        <v>45498</v>
      </c>
      <c r="B4792">
        <f>Prices!B4792</f>
        <v/>
      </c>
      <c r="C4792">
        <f>Prices!C4792</f>
        <v/>
      </c>
      <c r="D4792">
        <f>Prices!D4792</f>
        <v/>
      </c>
      <c r="E4792">
        <f>Prices!E4792</f>
        <v/>
      </c>
      <c r="F4792">
        <f>Prices!F4792</f>
        <v/>
      </c>
      <c r="G4792">
        <f>IF(AND(4790&gt;=16,TEXT(A4792,"yyyy-mm")&lt;&gt;TEXT(A4793,"yyyy-mm")),1,0)</f>
        <v/>
      </c>
      <c r="H4792">
        <f>IF(OR(H4791=1,G4792=1),1,0)</f>
        <v/>
      </c>
      <c r="I4792">
        <f>IF(H4791=0,1,SUMPRODUCT(J4791:N4791,B4792:F4792)+O4791*(1+0.00023125256064071564))</f>
        <v/>
      </c>
      <c r="J4792">
        <f>IF(G4792=1,0.2*R4792/B4792,J4791)</f>
        <v/>
      </c>
      <c r="K4792">
        <f>IF(G4792=1,0.2*R4792/C4792,K4791)</f>
        <v/>
      </c>
      <c r="L4792">
        <f>IF(G4792=1,0.2*R4792/D4792,L4791)</f>
        <v/>
      </c>
      <c r="M4792">
        <f>IF(G4792=1,0.2*R4792/E4792,M4791)</f>
        <v/>
      </c>
      <c r="N4792">
        <f>IF(G4792=1,0.2*R4792/F4792,N4791)</f>
        <v/>
      </c>
      <c r="O4792">
        <f>IF(G4792=1,R4792*(1-1.0),IF(H4791=0,1,O4791*(1+0.00023125256064071564)))</f>
        <v/>
      </c>
      <c r="P4792">
        <f>IF(G4792=1,IF(H4791=0,1,ABS(0.2-J4791*B4792/I4792)+ABS(0.2-K4791*C4792/I4792)+ABS(0.2-L4791*D4792/I4792)+ABS(0.2-M4791*E4792/I4792)+ABS(0.2-N4791*F4792/I4792)),0)</f>
        <v/>
      </c>
      <c r="Q4792">
        <f>P4792*0.0015</f>
        <v/>
      </c>
      <c r="R4792">
        <f>I4792*(1-Q4792)</f>
        <v/>
      </c>
      <c r="S4792">
        <f>R4792/R4791-1</f>
        <v/>
      </c>
      <c r="T4792">
        <f>MAX(T4791,R4792)</f>
        <v/>
      </c>
      <c r="U4792">
        <f>R4792/T4792-1</f>
        <v/>
      </c>
      <c r="V4792" t="n">
        <v>30.51255337012915</v>
      </c>
      <c r="W4792" s="5">
        <f>R4792-V4792</f>
        <v/>
      </c>
    </row>
    <row r="4793">
      <c r="A4793" s="3" t="n">
        <v>45499</v>
      </c>
      <c r="B4793">
        <f>Prices!B4793</f>
        <v/>
      </c>
      <c r="C4793">
        <f>Prices!C4793</f>
        <v/>
      </c>
      <c r="D4793">
        <f>Prices!D4793</f>
        <v/>
      </c>
      <c r="E4793">
        <f>Prices!E4793</f>
        <v/>
      </c>
      <c r="F4793">
        <f>Prices!F4793</f>
        <v/>
      </c>
      <c r="G4793">
        <f>IF(AND(4791&gt;=16,TEXT(A4793,"yyyy-mm")&lt;&gt;TEXT(A4794,"yyyy-mm")),1,0)</f>
        <v/>
      </c>
      <c r="H4793">
        <f>IF(OR(H4792=1,G4793=1),1,0)</f>
        <v/>
      </c>
      <c r="I4793">
        <f>IF(H4792=0,1,SUMPRODUCT(J4792:N4792,B4793:F4793)+O4792*(1+0.00023125256064071564))</f>
        <v/>
      </c>
      <c r="J4793">
        <f>IF(G4793=1,0.2*R4793/B4793,J4792)</f>
        <v/>
      </c>
      <c r="K4793">
        <f>IF(G4793=1,0.2*R4793/C4793,K4792)</f>
        <v/>
      </c>
      <c r="L4793">
        <f>IF(G4793=1,0.2*R4793/D4793,L4792)</f>
        <v/>
      </c>
      <c r="M4793">
        <f>IF(G4793=1,0.2*R4793/E4793,M4792)</f>
        <v/>
      </c>
      <c r="N4793">
        <f>IF(G4793=1,0.2*R4793/F4793,N4792)</f>
        <v/>
      </c>
      <c r="O4793">
        <f>IF(G4793=1,R4793*(1-1.0),IF(H4792=0,1,O4792*(1+0.00023125256064071564)))</f>
        <v/>
      </c>
      <c r="P4793">
        <f>IF(G4793=1,IF(H4792=0,1,ABS(0.2-J4792*B4793/I4793)+ABS(0.2-K4792*C4793/I4793)+ABS(0.2-L4792*D4793/I4793)+ABS(0.2-M4792*E4793/I4793)+ABS(0.2-N4792*F4793/I4793)),0)</f>
        <v/>
      </c>
      <c r="Q4793">
        <f>P4793*0.0015</f>
        <v/>
      </c>
      <c r="R4793">
        <f>I4793*(1-Q4793)</f>
        <v/>
      </c>
      <c r="S4793">
        <f>R4793/R4792-1</f>
        <v/>
      </c>
      <c r="T4793">
        <f>MAX(T4792,R4793)</f>
        <v/>
      </c>
      <c r="U4793">
        <f>R4793/T4793-1</f>
        <v/>
      </c>
      <c r="V4793" t="n">
        <v>30.96333929239622</v>
      </c>
      <c r="W4793" s="5">
        <f>R4793-V4793</f>
        <v/>
      </c>
    </row>
    <row r="4794">
      <c r="A4794" s="3" t="n">
        <v>45502</v>
      </c>
      <c r="B4794">
        <f>Prices!B4794</f>
        <v/>
      </c>
      <c r="C4794">
        <f>Prices!C4794</f>
        <v/>
      </c>
      <c r="D4794">
        <f>Prices!D4794</f>
        <v/>
      </c>
      <c r="E4794">
        <f>Prices!E4794</f>
        <v/>
      </c>
      <c r="F4794">
        <f>Prices!F4794</f>
        <v/>
      </c>
      <c r="G4794">
        <f>IF(AND(4792&gt;=16,TEXT(A4794,"yyyy-mm")&lt;&gt;TEXT(A4795,"yyyy-mm")),1,0)</f>
        <v/>
      </c>
      <c r="H4794">
        <f>IF(OR(H4793=1,G4794=1),1,0)</f>
        <v/>
      </c>
      <c r="I4794">
        <f>IF(H4793=0,1,SUMPRODUCT(J4793:N4793,B4794:F4794)+O4793*(1+0.00023125256064071564))</f>
        <v/>
      </c>
      <c r="J4794">
        <f>IF(G4794=1,0.2*R4794/B4794,J4793)</f>
        <v/>
      </c>
      <c r="K4794">
        <f>IF(G4794=1,0.2*R4794/C4794,K4793)</f>
        <v/>
      </c>
      <c r="L4794">
        <f>IF(G4794=1,0.2*R4794/D4794,L4793)</f>
        <v/>
      </c>
      <c r="M4794">
        <f>IF(G4794=1,0.2*R4794/E4794,M4793)</f>
        <v/>
      </c>
      <c r="N4794">
        <f>IF(G4794=1,0.2*R4794/F4794,N4793)</f>
        <v/>
      </c>
      <c r="O4794">
        <f>IF(G4794=1,R4794*(1-1.0),IF(H4793=0,1,O4793*(1+0.00023125256064071564)))</f>
        <v/>
      </c>
      <c r="P4794">
        <f>IF(G4794=1,IF(H4793=0,1,ABS(0.2-J4793*B4794/I4794)+ABS(0.2-K4793*C4794/I4794)+ABS(0.2-L4793*D4794/I4794)+ABS(0.2-M4793*E4794/I4794)+ABS(0.2-N4793*F4794/I4794)),0)</f>
        <v/>
      </c>
      <c r="Q4794">
        <f>P4794*0.0015</f>
        <v/>
      </c>
      <c r="R4794">
        <f>I4794*(1-Q4794)</f>
        <v/>
      </c>
      <c r="S4794">
        <f>R4794/R4793-1</f>
        <v/>
      </c>
      <c r="T4794">
        <f>MAX(T4793,R4794)</f>
        <v/>
      </c>
      <c r="U4794">
        <f>R4794/T4794-1</f>
        <v/>
      </c>
      <c r="V4794" t="n">
        <v>31.3777866595828</v>
      </c>
      <c r="W4794" s="5">
        <f>R4794-V4794</f>
        <v/>
      </c>
    </row>
    <row r="4795">
      <c r="A4795" s="3" t="n">
        <v>45503</v>
      </c>
      <c r="B4795">
        <f>Prices!B4795</f>
        <v/>
      </c>
      <c r="C4795">
        <f>Prices!C4795</f>
        <v/>
      </c>
      <c r="D4795">
        <f>Prices!D4795</f>
        <v/>
      </c>
      <c r="E4795">
        <f>Prices!E4795</f>
        <v/>
      </c>
      <c r="F4795">
        <f>Prices!F4795</f>
        <v/>
      </c>
      <c r="G4795">
        <f>IF(AND(4793&gt;=16,TEXT(A4795,"yyyy-mm")&lt;&gt;TEXT(A4796,"yyyy-mm")),1,0)</f>
        <v/>
      </c>
      <c r="H4795">
        <f>IF(OR(H4794=1,G4795=1),1,0)</f>
        <v/>
      </c>
      <c r="I4795">
        <f>IF(H4794=0,1,SUMPRODUCT(J4794:N4794,B4795:F4795)+O4794*(1+0.00023125256064071564))</f>
        <v/>
      </c>
      <c r="J4795">
        <f>IF(G4795=1,0.2*R4795/B4795,J4794)</f>
        <v/>
      </c>
      <c r="K4795">
        <f>IF(G4795=1,0.2*R4795/C4795,K4794)</f>
        <v/>
      </c>
      <c r="L4795">
        <f>IF(G4795=1,0.2*R4795/D4795,L4794)</f>
        <v/>
      </c>
      <c r="M4795">
        <f>IF(G4795=1,0.2*R4795/E4795,M4794)</f>
        <v/>
      </c>
      <c r="N4795">
        <f>IF(G4795=1,0.2*R4795/F4795,N4794)</f>
        <v/>
      </c>
      <c r="O4795">
        <f>IF(G4795=1,R4795*(1-1.0),IF(H4794=0,1,O4794*(1+0.00023125256064071564)))</f>
        <v/>
      </c>
      <c r="P4795">
        <f>IF(G4795=1,IF(H4794=0,1,ABS(0.2-J4794*B4795/I4795)+ABS(0.2-K4794*C4795/I4795)+ABS(0.2-L4794*D4795/I4795)+ABS(0.2-M4794*E4795/I4795)+ABS(0.2-N4794*F4795/I4795)),0)</f>
        <v/>
      </c>
      <c r="Q4795">
        <f>P4795*0.0015</f>
        <v/>
      </c>
      <c r="R4795">
        <f>I4795*(1-Q4795)</f>
        <v/>
      </c>
      <c r="S4795">
        <f>R4795/R4794-1</f>
        <v/>
      </c>
      <c r="T4795">
        <f>MAX(T4794,R4795)</f>
        <v/>
      </c>
      <c r="U4795">
        <f>R4795/T4795-1</f>
        <v/>
      </c>
      <c r="V4795" t="n">
        <v>31.44358034397492</v>
      </c>
      <c r="W4795" s="5">
        <f>R4795-V4795</f>
        <v/>
      </c>
    </row>
    <row r="4796">
      <c r="A4796" s="3" t="n">
        <v>45504</v>
      </c>
      <c r="B4796">
        <f>Prices!B4796</f>
        <v/>
      </c>
      <c r="C4796">
        <f>Prices!C4796</f>
        <v/>
      </c>
      <c r="D4796">
        <f>Prices!D4796</f>
        <v/>
      </c>
      <c r="E4796">
        <f>Prices!E4796</f>
        <v/>
      </c>
      <c r="F4796">
        <f>Prices!F4796</f>
        <v/>
      </c>
      <c r="G4796">
        <f>IF(AND(4794&gt;=16,TEXT(A4796,"yyyy-mm")&lt;&gt;TEXT(A4797,"yyyy-mm")),1,0)</f>
        <v/>
      </c>
      <c r="H4796">
        <f>IF(OR(H4795=1,G4796=1),1,0)</f>
        <v/>
      </c>
      <c r="I4796">
        <f>IF(H4795=0,1,SUMPRODUCT(J4795:N4795,B4796:F4796)+O4795*(1+0.00023125256064071564))</f>
        <v/>
      </c>
      <c r="J4796">
        <f>IF(G4796=1,0.2*R4796/B4796,J4795)</f>
        <v/>
      </c>
      <c r="K4796">
        <f>IF(G4796=1,0.2*R4796/C4796,K4795)</f>
        <v/>
      </c>
      <c r="L4796">
        <f>IF(G4796=1,0.2*R4796/D4796,L4795)</f>
        <v/>
      </c>
      <c r="M4796">
        <f>IF(G4796=1,0.2*R4796/E4796,M4795)</f>
        <v/>
      </c>
      <c r="N4796">
        <f>IF(G4796=1,0.2*R4796/F4796,N4795)</f>
        <v/>
      </c>
      <c r="O4796">
        <f>IF(G4796=1,R4796*(1-1.0),IF(H4795=0,1,O4795*(1+0.00023125256064071564)))</f>
        <v/>
      </c>
      <c r="P4796">
        <f>IF(G4796=1,IF(H4795=0,1,ABS(0.2-J4795*B4796/I4796)+ABS(0.2-K4795*C4796/I4796)+ABS(0.2-L4795*D4796/I4796)+ABS(0.2-M4795*E4796/I4796)+ABS(0.2-N4795*F4796/I4796)),0)</f>
        <v/>
      </c>
      <c r="Q4796">
        <f>P4796*0.0015</f>
        <v/>
      </c>
      <c r="R4796">
        <f>I4796*(1-Q4796)</f>
        <v/>
      </c>
      <c r="S4796">
        <f>R4796/R4795-1</f>
        <v/>
      </c>
      <c r="T4796">
        <f>MAX(T4795,R4796)</f>
        <v/>
      </c>
      <c r="U4796">
        <f>R4796/T4796-1</f>
        <v/>
      </c>
      <c r="V4796" t="n">
        <v>31.61879432226549</v>
      </c>
      <c r="W4796" s="5">
        <f>R4796-V4796</f>
        <v/>
      </c>
    </row>
    <row r="4797">
      <c r="A4797" s="3" t="n">
        <v>45505</v>
      </c>
      <c r="B4797">
        <f>Prices!B4797</f>
        <v/>
      </c>
      <c r="C4797">
        <f>Prices!C4797</f>
        <v/>
      </c>
      <c r="D4797">
        <f>Prices!D4797</f>
        <v/>
      </c>
      <c r="E4797">
        <f>Prices!E4797</f>
        <v/>
      </c>
      <c r="F4797">
        <f>Prices!F4797</f>
        <v/>
      </c>
      <c r="G4797">
        <f>IF(AND(4795&gt;=16,TEXT(A4797,"yyyy-mm")&lt;&gt;TEXT(A4798,"yyyy-mm")),1,0)</f>
        <v/>
      </c>
      <c r="H4797">
        <f>IF(OR(H4796=1,G4797=1),1,0)</f>
        <v/>
      </c>
      <c r="I4797">
        <f>IF(H4796=0,1,SUMPRODUCT(J4796:N4796,B4797:F4797)+O4796*(1+0.00023125256064071564))</f>
        <v/>
      </c>
      <c r="J4797">
        <f>IF(G4797=1,0.2*R4797/B4797,J4796)</f>
        <v/>
      </c>
      <c r="K4797">
        <f>IF(G4797=1,0.2*R4797/C4797,K4796)</f>
        <v/>
      </c>
      <c r="L4797">
        <f>IF(G4797=1,0.2*R4797/D4797,L4796)</f>
        <v/>
      </c>
      <c r="M4797">
        <f>IF(G4797=1,0.2*R4797/E4797,M4796)</f>
        <v/>
      </c>
      <c r="N4797">
        <f>IF(G4797=1,0.2*R4797/F4797,N4796)</f>
        <v/>
      </c>
      <c r="O4797">
        <f>IF(G4797=1,R4797*(1-1.0),IF(H4796=0,1,O4796*(1+0.00023125256064071564)))</f>
        <v/>
      </c>
      <c r="P4797">
        <f>IF(G4797=1,IF(H4796=0,1,ABS(0.2-J4796*B4797/I4797)+ABS(0.2-K4796*C4797/I4797)+ABS(0.2-L4796*D4797/I4797)+ABS(0.2-M4796*E4797/I4797)+ABS(0.2-N4796*F4797/I4797)),0)</f>
        <v/>
      </c>
      <c r="Q4797">
        <f>P4797*0.0015</f>
        <v/>
      </c>
      <c r="R4797">
        <f>I4797*(1-Q4797)</f>
        <v/>
      </c>
      <c r="S4797">
        <f>R4797/R4796-1</f>
        <v/>
      </c>
      <c r="T4797">
        <f>MAX(T4796,R4797)</f>
        <v/>
      </c>
      <c r="U4797">
        <f>R4797/T4797-1</f>
        <v/>
      </c>
      <c r="V4797" t="n">
        <v>31.44871430923037</v>
      </c>
      <c r="W4797" s="5">
        <f>R4797-V4797</f>
        <v/>
      </c>
    </row>
    <row r="4798">
      <c r="A4798" s="3" t="n">
        <v>45506</v>
      </c>
      <c r="B4798">
        <f>Prices!B4798</f>
        <v/>
      </c>
      <c r="C4798">
        <f>Prices!C4798</f>
        <v/>
      </c>
      <c r="D4798">
        <f>Prices!D4798</f>
        <v/>
      </c>
      <c r="E4798">
        <f>Prices!E4798</f>
        <v/>
      </c>
      <c r="F4798">
        <f>Prices!F4798</f>
        <v/>
      </c>
      <c r="G4798">
        <f>IF(AND(4796&gt;=16,TEXT(A4798,"yyyy-mm")&lt;&gt;TEXT(A4799,"yyyy-mm")),1,0)</f>
        <v/>
      </c>
      <c r="H4798">
        <f>IF(OR(H4797=1,G4798=1),1,0)</f>
        <v/>
      </c>
      <c r="I4798">
        <f>IF(H4797=0,1,SUMPRODUCT(J4797:N4797,B4798:F4798)+O4797*(1+0.00023125256064071564))</f>
        <v/>
      </c>
      <c r="J4798">
        <f>IF(G4798=1,0.2*R4798/B4798,J4797)</f>
        <v/>
      </c>
      <c r="K4798">
        <f>IF(G4798=1,0.2*R4798/C4798,K4797)</f>
        <v/>
      </c>
      <c r="L4798">
        <f>IF(G4798=1,0.2*R4798/D4798,L4797)</f>
        <v/>
      </c>
      <c r="M4798">
        <f>IF(G4798=1,0.2*R4798/E4798,M4797)</f>
        <v/>
      </c>
      <c r="N4798">
        <f>IF(G4798=1,0.2*R4798/F4798,N4797)</f>
        <v/>
      </c>
      <c r="O4798">
        <f>IF(G4798=1,R4798*(1-1.0),IF(H4797=0,1,O4797*(1+0.00023125256064071564)))</f>
        <v/>
      </c>
      <c r="P4798">
        <f>IF(G4798=1,IF(H4797=0,1,ABS(0.2-J4797*B4798/I4798)+ABS(0.2-K4797*C4798/I4798)+ABS(0.2-L4797*D4798/I4798)+ABS(0.2-M4797*E4798/I4798)+ABS(0.2-N4797*F4798/I4798)),0)</f>
        <v/>
      </c>
      <c r="Q4798">
        <f>P4798*0.0015</f>
        <v/>
      </c>
      <c r="R4798">
        <f>I4798*(1-Q4798)</f>
        <v/>
      </c>
      <c r="S4798">
        <f>R4798/R4797-1</f>
        <v/>
      </c>
      <c r="T4798">
        <f>MAX(T4797,R4798)</f>
        <v/>
      </c>
      <c r="U4798">
        <f>R4798/T4798-1</f>
        <v/>
      </c>
      <c r="V4798" t="n">
        <v>31.0274978011691</v>
      </c>
      <c r="W4798" s="5">
        <f>R4798-V4798</f>
        <v/>
      </c>
    </row>
    <row r="4799">
      <c r="A4799" s="3" t="n">
        <v>45509</v>
      </c>
      <c r="B4799">
        <f>Prices!B4799</f>
        <v/>
      </c>
      <c r="C4799">
        <f>Prices!C4799</f>
        <v/>
      </c>
      <c r="D4799">
        <f>Prices!D4799</f>
        <v/>
      </c>
      <c r="E4799">
        <f>Prices!E4799</f>
        <v/>
      </c>
      <c r="F4799">
        <f>Prices!F4799</f>
        <v/>
      </c>
      <c r="G4799">
        <f>IF(AND(4797&gt;=16,TEXT(A4799,"yyyy-mm")&lt;&gt;TEXT(A4800,"yyyy-mm")),1,0)</f>
        <v/>
      </c>
      <c r="H4799">
        <f>IF(OR(H4798=1,G4799=1),1,0)</f>
        <v/>
      </c>
      <c r="I4799">
        <f>IF(H4798=0,1,SUMPRODUCT(J4798:N4798,B4799:F4799)+O4798*(1+0.00023125256064071564))</f>
        <v/>
      </c>
      <c r="J4799">
        <f>IF(G4799=1,0.2*R4799/B4799,J4798)</f>
        <v/>
      </c>
      <c r="K4799">
        <f>IF(G4799=1,0.2*R4799/C4799,K4798)</f>
        <v/>
      </c>
      <c r="L4799">
        <f>IF(G4799=1,0.2*R4799/D4799,L4798)</f>
        <v/>
      </c>
      <c r="M4799">
        <f>IF(G4799=1,0.2*R4799/E4799,M4798)</f>
        <v/>
      </c>
      <c r="N4799">
        <f>IF(G4799=1,0.2*R4799/F4799,N4798)</f>
        <v/>
      </c>
      <c r="O4799">
        <f>IF(G4799=1,R4799*(1-1.0),IF(H4798=0,1,O4798*(1+0.00023125256064071564)))</f>
        <v/>
      </c>
      <c r="P4799">
        <f>IF(G4799=1,IF(H4798=0,1,ABS(0.2-J4798*B4799/I4799)+ABS(0.2-K4798*C4799/I4799)+ABS(0.2-L4798*D4799/I4799)+ABS(0.2-M4798*E4799/I4799)+ABS(0.2-N4798*F4799/I4799)),0)</f>
        <v/>
      </c>
      <c r="Q4799">
        <f>P4799*0.0015</f>
        <v/>
      </c>
      <c r="R4799">
        <f>I4799*(1-Q4799)</f>
        <v/>
      </c>
      <c r="S4799">
        <f>R4799/R4798-1</f>
        <v/>
      </c>
      <c r="T4799">
        <f>MAX(T4798,R4799)</f>
        <v/>
      </c>
      <c r="U4799">
        <f>R4799/T4799-1</f>
        <v/>
      </c>
      <c r="V4799" t="n">
        <v>29.88963549505531</v>
      </c>
      <c r="W4799" s="5">
        <f>R4799-V4799</f>
        <v/>
      </c>
    </row>
    <row r="4800">
      <c r="A4800" s="3" t="n">
        <v>45510</v>
      </c>
      <c r="B4800">
        <f>Prices!B4800</f>
        <v/>
      </c>
      <c r="C4800">
        <f>Prices!C4800</f>
        <v/>
      </c>
      <c r="D4800">
        <f>Prices!D4800</f>
        <v/>
      </c>
      <c r="E4800">
        <f>Prices!E4800</f>
        <v/>
      </c>
      <c r="F4800">
        <f>Prices!F4800</f>
        <v/>
      </c>
      <c r="G4800">
        <f>IF(AND(4798&gt;=16,TEXT(A4800,"yyyy-mm")&lt;&gt;TEXT(A4801,"yyyy-mm")),1,0)</f>
        <v/>
      </c>
      <c r="H4800">
        <f>IF(OR(H4799=1,G4800=1),1,0)</f>
        <v/>
      </c>
      <c r="I4800">
        <f>IF(H4799=0,1,SUMPRODUCT(J4799:N4799,B4800:F4800)+O4799*(1+0.00023125256064071564))</f>
        <v/>
      </c>
      <c r="J4800">
        <f>IF(G4800=1,0.2*R4800/B4800,J4799)</f>
        <v/>
      </c>
      <c r="K4800">
        <f>IF(G4800=1,0.2*R4800/C4800,K4799)</f>
        <v/>
      </c>
      <c r="L4800">
        <f>IF(G4800=1,0.2*R4800/D4800,L4799)</f>
        <v/>
      </c>
      <c r="M4800">
        <f>IF(G4800=1,0.2*R4800/E4800,M4799)</f>
        <v/>
      </c>
      <c r="N4800">
        <f>IF(G4800=1,0.2*R4800/F4800,N4799)</f>
        <v/>
      </c>
      <c r="O4800">
        <f>IF(G4800=1,R4800*(1-1.0),IF(H4799=0,1,O4799*(1+0.00023125256064071564)))</f>
        <v/>
      </c>
      <c r="P4800">
        <f>IF(G4800=1,IF(H4799=0,1,ABS(0.2-J4799*B4800/I4800)+ABS(0.2-K4799*C4800/I4800)+ABS(0.2-L4799*D4800/I4800)+ABS(0.2-M4799*E4800/I4800)+ABS(0.2-N4799*F4800/I4800)),0)</f>
        <v/>
      </c>
      <c r="Q4800">
        <f>P4800*0.0015</f>
        <v/>
      </c>
      <c r="R4800">
        <f>I4800*(1-Q4800)</f>
        <v/>
      </c>
      <c r="S4800">
        <f>R4800/R4799-1</f>
        <v/>
      </c>
      <c r="T4800">
        <f>MAX(T4799,R4800)</f>
        <v/>
      </c>
      <c r="U4800">
        <f>R4800/T4800-1</f>
        <v/>
      </c>
      <c r="V4800" t="n">
        <v>29.61825011756337</v>
      </c>
      <c r="W4800" s="5">
        <f>R4800-V4800</f>
        <v/>
      </c>
    </row>
    <row r="4801">
      <c r="A4801" s="3" t="n">
        <v>45511</v>
      </c>
      <c r="B4801">
        <f>Prices!B4801</f>
        <v/>
      </c>
      <c r="C4801">
        <f>Prices!C4801</f>
        <v/>
      </c>
      <c r="D4801">
        <f>Prices!D4801</f>
        <v/>
      </c>
      <c r="E4801">
        <f>Prices!E4801</f>
        <v/>
      </c>
      <c r="F4801">
        <f>Prices!F4801</f>
        <v/>
      </c>
      <c r="G4801">
        <f>IF(AND(4799&gt;=16,TEXT(A4801,"yyyy-mm")&lt;&gt;TEXT(A4802,"yyyy-mm")),1,0)</f>
        <v/>
      </c>
      <c r="H4801">
        <f>IF(OR(H4800=1,G4801=1),1,0)</f>
        <v/>
      </c>
      <c r="I4801">
        <f>IF(H4800=0,1,SUMPRODUCT(J4800:N4800,B4801:F4801)+O4800*(1+0.00023125256064071564))</f>
        <v/>
      </c>
      <c r="J4801">
        <f>IF(G4801=1,0.2*R4801/B4801,J4800)</f>
        <v/>
      </c>
      <c r="K4801">
        <f>IF(G4801=1,0.2*R4801/C4801,K4800)</f>
        <v/>
      </c>
      <c r="L4801">
        <f>IF(G4801=1,0.2*R4801/D4801,L4800)</f>
        <v/>
      </c>
      <c r="M4801">
        <f>IF(G4801=1,0.2*R4801/E4801,M4800)</f>
        <v/>
      </c>
      <c r="N4801">
        <f>IF(G4801=1,0.2*R4801/F4801,N4800)</f>
        <v/>
      </c>
      <c r="O4801">
        <f>IF(G4801=1,R4801*(1-1.0),IF(H4800=0,1,O4800*(1+0.00023125256064071564)))</f>
        <v/>
      </c>
      <c r="P4801">
        <f>IF(G4801=1,IF(H4800=0,1,ABS(0.2-J4800*B4801/I4801)+ABS(0.2-K4800*C4801/I4801)+ABS(0.2-L4800*D4801/I4801)+ABS(0.2-M4800*E4801/I4801)+ABS(0.2-N4800*F4801/I4801)),0)</f>
        <v/>
      </c>
      <c r="Q4801">
        <f>P4801*0.0015</f>
        <v/>
      </c>
      <c r="R4801">
        <f>I4801*(1-Q4801)</f>
        <v/>
      </c>
      <c r="S4801">
        <f>R4801/R4800-1</f>
        <v/>
      </c>
      <c r="T4801">
        <f>MAX(T4800,R4801)</f>
        <v/>
      </c>
      <c r="U4801">
        <f>R4801/T4801-1</f>
        <v/>
      </c>
      <c r="V4801" t="n">
        <v>30.40414059380014</v>
      </c>
      <c r="W4801" s="5">
        <f>R4801-V4801</f>
        <v/>
      </c>
    </row>
    <row r="4802">
      <c r="A4802" s="3" t="n">
        <v>45512</v>
      </c>
      <c r="B4802">
        <f>Prices!B4802</f>
        <v/>
      </c>
      <c r="C4802">
        <f>Prices!C4802</f>
        <v/>
      </c>
      <c r="D4802">
        <f>Prices!D4802</f>
        <v/>
      </c>
      <c r="E4802">
        <f>Prices!E4802</f>
        <v/>
      </c>
      <c r="F4802">
        <f>Prices!F4802</f>
        <v/>
      </c>
      <c r="G4802">
        <f>IF(AND(4800&gt;=16,TEXT(A4802,"yyyy-mm")&lt;&gt;TEXT(A4803,"yyyy-mm")),1,0)</f>
        <v/>
      </c>
      <c r="H4802">
        <f>IF(OR(H4801=1,G4802=1),1,0)</f>
        <v/>
      </c>
      <c r="I4802">
        <f>IF(H4801=0,1,SUMPRODUCT(J4801:N4801,B4802:F4802)+O4801*(1+0.00023125256064071564))</f>
        <v/>
      </c>
      <c r="J4802">
        <f>IF(G4802=1,0.2*R4802/B4802,J4801)</f>
        <v/>
      </c>
      <c r="K4802">
        <f>IF(G4802=1,0.2*R4802/C4802,K4801)</f>
        <v/>
      </c>
      <c r="L4802">
        <f>IF(G4802=1,0.2*R4802/D4802,L4801)</f>
        <v/>
      </c>
      <c r="M4802">
        <f>IF(G4802=1,0.2*R4802/E4802,M4801)</f>
        <v/>
      </c>
      <c r="N4802">
        <f>IF(G4802=1,0.2*R4802/F4802,N4801)</f>
        <v/>
      </c>
      <c r="O4802">
        <f>IF(G4802=1,R4802*(1-1.0),IF(H4801=0,1,O4801*(1+0.00023125256064071564)))</f>
        <v/>
      </c>
      <c r="P4802">
        <f>IF(G4802=1,IF(H4801=0,1,ABS(0.2-J4801*B4802/I4802)+ABS(0.2-K4801*C4802/I4802)+ABS(0.2-L4801*D4802/I4802)+ABS(0.2-M4801*E4802/I4802)+ABS(0.2-N4801*F4802/I4802)),0)</f>
        <v/>
      </c>
      <c r="Q4802">
        <f>P4802*0.0015</f>
        <v/>
      </c>
      <c r="R4802">
        <f>I4802*(1-Q4802)</f>
        <v/>
      </c>
      <c r="S4802">
        <f>R4802/R4801-1</f>
        <v/>
      </c>
      <c r="T4802">
        <f>MAX(T4801,R4802)</f>
        <v/>
      </c>
      <c r="U4802">
        <f>R4802/T4802-1</f>
        <v/>
      </c>
      <c r="V4802" t="n">
        <v>30.17661456466432</v>
      </c>
      <c r="W4802" s="5">
        <f>R4802-V4802</f>
        <v/>
      </c>
    </row>
    <row r="4803">
      <c r="A4803" s="3" t="n">
        <v>45513</v>
      </c>
      <c r="B4803">
        <f>Prices!B4803</f>
        <v/>
      </c>
      <c r="C4803">
        <f>Prices!C4803</f>
        <v/>
      </c>
      <c r="D4803">
        <f>Prices!D4803</f>
        <v/>
      </c>
      <c r="E4803">
        <f>Prices!E4803</f>
        <v/>
      </c>
      <c r="F4803">
        <f>Prices!F4803</f>
        <v/>
      </c>
      <c r="G4803">
        <f>IF(AND(4801&gt;=16,TEXT(A4803,"yyyy-mm")&lt;&gt;TEXT(A4804,"yyyy-mm")),1,0)</f>
        <v/>
      </c>
      <c r="H4803">
        <f>IF(OR(H4802=1,G4803=1),1,0)</f>
        <v/>
      </c>
      <c r="I4803">
        <f>IF(H4802=0,1,SUMPRODUCT(J4802:N4802,B4803:F4803)+O4802*(1+0.00023125256064071564))</f>
        <v/>
      </c>
      <c r="J4803">
        <f>IF(G4803=1,0.2*R4803/B4803,J4802)</f>
        <v/>
      </c>
      <c r="K4803">
        <f>IF(G4803=1,0.2*R4803/C4803,K4802)</f>
        <v/>
      </c>
      <c r="L4803">
        <f>IF(G4803=1,0.2*R4803/D4803,L4802)</f>
        <v/>
      </c>
      <c r="M4803">
        <f>IF(G4803=1,0.2*R4803/E4803,M4802)</f>
        <v/>
      </c>
      <c r="N4803">
        <f>IF(G4803=1,0.2*R4803/F4803,N4802)</f>
        <v/>
      </c>
      <c r="O4803">
        <f>IF(G4803=1,R4803*(1-1.0),IF(H4802=0,1,O4802*(1+0.00023125256064071564)))</f>
        <v/>
      </c>
      <c r="P4803">
        <f>IF(G4803=1,IF(H4802=0,1,ABS(0.2-J4802*B4803/I4803)+ABS(0.2-K4802*C4803/I4803)+ABS(0.2-L4802*D4803/I4803)+ABS(0.2-M4802*E4803/I4803)+ABS(0.2-N4802*F4803/I4803)),0)</f>
        <v/>
      </c>
      <c r="Q4803">
        <f>P4803*0.0015</f>
        <v/>
      </c>
      <c r="R4803">
        <f>I4803*(1-Q4803)</f>
        <v/>
      </c>
      <c r="S4803">
        <f>R4803/R4802-1</f>
        <v/>
      </c>
      <c r="T4803">
        <f>MAX(T4802,R4803)</f>
        <v/>
      </c>
      <c r="U4803">
        <f>R4803/T4803-1</f>
        <v/>
      </c>
      <c r="V4803" t="n">
        <v>30.53178614696057</v>
      </c>
      <c r="W4803" s="5">
        <f>R4803-V4803</f>
        <v/>
      </c>
    </row>
    <row r="4804">
      <c r="A4804" s="3" t="n">
        <v>45516</v>
      </c>
      <c r="B4804">
        <f>Prices!B4804</f>
        <v/>
      </c>
      <c r="C4804">
        <f>Prices!C4804</f>
        <v/>
      </c>
      <c r="D4804">
        <f>Prices!D4804</f>
        <v/>
      </c>
      <c r="E4804">
        <f>Prices!E4804</f>
        <v/>
      </c>
      <c r="F4804">
        <f>Prices!F4804</f>
        <v/>
      </c>
      <c r="G4804">
        <f>IF(AND(4802&gt;=16,TEXT(A4804,"yyyy-mm")&lt;&gt;TEXT(A4805,"yyyy-mm")),1,0)</f>
        <v/>
      </c>
      <c r="H4804">
        <f>IF(OR(H4803=1,G4804=1),1,0)</f>
        <v/>
      </c>
      <c r="I4804">
        <f>IF(H4803=0,1,SUMPRODUCT(J4803:N4803,B4804:F4804)+O4803*(1+0.00023125256064071564))</f>
        <v/>
      </c>
      <c r="J4804">
        <f>IF(G4804=1,0.2*R4804/B4804,J4803)</f>
        <v/>
      </c>
      <c r="K4804">
        <f>IF(G4804=1,0.2*R4804/C4804,K4803)</f>
        <v/>
      </c>
      <c r="L4804">
        <f>IF(G4804=1,0.2*R4804/D4804,L4803)</f>
        <v/>
      </c>
      <c r="M4804">
        <f>IF(G4804=1,0.2*R4804/E4804,M4803)</f>
        <v/>
      </c>
      <c r="N4804">
        <f>IF(G4804=1,0.2*R4804/F4804,N4803)</f>
        <v/>
      </c>
      <c r="O4804">
        <f>IF(G4804=1,R4804*(1-1.0),IF(H4803=0,1,O4803*(1+0.00023125256064071564)))</f>
        <v/>
      </c>
      <c r="P4804">
        <f>IF(G4804=1,IF(H4803=0,1,ABS(0.2-J4803*B4804/I4804)+ABS(0.2-K4803*C4804/I4804)+ABS(0.2-L4803*D4804/I4804)+ABS(0.2-M4803*E4804/I4804)+ABS(0.2-N4803*F4804/I4804)),0)</f>
        <v/>
      </c>
      <c r="Q4804">
        <f>P4804*0.0015</f>
        <v/>
      </c>
      <c r="R4804">
        <f>I4804*(1-Q4804)</f>
        <v/>
      </c>
      <c r="S4804">
        <f>R4804/R4803-1</f>
        <v/>
      </c>
      <c r="T4804">
        <f>MAX(T4803,R4804)</f>
        <v/>
      </c>
      <c r="U4804">
        <f>R4804/T4804-1</f>
        <v/>
      </c>
      <c r="V4804" t="n">
        <v>30.57229743070793</v>
      </c>
      <c r="W4804" s="5">
        <f>R4804-V4804</f>
        <v/>
      </c>
    </row>
    <row r="4805">
      <c r="A4805" s="3" t="n">
        <v>45517</v>
      </c>
      <c r="B4805">
        <f>Prices!B4805</f>
        <v/>
      </c>
      <c r="C4805">
        <f>Prices!C4805</f>
        <v/>
      </c>
      <c r="D4805">
        <f>Prices!D4805</f>
        <v/>
      </c>
      <c r="E4805">
        <f>Prices!E4805</f>
        <v/>
      </c>
      <c r="F4805">
        <f>Prices!F4805</f>
        <v/>
      </c>
      <c r="G4805">
        <f>IF(AND(4803&gt;=16,TEXT(A4805,"yyyy-mm")&lt;&gt;TEXT(A4806,"yyyy-mm")),1,0)</f>
        <v/>
      </c>
      <c r="H4805">
        <f>IF(OR(H4804=1,G4805=1),1,0)</f>
        <v/>
      </c>
      <c r="I4805">
        <f>IF(H4804=0,1,SUMPRODUCT(J4804:N4804,B4805:F4805)+O4804*(1+0.00023125256064071564))</f>
        <v/>
      </c>
      <c r="J4805">
        <f>IF(G4805=1,0.2*R4805/B4805,J4804)</f>
        <v/>
      </c>
      <c r="K4805">
        <f>IF(G4805=1,0.2*R4805/C4805,K4804)</f>
        <v/>
      </c>
      <c r="L4805">
        <f>IF(G4805=1,0.2*R4805/D4805,L4804)</f>
        <v/>
      </c>
      <c r="M4805">
        <f>IF(G4805=1,0.2*R4805/E4805,M4804)</f>
        <v/>
      </c>
      <c r="N4805">
        <f>IF(G4805=1,0.2*R4805/F4805,N4804)</f>
        <v/>
      </c>
      <c r="O4805">
        <f>IF(G4805=1,R4805*(1-1.0),IF(H4804=0,1,O4804*(1+0.00023125256064071564)))</f>
        <v/>
      </c>
      <c r="P4805">
        <f>IF(G4805=1,IF(H4804=0,1,ABS(0.2-J4804*B4805/I4805)+ABS(0.2-K4804*C4805/I4805)+ABS(0.2-L4804*D4805/I4805)+ABS(0.2-M4804*E4805/I4805)+ABS(0.2-N4804*F4805/I4805)),0)</f>
        <v/>
      </c>
      <c r="Q4805">
        <f>P4805*0.0015</f>
        <v/>
      </c>
      <c r="R4805">
        <f>I4805*(1-Q4805)</f>
        <v/>
      </c>
      <c r="S4805">
        <f>R4805/R4804-1</f>
        <v/>
      </c>
      <c r="T4805">
        <f>MAX(T4804,R4805)</f>
        <v/>
      </c>
      <c r="U4805">
        <f>R4805/T4805-1</f>
        <v/>
      </c>
      <c r="V4805" t="n">
        <v>30.29478280789438</v>
      </c>
      <c r="W4805" s="5">
        <f>R4805-V4805</f>
        <v/>
      </c>
    </row>
    <row r="4806">
      <c r="A4806" s="3" t="n">
        <v>45518</v>
      </c>
      <c r="B4806">
        <f>Prices!B4806</f>
        <v/>
      </c>
      <c r="C4806">
        <f>Prices!C4806</f>
        <v/>
      </c>
      <c r="D4806">
        <f>Prices!D4806</f>
        <v/>
      </c>
      <c r="E4806">
        <f>Prices!E4806</f>
        <v/>
      </c>
      <c r="F4806">
        <f>Prices!F4806</f>
        <v/>
      </c>
      <c r="G4806">
        <f>IF(AND(4804&gt;=16,TEXT(A4806,"yyyy-mm")&lt;&gt;TEXT(A4807,"yyyy-mm")),1,0)</f>
        <v/>
      </c>
      <c r="H4806">
        <f>IF(OR(H4805=1,G4806=1),1,0)</f>
        <v/>
      </c>
      <c r="I4806">
        <f>IF(H4805=0,1,SUMPRODUCT(J4805:N4805,B4806:F4806)+O4805*(1+0.00023125256064071564))</f>
        <v/>
      </c>
      <c r="J4806">
        <f>IF(G4806=1,0.2*R4806/B4806,J4805)</f>
        <v/>
      </c>
      <c r="K4806">
        <f>IF(G4806=1,0.2*R4806/C4806,K4805)</f>
        <v/>
      </c>
      <c r="L4806">
        <f>IF(G4806=1,0.2*R4806/D4806,L4805)</f>
        <v/>
      </c>
      <c r="M4806">
        <f>IF(G4806=1,0.2*R4806/E4806,M4805)</f>
        <v/>
      </c>
      <c r="N4806">
        <f>IF(G4806=1,0.2*R4806/F4806,N4805)</f>
        <v/>
      </c>
      <c r="O4806">
        <f>IF(G4806=1,R4806*(1-1.0),IF(H4805=0,1,O4805*(1+0.00023125256064071564)))</f>
        <v/>
      </c>
      <c r="P4806">
        <f>IF(G4806=1,IF(H4805=0,1,ABS(0.2-J4805*B4806/I4806)+ABS(0.2-K4805*C4806/I4806)+ABS(0.2-L4805*D4806/I4806)+ABS(0.2-M4805*E4806/I4806)+ABS(0.2-N4805*F4806/I4806)),0)</f>
        <v/>
      </c>
      <c r="Q4806">
        <f>P4806*0.0015</f>
        <v/>
      </c>
      <c r="R4806">
        <f>I4806*(1-Q4806)</f>
        <v/>
      </c>
      <c r="S4806">
        <f>R4806/R4805-1</f>
        <v/>
      </c>
      <c r="T4806">
        <f>MAX(T4805,R4806)</f>
        <v/>
      </c>
      <c r="U4806">
        <f>R4806/T4806-1</f>
        <v/>
      </c>
      <c r="V4806" t="n">
        <v>30.11569994148985</v>
      </c>
      <c r="W4806" s="5">
        <f>R4806-V4806</f>
        <v/>
      </c>
    </row>
    <row r="4807">
      <c r="A4807" s="3" t="n">
        <v>45520</v>
      </c>
      <c r="B4807">
        <f>Prices!B4807</f>
        <v/>
      </c>
      <c r="C4807">
        <f>Prices!C4807</f>
        <v/>
      </c>
      <c r="D4807">
        <f>Prices!D4807</f>
        <v/>
      </c>
      <c r="E4807">
        <f>Prices!E4807</f>
        <v/>
      </c>
      <c r="F4807">
        <f>Prices!F4807</f>
        <v/>
      </c>
      <c r="G4807">
        <f>IF(AND(4805&gt;=16,TEXT(A4807,"yyyy-mm")&lt;&gt;TEXT(A4808,"yyyy-mm")),1,0)</f>
        <v/>
      </c>
      <c r="H4807">
        <f>IF(OR(H4806=1,G4807=1),1,0)</f>
        <v/>
      </c>
      <c r="I4807">
        <f>IF(H4806=0,1,SUMPRODUCT(J4806:N4806,B4807:F4807)+O4806*(1+0.00023125256064071564))</f>
        <v/>
      </c>
      <c r="J4807">
        <f>IF(G4807=1,0.2*R4807/B4807,J4806)</f>
        <v/>
      </c>
      <c r="K4807">
        <f>IF(G4807=1,0.2*R4807/C4807,K4806)</f>
        <v/>
      </c>
      <c r="L4807">
        <f>IF(G4807=1,0.2*R4807/D4807,L4806)</f>
        <v/>
      </c>
      <c r="M4807">
        <f>IF(G4807=1,0.2*R4807/E4807,M4806)</f>
        <v/>
      </c>
      <c r="N4807">
        <f>IF(G4807=1,0.2*R4807/F4807,N4806)</f>
        <v/>
      </c>
      <c r="O4807">
        <f>IF(G4807=1,R4807*(1-1.0),IF(H4806=0,1,O4806*(1+0.00023125256064071564)))</f>
        <v/>
      </c>
      <c r="P4807">
        <f>IF(G4807=1,IF(H4806=0,1,ABS(0.2-J4806*B4807/I4807)+ABS(0.2-K4806*C4807/I4807)+ABS(0.2-L4806*D4807/I4807)+ABS(0.2-M4806*E4807/I4807)+ABS(0.2-N4806*F4807/I4807)),0)</f>
        <v/>
      </c>
      <c r="Q4807">
        <f>P4807*0.0015</f>
        <v/>
      </c>
      <c r="R4807">
        <f>I4807*(1-Q4807)</f>
        <v/>
      </c>
      <c r="S4807">
        <f>R4807/R4806-1</f>
        <v/>
      </c>
      <c r="T4807">
        <f>MAX(T4806,R4807)</f>
        <v/>
      </c>
      <c r="U4807">
        <f>R4807/T4807-1</f>
        <v/>
      </c>
      <c r="V4807" t="n">
        <v>30.65702206814865</v>
      </c>
      <c r="W4807" s="5">
        <f>R4807-V4807</f>
        <v/>
      </c>
    </row>
    <row r="4808">
      <c r="A4808" s="3" t="n">
        <v>45523</v>
      </c>
      <c r="B4808">
        <f>Prices!B4808</f>
        <v/>
      </c>
      <c r="C4808">
        <f>Prices!C4808</f>
        <v/>
      </c>
      <c r="D4808">
        <f>Prices!D4808</f>
        <v/>
      </c>
      <c r="E4808">
        <f>Prices!E4808</f>
        <v/>
      </c>
      <c r="F4808">
        <f>Prices!F4808</f>
        <v/>
      </c>
      <c r="G4808">
        <f>IF(AND(4806&gt;=16,TEXT(A4808,"yyyy-mm")&lt;&gt;TEXT(A4809,"yyyy-mm")),1,0)</f>
        <v/>
      </c>
      <c r="H4808">
        <f>IF(OR(H4807=1,G4808=1),1,0)</f>
        <v/>
      </c>
      <c r="I4808">
        <f>IF(H4807=0,1,SUMPRODUCT(J4807:N4807,B4808:F4808)+O4807*(1+0.00023125256064071564))</f>
        <v/>
      </c>
      <c r="J4808">
        <f>IF(G4808=1,0.2*R4808/B4808,J4807)</f>
        <v/>
      </c>
      <c r="K4808">
        <f>IF(G4808=1,0.2*R4808/C4808,K4807)</f>
        <v/>
      </c>
      <c r="L4808">
        <f>IF(G4808=1,0.2*R4808/D4808,L4807)</f>
        <v/>
      </c>
      <c r="M4808">
        <f>IF(G4808=1,0.2*R4808/E4808,M4807)</f>
        <v/>
      </c>
      <c r="N4808">
        <f>IF(G4808=1,0.2*R4808/F4808,N4807)</f>
        <v/>
      </c>
      <c r="O4808">
        <f>IF(G4808=1,R4808*(1-1.0),IF(H4807=0,1,O4807*(1+0.00023125256064071564)))</f>
        <v/>
      </c>
      <c r="P4808">
        <f>IF(G4808=1,IF(H4807=0,1,ABS(0.2-J4807*B4808/I4808)+ABS(0.2-K4807*C4808/I4808)+ABS(0.2-L4807*D4808/I4808)+ABS(0.2-M4807*E4808/I4808)+ABS(0.2-N4807*F4808/I4808)),0)</f>
        <v/>
      </c>
      <c r="Q4808">
        <f>P4808*0.0015</f>
        <v/>
      </c>
      <c r="R4808">
        <f>I4808*(1-Q4808)</f>
        <v/>
      </c>
      <c r="S4808">
        <f>R4808/R4807-1</f>
        <v/>
      </c>
      <c r="T4808">
        <f>MAX(T4807,R4808)</f>
        <v/>
      </c>
      <c r="U4808">
        <f>R4808/T4808-1</f>
        <v/>
      </c>
      <c r="V4808" t="n">
        <v>30.87160657613871</v>
      </c>
      <c r="W4808" s="5">
        <f>R4808-V4808</f>
        <v/>
      </c>
    </row>
    <row r="4809">
      <c r="A4809" s="3" t="n">
        <v>45524</v>
      </c>
      <c r="B4809">
        <f>Prices!B4809</f>
        <v/>
      </c>
      <c r="C4809">
        <f>Prices!C4809</f>
        <v/>
      </c>
      <c r="D4809">
        <f>Prices!D4809</f>
        <v/>
      </c>
      <c r="E4809">
        <f>Prices!E4809</f>
        <v/>
      </c>
      <c r="F4809">
        <f>Prices!F4809</f>
        <v/>
      </c>
      <c r="G4809">
        <f>IF(AND(4807&gt;=16,TEXT(A4809,"yyyy-mm")&lt;&gt;TEXT(A4810,"yyyy-mm")),1,0)</f>
        <v/>
      </c>
      <c r="H4809">
        <f>IF(OR(H4808=1,G4809=1),1,0)</f>
        <v/>
      </c>
      <c r="I4809">
        <f>IF(H4808=0,1,SUMPRODUCT(J4808:N4808,B4809:F4809)+O4808*(1+0.00023125256064071564))</f>
        <v/>
      </c>
      <c r="J4809">
        <f>IF(G4809=1,0.2*R4809/B4809,J4808)</f>
        <v/>
      </c>
      <c r="K4809">
        <f>IF(G4809=1,0.2*R4809/C4809,K4808)</f>
        <v/>
      </c>
      <c r="L4809">
        <f>IF(G4809=1,0.2*R4809/D4809,L4808)</f>
        <v/>
      </c>
      <c r="M4809">
        <f>IF(G4809=1,0.2*R4809/E4809,M4808)</f>
        <v/>
      </c>
      <c r="N4809">
        <f>IF(G4809=1,0.2*R4809/F4809,N4808)</f>
        <v/>
      </c>
      <c r="O4809">
        <f>IF(G4809=1,R4809*(1-1.0),IF(H4808=0,1,O4808*(1+0.00023125256064071564)))</f>
        <v/>
      </c>
      <c r="P4809">
        <f>IF(G4809=1,IF(H4808=0,1,ABS(0.2-J4808*B4809/I4809)+ABS(0.2-K4808*C4809/I4809)+ABS(0.2-L4808*D4809/I4809)+ABS(0.2-M4808*E4809/I4809)+ABS(0.2-N4808*F4809/I4809)),0)</f>
        <v/>
      </c>
      <c r="Q4809">
        <f>P4809*0.0015</f>
        <v/>
      </c>
      <c r="R4809">
        <f>I4809*(1-Q4809)</f>
        <v/>
      </c>
      <c r="S4809">
        <f>R4809/R4808-1</f>
        <v/>
      </c>
      <c r="T4809">
        <f>MAX(T4808,R4809)</f>
        <v/>
      </c>
      <c r="U4809">
        <f>R4809/T4809-1</f>
        <v/>
      </c>
      <c r="V4809" t="n">
        <v>31.03543110871192</v>
      </c>
      <c r="W4809" s="5">
        <f>R4809-V4809</f>
        <v/>
      </c>
    </row>
    <row r="4810">
      <c r="A4810" s="3" t="n">
        <v>45525</v>
      </c>
      <c r="B4810">
        <f>Prices!B4810</f>
        <v/>
      </c>
      <c r="C4810">
        <f>Prices!C4810</f>
        <v/>
      </c>
      <c r="D4810">
        <f>Prices!D4810</f>
        <v/>
      </c>
      <c r="E4810">
        <f>Prices!E4810</f>
        <v/>
      </c>
      <c r="F4810">
        <f>Prices!F4810</f>
        <v/>
      </c>
      <c r="G4810">
        <f>IF(AND(4808&gt;=16,TEXT(A4810,"yyyy-mm")&lt;&gt;TEXT(A4811,"yyyy-mm")),1,0)</f>
        <v/>
      </c>
      <c r="H4810">
        <f>IF(OR(H4809=1,G4810=1),1,0)</f>
        <v/>
      </c>
      <c r="I4810">
        <f>IF(H4809=0,1,SUMPRODUCT(J4809:N4809,B4810:F4810)+O4809*(1+0.00023125256064071564))</f>
        <v/>
      </c>
      <c r="J4810">
        <f>IF(G4810=1,0.2*R4810/B4810,J4809)</f>
        <v/>
      </c>
      <c r="K4810">
        <f>IF(G4810=1,0.2*R4810/C4810,K4809)</f>
        <v/>
      </c>
      <c r="L4810">
        <f>IF(G4810=1,0.2*R4810/D4810,L4809)</f>
        <v/>
      </c>
      <c r="M4810">
        <f>IF(G4810=1,0.2*R4810/E4810,M4809)</f>
        <v/>
      </c>
      <c r="N4810">
        <f>IF(G4810=1,0.2*R4810/F4810,N4809)</f>
        <v/>
      </c>
      <c r="O4810">
        <f>IF(G4810=1,R4810*(1-1.0),IF(H4809=0,1,O4809*(1+0.00023125256064071564)))</f>
        <v/>
      </c>
      <c r="P4810">
        <f>IF(G4810=1,IF(H4809=0,1,ABS(0.2-J4809*B4810/I4810)+ABS(0.2-K4809*C4810/I4810)+ABS(0.2-L4809*D4810/I4810)+ABS(0.2-M4809*E4810/I4810)+ABS(0.2-N4809*F4810/I4810)),0)</f>
        <v/>
      </c>
      <c r="Q4810">
        <f>P4810*0.0015</f>
        <v/>
      </c>
      <c r="R4810">
        <f>I4810*(1-Q4810)</f>
        <v/>
      </c>
      <c r="S4810">
        <f>R4810/R4809-1</f>
        <v/>
      </c>
      <c r="T4810">
        <f>MAX(T4809,R4810)</f>
        <v/>
      </c>
      <c r="U4810">
        <f>R4810/T4810-1</f>
        <v/>
      </c>
      <c r="V4810" t="n">
        <v>31.15786007144438</v>
      </c>
      <c r="W4810" s="5">
        <f>R4810-V4810</f>
        <v/>
      </c>
    </row>
    <row r="4811">
      <c r="A4811" s="3" t="n">
        <v>45526</v>
      </c>
      <c r="B4811">
        <f>Prices!B4811</f>
        <v/>
      </c>
      <c r="C4811">
        <f>Prices!C4811</f>
        <v/>
      </c>
      <c r="D4811">
        <f>Prices!D4811</f>
        <v/>
      </c>
      <c r="E4811">
        <f>Prices!E4811</f>
        <v/>
      </c>
      <c r="F4811">
        <f>Prices!F4811</f>
        <v/>
      </c>
      <c r="G4811">
        <f>IF(AND(4809&gt;=16,TEXT(A4811,"yyyy-mm")&lt;&gt;TEXT(A4812,"yyyy-mm")),1,0)</f>
        <v/>
      </c>
      <c r="H4811">
        <f>IF(OR(H4810=1,G4811=1),1,0)</f>
        <v/>
      </c>
      <c r="I4811">
        <f>IF(H4810=0,1,SUMPRODUCT(J4810:N4810,B4811:F4811)+O4810*(1+0.00023125256064071564))</f>
        <v/>
      </c>
      <c r="J4811">
        <f>IF(G4811=1,0.2*R4811/B4811,J4810)</f>
        <v/>
      </c>
      <c r="K4811">
        <f>IF(G4811=1,0.2*R4811/C4811,K4810)</f>
        <v/>
      </c>
      <c r="L4811">
        <f>IF(G4811=1,0.2*R4811/D4811,L4810)</f>
        <v/>
      </c>
      <c r="M4811">
        <f>IF(G4811=1,0.2*R4811/E4811,M4810)</f>
        <v/>
      </c>
      <c r="N4811">
        <f>IF(G4811=1,0.2*R4811/F4811,N4810)</f>
        <v/>
      </c>
      <c r="O4811">
        <f>IF(G4811=1,R4811*(1-1.0),IF(H4810=0,1,O4810*(1+0.00023125256064071564)))</f>
        <v/>
      </c>
      <c r="P4811">
        <f>IF(G4811=1,IF(H4810=0,1,ABS(0.2-J4810*B4811/I4811)+ABS(0.2-K4810*C4811/I4811)+ABS(0.2-L4810*D4811/I4811)+ABS(0.2-M4810*E4811/I4811)+ABS(0.2-N4810*F4811/I4811)),0)</f>
        <v/>
      </c>
      <c r="Q4811">
        <f>P4811*0.0015</f>
        <v/>
      </c>
      <c r="R4811">
        <f>I4811*(1-Q4811)</f>
        <v/>
      </c>
      <c r="S4811">
        <f>R4811/R4810-1</f>
        <v/>
      </c>
      <c r="T4811">
        <f>MAX(T4810,R4811)</f>
        <v/>
      </c>
      <c r="U4811">
        <f>R4811/T4811-1</f>
        <v/>
      </c>
      <c r="V4811" t="n">
        <v>31.27930114535726</v>
      </c>
      <c r="W4811" s="5">
        <f>R4811-V4811</f>
        <v/>
      </c>
    </row>
    <row r="4812">
      <c r="A4812" s="3" t="n">
        <v>45527</v>
      </c>
      <c r="B4812">
        <f>Prices!B4812</f>
        <v/>
      </c>
      <c r="C4812">
        <f>Prices!C4812</f>
        <v/>
      </c>
      <c r="D4812">
        <f>Prices!D4812</f>
        <v/>
      </c>
      <c r="E4812">
        <f>Prices!E4812</f>
        <v/>
      </c>
      <c r="F4812">
        <f>Prices!F4812</f>
        <v/>
      </c>
      <c r="G4812">
        <f>IF(AND(4810&gt;=16,TEXT(A4812,"yyyy-mm")&lt;&gt;TEXT(A4813,"yyyy-mm")),1,0)</f>
        <v/>
      </c>
      <c r="H4812">
        <f>IF(OR(H4811=1,G4812=1),1,0)</f>
        <v/>
      </c>
      <c r="I4812">
        <f>IF(H4811=0,1,SUMPRODUCT(J4811:N4811,B4812:F4812)+O4811*(1+0.00023125256064071564))</f>
        <v/>
      </c>
      <c r="J4812">
        <f>IF(G4812=1,0.2*R4812/B4812,J4811)</f>
        <v/>
      </c>
      <c r="K4812">
        <f>IF(G4812=1,0.2*R4812/C4812,K4811)</f>
        <v/>
      </c>
      <c r="L4812">
        <f>IF(G4812=1,0.2*R4812/D4812,L4811)</f>
        <v/>
      </c>
      <c r="M4812">
        <f>IF(G4812=1,0.2*R4812/E4812,M4811)</f>
        <v/>
      </c>
      <c r="N4812">
        <f>IF(G4812=1,0.2*R4812/F4812,N4811)</f>
        <v/>
      </c>
      <c r="O4812">
        <f>IF(G4812=1,R4812*(1-1.0),IF(H4811=0,1,O4811*(1+0.00023125256064071564)))</f>
        <v/>
      </c>
      <c r="P4812">
        <f>IF(G4812=1,IF(H4811=0,1,ABS(0.2-J4811*B4812/I4812)+ABS(0.2-K4811*C4812/I4812)+ABS(0.2-L4811*D4812/I4812)+ABS(0.2-M4811*E4812/I4812)+ABS(0.2-N4811*F4812/I4812)),0)</f>
        <v/>
      </c>
      <c r="Q4812">
        <f>P4812*0.0015</f>
        <v/>
      </c>
      <c r="R4812">
        <f>I4812*(1-Q4812)</f>
        <v/>
      </c>
      <c r="S4812">
        <f>R4812/R4811-1</f>
        <v/>
      </c>
      <c r="T4812">
        <f>MAX(T4811,R4812)</f>
        <v/>
      </c>
      <c r="U4812">
        <f>R4812/T4812-1</f>
        <v/>
      </c>
      <c r="V4812" t="n">
        <v>31.22707642909739</v>
      </c>
      <c r="W4812" s="5">
        <f>R4812-V4812</f>
        <v/>
      </c>
    </row>
    <row r="4813">
      <c r="A4813" s="3" t="n">
        <v>45530</v>
      </c>
      <c r="B4813">
        <f>Prices!B4813</f>
        <v/>
      </c>
      <c r="C4813">
        <f>Prices!C4813</f>
        <v/>
      </c>
      <c r="D4813">
        <f>Prices!D4813</f>
        <v/>
      </c>
      <c r="E4813">
        <f>Prices!E4813</f>
        <v/>
      </c>
      <c r="F4813">
        <f>Prices!F4813</f>
        <v/>
      </c>
      <c r="G4813">
        <f>IF(AND(4811&gt;=16,TEXT(A4813,"yyyy-mm")&lt;&gt;TEXT(A4814,"yyyy-mm")),1,0)</f>
        <v/>
      </c>
      <c r="H4813">
        <f>IF(OR(H4812=1,G4813=1),1,0)</f>
        <v/>
      </c>
      <c r="I4813">
        <f>IF(H4812=0,1,SUMPRODUCT(J4812:N4812,B4813:F4813)+O4812*(1+0.00023125256064071564))</f>
        <v/>
      </c>
      <c r="J4813">
        <f>IF(G4813=1,0.2*R4813/B4813,J4812)</f>
        <v/>
      </c>
      <c r="K4813">
        <f>IF(G4813=1,0.2*R4813/C4813,K4812)</f>
        <v/>
      </c>
      <c r="L4813">
        <f>IF(G4813=1,0.2*R4813/D4813,L4812)</f>
        <v/>
      </c>
      <c r="M4813">
        <f>IF(G4813=1,0.2*R4813/E4813,M4812)</f>
        <v/>
      </c>
      <c r="N4813">
        <f>IF(G4813=1,0.2*R4813/F4813,N4812)</f>
        <v/>
      </c>
      <c r="O4813">
        <f>IF(G4813=1,R4813*(1-1.0),IF(H4812=0,1,O4812*(1+0.00023125256064071564)))</f>
        <v/>
      </c>
      <c r="P4813">
        <f>IF(G4813=1,IF(H4812=0,1,ABS(0.2-J4812*B4813/I4813)+ABS(0.2-K4812*C4813/I4813)+ABS(0.2-L4812*D4813/I4813)+ABS(0.2-M4812*E4813/I4813)+ABS(0.2-N4812*F4813/I4813)),0)</f>
        <v/>
      </c>
      <c r="Q4813">
        <f>P4813*0.0015</f>
        <v/>
      </c>
      <c r="R4813">
        <f>I4813*(1-Q4813)</f>
        <v/>
      </c>
      <c r="S4813">
        <f>R4813/R4812-1</f>
        <v/>
      </c>
      <c r="T4813">
        <f>MAX(T4812,R4813)</f>
        <v/>
      </c>
      <c r="U4813">
        <f>R4813/T4813-1</f>
        <v/>
      </c>
      <c r="V4813" t="n">
        <v>31.40170642992899</v>
      </c>
      <c r="W4813" s="5">
        <f>R4813-V4813</f>
        <v/>
      </c>
    </row>
    <row r="4814">
      <c r="A4814" s="3" t="n">
        <v>45531</v>
      </c>
      <c r="B4814">
        <f>Prices!B4814</f>
        <v/>
      </c>
      <c r="C4814">
        <f>Prices!C4814</f>
        <v/>
      </c>
      <c r="D4814">
        <f>Prices!D4814</f>
        <v/>
      </c>
      <c r="E4814">
        <f>Prices!E4814</f>
        <v/>
      </c>
      <c r="F4814">
        <f>Prices!F4814</f>
        <v/>
      </c>
      <c r="G4814">
        <f>IF(AND(4812&gt;=16,TEXT(A4814,"yyyy-mm")&lt;&gt;TEXT(A4815,"yyyy-mm")),1,0)</f>
        <v/>
      </c>
      <c r="H4814">
        <f>IF(OR(H4813=1,G4814=1),1,0)</f>
        <v/>
      </c>
      <c r="I4814">
        <f>IF(H4813=0,1,SUMPRODUCT(J4813:N4813,B4814:F4814)+O4813*(1+0.00023125256064071564))</f>
        <v/>
      </c>
      <c r="J4814">
        <f>IF(G4814=1,0.2*R4814/B4814,J4813)</f>
        <v/>
      </c>
      <c r="K4814">
        <f>IF(G4814=1,0.2*R4814/C4814,K4813)</f>
        <v/>
      </c>
      <c r="L4814">
        <f>IF(G4814=1,0.2*R4814/D4814,L4813)</f>
        <v/>
      </c>
      <c r="M4814">
        <f>IF(G4814=1,0.2*R4814/E4814,M4813)</f>
        <v/>
      </c>
      <c r="N4814">
        <f>IF(G4814=1,0.2*R4814/F4814,N4813)</f>
        <v/>
      </c>
      <c r="O4814">
        <f>IF(G4814=1,R4814*(1-1.0),IF(H4813=0,1,O4813*(1+0.00023125256064071564)))</f>
        <v/>
      </c>
      <c r="P4814">
        <f>IF(G4814=1,IF(H4813=0,1,ABS(0.2-J4813*B4814/I4814)+ABS(0.2-K4813*C4814/I4814)+ABS(0.2-L4813*D4814/I4814)+ABS(0.2-M4813*E4814/I4814)+ABS(0.2-N4813*F4814/I4814)),0)</f>
        <v/>
      </c>
      <c r="Q4814">
        <f>P4814*0.0015</f>
        <v/>
      </c>
      <c r="R4814">
        <f>I4814*(1-Q4814)</f>
        <v/>
      </c>
      <c r="S4814">
        <f>R4814/R4813-1</f>
        <v/>
      </c>
      <c r="T4814">
        <f>MAX(T4813,R4814)</f>
        <v/>
      </c>
      <c r="U4814">
        <f>R4814/T4814-1</f>
        <v/>
      </c>
      <c r="V4814" t="n">
        <v>31.5094226182951</v>
      </c>
      <c r="W4814" s="5">
        <f>R4814-V4814</f>
        <v/>
      </c>
    </row>
    <row r="4815">
      <c r="A4815" s="3" t="n">
        <v>45532</v>
      </c>
      <c r="B4815">
        <f>Prices!B4815</f>
        <v/>
      </c>
      <c r="C4815">
        <f>Prices!C4815</f>
        <v/>
      </c>
      <c r="D4815">
        <f>Prices!D4815</f>
        <v/>
      </c>
      <c r="E4815">
        <f>Prices!E4815</f>
        <v/>
      </c>
      <c r="F4815">
        <f>Prices!F4815</f>
        <v/>
      </c>
      <c r="G4815">
        <f>IF(AND(4813&gt;=16,TEXT(A4815,"yyyy-mm")&lt;&gt;TEXT(A4816,"yyyy-mm")),1,0)</f>
        <v/>
      </c>
      <c r="H4815">
        <f>IF(OR(H4814=1,G4815=1),1,0)</f>
        <v/>
      </c>
      <c r="I4815">
        <f>IF(H4814=0,1,SUMPRODUCT(J4814:N4814,B4815:F4815)+O4814*(1+0.00023125256064071564))</f>
        <v/>
      </c>
      <c r="J4815">
        <f>IF(G4815=1,0.2*R4815/B4815,J4814)</f>
        <v/>
      </c>
      <c r="K4815">
        <f>IF(G4815=1,0.2*R4815/C4815,K4814)</f>
        <v/>
      </c>
      <c r="L4815">
        <f>IF(G4815=1,0.2*R4815/D4815,L4814)</f>
        <v/>
      </c>
      <c r="M4815">
        <f>IF(G4815=1,0.2*R4815/E4815,M4814)</f>
        <v/>
      </c>
      <c r="N4815">
        <f>IF(G4815=1,0.2*R4815/F4815,N4814)</f>
        <v/>
      </c>
      <c r="O4815">
        <f>IF(G4815=1,R4815*(1-1.0),IF(H4814=0,1,O4814*(1+0.00023125256064071564)))</f>
        <v/>
      </c>
      <c r="P4815">
        <f>IF(G4815=1,IF(H4814=0,1,ABS(0.2-J4814*B4815/I4815)+ABS(0.2-K4814*C4815/I4815)+ABS(0.2-L4814*D4815/I4815)+ABS(0.2-M4814*E4815/I4815)+ABS(0.2-N4814*F4815/I4815)),0)</f>
        <v/>
      </c>
      <c r="Q4815">
        <f>P4815*0.0015</f>
        <v/>
      </c>
      <c r="R4815">
        <f>I4815*(1-Q4815)</f>
        <v/>
      </c>
      <c r="S4815">
        <f>R4815/R4814-1</f>
        <v/>
      </c>
      <c r="T4815">
        <f>MAX(T4814,R4815)</f>
        <v/>
      </c>
      <c r="U4815">
        <f>R4815/T4815-1</f>
        <v/>
      </c>
      <c r="V4815" t="n">
        <v>31.53434271949722</v>
      </c>
      <c r="W4815" s="5">
        <f>R4815-V4815</f>
        <v/>
      </c>
    </row>
    <row r="4816">
      <c r="A4816" s="3" t="n">
        <v>45533</v>
      </c>
      <c r="B4816">
        <f>Prices!B4816</f>
        <v/>
      </c>
      <c r="C4816">
        <f>Prices!C4816</f>
        <v/>
      </c>
      <c r="D4816">
        <f>Prices!D4816</f>
        <v/>
      </c>
      <c r="E4816">
        <f>Prices!E4816</f>
        <v/>
      </c>
      <c r="F4816">
        <f>Prices!F4816</f>
        <v/>
      </c>
      <c r="G4816">
        <f>IF(AND(4814&gt;=16,TEXT(A4816,"yyyy-mm")&lt;&gt;TEXT(A4817,"yyyy-mm")),1,0)</f>
        <v/>
      </c>
      <c r="H4816">
        <f>IF(OR(H4815=1,G4816=1),1,0)</f>
        <v/>
      </c>
      <c r="I4816">
        <f>IF(H4815=0,1,SUMPRODUCT(J4815:N4815,B4816:F4816)+O4815*(1+0.00023125256064071564))</f>
        <v/>
      </c>
      <c r="J4816">
        <f>IF(G4816=1,0.2*R4816/B4816,J4815)</f>
        <v/>
      </c>
      <c r="K4816">
        <f>IF(G4816=1,0.2*R4816/C4816,K4815)</f>
        <v/>
      </c>
      <c r="L4816">
        <f>IF(G4816=1,0.2*R4816/D4816,L4815)</f>
        <v/>
      </c>
      <c r="M4816">
        <f>IF(G4816=1,0.2*R4816/E4816,M4815)</f>
        <v/>
      </c>
      <c r="N4816">
        <f>IF(G4816=1,0.2*R4816/F4816,N4815)</f>
        <v/>
      </c>
      <c r="O4816">
        <f>IF(G4816=1,R4816*(1-1.0),IF(H4815=0,1,O4815*(1+0.00023125256064071564)))</f>
        <v/>
      </c>
      <c r="P4816">
        <f>IF(G4816=1,IF(H4815=0,1,ABS(0.2-J4815*B4816/I4816)+ABS(0.2-K4815*C4816/I4816)+ABS(0.2-L4815*D4816/I4816)+ABS(0.2-M4815*E4816/I4816)+ABS(0.2-N4815*F4816/I4816)),0)</f>
        <v/>
      </c>
      <c r="Q4816">
        <f>P4816*0.0015</f>
        <v/>
      </c>
      <c r="R4816">
        <f>I4816*(1-Q4816)</f>
        <v/>
      </c>
      <c r="S4816">
        <f>R4816/R4815-1</f>
        <v/>
      </c>
      <c r="T4816">
        <f>MAX(T4815,R4816)</f>
        <v/>
      </c>
      <c r="U4816">
        <f>R4816/T4816-1</f>
        <v/>
      </c>
      <c r="V4816" t="n">
        <v>31.49504511277778</v>
      </c>
      <c r="W4816" s="5">
        <f>R4816-V4816</f>
        <v/>
      </c>
    </row>
    <row r="4817">
      <c r="A4817" s="3" t="n">
        <v>45534</v>
      </c>
      <c r="B4817">
        <f>Prices!B4817</f>
        <v/>
      </c>
      <c r="C4817">
        <f>Prices!C4817</f>
        <v/>
      </c>
      <c r="D4817">
        <f>Prices!D4817</f>
        <v/>
      </c>
      <c r="E4817">
        <f>Prices!E4817</f>
        <v/>
      </c>
      <c r="F4817">
        <f>Prices!F4817</f>
        <v/>
      </c>
      <c r="G4817">
        <f>IF(AND(4815&gt;=16,TEXT(A4817,"yyyy-mm")&lt;&gt;TEXT(A4818,"yyyy-mm")),1,0)</f>
        <v/>
      </c>
      <c r="H4817">
        <f>IF(OR(H4816=1,G4817=1),1,0)</f>
        <v/>
      </c>
      <c r="I4817">
        <f>IF(H4816=0,1,SUMPRODUCT(J4816:N4816,B4817:F4817)+O4816*(1+0.00023125256064071564))</f>
        <v/>
      </c>
      <c r="J4817">
        <f>IF(G4817=1,0.2*R4817/B4817,J4816)</f>
        <v/>
      </c>
      <c r="K4817">
        <f>IF(G4817=1,0.2*R4817/C4817,K4816)</f>
        <v/>
      </c>
      <c r="L4817">
        <f>IF(G4817=1,0.2*R4817/D4817,L4816)</f>
        <v/>
      </c>
      <c r="M4817">
        <f>IF(G4817=1,0.2*R4817/E4817,M4816)</f>
        <v/>
      </c>
      <c r="N4817">
        <f>IF(G4817=1,0.2*R4817/F4817,N4816)</f>
        <v/>
      </c>
      <c r="O4817">
        <f>IF(G4817=1,R4817*(1-1.0),IF(H4816=0,1,O4816*(1+0.00023125256064071564)))</f>
        <v/>
      </c>
      <c r="P4817">
        <f>IF(G4817=1,IF(H4816=0,1,ABS(0.2-J4816*B4817/I4817)+ABS(0.2-K4816*C4817/I4817)+ABS(0.2-L4816*D4817/I4817)+ABS(0.2-M4816*E4817/I4817)+ABS(0.2-N4816*F4817/I4817)),0)</f>
        <v/>
      </c>
      <c r="Q4817">
        <f>P4817*0.0015</f>
        <v/>
      </c>
      <c r="R4817">
        <f>I4817*(1-Q4817)</f>
        <v/>
      </c>
      <c r="S4817">
        <f>R4817/R4816-1</f>
        <v/>
      </c>
      <c r="T4817">
        <f>MAX(T4816,R4817)</f>
        <v/>
      </c>
      <c r="U4817">
        <f>R4817/T4817-1</f>
        <v/>
      </c>
      <c r="V4817" t="n">
        <v>31.6602577101715</v>
      </c>
      <c r="W4817" s="5">
        <f>R4817-V4817</f>
        <v/>
      </c>
    </row>
    <row r="4818">
      <c r="A4818" s="3" t="n">
        <v>45537</v>
      </c>
      <c r="B4818">
        <f>Prices!B4818</f>
        <v/>
      </c>
      <c r="C4818">
        <f>Prices!C4818</f>
        <v/>
      </c>
      <c r="D4818">
        <f>Prices!D4818</f>
        <v/>
      </c>
      <c r="E4818">
        <f>Prices!E4818</f>
        <v/>
      </c>
      <c r="F4818">
        <f>Prices!F4818</f>
        <v/>
      </c>
      <c r="G4818">
        <f>IF(AND(4816&gt;=16,TEXT(A4818,"yyyy-mm")&lt;&gt;TEXT(A4819,"yyyy-mm")),1,0)</f>
        <v/>
      </c>
      <c r="H4818">
        <f>IF(OR(H4817=1,G4818=1),1,0)</f>
        <v/>
      </c>
      <c r="I4818">
        <f>IF(H4817=0,1,SUMPRODUCT(J4817:N4817,B4818:F4818)+O4817*(1+0.00023125256064071564))</f>
        <v/>
      </c>
      <c r="J4818">
        <f>IF(G4818=1,0.2*R4818/B4818,J4817)</f>
        <v/>
      </c>
      <c r="K4818">
        <f>IF(G4818=1,0.2*R4818/C4818,K4817)</f>
        <v/>
      </c>
      <c r="L4818">
        <f>IF(G4818=1,0.2*R4818/D4818,L4817)</f>
        <v/>
      </c>
      <c r="M4818">
        <f>IF(G4818=1,0.2*R4818/E4818,M4817)</f>
        <v/>
      </c>
      <c r="N4818">
        <f>IF(G4818=1,0.2*R4818/F4818,N4817)</f>
        <v/>
      </c>
      <c r="O4818">
        <f>IF(G4818=1,R4818*(1-1.0),IF(H4817=0,1,O4817*(1+0.00023125256064071564)))</f>
        <v/>
      </c>
      <c r="P4818">
        <f>IF(G4818=1,IF(H4817=0,1,ABS(0.2-J4817*B4818/I4818)+ABS(0.2-K4817*C4818/I4818)+ABS(0.2-L4817*D4818/I4818)+ABS(0.2-M4817*E4818/I4818)+ABS(0.2-N4817*F4818/I4818)),0)</f>
        <v/>
      </c>
      <c r="Q4818">
        <f>P4818*0.0015</f>
        <v/>
      </c>
      <c r="R4818">
        <f>I4818*(1-Q4818)</f>
        <v/>
      </c>
      <c r="S4818">
        <f>R4818/R4817-1</f>
        <v/>
      </c>
      <c r="T4818">
        <f>MAX(T4817,R4818)</f>
        <v/>
      </c>
      <c r="U4818">
        <f>R4818/T4818-1</f>
        <v/>
      </c>
      <c r="V4818" t="n">
        <v>31.59944439522071</v>
      </c>
      <c r="W4818" s="5">
        <f>R4818-V4818</f>
        <v/>
      </c>
    </row>
    <row r="4819">
      <c r="A4819" s="3" t="n">
        <v>45538</v>
      </c>
      <c r="B4819">
        <f>Prices!B4819</f>
        <v/>
      </c>
      <c r="C4819">
        <f>Prices!C4819</f>
        <v/>
      </c>
      <c r="D4819">
        <f>Prices!D4819</f>
        <v/>
      </c>
      <c r="E4819">
        <f>Prices!E4819</f>
        <v/>
      </c>
      <c r="F4819">
        <f>Prices!F4819</f>
        <v/>
      </c>
      <c r="G4819">
        <f>IF(AND(4817&gt;=16,TEXT(A4819,"yyyy-mm")&lt;&gt;TEXT(A4820,"yyyy-mm")),1,0)</f>
        <v/>
      </c>
      <c r="H4819">
        <f>IF(OR(H4818=1,G4819=1),1,0)</f>
        <v/>
      </c>
      <c r="I4819">
        <f>IF(H4818=0,1,SUMPRODUCT(J4818:N4818,B4819:F4819)+O4818*(1+0.00023125256064071564))</f>
        <v/>
      </c>
      <c r="J4819">
        <f>IF(G4819=1,0.2*R4819/B4819,J4818)</f>
        <v/>
      </c>
      <c r="K4819">
        <f>IF(G4819=1,0.2*R4819/C4819,K4818)</f>
        <v/>
      </c>
      <c r="L4819">
        <f>IF(G4819=1,0.2*R4819/D4819,L4818)</f>
        <v/>
      </c>
      <c r="M4819">
        <f>IF(G4819=1,0.2*R4819/E4819,M4818)</f>
        <v/>
      </c>
      <c r="N4819">
        <f>IF(G4819=1,0.2*R4819/F4819,N4818)</f>
        <v/>
      </c>
      <c r="O4819">
        <f>IF(G4819=1,R4819*(1-1.0),IF(H4818=0,1,O4818*(1+0.00023125256064071564)))</f>
        <v/>
      </c>
      <c r="P4819">
        <f>IF(G4819=1,IF(H4818=0,1,ABS(0.2-J4818*B4819/I4819)+ABS(0.2-K4818*C4819/I4819)+ABS(0.2-L4818*D4819/I4819)+ABS(0.2-M4818*E4819/I4819)+ABS(0.2-N4818*F4819/I4819)),0)</f>
        <v/>
      </c>
      <c r="Q4819">
        <f>P4819*0.0015</f>
        <v/>
      </c>
      <c r="R4819">
        <f>I4819*(1-Q4819)</f>
        <v/>
      </c>
      <c r="S4819">
        <f>R4819/R4818-1</f>
        <v/>
      </c>
      <c r="T4819">
        <f>MAX(T4818,R4819)</f>
        <v/>
      </c>
      <c r="U4819">
        <f>R4819/T4819-1</f>
        <v/>
      </c>
      <c r="V4819" t="n">
        <v>31.64401586271687</v>
      </c>
      <c r="W4819" s="5">
        <f>R4819-V4819</f>
        <v/>
      </c>
    </row>
    <row r="4820">
      <c r="A4820" s="3" t="n">
        <v>45539</v>
      </c>
      <c r="B4820">
        <f>Prices!B4820</f>
        <v/>
      </c>
      <c r="C4820">
        <f>Prices!C4820</f>
        <v/>
      </c>
      <c r="D4820">
        <f>Prices!D4820</f>
        <v/>
      </c>
      <c r="E4820">
        <f>Prices!E4820</f>
        <v/>
      </c>
      <c r="F4820">
        <f>Prices!F4820</f>
        <v/>
      </c>
      <c r="G4820">
        <f>IF(AND(4818&gt;=16,TEXT(A4820,"yyyy-mm")&lt;&gt;TEXT(A4821,"yyyy-mm")),1,0)</f>
        <v/>
      </c>
      <c r="H4820">
        <f>IF(OR(H4819=1,G4820=1),1,0)</f>
        <v/>
      </c>
      <c r="I4820">
        <f>IF(H4819=0,1,SUMPRODUCT(J4819:N4819,B4820:F4820)+O4819*(1+0.00023125256064071564))</f>
        <v/>
      </c>
      <c r="J4820">
        <f>IF(G4820=1,0.2*R4820/B4820,J4819)</f>
        <v/>
      </c>
      <c r="K4820">
        <f>IF(G4820=1,0.2*R4820/C4820,K4819)</f>
        <v/>
      </c>
      <c r="L4820">
        <f>IF(G4820=1,0.2*R4820/D4820,L4819)</f>
        <v/>
      </c>
      <c r="M4820">
        <f>IF(G4820=1,0.2*R4820/E4820,M4819)</f>
        <v/>
      </c>
      <c r="N4820">
        <f>IF(G4820=1,0.2*R4820/F4820,N4819)</f>
        <v/>
      </c>
      <c r="O4820">
        <f>IF(G4820=1,R4820*(1-1.0),IF(H4819=0,1,O4819*(1+0.00023125256064071564)))</f>
        <v/>
      </c>
      <c r="P4820">
        <f>IF(G4820=1,IF(H4819=0,1,ABS(0.2-J4819*B4820/I4820)+ABS(0.2-K4819*C4820/I4820)+ABS(0.2-L4819*D4820/I4820)+ABS(0.2-M4819*E4820/I4820)+ABS(0.2-N4819*F4820/I4820)),0)</f>
        <v/>
      </c>
      <c r="Q4820">
        <f>P4820*0.0015</f>
        <v/>
      </c>
      <c r="R4820">
        <f>I4820*(1-Q4820)</f>
        <v/>
      </c>
      <c r="S4820">
        <f>R4820/R4819-1</f>
        <v/>
      </c>
      <c r="T4820">
        <f>MAX(T4819,R4820)</f>
        <v/>
      </c>
      <c r="U4820">
        <f>R4820/T4820-1</f>
        <v/>
      </c>
      <c r="V4820" t="n">
        <v>31.5087747033822</v>
      </c>
      <c r="W4820" s="5">
        <f>R4820-V4820</f>
        <v/>
      </c>
    </row>
    <row r="4821">
      <c r="A4821" s="3" t="n">
        <v>45540</v>
      </c>
      <c r="B4821">
        <f>Prices!B4821</f>
        <v/>
      </c>
      <c r="C4821">
        <f>Prices!C4821</f>
        <v/>
      </c>
      <c r="D4821">
        <f>Prices!D4821</f>
        <v/>
      </c>
      <c r="E4821">
        <f>Prices!E4821</f>
        <v/>
      </c>
      <c r="F4821">
        <f>Prices!F4821</f>
        <v/>
      </c>
      <c r="G4821">
        <f>IF(AND(4819&gt;=16,TEXT(A4821,"yyyy-mm")&lt;&gt;TEXT(A4822,"yyyy-mm")),1,0)</f>
        <v/>
      </c>
      <c r="H4821">
        <f>IF(OR(H4820=1,G4821=1),1,0)</f>
        <v/>
      </c>
      <c r="I4821">
        <f>IF(H4820=0,1,SUMPRODUCT(J4820:N4820,B4821:F4821)+O4820*(1+0.00023125256064071564))</f>
        <v/>
      </c>
      <c r="J4821">
        <f>IF(G4821=1,0.2*R4821/B4821,J4820)</f>
        <v/>
      </c>
      <c r="K4821">
        <f>IF(G4821=1,0.2*R4821/C4821,K4820)</f>
        <v/>
      </c>
      <c r="L4821">
        <f>IF(G4821=1,0.2*R4821/D4821,L4820)</f>
        <v/>
      </c>
      <c r="M4821">
        <f>IF(G4821=1,0.2*R4821/E4821,M4820)</f>
        <v/>
      </c>
      <c r="N4821">
        <f>IF(G4821=1,0.2*R4821/F4821,N4820)</f>
        <v/>
      </c>
      <c r="O4821">
        <f>IF(G4821=1,R4821*(1-1.0),IF(H4820=0,1,O4820*(1+0.00023125256064071564)))</f>
        <v/>
      </c>
      <c r="P4821">
        <f>IF(G4821=1,IF(H4820=0,1,ABS(0.2-J4820*B4821/I4821)+ABS(0.2-K4820*C4821/I4821)+ABS(0.2-L4820*D4821/I4821)+ABS(0.2-M4820*E4821/I4821)+ABS(0.2-N4820*F4821/I4821)),0)</f>
        <v/>
      </c>
      <c r="Q4821">
        <f>P4821*0.0015</f>
        <v/>
      </c>
      <c r="R4821">
        <f>I4821*(1-Q4821)</f>
        <v/>
      </c>
      <c r="S4821">
        <f>R4821/R4820-1</f>
        <v/>
      </c>
      <c r="T4821">
        <f>MAX(T4820,R4821)</f>
        <v/>
      </c>
      <c r="U4821">
        <f>R4821/T4821-1</f>
        <v/>
      </c>
      <c r="V4821" t="n">
        <v>31.46333950961237</v>
      </c>
      <c r="W4821" s="5">
        <f>R4821-V4821</f>
        <v/>
      </c>
    </row>
    <row r="4822">
      <c r="A4822" s="3" t="n">
        <v>45541</v>
      </c>
      <c r="B4822">
        <f>Prices!B4822</f>
        <v/>
      </c>
      <c r="C4822">
        <f>Prices!C4822</f>
        <v/>
      </c>
      <c r="D4822">
        <f>Prices!D4822</f>
        <v/>
      </c>
      <c r="E4822">
        <f>Prices!E4822</f>
        <v/>
      </c>
      <c r="F4822">
        <f>Prices!F4822</f>
        <v/>
      </c>
      <c r="G4822">
        <f>IF(AND(4820&gt;=16,TEXT(A4822,"yyyy-mm")&lt;&gt;TEXT(A4823,"yyyy-mm")),1,0)</f>
        <v/>
      </c>
      <c r="H4822">
        <f>IF(OR(H4821=1,G4822=1),1,0)</f>
        <v/>
      </c>
      <c r="I4822">
        <f>IF(H4821=0,1,SUMPRODUCT(J4821:N4821,B4822:F4822)+O4821*(1+0.00023125256064071564))</f>
        <v/>
      </c>
      <c r="J4822">
        <f>IF(G4822=1,0.2*R4822/B4822,J4821)</f>
        <v/>
      </c>
      <c r="K4822">
        <f>IF(G4822=1,0.2*R4822/C4822,K4821)</f>
        <v/>
      </c>
      <c r="L4822">
        <f>IF(G4822=1,0.2*R4822/D4822,L4821)</f>
        <v/>
      </c>
      <c r="M4822">
        <f>IF(G4822=1,0.2*R4822/E4822,M4821)</f>
        <v/>
      </c>
      <c r="N4822">
        <f>IF(G4822=1,0.2*R4822/F4822,N4821)</f>
        <v/>
      </c>
      <c r="O4822">
        <f>IF(G4822=1,R4822*(1-1.0),IF(H4821=0,1,O4821*(1+0.00023125256064071564)))</f>
        <v/>
      </c>
      <c r="P4822">
        <f>IF(G4822=1,IF(H4821=0,1,ABS(0.2-J4821*B4822/I4822)+ABS(0.2-K4821*C4822/I4822)+ABS(0.2-L4821*D4822/I4822)+ABS(0.2-M4821*E4822/I4822)+ABS(0.2-N4821*F4822/I4822)),0)</f>
        <v/>
      </c>
      <c r="Q4822">
        <f>P4822*0.0015</f>
        <v/>
      </c>
      <c r="R4822">
        <f>I4822*(1-Q4822)</f>
        <v/>
      </c>
      <c r="S4822">
        <f>R4822/R4821-1</f>
        <v/>
      </c>
      <c r="T4822">
        <f>MAX(T4821,R4822)</f>
        <v/>
      </c>
      <c r="U4822">
        <f>R4822/T4822-1</f>
        <v/>
      </c>
      <c r="V4822" t="n">
        <v>31.01390789139765</v>
      </c>
      <c r="W4822" s="5">
        <f>R4822-V4822</f>
        <v/>
      </c>
    </row>
    <row r="4823">
      <c r="A4823" s="3" t="n">
        <v>45544</v>
      </c>
      <c r="B4823">
        <f>Prices!B4823</f>
        <v/>
      </c>
      <c r="C4823">
        <f>Prices!C4823</f>
        <v/>
      </c>
      <c r="D4823">
        <f>Prices!D4823</f>
        <v/>
      </c>
      <c r="E4823">
        <f>Prices!E4823</f>
        <v/>
      </c>
      <c r="F4823">
        <f>Prices!F4823</f>
        <v/>
      </c>
      <c r="G4823">
        <f>IF(AND(4821&gt;=16,TEXT(A4823,"yyyy-mm")&lt;&gt;TEXT(A4824,"yyyy-mm")),1,0)</f>
        <v/>
      </c>
      <c r="H4823">
        <f>IF(OR(H4822=1,G4823=1),1,0)</f>
        <v/>
      </c>
      <c r="I4823">
        <f>IF(H4822=0,1,SUMPRODUCT(J4822:N4822,B4823:F4823)+O4822*(1+0.00023125256064071564))</f>
        <v/>
      </c>
      <c r="J4823">
        <f>IF(G4823=1,0.2*R4823/B4823,J4822)</f>
        <v/>
      </c>
      <c r="K4823">
        <f>IF(G4823=1,0.2*R4823/C4823,K4822)</f>
        <v/>
      </c>
      <c r="L4823">
        <f>IF(G4823=1,0.2*R4823/D4823,L4822)</f>
        <v/>
      </c>
      <c r="M4823">
        <f>IF(G4823=1,0.2*R4823/E4823,M4822)</f>
        <v/>
      </c>
      <c r="N4823">
        <f>IF(G4823=1,0.2*R4823/F4823,N4822)</f>
        <v/>
      </c>
      <c r="O4823">
        <f>IF(G4823=1,R4823*(1-1.0),IF(H4822=0,1,O4822*(1+0.00023125256064071564)))</f>
        <v/>
      </c>
      <c r="P4823">
        <f>IF(G4823=1,IF(H4822=0,1,ABS(0.2-J4822*B4823/I4823)+ABS(0.2-K4822*C4823/I4823)+ABS(0.2-L4822*D4823/I4823)+ABS(0.2-M4822*E4823/I4823)+ABS(0.2-N4822*F4823/I4823)),0)</f>
        <v/>
      </c>
      <c r="Q4823">
        <f>P4823*0.0015</f>
        <v/>
      </c>
      <c r="R4823">
        <f>I4823*(1-Q4823)</f>
        <v/>
      </c>
      <c r="S4823">
        <f>R4823/R4822-1</f>
        <v/>
      </c>
      <c r="T4823">
        <f>MAX(T4822,R4823)</f>
        <v/>
      </c>
      <c r="U4823">
        <f>R4823/T4823-1</f>
        <v/>
      </c>
      <c r="V4823" t="n">
        <v>30.87706985989586</v>
      </c>
      <c r="W4823" s="5">
        <f>R4823-V4823</f>
        <v/>
      </c>
    </row>
    <row r="4824">
      <c r="A4824" s="3" t="n">
        <v>45545</v>
      </c>
      <c r="B4824">
        <f>Prices!B4824</f>
        <v/>
      </c>
      <c r="C4824">
        <f>Prices!C4824</f>
        <v/>
      </c>
      <c r="D4824">
        <f>Prices!D4824</f>
        <v/>
      </c>
      <c r="E4824">
        <f>Prices!E4824</f>
        <v/>
      </c>
      <c r="F4824">
        <f>Prices!F4824</f>
        <v/>
      </c>
      <c r="G4824">
        <f>IF(AND(4822&gt;=16,TEXT(A4824,"yyyy-mm")&lt;&gt;TEXT(A4825,"yyyy-mm")),1,0)</f>
        <v/>
      </c>
      <c r="H4824">
        <f>IF(OR(H4823=1,G4824=1),1,0)</f>
        <v/>
      </c>
      <c r="I4824">
        <f>IF(H4823=0,1,SUMPRODUCT(J4823:N4823,B4824:F4824)+O4823*(1+0.00023125256064071564))</f>
        <v/>
      </c>
      <c r="J4824">
        <f>IF(G4824=1,0.2*R4824/B4824,J4823)</f>
        <v/>
      </c>
      <c r="K4824">
        <f>IF(G4824=1,0.2*R4824/C4824,K4823)</f>
        <v/>
      </c>
      <c r="L4824">
        <f>IF(G4824=1,0.2*R4824/D4824,L4823)</f>
        <v/>
      </c>
      <c r="M4824">
        <f>IF(G4824=1,0.2*R4824/E4824,M4823)</f>
        <v/>
      </c>
      <c r="N4824">
        <f>IF(G4824=1,0.2*R4824/F4824,N4823)</f>
        <v/>
      </c>
      <c r="O4824">
        <f>IF(G4824=1,R4824*(1-1.0),IF(H4823=0,1,O4823*(1+0.00023125256064071564)))</f>
        <v/>
      </c>
      <c r="P4824">
        <f>IF(G4824=1,IF(H4823=0,1,ABS(0.2-J4823*B4824/I4824)+ABS(0.2-K4823*C4824/I4824)+ABS(0.2-L4823*D4824/I4824)+ABS(0.2-M4823*E4824/I4824)+ABS(0.2-N4823*F4824/I4824)),0)</f>
        <v/>
      </c>
      <c r="Q4824">
        <f>P4824*0.0015</f>
        <v/>
      </c>
      <c r="R4824">
        <f>I4824*(1-Q4824)</f>
        <v/>
      </c>
      <c r="S4824">
        <f>R4824/R4823-1</f>
        <v/>
      </c>
      <c r="T4824">
        <f>MAX(T4823,R4824)</f>
        <v/>
      </c>
      <c r="U4824">
        <f>R4824/T4824-1</f>
        <v/>
      </c>
      <c r="V4824" t="n">
        <v>31.0706139893339</v>
      </c>
      <c r="W4824" s="5">
        <f>R4824-V4824</f>
        <v/>
      </c>
    </row>
    <row r="4825">
      <c r="A4825" s="3" t="n">
        <v>45546</v>
      </c>
      <c r="B4825">
        <f>Prices!B4825</f>
        <v/>
      </c>
      <c r="C4825">
        <f>Prices!C4825</f>
        <v/>
      </c>
      <c r="D4825">
        <f>Prices!D4825</f>
        <v/>
      </c>
      <c r="E4825">
        <f>Prices!E4825</f>
        <v/>
      </c>
      <c r="F4825">
        <f>Prices!F4825</f>
        <v/>
      </c>
      <c r="G4825">
        <f>IF(AND(4823&gt;=16,TEXT(A4825,"yyyy-mm")&lt;&gt;TEXT(A4826,"yyyy-mm")),1,0)</f>
        <v/>
      </c>
      <c r="H4825">
        <f>IF(OR(H4824=1,G4825=1),1,0)</f>
        <v/>
      </c>
      <c r="I4825">
        <f>IF(H4824=0,1,SUMPRODUCT(J4824:N4824,B4825:F4825)+O4824*(1+0.00023125256064071564))</f>
        <v/>
      </c>
      <c r="J4825">
        <f>IF(G4825=1,0.2*R4825/B4825,J4824)</f>
        <v/>
      </c>
      <c r="K4825">
        <f>IF(G4825=1,0.2*R4825/C4825,K4824)</f>
        <v/>
      </c>
      <c r="L4825">
        <f>IF(G4825=1,0.2*R4825/D4825,L4824)</f>
        <v/>
      </c>
      <c r="M4825">
        <f>IF(G4825=1,0.2*R4825/E4825,M4824)</f>
        <v/>
      </c>
      <c r="N4825">
        <f>IF(G4825=1,0.2*R4825/F4825,N4824)</f>
        <v/>
      </c>
      <c r="O4825">
        <f>IF(G4825=1,R4825*(1-1.0),IF(H4824=0,1,O4824*(1+0.00023125256064071564)))</f>
        <v/>
      </c>
      <c r="P4825">
        <f>IF(G4825=1,IF(H4824=0,1,ABS(0.2-J4824*B4825/I4825)+ABS(0.2-K4824*C4825/I4825)+ABS(0.2-L4824*D4825/I4825)+ABS(0.2-M4824*E4825/I4825)+ABS(0.2-N4824*F4825/I4825)),0)</f>
        <v/>
      </c>
      <c r="Q4825">
        <f>P4825*0.0015</f>
        <v/>
      </c>
      <c r="R4825">
        <f>I4825*(1-Q4825)</f>
        <v/>
      </c>
      <c r="S4825">
        <f>R4825/R4824-1</f>
        <v/>
      </c>
      <c r="T4825">
        <f>MAX(T4824,R4825)</f>
        <v/>
      </c>
      <c r="U4825">
        <f>R4825/T4825-1</f>
        <v/>
      </c>
      <c r="V4825" t="n">
        <v>30.90731167813733</v>
      </c>
      <c r="W4825" s="5">
        <f>R4825-V4825</f>
        <v/>
      </c>
    </row>
    <row r="4826">
      <c r="A4826" s="3" t="n">
        <v>45547</v>
      </c>
      <c r="B4826">
        <f>Prices!B4826</f>
        <v/>
      </c>
      <c r="C4826">
        <f>Prices!C4826</f>
        <v/>
      </c>
      <c r="D4826">
        <f>Prices!D4826</f>
        <v/>
      </c>
      <c r="E4826">
        <f>Prices!E4826</f>
        <v/>
      </c>
      <c r="F4826">
        <f>Prices!F4826</f>
        <v/>
      </c>
      <c r="G4826">
        <f>IF(AND(4824&gt;=16,TEXT(A4826,"yyyy-mm")&lt;&gt;TEXT(A4827,"yyyy-mm")),1,0)</f>
        <v/>
      </c>
      <c r="H4826">
        <f>IF(OR(H4825=1,G4826=1),1,0)</f>
        <v/>
      </c>
      <c r="I4826">
        <f>IF(H4825=0,1,SUMPRODUCT(J4825:N4825,B4826:F4826)+O4825*(1+0.00023125256064071564))</f>
        <v/>
      </c>
      <c r="J4826">
        <f>IF(G4826=1,0.2*R4826/B4826,J4825)</f>
        <v/>
      </c>
      <c r="K4826">
        <f>IF(G4826=1,0.2*R4826/C4826,K4825)</f>
        <v/>
      </c>
      <c r="L4826">
        <f>IF(G4826=1,0.2*R4826/D4826,L4825)</f>
        <v/>
      </c>
      <c r="M4826">
        <f>IF(G4826=1,0.2*R4826/E4826,M4825)</f>
        <v/>
      </c>
      <c r="N4826">
        <f>IF(G4826=1,0.2*R4826/F4826,N4825)</f>
        <v/>
      </c>
      <c r="O4826">
        <f>IF(G4826=1,R4826*(1-1.0),IF(H4825=0,1,O4825*(1+0.00023125256064071564)))</f>
        <v/>
      </c>
      <c r="P4826">
        <f>IF(G4826=1,IF(H4825=0,1,ABS(0.2-J4825*B4826/I4826)+ABS(0.2-K4825*C4826/I4826)+ABS(0.2-L4825*D4826/I4826)+ABS(0.2-M4825*E4826/I4826)+ABS(0.2-N4825*F4826/I4826)),0)</f>
        <v/>
      </c>
      <c r="Q4826">
        <f>P4826*0.0015</f>
        <v/>
      </c>
      <c r="R4826">
        <f>I4826*(1-Q4826)</f>
        <v/>
      </c>
      <c r="S4826">
        <f>R4826/R4825-1</f>
        <v/>
      </c>
      <c r="T4826">
        <f>MAX(T4825,R4826)</f>
        <v/>
      </c>
      <c r="U4826">
        <f>R4826/T4826-1</f>
        <v/>
      </c>
      <c r="V4826" t="n">
        <v>31.3930311619266</v>
      </c>
      <c r="W4826" s="5">
        <f>R4826-V4826</f>
        <v/>
      </c>
    </row>
    <row r="4827">
      <c r="A4827" s="3" t="n">
        <v>45548</v>
      </c>
      <c r="B4827">
        <f>Prices!B4827</f>
        <v/>
      </c>
      <c r="C4827">
        <f>Prices!C4827</f>
        <v/>
      </c>
      <c r="D4827">
        <f>Prices!D4827</f>
        <v/>
      </c>
      <c r="E4827">
        <f>Prices!E4827</f>
        <v/>
      </c>
      <c r="F4827">
        <f>Prices!F4827</f>
        <v/>
      </c>
      <c r="G4827">
        <f>IF(AND(4825&gt;=16,TEXT(A4827,"yyyy-mm")&lt;&gt;TEXT(A4828,"yyyy-mm")),1,0)</f>
        <v/>
      </c>
      <c r="H4827">
        <f>IF(OR(H4826=1,G4827=1),1,0)</f>
        <v/>
      </c>
      <c r="I4827">
        <f>IF(H4826=0,1,SUMPRODUCT(J4826:N4826,B4827:F4827)+O4826*(1+0.00023125256064071564))</f>
        <v/>
      </c>
      <c r="J4827">
        <f>IF(G4827=1,0.2*R4827/B4827,J4826)</f>
        <v/>
      </c>
      <c r="K4827">
        <f>IF(G4827=1,0.2*R4827/C4827,K4826)</f>
        <v/>
      </c>
      <c r="L4827">
        <f>IF(G4827=1,0.2*R4827/D4827,L4826)</f>
        <v/>
      </c>
      <c r="M4827">
        <f>IF(G4827=1,0.2*R4827/E4827,M4826)</f>
        <v/>
      </c>
      <c r="N4827">
        <f>IF(G4827=1,0.2*R4827/F4827,N4826)</f>
        <v/>
      </c>
      <c r="O4827">
        <f>IF(G4827=1,R4827*(1-1.0),IF(H4826=0,1,O4826*(1+0.00023125256064071564)))</f>
        <v/>
      </c>
      <c r="P4827">
        <f>IF(G4827=1,IF(H4826=0,1,ABS(0.2-J4826*B4827/I4827)+ABS(0.2-K4826*C4827/I4827)+ABS(0.2-L4826*D4827/I4827)+ABS(0.2-M4826*E4827/I4827)+ABS(0.2-N4826*F4827/I4827)),0)</f>
        <v/>
      </c>
      <c r="Q4827">
        <f>P4827*0.0015</f>
        <v/>
      </c>
      <c r="R4827">
        <f>I4827*(1-Q4827)</f>
        <v/>
      </c>
      <c r="S4827">
        <f>R4827/R4826-1</f>
        <v/>
      </c>
      <c r="T4827">
        <f>MAX(T4826,R4827)</f>
        <v/>
      </c>
      <c r="U4827">
        <f>R4827/T4827-1</f>
        <v/>
      </c>
      <c r="V4827" t="n">
        <v>31.47603028242116</v>
      </c>
      <c r="W4827" s="5">
        <f>R4827-V4827</f>
        <v/>
      </c>
    </row>
    <row r="4828">
      <c r="A4828" s="3" t="n">
        <v>45551</v>
      </c>
      <c r="B4828">
        <f>Prices!B4828</f>
        <v/>
      </c>
      <c r="C4828">
        <f>Prices!C4828</f>
        <v/>
      </c>
      <c r="D4828">
        <f>Prices!D4828</f>
        <v/>
      </c>
      <c r="E4828">
        <f>Prices!E4828</f>
        <v/>
      </c>
      <c r="F4828">
        <f>Prices!F4828</f>
        <v/>
      </c>
      <c r="G4828">
        <f>IF(AND(4826&gt;=16,TEXT(A4828,"yyyy-mm")&lt;&gt;TEXT(A4829,"yyyy-mm")),1,0)</f>
        <v/>
      </c>
      <c r="H4828">
        <f>IF(OR(H4827=1,G4828=1),1,0)</f>
        <v/>
      </c>
      <c r="I4828">
        <f>IF(H4827=0,1,SUMPRODUCT(J4827:N4827,B4828:F4828)+O4827*(1+0.00023125256064071564))</f>
        <v/>
      </c>
      <c r="J4828">
        <f>IF(G4828=1,0.2*R4828/B4828,J4827)</f>
        <v/>
      </c>
      <c r="K4828">
        <f>IF(G4828=1,0.2*R4828/C4828,K4827)</f>
        <v/>
      </c>
      <c r="L4828">
        <f>IF(G4828=1,0.2*R4828/D4828,L4827)</f>
        <v/>
      </c>
      <c r="M4828">
        <f>IF(G4828=1,0.2*R4828/E4828,M4827)</f>
        <v/>
      </c>
      <c r="N4828">
        <f>IF(G4828=1,0.2*R4828/F4828,N4827)</f>
        <v/>
      </c>
      <c r="O4828">
        <f>IF(G4828=1,R4828*(1-1.0),IF(H4827=0,1,O4827*(1+0.00023125256064071564)))</f>
        <v/>
      </c>
      <c r="P4828">
        <f>IF(G4828=1,IF(H4827=0,1,ABS(0.2-J4827*B4828/I4828)+ABS(0.2-K4827*C4828/I4828)+ABS(0.2-L4827*D4828/I4828)+ABS(0.2-M4827*E4828/I4828)+ABS(0.2-N4827*F4828/I4828)),0)</f>
        <v/>
      </c>
      <c r="Q4828">
        <f>P4828*0.0015</f>
        <v/>
      </c>
      <c r="R4828">
        <f>I4828*(1-Q4828)</f>
        <v/>
      </c>
      <c r="S4828">
        <f>R4828/R4827-1</f>
        <v/>
      </c>
      <c r="T4828">
        <f>MAX(T4827,R4828)</f>
        <v/>
      </c>
      <c r="U4828">
        <f>R4828/T4828-1</f>
        <v/>
      </c>
      <c r="V4828" t="n">
        <v>31.59128770797037</v>
      </c>
      <c r="W4828" s="5">
        <f>R4828-V4828</f>
        <v/>
      </c>
    </row>
    <row r="4829">
      <c r="A4829" s="3" t="n">
        <v>45552</v>
      </c>
      <c r="B4829">
        <f>Prices!B4829</f>
        <v/>
      </c>
      <c r="C4829">
        <f>Prices!C4829</f>
        <v/>
      </c>
      <c r="D4829">
        <f>Prices!D4829</f>
        <v/>
      </c>
      <c r="E4829">
        <f>Prices!E4829</f>
        <v/>
      </c>
      <c r="F4829">
        <f>Prices!F4829</f>
        <v/>
      </c>
      <c r="G4829">
        <f>IF(AND(4827&gt;=16,TEXT(A4829,"yyyy-mm")&lt;&gt;TEXT(A4830,"yyyy-mm")),1,0)</f>
        <v/>
      </c>
      <c r="H4829">
        <f>IF(OR(H4828=1,G4829=1),1,0)</f>
        <v/>
      </c>
      <c r="I4829">
        <f>IF(H4828=0,1,SUMPRODUCT(J4828:N4828,B4829:F4829)+O4828*(1+0.00023125256064071564))</f>
        <v/>
      </c>
      <c r="J4829">
        <f>IF(G4829=1,0.2*R4829/B4829,J4828)</f>
        <v/>
      </c>
      <c r="K4829">
        <f>IF(G4829=1,0.2*R4829/C4829,K4828)</f>
        <v/>
      </c>
      <c r="L4829">
        <f>IF(G4829=1,0.2*R4829/D4829,L4828)</f>
        <v/>
      </c>
      <c r="M4829">
        <f>IF(G4829=1,0.2*R4829/E4829,M4828)</f>
        <v/>
      </c>
      <c r="N4829">
        <f>IF(G4829=1,0.2*R4829/F4829,N4828)</f>
        <v/>
      </c>
      <c r="O4829">
        <f>IF(G4829=1,R4829*(1-1.0),IF(H4828=0,1,O4828*(1+0.00023125256064071564)))</f>
        <v/>
      </c>
      <c r="P4829">
        <f>IF(G4829=1,IF(H4828=0,1,ABS(0.2-J4828*B4829/I4829)+ABS(0.2-K4828*C4829/I4829)+ABS(0.2-L4828*D4829/I4829)+ABS(0.2-M4828*E4829/I4829)+ABS(0.2-N4828*F4829/I4829)),0)</f>
        <v/>
      </c>
      <c r="Q4829">
        <f>P4829*0.0015</f>
        <v/>
      </c>
      <c r="R4829">
        <f>I4829*(1-Q4829)</f>
        <v/>
      </c>
      <c r="S4829">
        <f>R4829/R4828-1</f>
        <v/>
      </c>
      <c r="T4829">
        <f>MAX(T4828,R4829)</f>
        <v/>
      </c>
      <c r="U4829">
        <f>R4829/T4829-1</f>
        <v/>
      </c>
      <c r="V4829" t="n">
        <v>31.49365567264064</v>
      </c>
      <c r="W4829" s="5">
        <f>R4829-V4829</f>
        <v/>
      </c>
    </row>
    <row r="4830">
      <c r="A4830" s="3" t="n">
        <v>45553</v>
      </c>
      <c r="B4830">
        <f>Prices!B4830</f>
        <v/>
      </c>
      <c r="C4830">
        <f>Prices!C4830</f>
        <v/>
      </c>
      <c r="D4830">
        <f>Prices!D4830</f>
        <v/>
      </c>
      <c r="E4830">
        <f>Prices!E4830</f>
        <v/>
      </c>
      <c r="F4830">
        <f>Prices!F4830</f>
        <v/>
      </c>
      <c r="G4830">
        <f>IF(AND(4828&gt;=16,TEXT(A4830,"yyyy-mm")&lt;&gt;TEXT(A4831,"yyyy-mm")),1,0)</f>
        <v/>
      </c>
      <c r="H4830">
        <f>IF(OR(H4829=1,G4830=1),1,0)</f>
        <v/>
      </c>
      <c r="I4830">
        <f>IF(H4829=0,1,SUMPRODUCT(J4829:N4829,B4830:F4830)+O4829*(1+0.00023125256064071564))</f>
        <v/>
      </c>
      <c r="J4830">
        <f>IF(G4830=1,0.2*R4830/B4830,J4829)</f>
        <v/>
      </c>
      <c r="K4830">
        <f>IF(G4830=1,0.2*R4830/C4830,K4829)</f>
        <v/>
      </c>
      <c r="L4830">
        <f>IF(G4830=1,0.2*R4830/D4830,L4829)</f>
        <v/>
      </c>
      <c r="M4830">
        <f>IF(G4830=1,0.2*R4830/E4830,M4829)</f>
        <v/>
      </c>
      <c r="N4830">
        <f>IF(G4830=1,0.2*R4830/F4830,N4829)</f>
        <v/>
      </c>
      <c r="O4830">
        <f>IF(G4830=1,R4830*(1-1.0),IF(H4829=0,1,O4829*(1+0.00023125256064071564)))</f>
        <v/>
      </c>
      <c r="P4830">
        <f>IF(G4830=1,IF(H4829=0,1,ABS(0.2-J4829*B4830/I4830)+ABS(0.2-K4829*C4830/I4830)+ABS(0.2-L4829*D4830/I4830)+ABS(0.2-M4829*E4830/I4830)+ABS(0.2-N4829*F4830/I4830)),0)</f>
        <v/>
      </c>
      <c r="Q4830">
        <f>P4830*0.0015</f>
        <v/>
      </c>
      <c r="R4830">
        <f>I4830*(1-Q4830)</f>
        <v/>
      </c>
      <c r="S4830">
        <f>R4830/R4829-1</f>
        <v/>
      </c>
      <c r="T4830">
        <f>MAX(T4829,R4830)</f>
        <v/>
      </c>
      <c r="U4830">
        <f>R4830/T4830-1</f>
        <v/>
      </c>
      <c r="V4830" t="n">
        <v>31.35052669690031</v>
      </c>
      <c r="W4830" s="5">
        <f>R4830-V4830</f>
        <v/>
      </c>
    </row>
    <row r="4831">
      <c r="A4831" s="3" t="n">
        <v>45554</v>
      </c>
      <c r="B4831">
        <f>Prices!B4831</f>
        <v/>
      </c>
      <c r="C4831">
        <f>Prices!C4831</f>
        <v/>
      </c>
      <c r="D4831">
        <f>Prices!D4831</f>
        <v/>
      </c>
      <c r="E4831">
        <f>Prices!E4831</f>
        <v/>
      </c>
      <c r="F4831">
        <f>Prices!F4831</f>
        <v/>
      </c>
      <c r="G4831">
        <f>IF(AND(4829&gt;=16,TEXT(A4831,"yyyy-mm")&lt;&gt;TEXT(A4832,"yyyy-mm")),1,0)</f>
        <v/>
      </c>
      <c r="H4831">
        <f>IF(OR(H4830=1,G4831=1),1,0)</f>
        <v/>
      </c>
      <c r="I4831">
        <f>IF(H4830=0,1,SUMPRODUCT(J4830:N4830,B4831:F4831)+O4830*(1+0.00023125256064071564))</f>
        <v/>
      </c>
      <c r="J4831">
        <f>IF(G4831=1,0.2*R4831/B4831,J4830)</f>
        <v/>
      </c>
      <c r="K4831">
        <f>IF(G4831=1,0.2*R4831/C4831,K4830)</f>
        <v/>
      </c>
      <c r="L4831">
        <f>IF(G4831=1,0.2*R4831/D4831,L4830)</f>
        <v/>
      </c>
      <c r="M4831">
        <f>IF(G4831=1,0.2*R4831/E4831,M4830)</f>
        <v/>
      </c>
      <c r="N4831">
        <f>IF(G4831=1,0.2*R4831/F4831,N4830)</f>
        <v/>
      </c>
      <c r="O4831">
        <f>IF(G4831=1,R4831*(1-1.0),IF(H4830=0,1,O4830*(1+0.00023125256064071564)))</f>
        <v/>
      </c>
      <c r="P4831">
        <f>IF(G4831=1,IF(H4830=0,1,ABS(0.2-J4830*B4831/I4831)+ABS(0.2-K4830*C4831/I4831)+ABS(0.2-L4830*D4831/I4831)+ABS(0.2-M4830*E4831/I4831)+ABS(0.2-N4830*F4831/I4831)),0)</f>
        <v/>
      </c>
      <c r="Q4831">
        <f>P4831*0.0015</f>
        <v/>
      </c>
      <c r="R4831">
        <f>I4831*(1-Q4831)</f>
        <v/>
      </c>
      <c r="S4831">
        <f>R4831/R4830-1</f>
        <v/>
      </c>
      <c r="T4831">
        <f>MAX(T4830,R4831)</f>
        <v/>
      </c>
      <c r="U4831">
        <f>R4831/T4831-1</f>
        <v/>
      </c>
      <c r="V4831" t="n">
        <v>31.06135348911165</v>
      </c>
      <c r="W4831" s="5">
        <f>R4831-V4831</f>
        <v/>
      </c>
    </row>
    <row r="4832">
      <c r="A4832" s="3" t="n">
        <v>45555</v>
      </c>
      <c r="B4832">
        <f>Prices!B4832</f>
        <v/>
      </c>
      <c r="C4832">
        <f>Prices!C4832</f>
        <v/>
      </c>
      <c r="D4832">
        <f>Prices!D4832</f>
        <v/>
      </c>
      <c r="E4832">
        <f>Prices!E4832</f>
        <v/>
      </c>
      <c r="F4832">
        <f>Prices!F4832</f>
        <v/>
      </c>
      <c r="G4832">
        <f>IF(AND(4830&gt;=16,TEXT(A4832,"yyyy-mm")&lt;&gt;TEXT(A4833,"yyyy-mm")),1,0)</f>
        <v/>
      </c>
      <c r="H4832">
        <f>IF(OR(H4831=1,G4832=1),1,0)</f>
        <v/>
      </c>
      <c r="I4832">
        <f>IF(H4831=0,1,SUMPRODUCT(J4831:N4831,B4832:F4832)+O4831*(1+0.00023125256064071564))</f>
        <v/>
      </c>
      <c r="J4832">
        <f>IF(G4832=1,0.2*R4832/B4832,J4831)</f>
        <v/>
      </c>
      <c r="K4832">
        <f>IF(G4832=1,0.2*R4832/C4832,K4831)</f>
        <v/>
      </c>
      <c r="L4832">
        <f>IF(G4832=1,0.2*R4832/D4832,L4831)</f>
        <v/>
      </c>
      <c r="M4832">
        <f>IF(G4832=1,0.2*R4832/E4832,M4831)</f>
        <v/>
      </c>
      <c r="N4832">
        <f>IF(G4832=1,0.2*R4832/F4832,N4831)</f>
        <v/>
      </c>
      <c r="O4832">
        <f>IF(G4832=1,R4832*(1-1.0),IF(H4831=0,1,O4831*(1+0.00023125256064071564)))</f>
        <v/>
      </c>
      <c r="P4832">
        <f>IF(G4832=1,IF(H4831=0,1,ABS(0.2-J4831*B4832/I4832)+ABS(0.2-K4831*C4832/I4832)+ABS(0.2-L4831*D4832/I4832)+ABS(0.2-M4831*E4832/I4832)+ABS(0.2-N4831*F4832/I4832)),0)</f>
        <v/>
      </c>
      <c r="Q4832">
        <f>P4832*0.0015</f>
        <v/>
      </c>
      <c r="R4832">
        <f>I4832*(1-Q4832)</f>
        <v/>
      </c>
      <c r="S4832">
        <f>R4832/R4831-1</f>
        <v/>
      </c>
      <c r="T4832">
        <f>MAX(T4831,R4832)</f>
        <v/>
      </c>
      <c r="U4832">
        <f>R4832/T4832-1</f>
        <v/>
      </c>
      <c r="V4832" t="n">
        <v>31.50388925651697</v>
      </c>
      <c r="W4832" s="5">
        <f>R4832-V4832</f>
        <v/>
      </c>
    </row>
    <row r="4833">
      <c r="A4833" s="3" t="n">
        <v>45558</v>
      </c>
      <c r="B4833">
        <f>Prices!B4833</f>
        <v/>
      </c>
      <c r="C4833">
        <f>Prices!C4833</f>
        <v/>
      </c>
      <c r="D4833">
        <f>Prices!D4833</f>
        <v/>
      </c>
      <c r="E4833">
        <f>Prices!E4833</f>
        <v/>
      </c>
      <c r="F4833">
        <f>Prices!F4833</f>
        <v/>
      </c>
      <c r="G4833">
        <f>IF(AND(4831&gt;=16,TEXT(A4833,"yyyy-mm")&lt;&gt;TEXT(A4834,"yyyy-mm")),1,0)</f>
        <v/>
      </c>
      <c r="H4833">
        <f>IF(OR(H4832=1,G4833=1),1,0)</f>
        <v/>
      </c>
      <c r="I4833">
        <f>IF(H4832=0,1,SUMPRODUCT(J4832:N4832,B4833:F4833)+O4832*(1+0.00023125256064071564))</f>
        <v/>
      </c>
      <c r="J4833">
        <f>IF(G4833=1,0.2*R4833/B4833,J4832)</f>
        <v/>
      </c>
      <c r="K4833">
        <f>IF(G4833=1,0.2*R4833/C4833,K4832)</f>
        <v/>
      </c>
      <c r="L4833">
        <f>IF(G4833=1,0.2*R4833/D4833,L4832)</f>
        <v/>
      </c>
      <c r="M4833">
        <f>IF(G4833=1,0.2*R4833/E4833,M4832)</f>
        <v/>
      </c>
      <c r="N4833">
        <f>IF(G4833=1,0.2*R4833/F4833,N4832)</f>
        <v/>
      </c>
      <c r="O4833">
        <f>IF(G4833=1,R4833*(1-1.0),IF(H4832=0,1,O4832*(1+0.00023125256064071564)))</f>
        <v/>
      </c>
      <c r="P4833">
        <f>IF(G4833=1,IF(H4832=0,1,ABS(0.2-J4832*B4833/I4833)+ABS(0.2-K4832*C4833/I4833)+ABS(0.2-L4832*D4833/I4833)+ABS(0.2-M4832*E4833/I4833)+ABS(0.2-N4832*F4833/I4833)),0)</f>
        <v/>
      </c>
      <c r="Q4833">
        <f>P4833*0.0015</f>
        <v/>
      </c>
      <c r="R4833">
        <f>I4833*(1-Q4833)</f>
        <v/>
      </c>
      <c r="S4833">
        <f>R4833/R4832-1</f>
        <v/>
      </c>
      <c r="T4833">
        <f>MAX(T4832,R4833)</f>
        <v/>
      </c>
      <c r="U4833">
        <f>R4833/T4833-1</f>
        <v/>
      </c>
      <c r="V4833" t="n">
        <v>31.84824867403262</v>
      </c>
      <c r="W4833" s="5">
        <f>R4833-V4833</f>
        <v/>
      </c>
    </row>
    <row r="4834">
      <c r="A4834" s="3" t="n">
        <v>45559</v>
      </c>
      <c r="B4834">
        <f>Prices!B4834</f>
        <v/>
      </c>
      <c r="C4834">
        <f>Prices!C4834</f>
        <v/>
      </c>
      <c r="D4834">
        <f>Prices!D4834</f>
        <v/>
      </c>
      <c r="E4834">
        <f>Prices!E4834</f>
        <v/>
      </c>
      <c r="F4834">
        <f>Prices!F4834</f>
        <v/>
      </c>
      <c r="G4834">
        <f>IF(AND(4832&gt;=16,TEXT(A4834,"yyyy-mm")&lt;&gt;TEXT(A4835,"yyyy-mm")),1,0)</f>
        <v/>
      </c>
      <c r="H4834">
        <f>IF(OR(H4833=1,G4834=1),1,0)</f>
        <v/>
      </c>
      <c r="I4834">
        <f>IF(H4833=0,1,SUMPRODUCT(J4833:N4833,B4834:F4834)+O4833*(1+0.00023125256064071564))</f>
        <v/>
      </c>
      <c r="J4834">
        <f>IF(G4834=1,0.2*R4834/B4834,J4833)</f>
        <v/>
      </c>
      <c r="K4834">
        <f>IF(G4834=1,0.2*R4834/C4834,K4833)</f>
        <v/>
      </c>
      <c r="L4834">
        <f>IF(G4834=1,0.2*R4834/D4834,L4833)</f>
        <v/>
      </c>
      <c r="M4834">
        <f>IF(G4834=1,0.2*R4834/E4834,M4833)</f>
        <v/>
      </c>
      <c r="N4834">
        <f>IF(G4834=1,0.2*R4834/F4834,N4833)</f>
        <v/>
      </c>
      <c r="O4834">
        <f>IF(G4834=1,R4834*(1-1.0),IF(H4833=0,1,O4833*(1+0.00023125256064071564)))</f>
        <v/>
      </c>
      <c r="P4834">
        <f>IF(G4834=1,IF(H4833=0,1,ABS(0.2-J4833*B4834/I4834)+ABS(0.2-K4833*C4834/I4834)+ABS(0.2-L4833*D4834/I4834)+ABS(0.2-M4833*E4834/I4834)+ABS(0.2-N4833*F4834/I4834)),0)</f>
        <v/>
      </c>
      <c r="Q4834">
        <f>P4834*0.0015</f>
        <v/>
      </c>
      <c r="R4834">
        <f>I4834*(1-Q4834)</f>
        <v/>
      </c>
      <c r="S4834">
        <f>R4834/R4833-1</f>
        <v/>
      </c>
      <c r="T4834">
        <f>MAX(T4833,R4834)</f>
        <v/>
      </c>
      <c r="U4834">
        <f>R4834/T4834-1</f>
        <v/>
      </c>
      <c r="V4834" t="n">
        <v>31.94366921335889</v>
      </c>
      <c r="W4834" s="5">
        <f>R4834-V4834</f>
        <v/>
      </c>
    </row>
    <row r="4835">
      <c r="A4835" s="3" t="n">
        <v>45560</v>
      </c>
      <c r="B4835">
        <f>Prices!B4835</f>
        <v/>
      </c>
      <c r="C4835">
        <f>Prices!C4835</f>
        <v/>
      </c>
      <c r="D4835">
        <f>Prices!D4835</f>
        <v/>
      </c>
      <c r="E4835">
        <f>Prices!E4835</f>
        <v/>
      </c>
      <c r="F4835">
        <f>Prices!F4835</f>
        <v/>
      </c>
      <c r="G4835">
        <f>IF(AND(4833&gt;=16,TEXT(A4835,"yyyy-mm")&lt;&gt;TEXT(A4836,"yyyy-mm")),1,0)</f>
        <v/>
      </c>
      <c r="H4835">
        <f>IF(OR(H4834=1,G4835=1),1,0)</f>
        <v/>
      </c>
      <c r="I4835">
        <f>IF(H4834=0,1,SUMPRODUCT(J4834:N4834,B4835:F4835)+O4834*(1+0.00023125256064071564))</f>
        <v/>
      </c>
      <c r="J4835">
        <f>IF(G4835=1,0.2*R4835/B4835,J4834)</f>
        <v/>
      </c>
      <c r="K4835">
        <f>IF(G4835=1,0.2*R4835/C4835,K4834)</f>
        <v/>
      </c>
      <c r="L4835">
        <f>IF(G4835=1,0.2*R4835/D4835,L4834)</f>
        <v/>
      </c>
      <c r="M4835">
        <f>IF(G4835=1,0.2*R4835/E4835,M4834)</f>
        <v/>
      </c>
      <c r="N4835">
        <f>IF(G4835=1,0.2*R4835/F4835,N4834)</f>
        <v/>
      </c>
      <c r="O4835">
        <f>IF(G4835=1,R4835*(1-1.0),IF(H4834=0,1,O4834*(1+0.00023125256064071564)))</f>
        <v/>
      </c>
      <c r="P4835">
        <f>IF(G4835=1,IF(H4834=0,1,ABS(0.2-J4834*B4835/I4835)+ABS(0.2-K4834*C4835/I4835)+ABS(0.2-L4834*D4835/I4835)+ABS(0.2-M4834*E4835/I4835)+ABS(0.2-N4834*F4835/I4835)),0)</f>
        <v/>
      </c>
      <c r="Q4835">
        <f>P4835*0.0015</f>
        <v/>
      </c>
      <c r="R4835">
        <f>I4835*(1-Q4835)</f>
        <v/>
      </c>
      <c r="S4835">
        <f>R4835/R4834-1</f>
        <v/>
      </c>
      <c r="T4835">
        <f>MAX(T4834,R4835)</f>
        <v/>
      </c>
      <c r="U4835">
        <f>R4835/T4835-1</f>
        <v/>
      </c>
      <c r="V4835" t="n">
        <v>31.81668280057346</v>
      </c>
      <c r="W4835" s="5">
        <f>R4835-V4835</f>
        <v/>
      </c>
    </row>
    <row r="4836">
      <c r="A4836" s="3" t="n">
        <v>45561</v>
      </c>
      <c r="B4836">
        <f>Prices!B4836</f>
        <v/>
      </c>
      <c r="C4836">
        <f>Prices!C4836</f>
        <v/>
      </c>
      <c r="D4836">
        <f>Prices!D4836</f>
        <v/>
      </c>
      <c r="E4836">
        <f>Prices!E4836</f>
        <v/>
      </c>
      <c r="F4836">
        <f>Prices!F4836</f>
        <v/>
      </c>
      <c r="G4836">
        <f>IF(AND(4834&gt;=16,TEXT(A4836,"yyyy-mm")&lt;&gt;TEXT(A4837,"yyyy-mm")),1,0)</f>
        <v/>
      </c>
      <c r="H4836">
        <f>IF(OR(H4835=1,G4836=1),1,0)</f>
        <v/>
      </c>
      <c r="I4836">
        <f>IF(H4835=0,1,SUMPRODUCT(J4835:N4835,B4836:F4836)+O4835*(1+0.00023125256064071564))</f>
        <v/>
      </c>
      <c r="J4836">
        <f>IF(G4836=1,0.2*R4836/B4836,J4835)</f>
        <v/>
      </c>
      <c r="K4836">
        <f>IF(G4836=1,0.2*R4836/C4836,K4835)</f>
        <v/>
      </c>
      <c r="L4836">
        <f>IF(G4836=1,0.2*R4836/D4836,L4835)</f>
        <v/>
      </c>
      <c r="M4836">
        <f>IF(G4836=1,0.2*R4836/E4836,M4835)</f>
        <v/>
      </c>
      <c r="N4836">
        <f>IF(G4836=1,0.2*R4836/F4836,N4835)</f>
        <v/>
      </c>
      <c r="O4836">
        <f>IF(G4836=1,R4836*(1-1.0),IF(H4835=0,1,O4835*(1+0.00023125256064071564)))</f>
        <v/>
      </c>
      <c r="P4836">
        <f>IF(G4836=1,IF(H4835=0,1,ABS(0.2-J4835*B4836/I4836)+ABS(0.2-K4835*C4836/I4836)+ABS(0.2-L4835*D4836/I4836)+ABS(0.2-M4835*E4836/I4836)+ABS(0.2-N4835*F4836/I4836)),0)</f>
        <v/>
      </c>
      <c r="Q4836">
        <f>P4836*0.0015</f>
        <v/>
      </c>
      <c r="R4836">
        <f>I4836*(1-Q4836)</f>
        <v/>
      </c>
      <c r="S4836">
        <f>R4836/R4835-1</f>
        <v/>
      </c>
      <c r="T4836">
        <f>MAX(T4835,R4836)</f>
        <v/>
      </c>
      <c r="U4836">
        <f>R4836/T4836-1</f>
        <v/>
      </c>
      <c r="V4836" t="n">
        <v>31.913131149028</v>
      </c>
      <c r="W4836" s="5">
        <f>R4836-V4836</f>
        <v/>
      </c>
    </row>
    <row r="4837">
      <c r="A4837" s="3" t="n">
        <v>45562</v>
      </c>
      <c r="B4837">
        <f>Prices!B4837</f>
        <v/>
      </c>
      <c r="C4837">
        <f>Prices!C4837</f>
        <v/>
      </c>
      <c r="D4837">
        <f>Prices!D4837</f>
        <v/>
      </c>
      <c r="E4837">
        <f>Prices!E4837</f>
        <v/>
      </c>
      <c r="F4837">
        <f>Prices!F4837</f>
        <v/>
      </c>
      <c r="G4837">
        <f>IF(AND(4835&gt;=16,TEXT(A4837,"yyyy-mm")&lt;&gt;TEXT(A4838,"yyyy-mm")),1,0)</f>
        <v/>
      </c>
      <c r="H4837">
        <f>IF(OR(H4836=1,G4837=1),1,0)</f>
        <v/>
      </c>
      <c r="I4837">
        <f>IF(H4836=0,1,SUMPRODUCT(J4836:N4836,B4837:F4837)+O4836*(1+0.00023125256064071564))</f>
        <v/>
      </c>
      <c r="J4837">
        <f>IF(G4837=1,0.2*R4837/B4837,J4836)</f>
        <v/>
      </c>
      <c r="K4837">
        <f>IF(G4837=1,0.2*R4837/C4837,K4836)</f>
        <v/>
      </c>
      <c r="L4837">
        <f>IF(G4837=1,0.2*R4837/D4837,L4836)</f>
        <v/>
      </c>
      <c r="M4837">
        <f>IF(G4837=1,0.2*R4837/E4837,M4836)</f>
        <v/>
      </c>
      <c r="N4837">
        <f>IF(G4837=1,0.2*R4837/F4837,N4836)</f>
        <v/>
      </c>
      <c r="O4837">
        <f>IF(G4837=1,R4837*(1-1.0),IF(H4836=0,1,O4836*(1+0.00023125256064071564)))</f>
        <v/>
      </c>
      <c r="P4837">
        <f>IF(G4837=1,IF(H4836=0,1,ABS(0.2-J4836*B4837/I4837)+ABS(0.2-K4836*C4837/I4837)+ABS(0.2-L4836*D4837/I4837)+ABS(0.2-M4836*E4837/I4837)+ABS(0.2-N4836*F4837/I4837)),0)</f>
        <v/>
      </c>
      <c r="Q4837">
        <f>P4837*0.0015</f>
        <v/>
      </c>
      <c r="R4837">
        <f>I4837*(1-Q4837)</f>
        <v/>
      </c>
      <c r="S4837">
        <f>R4837/R4836-1</f>
        <v/>
      </c>
      <c r="T4837">
        <f>MAX(T4836,R4837)</f>
        <v/>
      </c>
      <c r="U4837">
        <f>R4837/T4837-1</f>
        <v/>
      </c>
      <c r="V4837" t="n">
        <v>32.09486400394223</v>
      </c>
      <c r="W4837" s="5">
        <f>R4837-V4837</f>
        <v/>
      </c>
    </row>
    <row r="4838">
      <c r="A4838" s="3" t="n">
        <v>45565</v>
      </c>
      <c r="B4838">
        <f>Prices!B4838</f>
        <v/>
      </c>
      <c r="C4838">
        <f>Prices!C4838</f>
        <v/>
      </c>
      <c r="D4838">
        <f>Prices!D4838</f>
        <v/>
      </c>
      <c r="E4838">
        <f>Prices!E4838</f>
        <v/>
      </c>
      <c r="F4838">
        <f>Prices!F4838</f>
        <v/>
      </c>
      <c r="G4838">
        <f>IF(AND(4836&gt;=16,TEXT(A4838,"yyyy-mm")&lt;&gt;TEXT(A4839,"yyyy-mm")),1,0)</f>
        <v/>
      </c>
      <c r="H4838">
        <f>IF(OR(H4837=1,G4838=1),1,0)</f>
        <v/>
      </c>
      <c r="I4838">
        <f>IF(H4837=0,1,SUMPRODUCT(J4837:N4837,B4838:F4838)+O4837*(1+0.00023125256064071564))</f>
        <v/>
      </c>
      <c r="J4838">
        <f>IF(G4838=1,0.2*R4838/B4838,J4837)</f>
        <v/>
      </c>
      <c r="K4838">
        <f>IF(G4838=1,0.2*R4838/C4838,K4837)</f>
        <v/>
      </c>
      <c r="L4838">
        <f>IF(G4838=1,0.2*R4838/D4838,L4837)</f>
        <v/>
      </c>
      <c r="M4838">
        <f>IF(G4838=1,0.2*R4838/E4838,M4837)</f>
        <v/>
      </c>
      <c r="N4838">
        <f>IF(G4838=1,0.2*R4838/F4838,N4837)</f>
        <v/>
      </c>
      <c r="O4838">
        <f>IF(G4838=1,R4838*(1-1.0),IF(H4837=0,1,O4837*(1+0.00023125256064071564)))</f>
        <v/>
      </c>
      <c r="P4838">
        <f>IF(G4838=1,IF(H4837=0,1,ABS(0.2-J4837*B4838/I4838)+ABS(0.2-K4837*C4838/I4838)+ABS(0.2-L4837*D4838/I4838)+ABS(0.2-M4837*E4838/I4838)+ABS(0.2-N4837*F4838/I4838)),0)</f>
        <v/>
      </c>
      <c r="Q4838">
        <f>P4838*0.0015</f>
        <v/>
      </c>
      <c r="R4838">
        <f>I4838*(1-Q4838)</f>
        <v/>
      </c>
      <c r="S4838">
        <f>R4838/R4837-1</f>
        <v/>
      </c>
      <c r="T4838">
        <f>MAX(T4837,R4838)</f>
        <v/>
      </c>
      <c r="U4838">
        <f>R4838/T4838-1</f>
        <v/>
      </c>
      <c r="V4838" t="n">
        <v>31.96851234971409</v>
      </c>
      <c r="W4838" s="5">
        <f>R4838-V4838</f>
        <v/>
      </c>
    </row>
    <row r="4839">
      <c r="A4839" s="3" t="n">
        <v>45566</v>
      </c>
      <c r="B4839">
        <f>Prices!B4839</f>
        <v/>
      </c>
      <c r="C4839">
        <f>Prices!C4839</f>
        <v/>
      </c>
      <c r="D4839">
        <f>Prices!D4839</f>
        <v/>
      </c>
      <c r="E4839">
        <f>Prices!E4839</f>
        <v/>
      </c>
      <c r="F4839">
        <f>Prices!F4839</f>
        <v/>
      </c>
      <c r="G4839">
        <f>IF(AND(4837&gt;=16,TEXT(A4839,"yyyy-mm")&lt;&gt;TEXT(A4840,"yyyy-mm")),1,0)</f>
        <v/>
      </c>
      <c r="H4839">
        <f>IF(OR(H4838=1,G4839=1),1,0)</f>
        <v/>
      </c>
      <c r="I4839">
        <f>IF(H4838=0,1,SUMPRODUCT(J4838:N4838,B4839:F4839)+O4838*(1+0.00023125256064071564))</f>
        <v/>
      </c>
      <c r="J4839">
        <f>IF(G4839=1,0.2*R4839/B4839,J4838)</f>
        <v/>
      </c>
      <c r="K4839">
        <f>IF(G4839=1,0.2*R4839/C4839,K4838)</f>
        <v/>
      </c>
      <c r="L4839">
        <f>IF(G4839=1,0.2*R4839/D4839,L4838)</f>
        <v/>
      </c>
      <c r="M4839">
        <f>IF(G4839=1,0.2*R4839/E4839,M4838)</f>
        <v/>
      </c>
      <c r="N4839">
        <f>IF(G4839=1,0.2*R4839/F4839,N4838)</f>
        <v/>
      </c>
      <c r="O4839">
        <f>IF(G4839=1,R4839*(1-1.0),IF(H4838=0,1,O4838*(1+0.00023125256064071564)))</f>
        <v/>
      </c>
      <c r="P4839">
        <f>IF(G4839=1,IF(H4838=0,1,ABS(0.2-J4838*B4839/I4839)+ABS(0.2-K4838*C4839/I4839)+ABS(0.2-L4838*D4839/I4839)+ABS(0.2-M4838*E4839/I4839)+ABS(0.2-N4838*F4839/I4839)),0)</f>
        <v/>
      </c>
      <c r="Q4839">
        <f>P4839*0.0015</f>
        <v/>
      </c>
      <c r="R4839">
        <f>I4839*(1-Q4839)</f>
        <v/>
      </c>
      <c r="S4839">
        <f>R4839/R4838-1</f>
        <v/>
      </c>
      <c r="T4839">
        <f>MAX(T4838,R4839)</f>
        <v/>
      </c>
      <c r="U4839">
        <f>R4839/T4839-1</f>
        <v/>
      </c>
      <c r="V4839" t="n">
        <v>32.03699716664565</v>
      </c>
      <c r="W4839" s="5">
        <f>R4839-V4839</f>
        <v/>
      </c>
    </row>
    <row r="4840">
      <c r="A4840" s="3" t="n">
        <v>45568</v>
      </c>
      <c r="B4840">
        <f>Prices!B4840</f>
        <v/>
      </c>
      <c r="C4840">
        <f>Prices!C4840</f>
        <v/>
      </c>
      <c r="D4840">
        <f>Prices!D4840</f>
        <v/>
      </c>
      <c r="E4840">
        <f>Prices!E4840</f>
        <v/>
      </c>
      <c r="F4840">
        <f>Prices!F4840</f>
        <v/>
      </c>
      <c r="G4840">
        <f>IF(AND(4838&gt;=16,TEXT(A4840,"yyyy-mm")&lt;&gt;TEXT(A4841,"yyyy-mm")),1,0)</f>
        <v/>
      </c>
      <c r="H4840">
        <f>IF(OR(H4839=1,G4840=1),1,0)</f>
        <v/>
      </c>
      <c r="I4840">
        <f>IF(H4839=0,1,SUMPRODUCT(J4839:N4839,B4840:F4840)+O4839*(1+0.00023125256064071564))</f>
        <v/>
      </c>
      <c r="J4840">
        <f>IF(G4840=1,0.2*R4840/B4840,J4839)</f>
        <v/>
      </c>
      <c r="K4840">
        <f>IF(G4840=1,0.2*R4840/C4840,K4839)</f>
        <v/>
      </c>
      <c r="L4840">
        <f>IF(G4840=1,0.2*R4840/D4840,L4839)</f>
        <v/>
      </c>
      <c r="M4840">
        <f>IF(G4840=1,0.2*R4840/E4840,M4839)</f>
        <v/>
      </c>
      <c r="N4840">
        <f>IF(G4840=1,0.2*R4840/F4840,N4839)</f>
        <v/>
      </c>
      <c r="O4840">
        <f>IF(G4840=1,R4840*(1-1.0),IF(H4839=0,1,O4839*(1+0.00023125256064071564)))</f>
        <v/>
      </c>
      <c r="P4840">
        <f>IF(G4840=1,IF(H4839=0,1,ABS(0.2-J4839*B4840/I4840)+ABS(0.2-K4839*C4840/I4840)+ABS(0.2-L4839*D4840/I4840)+ABS(0.2-M4839*E4840/I4840)+ABS(0.2-N4839*F4840/I4840)),0)</f>
        <v/>
      </c>
      <c r="Q4840">
        <f>P4840*0.0015</f>
        <v/>
      </c>
      <c r="R4840">
        <f>I4840*(1-Q4840)</f>
        <v/>
      </c>
      <c r="S4840">
        <f>R4840/R4839-1</f>
        <v/>
      </c>
      <c r="T4840">
        <f>MAX(T4839,R4840)</f>
        <v/>
      </c>
      <c r="U4840">
        <f>R4840/T4840-1</f>
        <v/>
      </c>
      <c r="V4840" t="n">
        <v>31.34519558480481</v>
      </c>
      <c r="W4840" s="5">
        <f>R4840-V4840</f>
        <v/>
      </c>
    </row>
    <row r="4841">
      <c r="A4841" s="3" t="n">
        <v>45569</v>
      </c>
      <c r="B4841">
        <f>Prices!B4841</f>
        <v/>
      </c>
      <c r="C4841">
        <f>Prices!C4841</f>
        <v/>
      </c>
      <c r="D4841">
        <f>Prices!D4841</f>
        <v/>
      </c>
      <c r="E4841">
        <f>Prices!E4841</f>
        <v/>
      </c>
      <c r="F4841">
        <f>Prices!F4841</f>
        <v/>
      </c>
      <c r="G4841">
        <f>IF(AND(4839&gt;=16,TEXT(A4841,"yyyy-mm")&lt;&gt;TEXT(A4842,"yyyy-mm")),1,0)</f>
        <v/>
      </c>
      <c r="H4841">
        <f>IF(OR(H4840=1,G4841=1),1,0)</f>
        <v/>
      </c>
      <c r="I4841">
        <f>IF(H4840=0,1,SUMPRODUCT(J4840:N4840,B4841:F4841)+O4840*(1+0.00023125256064071564))</f>
        <v/>
      </c>
      <c r="J4841">
        <f>IF(G4841=1,0.2*R4841/B4841,J4840)</f>
        <v/>
      </c>
      <c r="K4841">
        <f>IF(G4841=1,0.2*R4841/C4841,K4840)</f>
        <v/>
      </c>
      <c r="L4841">
        <f>IF(G4841=1,0.2*R4841/D4841,L4840)</f>
        <v/>
      </c>
      <c r="M4841">
        <f>IF(G4841=1,0.2*R4841/E4841,M4840)</f>
        <v/>
      </c>
      <c r="N4841">
        <f>IF(G4841=1,0.2*R4841/F4841,N4840)</f>
        <v/>
      </c>
      <c r="O4841">
        <f>IF(G4841=1,R4841*(1-1.0),IF(H4840=0,1,O4840*(1+0.00023125256064071564)))</f>
        <v/>
      </c>
      <c r="P4841">
        <f>IF(G4841=1,IF(H4840=0,1,ABS(0.2-J4840*B4841/I4841)+ABS(0.2-K4840*C4841/I4841)+ABS(0.2-L4840*D4841/I4841)+ABS(0.2-M4840*E4841/I4841)+ABS(0.2-N4840*F4841/I4841)),0)</f>
        <v/>
      </c>
      <c r="Q4841">
        <f>P4841*0.0015</f>
        <v/>
      </c>
      <c r="R4841">
        <f>I4841*(1-Q4841)</f>
        <v/>
      </c>
      <c r="S4841">
        <f>R4841/R4840-1</f>
        <v/>
      </c>
      <c r="T4841">
        <f>MAX(T4840,R4841)</f>
        <v/>
      </c>
      <c r="U4841">
        <f>R4841/T4841-1</f>
        <v/>
      </c>
      <c r="V4841" t="n">
        <v>31.11598356246619</v>
      </c>
      <c r="W4841" s="5">
        <f>R4841-V4841</f>
        <v/>
      </c>
    </row>
    <row r="4842">
      <c r="A4842" s="3" t="n">
        <v>45572</v>
      </c>
      <c r="B4842">
        <f>Prices!B4842</f>
        <v/>
      </c>
      <c r="C4842">
        <f>Prices!C4842</f>
        <v/>
      </c>
      <c r="D4842">
        <f>Prices!D4842</f>
        <v/>
      </c>
      <c r="E4842">
        <f>Prices!E4842</f>
        <v/>
      </c>
      <c r="F4842">
        <f>Prices!F4842</f>
        <v/>
      </c>
      <c r="G4842">
        <f>IF(AND(4840&gt;=16,TEXT(A4842,"yyyy-mm")&lt;&gt;TEXT(A4843,"yyyy-mm")),1,0)</f>
        <v/>
      </c>
      <c r="H4842">
        <f>IF(OR(H4841=1,G4842=1),1,0)</f>
        <v/>
      </c>
      <c r="I4842">
        <f>IF(H4841=0,1,SUMPRODUCT(J4841:N4841,B4842:F4842)+O4841*(1+0.00023125256064071564))</f>
        <v/>
      </c>
      <c r="J4842">
        <f>IF(G4842=1,0.2*R4842/B4842,J4841)</f>
        <v/>
      </c>
      <c r="K4842">
        <f>IF(G4842=1,0.2*R4842/C4842,K4841)</f>
        <v/>
      </c>
      <c r="L4842">
        <f>IF(G4842=1,0.2*R4842/D4842,L4841)</f>
        <v/>
      </c>
      <c r="M4842">
        <f>IF(G4842=1,0.2*R4842/E4842,M4841)</f>
        <v/>
      </c>
      <c r="N4842">
        <f>IF(G4842=1,0.2*R4842/F4842,N4841)</f>
        <v/>
      </c>
      <c r="O4842">
        <f>IF(G4842=1,R4842*(1-1.0),IF(H4841=0,1,O4841*(1+0.00023125256064071564)))</f>
        <v/>
      </c>
      <c r="P4842">
        <f>IF(G4842=1,IF(H4841=0,1,ABS(0.2-J4841*B4842/I4842)+ABS(0.2-K4841*C4842/I4842)+ABS(0.2-L4841*D4842/I4842)+ABS(0.2-M4841*E4842/I4842)+ABS(0.2-N4841*F4842/I4842)),0)</f>
        <v/>
      </c>
      <c r="Q4842">
        <f>P4842*0.0015</f>
        <v/>
      </c>
      <c r="R4842">
        <f>I4842*(1-Q4842)</f>
        <v/>
      </c>
      <c r="S4842">
        <f>R4842/R4841-1</f>
        <v/>
      </c>
      <c r="T4842">
        <f>MAX(T4841,R4842)</f>
        <v/>
      </c>
      <c r="U4842">
        <f>R4842/T4842-1</f>
        <v/>
      </c>
      <c r="V4842" t="n">
        <v>30.38404453896715</v>
      </c>
      <c r="W4842" s="5">
        <f>R4842-V4842</f>
        <v/>
      </c>
    </row>
    <row r="4843">
      <c r="A4843" s="3" t="n">
        <v>45573</v>
      </c>
      <c r="B4843">
        <f>Prices!B4843</f>
        <v/>
      </c>
      <c r="C4843">
        <f>Prices!C4843</f>
        <v/>
      </c>
      <c r="D4843">
        <f>Prices!D4843</f>
        <v/>
      </c>
      <c r="E4843">
        <f>Prices!E4843</f>
        <v/>
      </c>
      <c r="F4843">
        <f>Prices!F4843</f>
        <v/>
      </c>
      <c r="G4843">
        <f>IF(AND(4841&gt;=16,TEXT(A4843,"yyyy-mm")&lt;&gt;TEXT(A4844,"yyyy-mm")),1,0)</f>
        <v/>
      </c>
      <c r="H4843">
        <f>IF(OR(H4842=1,G4843=1),1,0)</f>
        <v/>
      </c>
      <c r="I4843">
        <f>IF(H4842=0,1,SUMPRODUCT(J4842:N4842,B4843:F4843)+O4842*(1+0.00023125256064071564))</f>
        <v/>
      </c>
      <c r="J4843">
        <f>IF(G4843=1,0.2*R4843/B4843,J4842)</f>
        <v/>
      </c>
      <c r="K4843">
        <f>IF(G4843=1,0.2*R4843/C4843,K4842)</f>
        <v/>
      </c>
      <c r="L4843">
        <f>IF(G4843=1,0.2*R4843/D4843,L4842)</f>
        <v/>
      </c>
      <c r="M4843">
        <f>IF(G4843=1,0.2*R4843/E4843,M4842)</f>
        <v/>
      </c>
      <c r="N4843">
        <f>IF(G4843=1,0.2*R4843/F4843,N4842)</f>
        <v/>
      </c>
      <c r="O4843">
        <f>IF(G4843=1,R4843*(1-1.0),IF(H4842=0,1,O4842*(1+0.00023125256064071564)))</f>
        <v/>
      </c>
      <c r="P4843">
        <f>IF(G4843=1,IF(H4842=0,1,ABS(0.2-J4842*B4843/I4843)+ABS(0.2-K4842*C4843/I4843)+ABS(0.2-L4842*D4843/I4843)+ABS(0.2-M4842*E4843/I4843)+ABS(0.2-N4842*F4843/I4843)),0)</f>
        <v/>
      </c>
      <c r="Q4843">
        <f>P4843*0.0015</f>
        <v/>
      </c>
      <c r="R4843">
        <f>I4843*(1-Q4843)</f>
        <v/>
      </c>
      <c r="S4843">
        <f>R4843/R4842-1</f>
        <v/>
      </c>
      <c r="T4843">
        <f>MAX(T4842,R4843)</f>
        <v/>
      </c>
      <c r="U4843">
        <f>R4843/T4843-1</f>
        <v/>
      </c>
      <c r="V4843" t="n">
        <v>31.07685347428199</v>
      </c>
      <c r="W4843" s="5">
        <f>R4843-V4843</f>
        <v/>
      </c>
    </row>
    <row r="4844">
      <c r="A4844" s="3" t="n">
        <v>45574</v>
      </c>
      <c r="B4844">
        <f>Prices!B4844</f>
        <v/>
      </c>
      <c r="C4844">
        <f>Prices!C4844</f>
        <v/>
      </c>
      <c r="D4844">
        <f>Prices!D4844</f>
        <v/>
      </c>
      <c r="E4844">
        <f>Prices!E4844</f>
        <v/>
      </c>
      <c r="F4844">
        <f>Prices!F4844</f>
        <v/>
      </c>
      <c r="G4844">
        <f>IF(AND(4842&gt;=16,TEXT(A4844,"yyyy-mm")&lt;&gt;TEXT(A4845,"yyyy-mm")),1,0)</f>
        <v/>
      </c>
      <c r="H4844">
        <f>IF(OR(H4843=1,G4844=1),1,0)</f>
        <v/>
      </c>
      <c r="I4844">
        <f>IF(H4843=0,1,SUMPRODUCT(J4843:N4843,B4844:F4844)+O4843*(1+0.00023125256064071564))</f>
        <v/>
      </c>
      <c r="J4844">
        <f>IF(G4844=1,0.2*R4844/B4844,J4843)</f>
        <v/>
      </c>
      <c r="K4844">
        <f>IF(G4844=1,0.2*R4844/C4844,K4843)</f>
        <v/>
      </c>
      <c r="L4844">
        <f>IF(G4844=1,0.2*R4844/D4844,L4843)</f>
        <v/>
      </c>
      <c r="M4844">
        <f>IF(G4844=1,0.2*R4844/E4844,M4843)</f>
        <v/>
      </c>
      <c r="N4844">
        <f>IF(G4844=1,0.2*R4844/F4844,N4843)</f>
        <v/>
      </c>
      <c r="O4844">
        <f>IF(G4844=1,R4844*(1-1.0),IF(H4843=0,1,O4843*(1+0.00023125256064071564)))</f>
        <v/>
      </c>
      <c r="P4844">
        <f>IF(G4844=1,IF(H4843=0,1,ABS(0.2-J4843*B4844/I4844)+ABS(0.2-K4843*C4844/I4844)+ABS(0.2-L4843*D4844/I4844)+ABS(0.2-M4843*E4844/I4844)+ABS(0.2-N4843*F4844/I4844)),0)</f>
        <v/>
      </c>
      <c r="Q4844">
        <f>P4844*0.0015</f>
        <v/>
      </c>
      <c r="R4844">
        <f>I4844*(1-Q4844)</f>
        <v/>
      </c>
      <c r="S4844">
        <f>R4844/R4843-1</f>
        <v/>
      </c>
      <c r="T4844">
        <f>MAX(T4843,R4844)</f>
        <v/>
      </c>
      <c r="U4844">
        <f>R4844/T4844-1</f>
        <v/>
      </c>
      <c r="V4844" t="n">
        <v>31.36057775705765</v>
      </c>
      <c r="W4844" s="5">
        <f>R4844-V4844</f>
        <v/>
      </c>
    </row>
    <row r="4845">
      <c r="A4845" s="3" t="n">
        <v>45575</v>
      </c>
      <c r="B4845">
        <f>Prices!B4845</f>
        <v/>
      </c>
      <c r="C4845">
        <f>Prices!C4845</f>
        <v/>
      </c>
      <c r="D4845">
        <f>Prices!D4845</f>
        <v/>
      </c>
      <c r="E4845">
        <f>Prices!E4845</f>
        <v/>
      </c>
      <c r="F4845">
        <f>Prices!F4845</f>
        <v/>
      </c>
      <c r="G4845">
        <f>IF(AND(4843&gt;=16,TEXT(A4845,"yyyy-mm")&lt;&gt;TEXT(A4846,"yyyy-mm")),1,0)</f>
        <v/>
      </c>
      <c r="H4845">
        <f>IF(OR(H4844=1,G4845=1),1,0)</f>
        <v/>
      </c>
      <c r="I4845">
        <f>IF(H4844=0,1,SUMPRODUCT(J4844:N4844,B4845:F4845)+O4844*(1+0.00023125256064071564))</f>
        <v/>
      </c>
      <c r="J4845">
        <f>IF(G4845=1,0.2*R4845/B4845,J4844)</f>
        <v/>
      </c>
      <c r="K4845">
        <f>IF(G4845=1,0.2*R4845/C4845,K4844)</f>
        <v/>
      </c>
      <c r="L4845">
        <f>IF(G4845=1,0.2*R4845/D4845,L4844)</f>
        <v/>
      </c>
      <c r="M4845">
        <f>IF(G4845=1,0.2*R4845/E4845,M4844)</f>
        <v/>
      </c>
      <c r="N4845">
        <f>IF(G4845=1,0.2*R4845/F4845,N4844)</f>
        <v/>
      </c>
      <c r="O4845">
        <f>IF(G4845=1,R4845*(1-1.0),IF(H4844=0,1,O4844*(1+0.00023125256064071564)))</f>
        <v/>
      </c>
      <c r="P4845">
        <f>IF(G4845=1,IF(H4844=0,1,ABS(0.2-J4844*B4845/I4845)+ABS(0.2-K4844*C4845/I4845)+ABS(0.2-L4844*D4845/I4845)+ABS(0.2-M4844*E4845/I4845)+ABS(0.2-N4844*F4845/I4845)),0)</f>
        <v/>
      </c>
      <c r="Q4845">
        <f>P4845*0.0015</f>
        <v/>
      </c>
      <c r="R4845">
        <f>I4845*(1-Q4845)</f>
        <v/>
      </c>
      <c r="S4845">
        <f>R4845/R4844-1</f>
        <v/>
      </c>
      <c r="T4845">
        <f>MAX(T4844,R4845)</f>
        <v/>
      </c>
      <c r="U4845">
        <f>R4845/T4845-1</f>
        <v/>
      </c>
      <c r="V4845" t="n">
        <v>31.40881989252071</v>
      </c>
      <c r="W4845" s="5">
        <f>R4845-V4845</f>
        <v/>
      </c>
    </row>
    <row r="4846">
      <c r="A4846" s="3" t="n">
        <v>45576</v>
      </c>
      <c r="B4846">
        <f>Prices!B4846</f>
        <v/>
      </c>
      <c r="C4846">
        <f>Prices!C4846</f>
        <v/>
      </c>
      <c r="D4846">
        <f>Prices!D4846</f>
        <v/>
      </c>
      <c r="E4846">
        <f>Prices!E4846</f>
        <v/>
      </c>
      <c r="F4846">
        <f>Prices!F4846</f>
        <v/>
      </c>
      <c r="G4846">
        <f>IF(AND(4844&gt;=16,TEXT(A4846,"yyyy-mm")&lt;&gt;TEXT(A4847,"yyyy-mm")),1,0)</f>
        <v/>
      </c>
      <c r="H4846">
        <f>IF(OR(H4845=1,G4846=1),1,0)</f>
        <v/>
      </c>
      <c r="I4846">
        <f>IF(H4845=0,1,SUMPRODUCT(J4845:N4845,B4846:F4846)+O4845*(1+0.00023125256064071564))</f>
        <v/>
      </c>
      <c r="J4846">
        <f>IF(G4846=1,0.2*R4846/B4846,J4845)</f>
        <v/>
      </c>
      <c r="K4846">
        <f>IF(G4846=1,0.2*R4846/C4846,K4845)</f>
        <v/>
      </c>
      <c r="L4846">
        <f>IF(G4846=1,0.2*R4846/D4846,L4845)</f>
        <v/>
      </c>
      <c r="M4846">
        <f>IF(G4846=1,0.2*R4846/E4846,M4845)</f>
        <v/>
      </c>
      <c r="N4846">
        <f>IF(G4846=1,0.2*R4846/F4846,N4845)</f>
        <v/>
      </c>
      <c r="O4846">
        <f>IF(G4846=1,R4846*(1-1.0),IF(H4845=0,1,O4845*(1+0.00023125256064071564)))</f>
        <v/>
      </c>
      <c r="P4846">
        <f>IF(G4846=1,IF(H4845=0,1,ABS(0.2-J4845*B4846/I4846)+ABS(0.2-K4845*C4846/I4846)+ABS(0.2-L4845*D4846/I4846)+ABS(0.2-M4845*E4846/I4846)+ABS(0.2-N4845*F4846/I4846)),0)</f>
        <v/>
      </c>
      <c r="Q4846">
        <f>P4846*0.0015</f>
        <v/>
      </c>
      <c r="R4846">
        <f>I4846*(1-Q4846)</f>
        <v/>
      </c>
      <c r="S4846">
        <f>R4846/R4845-1</f>
        <v/>
      </c>
      <c r="T4846">
        <f>MAX(T4845,R4846)</f>
        <v/>
      </c>
      <c r="U4846">
        <f>R4846/T4846-1</f>
        <v/>
      </c>
      <c r="V4846" t="n">
        <v>31.5379920777537</v>
      </c>
      <c r="W4846" s="5">
        <f>R4846-V4846</f>
        <v/>
      </c>
    </row>
    <row r="4847">
      <c r="A4847" s="3" t="n">
        <v>45579</v>
      </c>
      <c r="B4847">
        <f>Prices!B4847</f>
        <v/>
      </c>
      <c r="C4847">
        <f>Prices!C4847</f>
        <v/>
      </c>
      <c r="D4847">
        <f>Prices!D4847</f>
        <v/>
      </c>
      <c r="E4847">
        <f>Prices!E4847</f>
        <v/>
      </c>
      <c r="F4847">
        <f>Prices!F4847</f>
        <v/>
      </c>
      <c r="G4847">
        <f>IF(AND(4845&gt;=16,TEXT(A4847,"yyyy-mm")&lt;&gt;TEXT(A4848,"yyyy-mm")),1,0)</f>
        <v/>
      </c>
      <c r="H4847">
        <f>IF(OR(H4846=1,G4847=1),1,0)</f>
        <v/>
      </c>
      <c r="I4847">
        <f>IF(H4846=0,1,SUMPRODUCT(J4846:N4846,B4847:F4847)+O4846*(1+0.00023125256064071564))</f>
        <v/>
      </c>
      <c r="J4847">
        <f>IF(G4847=1,0.2*R4847/B4847,J4846)</f>
        <v/>
      </c>
      <c r="K4847">
        <f>IF(G4847=1,0.2*R4847/C4847,K4846)</f>
        <v/>
      </c>
      <c r="L4847">
        <f>IF(G4847=1,0.2*R4847/D4847,L4846)</f>
        <v/>
      </c>
      <c r="M4847">
        <f>IF(G4847=1,0.2*R4847/E4847,M4846)</f>
        <v/>
      </c>
      <c r="N4847">
        <f>IF(G4847=1,0.2*R4847/F4847,N4846)</f>
        <v/>
      </c>
      <c r="O4847">
        <f>IF(G4847=1,R4847*(1-1.0),IF(H4846=0,1,O4846*(1+0.00023125256064071564)))</f>
        <v/>
      </c>
      <c r="P4847">
        <f>IF(G4847=1,IF(H4846=0,1,ABS(0.2-J4846*B4847/I4847)+ABS(0.2-K4846*C4847/I4847)+ABS(0.2-L4846*D4847/I4847)+ABS(0.2-M4846*E4847/I4847)+ABS(0.2-N4846*F4847/I4847)),0)</f>
        <v/>
      </c>
      <c r="Q4847">
        <f>P4847*0.0015</f>
        <v/>
      </c>
      <c r="R4847">
        <f>I4847*(1-Q4847)</f>
        <v/>
      </c>
      <c r="S4847">
        <f>R4847/R4846-1</f>
        <v/>
      </c>
      <c r="T4847">
        <f>MAX(T4846,R4847)</f>
        <v/>
      </c>
      <c r="U4847">
        <f>R4847/T4847-1</f>
        <v/>
      </c>
      <c r="V4847" t="n">
        <v>31.66053558809764</v>
      </c>
      <c r="W4847" s="5">
        <f>R4847-V4847</f>
        <v/>
      </c>
    </row>
    <row r="4848">
      <c r="A4848" s="3" t="n">
        <v>45580</v>
      </c>
      <c r="B4848">
        <f>Prices!B4848</f>
        <v/>
      </c>
      <c r="C4848">
        <f>Prices!C4848</f>
        <v/>
      </c>
      <c r="D4848">
        <f>Prices!D4848</f>
        <v/>
      </c>
      <c r="E4848">
        <f>Prices!E4848</f>
        <v/>
      </c>
      <c r="F4848">
        <f>Prices!F4848</f>
        <v/>
      </c>
      <c r="G4848">
        <f>IF(AND(4846&gt;=16,TEXT(A4848,"yyyy-mm")&lt;&gt;TEXT(A4849,"yyyy-mm")),1,0)</f>
        <v/>
      </c>
      <c r="H4848">
        <f>IF(OR(H4847=1,G4848=1),1,0)</f>
        <v/>
      </c>
      <c r="I4848">
        <f>IF(H4847=0,1,SUMPRODUCT(J4847:N4847,B4848:F4848)+O4847*(1+0.00023125256064071564))</f>
        <v/>
      </c>
      <c r="J4848">
        <f>IF(G4848=1,0.2*R4848/B4848,J4847)</f>
        <v/>
      </c>
      <c r="K4848">
        <f>IF(G4848=1,0.2*R4848/C4848,K4847)</f>
        <v/>
      </c>
      <c r="L4848">
        <f>IF(G4848=1,0.2*R4848/D4848,L4847)</f>
        <v/>
      </c>
      <c r="M4848">
        <f>IF(G4848=1,0.2*R4848/E4848,M4847)</f>
        <v/>
      </c>
      <c r="N4848">
        <f>IF(G4848=1,0.2*R4848/F4848,N4847)</f>
        <v/>
      </c>
      <c r="O4848">
        <f>IF(G4848=1,R4848*(1-1.0),IF(H4847=0,1,O4847*(1+0.00023125256064071564)))</f>
        <v/>
      </c>
      <c r="P4848">
        <f>IF(G4848=1,IF(H4847=0,1,ABS(0.2-J4847*B4848/I4848)+ABS(0.2-K4847*C4848/I4848)+ABS(0.2-L4847*D4848/I4848)+ABS(0.2-M4847*E4848/I4848)+ABS(0.2-N4847*F4848/I4848)),0)</f>
        <v/>
      </c>
      <c r="Q4848">
        <f>P4848*0.0015</f>
        <v/>
      </c>
      <c r="R4848">
        <f>I4848*(1-Q4848)</f>
        <v/>
      </c>
      <c r="S4848">
        <f>R4848/R4847-1</f>
        <v/>
      </c>
      <c r="T4848">
        <f>MAX(T4847,R4848)</f>
        <v/>
      </c>
      <c r="U4848">
        <f>R4848/T4848-1</f>
        <v/>
      </c>
      <c r="V4848" t="n">
        <v>31.6990020271046</v>
      </c>
      <c r="W4848" s="5">
        <f>R4848-V4848</f>
        <v/>
      </c>
    </row>
    <row r="4849">
      <c r="A4849" s="3" t="n">
        <v>45581</v>
      </c>
      <c r="B4849">
        <f>Prices!B4849</f>
        <v/>
      </c>
      <c r="C4849">
        <f>Prices!C4849</f>
        <v/>
      </c>
      <c r="D4849">
        <f>Prices!D4849</f>
        <v/>
      </c>
      <c r="E4849">
        <f>Prices!E4849</f>
        <v/>
      </c>
      <c r="F4849">
        <f>Prices!F4849</f>
        <v/>
      </c>
      <c r="G4849">
        <f>IF(AND(4847&gt;=16,TEXT(A4849,"yyyy-mm")&lt;&gt;TEXT(A4850,"yyyy-mm")),1,0)</f>
        <v/>
      </c>
      <c r="H4849">
        <f>IF(OR(H4848=1,G4849=1),1,0)</f>
        <v/>
      </c>
      <c r="I4849">
        <f>IF(H4848=0,1,SUMPRODUCT(J4848:N4848,B4849:F4849)+O4848*(1+0.00023125256064071564))</f>
        <v/>
      </c>
      <c r="J4849">
        <f>IF(G4849=1,0.2*R4849/B4849,J4848)</f>
        <v/>
      </c>
      <c r="K4849">
        <f>IF(G4849=1,0.2*R4849/C4849,K4848)</f>
        <v/>
      </c>
      <c r="L4849">
        <f>IF(G4849=1,0.2*R4849/D4849,L4848)</f>
        <v/>
      </c>
      <c r="M4849">
        <f>IF(G4849=1,0.2*R4849/E4849,M4848)</f>
        <v/>
      </c>
      <c r="N4849">
        <f>IF(G4849=1,0.2*R4849/F4849,N4848)</f>
        <v/>
      </c>
      <c r="O4849">
        <f>IF(G4849=1,R4849*(1-1.0),IF(H4848=0,1,O4848*(1+0.00023125256064071564)))</f>
        <v/>
      </c>
      <c r="P4849">
        <f>IF(G4849=1,IF(H4848=0,1,ABS(0.2-J4848*B4849/I4849)+ABS(0.2-K4848*C4849/I4849)+ABS(0.2-L4848*D4849/I4849)+ABS(0.2-M4848*E4849/I4849)+ABS(0.2-N4848*F4849/I4849)),0)</f>
        <v/>
      </c>
      <c r="Q4849">
        <f>P4849*0.0015</f>
        <v/>
      </c>
      <c r="R4849">
        <f>I4849*(1-Q4849)</f>
        <v/>
      </c>
      <c r="S4849">
        <f>R4849/R4848-1</f>
        <v/>
      </c>
      <c r="T4849">
        <f>MAX(T4848,R4849)</f>
        <v/>
      </c>
      <c r="U4849">
        <f>R4849/T4849-1</f>
        <v/>
      </c>
      <c r="V4849" t="n">
        <v>31.56941138948934</v>
      </c>
      <c r="W4849" s="5">
        <f>R4849-V4849</f>
        <v/>
      </c>
    </row>
    <row r="4850">
      <c r="A4850" s="3" t="n">
        <v>45582</v>
      </c>
      <c r="B4850">
        <f>Prices!B4850</f>
        <v/>
      </c>
      <c r="C4850">
        <f>Prices!C4850</f>
        <v/>
      </c>
      <c r="D4850">
        <f>Prices!D4850</f>
        <v/>
      </c>
      <c r="E4850">
        <f>Prices!E4850</f>
        <v/>
      </c>
      <c r="F4850">
        <f>Prices!F4850</f>
        <v/>
      </c>
      <c r="G4850">
        <f>IF(AND(4848&gt;=16,TEXT(A4850,"yyyy-mm")&lt;&gt;TEXT(A4851,"yyyy-mm")),1,0)</f>
        <v/>
      </c>
      <c r="H4850">
        <f>IF(OR(H4849=1,G4850=1),1,0)</f>
        <v/>
      </c>
      <c r="I4850">
        <f>IF(H4849=0,1,SUMPRODUCT(J4849:N4849,B4850:F4850)+O4849*(1+0.00023125256064071564))</f>
        <v/>
      </c>
      <c r="J4850">
        <f>IF(G4850=1,0.2*R4850/B4850,J4849)</f>
        <v/>
      </c>
      <c r="K4850">
        <f>IF(G4850=1,0.2*R4850/C4850,K4849)</f>
        <v/>
      </c>
      <c r="L4850">
        <f>IF(G4850=1,0.2*R4850/D4850,L4849)</f>
        <v/>
      </c>
      <c r="M4850">
        <f>IF(G4850=1,0.2*R4850/E4850,M4849)</f>
        <v/>
      </c>
      <c r="N4850">
        <f>IF(G4850=1,0.2*R4850/F4850,N4849)</f>
        <v/>
      </c>
      <c r="O4850">
        <f>IF(G4850=1,R4850*(1-1.0),IF(H4849=0,1,O4849*(1+0.00023125256064071564)))</f>
        <v/>
      </c>
      <c r="P4850">
        <f>IF(G4850=1,IF(H4849=0,1,ABS(0.2-J4849*B4850/I4850)+ABS(0.2-K4849*C4850/I4850)+ABS(0.2-L4849*D4850/I4850)+ABS(0.2-M4849*E4850/I4850)+ABS(0.2-N4849*F4850/I4850)),0)</f>
        <v/>
      </c>
      <c r="Q4850">
        <f>P4850*0.0015</f>
        <v/>
      </c>
      <c r="R4850">
        <f>I4850*(1-Q4850)</f>
        <v/>
      </c>
      <c r="S4850">
        <f>R4850/R4849-1</f>
        <v/>
      </c>
      <c r="T4850">
        <f>MAX(T4849,R4850)</f>
        <v/>
      </c>
      <c r="U4850">
        <f>R4850/T4850-1</f>
        <v/>
      </c>
      <c r="V4850" t="n">
        <v>30.98495658458573</v>
      </c>
      <c r="W4850" s="5">
        <f>R4850-V4850</f>
        <v/>
      </c>
    </row>
    <row r="4851">
      <c r="A4851" s="3" t="n">
        <v>45583</v>
      </c>
      <c r="B4851">
        <f>Prices!B4851</f>
        <v/>
      </c>
      <c r="C4851">
        <f>Prices!C4851</f>
        <v/>
      </c>
      <c r="D4851">
        <f>Prices!D4851</f>
        <v/>
      </c>
      <c r="E4851">
        <f>Prices!E4851</f>
        <v/>
      </c>
      <c r="F4851">
        <f>Prices!F4851</f>
        <v/>
      </c>
      <c r="G4851">
        <f>IF(AND(4849&gt;=16,TEXT(A4851,"yyyy-mm")&lt;&gt;TEXT(A4852,"yyyy-mm")),1,0)</f>
        <v/>
      </c>
      <c r="H4851">
        <f>IF(OR(H4850=1,G4851=1),1,0)</f>
        <v/>
      </c>
      <c r="I4851">
        <f>IF(H4850=0,1,SUMPRODUCT(J4850:N4850,B4851:F4851)+O4850*(1+0.00023125256064071564))</f>
        <v/>
      </c>
      <c r="J4851">
        <f>IF(G4851=1,0.2*R4851/B4851,J4850)</f>
        <v/>
      </c>
      <c r="K4851">
        <f>IF(G4851=1,0.2*R4851/C4851,K4850)</f>
        <v/>
      </c>
      <c r="L4851">
        <f>IF(G4851=1,0.2*R4851/D4851,L4850)</f>
        <v/>
      </c>
      <c r="M4851">
        <f>IF(G4851=1,0.2*R4851/E4851,M4850)</f>
        <v/>
      </c>
      <c r="N4851">
        <f>IF(G4851=1,0.2*R4851/F4851,N4850)</f>
        <v/>
      </c>
      <c r="O4851">
        <f>IF(G4851=1,R4851*(1-1.0),IF(H4850=0,1,O4850*(1+0.00023125256064071564)))</f>
        <v/>
      </c>
      <c r="P4851">
        <f>IF(G4851=1,IF(H4850=0,1,ABS(0.2-J4850*B4851/I4851)+ABS(0.2-K4850*C4851/I4851)+ABS(0.2-L4850*D4851/I4851)+ABS(0.2-M4850*E4851/I4851)+ABS(0.2-N4850*F4851/I4851)),0)</f>
        <v/>
      </c>
      <c r="Q4851">
        <f>P4851*0.0015</f>
        <v/>
      </c>
      <c r="R4851">
        <f>I4851*(1-Q4851)</f>
        <v/>
      </c>
      <c r="S4851">
        <f>R4851/R4850-1</f>
        <v/>
      </c>
      <c r="T4851">
        <f>MAX(T4850,R4851)</f>
        <v/>
      </c>
      <c r="U4851">
        <f>R4851/T4851-1</f>
        <v/>
      </c>
      <c r="V4851" t="n">
        <v>31.10643241383335</v>
      </c>
      <c r="W4851" s="5">
        <f>R4851-V4851</f>
        <v/>
      </c>
    </row>
    <row r="4852">
      <c r="A4852" s="3" t="n">
        <v>45586</v>
      </c>
      <c r="B4852">
        <f>Prices!B4852</f>
        <v/>
      </c>
      <c r="C4852">
        <f>Prices!C4852</f>
        <v/>
      </c>
      <c r="D4852">
        <f>Prices!D4852</f>
        <v/>
      </c>
      <c r="E4852">
        <f>Prices!E4852</f>
        <v/>
      </c>
      <c r="F4852">
        <f>Prices!F4852</f>
        <v/>
      </c>
      <c r="G4852">
        <f>IF(AND(4850&gt;=16,TEXT(A4852,"yyyy-mm")&lt;&gt;TEXT(A4853,"yyyy-mm")),1,0)</f>
        <v/>
      </c>
      <c r="H4852">
        <f>IF(OR(H4851=1,G4852=1),1,0)</f>
        <v/>
      </c>
      <c r="I4852">
        <f>IF(H4851=0,1,SUMPRODUCT(J4851:N4851,B4852:F4852)+O4851*(1+0.00023125256064071564))</f>
        <v/>
      </c>
      <c r="J4852">
        <f>IF(G4852=1,0.2*R4852/B4852,J4851)</f>
        <v/>
      </c>
      <c r="K4852">
        <f>IF(G4852=1,0.2*R4852/C4852,K4851)</f>
        <v/>
      </c>
      <c r="L4852">
        <f>IF(G4852=1,0.2*R4852/D4852,L4851)</f>
        <v/>
      </c>
      <c r="M4852">
        <f>IF(G4852=1,0.2*R4852/E4852,M4851)</f>
        <v/>
      </c>
      <c r="N4852">
        <f>IF(G4852=1,0.2*R4852/F4852,N4851)</f>
        <v/>
      </c>
      <c r="O4852">
        <f>IF(G4852=1,R4852*(1-1.0),IF(H4851=0,1,O4851*(1+0.00023125256064071564)))</f>
        <v/>
      </c>
      <c r="P4852">
        <f>IF(G4852=1,IF(H4851=0,1,ABS(0.2-J4851*B4852/I4852)+ABS(0.2-K4851*C4852/I4852)+ABS(0.2-L4851*D4852/I4852)+ABS(0.2-M4851*E4852/I4852)+ABS(0.2-N4851*F4852/I4852)),0)</f>
        <v/>
      </c>
      <c r="Q4852">
        <f>P4852*0.0015</f>
        <v/>
      </c>
      <c r="R4852">
        <f>I4852*(1-Q4852)</f>
        <v/>
      </c>
      <c r="S4852">
        <f>R4852/R4851-1</f>
        <v/>
      </c>
      <c r="T4852">
        <f>MAX(T4851,R4852)</f>
        <v/>
      </c>
      <c r="U4852">
        <f>R4852/T4852-1</f>
        <v/>
      </c>
      <c r="V4852" t="n">
        <v>30.6442626921351</v>
      </c>
      <c r="W4852" s="5">
        <f>R4852-V4852</f>
        <v/>
      </c>
    </row>
    <row r="4853">
      <c r="A4853" s="3" t="n">
        <v>45587</v>
      </c>
      <c r="B4853">
        <f>Prices!B4853</f>
        <v/>
      </c>
      <c r="C4853">
        <f>Prices!C4853</f>
        <v/>
      </c>
      <c r="D4853">
        <f>Prices!D4853</f>
        <v/>
      </c>
      <c r="E4853">
        <f>Prices!E4853</f>
        <v/>
      </c>
      <c r="F4853">
        <f>Prices!F4853</f>
        <v/>
      </c>
      <c r="G4853">
        <f>IF(AND(4851&gt;=16,TEXT(A4853,"yyyy-mm")&lt;&gt;TEXT(A4854,"yyyy-mm")),1,0)</f>
        <v/>
      </c>
      <c r="H4853">
        <f>IF(OR(H4852=1,G4853=1),1,0)</f>
        <v/>
      </c>
      <c r="I4853">
        <f>IF(H4852=0,1,SUMPRODUCT(J4852:N4852,B4853:F4853)+O4852*(1+0.00023125256064071564))</f>
        <v/>
      </c>
      <c r="J4853">
        <f>IF(G4853=1,0.2*R4853/B4853,J4852)</f>
        <v/>
      </c>
      <c r="K4853">
        <f>IF(G4853=1,0.2*R4853/C4853,K4852)</f>
        <v/>
      </c>
      <c r="L4853">
        <f>IF(G4853=1,0.2*R4853/D4853,L4852)</f>
        <v/>
      </c>
      <c r="M4853">
        <f>IF(G4853=1,0.2*R4853/E4853,M4852)</f>
        <v/>
      </c>
      <c r="N4853">
        <f>IF(G4853=1,0.2*R4853/F4853,N4852)</f>
        <v/>
      </c>
      <c r="O4853">
        <f>IF(G4853=1,R4853*(1-1.0),IF(H4852=0,1,O4852*(1+0.00023125256064071564)))</f>
        <v/>
      </c>
      <c r="P4853">
        <f>IF(G4853=1,IF(H4852=0,1,ABS(0.2-J4852*B4853/I4853)+ABS(0.2-K4852*C4853/I4853)+ABS(0.2-L4852*D4853/I4853)+ABS(0.2-M4852*E4853/I4853)+ABS(0.2-N4852*F4853/I4853)),0)</f>
        <v/>
      </c>
      <c r="Q4853">
        <f>P4853*0.0015</f>
        <v/>
      </c>
      <c r="R4853">
        <f>I4853*(1-Q4853)</f>
        <v/>
      </c>
      <c r="S4853">
        <f>R4853/R4852-1</f>
        <v/>
      </c>
      <c r="T4853">
        <f>MAX(T4852,R4853)</f>
        <v/>
      </c>
      <c r="U4853">
        <f>R4853/T4853-1</f>
        <v/>
      </c>
      <c r="V4853" t="n">
        <v>29.80372250187288</v>
      </c>
      <c r="W4853" s="5">
        <f>R4853-V4853</f>
        <v/>
      </c>
    </row>
    <row r="4854">
      <c r="A4854" s="3" t="n">
        <v>45588</v>
      </c>
      <c r="B4854">
        <f>Prices!B4854</f>
        <v/>
      </c>
      <c r="C4854">
        <f>Prices!C4854</f>
        <v/>
      </c>
      <c r="D4854">
        <f>Prices!D4854</f>
        <v/>
      </c>
      <c r="E4854">
        <f>Prices!E4854</f>
        <v/>
      </c>
      <c r="F4854">
        <f>Prices!F4854</f>
        <v/>
      </c>
      <c r="G4854">
        <f>IF(AND(4852&gt;=16,TEXT(A4854,"yyyy-mm")&lt;&gt;TEXT(A4855,"yyyy-mm")),1,0)</f>
        <v/>
      </c>
      <c r="H4854">
        <f>IF(OR(H4853=1,G4854=1),1,0)</f>
        <v/>
      </c>
      <c r="I4854">
        <f>IF(H4853=0,1,SUMPRODUCT(J4853:N4853,B4854:F4854)+O4853*(1+0.00023125256064071564))</f>
        <v/>
      </c>
      <c r="J4854">
        <f>IF(G4854=1,0.2*R4854/B4854,J4853)</f>
        <v/>
      </c>
      <c r="K4854">
        <f>IF(G4854=1,0.2*R4854/C4854,K4853)</f>
        <v/>
      </c>
      <c r="L4854">
        <f>IF(G4854=1,0.2*R4854/D4854,L4853)</f>
        <v/>
      </c>
      <c r="M4854">
        <f>IF(G4854=1,0.2*R4854/E4854,M4853)</f>
        <v/>
      </c>
      <c r="N4854">
        <f>IF(G4854=1,0.2*R4854/F4854,N4853)</f>
        <v/>
      </c>
      <c r="O4854">
        <f>IF(G4854=1,R4854*(1-1.0),IF(H4853=0,1,O4853*(1+0.00023125256064071564)))</f>
        <v/>
      </c>
      <c r="P4854">
        <f>IF(G4854=1,IF(H4853=0,1,ABS(0.2-J4853*B4854/I4854)+ABS(0.2-K4853*C4854/I4854)+ABS(0.2-L4853*D4854/I4854)+ABS(0.2-M4853*E4854/I4854)+ABS(0.2-N4853*F4854/I4854)),0)</f>
        <v/>
      </c>
      <c r="Q4854">
        <f>P4854*0.0015</f>
        <v/>
      </c>
      <c r="R4854">
        <f>I4854*(1-Q4854)</f>
        <v/>
      </c>
      <c r="S4854">
        <f>R4854/R4853-1</f>
        <v/>
      </c>
      <c r="T4854">
        <f>MAX(T4853,R4854)</f>
        <v/>
      </c>
      <c r="U4854">
        <f>R4854/T4854-1</f>
        <v/>
      </c>
      <c r="V4854" t="n">
        <v>29.82125572205737</v>
      </c>
      <c r="W4854" s="5">
        <f>R4854-V4854</f>
        <v/>
      </c>
    </row>
    <row r="4855">
      <c r="A4855" s="3" t="n">
        <v>45589</v>
      </c>
      <c r="B4855">
        <f>Prices!B4855</f>
        <v/>
      </c>
      <c r="C4855">
        <f>Prices!C4855</f>
        <v/>
      </c>
      <c r="D4855">
        <f>Prices!D4855</f>
        <v/>
      </c>
      <c r="E4855">
        <f>Prices!E4855</f>
        <v/>
      </c>
      <c r="F4855">
        <f>Prices!F4855</f>
        <v/>
      </c>
      <c r="G4855">
        <f>IF(AND(4853&gt;=16,TEXT(A4855,"yyyy-mm")&lt;&gt;TEXT(A4856,"yyyy-mm")),1,0)</f>
        <v/>
      </c>
      <c r="H4855">
        <f>IF(OR(H4854=1,G4855=1),1,0)</f>
        <v/>
      </c>
      <c r="I4855">
        <f>IF(H4854=0,1,SUMPRODUCT(J4854:N4854,B4855:F4855)+O4854*(1+0.00023125256064071564))</f>
        <v/>
      </c>
      <c r="J4855">
        <f>IF(G4855=1,0.2*R4855/B4855,J4854)</f>
        <v/>
      </c>
      <c r="K4855">
        <f>IF(G4855=1,0.2*R4855/C4855,K4854)</f>
        <v/>
      </c>
      <c r="L4855">
        <f>IF(G4855=1,0.2*R4855/D4855,L4854)</f>
        <v/>
      </c>
      <c r="M4855">
        <f>IF(G4855=1,0.2*R4855/E4855,M4854)</f>
        <v/>
      </c>
      <c r="N4855">
        <f>IF(G4855=1,0.2*R4855/F4855,N4854)</f>
        <v/>
      </c>
      <c r="O4855">
        <f>IF(G4855=1,R4855*(1-1.0),IF(H4854=0,1,O4854*(1+0.00023125256064071564)))</f>
        <v/>
      </c>
      <c r="P4855">
        <f>IF(G4855=1,IF(H4854=0,1,ABS(0.2-J4854*B4855/I4855)+ABS(0.2-K4854*C4855/I4855)+ABS(0.2-L4854*D4855/I4855)+ABS(0.2-M4854*E4855/I4855)+ABS(0.2-N4854*F4855/I4855)),0)</f>
        <v/>
      </c>
      <c r="Q4855">
        <f>P4855*0.0015</f>
        <v/>
      </c>
      <c r="R4855">
        <f>I4855*(1-Q4855)</f>
        <v/>
      </c>
      <c r="S4855">
        <f>R4855/R4854-1</f>
        <v/>
      </c>
      <c r="T4855">
        <f>MAX(T4854,R4855)</f>
        <v/>
      </c>
      <c r="U4855">
        <f>R4855/T4855-1</f>
        <v/>
      </c>
      <c r="V4855" t="n">
        <v>29.74483427008441</v>
      </c>
      <c r="W4855" s="5">
        <f>R4855-V4855</f>
        <v/>
      </c>
    </row>
    <row r="4856">
      <c r="A4856" s="3" t="n">
        <v>45590</v>
      </c>
      <c r="B4856">
        <f>Prices!B4856</f>
        <v/>
      </c>
      <c r="C4856">
        <f>Prices!C4856</f>
        <v/>
      </c>
      <c r="D4856">
        <f>Prices!D4856</f>
        <v/>
      </c>
      <c r="E4856">
        <f>Prices!E4856</f>
        <v/>
      </c>
      <c r="F4856">
        <f>Prices!F4856</f>
        <v/>
      </c>
      <c r="G4856">
        <f>IF(AND(4854&gt;=16,TEXT(A4856,"yyyy-mm")&lt;&gt;TEXT(A4857,"yyyy-mm")),1,0)</f>
        <v/>
      </c>
      <c r="H4856">
        <f>IF(OR(H4855=1,G4856=1),1,0)</f>
        <v/>
      </c>
      <c r="I4856">
        <f>IF(H4855=0,1,SUMPRODUCT(J4855:N4855,B4856:F4856)+O4855*(1+0.00023125256064071564))</f>
        <v/>
      </c>
      <c r="J4856">
        <f>IF(G4856=1,0.2*R4856/B4856,J4855)</f>
        <v/>
      </c>
      <c r="K4856">
        <f>IF(G4856=1,0.2*R4856/C4856,K4855)</f>
        <v/>
      </c>
      <c r="L4856">
        <f>IF(G4856=1,0.2*R4856/D4856,L4855)</f>
        <v/>
      </c>
      <c r="M4856">
        <f>IF(G4856=1,0.2*R4856/E4856,M4855)</f>
        <v/>
      </c>
      <c r="N4856">
        <f>IF(G4856=1,0.2*R4856/F4856,N4855)</f>
        <v/>
      </c>
      <c r="O4856">
        <f>IF(G4856=1,R4856*(1-1.0),IF(H4855=0,1,O4855*(1+0.00023125256064071564)))</f>
        <v/>
      </c>
      <c r="P4856">
        <f>IF(G4856=1,IF(H4855=0,1,ABS(0.2-J4855*B4856/I4856)+ABS(0.2-K4855*C4856/I4856)+ABS(0.2-L4855*D4856/I4856)+ABS(0.2-M4855*E4856/I4856)+ABS(0.2-N4855*F4856/I4856)),0)</f>
        <v/>
      </c>
      <c r="Q4856">
        <f>P4856*0.0015</f>
        <v/>
      </c>
      <c r="R4856">
        <f>I4856*(1-Q4856)</f>
        <v/>
      </c>
      <c r="S4856">
        <f>R4856/R4855-1</f>
        <v/>
      </c>
      <c r="T4856">
        <f>MAX(T4855,R4856)</f>
        <v/>
      </c>
      <c r="U4856">
        <f>R4856/T4856-1</f>
        <v/>
      </c>
      <c r="V4856" t="n">
        <v>29.16166309394306</v>
      </c>
      <c r="W4856" s="5">
        <f>R4856-V4856</f>
        <v/>
      </c>
    </row>
    <row r="4857">
      <c r="A4857" s="3" t="n">
        <v>45593</v>
      </c>
      <c r="B4857">
        <f>Prices!B4857</f>
        <v/>
      </c>
      <c r="C4857">
        <f>Prices!C4857</f>
        <v/>
      </c>
      <c r="D4857">
        <f>Prices!D4857</f>
        <v/>
      </c>
      <c r="E4857">
        <f>Prices!E4857</f>
        <v/>
      </c>
      <c r="F4857">
        <f>Prices!F4857</f>
        <v/>
      </c>
      <c r="G4857">
        <f>IF(AND(4855&gt;=16,TEXT(A4857,"yyyy-mm")&lt;&gt;TEXT(A4858,"yyyy-mm")),1,0)</f>
        <v/>
      </c>
      <c r="H4857">
        <f>IF(OR(H4856=1,G4857=1),1,0)</f>
        <v/>
      </c>
      <c r="I4857">
        <f>IF(H4856=0,1,SUMPRODUCT(J4856:N4856,B4857:F4857)+O4856*(1+0.00023125256064071564))</f>
        <v/>
      </c>
      <c r="J4857">
        <f>IF(G4857=1,0.2*R4857/B4857,J4856)</f>
        <v/>
      </c>
      <c r="K4857">
        <f>IF(G4857=1,0.2*R4857/C4857,K4856)</f>
        <v/>
      </c>
      <c r="L4857">
        <f>IF(G4857=1,0.2*R4857/D4857,L4856)</f>
        <v/>
      </c>
      <c r="M4857">
        <f>IF(G4857=1,0.2*R4857/E4857,M4856)</f>
        <v/>
      </c>
      <c r="N4857">
        <f>IF(G4857=1,0.2*R4857/F4857,N4856)</f>
        <v/>
      </c>
      <c r="O4857">
        <f>IF(G4857=1,R4857*(1-1.0),IF(H4856=0,1,O4856*(1+0.00023125256064071564)))</f>
        <v/>
      </c>
      <c r="P4857">
        <f>IF(G4857=1,IF(H4856=0,1,ABS(0.2-J4856*B4857/I4857)+ABS(0.2-K4856*C4857/I4857)+ABS(0.2-L4856*D4857/I4857)+ABS(0.2-M4856*E4857/I4857)+ABS(0.2-N4856*F4857/I4857)),0)</f>
        <v/>
      </c>
      <c r="Q4857">
        <f>P4857*0.0015</f>
        <v/>
      </c>
      <c r="R4857">
        <f>I4857*(1-Q4857)</f>
        <v/>
      </c>
      <c r="S4857">
        <f>R4857/R4856-1</f>
        <v/>
      </c>
      <c r="T4857">
        <f>MAX(T4856,R4857)</f>
        <v/>
      </c>
      <c r="U4857">
        <f>R4857/T4857-1</f>
        <v/>
      </c>
      <c r="V4857" t="n">
        <v>29.40247249759383</v>
      </c>
      <c r="W4857" s="5">
        <f>R4857-V4857</f>
        <v/>
      </c>
    </row>
    <row r="4858">
      <c r="A4858" s="3" t="n">
        <v>45594</v>
      </c>
      <c r="B4858">
        <f>Prices!B4858</f>
        <v/>
      </c>
      <c r="C4858">
        <f>Prices!C4858</f>
        <v/>
      </c>
      <c r="D4858">
        <f>Prices!D4858</f>
        <v/>
      </c>
      <c r="E4858">
        <f>Prices!E4858</f>
        <v/>
      </c>
      <c r="F4858">
        <f>Prices!F4858</f>
        <v/>
      </c>
      <c r="G4858">
        <f>IF(AND(4856&gt;=16,TEXT(A4858,"yyyy-mm")&lt;&gt;TEXT(A4859,"yyyy-mm")),1,0)</f>
        <v/>
      </c>
      <c r="H4858">
        <f>IF(OR(H4857=1,G4858=1),1,0)</f>
        <v/>
      </c>
      <c r="I4858">
        <f>IF(H4857=0,1,SUMPRODUCT(J4857:N4857,B4858:F4858)+O4857*(1+0.00023125256064071564))</f>
        <v/>
      </c>
      <c r="J4858">
        <f>IF(G4858=1,0.2*R4858/B4858,J4857)</f>
        <v/>
      </c>
      <c r="K4858">
        <f>IF(G4858=1,0.2*R4858/C4858,K4857)</f>
        <v/>
      </c>
      <c r="L4858">
        <f>IF(G4858=1,0.2*R4858/D4858,L4857)</f>
        <v/>
      </c>
      <c r="M4858">
        <f>IF(G4858=1,0.2*R4858/E4858,M4857)</f>
        <v/>
      </c>
      <c r="N4858">
        <f>IF(G4858=1,0.2*R4858/F4858,N4857)</f>
        <v/>
      </c>
      <c r="O4858">
        <f>IF(G4858=1,R4858*(1-1.0),IF(H4857=0,1,O4857*(1+0.00023125256064071564)))</f>
        <v/>
      </c>
      <c r="P4858">
        <f>IF(G4858=1,IF(H4857=0,1,ABS(0.2-J4857*B4858/I4858)+ABS(0.2-K4857*C4858/I4858)+ABS(0.2-L4857*D4858/I4858)+ABS(0.2-M4857*E4858/I4858)+ABS(0.2-N4857*F4858/I4858)),0)</f>
        <v/>
      </c>
      <c r="Q4858">
        <f>P4858*0.0015</f>
        <v/>
      </c>
      <c r="R4858">
        <f>I4858*(1-Q4858)</f>
        <v/>
      </c>
      <c r="S4858">
        <f>R4858/R4857-1</f>
        <v/>
      </c>
      <c r="T4858">
        <f>MAX(T4857,R4858)</f>
        <v/>
      </c>
      <c r="U4858">
        <f>R4858/T4858-1</f>
        <v/>
      </c>
      <c r="V4858" t="n">
        <v>29.68863132231789</v>
      </c>
      <c r="W4858" s="5">
        <f>R4858-V4858</f>
        <v/>
      </c>
    </row>
    <row r="4859">
      <c r="A4859" s="3" t="n">
        <v>45595</v>
      </c>
      <c r="B4859">
        <f>Prices!B4859</f>
        <v/>
      </c>
      <c r="C4859">
        <f>Prices!C4859</f>
        <v/>
      </c>
      <c r="D4859">
        <f>Prices!D4859</f>
        <v/>
      </c>
      <c r="E4859">
        <f>Prices!E4859</f>
        <v/>
      </c>
      <c r="F4859">
        <f>Prices!F4859</f>
        <v/>
      </c>
      <c r="G4859">
        <f>IF(AND(4857&gt;=16,TEXT(A4859,"yyyy-mm")&lt;&gt;TEXT(A4860,"yyyy-mm")),1,0)</f>
        <v/>
      </c>
      <c r="H4859">
        <f>IF(OR(H4858=1,G4859=1),1,0)</f>
        <v/>
      </c>
      <c r="I4859">
        <f>IF(H4858=0,1,SUMPRODUCT(J4858:N4858,B4859:F4859)+O4858*(1+0.00023125256064071564))</f>
        <v/>
      </c>
      <c r="J4859">
        <f>IF(G4859=1,0.2*R4859/B4859,J4858)</f>
        <v/>
      </c>
      <c r="K4859">
        <f>IF(G4859=1,0.2*R4859/C4859,K4858)</f>
        <v/>
      </c>
      <c r="L4859">
        <f>IF(G4859=1,0.2*R4859/D4859,L4858)</f>
        <v/>
      </c>
      <c r="M4859">
        <f>IF(G4859=1,0.2*R4859/E4859,M4858)</f>
        <v/>
      </c>
      <c r="N4859">
        <f>IF(G4859=1,0.2*R4859/F4859,N4858)</f>
        <v/>
      </c>
      <c r="O4859">
        <f>IF(G4859=1,R4859*(1-1.0),IF(H4858=0,1,O4858*(1+0.00023125256064071564)))</f>
        <v/>
      </c>
      <c r="P4859">
        <f>IF(G4859=1,IF(H4858=0,1,ABS(0.2-J4858*B4859/I4859)+ABS(0.2-K4858*C4859/I4859)+ABS(0.2-L4858*D4859/I4859)+ABS(0.2-M4858*E4859/I4859)+ABS(0.2-N4858*F4859/I4859)),0)</f>
        <v/>
      </c>
      <c r="Q4859">
        <f>P4859*0.0015</f>
        <v/>
      </c>
      <c r="R4859">
        <f>I4859*(1-Q4859)</f>
        <v/>
      </c>
      <c r="S4859">
        <f>R4859/R4858-1</f>
        <v/>
      </c>
      <c r="T4859">
        <f>MAX(T4858,R4859)</f>
        <v/>
      </c>
      <c r="U4859">
        <f>R4859/T4859-1</f>
        <v/>
      </c>
      <c r="V4859" t="n">
        <v>29.7228475294024</v>
      </c>
      <c r="W4859" s="5">
        <f>R4859-V4859</f>
        <v/>
      </c>
    </row>
    <row r="4860">
      <c r="A4860" s="3" t="n">
        <v>45596</v>
      </c>
      <c r="B4860">
        <f>Prices!B4860</f>
        <v/>
      </c>
      <c r="C4860">
        <f>Prices!C4860</f>
        <v/>
      </c>
      <c r="D4860">
        <f>Prices!D4860</f>
        <v/>
      </c>
      <c r="E4860">
        <f>Prices!E4860</f>
        <v/>
      </c>
      <c r="F4860">
        <f>Prices!F4860</f>
        <v/>
      </c>
      <c r="G4860">
        <f>IF(AND(4858&gt;=16,TEXT(A4860,"yyyy-mm")&lt;&gt;TEXT(A4861,"yyyy-mm")),1,0)</f>
        <v/>
      </c>
      <c r="H4860">
        <f>IF(OR(H4859=1,G4860=1),1,0)</f>
        <v/>
      </c>
      <c r="I4860">
        <f>IF(H4859=0,1,SUMPRODUCT(J4859:N4859,B4860:F4860)+O4859*(1+0.00023125256064071564))</f>
        <v/>
      </c>
      <c r="J4860">
        <f>IF(G4860=1,0.2*R4860/B4860,J4859)</f>
        <v/>
      </c>
      <c r="K4860">
        <f>IF(G4860=1,0.2*R4860/C4860,K4859)</f>
        <v/>
      </c>
      <c r="L4860">
        <f>IF(G4860=1,0.2*R4860/D4860,L4859)</f>
        <v/>
      </c>
      <c r="M4860">
        <f>IF(G4860=1,0.2*R4860/E4860,M4859)</f>
        <v/>
      </c>
      <c r="N4860">
        <f>IF(G4860=1,0.2*R4860/F4860,N4859)</f>
        <v/>
      </c>
      <c r="O4860">
        <f>IF(G4860=1,R4860*(1-1.0),IF(H4859=0,1,O4859*(1+0.00023125256064071564)))</f>
        <v/>
      </c>
      <c r="P4860">
        <f>IF(G4860=1,IF(H4859=0,1,ABS(0.2-J4859*B4860/I4860)+ABS(0.2-K4859*C4860/I4860)+ABS(0.2-L4859*D4860/I4860)+ABS(0.2-M4859*E4860/I4860)+ABS(0.2-N4859*F4860/I4860)),0)</f>
        <v/>
      </c>
      <c r="Q4860">
        <f>P4860*0.0015</f>
        <v/>
      </c>
      <c r="R4860">
        <f>I4860*(1-Q4860)</f>
        <v/>
      </c>
      <c r="S4860">
        <f>R4860/R4859-1</f>
        <v/>
      </c>
      <c r="T4860">
        <f>MAX(T4859,R4860)</f>
        <v/>
      </c>
      <c r="U4860">
        <f>R4860/T4860-1</f>
        <v/>
      </c>
      <c r="V4860" t="n">
        <v>29.67864595121445</v>
      </c>
      <c r="W4860" s="5">
        <f>R4860-V4860</f>
        <v/>
      </c>
    </row>
    <row r="4861">
      <c r="A4861" s="3" t="n">
        <v>45597</v>
      </c>
      <c r="B4861">
        <f>Prices!B4861</f>
        <v/>
      </c>
      <c r="C4861">
        <f>Prices!C4861</f>
        <v/>
      </c>
      <c r="D4861">
        <f>Prices!D4861</f>
        <v/>
      </c>
      <c r="E4861">
        <f>Prices!E4861</f>
        <v/>
      </c>
      <c r="F4861">
        <f>Prices!F4861</f>
        <v/>
      </c>
      <c r="G4861">
        <f>IF(AND(4859&gt;=16,TEXT(A4861,"yyyy-mm")&lt;&gt;TEXT(A4862,"yyyy-mm")),1,0)</f>
        <v/>
      </c>
      <c r="H4861">
        <f>IF(OR(H4860=1,G4861=1),1,0)</f>
        <v/>
      </c>
      <c r="I4861">
        <f>IF(H4860=0,1,SUMPRODUCT(J4860:N4860,B4861:F4861)+O4860*(1+0.00023125256064071564))</f>
        <v/>
      </c>
      <c r="J4861">
        <f>IF(G4861=1,0.2*R4861/B4861,J4860)</f>
        <v/>
      </c>
      <c r="K4861">
        <f>IF(G4861=1,0.2*R4861/C4861,K4860)</f>
        <v/>
      </c>
      <c r="L4861">
        <f>IF(G4861=1,0.2*R4861/D4861,L4860)</f>
        <v/>
      </c>
      <c r="M4861">
        <f>IF(G4861=1,0.2*R4861/E4861,M4860)</f>
        <v/>
      </c>
      <c r="N4861">
        <f>IF(G4861=1,0.2*R4861/F4861,N4860)</f>
        <v/>
      </c>
      <c r="O4861">
        <f>IF(G4861=1,R4861*(1-1.0),IF(H4860=0,1,O4860*(1+0.00023125256064071564)))</f>
        <v/>
      </c>
      <c r="P4861">
        <f>IF(G4861=1,IF(H4860=0,1,ABS(0.2-J4860*B4861/I4861)+ABS(0.2-K4860*C4861/I4861)+ABS(0.2-L4860*D4861/I4861)+ABS(0.2-M4860*E4861/I4861)+ABS(0.2-N4860*F4861/I4861)),0)</f>
        <v/>
      </c>
      <c r="Q4861">
        <f>P4861*0.0015</f>
        <v/>
      </c>
      <c r="R4861">
        <f>I4861*(1-Q4861)</f>
        <v/>
      </c>
      <c r="S4861">
        <f>R4861/R4860-1</f>
        <v/>
      </c>
      <c r="T4861">
        <f>MAX(T4860,R4861)</f>
        <v/>
      </c>
      <c r="U4861">
        <f>R4861/T4861-1</f>
        <v/>
      </c>
      <c r="V4861" t="n">
        <v>29.88980222277969</v>
      </c>
      <c r="W4861" s="5">
        <f>R4861-V4861</f>
        <v/>
      </c>
    </row>
    <row r="4862">
      <c r="A4862" s="3" t="n">
        <v>45600</v>
      </c>
      <c r="B4862">
        <f>Prices!B4862</f>
        <v/>
      </c>
      <c r="C4862">
        <f>Prices!C4862</f>
        <v/>
      </c>
      <c r="D4862">
        <f>Prices!D4862</f>
        <v/>
      </c>
      <c r="E4862">
        <f>Prices!E4862</f>
        <v/>
      </c>
      <c r="F4862">
        <f>Prices!F4862</f>
        <v/>
      </c>
      <c r="G4862">
        <f>IF(AND(4860&gt;=16,TEXT(A4862,"yyyy-mm")&lt;&gt;TEXT(A4863,"yyyy-mm")),1,0)</f>
        <v/>
      </c>
      <c r="H4862">
        <f>IF(OR(H4861=1,G4862=1),1,0)</f>
        <v/>
      </c>
      <c r="I4862">
        <f>IF(H4861=0,1,SUMPRODUCT(J4861:N4861,B4862:F4862)+O4861*(1+0.00023125256064071564))</f>
        <v/>
      </c>
      <c r="J4862">
        <f>IF(G4862=1,0.2*R4862/B4862,J4861)</f>
        <v/>
      </c>
      <c r="K4862">
        <f>IF(G4862=1,0.2*R4862/C4862,K4861)</f>
        <v/>
      </c>
      <c r="L4862">
        <f>IF(G4862=1,0.2*R4862/D4862,L4861)</f>
        <v/>
      </c>
      <c r="M4862">
        <f>IF(G4862=1,0.2*R4862/E4862,M4861)</f>
        <v/>
      </c>
      <c r="N4862">
        <f>IF(G4862=1,0.2*R4862/F4862,N4861)</f>
        <v/>
      </c>
      <c r="O4862">
        <f>IF(G4862=1,R4862*(1-1.0),IF(H4861=0,1,O4861*(1+0.00023125256064071564)))</f>
        <v/>
      </c>
      <c r="P4862">
        <f>IF(G4862=1,IF(H4861=0,1,ABS(0.2-J4861*B4862/I4862)+ABS(0.2-K4861*C4862/I4862)+ABS(0.2-L4861*D4862/I4862)+ABS(0.2-M4861*E4862/I4862)+ABS(0.2-N4861*F4862/I4862)),0)</f>
        <v/>
      </c>
      <c r="Q4862">
        <f>P4862*0.0015</f>
        <v/>
      </c>
      <c r="R4862">
        <f>I4862*(1-Q4862)</f>
        <v/>
      </c>
      <c r="S4862">
        <f>R4862/R4861-1</f>
        <v/>
      </c>
      <c r="T4862">
        <f>MAX(T4861,R4862)</f>
        <v/>
      </c>
      <c r="U4862">
        <f>R4862/T4862-1</f>
        <v/>
      </c>
      <c r="V4862" t="n">
        <v>29.42932821208094</v>
      </c>
      <c r="W4862" s="5">
        <f>R4862-V4862</f>
        <v/>
      </c>
    </row>
    <row r="4863">
      <c r="A4863" s="3" t="n">
        <v>45601</v>
      </c>
      <c r="B4863">
        <f>Prices!B4863</f>
        <v/>
      </c>
      <c r="C4863">
        <f>Prices!C4863</f>
        <v/>
      </c>
      <c r="D4863">
        <f>Prices!D4863</f>
        <v/>
      </c>
      <c r="E4863">
        <f>Prices!E4863</f>
        <v/>
      </c>
      <c r="F4863">
        <f>Prices!F4863</f>
        <v/>
      </c>
      <c r="G4863">
        <f>IF(AND(4861&gt;=16,TEXT(A4863,"yyyy-mm")&lt;&gt;TEXT(A4864,"yyyy-mm")),1,0)</f>
        <v/>
      </c>
      <c r="H4863">
        <f>IF(OR(H4862=1,G4863=1),1,0)</f>
        <v/>
      </c>
      <c r="I4863">
        <f>IF(H4862=0,1,SUMPRODUCT(J4862:N4862,B4863:F4863)+O4862*(1+0.00023125256064071564))</f>
        <v/>
      </c>
      <c r="J4863">
        <f>IF(G4863=1,0.2*R4863/B4863,J4862)</f>
        <v/>
      </c>
      <c r="K4863">
        <f>IF(G4863=1,0.2*R4863/C4863,K4862)</f>
        <v/>
      </c>
      <c r="L4863">
        <f>IF(G4863=1,0.2*R4863/D4863,L4862)</f>
        <v/>
      </c>
      <c r="M4863">
        <f>IF(G4863=1,0.2*R4863/E4863,M4862)</f>
        <v/>
      </c>
      <c r="N4863">
        <f>IF(G4863=1,0.2*R4863/F4863,N4862)</f>
        <v/>
      </c>
      <c r="O4863">
        <f>IF(G4863=1,R4863*(1-1.0),IF(H4862=0,1,O4862*(1+0.00023125256064071564)))</f>
        <v/>
      </c>
      <c r="P4863">
        <f>IF(G4863=1,IF(H4862=0,1,ABS(0.2-J4862*B4863/I4863)+ABS(0.2-K4862*C4863/I4863)+ABS(0.2-L4862*D4863/I4863)+ABS(0.2-M4862*E4863/I4863)+ABS(0.2-N4862*F4863/I4863)),0)</f>
        <v/>
      </c>
      <c r="Q4863">
        <f>P4863*0.0015</f>
        <v/>
      </c>
      <c r="R4863">
        <f>I4863*(1-Q4863)</f>
        <v/>
      </c>
      <c r="S4863">
        <f>R4863/R4862-1</f>
        <v/>
      </c>
      <c r="T4863">
        <f>MAX(T4862,R4863)</f>
        <v/>
      </c>
      <c r="U4863">
        <f>R4863/T4863-1</f>
        <v/>
      </c>
      <c r="V4863" t="n">
        <v>29.6509674415554</v>
      </c>
      <c r="W4863" s="5">
        <f>R4863-V4863</f>
        <v/>
      </c>
    </row>
    <row r="4864">
      <c r="A4864" s="3" t="n">
        <v>45602</v>
      </c>
      <c r="B4864">
        <f>Prices!B4864</f>
        <v/>
      </c>
      <c r="C4864">
        <f>Prices!C4864</f>
        <v/>
      </c>
      <c r="D4864">
        <f>Prices!D4864</f>
        <v/>
      </c>
      <c r="E4864">
        <f>Prices!E4864</f>
        <v/>
      </c>
      <c r="F4864">
        <f>Prices!F4864</f>
        <v/>
      </c>
      <c r="G4864">
        <f>IF(AND(4862&gt;=16,TEXT(A4864,"yyyy-mm")&lt;&gt;TEXT(A4865,"yyyy-mm")),1,0)</f>
        <v/>
      </c>
      <c r="H4864">
        <f>IF(OR(H4863=1,G4864=1),1,0)</f>
        <v/>
      </c>
      <c r="I4864">
        <f>IF(H4863=0,1,SUMPRODUCT(J4863:N4863,B4864:F4864)+O4863*(1+0.00023125256064071564))</f>
        <v/>
      </c>
      <c r="J4864">
        <f>IF(G4864=1,0.2*R4864/B4864,J4863)</f>
        <v/>
      </c>
      <c r="K4864">
        <f>IF(G4864=1,0.2*R4864/C4864,K4863)</f>
        <v/>
      </c>
      <c r="L4864">
        <f>IF(G4864=1,0.2*R4864/D4864,L4863)</f>
        <v/>
      </c>
      <c r="M4864">
        <f>IF(G4864=1,0.2*R4864/E4864,M4863)</f>
        <v/>
      </c>
      <c r="N4864">
        <f>IF(G4864=1,0.2*R4864/F4864,N4863)</f>
        <v/>
      </c>
      <c r="O4864">
        <f>IF(G4864=1,R4864*(1-1.0),IF(H4863=0,1,O4863*(1+0.00023125256064071564)))</f>
        <v/>
      </c>
      <c r="P4864">
        <f>IF(G4864=1,IF(H4863=0,1,ABS(0.2-J4863*B4864/I4864)+ABS(0.2-K4863*C4864/I4864)+ABS(0.2-L4863*D4864/I4864)+ABS(0.2-M4863*E4864/I4864)+ABS(0.2-N4863*F4864/I4864)),0)</f>
        <v/>
      </c>
      <c r="Q4864">
        <f>P4864*0.0015</f>
        <v/>
      </c>
      <c r="R4864">
        <f>I4864*(1-Q4864)</f>
        <v/>
      </c>
      <c r="S4864">
        <f>R4864/R4863-1</f>
        <v/>
      </c>
      <c r="T4864">
        <f>MAX(T4863,R4864)</f>
        <v/>
      </c>
      <c r="U4864">
        <f>R4864/T4864-1</f>
        <v/>
      </c>
      <c r="V4864" t="n">
        <v>30.29359984018623</v>
      </c>
      <c r="W4864" s="5">
        <f>R4864-V4864</f>
        <v/>
      </c>
    </row>
    <row r="4865">
      <c r="A4865" s="3" t="n">
        <v>45603</v>
      </c>
      <c r="B4865">
        <f>Prices!B4865</f>
        <v/>
      </c>
      <c r="C4865">
        <f>Prices!C4865</f>
        <v/>
      </c>
      <c r="D4865">
        <f>Prices!D4865</f>
        <v/>
      </c>
      <c r="E4865">
        <f>Prices!E4865</f>
        <v/>
      </c>
      <c r="F4865">
        <f>Prices!F4865</f>
        <v/>
      </c>
      <c r="G4865">
        <f>IF(AND(4863&gt;=16,TEXT(A4865,"yyyy-mm")&lt;&gt;TEXT(A4866,"yyyy-mm")),1,0)</f>
        <v/>
      </c>
      <c r="H4865">
        <f>IF(OR(H4864=1,G4865=1),1,0)</f>
        <v/>
      </c>
      <c r="I4865">
        <f>IF(H4864=0,1,SUMPRODUCT(J4864:N4864,B4865:F4865)+O4864*(1+0.00023125256064071564))</f>
        <v/>
      </c>
      <c r="J4865">
        <f>IF(G4865=1,0.2*R4865/B4865,J4864)</f>
        <v/>
      </c>
      <c r="K4865">
        <f>IF(G4865=1,0.2*R4865/C4865,K4864)</f>
        <v/>
      </c>
      <c r="L4865">
        <f>IF(G4865=1,0.2*R4865/D4865,L4864)</f>
        <v/>
      </c>
      <c r="M4865">
        <f>IF(G4865=1,0.2*R4865/E4865,M4864)</f>
        <v/>
      </c>
      <c r="N4865">
        <f>IF(G4865=1,0.2*R4865/F4865,N4864)</f>
        <v/>
      </c>
      <c r="O4865">
        <f>IF(G4865=1,R4865*(1-1.0),IF(H4864=0,1,O4864*(1+0.00023125256064071564)))</f>
        <v/>
      </c>
      <c r="P4865">
        <f>IF(G4865=1,IF(H4864=0,1,ABS(0.2-J4864*B4865/I4865)+ABS(0.2-K4864*C4865/I4865)+ABS(0.2-L4864*D4865/I4865)+ABS(0.2-M4864*E4865/I4865)+ABS(0.2-N4864*F4865/I4865)),0)</f>
        <v/>
      </c>
      <c r="Q4865">
        <f>P4865*0.0015</f>
        <v/>
      </c>
      <c r="R4865">
        <f>I4865*(1-Q4865)</f>
        <v/>
      </c>
      <c r="S4865">
        <f>R4865/R4864-1</f>
        <v/>
      </c>
      <c r="T4865">
        <f>MAX(T4864,R4865)</f>
        <v/>
      </c>
      <c r="U4865">
        <f>R4865/T4865-1</f>
        <v/>
      </c>
      <c r="V4865" t="n">
        <v>30.04258642891085</v>
      </c>
      <c r="W4865" s="5">
        <f>R4865-V4865</f>
        <v/>
      </c>
    </row>
    <row r="4866">
      <c r="A4866" s="3" t="n">
        <v>45604</v>
      </c>
      <c r="B4866">
        <f>Prices!B4866</f>
        <v/>
      </c>
      <c r="C4866">
        <f>Prices!C4866</f>
        <v/>
      </c>
      <c r="D4866">
        <f>Prices!D4866</f>
        <v/>
      </c>
      <c r="E4866">
        <f>Prices!E4866</f>
        <v/>
      </c>
      <c r="F4866">
        <f>Prices!F4866</f>
        <v/>
      </c>
      <c r="G4866">
        <f>IF(AND(4864&gt;=16,TEXT(A4866,"yyyy-mm")&lt;&gt;TEXT(A4867,"yyyy-mm")),1,0)</f>
        <v/>
      </c>
      <c r="H4866">
        <f>IF(OR(H4865=1,G4866=1),1,0)</f>
        <v/>
      </c>
      <c r="I4866">
        <f>IF(H4865=0,1,SUMPRODUCT(J4865:N4865,B4866:F4866)+O4865*(1+0.00023125256064071564))</f>
        <v/>
      </c>
      <c r="J4866">
        <f>IF(G4866=1,0.2*R4866/B4866,J4865)</f>
        <v/>
      </c>
      <c r="K4866">
        <f>IF(G4866=1,0.2*R4866/C4866,K4865)</f>
        <v/>
      </c>
      <c r="L4866">
        <f>IF(G4866=1,0.2*R4866/D4866,L4865)</f>
        <v/>
      </c>
      <c r="M4866">
        <f>IF(G4866=1,0.2*R4866/E4866,M4865)</f>
        <v/>
      </c>
      <c r="N4866">
        <f>IF(G4866=1,0.2*R4866/F4866,N4865)</f>
        <v/>
      </c>
      <c r="O4866">
        <f>IF(G4866=1,R4866*(1-1.0),IF(H4865=0,1,O4865*(1+0.00023125256064071564)))</f>
        <v/>
      </c>
      <c r="P4866">
        <f>IF(G4866=1,IF(H4865=0,1,ABS(0.2-J4865*B4866/I4866)+ABS(0.2-K4865*C4866/I4866)+ABS(0.2-L4865*D4866/I4866)+ABS(0.2-M4865*E4866/I4866)+ABS(0.2-N4865*F4866/I4866)),0)</f>
        <v/>
      </c>
      <c r="Q4866">
        <f>P4866*0.0015</f>
        <v/>
      </c>
      <c r="R4866">
        <f>I4866*(1-Q4866)</f>
        <v/>
      </c>
      <c r="S4866">
        <f>R4866/R4865-1</f>
        <v/>
      </c>
      <c r="T4866">
        <f>MAX(T4865,R4866)</f>
        <v/>
      </c>
      <c r="U4866">
        <f>R4866/T4866-1</f>
        <v/>
      </c>
      <c r="V4866" t="n">
        <v>29.64309107823772</v>
      </c>
      <c r="W4866" s="5">
        <f>R4866-V4866</f>
        <v/>
      </c>
    </row>
    <row r="4867">
      <c r="A4867" s="3" t="n">
        <v>45607</v>
      </c>
      <c r="B4867">
        <f>Prices!B4867</f>
        <v/>
      </c>
      <c r="C4867">
        <f>Prices!C4867</f>
        <v/>
      </c>
      <c r="D4867">
        <f>Prices!D4867</f>
        <v/>
      </c>
      <c r="E4867">
        <f>Prices!E4867</f>
        <v/>
      </c>
      <c r="F4867">
        <f>Prices!F4867</f>
        <v/>
      </c>
      <c r="G4867">
        <f>IF(AND(4865&gt;=16,TEXT(A4867,"yyyy-mm")&lt;&gt;TEXT(A4868,"yyyy-mm")),1,0)</f>
        <v/>
      </c>
      <c r="H4867">
        <f>IF(OR(H4866=1,G4867=1),1,0)</f>
        <v/>
      </c>
      <c r="I4867">
        <f>IF(H4866=0,1,SUMPRODUCT(J4866:N4866,B4867:F4867)+O4866*(1+0.00023125256064071564))</f>
        <v/>
      </c>
      <c r="J4867">
        <f>IF(G4867=1,0.2*R4867/B4867,J4866)</f>
        <v/>
      </c>
      <c r="K4867">
        <f>IF(G4867=1,0.2*R4867/C4867,K4866)</f>
        <v/>
      </c>
      <c r="L4867">
        <f>IF(G4867=1,0.2*R4867/D4867,L4866)</f>
        <v/>
      </c>
      <c r="M4867">
        <f>IF(G4867=1,0.2*R4867/E4867,M4866)</f>
        <v/>
      </c>
      <c r="N4867">
        <f>IF(G4867=1,0.2*R4867/F4867,N4866)</f>
        <v/>
      </c>
      <c r="O4867">
        <f>IF(G4867=1,R4867*(1-1.0),IF(H4866=0,1,O4866*(1+0.00023125256064071564)))</f>
        <v/>
      </c>
      <c r="P4867">
        <f>IF(G4867=1,IF(H4866=0,1,ABS(0.2-J4866*B4867/I4867)+ABS(0.2-K4866*C4867/I4867)+ABS(0.2-L4866*D4867/I4867)+ABS(0.2-M4866*E4867/I4867)+ABS(0.2-N4866*F4867/I4867)),0)</f>
        <v/>
      </c>
      <c r="Q4867">
        <f>P4867*0.0015</f>
        <v/>
      </c>
      <c r="R4867">
        <f>I4867*(1-Q4867)</f>
        <v/>
      </c>
      <c r="S4867">
        <f>R4867/R4866-1</f>
        <v/>
      </c>
      <c r="T4867">
        <f>MAX(T4866,R4867)</f>
        <v/>
      </c>
      <c r="U4867">
        <f>R4867/T4867-1</f>
        <v/>
      </c>
      <c r="V4867" t="n">
        <v>29.51735988302847</v>
      </c>
      <c r="W4867" s="5">
        <f>R4867-V4867</f>
        <v/>
      </c>
    </row>
    <row r="4868">
      <c r="A4868" s="3" t="n">
        <v>45608</v>
      </c>
      <c r="B4868">
        <f>Prices!B4868</f>
        <v/>
      </c>
      <c r="C4868">
        <f>Prices!C4868</f>
        <v/>
      </c>
      <c r="D4868">
        <f>Prices!D4868</f>
        <v/>
      </c>
      <c r="E4868">
        <f>Prices!E4868</f>
        <v/>
      </c>
      <c r="F4868">
        <f>Prices!F4868</f>
        <v/>
      </c>
      <c r="G4868">
        <f>IF(AND(4866&gt;=16,TEXT(A4868,"yyyy-mm")&lt;&gt;TEXT(A4869,"yyyy-mm")),1,0)</f>
        <v/>
      </c>
      <c r="H4868">
        <f>IF(OR(H4867=1,G4868=1),1,0)</f>
        <v/>
      </c>
      <c r="I4868">
        <f>IF(H4867=0,1,SUMPRODUCT(J4867:N4867,B4868:F4868)+O4867*(1+0.00023125256064071564))</f>
        <v/>
      </c>
      <c r="J4868">
        <f>IF(G4868=1,0.2*R4868/B4868,J4867)</f>
        <v/>
      </c>
      <c r="K4868">
        <f>IF(G4868=1,0.2*R4868/C4868,K4867)</f>
        <v/>
      </c>
      <c r="L4868">
        <f>IF(G4868=1,0.2*R4868/D4868,L4867)</f>
        <v/>
      </c>
      <c r="M4868">
        <f>IF(G4868=1,0.2*R4868/E4868,M4867)</f>
        <v/>
      </c>
      <c r="N4868">
        <f>IF(G4868=1,0.2*R4868/F4868,N4867)</f>
        <v/>
      </c>
      <c r="O4868">
        <f>IF(G4868=1,R4868*(1-1.0),IF(H4867=0,1,O4867*(1+0.00023125256064071564)))</f>
        <v/>
      </c>
      <c r="P4868">
        <f>IF(G4868=1,IF(H4867=0,1,ABS(0.2-J4867*B4868/I4868)+ABS(0.2-K4867*C4868/I4868)+ABS(0.2-L4867*D4868/I4868)+ABS(0.2-M4867*E4868/I4868)+ABS(0.2-N4867*F4868/I4868)),0)</f>
        <v/>
      </c>
      <c r="Q4868">
        <f>P4868*0.0015</f>
        <v/>
      </c>
      <c r="R4868">
        <f>I4868*(1-Q4868)</f>
        <v/>
      </c>
      <c r="S4868">
        <f>R4868/R4867-1</f>
        <v/>
      </c>
      <c r="T4868">
        <f>MAX(T4867,R4868)</f>
        <v/>
      </c>
      <c r="U4868">
        <f>R4868/T4868-1</f>
        <v/>
      </c>
      <c r="V4868" t="n">
        <v>29.04549387970773</v>
      </c>
      <c r="W4868" s="5">
        <f>R4868-V4868</f>
        <v/>
      </c>
    </row>
    <row r="4869">
      <c r="A4869" s="3" t="n">
        <v>45609</v>
      </c>
      <c r="B4869">
        <f>Prices!B4869</f>
        <v/>
      </c>
      <c r="C4869">
        <f>Prices!C4869</f>
        <v/>
      </c>
      <c r="D4869">
        <f>Prices!D4869</f>
        <v/>
      </c>
      <c r="E4869">
        <f>Prices!E4869</f>
        <v/>
      </c>
      <c r="F4869">
        <f>Prices!F4869</f>
        <v/>
      </c>
      <c r="G4869">
        <f>IF(AND(4867&gt;=16,TEXT(A4869,"yyyy-mm")&lt;&gt;TEXT(A4870,"yyyy-mm")),1,0)</f>
        <v/>
      </c>
      <c r="H4869">
        <f>IF(OR(H4868=1,G4869=1),1,0)</f>
        <v/>
      </c>
      <c r="I4869">
        <f>IF(H4868=0,1,SUMPRODUCT(J4868:N4868,B4869:F4869)+O4868*(1+0.00023125256064071564))</f>
        <v/>
      </c>
      <c r="J4869">
        <f>IF(G4869=1,0.2*R4869/B4869,J4868)</f>
        <v/>
      </c>
      <c r="K4869">
        <f>IF(G4869=1,0.2*R4869/C4869,K4868)</f>
        <v/>
      </c>
      <c r="L4869">
        <f>IF(G4869=1,0.2*R4869/D4869,L4868)</f>
        <v/>
      </c>
      <c r="M4869">
        <f>IF(G4869=1,0.2*R4869/E4869,M4868)</f>
        <v/>
      </c>
      <c r="N4869">
        <f>IF(G4869=1,0.2*R4869/F4869,N4868)</f>
        <v/>
      </c>
      <c r="O4869">
        <f>IF(G4869=1,R4869*(1-1.0),IF(H4868=0,1,O4868*(1+0.00023125256064071564)))</f>
        <v/>
      </c>
      <c r="P4869">
        <f>IF(G4869=1,IF(H4868=0,1,ABS(0.2-J4868*B4869/I4869)+ABS(0.2-K4868*C4869/I4869)+ABS(0.2-L4868*D4869/I4869)+ABS(0.2-M4868*E4869/I4869)+ABS(0.2-N4868*F4869/I4869)),0)</f>
        <v/>
      </c>
      <c r="Q4869">
        <f>P4869*0.0015</f>
        <v/>
      </c>
      <c r="R4869">
        <f>I4869*(1-Q4869)</f>
        <v/>
      </c>
      <c r="S4869">
        <f>R4869/R4868-1</f>
        <v/>
      </c>
      <c r="T4869">
        <f>MAX(T4868,R4869)</f>
        <v/>
      </c>
      <c r="U4869">
        <f>R4869/T4869-1</f>
        <v/>
      </c>
      <c r="V4869" t="n">
        <v>28.36173007614646</v>
      </c>
      <c r="W4869" s="5">
        <f>R4869-V4869</f>
        <v/>
      </c>
    </row>
    <row r="4870">
      <c r="A4870" s="3" t="n">
        <v>45610</v>
      </c>
      <c r="B4870">
        <f>Prices!B4870</f>
        <v/>
      </c>
      <c r="C4870">
        <f>Prices!C4870</f>
        <v/>
      </c>
      <c r="D4870">
        <f>Prices!D4870</f>
        <v/>
      </c>
      <c r="E4870">
        <f>Prices!E4870</f>
        <v/>
      </c>
      <c r="F4870">
        <f>Prices!F4870</f>
        <v/>
      </c>
      <c r="G4870">
        <f>IF(AND(4868&gt;=16,TEXT(A4870,"yyyy-mm")&lt;&gt;TEXT(A4871,"yyyy-mm")),1,0)</f>
        <v/>
      </c>
      <c r="H4870">
        <f>IF(OR(H4869=1,G4870=1),1,0)</f>
        <v/>
      </c>
      <c r="I4870">
        <f>IF(H4869=0,1,SUMPRODUCT(J4869:N4869,B4870:F4870)+O4869*(1+0.00023125256064071564))</f>
        <v/>
      </c>
      <c r="J4870">
        <f>IF(G4870=1,0.2*R4870/B4870,J4869)</f>
        <v/>
      </c>
      <c r="K4870">
        <f>IF(G4870=1,0.2*R4870/C4870,K4869)</f>
        <v/>
      </c>
      <c r="L4870">
        <f>IF(G4870=1,0.2*R4870/D4870,L4869)</f>
        <v/>
      </c>
      <c r="M4870">
        <f>IF(G4870=1,0.2*R4870/E4870,M4869)</f>
        <v/>
      </c>
      <c r="N4870">
        <f>IF(G4870=1,0.2*R4870/F4870,N4869)</f>
        <v/>
      </c>
      <c r="O4870">
        <f>IF(G4870=1,R4870*(1-1.0),IF(H4869=0,1,O4869*(1+0.00023125256064071564)))</f>
        <v/>
      </c>
      <c r="P4870">
        <f>IF(G4870=1,IF(H4869=0,1,ABS(0.2-J4869*B4870/I4870)+ABS(0.2-K4869*C4870/I4870)+ABS(0.2-L4869*D4870/I4870)+ABS(0.2-M4869*E4870/I4870)+ABS(0.2-N4869*F4870/I4870)),0)</f>
        <v/>
      </c>
      <c r="Q4870">
        <f>P4870*0.0015</f>
        <v/>
      </c>
      <c r="R4870">
        <f>I4870*(1-Q4870)</f>
        <v/>
      </c>
      <c r="S4870">
        <f>R4870/R4869-1</f>
        <v/>
      </c>
      <c r="T4870">
        <f>MAX(T4869,R4870)</f>
        <v/>
      </c>
      <c r="U4870">
        <f>R4870/T4870-1</f>
        <v/>
      </c>
      <c r="V4870" t="n">
        <v>28.38305462950257</v>
      </c>
      <c r="W4870" s="5">
        <f>R4870-V4870</f>
        <v/>
      </c>
    </row>
    <row r="4871">
      <c r="A4871" s="3" t="n">
        <v>45614</v>
      </c>
      <c r="B4871">
        <f>Prices!B4871</f>
        <v/>
      </c>
      <c r="C4871">
        <f>Prices!C4871</f>
        <v/>
      </c>
      <c r="D4871">
        <f>Prices!D4871</f>
        <v/>
      </c>
      <c r="E4871">
        <f>Prices!E4871</f>
        <v/>
      </c>
      <c r="F4871">
        <f>Prices!F4871</f>
        <v/>
      </c>
      <c r="G4871">
        <f>IF(AND(4869&gt;=16,TEXT(A4871,"yyyy-mm")&lt;&gt;TEXT(A4872,"yyyy-mm")),1,0)</f>
        <v/>
      </c>
      <c r="H4871">
        <f>IF(OR(H4870=1,G4871=1),1,0)</f>
        <v/>
      </c>
      <c r="I4871">
        <f>IF(H4870=0,1,SUMPRODUCT(J4870:N4870,B4871:F4871)+O4870*(1+0.00023125256064071564))</f>
        <v/>
      </c>
      <c r="J4871">
        <f>IF(G4871=1,0.2*R4871/B4871,J4870)</f>
        <v/>
      </c>
      <c r="K4871">
        <f>IF(G4871=1,0.2*R4871/C4871,K4870)</f>
        <v/>
      </c>
      <c r="L4871">
        <f>IF(G4871=1,0.2*R4871/D4871,L4870)</f>
        <v/>
      </c>
      <c r="M4871">
        <f>IF(G4871=1,0.2*R4871/E4871,M4870)</f>
        <v/>
      </c>
      <c r="N4871">
        <f>IF(G4871=1,0.2*R4871/F4871,N4870)</f>
        <v/>
      </c>
      <c r="O4871">
        <f>IF(G4871=1,R4871*(1-1.0),IF(H4870=0,1,O4870*(1+0.00023125256064071564)))</f>
        <v/>
      </c>
      <c r="P4871">
        <f>IF(G4871=1,IF(H4870=0,1,ABS(0.2-J4870*B4871/I4871)+ABS(0.2-K4870*C4871/I4871)+ABS(0.2-L4870*D4871/I4871)+ABS(0.2-M4870*E4871/I4871)+ABS(0.2-N4870*F4871/I4871)),0)</f>
        <v/>
      </c>
      <c r="Q4871">
        <f>P4871*0.0015</f>
        <v/>
      </c>
      <c r="R4871">
        <f>I4871*(1-Q4871)</f>
        <v/>
      </c>
      <c r="S4871">
        <f>R4871/R4870-1</f>
        <v/>
      </c>
      <c r="T4871">
        <f>MAX(T4870,R4871)</f>
        <v/>
      </c>
      <c r="U4871">
        <f>R4871/T4871-1</f>
        <v/>
      </c>
      <c r="V4871" t="n">
        <v>28.32353949070053</v>
      </c>
      <c r="W4871" s="5">
        <f>R4871-V4871</f>
        <v/>
      </c>
    </row>
    <row r="4872">
      <c r="A4872" s="3" t="n">
        <v>45615</v>
      </c>
      <c r="B4872">
        <f>Prices!B4872</f>
        <v/>
      </c>
      <c r="C4872">
        <f>Prices!C4872</f>
        <v/>
      </c>
      <c r="D4872">
        <f>Prices!D4872</f>
        <v/>
      </c>
      <c r="E4872">
        <f>Prices!E4872</f>
        <v/>
      </c>
      <c r="F4872">
        <f>Prices!F4872</f>
        <v/>
      </c>
      <c r="G4872">
        <f>IF(AND(4870&gt;=16,TEXT(A4872,"yyyy-mm")&lt;&gt;TEXT(A4873,"yyyy-mm")),1,0)</f>
        <v/>
      </c>
      <c r="H4872">
        <f>IF(OR(H4871=1,G4872=1),1,0)</f>
        <v/>
      </c>
      <c r="I4872">
        <f>IF(H4871=0,1,SUMPRODUCT(J4871:N4871,B4872:F4872)+O4871*(1+0.00023125256064071564))</f>
        <v/>
      </c>
      <c r="J4872">
        <f>IF(G4872=1,0.2*R4872/B4872,J4871)</f>
        <v/>
      </c>
      <c r="K4872">
        <f>IF(G4872=1,0.2*R4872/C4872,K4871)</f>
        <v/>
      </c>
      <c r="L4872">
        <f>IF(G4872=1,0.2*R4872/D4872,L4871)</f>
        <v/>
      </c>
      <c r="M4872">
        <f>IF(G4872=1,0.2*R4872/E4872,M4871)</f>
        <v/>
      </c>
      <c r="N4872">
        <f>IF(G4872=1,0.2*R4872/F4872,N4871)</f>
        <v/>
      </c>
      <c r="O4872">
        <f>IF(G4872=1,R4872*(1-1.0),IF(H4871=0,1,O4871*(1+0.00023125256064071564)))</f>
        <v/>
      </c>
      <c r="P4872">
        <f>IF(G4872=1,IF(H4871=0,1,ABS(0.2-J4871*B4872/I4872)+ABS(0.2-K4871*C4872/I4872)+ABS(0.2-L4871*D4872/I4872)+ABS(0.2-M4871*E4872/I4872)+ABS(0.2-N4871*F4872/I4872)),0)</f>
        <v/>
      </c>
      <c r="Q4872">
        <f>P4872*0.0015</f>
        <v/>
      </c>
      <c r="R4872">
        <f>I4872*(1-Q4872)</f>
        <v/>
      </c>
      <c r="S4872">
        <f>R4872/R4871-1</f>
        <v/>
      </c>
      <c r="T4872">
        <f>MAX(T4871,R4872)</f>
        <v/>
      </c>
      <c r="U4872">
        <f>R4872/T4872-1</f>
        <v/>
      </c>
      <c r="V4872" t="n">
        <v>28.57525235450623</v>
      </c>
      <c r="W4872" s="5">
        <f>R4872-V4872</f>
        <v/>
      </c>
    </row>
    <row r="4873">
      <c r="A4873" s="3" t="n">
        <v>45617</v>
      </c>
      <c r="B4873">
        <f>Prices!B4873</f>
        <v/>
      </c>
      <c r="C4873">
        <f>Prices!C4873</f>
        <v/>
      </c>
      <c r="D4873">
        <f>Prices!D4873</f>
        <v/>
      </c>
      <c r="E4873">
        <f>Prices!E4873</f>
        <v/>
      </c>
      <c r="F4873">
        <f>Prices!F4873</f>
        <v/>
      </c>
      <c r="G4873">
        <f>IF(AND(4871&gt;=16,TEXT(A4873,"yyyy-mm")&lt;&gt;TEXT(A4874,"yyyy-mm")),1,0)</f>
        <v/>
      </c>
      <c r="H4873">
        <f>IF(OR(H4872=1,G4873=1),1,0)</f>
        <v/>
      </c>
      <c r="I4873">
        <f>IF(H4872=0,1,SUMPRODUCT(J4872:N4872,B4873:F4873)+O4872*(1+0.00023125256064071564))</f>
        <v/>
      </c>
      <c r="J4873">
        <f>IF(G4873=1,0.2*R4873/B4873,J4872)</f>
        <v/>
      </c>
      <c r="K4873">
        <f>IF(G4873=1,0.2*R4873/C4873,K4872)</f>
        <v/>
      </c>
      <c r="L4873">
        <f>IF(G4873=1,0.2*R4873/D4873,L4872)</f>
        <v/>
      </c>
      <c r="M4873">
        <f>IF(G4873=1,0.2*R4873/E4873,M4872)</f>
        <v/>
      </c>
      <c r="N4873">
        <f>IF(G4873=1,0.2*R4873/F4873,N4872)</f>
        <v/>
      </c>
      <c r="O4873">
        <f>IF(G4873=1,R4873*(1-1.0),IF(H4872=0,1,O4872*(1+0.00023125256064071564)))</f>
        <v/>
      </c>
      <c r="P4873">
        <f>IF(G4873=1,IF(H4872=0,1,ABS(0.2-J4872*B4873/I4873)+ABS(0.2-K4872*C4873/I4873)+ABS(0.2-L4872*D4873/I4873)+ABS(0.2-M4872*E4873/I4873)+ABS(0.2-N4872*F4873/I4873)),0)</f>
        <v/>
      </c>
      <c r="Q4873">
        <f>P4873*0.0015</f>
        <v/>
      </c>
      <c r="R4873">
        <f>I4873*(1-Q4873)</f>
        <v/>
      </c>
      <c r="S4873">
        <f>R4873/R4872-1</f>
        <v/>
      </c>
      <c r="T4873">
        <f>MAX(T4872,R4873)</f>
        <v/>
      </c>
      <c r="U4873">
        <f>R4873/T4873-1</f>
        <v/>
      </c>
      <c r="V4873" t="n">
        <v>28.30536715443225</v>
      </c>
      <c r="W4873" s="5">
        <f>R4873-V4873</f>
        <v/>
      </c>
    </row>
    <row r="4874">
      <c r="A4874" s="3" t="n">
        <v>45618</v>
      </c>
      <c r="B4874">
        <f>Prices!B4874</f>
        <v/>
      </c>
      <c r="C4874">
        <f>Prices!C4874</f>
        <v/>
      </c>
      <c r="D4874">
        <f>Prices!D4874</f>
        <v/>
      </c>
      <c r="E4874">
        <f>Prices!E4874</f>
        <v/>
      </c>
      <c r="F4874">
        <f>Prices!F4874</f>
        <v/>
      </c>
      <c r="G4874">
        <f>IF(AND(4872&gt;=16,TEXT(A4874,"yyyy-mm")&lt;&gt;TEXT(A4875,"yyyy-mm")),1,0)</f>
        <v/>
      </c>
      <c r="H4874">
        <f>IF(OR(H4873=1,G4874=1),1,0)</f>
        <v/>
      </c>
      <c r="I4874">
        <f>IF(H4873=0,1,SUMPRODUCT(J4873:N4873,B4874:F4874)+O4873*(1+0.00023125256064071564))</f>
        <v/>
      </c>
      <c r="J4874">
        <f>IF(G4874=1,0.2*R4874/B4874,J4873)</f>
        <v/>
      </c>
      <c r="K4874">
        <f>IF(G4874=1,0.2*R4874/C4874,K4873)</f>
        <v/>
      </c>
      <c r="L4874">
        <f>IF(G4874=1,0.2*R4874/D4874,L4873)</f>
        <v/>
      </c>
      <c r="M4874">
        <f>IF(G4874=1,0.2*R4874/E4874,M4873)</f>
        <v/>
      </c>
      <c r="N4874">
        <f>IF(G4874=1,0.2*R4874/F4874,N4873)</f>
        <v/>
      </c>
      <c r="O4874">
        <f>IF(G4874=1,R4874*(1-1.0),IF(H4873=0,1,O4873*(1+0.00023125256064071564)))</f>
        <v/>
      </c>
      <c r="P4874">
        <f>IF(G4874=1,IF(H4873=0,1,ABS(0.2-J4873*B4874/I4874)+ABS(0.2-K4873*C4874/I4874)+ABS(0.2-L4873*D4874/I4874)+ABS(0.2-M4873*E4874/I4874)+ABS(0.2-N4873*F4874/I4874)),0)</f>
        <v/>
      </c>
      <c r="Q4874">
        <f>P4874*0.0015</f>
        <v/>
      </c>
      <c r="R4874">
        <f>I4874*(1-Q4874)</f>
        <v/>
      </c>
      <c r="S4874">
        <f>R4874/R4873-1</f>
        <v/>
      </c>
      <c r="T4874">
        <f>MAX(T4873,R4874)</f>
        <v/>
      </c>
      <c r="U4874">
        <f>R4874/T4874-1</f>
        <v/>
      </c>
      <c r="V4874" t="n">
        <v>28.73016503830445</v>
      </c>
      <c r="W4874" s="5">
        <f>R4874-V4874</f>
        <v/>
      </c>
    </row>
    <row r="4875">
      <c r="A4875" s="3" t="n">
        <v>45621</v>
      </c>
      <c r="B4875">
        <f>Prices!B4875</f>
        <v/>
      </c>
      <c r="C4875">
        <f>Prices!C4875</f>
        <v/>
      </c>
      <c r="D4875">
        <f>Prices!D4875</f>
        <v/>
      </c>
      <c r="E4875">
        <f>Prices!E4875</f>
        <v/>
      </c>
      <c r="F4875">
        <f>Prices!F4875</f>
        <v/>
      </c>
      <c r="G4875">
        <f>IF(AND(4873&gt;=16,TEXT(A4875,"yyyy-mm")&lt;&gt;TEXT(A4876,"yyyy-mm")),1,0)</f>
        <v/>
      </c>
      <c r="H4875">
        <f>IF(OR(H4874=1,G4875=1),1,0)</f>
        <v/>
      </c>
      <c r="I4875">
        <f>IF(H4874=0,1,SUMPRODUCT(J4874:N4874,B4875:F4875)+O4874*(1+0.00023125256064071564))</f>
        <v/>
      </c>
      <c r="J4875">
        <f>IF(G4875=1,0.2*R4875/B4875,J4874)</f>
        <v/>
      </c>
      <c r="K4875">
        <f>IF(G4875=1,0.2*R4875/C4875,K4874)</f>
        <v/>
      </c>
      <c r="L4875">
        <f>IF(G4875=1,0.2*R4875/D4875,L4874)</f>
        <v/>
      </c>
      <c r="M4875">
        <f>IF(G4875=1,0.2*R4875/E4875,M4874)</f>
        <v/>
      </c>
      <c r="N4875">
        <f>IF(G4875=1,0.2*R4875/F4875,N4874)</f>
        <v/>
      </c>
      <c r="O4875">
        <f>IF(G4875=1,R4875*(1-1.0),IF(H4874=0,1,O4874*(1+0.00023125256064071564)))</f>
        <v/>
      </c>
      <c r="P4875">
        <f>IF(G4875=1,IF(H4874=0,1,ABS(0.2-J4874*B4875/I4875)+ABS(0.2-K4874*C4875/I4875)+ABS(0.2-L4874*D4875/I4875)+ABS(0.2-M4874*E4875/I4875)+ABS(0.2-N4874*F4875/I4875)),0)</f>
        <v/>
      </c>
      <c r="Q4875">
        <f>P4875*0.0015</f>
        <v/>
      </c>
      <c r="R4875">
        <f>I4875*(1-Q4875)</f>
        <v/>
      </c>
      <c r="S4875">
        <f>R4875/R4874-1</f>
        <v/>
      </c>
      <c r="T4875">
        <f>MAX(T4874,R4875)</f>
        <v/>
      </c>
      <c r="U4875">
        <f>R4875/T4875-1</f>
        <v/>
      </c>
      <c r="V4875" t="n">
        <v>29.27525330600656</v>
      </c>
      <c r="W4875" s="5">
        <f>R4875-V4875</f>
        <v/>
      </c>
    </row>
    <row r="4876">
      <c r="A4876" s="3" t="n">
        <v>45622</v>
      </c>
      <c r="B4876">
        <f>Prices!B4876</f>
        <v/>
      </c>
      <c r="C4876">
        <f>Prices!C4876</f>
        <v/>
      </c>
      <c r="D4876">
        <f>Prices!D4876</f>
        <v/>
      </c>
      <c r="E4876">
        <f>Prices!E4876</f>
        <v/>
      </c>
      <c r="F4876">
        <f>Prices!F4876</f>
        <v/>
      </c>
      <c r="G4876">
        <f>IF(AND(4874&gt;=16,TEXT(A4876,"yyyy-mm")&lt;&gt;TEXT(A4877,"yyyy-mm")),1,0)</f>
        <v/>
      </c>
      <c r="H4876">
        <f>IF(OR(H4875=1,G4876=1),1,0)</f>
        <v/>
      </c>
      <c r="I4876">
        <f>IF(H4875=0,1,SUMPRODUCT(J4875:N4875,B4876:F4876)+O4875*(1+0.00023125256064071564))</f>
        <v/>
      </c>
      <c r="J4876">
        <f>IF(G4876=1,0.2*R4876/B4876,J4875)</f>
        <v/>
      </c>
      <c r="K4876">
        <f>IF(G4876=1,0.2*R4876/C4876,K4875)</f>
        <v/>
      </c>
      <c r="L4876">
        <f>IF(G4876=1,0.2*R4876/D4876,L4875)</f>
        <v/>
      </c>
      <c r="M4876">
        <f>IF(G4876=1,0.2*R4876/E4876,M4875)</f>
        <v/>
      </c>
      <c r="N4876">
        <f>IF(G4876=1,0.2*R4876/F4876,N4875)</f>
        <v/>
      </c>
      <c r="O4876">
        <f>IF(G4876=1,R4876*(1-1.0),IF(H4875=0,1,O4875*(1+0.00023125256064071564)))</f>
        <v/>
      </c>
      <c r="P4876">
        <f>IF(G4876=1,IF(H4875=0,1,ABS(0.2-J4875*B4876/I4876)+ABS(0.2-K4875*C4876/I4876)+ABS(0.2-L4875*D4876/I4876)+ABS(0.2-M4875*E4876/I4876)+ABS(0.2-N4875*F4876/I4876)),0)</f>
        <v/>
      </c>
      <c r="Q4876">
        <f>P4876*0.0015</f>
        <v/>
      </c>
      <c r="R4876">
        <f>I4876*(1-Q4876)</f>
        <v/>
      </c>
      <c r="S4876">
        <f>R4876/R4875-1</f>
        <v/>
      </c>
      <c r="T4876">
        <f>MAX(T4875,R4876)</f>
        <v/>
      </c>
      <c r="U4876">
        <f>R4876/T4876-1</f>
        <v/>
      </c>
      <c r="V4876" t="n">
        <v>29.26117622113475</v>
      </c>
      <c r="W4876" s="5">
        <f>R4876-V4876</f>
        <v/>
      </c>
    </row>
    <row r="4877">
      <c r="A4877" s="3" t="n">
        <v>45623</v>
      </c>
      <c r="B4877">
        <f>Prices!B4877</f>
        <v/>
      </c>
      <c r="C4877">
        <f>Prices!C4877</f>
        <v/>
      </c>
      <c r="D4877">
        <f>Prices!D4877</f>
        <v/>
      </c>
      <c r="E4877">
        <f>Prices!E4877</f>
        <v/>
      </c>
      <c r="F4877">
        <f>Prices!F4877</f>
        <v/>
      </c>
      <c r="G4877">
        <f>IF(AND(4875&gt;=16,TEXT(A4877,"yyyy-mm")&lt;&gt;TEXT(A4878,"yyyy-mm")),1,0)</f>
        <v/>
      </c>
      <c r="H4877">
        <f>IF(OR(H4876=1,G4877=1),1,0)</f>
        <v/>
      </c>
      <c r="I4877">
        <f>IF(H4876=0,1,SUMPRODUCT(J4876:N4876,B4877:F4877)+O4876*(1+0.00023125256064071564))</f>
        <v/>
      </c>
      <c r="J4877">
        <f>IF(G4877=1,0.2*R4877/B4877,J4876)</f>
        <v/>
      </c>
      <c r="K4877">
        <f>IF(G4877=1,0.2*R4877/C4877,K4876)</f>
        <v/>
      </c>
      <c r="L4877">
        <f>IF(G4877=1,0.2*R4877/D4877,L4876)</f>
        <v/>
      </c>
      <c r="M4877">
        <f>IF(G4877=1,0.2*R4877/E4877,M4876)</f>
        <v/>
      </c>
      <c r="N4877">
        <f>IF(G4877=1,0.2*R4877/F4877,N4876)</f>
        <v/>
      </c>
      <c r="O4877">
        <f>IF(G4877=1,R4877*(1-1.0),IF(H4876=0,1,O4876*(1+0.00023125256064071564)))</f>
        <v/>
      </c>
      <c r="P4877">
        <f>IF(G4877=1,IF(H4876=0,1,ABS(0.2-J4876*B4877/I4877)+ABS(0.2-K4876*C4877/I4877)+ABS(0.2-L4876*D4877/I4877)+ABS(0.2-M4876*E4877/I4877)+ABS(0.2-N4876*F4877/I4877)),0)</f>
        <v/>
      </c>
      <c r="Q4877">
        <f>P4877*0.0015</f>
        <v/>
      </c>
      <c r="R4877">
        <f>I4877*(1-Q4877)</f>
        <v/>
      </c>
      <c r="S4877">
        <f>R4877/R4876-1</f>
        <v/>
      </c>
      <c r="T4877">
        <f>MAX(T4876,R4877)</f>
        <v/>
      </c>
      <c r="U4877">
        <f>R4877/T4877-1</f>
        <v/>
      </c>
      <c r="V4877" t="n">
        <v>29.58011942618946</v>
      </c>
      <c r="W4877" s="5">
        <f>R4877-V4877</f>
        <v/>
      </c>
    </row>
    <row r="4878">
      <c r="A4878" s="3" t="n">
        <v>45624</v>
      </c>
      <c r="B4878">
        <f>Prices!B4878</f>
        <v/>
      </c>
      <c r="C4878">
        <f>Prices!C4878</f>
        <v/>
      </c>
      <c r="D4878">
        <f>Prices!D4878</f>
        <v/>
      </c>
      <c r="E4878">
        <f>Prices!E4878</f>
        <v/>
      </c>
      <c r="F4878">
        <f>Prices!F4878</f>
        <v/>
      </c>
      <c r="G4878">
        <f>IF(AND(4876&gt;=16,TEXT(A4878,"yyyy-mm")&lt;&gt;TEXT(A4879,"yyyy-mm")),1,0)</f>
        <v/>
      </c>
      <c r="H4878">
        <f>IF(OR(H4877=1,G4878=1),1,0)</f>
        <v/>
      </c>
      <c r="I4878">
        <f>IF(H4877=0,1,SUMPRODUCT(J4877:N4877,B4878:F4878)+O4877*(1+0.00023125256064071564))</f>
        <v/>
      </c>
      <c r="J4878">
        <f>IF(G4878=1,0.2*R4878/B4878,J4877)</f>
        <v/>
      </c>
      <c r="K4878">
        <f>IF(G4878=1,0.2*R4878/C4878,K4877)</f>
        <v/>
      </c>
      <c r="L4878">
        <f>IF(G4878=1,0.2*R4878/D4878,L4877)</f>
        <v/>
      </c>
      <c r="M4878">
        <f>IF(G4878=1,0.2*R4878/E4878,M4877)</f>
        <v/>
      </c>
      <c r="N4878">
        <f>IF(G4878=1,0.2*R4878/F4878,N4877)</f>
        <v/>
      </c>
      <c r="O4878">
        <f>IF(G4878=1,R4878*(1-1.0),IF(H4877=0,1,O4877*(1+0.00023125256064071564)))</f>
        <v/>
      </c>
      <c r="P4878">
        <f>IF(G4878=1,IF(H4877=0,1,ABS(0.2-J4877*B4878/I4878)+ABS(0.2-K4877*C4878/I4878)+ABS(0.2-L4877*D4878/I4878)+ABS(0.2-M4877*E4878/I4878)+ABS(0.2-N4877*F4878/I4878)),0)</f>
        <v/>
      </c>
      <c r="Q4878">
        <f>P4878*0.0015</f>
        <v/>
      </c>
      <c r="R4878">
        <f>I4878*(1-Q4878)</f>
        <v/>
      </c>
      <c r="S4878">
        <f>R4878/R4877-1</f>
        <v/>
      </c>
      <c r="T4878">
        <f>MAX(T4877,R4878)</f>
        <v/>
      </c>
      <c r="U4878">
        <f>R4878/T4878-1</f>
        <v/>
      </c>
      <c r="V4878" t="n">
        <v>29.55073606280891</v>
      </c>
      <c r="W4878" s="5">
        <f>R4878-V4878</f>
        <v/>
      </c>
    </row>
    <row r="4879">
      <c r="A4879" s="3" t="n">
        <v>45625</v>
      </c>
      <c r="B4879">
        <f>Prices!B4879</f>
        <v/>
      </c>
      <c r="C4879">
        <f>Prices!C4879</f>
        <v/>
      </c>
      <c r="D4879">
        <f>Prices!D4879</f>
        <v/>
      </c>
      <c r="E4879">
        <f>Prices!E4879</f>
        <v/>
      </c>
      <c r="F4879">
        <f>Prices!F4879</f>
        <v/>
      </c>
      <c r="G4879">
        <f>IF(AND(4877&gt;=16,TEXT(A4879,"yyyy-mm")&lt;&gt;TEXT(A4880,"yyyy-mm")),1,0)</f>
        <v/>
      </c>
      <c r="H4879">
        <f>IF(OR(H4878=1,G4879=1),1,0)</f>
        <v/>
      </c>
      <c r="I4879">
        <f>IF(H4878=0,1,SUMPRODUCT(J4878:N4878,B4879:F4879)+O4878*(1+0.00023125256064071564))</f>
        <v/>
      </c>
      <c r="J4879">
        <f>IF(G4879=1,0.2*R4879/B4879,J4878)</f>
        <v/>
      </c>
      <c r="K4879">
        <f>IF(G4879=1,0.2*R4879/C4879,K4878)</f>
        <v/>
      </c>
      <c r="L4879">
        <f>IF(G4879=1,0.2*R4879/D4879,L4878)</f>
        <v/>
      </c>
      <c r="M4879">
        <f>IF(G4879=1,0.2*R4879/E4879,M4878)</f>
        <v/>
      </c>
      <c r="N4879">
        <f>IF(G4879=1,0.2*R4879/F4879,N4878)</f>
        <v/>
      </c>
      <c r="O4879">
        <f>IF(G4879=1,R4879*(1-1.0),IF(H4878=0,1,O4878*(1+0.00023125256064071564)))</f>
        <v/>
      </c>
      <c r="P4879">
        <f>IF(G4879=1,IF(H4878=0,1,ABS(0.2-J4878*B4879/I4879)+ABS(0.2-K4878*C4879/I4879)+ABS(0.2-L4878*D4879/I4879)+ABS(0.2-M4878*E4879/I4879)+ABS(0.2-N4878*F4879/I4879)),0)</f>
        <v/>
      </c>
      <c r="Q4879">
        <f>P4879*0.0015</f>
        <v/>
      </c>
      <c r="R4879">
        <f>I4879*(1-Q4879)</f>
        <v/>
      </c>
      <c r="S4879">
        <f>R4879/R4878-1</f>
        <v/>
      </c>
      <c r="T4879">
        <f>MAX(T4878,R4879)</f>
        <v/>
      </c>
      <c r="U4879">
        <f>R4879/T4879-1</f>
        <v/>
      </c>
      <c r="V4879" t="n">
        <v>29.63273882797357</v>
      </c>
      <c r="W4879" s="5">
        <f>R4879-V4879</f>
        <v/>
      </c>
    </row>
    <row r="4880">
      <c r="A4880" s="3" t="n">
        <v>45628</v>
      </c>
      <c r="B4880">
        <f>Prices!B4880</f>
        <v/>
      </c>
      <c r="C4880">
        <f>Prices!C4880</f>
        <v/>
      </c>
      <c r="D4880">
        <f>Prices!D4880</f>
        <v/>
      </c>
      <c r="E4880">
        <f>Prices!E4880</f>
        <v/>
      </c>
      <c r="F4880">
        <f>Prices!F4880</f>
        <v/>
      </c>
      <c r="G4880">
        <f>IF(AND(4878&gt;=16,TEXT(A4880,"yyyy-mm")&lt;&gt;TEXT(A4881,"yyyy-mm")),1,0)</f>
        <v/>
      </c>
      <c r="H4880">
        <f>IF(OR(H4879=1,G4880=1),1,0)</f>
        <v/>
      </c>
      <c r="I4880">
        <f>IF(H4879=0,1,SUMPRODUCT(J4879:N4879,B4880:F4880)+O4879*(1+0.00023125256064071564))</f>
        <v/>
      </c>
      <c r="J4880">
        <f>IF(G4880=1,0.2*R4880/B4880,J4879)</f>
        <v/>
      </c>
      <c r="K4880">
        <f>IF(G4880=1,0.2*R4880/C4880,K4879)</f>
        <v/>
      </c>
      <c r="L4880">
        <f>IF(G4880=1,0.2*R4880/D4880,L4879)</f>
        <v/>
      </c>
      <c r="M4880">
        <f>IF(G4880=1,0.2*R4880/E4880,M4879)</f>
        <v/>
      </c>
      <c r="N4880">
        <f>IF(G4880=1,0.2*R4880/F4880,N4879)</f>
        <v/>
      </c>
      <c r="O4880">
        <f>IF(G4880=1,R4880*(1-1.0),IF(H4879=0,1,O4879*(1+0.00023125256064071564)))</f>
        <v/>
      </c>
      <c r="P4880">
        <f>IF(G4880=1,IF(H4879=0,1,ABS(0.2-J4879*B4880/I4880)+ABS(0.2-K4879*C4880/I4880)+ABS(0.2-L4879*D4880/I4880)+ABS(0.2-M4879*E4880/I4880)+ABS(0.2-N4879*F4880/I4880)),0)</f>
        <v/>
      </c>
      <c r="Q4880">
        <f>P4880*0.0015</f>
        <v/>
      </c>
      <c r="R4880">
        <f>I4880*(1-Q4880)</f>
        <v/>
      </c>
      <c r="S4880">
        <f>R4880/R4879-1</f>
        <v/>
      </c>
      <c r="T4880">
        <f>MAX(T4879,R4880)</f>
        <v/>
      </c>
      <c r="U4880">
        <f>R4880/T4880-1</f>
        <v/>
      </c>
      <c r="V4880" t="n">
        <v>29.86156233424266</v>
      </c>
      <c r="W4880" s="5">
        <f>R4880-V4880</f>
        <v/>
      </c>
    </row>
    <row r="4881">
      <c r="A4881" s="3" t="n">
        <v>45629</v>
      </c>
      <c r="B4881">
        <f>Prices!B4881</f>
        <v/>
      </c>
      <c r="C4881">
        <f>Prices!C4881</f>
        <v/>
      </c>
      <c r="D4881">
        <f>Prices!D4881</f>
        <v/>
      </c>
      <c r="E4881">
        <f>Prices!E4881</f>
        <v/>
      </c>
      <c r="F4881">
        <f>Prices!F4881</f>
        <v/>
      </c>
      <c r="G4881">
        <f>IF(AND(4879&gt;=16,TEXT(A4881,"yyyy-mm")&lt;&gt;TEXT(A4882,"yyyy-mm")),1,0)</f>
        <v/>
      </c>
      <c r="H4881">
        <f>IF(OR(H4880=1,G4881=1),1,0)</f>
        <v/>
      </c>
      <c r="I4881">
        <f>IF(H4880=0,1,SUMPRODUCT(J4880:N4880,B4881:F4881)+O4880*(1+0.00023125256064071564))</f>
        <v/>
      </c>
      <c r="J4881">
        <f>IF(G4881=1,0.2*R4881/B4881,J4880)</f>
        <v/>
      </c>
      <c r="K4881">
        <f>IF(G4881=1,0.2*R4881/C4881,K4880)</f>
        <v/>
      </c>
      <c r="L4881">
        <f>IF(G4881=1,0.2*R4881/D4881,L4880)</f>
        <v/>
      </c>
      <c r="M4881">
        <f>IF(G4881=1,0.2*R4881/E4881,M4880)</f>
        <v/>
      </c>
      <c r="N4881">
        <f>IF(G4881=1,0.2*R4881/F4881,N4880)</f>
        <v/>
      </c>
      <c r="O4881">
        <f>IF(G4881=1,R4881*(1-1.0),IF(H4880=0,1,O4880*(1+0.00023125256064071564)))</f>
        <v/>
      </c>
      <c r="P4881">
        <f>IF(G4881=1,IF(H4880=0,1,ABS(0.2-J4880*B4881/I4881)+ABS(0.2-K4880*C4881/I4881)+ABS(0.2-L4880*D4881/I4881)+ABS(0.2-M4880*E4881/I4881)+ABS(0.2-N4880*F4881/I4881)),0)</f>
        <v/>
      </c>
      <c r="Q4881">
        <f>P4881*0.0015</f>
        <v/>
      </c>
      <c r="R4881">
        <f>I4881*(1-Q4881)</f>
        <v/>
      </c>
      <c r="S4881">
        <f>R4881/R4880-1</f>
        <v/>
      </c>
      <c r="T4881">
        <f>MAX(T4880,R4881)</f>
        <v/>
      </c>
      <c r="U4881">
        <f>R4881/T4881-1</f>
        <v/>
      </c>
      <c r="V4881" t="n">
        <v>30.15178577689648</v>
      </c>
      <c r="W4881" s="5">
        <f>R4881-V4881</f>
        <v/>
      </c>
    </row>
    <row r="4882">
      <c r="A4882" s="3" t="n">
        <v>45630</v>
      </c>
      <c r="B4882">
        <f>Prices!B4882</f>
        <v/>
      </c>
      <c r="C4882">
        <f>Prices!C4882</f>
        <v/>
      </c>
      <c r="D4882">
        <f>Prices!D4882</f>
        <v/>
      </c>
      <c r="E4882">
        <f>Prices!E4882</f>
        <v/>
      </c>
      <c r="F4882">
        <f>Prices!F4882</f>
        <v/>
      </c>
      <c r="G4882">
        <f>IF(AND(4880&gt;=16,TEXT(A4882,"yyyy-mm")&lt;&gt;TEXT(A4883,"yyyy-mm")),1,0)</f>
        <v/>
      </c>
      <c r="H4882">
        <f>IF(OR(H4881=1,G4882=1),1,0)</f>
        <v/>
      </c>
      <c r="I4882">
        <f>IF(H4881=0,1,SUMPRODUCT(J4881:N4881,B4882:F4882)+O4881*(1+0.00023125256064071564))</f>
        <v/>
      </c>
      <c r="J4882">
        <f>IF(G4882=1,0.2*R4882/B4882,J4881)</f>
        <v/>
      </c>
      <c r="K4882">
        <f>IF(G4882=1,0.2*R4882/C4882,K4881)</f>
        <v/>
      </c>
      <c r="L4882">
        <f>IF(G4882=1,0.2*R4882/D4882,L4881)</f>
        <v/>
      </c>
      <c r="M4882">
        <f>IF(G4882=1,0.2*R4882/E4882,M4881)</f>
        <v/>
      </c>
      <c r="N4882">
        <f>IF(G4882=1,0.2*R4882/F4882,N4881)</f>
        <v/>
      </c>
      <c r="O4882">
        <f>IF(G4882=1,R4882*(1-1.0),IF(H4881=0,1,O4881*(1+0.00023125256064071564)))</f>
        <v/>
      </c>
      <c r="P4882">
        <f>IF(G4882=1,IF(H4881=0,1,ABS(0.2-J4881*B4882/I4882)+ABS(0.2-K4881*C4882/I4882)+ABS(0.2-L4881*D4882/I4882)+ABS(0.2-M4881*E4882/I4882)+ABS(0.2-N4881*F4882/I4882)),0)</f>
        <v/>
      </c>
      <c r="Q4882">
        <f>P4882*0.0015</f>
        <v/>
      </c>
      <c r="R4882">
        <f>I4882*(1-Q4882)</f>
        <v/>
      </c>
      <c r="S4882">
        <f>R4882/R4881-1</f>
        <v/>
      </c>
      <c r="T4882">
        <f>MAX(T4881,R4882)</f>
        <v/>
      </c>
      <c r="U4882">
        <f>R4882/T4882-1</f>
        <v/>
      </c>
      <c r="V4882" t="n">
        <v>30.26920083775284</v>
      </c>
      <c r="W4882" s="5">
        <f>R4882-V4882</f>
        <v/>
      </c>
    </row>
    <row r="4883">
      <c r="A4883" s="3" t="n">
        <v>45631</v>
      </c>
      <c r="B4883">
        <f>Prices!B4883</f>
        <v/>
      </c>
      <c r="C4883">
        <f>Prices!C4883</f>
        <v/>
      </c>
      <c r="D4883">
        <f>Prices!D4883</f>
        <v/>
      </c>
      <c r="E4883">
        <f>Prices!E4883</f>
        <v/>
      </c>
      <c r="F4883">
        <f>Prices!F4883</f>
        <v/>
      </c>
      <c r="G4883">
        <f>IF(AND(4881&gt;=16,TEXT(A4883,"yyyy-mm")&lt;&gt;TEXT(A4884,"yyyy-mm")),1,0)</f>
        <v/>
      </c>
      <c r="H4883">
        <f>IF(OR(H4882=1,G4883=1),1,0)</f>
        <v/>
      </c>
      <c r="I4883">
        <f>IF(H4882=0,1,SUMPRODUCT(J4882:N4882,B4883:F4883)+O4882*(1+0.00023125256064071564))</f>
        <v/>
      </c>
      <c r="J4883">
        <f>IF(G4883=1,0.2*R4883/B4883,J4882)</f>
        <v/>
      </c>
      <c r="K4883">
        <f>IF(G4883=1,0.2*R4883/C4883,K4882)</f>
        <v/>
      </c>
      <c r="L4883">
        <f>IF(G4883=1,0.2*R4883/D4883,L4882)</f>
        <v/>
      </c>
      <c r="M4883">
        <f>IF(G4883=1,0.2*R4883/E4883,M4882)</f>
        <v/>
      </c>
      <c r="N4883">
        <f>IF(G4883=1,0.2*R4883/F4883,N4882)</f>
        <v/>
      </c>
      <c r="O4883">
        <f>IF(G4883=1,R4883*(1-1.0),IF(H4882=0,1,O4882*(1+0.00023125256064071564)))</f>
        <v/>
      </c>
      <c r="P4883">
        <f>IF(G4883=1,IF(H4882=0,1,ABS(0.2-J4882*B4883/I4883)+ABS(0.2-K4882*C4883/I4883)+ABS(0.2-L4882*D4883/I4883)+ABS(0.2-M4882*E4883/I4883)+ABS(0.2-N4882*F4883/I4883)),0)</f>
        <v/>
      </c>
      <c r="Q4883">
        <f>P4883*0.0015</f>
        <v/>
      </c>
      <c r="R4883">
        <f>I4883*(1-Q4883)</f>
        <v/>
      </c>
      <c r="S4883">
        <f>R4883/R4882-1</f>
        <v/>
      </c>
      <c r="T4883">
        <f>MAX(T4882,R4883)</f>
        <v/>
      </c>
      <c r="U4883">
        <f>R4883/T4883-1</f>
        <v/>
      </c>
      <c r="V4883" t="n">
        <v>30.47851737954462</v>
      </c>
      <c r="W4883" s="5">
        <f>R4883-V4883</f>
        <v/>
      </c>
    </row>
    <row r="4884">
      <c r="A4884" s="3" t="n">
        <v>45632</v>
      </c>
      <c r="B4884">
        <f>Prices!B4884</f>
        <v/>
      </c>
      <c r="C4884">
        <f>Prices!C4884</f>
        <v/>
      </c>
      <c r="D4884">
        <f>Prices!D4884</f>
        <v/>
      </c>
      <c r="E4884">
        <f>Prices!E4884</f>
        <v/>
      </c>
      <c r="F4884">
        <f>Prices!F4884</f>
        <v/>
      </c>
      <c r="G4884">
        <f>IF(AND(4882&gt;=16,TEXT(A4884,"yyyy-mm")&lt;&gt;TEXT(A4885,"yyyy-mm")),1,0)</f>
        <v/>
      </c>
      <c r="H4884">
        <f>IF(OR(H4883=1,G4884=1),1,0)</f>
        <v/>
      </c>
      <c r="I4884">
        <f>IF(H4883=0,1,SUMPRODUCT(J4883:N4883,B4884:F4884)+O4883*(1+0.00023125256064071564))</f>
        <v/>
      </c>
      <c r="J4884">
        <f>IF(G4884=1,0.2*R4884/B4884,J4883)</f>
        <v/>
      </c>
      <c r="K4884">
        <f>IF(G4884=1,0.2*R4884/C4884,K4883)</f>
        <v/>
      </c>
      <c r="L4884">
        <f>IF(G4884=1,0.2*R4884/D4884,L4883)</f>
        <v/>
      </c>
      <c r="M4884">
        <f>IF(G4884=1,0.2*R4884/E4884,M4883)</f>
        <v/>
      </c>
      <c r="N4884">
        <f>IF(G4884=1,0.2*R4884/F4884,N4883)</f>
        <v/>
      </c>
      <c r="O4884">
        <f>IF(G4884=1,R4884*(1-1.0),IF(H4883=0,1,O4883*(1+0.00023125256064071564)))</f>
        <v/>
      </c>
      <c r="P4884">
        <f>IF(G4884=1,IF(H4883=0,1,ABS(0.2-J4883*B4884/I4884)+ABS(0.2-K4883*C4884/I4884)+ABS(0.2-L4883*D4884/I4884)+ABS(0.2-M4883*E4884/I4884)+ABS(0.2-N4883*F4884/I4884)),0)</f>
        <v/>
      </c>
      <c r="Q4884">
        <f>P4884*0.0015</f>
        <v/>
      </c>
      <c r="R4884">
        <f>I4884*(1-Q4884)</f>
        <v/>
      </c>
      <c r="S4884">
        <f>R4884/R4883-1</f>
        <v/>
      </c>
      <c r="T4884">
        <f>MAX(T4883,R4884)</f>
        <v/>
      </c>
      <c r="U4884">
        <f>R4884/T4884-1</f>
        <v/>
      </c>
      <c r="V4884" t="n">
        <v>30.68869955562358</v>
      </c>
      <c r="W4884" s="5">
        <f>R4884-V4884</f>
        <v/>
      </c>
    </row>
    <row r="4885">
      <c r="A4885" s="3" t="n">
        <v>45635</v>
      </c>
      <c r="B4885">
        <f>Prices!B4885</f>
        <v/>
      </c>
      <c r="C4885">
        <f>Prices!C4885</f>
        <v/>
      </c>
      <c r="D4885">
        <f>Prices!D4885</f>
        <v/>
      </c>
      <c r="E4885">
        <f>Prices!E4885</f>
        <v/>
      </c>
      <c r="F4885">
        <f>Prices!F4885</f>
        <v/>
      </c>
      <c r="G4885">
        <f>IF(AND(4883&gt;=16,TEXT(A4885,"yyyy-mm")&lt;&gt;TEXT(A4886,"yyyy-mm")),1,0)</f>
        <v/>
      </c>
      <c r="H4885">
        <f>IF(OR(H4884=1,G4885=1),1,0)</f>
        <v/>
      </c>
      <c r="I4885">
        <f>IF(H4884=0,1,SUMPRODUCT(J4884:N4884,B4885:F4885)+O4884*(1+0.00023125256064071564))</f>
        <v/>
      </c>
      <c r="J4885">
        <f>IF(G4885=1,0.2*R4885/B4885,J4884)</f>
        <v/>
      </c>
      <c r="K4885">
        <f>IF(G4885=1,0.2*R4885/C4885,K4884)</f>
        <v/>
      </c>
      <c r="L4885">
        <f>IF(G4885=1,0.2*R4885/D4885,L4884)</f>
        <v/>
      </c>
      <c r="M4885">
        <f>IF(G4885=1,0.2*R4885/E4885,M4884)</f>
        <v/>
      </c>
      <c r="N4885">
        <f>IF(G4885=1,0.2*R4885/F4885,N4884)</f>
        <v/>
      </c>
      <c r="O4885">
        <f>IF(G4885=1,R4885*(1-1.0),IF(H4884=0,1,O4884*(1+0.00023125256064071564)))</f>
        <v/>
      </c>
      <c r="P4885">
        <f>IF(G4885=1,IF(H4884=0,1,ABS(0.2-J4884*B4885/I4885)+ABS(0.2-K4884*C4885/I4885)+ABS(0.2-L4884*D4885/I4885)+ABS(0.2-M4884*E4885/I4885)+ABS(0.2-N4884*F4885/I4885)),0)</f>
        <v/>
      </c>
      <c r="Q4885">
        <f>P4885*0.0015</f>
        <v/>
      </c>
      <c r="R4885">
        <f>I4885*(1-Q4885)</f>
        <v/>
      </c>
      <c r="S4885">
        <f>R4885/R4884-1</f>
        <v/>
      </c>
      <c r="T4885">
        <f>MAX(T4884,R4885)</f>
        <v/>
      </c>
      <c r="U4885">
        <f>R4885/T4885-1</f>
        <v/>
      </c>
      <c r="V4885" t="n">
        <v>30.69011798012356</v>
      </c>
      <c r="W4885" s="5">
        <f>R4885-V4885</f>
        <v/>
      </c>
    </row>
    <row r="4886">
      <c r="A4886" s="3" t="n">
        <v>45636</v>
      </c>
      <c r="B4886">
        <f>Prices!B4886</f>
        <v/>
      </c>
      <c r="C4886">
        <f>Prices!C4886</f>
        <v/>
      </c>
      <c r="D4886">
        <f>Prices!D4886</f>
        <v/>
      </c>
      <c r="E4886">
        <f>Prices!E4886</f>
        <v/>
      </c>
      <c r="F4886">
        <f>Prices!F4886</f>
        <v/>
      </c>
      <c r="G4886">
        <f>IF(AND(4884&gt;=16,TEXT(A4886,"yyyy-mm")&lt;&gt;TEXT(A4887,"yyyy-mm")),1,0)</f>
        <v/>
      </c>
      <c r="H4886">
        <f>IF(OR(H4885=1,G4886=1),1,0)</f>
        <v/>
      </c>
      <c r="I4886">
        <f>IF(H4885=0,1,SUMPRODUCT(J4885:N4885,B4886:F4886)+O4885*(1+0.00023125256064071564))</f>
        <v/>
      </c>
      <c r="J4886">
        <f>IF(G4886=1,0.2*R4886/B4886,J4885)</f>
        <v/>
      </c>
      <c r="K4886">
        <f>IF(G4886=1,0.2*R4886/C4886,K4885)</f>
        <v/>
      </c>
      <c r="L4886">
        <f>IF(G4886=1,0.2*R4886/D4886,L4885)</f>
        <v/>
      </c>
      <c r="M4886">
        <f>IF(G4886=1,0.2*R4886/E4886,M4885)</f>
        <v/>
      </c>
      <c r="N4886">
        <f>IF(G4886=1,0.2*R4886/F4886,N4885)</f>
        <v/>
      </c>
      <c r="O4886">
        <f>IF(G4886=1,R4886*(1-1.0),IF(H4885=0,1,O4885*(1+0.00023125256064071564)))</f>
        <v/>
      </c>
      <c r="P4886">
        <f>IF(G4886=1,IF(H4885=0,1,ABS(0.2-J4885*B4886/I4886)+ABS(0.2-K4885*C4886/I4886)+ABS(0.2-L4885*D4886/I4886)+ABS(0.2-M4885*E4886/I4886)+ABS(0.2-N4885*F4886/I4886)),0)</f>
        <v/>
      </c>
      <c r="Q4886">
        <f>P4886*0.0015</f>
        <v/>
      </c>
      <c r="R4886">
        <f>I4886*(1-Q4886)</f>
        <v/>
      </c>
      <c r="S4886">
        <f>R4886/R4885-1</f>
        <v/>
      </c>
      <c r="T4886">
        <f>MAX(T4885,R4886)</f>
        <v/>
      </c>
      <c r="U4886">
        <f>R4886/T4886-1</f>
        <v/>
      </c>
      <c r="V4886" t="n">
        <v>30.70689558503381</v>
      </c>
      <c r="W4886" s="5">
        <f>R4886-V4886</f>
        <v/>
      </c>
    </row>
    <row r="4887">
      <c r="A4887" s="3" t="n">
        <v>45637</v>
      </c>
      <c r="B4887">
        <f>Prices!B4887</f>
        <v/>
      </c>
      <c r="C4887">
        <f>Prices!C4887</f>
        <v/>
      </c>
      <c r="D4887">
        <f>Prices!D4887</f>
        <v/>
      </c>
      <c r="E4887">
        <f>Prices!E4887</f>
        <v/>
      </c>
      <c r="F4887">
        <f>Prices!F4887</f>
        <v/>
      </c>
      <c r="G4887">
        <f>IF(AND(4885&gt;=16,TEXT(A4887,"yyyy-mm")&lt;&gt;TEXT(A4888,"yyyy-mm")),1,0)</f>
        <v/>
      </c>
      <c r="H4887">
        <f>IF(OR(H4886=1,G4887=1),1,0)</f>
        <v/>
      </c>
      <c r="I4887">
        <f>IF(H4886=0,1,SUMPRODUCT(J4886:N4886,B4887:F4887)+O4886*(1+0.00023125256064071564))</f>
        <v/>
      </c>
      <c r="J4887">
        <f>IF(G4887=1,0.2*R4887/B4887,J4886)</f>
        <v/>
      </c>
      <c r="K4887">
        <f>IF(G4887=1,0.2*R4887/C4887,K4886)</f>
        <v/>
      </c>
      <c r="L4887">
        <f>IF(G4887=1,0.2*R4887/D4887,L4886)</f>
        <v/>
      </c>
      <c r="M4887">
        <f>IF(G4887=1,0.2*R4887/E4887,M4886)</f>
        <v/>
      </c>
      <c r="N4887">
        <f>IF(G4887=1,0.2*R4887/F4887,N4886)</f>
        <v/>
      </c>
      <c r="O4887">
        <f>IF(G4887=1,R4887*(1-1.0),IF(H4886=0,1,O4886*(1+0.00023125256064071564)))</f>
        <v/>
      </c>
      <c r="P4887">
        <f>IF(G4887=1,IF(H4886=0,1,ABS(0.2-J4886*B4887/I4887)+ABS(0.2-K4886*C4887/I4887)+ABS(0.2-L4886*D4887/I4887)+ABS(0.2-M4886*E4887/I4887)+ABS(0.2-N4886*F4887/I4887)),0)</f>
        <v/>
      </c>
      <c r="Q4887">
        <f>P4887*0.0015</f>
        <v/>
      </c>
      <c r="R4887">
        <f>I4887*(1-Q4887)</f>
        <v/>
      </c>
      <c r="S4887">
        <f>R4887/R4886-1</f>
        <v/>
      </c>
      <c r="T4887">
        <f>MAX(T4886,R4887)</f>
        <v/>
      </c>
      <c r="U4887">
        <f>R4887/T4887-1</f>
        <v/>
      </c>
      <c r="V4887" t="n">
        <v>30.83982258832419</v>
      </c>
      <c r="W4887" s="5">
        <f>R4887-V4887</f>
        <v/>
      </c>
    </row>
    <row r="4888">
      <c r="A4888" s="3" t="n">
        <v>45638</v>
      </c>
      <c r="B4888">
        <f>Prices!B4888</f>
        <v/>
      </c>
      <c r="C4888">
        <f>Prices!C4888</f>
        <v/>
      </c>
      <c r="D4888">
        <f>Prices!D4888</f>
        <v/>
      </c>
      <c r="E4888">
        <f>Prices!E4888</f>
        <v/>
      </c>
      <c r="F4888">
        <f>Prices!F4888</f>
        <v/>
      </c>
      <c r="G4888">
        <f>IF(AND(4886&gt;=16,TEXT(A4888,"yyyy-mm")&lt;&gt;TEXT(A4889,"yyyy-mm")),1,0)</f>
        <v/>
      </c>
      <c r="H4888">
        <f>IF(OR(H4887=1,G4888=1),1,0)</f>
        <v/>
      </c>
      <c r="I4888">
        <f>IF(H4887=0,1,SUMPRODUCT(J4887:N4887,B4888:F4888)+O4887*(1+0.00023125256064071564))</f>
        <v/>
      </c>
      <c r="J4888">
        <f>IF(G4888=1,0.2*R4888/B4888,J4887)</f>
        <v/>
      </c>
      <c r="K4888">
        <f>IF(G4888=1,0.2*R4888/C4888,K4887)</f>
        <v/>
      </c>
      <c r="L4888">
        <f>IF(G4888=1,0.2*R4888/D4888,L4887)</f>
        <v/>
      </c>
      <c r="M4888">
        <f>IF(G4888=1,0.2*R4888/E4888,M4887)</f>
        <v/>
      </c>
      <c r="N4888">
        <f>IF(G4888=1,0.2*R4888/F4888,N4887)</f>
        <v/>
      </c>
      <c r="O4888">
        <f>IF(G4888=1,R4888*(1-1.0),IF(H4887=0,1,O4887*(1+0.00023125256064071564)))</f>
        <v/>
      </c>
      <c r="P4888">
        <f>IF(G4888=1,IF(H4887=0,1,ABS(0.2-J4887*B4888/I4888)+ABS(0.2-K4887*C4888/I4888)+ABS(0.2-L4887*D4888/I4888)+ABS(0.2-M4887*E4888/I4888)+ABS(0.2-N4887*F4888/I4888)),0)</f>
        <v/>
      </c>
      <c r="Q4888">
        <f>P4888*0.0015</f>
        <v/>
      </c>
      <c r="R4888">
        <f>I4888*(1-Q4888)</f>
        <v/>
      </c>
      <c r="S4888">
        <f>R4888/R4887-1</f>
        <v/>
      </c>
      <c r="T4888">
        <f>MAX(T4887,R4888)</f>
        <v/>
      </c>
      <c r="U4888">
        <f>R4888/T4888-1</f>
        <v/>
      </c>
      <c r="V4888" t="n">
        <v>30.68794868090347</v>
      </c>
      <c r="W4888" s="5">
        <f>R4888-V4888</f>
        <v/>
      </c>
    </row>
    <row r="4889">
      <c r="A4889" s="3" t="n">
        <v>45639</v>
      </c>
      <c r="B4889">
        <f>Prices!B4889</f>
        <v/>
      </c>
      <c r="C4889">
        <f>Prices!C4889</f>
        <v/>
      </c>
      <c r="D4889">
        <f>Prices!D4889</f>
        <v/>
      </c>
      <c r="E4889">
        <f>Prices!E4889</f>
        <v/>
      </c>
      <c r="F4889">
        <f>Prices!F4889</f>
        <v/>
      </c>
      <c r="G4889">
        <f>IF(AND(4887&gt;=16,TEXT(A4889,"yyyy-mm")&lt;&gt;TEXT(A4890,"yyyy-mm")),1,0)</f>
        <v/>
      </c>
      <c r="H4889">
        <f>IF(OR(H4888=1,G4889=1),1,0)</f>
        <v/>
      </c>
      <c r="I4889">
        <f>IF(H4888=0,1,SUMPRODUCT(J4888:N4888,B4889:F4889)+O4888*(1+0.00023125256064071564))</f>
        <v/>
      </c>
      <c r="J4889">
        <f>IF(G4889=1,0.2*R4889/B4889,J4888)</f>
        <v/>
      </c>
      <c r="K4889">
        <f>IF(G4889=1,0.2*R4889/C4889,K4888)</f>
        <v/>
      </c>
      <c r="L4889">
        <f>IF(G4889=1,0.2*R4889/D4889,L4888)</f>
        <v/>
      </c>
      <c r="M4889">
        <f>IF(G4889=1,0.2*R4889/E4889,M4888)</f>
        <v/>
      </c>
      <c r="N4889">
        <f>IF(G4889=1,0.2*R4889/F4889,N4888)</f>
        <v/>
      </c>
      <c r="O4889">
        <f>IF(G4889=1,R4889*(1-1.0),IF(H4888=0,1,O4888*(1+0.00023125256064071564)))</f>
        <v/>
      </c>
      <c r="P4889">
        <f>IF(G4889=1,IF(H4888=0,1,ABS(0.2-J4888*B4889/I4889)+ABS(0.2-K4888*C4889/I4889)+ABS(0.2-L4888*D4889/I4889)+ABS(0.2-M4888*E4889/I4889)+ABS(0.2-N4888*F4889/I4889)),0)</f>
        <v/>
      </c>
      <c r="Q4889">
        <f>P4889*0.0015</f>
        <v/>
      </c>
      <c r="R4889">
        <f>I4889*(1-Q4889)</f>
        <v/>
      </c>
      <c r="S4889">
        <f>R4889/R4888-1</f>
        <v/>
      </c>
      <c r="T4889">
        <f>MAX(T4888,R4889)</f>
        <v/>
      </c>
      <c r="U4889">
        <f>R4889/T4889-1</f>
        <v/>
      </c>
      <c r="V4889" t="n">
        <v>30.65402053791423</v>
      </c>
      <c r="W4889" s="5">
        <f>R4889-V4889</f>
        <v/>
      </c>
    </row>
    <row r="4890">
      <c r="A4890" s="3" t="n">
        <v>45642</v>
      </c>
      <c r="B4890">
        <f>Prices!B4890</f>
        <v/>
      </c>
      <c r="C4890">
        <f>Prices!C4890</f>
        <v/>
      </c>
      <c r="D4890">
        <f>Prices!D4890</f>
        <v/>
      </c>
      <c r="E4890">
        <f>Prices!E4890</f>
        <v/>
      </c>
      <c r="F4890">
        <f>Prices!F4890</f>
        <v/>
      </c>
      <c r="G4890">
        <f>IF(AND(4888&gt;=16,TEXT(A4890,"yyyy-mm")&lt;&gt;TEXT(A4891,"yyyy-mm")),1,0)</f>
        <v/>
      </c>
      <c r="H4890">
        <f>IF(OR(H4889=1,G4890=1),1,0)</f>
        <v/>
      </c>
      <c r="I4890">
        <f>IF(H4889=0,1,SUMPRODUCT(J4889:N4889,B4890:F4890)+O4889*(1+0.00023125256064071564))</f>
        <v/>
      </c>
      <c r="J4890">
        <f>IF(G4890=1,0.2*R4890/B4890,J4889)</f>
        <v/>
      </c>
      <c r="K4890">
        <f>IF(G4890=1,0.2*R4890/C4890,K4889)</f>
        <v/>
      </c>
      <c r="L4890">
        <f>IF(G4890=1,0.2*R4890/D4890,L4889)</f>
        <v/>
      </c>
      <c r="M4890">
        <f>IF(G4890=1,0.2*R4890/E4890,M4889)</f>
        <v/>
      </c>
      <c r="N4890">
        <f>IF(G4890=1,0.2*R4890/F4890,N4889)</f>
        <v/>
      </c>
      <c r="O4890">
        <f>IF(G4890=1,R4890*(1-1.0),IF(H4889=0,1,O4889*(1+0.00023125256064071564)))</f>
        <v/>
      </c>
      <c r="P4890">
        <f>IF(G4890=1,IF(H4889=0,1,ABS(0.2-J4889*B4890/I4890)+ABS(0.2-K4889*C4890/I4890)+ABS(0.2-L4889*D4890/I4890)+ABS(0.2-M4889*E4890/I4890)+ABS(0.2-N4889*F4890/I4890)),0)</f>
        <v/>
      </c>
      <c r="Q4890">
        <f>P4890*0.0015</f>
        <v/>
      </c>
      <c r="R4890">
        <f>I4890*(1-Q4890)</f>
        <v/>
      </c>
      <c r="S4890">
        <f>R4890/R4889-1</f>
        <v/>
      </c>
      <c r="T4890">
        <f>MAX(T4889,R4890)</f>
        <v/>
      </c>
      <c r="U4890">
        <f>R4890/T4890-1</f>
        <v/>
      </c>
      <c r="V4890" t="n">
        <v>30.74810789138128</v>
      </c>
      <c r="W4890" s="5">
        <f>R4890-V4890</f>
        <v/>
      </c>
    </row>
    <row r="4891">
      <c r="A4891" s="3" t="n">
        <v>45643</v>
      </c>
      <c r="B4891">
        <f>Prices!B4891</f>
        <v/>
      </c>
      <c r="C4891">
        <f>Prices!C4891</f>
        <v/>
      </c>
      <c r="D4891">
        <f>Prices!D4891</f>
        <v/>
      </c>
      <c r="E4891">
        <f>Prices!E4891</f>
        <v/>
      </c>
      <c r="F4891">
        <f>Prices!F4891</f>
        <v/>
      </c>
      <c r="G4891">
        <f>IF(AND(4889&gt;=16,TEXT(A4891,"yyyy-mm")&lt;&gt;TEXT(A4892,"yyyy-mm")),1,0)</f>
        <v/>
      </c>
      <c r="H4891">
        <f>IF(OR(H4890=1,G4891=1),1,0)</f>
        <v/>
      </c>
      <c r="I4891">
        <f>IF(H4890=0,1,SUMPRODUCT(J4890:N4890,B4891:F4891)+O4890*(1+0.00023125256064071564))</f>
        <v/>
      </c>
      <c r="J4891">
        <f>IF(G4891=1,0.2*R4891/B4891,J4890)</f>
        <v/>
      </c>
      <c r="K4891">
        <f>IF(G4891=1,0.2*R4891/C4891,K4890)</f>
        <v/>
      </c>
      <c r="L4891">
        <f>IF(G4891=1,0.2*R4891/D4891,L4890)</f>
        <v/>
      </c>
      <c r="M4891">
        <f>IF(G4891=1,0.2*R4891/E4891,M4890)</f>
        <v/>
      </c>
      <c r="N4891">
        <f>IF(G4891=1,0.2*R4891/F4891,N4890)</f>
        <v/>
      </c>
      <c r="O4891">
        <f>IF(G4891=1,R4891*(1-1.0),IF(H4890=0,1,O4890*(1+0.00023125256064071564)))</f>
        <v/>
      </c>
      <c r="P4891">
        <f>IF(G4891=1,IF(H4890=0,1,ABS(0.2-J4890*B4891/I4891)+ABS(0.2-K4890*C4891/I4891)+ABS(0.2-L4890*D4891/I4891)+ABS(0.2-M4890*E4891/I4891)+ABS(0.2-N4890*F4891/I4891)),0)</f>
        <v/>
      </c>
      <c r="Q4891">
        <f>P4891*0.0015</f>
        <v/>
      </c>
      <c r="R4891">
        <f>I4891*(1-Q4891)</f>
        <v/>
      </c>
      <c r="S4891">
        <f>R4891/R4890-1</f>
        <v/>
      </c>
      <c r="T4891">
        <f>MAX(T4890,R4891)</f>
        <v/>
      </c>
      <c r="U4891">
        <f>R4891/T4891-1</f>
        <v/>
      </c>
      <c r="V4891" t="n">
        <v>30.44853202498149</v>
      </c>
      <c r="W4891" s="5">
        <f>R4891-V4891</f>
        <v/>
      </c>
    </row>
    <row r="4892">
      <c r="A4892" s="3" t="n">
        <v>45644</v>
      </c>
      <c r="B4892">
        <f>Prices!B4892</f>
        <v/>
      </c>
      <c r="C4892">
        <f>Prices!C4892</f>
        <v/>
      </c>
      <c r="D4892">
        <f>Prices!D4892</f>
        <v/>
      </c>
      <c r="E4892">
        <f>Prices!E4892</f>
        <v/>
      </c>
      <c r="F4892">
        <f>Prices!F4892</f>
        <v/>
      </c>
      <c r="G4892">
        <f>IF(AND(4890&gt;=16,TEXT(A4892,"yyyy-mm")&lt;&gt;TEXT(A4893,"yyyy-mm")),1,0)</f>
        <v/>
      </c>
      <c r="H4892">
        <f>IF(OR(H4891=1,G4892=1),1,0)</f>
        <v/>
      </c>
      <c r="I4892">
        <f>IF(H4891=0,1,SUMPRODUCT(J4891:N4891,B4892:F4892)+O4891*(1+0.00023125256064071564))</f>
        <v/>
      </c>
      <c r="J4892">
        <f>IF(G4892=1,0.2*R4892/B4892,J4891)</f>
        <v/>
      </c>
      <c r="K4892">
        <f>IF(G4892=1,0.2*R4892/C4892,K4891)</f>
        <v/>
      </c>
      <c r="L4892">
        <f>IF(G4892=1,0.2*R4892/D4892,L4891)</f>
        <v/>
      </c>
      <c r="M4892">
        <f>IF(G4892=1,0.2*R4892/E4892,M4891)</f>
        <v/>
      </c>
      <c r="N4892">
        <f>IF(G4892=1,0.2*R4892/F4892,N4891)</f>
        <v/>
      </c>
      <c r="O4892">
        <f>IF(G4892=1,R4892*(1-1.0),IF(H4891=0,1,O4891*(1+0.00023125256064071564)))</f>
        <v/>
      </c>
      <c r="P4892">
        <f>IF(G4892=1,IF(H4891=0,1,ABS(0.2-J4891*B4892/I4892)+ABS(0.2-K4891*C4892/I4892)+ABS(0.2-L4891*D4892/I4892)+ABS(0.2-M4891*E4892/I4892)+ABS(0.2-N4891*F4892/I4892)),0)</f>
        <v/>
      </c>
      <c r="Q4892">
        <f>P4892*0.0015</f>
        <v/>
      </c>
      <c r="R4892">
        <f>I4892*(1-Q4892)</f>
        <v/>
      </c>
      <c r="S4892">
        <f>R4892/R4891-1</f>
        <v/>
      </c>
      <c r="T4892">
        <f>MAX(T4891,R4892)</f>
        <v/>
      </c>
      <c r="U4892">
        <f>R4892/T4892-1</f>
        <v/>
      </c>
      <c r="V4892" t="n">
        <v>30.13798826916545</v>
      </c>
      <c r="W4892" s="5">
        <f>R4892-V4892</f>
        <v/>
      </c>
    </row>
    <row r="4893">
      <c r="A4893" s="3" t="n">
        <v>45645</v>
      </c>
      <c r="B4893">
        <f>Prices!B4893</f>
        <v/>
      </c>
      <c r="C4893">
        <f>Prices!C4893</f>
        <v/>
      </c>
      <c r="D4893">
        <f>Prices!D4893</f>
        <v/>
      </c>
      <c r="E4893">
        <f>Prices!E4893</f>
        <v/>
      </c>
      <c r="F4893">
        <f>Prices!F4893</f>
        <v/>
      </c>
      <c r="G4893">
        <f>IF(AND(4891&gt;=16,TEXT(A4893,"yyyy-mm")&lt;&gt;TEXT(A4894,"yyyy-mm")),1,0)</f>
        <v/>
      </c>
      <c r="H4893">
        <f>IF(OR(H4892=1,G4893=1),1,0)</f>
        <v/>
      </c>
      <c r="I4893">
        <f>IF(H4892=0,1,SUMPRODUCT(J4892:N4892,B4893:F4893)+O4892*(1+0.00023125256064071564))</f>
        <v/>
      </c>
      <c r="J4893">
        <f>IF(G4893=1,0.2*R4893/B4893,J4892)</f>
        <v/>
      </c>
      <c r="K4893">
        <f>IF(G4893=1,0.2*R4893/C4893,K4892)</f>
        <v/>
      </c>
      <c r="L4893">
        <f>IF(G4893=1,0.2*R4893/D4893,L4892)</f>
        <v/>
      </c>
      <c r="M4893">
        <f>IF(G4893=1,0.2*R4893/E4893,M4892)</f>
        <v/>
      </c>
      <c r="N4893">
        <f>IF(G4893=1,0.2*R4893/F4893,N4892)</f>
        <v/>
      </c>
      <c r="O4893">
        <f>IF(G4893=1,R4893*(1-1.0),IF(H4892=0,1,O4892*(1+0.00023125256064071564)))</f>
        <v/>
      </c>
      <c r="P4893">
        <f>IF(G4893=1,IF(H4892=0,1,ABS(0.2-J4892*B4893/I4893)+ABS(0.2-K4892*C4893/I4893)+ABS(0.2-L4892*D4893/I4893)+ABS(0.2-M4892*E4893/I4893)+ABS(0.2-N4892*F4893/I4893)),0)</f>
        <v/>
      </c>
      <c r="Q4893">
        <f>P4893*0.0015</f>
        <v/>
      </c>
      <c r="R4893">
        <f>I4893*(1-Q4893)</f>
        <v/>
      </c>
      <c r="S4893">
        <f>R4893/R4892-1</f>
        <v/>
      </c>
      <c r="T4893">
        <f>MAX(T4892,R4893)</f>
        <v/>
      </c>
      <c r="U4893">
        <f>R4893/T4893-1</f>
        <v/>
      </c>
      <c r="V4893" t="n">
        <v>29.9711002261718</v>
      </c>
      <c r="W4893" s="5">
        <f>R4893-V4893</f>
        <v/>
      </c>
    </row>
    <row r="4894">
      <c r="A4894" s="3" t="n">
        <v>45646</v>
      </c>
      <c r="B4894">
        <f>Prices!B4894</f>
        <v/>
      </c>
      <c r="C4894">
        <f>Prices!C4894</f>
        <v/>
      </c>
      <c r="D4894">
        <f>Prices!D4894</f>
        <v/>
      </c>
      <c r="E4894">
        <f>Prices!E4894</f>
        <v/>
      </c>
      <c r="F4894">
        <f>Prices!F4894</f>
        <v/>
      </c>
      <c r="G4894">
        <f>IF(AND(4892&gt;=16,TEXT(A4894,"yyyy-mm")&lt;&gt;TEXT(A4895,"yyyy-mm")),1,0)</f>
        <v/>
      </c>
      <c r="H4894">
        <f>IF(OR(H4893=1,G4894=1),1,0)</f>
        <v/>
      </c>
      <c r="I4894">
        <f>IF(H4893=0,1,SUMPRODUCT(J4893:N4893,B4894:F4894)+O4893*(1+0.00023125256064071564))</f>
        <v/>
      </c>
      <c r="J4894">
        <f>IF(G4894=1,0.2*R4894/B4894,J4893)</f>
        <v/>
      </c>
      <c r="K4894">
        <f>IF(G4894=1,0.2*R4894/C4894,K4893)</f>
        <v/>
      </c>
      <c r="L4894">
        <f>IF(G4894=1,0.2*R4894/D4894,L4893)</f>
        <v/>
      </c>
      <c r="M4894">
        <f>IF(G4894=1,0.2*R4894/E4894,M4893)</f>
        <v/>
      </c>
      <c r="N4894">
        <f>IF(G4894=1,0.2*R4894/F4894,N4893)</f>
        <v/>
      </c>
      <c r="O4894">
        <f>IF(G4894=1,R4894*(1-1.0),IF(H4893=0,1,O4893*(1+0.00023125256064071564)))</f>
        <v/>
      </c>
      <c r="P4894">
        <f>IF(G4894=1,IF(H4893=0,1,ABS(0.2-J4893*B4894/I4894)+ABS(0.2-K4893*C4894/I4894)+ABS(0.2-L4893*D4894/I4894)+ABS(0.2-M4893*E4894/I4894)+ABS(0.2-N4893*F4894/I4894)),0)</f>
        <v/>
      </c>
      <c r="Q4894">
        <f>P4894*0.0015</f>
        <v/>
      </c>
      <c r="R4894">
        <f>I4894*(1-Q4894)</f>
        <v/>
      </c>
      <c r="S4894">
        <f>R4894/R4893-1</f>
        <v/>
      </c>
      <c r="T4894">
        <f>MAX(T4893,R4894)</f>
        <v/>
      </c>
      <c r="U4894">
        <f>R4894/T4894-1</f>
        <v/>
      </c>
      <c r="V4894" t="n">
        <v>29.19859311971412</v>
      </c>
      <c r="W4894" s="5">
        <f>R4894-V4894</f>
        <v/>
      </c>
    </row>
    <row r="4895">
      <c r="A4895" s="3" t="n">
        <v>45649</v>
      </c>
      <c r="B4895">
        <f>Prices!B4895</f>
        <v/>
      </c>
      <c r="C4895">
        <f>Prices!C4895</f>
        <v/>
      </c>
      <c r="D4895">
        <f>Prices!D4895</f>
        <v/>
      </c>
      <c r="E4895">
        <f>Prices!E4895</f>
        <v/>
      </c>
      <c r="F4895">
        <f>Prices!F4895</f>
        <v/>
      </c>
      <c r="G4895">
        <f>IF(AND(4893&gt;=16,TEXT(A4895,"yyyy-mm")&lt;&gt;TEXT(A4896,"yyyy-mm")),1,0)</f>
        <v/>
      </c>
      <c r="H4895">
        <f>IF(OR(H4894=1,G4895=1),1,0)</f>
        <v/>
      </c>
      <c r="I4895">
        <f>IF(H4894=0,1,SUMPRODUCT(J4894:N4894,B4895:F4895)+O4894*(1+0.00023125256064071564))</f>
        <v/>
      </c>
      <c r="J4895">
        <f>IF(G4895=1,0.2*R4895/B4895,J4894)</f>
        <v/>
      </c>
      <c r="K4895">
        <f>IF(G4895=1,0.2*R4895/C4895,K4894)</f>
        <v/>
      </c>
      <c r="L4895">
        <f>IF(G4895=1,0.2*R4895/D4895,L4894)</f>
        <v/>
      </c>
      <c r="M4895">
        <f>IF(G4895=1,0.2*R4895/E4895,M4894)</f>
        <v/>
      </c>
      <c r="N4895">
        <f>IF(G4895=1,0.2*R4895/F4895,N4894)</f>
        <v/>
      </c>
      <c r="O4895">
        <f>IF(G4895=1,R4895*(1-1.0),IF(H4894=0,1,O4894*(1+0.00023125256064071564)))</f>
        <v/>
      </c>
      <c r="P4895">
        <f>IF(G4895=1,IF(H4894=0,1,ABS(0.2-J4894*B4895/I4895)+ABS(0.2-K4894*C4895/I4895)+ABS(0.2-L4894*D4895/I4895)+ABS(0.2-M4894*E4895/I4895)+ABS(0.2-N4894*F4895/I4895)),0)</f>
        <v/>
      </c>
      <c r="Q4895">
        <f>P4895*0.0015</f>
        <v/>
      </c>
      <c r="R4895">
        <f>I4895*(1-Q4895)</f>
        <v/>
      </c>
      <c r="S4895">
        <f>R4895/R4894-1</f>
        <v/>
      </c>
      <c r="T4895">
        <f>MAX(T4894,R4895)</f>
        <v/>
      </c>
      <c r="U4895">
        <f>R4895/T4895-1</f>
        <v/>
      </c>
      <c r="V4895" t="n">
        <v>29.23099639870977</v>
      </c>
      <c r="W4895" s="5">
        <f>R4895-V4895</f>
        <v/>
      </c>
    </row>
    <row r="4896">
      <c r="A4896" s="3" t="n">
        <v>45650</v>
      </c>
      <c r="B4896">
        <f>Prices!B4896</f>
        <v/>
      </c>
      <c r="C4896">
        <f>Prices!C4896</f>
        <v/>
      </c>
      <c r="D4896">
        <f>Prices!D4896</f>
        <v/>
      </c>
      <c r="E4896">
        <f>Prices!E4896</f>
        <v/>
      </c>
      <c r="F4896">
        <f>Prices!F4896</f>
        <v/>
      </c>
      <c r="G4896">
        <f>IF(AND(4894&gt;=16,TEXT(A4896,"yyyy-mm")&lt;&gt;TEXT(A4897,"yyyy-mm")),1,0)</f>
        <v/>
      </c>
      <c r="H4896">
        <f>IF(OR(H4895=1,G4896=1),1,0)</f>
        <v/>
      </c>
      <c r="I4896">
        <f>IF(H4895=0,1,SUMPRODUCT(J4895:N4895,B4896:F4896)+O4895*(1+0.00023125256064071564))</f>
        <v/>
      </c>
      <c r="J4896">
        <f>IF(G4896=1,0.2*R4896/B4896,J4895)</f>
        <v/>
      </c>
      <c r="K4896">
        <f>IF(G4896=1,0.2*R4896/C4896,K4895)</f>
        <v/>
      </c>
      <c r="L4896">
        <f>IF(G4896=1,0.2*R4896/D4896,L4895)</f>
        <v/>
      </c>
      <c r="M4896">
        <f>IF(G4896=1,0.2*R4896/E4896,M4895)</f>
        <v/>
      </c>
      <c r="N4896">
        <f>IF(G4896=1,0.2*R4896/F4896,N4895)</f>
        <v/>
      </c>
      <c r="O4896">
        <f>IF(G4896=1,R4896*(1-1.0),IF(H4895=0,1,O4895*(1+0.00023125256064071564)))</f>
        <v/>
      </c>
      <c r="P4896">
        <f>IF(G4896=1,IF(H4895=0,1,ABS(0.2-J4895*B4896/I4896)+ABS(0.2-K4895*C4896/I4896)+ABS(0.2-L4895*D4896/I4896)+ABS(0.2-M4895*E4896/I4896)+ABS(0.2-N4895*F4896/I4896)),0)</f>
        <v/>
      </c>
      <c r="Q4896">
        <f>P4896*0.0015</f>
        <v/>
      </c>
      <c r="R4896">
        <f>I4896*(1-Q4896)</f>
        <v/>
      </c>
      <c r="S4896">
        <f>R4896/R4895-1</f>
        <v/>
      </c>
      <c r="T4896">
        <f>MAX(T4895,R4896)</f>
        <v/>
      </c>
      <c r="U4896">
        <f>R4896/T4896-1</f>
        <v/>
      </c>
      <c r="V4896" t="n">
        <v>29.19942188082256</v>
      </c>
      <c r="W4896" s="5">
        <f>R4896-V4896</f>
        <v/>
      </c>
    </row>
    <row r="4897">
      <c r="A4897" s="3" t="n">
        <v>45652</v>
      </c>
      <c r="B4897">
        <f>Prices!B4897</f>
        <v/>
      </c>
      <c r="C4897">
        <f>Prices!C4897</f>
        <v/>
      </c>
      <c r="D4897">
        <f>Prices!D4897</f>
        <v/>
      </c>
      <c r="E4897">
        <f>Prices!E4897</f>
        <v/>
      </c>
      <c r="F4897">
        <f>Prices!F4897</f>
        <v/>
      </c>
      <c r="G4897">
        <f>IF(AND(4895&gt;=16,TEXT(A4897,"yyyy-mm")&lt;&gt;TEXT(A4898,"yyyy-mm")),1,0)</f>
        <v/>
      </c>
      <c r="H4897">
        <f>IF(OR(H4896=1,G4897=1),1,0)</f>
        <v/>
      </c>
      <c r="I4897">
        <f>IF(H4896=0,1,SUMPRODUCT(J4896:N4896,B4897:F4897)+O4896*(1+0.00023125256064071564))</f>
        <v/>
      </c>
      <c r="J4897">
        <f>IF(G4897=1,0.2*R4897/B4897,J4896)</f>
        <v/>
      </c>
      <c r="K4897">
        <f>IF(G4897=1,0.2*R4897/C4897,K4896)</f>
        <v/>
      </c>
      <c r="L4897">
        <f>IF(G4897=1,0.2*R4897/D4897,L4896)</f>
        <v/>
      </c>
      <c r="M4897">
        <f>IF(G4897=1,0.2*R4897/E4897,M4896)</f>
        <v/>
      </c>
      <c r="N4897">
        <f>IF(G4897=1,0.2*R4897/F4897,N4896)</f>
        <v/>
      </c>
      <c r="O4897">
        <f>IF(G4897=1,R4897*(1-1.0),IF(H4896=0,1,O4896*(1+0.00023125256064071564)))</f>
        <v/>
      </c>
      <c r="P4897">
        <f>IF(G4897=1,IF(H4896=0,1,ABS(0.2-J4896*B4897/I4897)+ABS(0.2-K4896*C4897/I4897)+ABS(0.2-L4896*D4897/I4897)+ABS(0.2-M4896*E4897/I4897)+ABS(0.2-N4896*F4897/I4897)),0)</f>
        <v/>
      </c>
      <c r="Q4897">
        <f>P4897*0.0015</f>
        <v/>
      </c>
      <c r="R4897">
        <f>I4897*(1-Q4897)</f>
        <v/>
      </c>
      <c r="S4897">
        <f>R4897/R4896-1</f>
        <v/>
      </c>
      <c r="T4897">
        <f>MAX(T4896,R4897)</f>
        <v/>
      </c>
      <c r="U4897">
        <f>R4897/T4897-1</f>
        <v/>
      </c>
      <c r="V4897" t="n">
        <v>29.2725397928806</v>
      </c>
      <c r="W4897" s="5">
        <f>R4897-V4897</f>
        <v/>
      </c>
    </row>
    <row r="4898">
      <c r="A4898" s="3" t="n">
        <v>45653</v>
      </c>
      <c r="B4898">
        <f>Prices!B4898</f>
        <v/>
      </c>
      <c r="C4898">
        <f>Prices!C4898</f>
        <v/>
      </c>
      <c r="D4898">
        <f>Prices!D4898</f>
        <v/>
      </c>
      <c r="E4898">
        <f>Prices!E4898</f>
        <v/>
      </c>
      <c r="F4898">
        <f>Prices!F4898</f>
        <v/>
      </c>
      <c r="G4898">
        <f>IF(AND(4896&gt;=16,TEXT(A4898,"yyyy-mm")&lt;&gt;TEXT(A4899,"yyyy-mm")),1,0)</f>
        <v/>
      </c>
      <c r="H4898">
        <f>IF(OR(H4897=1,G4898=1),1,0)</f>
        <v/>
      </c>
      <c r="I4898">
        <f>IF(H4897=0,1,SUMPRODUCT(J4897:N4897,B4898:F4898)+O4897*(1+0.00023125256064071564))</f>
        <v/>
      </c>
      <c r="J4898">
        <f>IF(G4898=1,0.2*R4898/B4898,J4897)</f>
        <v/>
      </c>
      <c r="K4898">
        <f>IF(G4898=1,0.2*R4898/C4898,K4897)</f>
        <v/>
      </c>
      <c r="L4898">
        <f>IF(G4898=1,0.2*R4898/D4898,L4897)</f>
        <v/>
      </c>
      <c r="M4898">
        <f>IF(G4898=1,0.2*R4898/E4898,M4897)</f>
        <v/>
      </c>
      <c r="N4898">
        <f>IF(G4898=1,0.2*R4898/F4898,N4897)</f>
        <v/>
      </c>
      <c r="O4898">
        <f>IF(G4898=1,R4898*(1-1.0),IF(H4897=0,1,O4897*(1+0.00023125256064071564)))</f>
        <v/>
      </c>
      <c r="P4898">
        <f>IF(G4898=1,IF(H4897=0,1,ABS(0.2-J4897*B4898/I4898)+ABS(0.2-K4897*C4898/I4898)+ABS(0.2-L4897*D4898/I4898)+ABS(0.2-M4897*E4898/I4898)+ABS(0.2-N4897*F4898/I4898)),0)</f>
        <v/>
      </c>
      <c r="Q4898">
        <f>P4898*0.0015</f>
        <v/>
      </c>
      <c r="R4898">
        <f>I4898*(1-Q4898)</f>
        <v/>
      </c>
      <c r="S4898">
        <f>R4898/R4897-1</f>
        <v/>
      </c>
      <c r="T4898">
        <f>MAX(T4897,R4898)</f>
        <v/>
      </c>
      <c r="U4898">
        <f>R4898/T4898-1</f>
        <v/>
      </c>
      <c r="V4898" t="n">
        <v>29.181695261682</v>
      </c>
      <c r="W4898" s="5">
        <f>R4898-V4898</f>
        <v/>
      </c>
    </row>
    <row r="4899">
      <c r="A4899" s="3" t="n">
        <v>45656</v>
      </c>
      <c r="B4899">
        <f>Prices!B4899</f>
        <v/>
      </c>
      <c r="C4899">
        <f>Prices!C4899</f>
        <v/>
      </c>
      <c r="D4899">
        <f>Prices!D4899</f>
        <v/>
      </c>
      <c r="E4899">
        <f>Prices!E4899</f>
        <v/>
      </c>
      <c r="F4899">
        <f>Prices!F4899</f>
        <v/>
      </c>
      <c r="G4899">
        <f>IF(AND(4897&gt;=16,TEXT(A4899,"yyyy-mm")&lt;&gt;TEXT(A4900,"yyyy-mm")),1,0)</f>
        <v/>
      </c>
      <c r="H4899">
        <f>IF(OR(H4898=1,G4899=1),1,0)</f>
        <v/>
      </c>
      <c r="I4899">
        <f>IF(H4898=0,1,SUMPRODUCT(J4898:N4898,B4899:F4899)+O4898*(1+0.00023125256064071564))</f>
        <v/>
      </c>
      <c r="J4899">
        <f>IF(G4899=1,0.2*R4899/B4899,J4898)</f>
        <v/>
      </c>
      <c r="K4899">
        <f>IF(G4899=1,0.2*R4899/C4899,K4898)</f>
        <v/>
      </c>
      <c r="L4899">
        <f>IF(G4899=1,0.2*R4899/D4899,L4898)</f>
        <v/>
      </c>
      <c r="M4899">
        <f>IF(G4899=1,0.2*R4899/E4899,M4898)</f>
        <v/>
      </c>
      <c r="N4899">
        <f>IF(G4899=1,0.2*R4899/F4899,N4898)</f>
        <v/>
      </c>
      <c r="O4899">
        <f>IF(G4899=1,R4899*(1-1.0),IF(H4898=0,1,O4898*(1+0.00023125256064071564)))</f>
        <v/>
      </c>
      <c r="P4899">
        <f>IF(G4899=1,IF(H4898=0,1,ABS(0.2-J4898*B4899/I4899)+ABS(0.2-K4898*C4899/I4899)+ABS(0.2-L4898*D4899/I4899)+ABS(0.2-M4898*E4899/I4899)+ABS(0.2-N4898*F4899/I4899)),0)</f>
        <v/>
      </c>
      <c r="Q4899">
        <f>P4899*0.0015</f>
        <v/>
      </c>
      <c r="R4899">
        <f>I4899*(1-Q4899)</f>
        <v/>
      </c>
      <c r="S4899">
        <f>R4899/R4898-1</f>
        <v/>
      </c>
      <c r="T4899">
        <f>MAX(T4898,R4899)</f>
        <v/>
      </c>
      <c r="U4899">
        <f>R4899/T4899-1</f>
        <v/>
      </c>
      <c r="V4899" t="n">
        <v>28.93790018203361</v>
      </c>
      <c r="W4899" s="5">
        <f>R4899-V4899</f>
        <v/>
      </c>
    </row>
    <row r="4900">
      <c r="A4900" s="3" t="n">
        <v>45657</v>
      </c>
      <c r="B4900">
        <f>Prices!B4900</f>
        <v/>
      </c>
      <c r="C4900">
        <f>Prices!C4900</f>
        <v/>
      </c>
      <c r="D4900">
        <f>Prices!D4900</f>
        <v/>
      </c>
      <c r="E4900">
        <f>Prices!E4900</f>
        <v/>
      </c>
      <c r="F4900">
        <f>Prices!F4900</f>
        <v/>
      </c>
      <c r="G4900">
        <f>IF(AND(4898&gt;=16,TEXT(A4900,"yyyy-mm")&lt;&gt;TEXT(A4901,"yyyy-mm")),1,0)</f>
        <v/>
      </c>
      <c r="H4900">
        <f>IF(OR(H4899=1,G4900=1),1,0)</f>
        <v/>
      </c>
      <c r="I4900">
        <f>IF(H4899=0,1,SUMPRODUCT(J4899:N4899,B4900:F4900)+O4899*(1+0.00023125256064071564))</f>
        <v/>
      </c>
      <c r="J4900">
        <f>IF(G4900=1,0.2*R4900/B4900,J4899)</f>
        <v/>
      </c>
      <c r="K4900">
        <f>IF(G4900=1,0.2*R4900/C4900,K4899)</f>
        <v/>
      </c>
      <c r="L4900">
        <f>IF(G4900=1,0.2*R4900/D4900,L4899)</f>
        <v/>
      </c>
      <c r="M4900">
        <f>IF(G4900=1,0.2*R4900/E4900,M4899)</f>
        <v/>
      </c>
      <c r="N4900">
        <f>IF(G4900=1,0.2*R4900/F4900,N4899)</f>
        <v/>
      </c>
      <c r="O4900">
        <f>IF(G4900=1,R4900*(1-1.0),IF(H4899=0,1,O4899*(1+0.00023125256064071564)))</f>
        <v/>
      </c>
      <c r="P4900">
        <f>IF(G4900=1,IF(H4899=0,1,ABS(0.2-J4899*B4900/I4900)+ABS(0.2-K4899*C4900/I4900)+ABS(0.2-L4899*D4900/I4900)+ABS(0.2-M4899*E4900/I4900)+ABS(0.2-N4899*F4900/I4900)),0)</f>
        <v/>
      </c>
      <c r="Q4900">
        <f>P4900*0.0015</f>
        <v/>
      </c>
      <c r="R4900">
        <f>I4900*(1-Q4900)</f>
        <v/>
      </c>
      <c r="S4900">
        <f>R4900/R4899-1</f>
        <v/>
      </c>
      <c r="T4900">
        <f>MAX(T4899,R4900)</f>
        <v/>
      </c>
      <c r="U4900">
        <f>R4900/T4900-1</f>
        <v/>
      </c>
      <c r="V4900" t="n">
        <v>29.01810435103472</v>
      </c>
      <c r="W4900" s="5">
        <f>R4900-V4900</f>
        <v/>
      </c>
    </row>
    <row r="4901">
      <c r="A4901" s="3" t="n">
        <v>45658</v>
      </c>
      <c r="B4901">
        <f>Prices!B4901</f>
        <v/>
      </c>
      <c r="C4901">
        <f>Prices!C4901</f>
        <v/>
      </c>
      <c r="D4901">
        <f>Prices!D4901</f>
        <v/>
      </c>
      <c r="E4901">
        <f>Prices!E4901</f>
        <v/>
      </c>
      <c r="F4901">
        <f>Prices!F4901</f>
        <v/>
      </c>
      <c r="G4901">
        <f>IF(AND(4899&gt;=16,TEXT(A4901,"yyyy-mm")&lt;&gt;TEXT(A4902,"yyyy-mm")),1,0)</f>
        <v/>
      </c>
      <c r="H4901">
        <f>IF(OR(H4900=1,G4901=1),1,0)</f>
        <v/>
      </c>
      <c r="I4901">
        <f>IF(H4900=0,1,SUMPRODUCT(J4900:N4900,B4901:F4901)+O4900*(1+0.00023125256064071564))</f>
        <v/>
      </c>
      <c r="J4901">
        <f>IF(G4901=1,0.2*R4901/B4901,J4900)</f>
        <v/>
      </c>
      <c r="K4901">
        <f>IF(G4901=1,0.2*R4901/C4901,K4900)</f>
        <v/>
      </c>
      <c r="L4901">
        <f>IF(G4901=1,0.2*R4901/D4901,L4900)</f>
        <v/>
      </c>
      <c r="M4901">
        <f>IF(G4901=1,0.2*R4901/E4901,M4900)</f>
        <v/>
      </c>
      <c r="N4901">
        <f>IF(G4901=1,0.2*R4901/F4901,N4900)</f>
        <v/>
      </c>
      <c r="O4901">
        <f>IF(G4901=1,R4901*(1-1.0),IF(H4900=0,1,O4900*(1+0.00023125256064071564)))</f>
        <v/>
      </c>
      <c r="P4901">
        <f>IF(G4901=1,IF(H4900=0,1,ABS(0.2-J4900*B4901/I4901)+ABS(0.2-K4900*C4901/I4901)+ABS(0.2-L4900*D4901/I4901)+ABS(0.2-M4900*E4901/I4901)+ABS(0.2-N4900*F4901/I4901)),0)</f>
        <v/>
      </c>
      <c r="Q4901">
        <f>P4901*0.0015</f>
        <v/>
      </c>
      <c r="R4901">
        <f>I4901*(1-Q4901)</f>
        <v/>
      </c>
      <c r="S4901">
        <f>R4901/R4900-1</f>
        <v/>
      </c>
      <c r="T4901">
        <f>MAX(T4900,R4901)</f>
        <v/>
      </c>
      <c r="U4901">
        <f>R4901/T4901-1</f>
        <v/>
      </c>
      <c r="V4901" t="n">
        <v>29.18408509667978</v>
      </c>
      <c r="W4901" s="5">
        <f>R4901-V4901</f>
        <v/>
      </c>
    </row>
    <row r="4902">
      <c r="A4902" s="3" t="n">
        <v>45659</v>
      </c>
      <c r="B4902">
        <f>Prices!B4902</f>
        <v/>
      </c>
      <c r="C4902">
        <f>Prices!C4902</f>
        <v/>
      </c>
      <c r="D4902">
        <f>Prices!D4902</f>
        <v/>
      </c>
      <c r="E4902">
        <f>Prices!E4902</f>
        <v/>
      </c>
      <c r="F4902">
        <f>Prices!F4902</f>
        <v/>
      </c>
      <c r="G4902">
        <f>IF(AND(4900&gt;=16,TEXT(A4902,"yyyy-mm")&lt;&gt;TEXT(A4903,"yyyy-mm")),1,0)</f>
        <v/>
      </c>
      <c r="H4902">
        <f>IF(OR(H4901=1,G4902=1),1,0)</f>
        <v/>
      </c>
      <c r="I4902">
        <f>IF(H4901=0,1,SUMPRODUCT(J4901:N4901,B4902:F4902)+O4901*(1+0.00023125256064071564))</f>
        <v/>
      </c>
      <c r="J4902">
        <f>IF(G4902=1,0.2*R4902/B4902,J4901)</f>
        <v/>
      </c>
      <c r="K4902">
        <f>IF(G4902=1,0.2*R4902/C4902,K4901)</f>
        <v/>
      </c>
      <c r="L4902">
        <f>IF(G4902=1,0.2*R4902/D4902,L4901)</f>
        <v/>
      </c>
      <c r="M4902">
        <f>IF(G4902=1,0.2*R4902/E4902,M4901)</f>
        <v/>
      </c>
      <c r="N4902">
        <f>IF(G4902=1,0.2*R4902/F4902,N4901)</f>
        <v/>
      </c>
      <c r="O4902">
        <f>IF(G4902=1,R4902*(1-1.0),IF(H4901=0,1,O4901*(1+0.00023125256064071564)))</f>
        <v/>
      </c>
      <c r="P4902">
        <f>IF(G4902=1,IF(H4901=0,1,ABS(0.2-J4901*B4902/I4902)+ABS(0.2-K4901*C4902/I4902)+ABS(0.2-L4901*D4902/I4902)+ABS(0.2-M4901*E4902/I4902)+ABS(0.2-N4901*F4902/I4902)),0)</f>
        <v/>
      </c>
      <c r="Q4902">
        <f>P4902*0.0015</f>
        <v/>
      </c>
      <c r="R4902">
        <f>I4902*(1-Q4902)</f>
        <v/>
      </c>
      <c r="S4902">
        <f>R4902/R4901-1</f>
        <v/>
      </c>
      <c r="T4902">
        <f>MAX(T4901,R4902)</f>
        <v/>
      </c>
      <c r="U4902">
        <f>R4902/T4902-1</f>
        <v/>
      </c>
      <c r="V4902" t="n">
        <v>29.61455800465218</v>
      </c>
      <c r="W4902" s="5">
        <f>R4902-V4902</f>
        <v/>
      </c>
    </row>
    <row r="4903">
      <c r="A4903" s="3" t="n">
        <v>45660</v>
      </c>
      <c r="B4903">
        <f>Prices!B4903</f>
        <v/>
      </c>
      <c r="C4903">
        <f>Prices!C4903</f>
        <v/>
      </c>
      <c r="D4903">
        <f>Prices!D4903</f>
        <v/>
      </c>
      <c r="E4903">
        <f>Prices!E4903</f>
        <v/>
      </c>
      <c r="F4903">
        <f>Prices!F4903</f>
        <v/>
      </c>
      <c r="G4903">
        <f>IF(AND(4901&gt;=16,TEXT(A4903,"yyyy-mm")&lt;&gt;TEXT(A4904,"yyyy-mm")),1,0)</f>
        <v/>
      </c>
      <c r="H4903">
        <f>IF(OR(H4902=1,G4903=1),1,0)</f>
        <v/>
      </c>
      <c r="I4903">
        <f>IF(H4902=0,1,SUMPRODUCT(J4902:N4902,B4903:F4903)+O4902*(1+0.00023125256064071564))</f>
        <v/>
      </c>
      <c r="J4903">
        <f>IF(G4903=1,0.2*R4903/B4903,J4902)</f>
        <v/>
      </c>
      <c r="K4903">
        <f>IF(G4903=1,0.2*R4903/C4903,K4902)</f>
        <v/>
      </c>
      <c r="L4903">
        <f>IF(G4903=1,0.2*R4903/D4903,L4902)</f>
        <v/>
      </c>
      <c r="M4903">
        <f>IF(G4903=1,0.2*R4903/E4903,M4902)</f>
        <v/>
      </c>
      <c r="N4903">
        <f>IF(G4903=1,0.2*R4903/F4903,N4902)</f>
        <v/>
      </c>
      <c r="O4903">
        <f>IF(G4903=1,R4903*(1-1.0),IF(H4902=0,1,O4902*(1+0.00023125256064071564)))</f>
        <v/>
      </c>
      <c r="P4903">
        <f>IF(G4903=1,IF(H4902=0,1,ABS(0.2-J4902*B4903/I4903)+ABS(0.2-K4902*C4903/I4903)+ABS(0.2-L4902*D4903/I4903)+ABS(0.2-M4902*E4903/I4903)+ABS(0.2-N4902*F4903/I4903)),0)</f>
        <v/>
      </c>
      <c r="Q4903">
        <f>P4903*0.0015</f>
        <v/>
      </c>
      <c r="R4903">
        <f>I4903*(1-Q4903)</f>
        <v/>
      </c>
      <c r="S4903">
        <f>R4903/R4902-1</f>
        <v/>
      </c>
      <c r="T4903">
        <f>MAX(T4902,R4903)</f>
        <v/>
      </c>
      <c r="U4903">
        <f>R4903/T4903-1</f>
        <v/>
      </c>
      <c r="V4903" t="n">
        <v>29.55398795263921</v>
      </c>
      <c r="W4903" s="5">
        <f>R4903-V4903</f>
        <v/>
      </c>
    </row>
    <row r="4904">
      <c r="A4904" s="3" t="n">
        <v>45663</v>
      </c>
      <c r="B4904">
        <f>Prices!B4904</f>
        <v/>
      </c>
      <c r="C4904">
        <f>Prices!C4904</f>
        <v/>
      </c>
      <c r="D4904">
        <f>Prices!D4904</f>
        <v/>
      </c>
      <c r="E4904">
        <f>Prices!E4904</f>
        <v/>
      </c>
      <c r="F4904">
        <f>Prices!F4904</f>
        <v/>
      </c>
      <c r="G4904">
        <f>IF(AND(4902&gt;=16,TEXT(A4904,"yyyy-mm")&lt;&gt;TEXT(A4905,"yyyy-mm")),1,0)</f>
        <v/>
      </c>
      <c r="H4904">
        <f>IF(OR(H4903=1,G4904=1),1,0)</f>
        <v/>
      </c>
      <c r="I4904">
        <f>IF(H4903=0,1,SUMPRODUCT(J4903:N4903,B4904:F4904)+O4903*(1+0.00023125256064071564))</f>
        <v/>
      </c>
      <c r="J4904">
        <f>IF(G4904=1,0.2*R4904/B4904,J4903)</f>
        <v/>
      </c>
      <c r="K4904">
        <f>IF(G4904=1,0.2*R4904/C4904,K4903)</f>
        <v/>
      </c>
      <c r="L4904">
        <f>IF(G4904=1,0.2*R4904/D4904,L4903)</f>
        <v/>
      </c>
      <c r="M4904">
        <f>IF(G4904=1,0.2*R4904/E4904,M4903)</f>
        <v/>
      </c>
      <c r="N4904">
        <f>IF(G4904=1,0.2*R4904/F4904,N4903)</f>
        <v/>
      </c>
      <c r="O4904">
        <f>IF(G4904=1,R4904*(1-1.0),IF(H4903=0,1,O4903*(1+0.00023125256064071564)))</f>
        <v/>
      </c>
      <c r="P4904">
        <f>IF(G4904=1,IF(H4903=0,1,ABS(0.2-J4903*B4904/I4904)+ABS(0.2-K4903*C4904/I4904)+ABS(0.2-L4903*D4904/I4904)+ABS(0.2-M4903*E4904/I4904)+ABS(0.2-N4903*F4904/I4904)),0)</f>
        <v/>
      </c>
      <c r="Q4904">
        <f>P4904*0.0015</f>
        <v/>
      </c>
      <c r="R4904">
        <f>I4904*(1-Q4904)</f>
        <v/>
      </c>
      <c r="S4904">
        <f>R4904/R4903-1</f>
        <v/>
      </c>
      <c r="T4904">
        <f>MAX(T4903,R4904)</f>
        <v/>
      </c>
      <c r="U4904">
        <f>R4904/T4904-1</f>
        <v/>
      </c>
      <c r="V4904" t="n">
        <v>28.73763389769357</v>
      </c>
      <c r="W4904" s="5">
        <f>R4904-V4904</f>
        <v/>
      </c>
    </row>
    <row r="4905">
      <c r="A4905" s="3" t="n">
        <v>45664</v>
      </c>
      <c r="B4905">
        <f>Prices!B4905</f>
        <v/>
      </c>
      <c r="C4905">
        <f>Prices!C4905</f>
        <v/>
      </c>
      <c r="D4905">
        <f>Prices!D4905</f>
        <v/>
      </c>
      <c r="E4905">
        <f>Prices!E4905</f>
        <v/>
      </c>
      <c r="F4905">
        <f>Prices!F4905</f>
        <v/>
      </c>
      <c r="G4905">
        <f>IF(AND(4903&gt;=16,TEXT(A4905,"yyyy-mm")&lt;&gt;TEXT(A4906,"yyyy-mm")),1,0)</f>
        <v/>
      </c>
      <c r="H4905">
        <f>IF(OR(H4904=1,G4905=1),1,0)</f>
        <v/>
      </c>
      <c r="I4905">
        <f>IF(H4904=0,1,SUMPRODUCT(J4904:N4904,B4905:F4905)+O4904*(1+0.00023125256064071564))</f>
        <v/>
      </c>
      <c r="J4905">
        <f>IF(G4905=1,0.2*R4905/B4905,J4904)</f>
        <v/>
      </c>
      <c r="K4905">
        <f>IF(G4905=1,0.2*R4905/C4905,K4904)</f>
        <v/>
      </c>
      <c r="L4905">
        <f>IF(G4905=1,0.2*R4905/D4905,L4904)</f>
        <v/>
      </c>
      <c r="M4905">
        <f>IF(G4905=1,0.2*R4905/E4905,M4904)</f>
        <v/>
      </c>
      <c r="N4905">
        <f>IF(G4905=1,0.2*R4905/F4905,N4904)</f>
        <v/>
      </c>
      <c r="O4905">
        <f>IF(G4905=1,R4905*(1-1.0),IF(H4904=0,1,O4904*(1+0.00023125256064071564)))</f>
        <v/>
      </c>
      <c r="P4905">
        <f>IF(G4905=1,IF(H4904=0,1,ABS(0.2-J4904*B4905/I4905)+ABS(0.2-K4904*C4905/I4905)+ABS(0.2-L4904*D4905/I4905)+ABS(0.2-M4904*E4905/I4905)+ABS(0.2-N4904*F4905/I4905)),0)</f>
        <v/>
      </c>
      <c r="Q4905">
        <f>P4905*0.0015</f>
        <v/>
      </c>
      <c r="R4905">
        <f>I4905*(1-Q4905)</f>
        <v/>
      </c>
      <c r="S4905">
        <f>R4905/R4904-1</f>
        <v/>
      </c>
      <c r="T4905">
        <f>MAX(T4904,R4905)</f>
        <v/>
      </c>
      <c r="U4905">
        <f>R4905/T4905-1</f>
        <v/>
      </c>
      <c r="V4905" t="n">
        <v>28.92871597454126</v>
      </c>
      <c r="W4905" s="5">
        <f>R4905-V4905</f>
        <v/>
      </c>
    </row>
    <row r="4906">
      <c r="A4906" s="3" t="n">
        <v>45665</v>
      </c>
      <c r="B4906">
        <f>Prices!B4906</f>
        <v/>
      </c>
      <c r="C4906">
        <f>Prices!C4906</f>
        <v/>
      </c>
      <c r="D4906">
        <f>Prices!D4906</f>
        <v/>
      </c>
      <c r="E4906">
        <f>Prices!E4906</f>
        <v/>
      </c>
      <c r="F4906">
        <f>Prices!F4906</f>
        <v/>
      </c>
      <c r="G4906">
        <f>IF(AND(4904&gt;=16,TEXT(A4906,"yyyy-mm")&lt;&gt;TEXT(A4907,"yyyy-mm")),1,0)</f>
        <v/>
      </c>
      <c r="H4906">
        <f>IF(OR(H4905=1,G4906=1),1,0)</f>
        <v/>
      </c>
      <c r="I4906">
        <f>IF(H4905=0,1,SUMPRODUCT(J4905:N4905,B4906:F4906)+O4905*(1+0.00023125256064071564))</f>
        <v/>
      </c>
      <c r="J4906">
        <f>IF(G4906=1,0.2*R4906/B4906,J4905)</f>
        <v/>
      </c>
      <c r="K4906">
        <f>IF(G4906=1,0.2*R4906/C4906,K4905)</f>
        <v/>
      </c>
      <c r="L4906">
        <f>IF(G4906=1,0.2*R4906/D4906,L4905)</f>
        <v/>
      </c>
      <c r="M4906">
        <f>IF(G4906=1,0.2*R4906/E4906,M4905)</f>
        <v/>
      </c>
      <c r="N4906">
        <f>IF(G4906=1,0.2*R4906/F4906,N4905)</f>
        <v/>
      </c>
      <c r="O4906">
        <f>IF(G4906=1,R4906*(1-1.0),IF(H4905=0,1,O4905*(1+0.00023125256064071564)))</f>
        <v/>
      </c>
      <c r="P4906">
        <f>IF(G4906=1,IF(H4905=0,1,ABS(0.2-J4905*B4906/I4906)+ABS(0.2-K4905*C4906/I4906)+ABS(0.2-L4905*D4906/I4906)+ABS(0.2-M4905*E4906/I4906)+ABS(0.2-N4905*F4906/I4906)),0)</f>
        <v/>
      </c>
      <c r="Q4906">
        <f>P4906*0.0015</f>
        <v/>
      </c>
      <c r="R4906">
        <f>I4906*(1-Q4906)</f>
        <v/>
      </c>
      <c r="S4906">
        <f>R4906/R4905-1</f>
        <v/>
      </c>
      <c r="T4906">
        <f>MAX(T4905,R4906)</f>
        <v/>
      </c>
      <c r="U4906">
        <f>R4906/T4906-1</f>
        <v/>
      </c>
      <c r="V4906" t="n">
        <v>28.64331687661417</v>
      </c>
      <c r="W4906" s="5">
        <f>R4906-V4906</f>
        <v/>
      </c>
    </row>
    <row r="4907">
      <c r="A4907" s="3" t="n">
        <v>45666</v>
      </c>
      <c r="B4907">
        <f>Prices!B4907</f>
        <v/>
      </c>
      <c r="C4907">
        <f>Prices!C4907</f>
        <v/>
      </c>
      <c r="D4907">
        <f>Prices!D4907</f>
        <v/>
      </c>
      <c r="E4907">
        <f>Prices!E4907</f>
        <v/>
      </c>
      <c r="F4907">
        <f>Prices!F4907</f>
        <v/>
      </c>
      <c r="G4907">
        <f>IF(AND(4905&gt;=16,TEXT(A4907,"yyyy-mm")&lt;&gt;TEXT(A4908,"yyyy-mm")),1,0)</f>
        <v/>
      </c>
      <c r="H4907">
        <f>IF(OR(H4906=1,G4907=1),1,0)</f>
        <v/>
      </c>
      <c r="I4907">
        <f>IF(H4906=0,1,SUMPRODUCT(J4906:N4906,B4907:F4907)+O4906*(1+0.00023125256064071564))</f>
        <v/>
      </c>
      <c r="J4907">
        <f>IF(G4907=1,0.2*R4907/B4907,J4906)</f>
        <v/>
      </c>
      <c r="K4907">
        <f>IF(G4907=1,0.2*R4907/C4907,K4906)</f>
        <v/>
      </c>
      <c r="L4907">
        <f>IF(G4907=1,0.2*R4907/D4907,L4906)</f>
        <v/>
      </c>
      <c r="M4907">
        <f>IF(G4907=1,0.2*R4907/E4907,M4906)</f>
        <v/>
      </c>
      <c r="N4907">
        <f>IF(G4907=1,0.2*R4907/F4907,N4906)</f>
        <v/>
      </c>
      <c r="O4907">
        <f>IF(G4907=1,R4907*(1-1.0),IF(H4906=0,1,O4906*(1+0.00023125256064071564)))</f>
        <v/>
      </c>
      <c r="P4907">
        <f>IF(G4907=1,IF(H4906=0,1,ABS(0.2-J4906*B4907/I4907)+ABS(0.2-K4906*C4907/I4907)+ABS(0.2-L4906*D4907/I4907)+ABS(0.2-M4906*E4907/I4907)+ABS(0.2-N4906*F4907/I4907)),0)</f>
        <v/>
      </c>
      <c r="Q4907">
        <f>P4907*0.0015</f>
        <v/>
      </c>
      <c r="R4907">
        <f>I4907*(1-Q4907)</f>
        <v/>
      </c>
      <c r="S4907">
        <f>R4907/R4906-1</f>
        <v/>
      </c>
      <c r="T4907">
        <f>MAX(T4906,R4907)</f>
        <v/>
      </c>
      <c r="U4907">
        <f>R4907/T4907-1</f>
        <v/>
      </c>
      <c r="V4907" t="n">
        <v>28.30666357840579</v>
      </c>
      <c r="W4907" s="5">
        <f>R4907-V4907</f>
        <v/>
      </c>
    </row>
    <row r="4908">
      <c r="A4908" s="3" t="n">
        <v>45667</v>
      </c>
      <c r="B4908">
        <f>Prices!B4908</f>
        <v/>
      </c>
      <c r="C4908">
        <f>Prices!C4908</f>
        <v/>
      </c>
      <c r="D4908">
        <f>Prices!D4908</f>
        <v/>
      </c>
      <c r="E4908">
        <f>Prices!E4908</f>
        <v/>
      </c>
      <c r="F4908">
        <f>Prices!F4908</f>
        <v/>
      </c>
      <c r="G4908">
        <f>IF(AND(4906&gt;=16,TEXT(A4908,"yyyy-mm")&lt;&gt;TEXT(A4909,"yyyy-mm")),1,0)</f>
        <v/>
      </c>
      <c r="H4908">
        <f>IF(OR(H4907=1,G4908=1),1,0)</f>
        <v/>
      </c>
      <c r="I4908">
        <f>IF(H4907=0,1,SUMPRODUCT(J4907:N4907,B4908:F4908)+O4907*(1+0.00023125256064071564))</f>
        <v/>
      </c>
      <c r="J4908">
        <f>IF(G4908=1,0.2*R4908/B4908,J4907)</f>
        <v/>
      </c>
      <c r="K4908">
        <f>IF(G4908=1,0.2*R4908/C4908,K4907)</f>
        <v/>
      </c>
      <c r="L4908">
        <f>IF(G4908=1,0.2*R4908/D4908,L4907)</f>
        <v/>
      </c>
      <c r="M4908">
        <f>IF(G4908=1,0.2*R4908/E4908,M4907)</f>
        <v/>
      </c>
      <c r="N4908">
        <f>IF(G4908=1,0.2*R4908/F4908,N4907)</f>
        <v/>
      </c>
      <c r="O4908">
        <f>IF(G4908=1,R4908*(1-1.0),IF(H4907=0,1,O4907*(1+0.00023125256064071564)))</f>
        <v/>
      </c>
      <c r="P4908">
        <f>IF(G4908=1,IF(H4907=0,1,ABS(0.2-J4907*B4908/I4908)+ABS(0.2-K4907*C4908/I4908)+ABS(0.2-L4907*D4908/I4908)+ABS(0.2-M4907*E4908/I4908)+ABS(0.2-N4907*F4908/I4908)),0)</f>
        <v/>
      </c>
      <c r="Q4908">
        <f>P4908*0.0015</f>
        <v/>
      </c>
      <c r="R4908">
        <f>I4908*(1-Q4908)</f>
        <v/>
      </c>
      <c r="S4908">
        <f>R4908/R4907-1</f>
        <v/>
      </c>
      <c r="T4908">
        <f>MAX(T4907,R4908)</f>
        <v/>
      </c>
      <c r="U4908">
        <f>R4908/T4908-1</f>
        <v/>
      </c>
      <c r="V4908" t="n">
        <v>27.8285617279879</v>
      </c>
      <c r="W4908" s="5">
        <f>R4908-V4908</f>
        <v/>
      </c>
    </row>
    <row r="4909">
      <c r="A4909" s="3" t="n">
        <v>45670</v>
      </c>
      <c r="B4909">
        <f>Prices!B4909</f>
        <v/>
      </c>
      <c r="C4909">
        <f>Prices!C4909</f>
        <v/>
      </c>
      <c r="D4909">
        <f>Prices!D4909</f>
        <v/>
      </c>
      <c r="E4909">
        <f>Prices!E4909</f>
        <v/>
      </c>
      <c r="F4909">
        <f>Prices!F4909</f>
        <v/>
      </c>
      <c r="G4909">
        <f>IF(AND(4907&gt;=16,TEXT(A4909,"yyyy-mm")&lt;&gt;TEXT(A4910,"yyyy-mm")),1,0)</f>
        <v/>
      </c>
      <c r="H4909">
        <f>IF(OR(H4908=1,G4909=1),1,0)</f>
        <v/>
      </c>
      <c r="I4909">
        <f>IF(H4908=0,1,SUMPRODUCT(J4908:N4908,B4909:F4909)+O4908*(1+0.00023125256064071564))</f>
        <v/>
      </c>
      <c r="J4909">
        <f>IF(G4909=1,0.2*R4909/B4909,J4908)</f>
        <v/>
      </c>
      <c r="K4909">
        <f>IF(G4909=1,0.2*R4909/C4909,K4908)</f>
        <v/>
      </c>
      <c r="L4909">
        <f>IF(G4909=1,0.2*R4909/D4909,L4908)</f>
        <v/>
      </c>
      <c r="M4909">
        <f>IF(G4909=1,0.2*R4909/E4909,M4908)</f>
        <v/>
      </c>
      <c r="N4909">
        <f>IF(G4909=1,0.2*R4909/F4909,N4908)</f>
        <v/>
      </c>
      <c r="O4909">
        <f>IF(G4909=1,R4909*(1-1.0),IF(H4908=0,1,O4908*(1+0.00023125256064071564)))</f>
        <v/>
      </c>
      <c r="P4909">
        <f>IF(G4909=1,IF(H4908=0,1,ABS(0.2-J4908*B4909/I4909)+ABS(0.2-K4908*C4909/I4909)+ABS(0.2-L4908*D4909/I4909)+ABS(0.2-M4908*E4909/I4909)+ABS(0.2-N4908*F4909/I4909)),0)</f>
        <v/>
      </c>
      <c r="Q4909">
        <f>P4909*0.0015</f>
        <v/>
      </c>
      <c r="R4909">
        <f>I4909*(1-Q4909)</f>
        <v/>
      </c>
      <c r="S4909">
        <f>R4909/R4908-1</f>
        <v/>
      </c>
      <c r="T4909">
        <f>MAX(T4908,R4909)</f>
        <v/>
      </c>
      <c r="U4909">
        <f>R4909/T4909-1</f>
        <v/>
      </c>
      <c r="V4909" t="n">
        <v>26.80621444401173</v>
      </c>
      <c r="W4909" s="5">
        <f>R4909-V4909</f>
        <v/>
      </c>
    </row>
    <row r="4910">
      <c r="A4910" s="3" t="n">
        <v>45671</v>
      </c>
      <c r="B4910">
        <f>Prices!B4910</f>
        <v/>
      </c>
      <c r="C4910">
        <f>Prices!C4910</f>
        <v/>
      </c>
      <c r="D4910">
        <f>Prices!D4910</f>
        <v/>
      </c>
      <c r="E4910">
        <f>Prices!E4910</f>
        <v/>
      </c>
      <c r="F4910">
        <f>Prices!F4910</f>
        <v/>
      </c>
      <c r="G4910">
        <f>IF(AND(4908&gt;=16,TEXT(A4910,"yyyy-mm")&lt;&gt;TEXT(A4911,"yyyy-mm")),1,0)</f>
        <v/>
      </c>
      <c r="H4910">
        <f>IF(OR(H4909=1,G4910=1),1,0)</f>
        <v/>
      </c>
      <c r="I4910">
        <f>IF(H4909=0,1,SUMPRODUCT(J4909:N4909,B4910:F4910)+O4909*(1+0.00023125256064071564))</f>
        <v/>
      </c>
      <c r="J4910">
        <f>IF(G4910=1,0.2*R4910/B4910,J4909)</f>
        <v/>
      </c>
      <c r="K4910">
        <f>IF(G4910=1,0.2*R4910/C4910,K4909)</f>
        <v/>
      </c>
      <c r="L4910">
        <f>IF(G4910=1,0.2*R4910/D4910,L4909)</f>
        <v/>
      </c>
      <c r="M4910">
        <f>IF(G4910=1,0.2*R4910/E4910,M4909)</f>
        <v/>
      </c>
      <c r="N4910">
        <f>IF(G4910=1,0.2*R4910/F4910,N4909)</f>
        <v/>
      </c>
      <c r="O4910">
        <f>IF(G4910=1,R4910*(1-1.0),IF(H4909=0,1,O4909*(1+0.00023125256064071564)))</f>
        <v/>
      </c>
      <c r="P4910">
        <f>IF(G4910=1,IF(H4909=0,1,ABS(0.2-J4909*B4910/I4910)+ABS(0.2-K4909*C4910/I4910)+ABS(0.2-L4909*D4910/I4910)+ABS(0.2-M4909*E4910/I4910)+ABS(0.2-N4909*F4910/I4910)),0)</f>
        <v/>
      </c>
      <c r="Q4910">
        <f>P4910*0.0015</f>
        <v/>
      </c>
      <c r="R4910">
        <f>I4910*(1-Q4910)</f>
        <v/>
      </c>
      <c r="S4910">
        <f>R4910/R4909-1</f>
        <v/>
      </c>
      <c r="T4910">
        <f>MAX(T4909,R4910)</f>
        <v/>
      </c>
      <c r="U4910">
        <f>R4910/T4910-1</f>
        <v/>
      </c>
      <c r="V4910" t="n">
        <v>27.3214600179513</v>
      </c>
      <c r="W4910" s="5">
        <f>R4910-V4910</f>
        <v/>
      </c>
    </row>
    <row r="4911">
      <c r="A4911" s="3" t="n">
        <v>45672</v>
      </c>
      <c r="B4911">
        <f>Prices!B4911</f>
        <v/>
      </c>
      <c r="C4911">
        <f>Prices!C4911</f>
        <v/>
      </c>
      <c r="D4911">
        <f>Prices!D4911</f>
        <v/>
      </c>
      <c r="E4911">
        <f>Prices!E4911</f>
        <v/>
      </c>
      <c r="F4911">
        <f>Prices!F4911</f>
        <v/>
      </c>
      <c r="G4911">
        <f>IF(AND(4909&gt;=16,TEXT(A4911,"yyyy-mm")&lt;&gt;TEXT(A4912,"yyyy-mm")),1,0)</f>
        <v/>
      </c>
      <c r="H4911">
        <f>IF(OR(H4910=1,G4911=1),1,0)</f>
        <v/>
      </c>
      <c r="I4911">
        <f>IF(H4910=0,1,SUMPRODUCT(J4910:N4910,B4911:F4911)+O4910*(1+0.00023125256064071564))</f>
        <v/>
      </c>
      <c r="J4911">
        <f>IF(G4911=1,0.2*R4911/B4911,J4910)</f>
        <v/>
      </c>
      <c r="K4911">
        <f>IF(G4911=1,0.2*R4911/C4911,K4910)</f>
        <v/>
      </c>
      <c r="L4911">
        <f>IF(G4911=1,0.2*R4911/D4911,L4910)</f>
        <v/>
      </c>
      <c r="M4911">
        <f>IF(G4911=1,0.2*R4911/E4911,M4910)</f>
        <v/>
      </c>
      <c r="N4911">
        <f>IF(G4911=1,0.2*R4911/F4911,N4910)</f>
        <v/>
      </c>
      <c r="O4911">
        <f>IF(G4911=1,R4911*(1-1.0),IF(H4910=0,1,O4910*(1+0.00023125256064071564)))</f>
        <v/>
      </c>
      <c r="P4911">
        <f>IF(G4911=1,IF(H4910=0,1,ABS(0.2-J4910*B4911/I4911)+ABS(0.2-K4910*C4911/I4911)+ABS(0.2-L4910*D4911/I4911)+ABS(0.2-M4910*E4911/I4911)+ABS(0.2-N4910*F4911/I4911)),0)</f>
        <v/>
      </c>
      <c r="Q4911">
        <f>P4911*0.0015</f>
        <v/>
      </c>
      <c r="R4911">
        <f>I4911*(1-Q4911)</f>
        <v/>
      </c>
      <c r="S4911">
        <f>R4911/R4910-1</f>
        <v/>
      </c>
      <c r="T4911">
        <f>MAX(T4910,R4911)</f>
        <v/>
      </c>
      <c r="U4911">
        <f>R4911/T4911-1</f>
        <v/>
      </c>
      <c r="V4911" t="n">
        <v>27.4383736179369</v>
      </c>
      <c r="W4911" s="5">
        <f>R4911-V4911</f>
        <v/>
      </c>
    </row>
    <row r="4912">
      <c r="A4912" s="3" t="n">
        <v>45673</v>
      </c>
      <c r="B4912">
        <f>Prices!B4912</f>
        <v/>
      </c>
      <c r="C4912">
        <f>Prices!C4912</f>
        <v/>
      </c>
      <c r="D4912">
        <f>Prices!D4912</f>
        <v/>
      </c>
      <c r="E4912">
        <f>Prices!E4912</f>
        <v/>
      </c>
      <c r="F4912">
        <f>Prices!F4912</f>
        <v/>
      </c>
      <c r="G4912">
        <f>IF(AND(4910&gt;=16,TEXT(A4912,"yyyy-mm")&lt;&gt;TEXT(A4913,"yyyy-mm")),1,0)</f>
        <v/>
      </c>
      <c r="H4912">
        <f>IF(OR(H4911=1,G4912=1),1,0)</f>
        <v/>
      </c>
      <c r="I4912">
        <f>IF(H4911=0,1,SUMPRODUCT(J4911:N4911,B4912:F4912)+O4911*(1+0.00023125256064071564))</f>
        <v/>
      </c>
      <c r="J4912">
        <f>IF(G4912=1,0.2*R4912/B4912,J4911)</f>
        <v/>
      </c>
      <c r="K4912">
        <f>IF(G4912=1,0.2*R4912/C4912,K4911)</f>
        <v/>
      </c>
      <c r="L4912">
        <f>IF(G4912=1,0.2*R4912/D4912,L4911)</f>
        <v/>
      </c>
      <c r="M4912">
        <f>IF(G4912=1,0.2*R4912/E4912,M4911)</f>
        <v/>
      </c>
      <c r="N4912">
        <f>IF(G4912=1,0.2*R4912/F4912,N4911)</f>
        <v/>
      </c>
      <c r="O4912">
        <f>IF(G4912=1,R4912*(1-1.0),IF(H4911=0,1,O4911*(1+0.00023125256064071564)))</f>
        <v/>
      </c>
      <c r="P4912">
        <f>IF(G4912=1,IF(H4911=0,1,ABS(0.2-J4911*B4912/I4912)+ABS(0.2-K4911*C4912/I4912)+ABS(0.2-L4911*D4912/I4912)+ABS(0.2-M4911*E4912/I4912)+ABS(0.2-N4911*F4912/I4912)),0)</f>
        <v/>
      </c>
      <c r="Q4912">
        <f>P4912*0.0015</f>
        <v/>
      </c>
      <c r="R4912">
        <f>I4912*(1-Q4912)</f>
        <v/>
      </c>
      <c r="S4912">
        <f>R4912/R4911-1</f>
        <v/>
      </c>
      <c r="T4912">
        <f>MAX(T4911,R4912)</f>
        <v/>
      </c>
      <c r="U4912">
        <f>R4912/T4912-1</f>
        <v/>
      </c>
      <c r="V4912" t="n">
        <v>27.69136356996722</v>
      </c>
      <c r="W4912" s="5">
        <f>R4912-V4912</f>
        <v/>
      </c>
    </row>
    <row r="4913">
      <c r="A4913" s="3" t="n">
        <v>45674</v>
      </c>
      <c r="B4913">
        <f>Prices!B4913</f>
        <v/>
      </c>
      <c r="C4913">
        <f>Prices!C4913</f>
        <v/>
      </c>
      <c r="D4913">
        <f>Prices!D4913</f>
        <v/>
      </c>
      <c r="E4913">
        <f>Prices!E4913</f>
        <v/>
      </c>
      <c r="F4913">
        <f>Prices!F4913</f>
        <v/>
      </c>
      <c r="G4913">
        <f>IF(AND(4911&gt;=16,TEXT(A4913,"yyyy-mm")&lt;&gt;TEXT(A4914,"yyyy-mm")),1,0)</f>
        <v/>
      </c>
      <c r="H4913">
        <f>IF(OR(H4912=1,G4913=1),1,0)</f>
        <v/>
      </c>
      <c r="I4913">
        <f>IF(H4912=0,1,SUMPRODUCT(J4912:N4912,B4913:F4913)+O4912*(1+0.00023125256064071564))</f>
        <v/>
      </c>
      <c r="J4913">
        <f>IF(G4913=1,0.2*R4913/B4913,J4912)</f>
        <v/>
      </c>
      <c r="K4913">
        <f>IF(G4913=1,0.2*R4913/C4913,K4912)</f>
        <v/>
      </c>
      <c r="L4913">
        <f>IF(G4913=1,0.2*R4913/D4913,L4912)</f>
        <v/>
      </c>
      <c r="M4913">
        <f>IF(G4913=1,0.2*R4913/E4913,M4912)</f>
        <v/>
      </c>
      <c r="N4913">
        <f>IF(G4913=1,0.2*R4913/F4913,N4912)</f>
        <v/>
      </c>
      <c r="O4913">
        <f>IF(G4913=1,R4913*(1-1.0),IF(H4912=0,1,O4912*(1+0.00023125256064071564)))</f>
        <v/>
      </c>
      <c r="P4913">
        <f>IF(G4913=1,IF(H4912=0,1,ABS(0.2-J4912*B4913/I4913)+ABS(0.2-K4912*C4913/I4913)+ABS(0.2-L4912*D4913/I4913)+ABS(0.2-M4912*E4913/I4913)+ABS(0.2-N4912*F4913/I4913)),0)</f>
        <v/>
      </c>
      <c r="Q4913">
        <f>P4913*0.0015</f>
        <v/>
      </c>
      <c r="R4913">
        <f>I4913*(1-Q4913)</f>
        <v/>
      </c>
      <c r="S4913">
        <f>R4913/R4912-1</f>
        <v/>
      </c>
      <c r="T4913">
        <f>MAX(T4912,R4913)</f>
        <v/>
      </c>
      <c r="U4913">
        <f>R4913/T4913-1</f>
        <v/>
      </c>
      <c r="V4913" t="n">
        <v>27.76924795062412</v>
      </c>
      <c r="W4913" s="5">
        <f>R4913-V4913</f>
        <v/>
      </c>
    </row>
    <row r="4914">
      <c r="A4914" s="3" t="n">
        <v>45677</v>
      </c>
      <c r="B4914">
        <f>Prices!B4914</f>
        <v/>
      </c>
      <c r="C4914">
        <f>Prices!C4914</f>
        <v/>
      </c>
      <c r="D4914">
        <f>Prices!D4914</f>
        <v/>
      </c>
      <c r="E4914">
        <f>Prices!E4914</f>
        <v/>
      </c>
      <c r="F4914">
        <f>Prices!F4914</f>
        <v/>
      </c>
      <c r="G4914">
        <f>IF(AND(4912&gt;=16,TEXT(A4914,"yyyy-mm")&lt;&gt;TEXT(A4915,"yyyy-mm")),1,0)</f>
        <v/>
      </c>
      <c r="H4914">
        <f>IF(OR(H4913=1,G4914=1),1,0)</f>
        <v/>
      </c>
      <c r="I4914">
        <f>IF(H4913=0,1,SUMPRODUCT(J4913:N4913,B4914:F4914)+O4913*(1+0.00023125256064071564))</f>
        <v/>
      </c>
      <c r="J4914">
        <f>IF(G4914=1,0.2*R4914/B4914,J4913)</f>
        <v/>
      </c>
      <c r="K4914">
        <f>IF(G4914=1,0.2*R4914/C4914,K4913)</f>
        <v/>
      </c>
      <c r="L4914">
        <f>IF(G4914=1,0.2*R4914/D4914,L4913)</f>
        <v/>
      </c>
      <c r="M4914">
        <f>IF(G4914=1,0.2*R4914/E4914,M4913)</f>
        <v/>
      </c>
      <c r="N4914">
        <f>IF(G4914=1,0.2*R4914/F4914,N4913)</f>
        <v/>
      </c>
      <c r="O4914">
        <f>IF(G4914=1,R4914*(1-1.0),IF(H4913=0,1,O4913*(1+0.00023125256064071564)))</f>
        <v/>
      </c>
      <c r="P4914">
        <f>IF(G4914=1,IF(H4913=0,1,ABS(0.2-J4913*B4914/I4914)+ABS(0.2-K4913*C4914/I4914)+ABS(0.2-L4913*D4914/I4914)+ABS(0.2-M4913*E4914/I4914)+ABS(0.2-N4913*F4914/I4914)),0)</f>
        <v/>
      </c>
      <c r="Q4914">
        <f>P4914*0.0015</f>
        <v/>
      </c>
      <c r="R4914">
        <f>I4914*(1-Q4914)</f>
        <v/>
      </c>
      <c r="S4914">
        <f>R4914/R4913-1</f>
        <v/>
      </c>
      <c r="T4914">
        <f>MAX(T4913,R4914)</f>
        <v/>
      </c>
      <c r="U4914">
        <f>R4914/T4914-1</f>
        <v/>
      </c>
      <c r="V4914" t="n">
        <v>27.99270939665391</v>
      </c>
      <c r="W4914" s="5">
        <f>R4914-V4914</f>
        <v/>
      </c>
    </row>
    <row r="4915">
      <c r="A4915" s="3" t="n">
        <v>45678</v>
      </c>
      <c r="B4915">
        <f>Prices!B4915</f>
        <v/>
      </c>
      <c r="C4915">
        <f>Prices!C4915</f>
        <v/>
      </c>
      <c r="D4915">
        <f>Prices!D4915</f>
        <v/>
      </c>
      <c r="E4915">
        <f>Prices!E4915</f>
        <v/>
      </c>
      <c r="F4915">
        <f>Prices!F4915</f>
        <v/>
      </c>
      <c r="G4915">
        <f>IF(AND(4913&gt;=16,TEXT(A4915,"yyyy-mm")&lt;&gt;TEXT(A4916,"yyyy-mm")),1,0)</f>
        <v/>
      </c>
      <c r="H4915">
        <f>IF(OR(H4914=1,G4915=1),1,0)</f>
        <v/>
      </c>
      <c r="I4915">
        <f>IF(H4914=0,1,SUMPRODUCT(J4914:N4914,B4915:F4915)+O4914*(1+0.00023125256064071564))</f>
        <v/>
      </c>
      <c r="J4915">
        <f>IF(G4915=1,0.2*R4915/B4915,J4914)</f>
        <v/>
      </c>
      <c r="K4915">
        <f>IF(G4915=1,0.2*R4915/C4915,K4914)</f>
        <v/>
      </c>
      <c r="L4915">
        <f>IF(G4915=1,0.2*R4915/D4915,L4914)</f>
        <v/>
      </c>
      <c r="M4915">
        <f>IF(G4915=1,0.2*R4915/E4915,M4914)</f>
        <v/>
      </c>
      <c r="N4915">
        <f>IF(G4915=1,0.2*R4915/F4915,N4914)</f>
        <v/>
      </c>
      <c r="O4915">
        <f>IF(G4915=1,R4915*(1-1.0),IF(H4914=0,1,O4914*(1+0.00023125256064071564)))</f>
        <v/>
      </c>
      <c r="P4915">
        <f>IF(G4915=1,IF(H4914=0,1,ABS(0.2-J4914*B4915/I4915)+ABS(0.2-K4914*C4915/I4915)+ABS(0.2-L4914*D4915/I4915)+ABS(0.2-M4914*E4915/I4915)+ABS(0.2-N4914*F4915/I4915)),0)</f>
        <v/>
      </c>
      <c r="Q4915">
        <f>P4915*0.0015</f>
        <v/>
      </c>
      <c r="R4915">
        <f>I4915*(1-Q4915)</f>
        <v/>
      </c>
      <c r="S4915">
        <f>R4915/R4914-1</f>
        <v/>
      </c>
      <c r="T4915">
        <f>MAX(T4914,R4915)</f>
        <v/>
      </c>
      <c r="U4915">
        <f>R4915/T4915-1</f>
        <v/>
      </c>
      <c r="V4915" t="n">
        <v>27.33567765302712</v>
      </c>
      <c r="W4915" s="5">
        <f>R4915-V4915</f>
        <v/>
      </c>
    </row>
    <row r="4916">
      <c r="A4916" s="3" t="n">
        <v>45679</v>
      </c>
      <c r="B4916">
        <f>Prices!B4916</f>
        <v/>
      </c>
      <c r="C4916">
        <f>Prices!C4916</f>
        <v/>
      </c>
      <c r="D4916">
        <f>Prices!D4916</f>
        <v/>
      </c>
      <c r="E4916">
        <f>Prices!E4916</f>
        <v/>
      </c>
      <c r="F4916">
        <f>Prices!F4916</f>
        <v/>
      </c>
      <c r="G4916">
        <f>IF(AND(4914&gt;=16,TEXT(A4916,"yyyy-mm")&lt;&gt;TEXT(A4917,"yyyy-mm")),1,0)</f>
        <v/>
      </c>
      <c r="H4916">
        <f>IF(OR(H4915=1,G4916=1),1,0)</f>
        <v/>
      </c>
      <c r="I4916">
        <f>IF(H4915=0,1,SUMPRODUCT(J4915:N4915,B4916:F4916)+O4915*(1+0.00023125256064071564))</f>
        <v/>
      </c>
      <c r="J4916">
        <f>IF(G4916=1,0.2*R4916/B4916,J4915)</f>
        <v/>
      </c>
      <c r="K4916">
        <f>IF(G4916=1,0.2*R4916/C4916,K4915)</f>
        <v/>
      </c>
      <c r="L4916">
        <f>IF(G4916=1,0.2*R4916/D4916,L4915)</f>
        <v/>
      </c>
      <c r="M4916">
        <f>IF(G4916=1,0.2*R4916/E4916,M4915)</f>
        <v/>
      </c>
      <c r="N4916">
        <f>IF(G4916=1,0.2*R4916/F4916,N4915)</f>
        <v/>
      </c>
      <c r="O4916">
        <f>IF(G4916=1,R4916*(1-1.0),IF(H4915=0,1,O4915*(1+0.00023125256064071564)))</f>
        <v/>
      </c>
      <c r="P4916">
        <f>IF(G4916=1,IF(H4915=0,1,ABS(0.2-J4915*B4916/I4916)+ABS(0.2-K4915*C4916/I4916)+ABS(0.2-L4915*D4916/I4916)+ABS(0.2-M4915*E4916/I4916)+ABS(0.2-N4915*F4916/I4916)),0)</f>
        <v/>
      </c>
      <c r="Q4916">
        <f>P4916*0.0015</f>
        <v/>
      </c>
      <c r="R4916">
        <f>I4916*(1-Q4916)</f>
        <v/>
      </c>
      <c r="S4916">
        <f>R4916/R4915-1</f>
        <v/>
      </c>
      <c r="T4916">
        <f>MAX(T4915,R4916)</f>
        <v/>
      </c>
      <c r="U4916">
        <f>R4916/T4916-1</f>
        <v/>
      </c>
      <c r="V4916" t="n">
        <v>27.06278787370292</v>
      </c>
      <c r="W4916" s="5">
        <f>R4916-V4916</f>
        <v/>
      </c>
    </row>
    <row r="4917">
      <c r="A4917" s="3" t="n">
        <v>45680</v>
      </c>
      <c r="B4917">
        <f>Prices!B4917</f>
        <v/>
      </c>
      <c r="C4917">
        <f>Prices!C4917</f>
        <v/>
      </c>
      <c r="D4917">
        <f>Prices!D4917</f>
        <v/>
      </c>
      <c r="E4917">
        <f>Prices!E4917</f>
        <v/>
      </c>
      <c r="F4917">
        <f>Prices!F4917</f>
        <v/>
      </c>
      <c r="G4917">
        <f>IF(AND(4915&gt;=16,TEXT(A4917,"yyyy-mm")&lt;&gt;TEXT(A4918,"yyyy-mm")),1,0)</f>
        <v/>
      </c>
      <c r="H4917">
        <f>IF(OR(H4916=1,G4917=1),1,0)</f>
        <v/>
      </c>
      <c r="I4917">
        <f>IF(H4916=0,1,SUMPRODUCT(J4916:N4916,B4917:F4917)+O4916*(1+0.00023125256064071564))</f>
        <v/>
      </c>
      <c r="J4917">
        <f>IF(G4917=1,0.2*R4917/B4917,J4916)</f>
        <v/>
      </c>
      <c r="K4917">
        <f>IF(G4917=1,0.2*R4917/C4917,K4916)</f>
        <v/>
      </c>
      <c r="L4917">
        <f>IF(G4917=1,0.2*R4917/D4917,L4916)</f>
        <v/>
      </c>
      <c r="M4917">
        <f>IF(G4917=1,0.2*R4917/E4917,M4916)</f>
        <v/>
      </c>
      <c r="N4917">
        <f>IF(G4917=1,0.2*R4917/F4917,N4916)</f>
        <v/>
      </c>
      <c r="O4917">
        <f>IF(G4917=1,R4917*(1-1.0),IF(H4916=0,1,O4916*(1+0.00023125256064071564)))</f>
        <v/>
      </c>
      <c r="P4917">
        <f>IF(G4917=1,IF(H4916=0,1,ABS(0.2-J4916*B4917/I4917)+ABS(0.2-K4916*C4917/I4917)+ABS(0.2-L4916*D4917/I4917)+ABS(0.2-M4916*E4917/I4917)+ABS(0.2-N4916*F4917/I4917)),0)</f>
        <v/>
      </c>
      <c r="Q4917">
        <f>P4917*0.0015</f>
        <v/>
      </c>
      <c r="R4917">
        <f>I4917*(1-Q4917)</f>
        <v/>
      </c>
      <c r="S4917">
        <f>R4917/R4916-1</f>
        <v/>
      </c>
      <c r="T4917">
        <f>MAX(T4916,R4917)</f>
        <v/>
      </c>
      <c r="U4917">
        <f>R4917/T4917-1</f>
        <v/>
      </c>
      <c r="V4917" t="n">
        <v>27.40765117123548</v>
      </c>
      <c r="W4917" s="5">
        <f>R4917-V4917</f>
        <v/>
      </c>
    </row>
    <row r="4918">
      <c r="A4918" s="3" t="n">
        <v>45681</v>
      </c>
      <c r="B4918">
        <f>Prices!B4918</f>
        <v/>
      </c>
      <c r="C4918">
        <f>Prices!C4918</f>
        <v/>
      </c>
      <c r="D4918">
        <f>Prices!D4918</f>
        <v/>
      </c>
      <c r="E4918">
        <f>Prices!E4918</f>
        <v/>
      </c>
      <c r="F4918">
        <f>Prices!F4918</f>
        <v/>
      </c>
      <c r="G4918">
        <f>IF(AND(4916&gt;=16,TEXT(A4918,"yyyy-mm")&lt;&gt;TEXT(A4919,"yyyy-mm")),1,0)</f>
        <v/>
      </c>
      <c r="H4918">
        <f>IF(OR(H4917=1,G4918=1),1,0)</f>
        <v/>
      </c>
      <c r="I4918">
        <f>IF(H4917=0,1,SUMPRODUCT(J4917:N4917,B4918:F4918)+O4917*(1+0.00023125256064071564))</f>
        <v/>
      </c>
      <c r="J4918">
        <f>IF(G4918=1,0.2*R4918/B4918,J4917)</f>
        <v/>
      </c>
      <c r="K4918">
        <f>IF(G4918=1,0.2*R4918/C4918,K4917)</f>
        <v/>
      </c>
      <c r="L4918">
        <f>IF(G4918=1,0.2*R4918/D4918,L4917)</f>
        <v/>
      </c>
      <c r="M4918">
        <f>IF(G4918=1,0.2*R4918/E4918,M4917)</f>
        <v/>
      </c>
      <c r="N4918">
        <f>IF(G4918=1,0.2*R4918/F4918,N4917)</f>
        <v/>
      </c>
      <c r="O4918">
        <f>IF(G4918=1,R4918*(1-1.0),IF(H4917=0,1,O4917*(1+0.00023125256064071564)))</f>
        <v/>
      </c>
      <c r="P4918">
        <f>IF(G4918=1,IF(H4917=0,1,ABS(0.2-J4917*B4918/I4918)+ABS(0.2-K4917*C4918/I4918)+ABS(0.2-L4917*D4918/I4918)+ABS(0.2-M4917*E4918/I4918)+ABS(0.2-N4917*F4918/I4918)),0)</f>
        <v/>
      </c>
      <c r="Q4918">
        <f>P4918*0.0015</f>
        <v/>
      </c>
      <c r="R4918">
        <f>I4918*(1-Q4918)</f>
        <v/>
      </c>
      <c r="S4918">
        <f>R4918/R4917-1</f>
        <v/>
      </c>
      <c r="T4918">
        <f>MAX(T4917,R4918)</f>
        <v/>
      </c>
      <c r="U4918">
        <f>R4918/T4918-1</f>
        <v/>
      </c>
      <c r="V4918" t="n">
        <v>27.03054794282446</v>
      </c>
      <c r="W4918" s="5">
        <f>R4918-V4918</f>
        <v/>
      </c>
    </row>
    <row r="4919">
      <c r="A4919" s="3" t="n">
        <v>45684</v>
      </c>
      <c r="B4919">
        <f>Prices!B4919</f>
        <v/>
      </c>
      <c r="C4919">
        <f>Prices!C4919</f>
        <v/>
      </c>
      <c r="D4919">
        <f>Prices!D4919</f>
        <v/>
      </c>
      <c r="E4919">
        <f>Prices!E4919</f>
        <v/>
      </c>
      <c r="F4919">
        <f>Prices!F4919</f>
        <v/>
      </c>
      <c r="G4919">
        <f>IF(AND(4917&gt;=16,TEXT(A4919,"yyyy-mm")&lt;&gt;TEXT(A4920,"yyyy-mm")),1,0)</f>
        <v/>
      </c>
      <c r="H4919">
        <f>IF(OR(H4918=1,G4919=1),1,0)</f>
        <v/>
      </c>
      <c r="I4919">
        <f>IF(H4918=0,1,SUMPRODUCT(J4918:N4918,B4919:F4919)+O4918*(1+0.00023125256064071564))</f>
        <v/>
      </c>
      <c r="J4919">
        <f>IF(G4919=1,0.2*R4919/B4919,J4918)</f>
        <v/>
      </c>
      <c r="K4919">
        <f>IF(G4919=1,0.2*R4919/C4919,K4918)</f>
        <v/>
      </c>
      <c r="L4919">
        <f>IF(G4919=1,0.2*R4919/D4919,L4918)</f>
        <v/>
      </c>
      <c r="M4919">
        <f>IF(G4919=1,0.2*R4919/E4919,M4918)</f>
        <v/>
      </c>
      <c r="N4919">
        <f>IF(G4919=1,0.2*R4919/F4919,N4918)</f>
        <v/>
      </c>
      <c r="O4919">
        <f>IF(G4919=1,R4919*(1-1.0),IF(H4918=0,1,O4918*(1+0.00023125256064071564)))</f>
        <v/>
      </c>
      <c r="P4919">
        <f>IF(G4919=1,IF(H4918=0,1,ABS(0.2-J4918*B4919/I4919)+ABS(0.2-K4918*C4919/I4919)+ABS(0.2-L4918*D4919/I4919)+ABS(0.2-M4918*E4919/I4919)+ABS(0.2-N4918*F4919/I4919)),0)</f>
        <v/>
      </c>
      <c r="Q4919">
        <f>P4919*0.0015</f>
        <v/>
      </c>
      <c r="R4919">
        <f>I4919*(1-Q4919)</f>
        <v/>
      </c>
      <c r="S4919">
        <f>R4919/R4918-1</f>
        <v/>
      </c>
      <c r="T4919">
        <f>MAX(T4918,R4919)</f>
        <v/>
      </c>
      <c r="U4919">
        <f>R4919/T4919-1</f>
        <v/>
      </c>
      <c r="V4919" t="n">
        <v>26.26454640663628</v>
      </c>
      <c r="W4919" s="5">
        <f>R4919-V4919</f>
        <v/>
      </c>
    </row>
    <row r="4920">
      <c r="A4920" s="3" t="n">
        <v>45685</v>
      </c>
      <c r="B4920">
        <f>Prices!B4920</f>
        <v/>
      </c>
      <c r="C4920">
        <f>Prices!C4920</f>
        <v/>
      </c>
      <c r="D4920">
        <f>Prices!D4920</f>
        <v/>
      </c>
      <c r="E4920">
        <f>Prices!E4920</f>
        <v/>
      </c>
      <c r="F4920">
        <f>Prices!F4920</f>
        <v/>
      </c>
      <c r="G4920">
        <f>IF(AND(4918&gt;=16,TEXT(A4920,"yyyy-mm")&lt;&gt;TEXT(A4921,"yyyy-mm")),1,0)</f>
        <v/>
      </c>
      <c r="H4920">
        <f>IF(OR(H4919=1,G4920=1),1,0)</f>
        <v/>
      </c>
      <c r="I4920">
        <f>IF(H4919=0,1,SUMPRODUCT(J4919:N4919,B4920:F4920)+O4919*(1+0.00023125256064071564))</f>
        <v/>
      </c>
      <c r="J4920">
        <f>IF(G4920=1,0.2*R4920/B4920,J4919)</f>
        <v/>
      </c>
      <c r="K4920">
        <f>IF(G4920=1,0.2*R4920/C4920,K4919)</f>
        <v/>
      </c>
      <c r="L4920">
        <f>IF(G4920=1,0.2*R4920/D4920,L4919)</f>
        <v/>
      </c>
      <c r="M4920">
        <f>IF(G4920=1,0.2*R4920/E4920,M4919)</f>
        <v/>
      </c>
      <c r="N4920">
        <f>IF(G4920=1,0.2*R4920/F4920,N4919)</f>
        <v/>
      </c>
      <c r="O4920">
        <f>IF(G4920=1,R4920*(1-1.0),IF(H4919=0,1,O4919*(1+0.00023125256064071564)))</f>
        <v/>
      </c>
      <c r="P4920">
        <f>IF(G4920=1,IF(H4919=0,1,ABS(0.2-J4919*B4920/I4920)+ABS(0.2-K4919*C4920/I4920)+ABS(0.2-L4919*D4920/I4920)+ABS(0.2-M4919*E4920/I4920)+ABS(0.2-N4919*F4920/I4920)),0)</f>
        <v/>
      </c>
      <c r="Q4920">
        <f>P4920*0.0015</f>
        <v/>
      </c>
      <c r="R4920">
        <f>I4920*(1-Q4920)</f>
        <v/>
      </c>
      <c r="S4920">
        <f>R4920/R4919-1</f>
        <v/>
      </c>
      <c r="T4920">
        <f>MAX(T4919,R4920)</f>
        <v/>
      </c>
      <c r="U4920">
        <f>R4920/T4920-1</f>
        <v/>
      </c>
      <c r="V4920" t="n">
        <v>26.03127803377152</v>
      </c>
      <c r="W4920" s="5">
        <f>R4920-V4920</f>
        <v/>
      </c>
    </row>
    <row r="4921">
      <c r="A4921" s="3" t="n">
        <v>45686</v>
      </c>
      <c r="B4921">
        <f>Prices!B4921</f>
        <v/>
      </c>
      <c r="C4921">
        <f>Prices!C4921</f>
        <v/>
      </c>
      <c r="D4921">
        <f>Prices!D4921</f>
        <v/>
      </c>
      <c r="E4921">
        <f>Prices!E4921</f>
        <v/>
      </c>
      <c r="F4921">
        <f>Prices!F4921</f>
        <v/>
      </c>
      <c r="G4921">
        <f>IF(AND(4919&gt;=16,TEXT(A4921,"yyyy-mm")&lt;&gt;TEXT(A4922,"yyyy-mm")),1,0)</f>
        <v/>
      </c>
      <c r="H4921">
        <f>IF(OR(H4920=1,G4921=1),1,0)</f>
        <v/>
      </c>
      <c r="I4921">
        <f>IF(H4920=0,1,SUMPRODUCT(J4920:N4920,B4921:F4921)+O4920*(1+0.00023125256064071564))</f>
        <v/>
      </c>
      <c r="J4921">
        <f>IF(G4921=1,0.2*R4921/B4921,J4920)</f>
        <v/>
      </c>
      <c r="K4921">
        <f>IF(G4921=1,0.2*R4921/C4921,K4920)</f>
        <v/>
      </c>
      <c r="L4921">
        <f>IF(G4921=1,0.2*R4921/D4921,L4920)</f>
        <v/>
      </c>
      <c r="M4921">
        <f>IF(G4921=1,0.2*R4921/E4921,M4920)</f>
        <v/>
      </c>
      <c r="N4921">
        <f>IF(G4921=1,0.2*R4921/F4921,N4920)</f>
        <v/>
      </c>
      <c r="O4921">
        <f>IF(G4921=1,R4921*(1-1.0),IF(H4920=0,1,O4920*(1+0.00023125256064071564)))</f>
        <v/>
      </c>
      <c r="P4921">
        <f>IF(G4921=1,IF(H4920=0,1,ABS(0.2-J4920*B4921/I4921)+ABS(0.2-K4920*C4921/I4921)+ABS(0.2-L4920*D4921/I4921)+ABS(0.2-M4920*E4921/I4921)+ABS(0.2-N4920*F4921/I4921)),0)</f>
        <v/>
      </c>
      <c r="Q4921">
        <f>P4921*0.0015</f>
        <v/>
      </c>
      <c r="R4921">
        <f>I4921*(1-Q4921)</f>
        <v/>
      </c>
      <c r="S4921">
        <f>R4921/R4920-1</f>
        <v/>
      </c>
      <c r="T4921">
        <f>MAX(T4920,R4921)</f>
        <v/>
      </c>
      <c r="U4921">
        <f>R4921/T4921-1</f>
        <v/>
      </c>
      <c r="V4921" t="n">
        <v>26.69155472182742</v>
      </c>
      <c r="W4921" s="5">
        <f>R4921-V4921</f>
        <v/>
      </c>
    </row>
    <row r="4922">
      <c r="A4922" s="3" t="n">
        <v>45687</v>
      </c>
      <c r="B4922">
        <f>Prices!B4922</f>
        <v/>
      </c>
      <c r="C4922">
        <f>Prices!C4922</f>
        <v/>
      </c>
      <c r="D4922">
        <f>Prices!D4922</f>
        <v/>
      </c>
      <c r="E4922">
        <f>Prices!E4922</f>
        <v/>
      </c>
      <c r="F4922">
        <f>Prices!F4922</f>
        <v/>
      </c>
      <c r="G4922">
        <f>IF(AND(4920&gt;=16,TEXT(A4922,"yyyy-mm")&lt;&gt;TEXT(A4923,"yyyy-mm")),1,0)</f>
        <v/>
      </c>
      <c r="H4922">
        <f>IF(OR(H4921=1,G4922=1),1,0)</f>
        <v/>
      </c>
      <c r="I4922">
        <f>IF(H4921=0,1,SUMPRODUCT(J4921:N4921,B4922:F4922)+O4921*(1+0.00023125256064071564))</f>
        <v/>
      </c>
      <c r="J4922">
        <f>IF(G4922=1,0.2*R4922/B4922,J4921)</f>
        <v/>
      </c>
      <c r="K4922">
        <f>IF(G4922=1,0.2*R4922/C4922,K4921)</f>
        <v/>
      </c>
      <c r="L4922">
        <f>IF(G4922=1,0.2*R4922/D4922,L4921)</f>
        <v/>
      </c>
      <c r="M4922">
        <f>IF(G4922=1,0.2*R4922/E4922,M4921)</f>
        <v/>
      </c>
      <c r="N4922">
        <f>IF(G4922=1,0.2*R4922/F4922,N4921)</f>
        <v/>
      </c>
      <c r="O4922">
        <f>IF(G4922=1,R4922*(1-1.0),IF(H4921=0,1,O4921*(1+0.00023125256064071564)))</f>
        <v/>
      </c>
      <c r="P4922">
        <f>IF(G4922=1,IF(H4921=0,1,ABS(0.2-J4921*B4922/I4922)+ABS(0.2-K4921*C4922/I4922)+ABS(0.2-L4921*D4922/I4922)+ABS(0.2-M4921*E4922/I4922)+ABS(0.2-N4921*F4922/I4922)),0)</f>
        <v/>
      </c>
      <c r="Q4922">
        <f>P4922*0.0015</f>
        <v/>
      </c>
      <c r="R4922">
        <f>I4922*(1-Q4922)</f>
        <v/>
      </c>
      <c r="S4922">
        <f>R4922/R4921-1</f>
        <v/>
      </c>
      <c r="T4922">
        <f>MAX(T4921,R4922)</f>
        <v/>
      </c>
      <c r="U4922">
        <f>R4922/T4922-1</f>
        <v/>
      </c>
      <c r="V4922" t="n">
        <v>26.64258828876507</v>
      </c>
      <c r="W4922" s="5">
        <f>R4922-V4922</f>
        <v/>
      </c>
    </row>
    <row r="4923">
      <c r="A4923" s="3" t="n">
        <v>45688</v>
      </c>
      <c r="B4923">
        <f>Prices!B4923</f>
        <v/>
      </c>
      <c r="C4923">
        <f>Prices!C4923</f>
        <v/>
      </c>
      <c r="D4923">
        <f>Prices!D4923</f>
        <v/>
      </c>
      <c r="E4923">
        <f>Prices!E4923</f>
        <v/>
      </c>
      <c r="F4923">
        <f>Prices!F4923</f>
        <v/>
      </c>
      <c r="G4923">
        <f>IF(AND(4921&gt;=16,TEXT(A4923,"yyyy-mm")&lt;&gt;TEXT(A4924,"yyyy-mm")),1,0)</f>
        <v/>
      </c>
      <c r="H4923">
        <f>IF(OR(H4922=1,G4923=1),1,0)</f>
        <v/>
      </c>
      <c r="I4923">
        <f>IF(H4922=0,1,SUMPRODUCT(J4922:N4922,B4923:F4923)+O4922*(1+0.00023125256064071564))</f>
        <v/>
      </c>
      <c r="J4923">
        <f>IF(G4923=1,0.2*R4923/B4923,J4922)</f>
        <v/>
      </c>
      <c r="K4923">
        <f>IF(G4923=1,0.2*R4923/C4923,K4922)</f>
        <v/>
      </c>
      <c r="L4923">
        <f>IF(G4923=1,0.2*R4923/D4923,L4922)</f>
        <v/>
      </c>
      <c r="M4923">
        <f>IF(G4923=1,0.2*R4923/E4923,M4922)</f>
        <v/>
      </c>
      <c r="N4923">
        <f>IF(G4923=1,0.2*R4923/F4923,N4922)</f>
        <v/>
      </c>
      <c r="O4923">
        <f>IF(G4923=1,R4923*(1-1.0),IF(H4922=0,1,O4922*(1+0.00023125256064071564)))</f>
        <v/>
      </c>
      <c r="P4923">
        <f>IF(G4923=1,IF(H4922=0,1,ABS(0.2-J4922*B4923/I4923)+ABS(0.2-K4922*C4923/I4923)+ABS(0.2-L4922*D4923/I4923)+ABS(0.2-M4922*E4923/I4923)+ABS(0.2-N4922*F4923/I4923)),0)</f>
        <v/>
      </c>
      <c r="Q4923">
        <f>P4923*0.0015</f>
        <v/>
      </c>
      <c r="R4923">
        <f>I4923*(1-Q4923)</f>
        <v/>
      </c>
      <c r="S4923">
        <f>R4923/R4922-1</f>
        <v/>
      </c>
      <c r="T4923">
        <f>MAX(T4922,R4923)</f>
        <v/>
      </c>
      <c r="U4923">
        <f>R4923/T4923-1</f>
        <v/>
      </c>
      <c r="V4923" t="n">
        <v>27.103300433384</v>
      </c>
      <c r="W4923" s="5">
        <f>R4923-V4923</f>
        <v/>
      </c>
    </row>
    <row r="4924">
      <c r="A4924" s="3" t="n">
        <v>45689</v>
      </c>
      <c r="B4924">
        <f>Prices!B4924</f>
        <v/>
      </c>
      <c r="C4924">
        <f>Prices!C4924</f>
        <v/>
      </c>
      <c r="D4924">
        <f>Prices!D4924</f>
        <v/>
      </c>
      <c r="E4924">
        <f>Prices!E4924</f>
        <v/>
      </c>
      <c r="F4924">
        <f>Prices!F4924</f>
        <v/>
      </c>
      <c r="G4924">
        <f>IF(AND(4922&gt;=16,TEXT(A4924,"yyyy-mm")&lt;&gt;TEXT(A4925,"yyyy-mm")),1,0)</f>
        <v/>
      </c>
      <c r="H4924">
        <f>IF(OR(H4923=1,G4924=1),1,0)</f>
        <v/>
      </c>
      <c r="I4924">
        <f>IF(H4923=0,1,SUMPRODUCT(J4923:N4923,B4924:F4924)+O4923*(1+0.00023125256064071564))</f>
        <v/>
      </c>
      <c r="J4924">
        <f>IF(G4924=1,0.2*R4924/B4924,J4923)</f>
        <v/>
      </c>
      <c r="K4924">
        <f>IF(G4924=1,0.2*R4924/C4924,K4923)</f>
        <v/>
      </c>
      <c r="L4924">
        <f>IF(G4924=1,0.2*R4924/D4924,L4923)</f>
        <v/>
      </c>
      <c r="M4924">
        <f>IF(G4924=1,0.2*R4924/E4924,M4923)</f>
        <v/>
      </c>
      <c r="N4924">
        <f>IF(G4924=1,0.2*R4924/F4924,N4923)</f>
        <v/>
      </c>
      <c r="O4924">
        <f>IF(G4924=1,R4924*(1-1.0),IF(H4923=0,1,O4923*(1+0.00023125256064071564)))</f>
        <v/>
      </c>
      <c r="P4924">
        <f>IF(G4924=1,IF(H4923=0,1,ABS(0.2-J4923*B4924/I4924)+ABS(0.2-K4923*C4924/I4924)+ABS(0.2-L4923*D4924/I4924)+ABS(0.2-M4923*E4924/I4924)+ABS(0.2-N4923*F4924/I4924)),0)</f>
        <v/>
      </c>
      <c r="Q4924">
        <f>P4924*0.0015</f>
        <v/>
      </c>
      <c r="R4924">
        <f>I4924*(1-Q4924)</f>
        <v/>
      </c>
      <c r="S4924">
        <f>R4924/R4923-1</f>
        <v/>
      </c>
      <c r="T4924">
        <f>MAX(T4923,R4924)</f>
        <v/>
      </c>
      <c r="U4924">
        <f>R4924/T4924-1</f>
        <v/>
      </c>
      <c r="V4924" t="n">
        <v>27.0556361296066</v>
      </c>
      <c r="W4924" s="5">
        <f>R4924-V4924</f>
        <v/>
      </c>
    </row>
    <row r="4925">
      <c r="A4925" s="3" t="n">
        <v>45691</v>
      </c>
      <c r="B4925">
        <f>Prices!B4925</f>
        <v/>
      </c>
      <c r="C4925">
        <f>Prices!C4925</f>
        <v/>
      </c>
      <c r="D4925">
        <f>Prices!D4925</f>
        <v/>
      </c>
      <c r="E4925">
        <f>Prices!E4925</f>
        <v/>
      </c>
      <c r="F4925">
        <f>Prices!F4925</f>
        <v/>
      </c>
      <c r="G4925">
        <f>IF(AND(4923&gt;=16,TEXT(A4925,"yyyy-mm")&lt;&gt;TEXT(A4926,"yyyy-mm")),1,0)</f>
        <v/>
      </c>
      <c r="H4925">
        <f>IF(OR(H4924=1,G4925=1),1,0)</f>
        <v/>
      </c>
      <c r="I4925">
        <f>IF(H4924=0,1,SUMPRODUCT(J4924:N4924,B4925:F4925)+O4924*(1+0.00023125256064071564))</f>
        <v/>
      </c>
      <c r="J4925">
        <f>IF(G4925=1,0.2*R4925/B4925,J4924)</f>
        <v/>
      </c>
      <c r="K4925">
        <f>IF(G4925=1,0.2*R4925/C4925,K4924)</f>
        <v/>
      </c>
      <c r="L4925">
        <f>IF(G4925=1,0.2*R4925/D4925,L4924)</f>
        <v/>
      </c>
      <c r="M4925">
        <f>IF(G4925=1,0.2*R4925/E4925,M4924)</f>
        <v/>
      </c>
      <c r="N4925">
        <f>IF(G4925=1,0.2*R4925/F4925,N4924)</f>
        <v/>
      </c>
      <c r="O4925">
        <f>IF(G4925=1,R4925*(1-1.0),IF(H4924=0,1,O4924*(1+0.00023125256064071564)))</f>
        <v/>
      </c>
      <c r="P4925">
        <f>IF(G4925=1,IF(H4924=0,1,ABS(0.2-J4924*B4925/I4925)+ABS(0.2-K4924*C4925/I4925)+ABS(0.2-L4924*D4925/I4925)+ABS(0.2-M4924*E4925/I4925)+ABS(0.2-N4924*F4925/I4925)),0)</f>
        <v/>
      </c>
      <c r="Q4925">
        <f>P4925*0.0015</f>
        <v/>
      </c>
      <c r="R4925">
        <f>I4925*(1-Q4925)</f>
        <v/>
      </c>
      <c r="S4925">
        <f>R4925/R4924-1</f>
        <v/>
      </c>
      <c r="T4925">
        <f>MAX(T4924,R4925)</f>
        <v/>
      </c>
      <c r="U4925">
        <f>R4925/T4925-1</f>
        <v/>
      </c>
      <c r="V4925" t="n">
        <v>26.69197738835116</v>
      </c>
      <c r="W4925" s="5">
        <f>R4925-V4925</f>
        <v/>
      </c>
    </row>
    <row r="4926">
      <c r="A4926" s="3" t="n">
        <v>45692</v>
      </c>
      <c r="B4926">
        <f>Prices!B4926</f>
        <v/>
      </c>
      <c r="C4926">
        <f>Prices!C4926</f>
        <v/>
      </c>
      <c r="D4926">
        <f>Prices!D4926</f>
        <v/>
      </c>
      <c r="E4926">
        <f>Prices!E4926</f>
        <v/>
      </c>
      <c r="F4926">
        <f>Prices!F4926</f>
        <v/>
      </c>
      <c r="G4926">
        <f>IF(AND(4924&gt;=16,TEXT(A4926,"yyyy-mm")&lt;&gt;TEXT(A4927,"yyyy-mm")),1,0)</f>
        <v/>
      </c>
      <c r="H4926">
        <f>IF(OR(H4925=1,G4926=1),1,0)</f>
        <v/>
      </c>
      <c r="I4926">
        <f>IF(H4925=0,1,SUMPRODUCT(J4925:N4925,B4926:F4926)+O4925*(1+0.00023125256064071564))</f>
        <v/>
      </c>
      <c r="J4926">
        <f>IF(G4926=1,0.2*R4926/B4926,J4925)</f>
        <v/>
      </c>
      <c r="K4926">
        <f>IF(G4926=1,0.2*R4926/C4926,K4925)</f>
        <v/>
      </c>
      <c r="L4926">
        <f>IF(G4926=1,0.2*R4926/D4926,L4925)</f>
        <v/>
      </c>
      <c r="M4926">
        <f>IF(G4926=1,0.2*R4926/E4926,M4925)</f>
        <v/>
      </c>
      <c r="N4926">
        <f>IF(G4926=1,0.2*R4926/F4926,N4925)</f>
        <v/>
      </c>
      <c r="O4926">
        <f>IF(G4926=1,R4926*(1-1.0),IF(H4925=0,1,O4925*(1+0.00023125256064071564)))</f>
        <v/>
      </c>
      <c r="P4926">
        <f>IF(G4926=1,IF(H4925=0,1,ABS(0.2-J4925*B4926/I4926)+ABS(0.2-K4925*C4926/I4926)+ABS(0.2-L4925*D4926/I4926)+ABS(0.2-M4925*E4926/I4926)+ABS(0.2-N4925*F4926/I4926)),0)</f>
        <v/>
      </c>
      <c r="Q4926">
        <f>P4926*0.0015</f>
        <v/>
      </c>
      <c r="R4926">
        <f>I4926*(1-Q4926)</f>
        <v/>
      </c>
      <c r="S4926">
        <f>R4926/R4925-1</f>
        <v/>
      </c>
      <c r="T4926">
        <f>MAX(T4925,R4926)</f>
        <v/>
      </c>
      <c r="U4926">
        <f>R4926/T4926-1</f>
        <v/>
      </c>
      <c r="V4926" t="n">
        <v>27.04709386017997</v>
      </c>
      <c r="W4926" s="5">
        <f>R4926-V4926</f>
        <v/>
      </c>
    </row>
    <row r="4927">
      <c r="A4927" s="3" t="n">
        <v>45693</v>
      </c>
      <c r="B4927">
        <f>Prices!B4927</f>
        <v/>
      </c>
      <c r="C4927">
        <f>Prices!C4927</f>
        <v/>
      </c>
      <c r="D4927">
        <f>Prices!D4927</f>
        <v/>
      </c>
      <c r="E4927">
        <f>Prices!E4927</f>
        <v/>
      </c>
      <c r="F4927">
        <f>Prices!F4927</f>
        <v/>
      </c>
      <c r="G4927">
        <f>IF(AND(4925&gt;=16,TEXT(A4927,"yyyy-mm")&lt;&gt;TEXT(A4928,"yyyy-mm")),1,0)</f>
        <v/>
      </c>
      <c r="H4927">
        <f>IF(OR(H4926=1,G4927=1),1,0)</f>
        <v/>
      </c>
      <c r="I4927">
        <f>IF(H4926=0,1,SUMPRODUCT(J4926:N4926,B4927:F4927)+O4926*(1+0.00023125256064071564))</f>
        <v/>
      </c>
      <c r="J4927">
        <f>IF(G4927=1,0.2*R4927/B4927,J4926)</f>
        <v/>
      </c>
      <c r="K4927">
        <f>IF(G4927=1,0.2*R4927/C4927,K4926)</f>
        <v/>
      </c>
      <c r="L4927">
        <f>IF(G4927=1,0.2*R4927/D4927,L4926)</f>
        <v/>
      </c>
      <c r="M4927">
        <f>IF(G4927=1,0.2*R4927/E4927,M4926)</f>
        <v/>
      </c>
      <c r="N4927">
        <f>IF(G4927=1,0.2*R4927/F4927,N4926)</f>
        <v/>
      </c>
      <c r="O4927">
        <f>IF(G4927=1,R4927*(1-1.0),IF(H4926=0,1,O4926*(1+0.00023125256064071564)))</f>
        <v/>
      </c>
      <c r="P4927">
        <f>IF(G4927=1,IF(H4926=0,1,ABS(0.2-J4926*B4927/I4927)+ABS(0.2-K4926*C4927/I4927)+ABS(0.2-L4926*D4927/I4927)+ABS(0.2-M4926*E4927/I4927)+ABS(0.2-N4926*F4927/I4927)),0)</f>
        <v/>
      </c>
      <c r="Q4927">
        <f>P4927*0.0015</f>
        <v/>
      </c>
      <c r="R4927">
        <f>I4927*(1-Q4927)</f>
        <v/>
      </c>
      <c r="S4927">
        <f>R4927/R4926-1</f>
        <v/>
      </c>
      <c r="T4927">
        <f>MAX(T4926,R4927)</f>
        <v/>
      </c>
      <c r="U4927">
        <f>R4927/T4927-1</f>
        <v/>
      </c>
      <c r="V4927" t="n">
        <v>27.35298043096218</v>
      </c>
      <c r="W4927" s="5">
        <f>R4927-V4927</f>
        <v/>
      </c>
    </row>
    <row r="4928">
      <c r="A4928" s="3" t="n">
        <v>45694</v>
      </c>
      <c r="B4928">
        <f>Prices!B4928</f>
        <v/>
      </c>
      <c r="C4928">
        <f>Prices!C4928</f>
        <v/>
      </c>
      <c r="D4928">
        <f>Prices!D4928</f>
        <v/>
      </c>
      <c r="E4928">
        <f>Prices!E4928</f>
        <v/>
      </c>
      <c r="F4928">
        <f>Prices!F4928</f>
        <v/>
      </c>
      <c r="G4928">
        <f>IF(AND(4926&gt;=16,TEXT(A4928,"yyyy-mm")&lt;&gt;TEXT(A4929,"yyyy-mm")),1,0)</f>
        <v/>
      </c>
      <c r="H4928">
        <f>IF(OR(H4927=1,G4928=1),1,0)</f>
        <v/>
      </c>
      <c r="I4928">
        <f>IF(H4927=0,1,SUMPRODUCT(J4927:N4927,B4928:F4928)+O4927*(1+0.00023125256064071564))</f>
        <v/>
      </c>
      <c r="J4928">
        <f>IF(G4928=1,0.2*R4928/B4928,J4927)</f>
        <v/>
      </c>
      <c r="K4928">
        <f>IF(G4928=1,0.2*R4928/C4928,K4927)</f>
        <v/>
      </c>
      <c r="L4928">
        <f>IF(G4928=1,0.2*R4928/D4928,L4927)</f>
        <v/>
      </c>
      <c r="M4928">
        <f>IF(G4928=1,0.2*R4928/E4928,M4927)</f>
        <v/>
      </c>
      <c r="N4928">
        <f>IF(G4928=1,0.2*R4928/F4928,N4927)</f>
        <v/>
      </c>
      <c r="O4928">
        <f>IF(G4928=1,R4928*(1-1.0),IF(H4927=0,1,O4927*(1+0.00023125256064071564)))</f>
        <v/>
      </c>
      <c r="P4928">
        <f>IF(G4928=1,IF(H4927=0,1,ABS(0.2-J4927*B4928/I4928)+ABS(0.2-K4927*C4928/I4928)+ABS(0.2-L4927*D4928/I4928)+ABS(0.2-M4927*E4928/I4928)+ABS(0.2-N4927*F4928/I4928)),0)</f>
        <v/>
      </c>
      <c r="Q4928">
        <f>P4928*0.0015</f>
        <v/>
      </c>
      <c r="R4928">
        <f>I4928*(1-Q4928)</f>
        <v/>
      </c>
      <c r="S4928">
        <f>R4928/R4927-1</f>
        <v/>
      </c>
      <c r="T4928">
        <f>MAX(T4927,R4928)</f>
        <v/>
      </c>
      <c r="U4928">
        <f>R4928/T4928-1</f>
        <v/>
      </c>
      <c r="V4928" t="n">
        <v>27.09813989480466</v>
      </c>
      <c r="W4928" s="5">
        <f>R4928-V4928</f>
        <v/>
      </c>
    </row>
    <row r="4929">
      <c r="A4929" s="3" t="n">
        <v>45695</v>
      </c>
      <c r="B4929">
        <f>Prices!B4929</f>
        <v/>
      </c>
      <c r="C4929">
        <f>Prices!C4929</f>
        <v/>
      </c>
      <c r="D4929">
        <f>Prices!D4929</f>
        <v/>
      </c>
      <c r="E4929">
        <f>Prices!E4929</f>
        <v/>
      </c>
      <c r="F4929">
        <f>Prices!F4929</f>
        <v/>
      </c>
      <c r="G4929">
        <f>IF(AND(4927&gt;=16,TEXT(A4929,"yyyy-mm")&lt;&gt;TEXT(A4930,"yyyy-mm")),1,0)</f>
        <v/>
      </c>
      <c r="H4929">
        <f>IF(OR(H4928=1,G4929=1),1,0)</f>
        <v/>
      </c>
      <c r="I4929">
        <f>IF(H4928=0,1,SUMPRODUCT(J4928:N4928,B4929:F4929)+O4928*(1+0.00023125256064071564))</f>
        <v/>
      </c>
      <c r="J4929">
        <f>IF(G4929=1,0.2*R4929/B4929,J4928)</f>
        <v/>
      </c>
      <c r="K4929">
        <f>IF(G4929=1,0.2*R4929/C4929,K4928)</f>
        <v/>
      </c>
      <c r="L4929">
        <f>IF(G4929=1,0.2*R4929/D4929,L4928)</f>
        <v/>
      </c>
      <c r="M4929">
        <f>IF(G4929=1,0.2*R4929/E4929,M4928)</f>
        <v/>
      </c>
      <c r="N4929">
        <f>IF(G4929=1,0.2*R4929/F4929,N4928)</f>
        <v/>
      </c>
      <c r="O4929">
        <f>IF(G4929=1,R4929*(1-1.0),IF(H4928=0,1,O4928*(1+0.00023125256064071564)))</f>
        <v/>
      </c>
      <c r="P4929">
        <f>IF(G4929=1,IF(H4928=0,1,ABS(0.2-J4928*B4929/I4929)+ABS(0.2-K4928*C4929/I4929)+ABS(0.2-L4928*D4929/I4929)+ABS(0.2-M4928*E4929/I4929)+ABS(0.2-N4928*F4929/I4929)),0)</f>
        <v/>
      </c>
      <c r="Q4929">
        <f>P4929*0.0015</f>
        <v/>
      </c>
      <c r="R4929">
        <f>I4929*(1-Q4929)</f>
        <v/>
      </c>
      <c r="S4929">
        <f>R4929/R4928-1</f>
        <v/>
      </c>
      <c r="T4929">
        <f>MAX(T4928,R4929)</f>
        <v/>
      </c>
      <c r="U4929">
        <f>R4929/T4929-1</f>
        <v/>
      </c>
      <c r="V4929" t="n">
        <v>27.14565461001416</v>
      </c>
      <c r="W4929" s="5">
        <f>R4929-V4929</f>
        <v/>
      </c>
    </row>
    <row r="4930">
      <c r="A4930" s="3" t="n">
        <v>45698</v>
      </c>
      <c r="B4930">
        <f>Prices!B4930</f>
        <v/>
      </c>
      <c r="C4930">
        <f>Prices!C4930</f>
        <v/>
      </c>
      <c r="D4930">
        <f>Prices!D4930</f>
        <v/>
      </c>
      <c r="E4930">
        <f>Prices!E4930</f>
        <v/>
      </c>
      <c r="F4930">
        <f>Prices!F4930</f>
        <v/>
      </c>
      <c r="G4930">
        <f>IF(AND(4928&gt;=16,TEXT(A4930,"yyyy-mm")&lt;&gt;TEXT(A4931,"yyyy-mm")),1,0)</f>
        <v/>
      </c>
      <c r="H4930">
        <f>IF(OR(H4929=1,G4930=1),1,0)</f>
        <v/>
      </c>
      <c r="I4930">
        <f>IF(H4929=0,1,SUMPRODUCT(J4929:N4929,B4930:F4930)+O4929*(1+0.00023125256064071564))</f>
        <v/>
      </c>
      <c r="J4930">
        <f>IF(G4930=1,0.2*R4930/B4930,J4929)</f>
        <v/>
      </c>
      <c r="K4930">
        <f>IF(G4930=1,0.2*R4930/C4930,K4929)</f>
        <v/>
      </c>
      <c r="L4930">
        <f>IF(G4930=1,0.2*R4930/D4930,L4929)</f>
        <v/>
      </c>
      <c r="M4930">
        <f>IF(G4930=1,0.2*R4930/E4930,M4929)</f>
        <v/>
      </c>
      <c r="N4930">
        <f>IF(G4930=1,0.2*R4930/F4930,N4929)</f>
        <v/>
      </c>
      <c r="O4930">
        <f>IF(G4930=1,R4930*(1-1.0),IF(H4929=0,1,O4929*(1+0.00023125256064071564)))</f>
        <v/>
      </c>
      <c r="P4930">
        <f>IF(G4930=1,IF(H4929=0,1,ABS(0.2-J4929*B4930/I4930)+ABS(0.2-K4929*C4930/I4930)+ABS(0.2-L4929*D4930/I4930)+ABS(0.2-M4929*E4930/I4930)+ABS(0.2-N4929*F4930/I4930)),0)</f>
        <v/>
      </c>
      <c r="Q4930">
        <f>P4930*0.0015</f>
        <v/>
      </c>
      <c r="R4930">
        <f>I4930*(1-Q4930)</f>
        <v/>
      </c>
      <c r="S4930">
        <f>R4930/R4929-1</f>
        <v/>
      </c>
      <c r="T4930">
        <f>MAX(T4929,R4930)</f>
        <v/>
      </c>
      <c r="U4930">
        <f>R4930/T4930-1</f>
        <v/>
      </c>
      <c r="V4930" t="n">
        <v>26.62728735240843</v>
      </c>
      <c r="W4930" s="5">
        <f>R4930-V4930</f>
        <v/>
      </c>
    </row>
    <row r="4931">
      <c r="A4931" s="3" t="n">
        <v>45699</v>
      </c>
      <c r="B4931">
        <f>Prices!B4931</f>
        <v/>
      </c>
      <c r="C4931">
        <f>Prices!C4931</f>
        <v/>
      </c>
      <c r="D4931">
        <f>Prices!D4931</f>
        <v/>
      </c>
      <c r="E4931">
        <f>Prices!E4931</f>
        <v/>
      </c>
      <c r="F4931">
        <f>Prices!F4931</f>
        <v/>
      </c>
      <c r="G4931">
        <f>IF(AND(4929&gt;=16,TEXT(A4931,"yyyy-mm")&lt;&gt;TEXT(A4932,"yyyy-mm")),1,0)</f>
        <v/>
      </c>
      <c r="H4931">
        <f>IF(OR(H4930=1,G4931=1),1,0)</f>
        <v/>
      </c>
      <c r="I4931">
        <f>IF(H4930=0,1,SUMPRODUCT(J4930:N4930,B4931:F4931)+O4930*(1+0.00023125256064071564))</f>
        <v/>
      </c>
      <c r="J4931">
        <f>IF(G4931=1,0.2*R4931/B4931,J4930)</f>
        <v/>
      </c>
      <c r="K4931">
        <f>IF(G4931=1,0.2*R4931/C4931,K4930)</f>
        <v/>
      </c>
      <c r="L4931">
        <f>IF(G4931=1,0.2*R4931/D4931,L4930)</f>
        <v/>
      </c>
      <c r="M4931">
        <f>IF(G4931=1,0.2*R4931/E4931,M4930)</f>
        <v/>
      </c>
      <c r="N4931">
        <f>IF(G4931=1,0.2*R4931/F4931,N4930)</f>
        <v/>
      </c>
      <c r="O4931">
        <f>IF(G4931=1,R4931*(1-1.0),IF(H4930=0,1,O4930*(1+0.00023125256064071564)))</f>
        <v/>
      </c>
      <c r="P4931">
        <f>IF(G4931=1,IF(H4930=0,1,ABS(0.2-J4930*B4931/I4931)+ABS(0.2-K4930*C4931/I4931)+ABS(0.2-L4930*D4931/I4931)+ABS(0.2-M4930*E4931/I4931)+ABS(0.2-N4930*F4931/I4931)),0)</f>
        <v/>
      </c>
      <c r="Q4931">
        <f>P4931*0.0015</f>
        <v/>
      </c>
      <c r="R4931">
        <f>I4931*(1-Q4931)</f>
        <v/>
      </c>
      <c r="S4931">
        <f>R4931/R4930-1</f>
        <v/>
      </c>
      <c r="T4931">
        <f>MAX(T4930,R4931)</f>
        <v/>
      </c>
      <c r="U4931">
        <f>R4931/T4931-1</f>
        <v/>
      </c>
      <c r="V4931" t="n">
        <v>25.90704034287032</v>
      </c>
      <c r="W4931" s="5">
        <f>R4931-V4931</f>
        <v/>
      </c>
    </row>
    <row r="4932">
      <c r="A4932" s="3" t="n">
        <v>45700</v>
      </c>
      <c r="B4932">
        <f>Prices!B4932</f>
        <v/>
      </c>
      <c r="C4932">
        <f>Prices!C4932</f>
        <v/>
      </c>
      <c r="D4932">
        <f>Prices!D4932</f>
        <v/>
      </c>
      <c r="E4932">
        <f>Prices!E4932</f>
        <v/>
      </c>
      <c r="F4932">
        <f>Prices!F4932</f>
        <v/>
      </c>
      <c r="G4932">
        <f>IF(AND(4930&gt;=16,TEXT(A4932,"yyyy-mm")&lt;&gt;TEXT(A4933,"yyyy-mm")),1,0)</f>
        <v/>
      </c>
      <c r="H4932">
        <f>IF(OR(H4931=1,G4932=1),1,0)</f>
        <v/>
      </c>
      <c r="I4932">
        <f>IF(H4931=0,1,SUMPRODUCT(J4931:N4931,B4932:F4932)+O4931*(1+0.00023125256064071564))</f>
        <v/>
      </c>
      <c r="J4932">
        <f>IF(G4932=1,0.2*R4932/B4932,J4931)</f>
        <v/>
      </c>
      <c r="K4932">
        <f>IF(G4932=1,0.2*R4932/C4932,K4931)</f>
        <v/>
      </c>
      <c r="L4932">
        <f>IF(G4932=1,0.2*R4932/D4932,L4931)</f>
        <v/>
      </c>
      <c r="M4932">
        <f>IF(G4932=1,0.2*R4932/E4932,M4931)</f>
        <v/>
      </c>
      <c r="N4932">
        <f>IF(G4932=1,0.2*R4932/F4932,N4931)</f>
        <v/>
      </c>
      <c r="O4932">
        <f>IF(G4932=1,R4932*(1-1.0),IF(H4931=0,1,O4931*(1+0.00023125256064071564)))</f>
        <v/>
      </c>
      <c r="P4932">
        <f>IF(G4932=1,IF(H4931=0,1,ABS(0.2-J4931*B4932/I4932)+ABS(0.2-K4931*C4932/I4932)+ABS(0.2-L4931*D4932/I4932)+ABS(0.2-M4931*E4932/I4932)+ABS(0.2-N4931*F4932/I4932)),0)</f>
        <v/>
      </c>
      <c r="Q4932">
        <f>P4932*0.0015</f>
        <v/>
      </c>
      <c r="R4932">
        <f>I4932*(1-Q4932)</f>
        <v/>
      </c>
      <c r="S4932">
        <f>R4932/R4931-1</f>
        <v/>
      </c>
      <c r="T4932">
        <f>MAX(T4931,R4932)</f>
        <v/>
      </c>
      <c r="U4932">
        <f>R4932/T4932-1</f>
        <v/>
      </c>
      <c r="V4932" t="n">
        <v>25.92381731837222</v>
      </c>
      <c r="W4932" s="5">
        <f>R4932-V4932</f>
        <v/>
      </c>
    </row>
    <row r="4933">
      <c r="A4933" s="3" t="n">
        <v>45701</v>
      </c>
      <c r="B4933">
        <f>Prices!B4933</f>
        <v/>
      </c>
      <c r="C4933">
        <f>Prices!C4933</f>
        <v/>
      </c>
      <c r="D4933">
        <f>Prices!D4933</f>
        <v/>
      </c>
      <c r="E4933">
        <f>Prices!E4933</f>
        <v/>
      </c>
      <c r="F4933">
        <f>Prices!F4933</f>
        <v/>
      </c>
      <c r="G4933">
        <f>IF(AND(4931&gt;=16,TEXT(A4933,"yyyy-mm")&lt;&gt;TEXT(A4934,"yyyy-mm")),1,0)</f>
        <v/>
      </c>
      <c r="H4933">
        <f>IF(OR(H4932=1,G4933=1),1,0)</f>
        <v/>
      </c>
      <c r="I4933">
        <f>IF(H4932=0,1,SUMPRODUCT(J4932:N4932,B4933:F4933)+O4932*(1+0.00023125256064071564))</f>
        <v/>
      </c>
      <c r="J4933">
        <f>IF(G4933=1,0.2*R4933/B4933,J4932)</f>
        <v/>
      </c>
      <c r="K4933">
        <f>IF(G4933=1,0.2*R4933/C4933,K4932)</f>
        <v/>
      </c>
      <c r="L4933">
        <f>IF(G4933=1,0.2*R4933/D4933,L4932)</f>
        <v/>
      </c>
      <c r="M4933">
        <f>IF(G4933=1,0.2*R4933/E4933,M4932)</f>
        <v/>
      </c>
      <c r="N4933">
        <f>IF(G4933=1,0.2*R4933/F4933,N4932)</f>
        <v/>
      </c>
      <c r="O4933">
        <f>IF(G4933=1,R4933*(1-1.0),IF(H4932=0,1,O4932*(1+0.00023125256064071564)))</f>
        <v/>
      </c>
      <c r="P4933">
        <f>IF(G4933=1,IF(H4932=0,1,ABS(0.2-J4932*B4933/I4933)+ABS(0.2-K4932*C4933/I4933)+ABS(0.2-L4932*D4933/I4933)+ABS(0.2-M4932*E4933/I4933)+ABS(0.2-N4932*F4933/I4933)),0)</f>
        <v/>
      </c>
      <c r="Q4933">
        <f>P4933*0.0015</f>
        <v/>
      </c>
      <c r="R4933">
        <f>I4933*(1-Q4933)</f>
        <v/>
      </c>
      <c r="S4933">
        <f>R4933/R4932-1</f>
        <v/>
      </c>
      <c r="T4933">
        <f>MAX(T4932,R4933)</f>
        <v/>
      </c>
      <c r="U4933">
        <f>R4933/T4933-1</f>
        <v/>
      </c>
      <c r="V4933" t="n">
        <v>25.91540415934903</v>
      </c>
      <c r="W4933" s="5">
        <f>R4933-V4933</f>
        <v/>
      </c>
    </row>
    <row r="4934">
      <c r="A4934" s="3" t="n">
        <v>45702</v>
      </c>
      <c r="B4934">
        <f>Prices!B4934</f>
        <v/>
      </c>
      <c r="C4934">
        <f>Prices!C4934</f>
        <v/>
      </c>
      <c r="D4934">
        <f>Prices!D4934</f>
        <v/>
      </c>
      <c r="E4934">
        <f>Prices!E4934</f>
        <v/>
      </c>
      <c r="F4934">
        <f>Prices!F4934</f>
        <v/>
      </c>
      <c r="G4934">
        <f>IF(AND(4932&gt;=16,TEXT(A4934,"yyyy-mm")&lt;&gt;TEXT(A4935,"yyyy-mm")),1,0)</f>
        <v/>
      </c>
      <c r="H4934">
        <f>IF(OR(H4933=1,G4934=1),1,0)</f>
        <v/>
      </c>
      <c r="I4934">
        <f>IF(H4933=0,1,SUMPRODUCT(J4933:N4933,B4934:F4934)+O4933*(1+0.00023125256064071564))</f>
        <v/>
      </c>
      <c r="J4934">
        <f>IF(G4934=1,0.2*R4934/B4934,J4933)</f>
        <v/>
      </c>
      <c r="K4934">
        <f>IF(G4934=1,0.2*R4934/C4934,K4933)</f>
        <v/>
      </c>
      <c r="L4934">
        <f>IF(G4934=1,0.2*R4934/D4934,L4933)</f>
        <v/>
      </c>
      <c r="M4934">
        <f>IF(G4934=1,0.2*R4934/E4934,M4933)</f>
        <v/>
      </c>
      <c r="N4934">
        <f>IF(G4934=1,0.2*R4934/F4934,N4933)</f>
        <v/>
      </c>
      <c r="O4934">
        <f>IF(G4934=1,R4934*(1-1.0),IF(H4933=0,1,O4933*(1+0.00023125256064071564)))</f>
        <v/>
      </c>
      <c r="P4934">
        <f>IF(G4934=1,IF(H4933=0,1,ABS(0.2-J4933*B4934/I4934)+ABS(0.2-K4933*C4934/I4934)+ABS(0.2-L4933*D4934/I4934)+ABS(0.2-M4933*E4934/I4934)+ABS(0.2-N4933*F4934/I4934)),0)</f>
        <v/>
      </c>
      <c r="Q4934">
        <f>P4934*0.0015</f>
        <v/>
      </c>
      <c r="R4934">
        <f>I4934*(1-Q4934)</f>
        <v/>
      </c>
      <c r="S4934">
        <f>R4934/R4933-1</f>
        <v/>
      </c>
      <c r="T4934">
        <f>MAX(T4933,R4934)</f>
        <v/>
      </c>
      <c r="U4934">
        <f>R4934/T4934-1</f>
        <v/>
      </c>
      <c r="V4934" t="n">
        <v>25.32089064770265</v>
      </c>
      <c r="W4934" s="5">
        <f>R4934-V4934</f>
        <v/>
      </c>
    </row>
    <row r="4935">
      <c r="A4935" s="3" t="n">
        <v>45705</v>
      </c>
      <c r="B4935">
        <f>Prices!B4935</f>
        <v/>
      </c>
      <c r="C4935">
        <f>Prices!C4935</f>
        <v/>
      </c>
      <c r="D4935">
        <f>Prices!D4935</f>
        <v/>
      </c>
      <c r="E4935">
        <f>Prices!E4935</f>
        <v/>
      </c>
      <c r="F4935">
        <f>Prices!F4935</f>
        <v/>
      </c>
      <c r="G4935">
        <f>IF(AND(4933&gt;=16,TEXT(A4935,"yyyy-mm")&lt;&gt;TEXT(A4936,"yyyy-mm")),1,0)</f>
        <v/>
      </c>
      <c r="H4935">
        <f>IF(OR(H4934=1,G4935=1),1,0)</f>
        <v/>
      </c>
      <c r="I4935">
        <f>IF(H4934=0,1,SUMPRODUCT(J4934:N4934,B4935:F4935)+O4934*(1+0.00023125256064071564))</f>
        <v/>
      </c>
      <c r="J4935">
        <f>IF(G4935=1,0.2*R4935/B4935,J4934)</f>
        <v/>
      </c>
      <c r="K4935">
        <f>IF(G4935=1,0.2*R4935/C4935,K4934)</f>
        <v/>
      </c>
      <c r="L4935">
        <f>IF(G4935=1,0.2*R4935/D4935,L4934)</f>
        <v/>
      </c>
      <c r="M4935">
        <f>IF(G4935=1,0.2*R4935/E4935,M4934)</f>
        <v/>
      </c>
      <c r="N4935">
        <f>IF(G4935=1,0.2*R4935/F4935,N4934)</f>
        <v/>
      </c>
      <c r="O4935">
        <f>IF(G4935=1,R4935*(1-1.0),IF(H4934=0,1,O4934*(1+0.00023125256064071564)))</f>
        <v/>
      </c>
      <c r="P4935">
        <f>IF(G4935=1,IF(H4934=0,1,ABS(0.2-J4934*B4935/I4935)+ABS(0.2-K4934*C4935/I4935)+ABS(0.2-L4934*D4935/I4935)+ABS(0.2-M4934*E4935/I4935)+ABS(0.2-N4934*F4935/I4935)),0)</f>
        <v/>
      </c>
      <c r="Q4935">
        <f>P4935*0.0015</f>
        <v/>
      </c>
      <c r="R4935">
        <f>I4935*(1-Q4935)</f>
        <v/>
      </c>
      <c r="S4935">
        <f>R4935/R4934-1</f>
        <v/>
      </c>
      <c r="T4935">
        <f>MAX(T4934,R4935)</f>
        <v/>
      </c>
      <c r="U4935">
        <f>R4935/T4935-1</f>
        <v/>
      </c>
      <c r="V4935" t="n">
        <v>25.35666124489609</v>
      </c>
      <c r="W4935" s="5">
        <f>R4935-V4935</f>
        <v/>
      </c>
    </row>
    <row r="4936">
      <c r="A4936" s="3" t="n">
        <v>45706</v>
      </c>
      <c r="B4936">
        <f>Prices!B4936</f>
        <v/>
      </c>
      <c r="C4936">
        <f>Prices!C4936</f>
        <v/>
      </c>
      <c r="D4936">
        <f>Prices!D4936</f>
        <v/>
      </c>
      <c r="E4936">
        <f>Prices!E4936</f>
        <v/>
      </c>
      <c r="F4936">
        <f>Prices!F4936</f>
        <v/>
      </c>
      <c r="G4936">
        <f>IF(AND(4934&gt;=16,TEXT(A4936,"yyyy-mm")&lt;&gt;TEXT(A4937,"yyyy-mm")),1,0)</f>
        <v/>
      </c>
      <c r="H4936">
        <f>IF(OR(H4935=1,G4936=1),1,0)</f>
        <v/>
      </c>
      <c r="I4936">
        <f>IF(H4935=0,1,SUMPRODUCT(J4935:N4935,B4936:F4936)+O4935*(1+0.00023125256064071564))</f>
        <v/>
      </c>
      <c r="J4936">
        <f>IF(G4936=1,0.2*R4936/B4936,J4935)</f>
        <v/>
      </c>
      <c r="K4936">
        <f>IF(G4936=1,0.2*R4936/C4936,K4935)</f>
        <v/>
      </c>
      <c r="L4936">
        <f>IF(G4936=1,0.2*R4936/D4936,L4935)</f>
        <v/>
      </c>
      <c r="M4936">
        <f>IF(G4936=1,0.2*R4936/E4936,M4935)</f>
        <v/>
      </c>
      <c r="N4936">
        <f>IF(G4936=1,0.2*R4936/F4936,N4935)</f>
        <v/>
      </c>
      <c r="O4936">
        <f>IF(G4936=1,R4936*(1-1.0),IF(H4935=0,1,O4935*(1+0.00023125256064071564)))</f>
        <v/>
      </c>
      <c r="P4936">
        <f>IF(G4936=1,IF(H4935=0,1,ABS(0.2-J4935*B4936/I4936)+ABS(0.2-K4935*C4936/I4936)+ABS(0.2-L4935*D4936/I4936)+ABS(0.2-M4935*E4936/I4936)+ABS(0.2-N4935*F4936/I4936)),0)</f>
        <v/>
      </c>
      <c r="Q4936">
        <f>P4936*0.0015</f>
        <v/>
      </c>
      <c r="R4936">
        <f>I4936*(1-Q4936)</f>
        <v/>
      </c>
      <c r="S4936">
        <f>R4936/R4935-1</f>
        <v/>
      </c>
      <c r="T4936">
        <f>MAX(T4935,R4936)</f>
        <v/>
      </c>
      <c r="U4936">
        <f>R4936/T4936-1</f>
        <v/>
      </c>
      <c r="V4936" t="n">
        <v>25.2867534313742</v>
      </c>
      <c r="W4936" s="5">
        <f>R4936-V4936</f>
        <v/>
      </c>
    </row>
    <row r="4937">
      <c r="A4937" s="3" t="n">
        <v>45707</v>
      </c>
      <c r="B4937">
        <f>Prices!B4937</f>
        <v/>
      </c>
      <c r="C4937">
        <f>Prices!C4937</f>
        <v/>
      </c>
      <c r="D4937">
        <f>Prices!D4937</f>
        <v/>
      </c>
      <c r="E4937">
        <f>Prices!E4937</f>
        <v/>
      </c>
      <c r="F4937">
        <f>Prices!F4937</f>
        <v/>
      </c>
      <c r="G4937">
        <f>IF(AND(4935&gt;=16,TEXT(A4937,"yyyy-mm")&lt;&gt;TEXT(A4938,"yyyy-mm")),1,0)</f>
        <v/>
      </c>
      <c r="H4937">
        <f>IF(OR(H4936=1,G4937=1),1,0)</f>
        <v/>
      </c>
      <c r="I4937">
        <f>IF(H4936=0,1,SUMPRODUCT(J4936:N4936,B4937:F4937)+O4936*(1+0.00023125256064071564))</f>
        <v/>
      </c>
      <c r="J4937">
        <f>IF(G4937=1,0.2*R4937/B4937,J4936)</f>
        <v/>
      </c>
      <c r="K4937">
        <f>IF(G4937=1,0.2*R4937/C4937,K4936)</f>
        <v/>
      </c>
      <c r="L4937">
        <f>IF(G4937=1,0.2*R4937/D4937,L4936)</f>
        <v/>
      </c>
      <c r="M4937">
        <f>IF(G4937=1,0.2*R4937/E4937,M4936)</f>
        <v/>
      </c>
      <c r="N4937">
        <f>IF(G4937=1,0.2*R4937/F4937,N4936)</f>
        <v/>
      </c>
      <c r="O4937">
        <f>IF(G4937=1,R4937*(1-1.0),IF(H4936=0,1,O4936*(1+0.00023125256064071564)))</f>
        <v/>
      </c>
      <c r="P4937">
        <f>IF(G4937=1,IF(H4936=0,1,ABS(0.2-J4936*B4937/I4937)+ABS(0.2-K4936*C4937/I4937)+ABS(0.2-L4936*D4937/I4937)+ABS(0.2-M4936*E4937/I4937)+ABS(0.2-N4936*F4937/I4937)),0)</f>
        <v/>
      </c>
      <c r="Q4937">
        <f>P4937*0.0015</f>
        <v/>
      </c>
      <c r="R4937">
        <f>I4937*(1-Q4937)</f>
        <v/>
      </c>
      <c r="S4937">
        <f>R4937/R4936-1</f>
        <v/>
      </c>
      <c r="T4937">
        <f>MAX(T4936,R4937)</f>
        <v/>
      </c>
      <c r="U4937">
        <f>R4937/T4937-1</f>
        <v/>
      </c>
      <c r="V4937" t="n">
        <v>25.6346580600376</v>
      </c>
      <c r="W4937" s="5">
        <f>R4937-V4937</f>
        <v/>
      </c>
    </row>
    <row r="4938">
      <c r="A4938" s="3" t="n">
        <v>45708</v>
      </c>
      <c r="B4938">
        <f>Prices!B4938</f>
        <v/>
      </c>
      <c r="C4938">
        <f>Prices!C4938</f>
        <v/>
      </c>
      <c r="D4938">
        <f>Prices!D4938</f>
        <v/>
      </c>
      <c r="E4938">
        <f>Prices!E4938</f>
        <v/>
      </c>
      <c r="F4938">
        <f>Prices!F4938</f>
        <v/>
      </c>
      <c r="G4938">
        <f>IF(AND(4936&gt;=16,TEXT(A4938,"yyyy-mm")&lt;&gt;TEXT(A4939,"yyyy-mm")),1,0)</f>
        <v/>
      </c>
      <c r="H4938">
        <f>IF(OR(H4937=1,G4938=1),1,0)</f>
        <v/>
      </c>
      <c r="I4938">
        <f>IF(H4937=0,1,SUMPRODUCT(J4937:N4937,B4938:F4938)+O4937*(1+0.00023125256064071564))</f>
        <v/>
      </c>
      <c r="J4938">
        <f>IF(G4938=1,0.2*R4938/B4938,J4937)</f>
        <v/>
      </c>
      <c r="K4938">
        <f>IF(G4938=1,0.2*R4938/C4938,K4937)</f>
        <v/>
      </c>
      <c r="L4938">
        <f>IF(G4938=1,0.2*R4938/D4938,L4937)</f>
        <v/>
      </c>
      <c r="M4938">
        <f>IF(G4938=1,0.2*R4938/E4938,M4937)</f>
        <v/>
      </c>
      <c r="N4938">
        <f>IF(G4938=1,0.2*R4938/F4938,N4937)</f>
        <v/>
      </c>
      <c r="O4938">
        <f>IF(G4938=1,R4938*(1-1.0),IF(H4937=0,1,O4937*(1+0.00023125256064071564)))</f>
        <v/>
      </c>
      <c r="P4938">
        <f>IF(G4938=1,IF(H4937=0,1,ABS(0.2-J4937*B4938/I4938)+ABS(0.2-K4937*C4938/I4938)+ABS(0.2-L4937*D4938/I4938)+ABS(0.2-M4937*E4938/I4938)+ABS(0.2-N4937*F4938/I4938)),0)</f>
        <v/>
      </c>
      <c r="Q4938">
        <f>P4938*0.0015</f>
        <v/>
      </c>
      <c r="R4938">
        <f>I4938*(1-Q4938)</f>
        <v/>
      </c>
      <c r="S4938">
        <f>R4938/R4937-1</f>
        <v/>
      </c>
      <c r="T4938">
        <f>MAX(T4937,R4938)</f>
        <v/>
      </c>
      <c r="U4938">
        <f>R4938/T4938-1</f>
        <v/>
      </c>
      <c r="V4938" t="n">
        <v>25.94243380601189</v>
      </c>
      <c r="W4938" s="5">
        <f>R4938-V4938</f>
        <v/>
      </c>
    </row>
    <row r="4939">
      <c r="A4939" s="3" t="n">
        <v>45709</v>
      </c>
      <c r="B4939">
        <f>Prices!B4939</f>
        <v/>
      </c>
      <c r="C4939">
        <f>Prices!C4939</f>
        <v/>
      </c>
      <c r="D4939">
        <f>Prices!D4939</f>
        <v/>
      </c>
      <c r="E4939">
        <f>Prices!E4939</f>
        <v/>
      </c>
      <c r="F4939">
        <f>Prices!F4939</f>
        <v/>
      </c>
      <c r="G4939">
        <f>IF(AND(4937&gt;=16,TEXT(A4939,"yyyy-mm")&lt;&gt;TEXT(A4940,"yyyy-mm")),1,0)</f>
        <v/>
      </c>
      <c r="H4939">
        <f>IF(OR(H4938=1,G4939=1),1,0)</f>
        <v/>
      </c>
      <c r="I4939">
        <f>IF(H4938=0,1,SUMPRODUCT(J4938:N4938,B4939:F4939)+O4938*(1+0.00023125256064071564))</f>
        <v/>
      </c>
      <c r="J4939">
        <f>IF(G4939=1,0.2*R4939/B4939,J4938)</f>
        <v/>
      </c>
      <c r="K4939">
        <f>IF(G4939=1,0.2*R4939/C4939,K4938)</f>
        <v/>
      </c>
      <c r="L4939">
        <f>IF(G4939=1,0.2*R4939/D4939,L4938)</f>
        <v/>
      </c>
      <c r="M4939">
        <f>IF(G4939=1,0.2*R4939/E4939,M4938)</f>
        <v/>
      </c>
      <c r="N4939">
        <f>IF(G4939=1,0.2*R4939/F4939,N4938)</f>
        <v/>
      </c>
      <c r="O4939">
        <f>IF(G4939=1,R4939*(1-1.0),IF(H4938=0,1,O4938*(1+0.00023125256064071564)))</f>
        <v/>
      </c>
      <c r="P4939">
        <f>IF(G4939=1,IF(H4938=0,1,ABS(0.2-J4938*B4939/I4939)+ABS(0.2-K4938*C4939/I4939)+ABS(0.2-L4938*D4939/I4939)+ABS(0.2-M4938*E4939/I4939)+ABS(0.2-N4938*F4939/I4939)),0)</f>
        <v/>
      </c>
      <c r="Q4939">
        <f>P4939*0.0015</f>
        <v/>
      </c>
      <c r="R4939">
        <f>I4939*(1-Q4939)</f>
        <v/>
      </c>
      <c r="S4939">
        <f>R4939/R4938-1</f>
        <v/>
      </c>
      <c r="T4939">
        <f>MAX(T4938,R4939)</f>
        <v/>
      </c>
      <c r="U4939">
        <f>R4939/T4939-1</f>
        <v/>
      </c>
      <c r="V4939" t="n">
        <v>25.68598298268369</v>
      </c>
      <c r="W4939" s="5">
        <f>R4939-V4939</f>
        <v/>
      </c>
    </row>
    <row r="4940">
      <c r="A4940" s="3" t="n">
        <v>45712</v>
      </c>
      <c r="B4940">
        <f>Prices!B4940</f>
        <v/>
      </c>
      <c r="C4940">
        <f>Prices!C4940</f>
        <v/>
      </c>
      <c r="D4940">
        <f>Prices!D4940</f>
        <v/>
      </c>
      <c r="E4940">
        <f>Prices!E4940</f>
        <v/>
      </c>
      <c r="F4940">
        <f>Prices!F4940</f>
        <v/>
      </c>
      <c r="G4940">
        <f>IF(AND(4938&gt;=16,TEXT(A4940,"yyyy-mm")&lt;&gt;TEXT(A4941,"yyyy-mm")),1,0)</f>
        <v/>
      </c>
      <c r="H4940">
        <f>IF(OR(H4939=1,G4940=1),1,0)</f>
        <v/>
      </c>
      <c r="I4940">
        <f>IF(H4939=0,1,SUMPRODUCT(J4939:N4939,B4940:F4940)+O4939*(1+0.00023125256064071564))</f>
        <v/>
      </c>
      <c r="J4940">
        <f>IF(G4940=1,0.2*R4940/B4940,J4939)</f>
        <v/>
      </c>
      <c r="K4940">
        <f>IF(G4940=1,0.2*R4940/C4940,K4939)</f>
        <v/>
      </c>
      <c r="L4940">
        <f>IF(G4940=1,0.2*R4940/D4940,L4939)</f>
        <v/>
      </c>
      <c r="M4940">
        <f>IF(G4940=1,0.2*R4940/E4940,M4939)</f>
        <v/>
      </c>
      <c r="N4940">
        <f>IF(G4940=1,0.2*R4940/F4940,N4939)</f>
        <v/>
      </c>
      <c r="O4940">
        <f>IF(G4940=1,R4940*(1-1.0),IF(H4939=0,1,O4939*(1+0.00023125256064071564)))</f>
        <v/>
      </c>
      <c r="P4940">
        <f>IF(G4940=1,IF(H4939=0,1,ABS(0.2-J4939*B4940/I4940)+ABS(0.2-K4939*C4940/I4940)+ABS(0.2-L4939*D4940/I4940)+ABS(0.2-M4939*E4940/I4940)+ABS(0.2-N4939*F4940/I4940)),0)</f>
        <v/>
      </c>
      <c r="Q4940">
        <f>P4940*0.0015</f>
        <v/>
      </c>
      <c r="R4940">
        <f>I4940*(1-Q4940)</f>
        <v/>
      </c>
      <c r="S4940">
        <f>R4940/R4939-1</f>
        <v/>
      </c>
      <c r="T4940">
        <f>MAX(T4939,R4940)</f>
        <v/>
      </c>
      <c r="U4940">
        <f>R4940/T4940-1</f>
        <v/>
      </c>
      <c r="V4940" t="n">
        <v>25.43650019245457</v>
      </c>
      <c r="W4940" s="5">
        <f>R4940-V4940</f>
        <v/>
      </c>
    </row>
    <row r="4941">
      <c r="A4941" s="3" t="n">
        <v>45713</v>
      </c>
      <c r="B4941">
        <f>Prices!B4941</f>
        <v/>
      </c>
      <c r="C4941">
        <f>Prices!C4941</f>
        <v/>
      </c>
      <c r="D4941">
        <f>Prices!D4941</f>
        <v/>
      </c>
      <c r="E4941">
        <f>Prices!E4941</f>
        <v/>
      </c>
      <c r="F4941">
        <f>Prices!F4941</f>
        <v/>
      </c>
      <c r="G4941">
        <f>IF(AND(4939&gt;=16,TEXT(A4941,"yyyy-mm")&lt;&gt;TEXT(A4942,"yyyy-mm")),1,0)</f>
        <v/>
      </c>
      <c r="H4941">
        <f>IF(OR(H4940=1,G4941=1),1,0)</f>
        <v/>
      </c>
      <c r="I4941">
        <f>IF(H4940=0,1,SUMPRODUCT(J4940:N4940,B4941:F4941)+O4940*(1+0.00023125256064071564))</f>
        <v/>
      </c>
      <c r="J4941">
        <f>IF(G4941=1,0.2*R4941/B4941,J4940)</f>
        <v/>
      </c>
      <c r="K4941">
        <f>IF(G4941=1,0.2*R4941/C4941,K4940)</f>
        <v/>
      </c>
      <c r="L4941">
        <f>IF(G4941=1,0.2*R4941/D4941,L4940)</f>
        <v/>
      </c>
      <c r="M4941">
        <f>IF(G4941=1,0.2*R4941/E4941,M4940)</f>
        <v/>
      </c>
      <c r="N4941">
        <f>IF(G4941=1,0.2*R4941/F4941,N4940)</f>
        <v/>
      </c>
      <c r="O4941">
        <f>IF(G4941=1,R4941*(1-1.0),IF(H4940=0,1,O4940*(1+0.00023125256064071564)))</f>
        <v/>
      </c>
      <c r="P4941">
        <f>IF(G4941=1,IF(H4940=0,1,ABS(0.2-J4940*B4941/I4941)+ABS(0.2-K4940*C4941/I4941)+ABS(0.2-L4940*D4941/I4941)+ABS(0.2-M4940*E4941/I4941)+ABS(0.2-N4940*F4941/I4941)),0)</f>
        <v/>
      </c>
      <c r="Q4941">
        <f>P4941*0.0015</f>
        <v/>
      </c>
      <c r="R4941">
        <f>I4941*(1-Q4941)</f>
        <v/>
      </c>
      <c r="S4941">
        <f>R4941/R4940-1</f>
        <v/>
      </c>
      <c r="T4941">
        <f>MAX(T4940,R4941)</f>
        <v/>
      </c>
      <c r="U4941">
        <f>R4941/T4941-1</f>
        <v/>
      </c>
      <c r="V4941" t="n">
        <v>25.28470847652212</v>
      </c>
      <c r="W4941" s="5">
        <f>R4941-V4941</f>
        <v/>
      </c>
    </row>
    <row r="4942">
      <c r="A4942" s="3" t="n">
        <v>45715</v>
      </c>
      <c r="B4942">
        <f>Prices!B4942</f>
        <v/>
      </c>
      <c r="C4942">
        <f>Prices!C4942</f>
        <v/>
      </c>
      <c r="D4942">
        <f>Prices!D4942</f>
        <v/>
      </c>
      <c r="E4942">
        <f>Prices!E4942</f>
        <v/>
      </c>
      <c r="F4942">
        <f>Prices!F4942</f>
        <v/>
      </c>
      <c r="G4942">
        <f>IF(AND(4940&gt;=16,TEXT(A4942,"yyyy-mm")&lt;&gt;TEXT(A4943,"yyyy-mm")),1,0)</f>
        <v/>
      </c>
      <c r="H4942">
        <f>IF(OR(H4941=1,G4942=1),1,0)</f>
        <v/>
      </c>
      <c r="I4942">
        <f>IF(H4941=0,1,SUMPRODUCT(J4941:N4941,B4942:F4942)+O4941*(1+0.00023125256064071564))</f>
        <v/>
      </c>
      <c r="J4942">
        <f>IF(G4942=1,0.2*R4942/B4942,J4941)</f>
        <v/>
      </c>
      <c r="K4942">
        <f>IF(G4942=1,0.2*R4942/C4942,K4941)</f>
        <v/>
      </c>
      <c r="L4942">
        <f>IF(G4942=1,0.2*R4942/D4942,L4941)</f>
        <v/>
      </c>
      <c r="M4942">
        <f>IF(G4942=1,0.2*R4942/E4942,M4941)</f>
        <v/>
      </c>
      <c r="N4942">
        <f>IF(G4942=1,0.2*R4942/F4942,N4941)</f>
        <v/>
      </c>
      <c r="O4942">
        <f>IF(G4942=1,R4942*(1-1.0),IF(H4941=0,1,O4941*(1+0.00023125256064071564)))</f>
        <v/>
      </c>
      <c r="P4942">
        <f>IF(G4942=1,IF(H4941=0,1,ABS(0.2-J4941*B4942/I4942)+ABS(0.2-K4941*C4942/I4942)+ABS(0.2-L4941*D4942/I4942)+ABS(0.2-M4941*E4942/I4942)+ABS(0.2-N4941*F4942/I4942)),0)</f>
        <v/>
      </c>
      <c r="Q4942">
        <f>P4942*0.0015</f>
        <v/>
      </c>
      <c r="R4942">
        <f>I4942*(1-Q4942)</f>
        <v/>
      </c>
      <c r="S4942">
        <f>R4942/R4941-1</f>
        <v/>
      </c>
      <c r="T4942">
        <f>MAX(T4941,R4942)</f>
        <v/>
      </c>
      <c r="U4942">
        <f>R4942/T4942-1</f>
        <v/>
      </c>
      <c r="V4942" t="n">
        <v>24.95650103803098</v>
      </c>
      <c r="W4942" s="5">
        <f>R4942-V4942</f>
        <v/>
      </c>
    </row>
    <row r="4943">
      <c r="A4943" s="3" t="n">
        <v>45716</v>
      </c>
      <c r="B4943">
        <f>Prices!B4943</f>
        <v/>
      </c>
      <c r="C4943">
        <f>Prices!C4943</f>
        <v/>
      </c>
      <c r="D4943">
        <f>Prices!D4943</f>
        <v/>
      </c>
      <c r="E4943">
        <f>Prices!E4943</f>
        <v/>
      </c>
      <c r="F4943">
        <f>Prices!F4943</f>
        <v/>
      </c>
      <c r="G4943">
        <f>IF(AND(4941&gt;=16,TEXT(A4943,"yyyy-mm")&lt;&gt;TEXT(A4944,"yyyy-mm")),1,0)</f>
        <v/>
      </c>
      <c r="H4943">
        <f>IF(OR(H4942=1,G4943=1),1,0)</f>
        <v/>
      </c>
      <c r="I4943">
        <f>IF(H4942=0,1,SUMPRODUCT(J4942:N4942,B4943:F4943)+O4942*(1+0.00023125256064071564))</f>
        <v/>
      </c>
      <c r="J4943">
        <f>IF(G4943=1,0.2*R4943/B4943,J4942)</f>
        <v/>
      </c>
      <c r="K4943">
        <f>IF(G4943=1,0.2*R4943/C4943,K4942)</f>
        <v/>
      </c>
      <c r="L4943">
        <f>IF(G4943=1,0.2*R4943/D4943,L4942)</f>
        <v/>
      </c>
      <c r="M4943">
        <f>IF(G4943=1,0.2*R4943/E4943,M4942)</f>
        <v/>
      </c>
      <c r="N4943">
        <f>IF(G4943=1,0.2*R4943/F4943,N4942)</f>
        <v/>
      </c>
      <c r="O4943">
        <f>IF(G4943=1,R4943*(1-1.0),IF(H4942=0,1,O4942*(1+0.00023125256064071564)))</f>
        <v/>
      </c>
      <c r="P4943">
        <f>IF(G4943=1,IF(H4942=0,1,ABS(0.2-J4942*B4943/I4943)+ABS(0.2-K4942*C4943/I4943)+ABS(0.2-L4942*D4943/I4943)+ABS(0.2-M4942*E4943/I4943)+ABS(0.2-N4942*F4943/I4943)),0)</f>
        <v/>
      </c>
      <c r="Q4943">
        <f>P4943*0.0015</f>
        <v/>
      </c>
      <c r="R4943">
        <f>I4943*(1-Q4943)</f>
        <v/>
      </c>
      <c r="S4943">
        <f>R4943/R4942-1</f>
        <v/>
      </c>
      <c r="T4943">
        <f>MAX(T4942,R4943)</f>
        <v/>
      </c>
      <c r="U4943">
        <f>R4943/T4943-1</f>
        <v/>
      </c>
      <c r="V4943" t="n">
        <v>24.31542035759614</v>
      </c>
      <c r="W4943" s="5">
        <f>R4943-V4943</f>
        <v/>
      </c>
    </row>
    <row r="4944">
      <c r="A4944" s="3" t="n">
        <v>45719</v>
      </c>
      <c r="B4944">
        <f>Prices!B4944</f>
        <v/>
      </c>
      <c r="C4944">
        <f>Prices!C4944</f>
        <v/>
      </c>
      <c r="D4944">
        <f>Prices!D4944</f>
        <v/>
      </c>
      <c r="E4944">
        <f>Prices!E4944</f>
        <v/>
      </c>
      <c r="F4944">
        <f>Prices!F4944</f>
        <v/>
      </c>
      <c r="G4944">
        <f>IF(AND(4942&gt;=16,TEXT(A4944,"yyyy-mm")&lt;&gt;TEXT(A4945,"yyyy-mm")),1,0)</f>
        <v/>
      </c>
      <c r="H4944">
        <f>IF(OR(H4943=1,G4944=1),1,0)</f>
        <v/>
      </c>
      <c r="I4944">
        <f>IF(H4943=0,1,SUMPRODUCT(J4943:N4943,B4944:F4944)+O4943*(1+0.00023125256064071564))</f>
        <v/>
      </c>
      <c r="J4944">
        <f>IF(G4944=1,0.2*R4944/B4944,J4943)</f>
        <v/>
      </c>
      <c r="K4944">
        <f>IF(G4944=1,0.2*R4944/C4944,K4943)</f>
        <v/>
      </c>
      <c r="L4944">
        <f>IF(G4944=1,0.2*R4944/D4944,L4943)</f>
        <v/>
      </c>
      <c r="M4944">
        <f>IF(G4944=1,0.2*R4944/E4944,M4943)</f>
        <v/>
      </c>
      <c r="N4944">
        <f>IF(G4944=1,0.2*R4944/F4944,N4943)</f>
        <v/>
      </c>
      <c r="O4944">
        <f>IF(G4944=1,R4944*(1-1.0),IF(H4943=0,1,O4943*(1+0.00023125256064071564)))</f>
        <v/>
      </c>
      <c r="P4944">
        <f>IF(G4944=1,IF(H4943=0,1,ABS(0.2-J4943*B4944/I4944)+ABS(0.2-K4943*C4944/I4944)+ABS(0.2-L4943*D4944/I4944)+ABS(0.2-M4943*E4944/I4944)+ABS(0.2-N4943*F4944/I4944)),0)</f>
        <v/>
      </c>
      <c r="Q4944">
        <f>P4944*0.0015</f>
        <v/>
      </c>
      <c r="R4944">
        <f>I4944*(1-Q4944)</f>
        <v/>
      </c>
      <c r="S4944">
        <f>R4944/R4943-1</f>
        <v/>
      </c>
      <c r="T4944">
        <f>MAX(T4943,R4944)</f>
        <v/>
      </c>
      <c r="U4944">
        <f>R4944/T4944-1</f>
        <v/>
      </c>
      <c r="V4944" t="n">
        <v>24.37397994152212</v>
      </c>
      <c r="W4944" s="5">
        <f>R4944-V4944</f>
        <v/>
      </c>
    </row>
    <row r="4945">
      <c r="A4945" s="3" t="n">
        <v>45720</v>
      </c>
      <c r="B4945">
        <f>Prices!B4945</f>
        <v/>
      </c>
      <c r="C4945">
        <f>Prices!C4945</f>
        <v/>
      </c>
      <c r="D4945">
        <f>Prices!D4945</f>
        <v/>
      </c>
      <c r="E4945">
        <f>Prices!E4945</f>
        <v/>
      </c>
      <c r="F4945">
        <f>Prices!F4945</f>
        <v/>
      </c>
      <c r="G4945">
        <f>IF(AND(4943&gt;=16,TEXT(A4945,"yyyy-mm")&lt;&gt;TEXT(A4946,"yyyy-mm")),1,0)</f>
        <v/>
      </c>
      <c r="H4945">
        <f>IF(OR(H4944=1,G4945=1),1,0)</f>
        <v/>
      </c>
      <c r="I4945">
        <f>IF(H4944=0,1,SUMPRODUCT(J4944:N4944,B4945:F4945)+O4944*(1+0.00023125256064071564))</f>
        <v/>
      </c>
      <c r="J4945">
        <f>IF(G4945=1,0.2*R4945/B4945,J4944)</f>
        <v/>
      </c>
      <c r="K4945">
        <f>IF(G4945=1,0.2*R4945/C4945,K4944)</f>
        <v/>
      </c>
      <c r="L4945">
        <f>IF(G4945=1,0.2*R4945/D4945,L4944)</f>
        <v/>
      </c>
      <c r="M4945">
        <f>IF(G4945=1,0.2*R4945/E4945,M4944)</f>
        <v/>
      </c>
      <c r="N4945">
        <f>IF(G4945=1,0.2*R4945/F4945,N4944)</f>
        <v/>
      </c>
      <c r="O4945">
        <f>IF(G4945=1,R4945*(1-1.0),IF(H4944=0,1,O4944*(1+0.00023125256064071564)))</f>
        <v/>
      </c>
      <c r="P4945">
        <f>IF(G4945=1,IF(H4944=0,1,ABS(0.2-J4944*B4945/I4945)+ABS(0.2-K4944*C4945/I4945)+ABS(0.2-L4944*D4945/I4945)+ABS(0.2-M4944*E4945/I4945)+ABS(0.2-N4944*F4945/I4945)),0)</f>
        <v/>
      </c>
      <c r="Q4945">
        <f>P4945*0.0015</f>
        <v/>
      </c>
      <c r="R4945">
        <f>I4945*(1-Q4945)</f>
        <v/>
      </c>
      <c r="S4945">
        <f>R4945/R4944-1</f>
        <v/>
      </c>
      <c r="T4945">
        <f>MAX(T4944,R4945)</f>
        <v/>
      </c>
      <c r="U4945">
        <f>R4945/T4945-1</f>
        <v/>
      </c>
      <c r="V4945" t="n">
        <v>24.44204988885405</v>
      </c>
      <c r="W4945" s="5">
        <f>R4945-V4945</f>
        <v/>
      </c>
    </row>
    <row r="4946">
      <c r="A4946" s="3" t="n">
        <v>45721</v>
      </c>
      <c r="B4946">
        <f>Prices!B4946</f>
        <v/>
      </c>
      <c r="C4946">
        <f>Prices!C4946</f>
        <v/>
      </c>
      <c r="D4946">
        <f>Prices!D4946</f>
        <v/>
      </c>
      <c r="E4946">
        <f>Prices!E4946</f>
        <v/>
      </c>
      <c r="F4946">
        <f>Prices!F4946</f>
        <v/>
      </c>
      <c r="G4946">
        <f>IF(AND(4944&gt;=16,TEXT(A4946,"yyyy-mm")&lt;&gt;TEXT(A4947,"yyyy-mm")),1,0)</f>
        <v/>
      </c>
      <c r="H4946">
        <f>IF(OR(H4945=1,G4946=1),1,0)</f>
        <v/>
      </c>
      <c r="I4946">
        <f>IF(H4945=0,1,SUMPRODUCT(J4945:N4945,B4946:F4946)+O4945*(1+0.00023125256064071564))</f>
        <v/>
      </c>
      <c r="J4946">
        <f>IF(G4946=1,0.2*R4946/B4946,J4945)</f>
        <v/>
      </c>
      <c r="K4946">
        <f>IF(G4946=1,0.2*R4946/C4946,K4945)</f>
        <v/>
      </c>
      <c r="L4946">
        <f>IF(G4946=1,0.2*R4946/D4946,L4945)</f>
        <v/>
      </c>
      <c r="M4946">
        <f>IF(G4946=1,0.2*R4946/E4946,M4945)</f>
        <v/>
      </c>
      <c r="N4946">
        <f>IF(G4946=1,0.2*R4946/F4946,N4945)</f>
        <v/>
      </c>
      <c r="O4946">
        <f>IF(G4946=1,R4946*(1-1.0),IF(H4945=0,1,O4945*(1+0.00023125256064071564)))</f>
        <v/>
      </c>
      <c r="P4946">
        <f>IF(G4946=1,IF(H4945=0,1,ABS(0.2-J4945*B4946/I4946)+ABS(0.2-K4945*C4946/I4946)+ABS(0.2-L4945*D4946/I4946)+ABS(0.2-M4945*E4946/I4946)+ABS(0.2-N4945*F4946/I4946)),0)</f>
        <v/>
      </c>
      <c r="Q4946">
        <f>P4946*0.0015</f>
        <v/>
      </c>
      <c r="R4946">
        <f>I4946*(1-Q4946)</f>
        <v/>
      </c>
      <c r="S4946">
        <f>R4946/R4945-1</f>
        <v/>
      </c>
      <c r="T4946">
        <f>MAX(T4945,R4946)</f>
        <v/>
      </c>
      <c r="U4946">
        <f>R4946/T4946-1</f>
        <v/>
      </c>
      <c r="V4946" t="n">
        <v>25.01756338370266</v>
      </c>
      <c r="W4946" s="5">
        <f>R4946-V4946</f>
        <v/>
      </c>
    </row>
    <row r="4947">
      <c r="A4947" s="3" t="n">
        <v>45722</v>
      </c>
      <c r="B4947">
        <f>Prices!B4947</f>
        <v/>
      </c>
      <c r="C4947">
        <f>Prices!C4947</f>
        <v/>
      </c>
      <c r="D4947">
        <f>Prices!D4947</f>
        <v/>
      </c>
      <c r="E4947">
        <f>Prices!E4947</f>
        <v/>
      </c>
      <c r="F4947">
        <f>Prices!F4947</f>
        <v/>
      </c>
      <c r="G4947">
        <f>IF(AND(4945&gt;=16,TEXT(A4947,"yyyy-mm")&lt;&gt;TEXT(A4948,"yyyy-mm")),1,0)</f>
        <v/>
      </c>
      <c r="H4947">
        <f>IF(OR(H4946=1,G4947=1),1,0)</f>
        <v/>
      </c>
      <c r="I4947">
        <f>IF(H4946=0,1,SUMPRODUCT(J4946:N4946,B4947:F4947)+O4946*(1+0.00023125256064071564))</f>
        <v/>
      </c>
      <c r="J4947">
        <f>IF(G4947=1,0.2*R4947/B4947,J4946)</f>
        <v/>
      </c>
      <c r="K4947">
        <f>IF(G4947=1,0.2*R4947/C4947,K4946)</f>
        <v/>
      </c>
      <c r="L4947">
        <f>IF(G4947=1,0.2*R4947/D4947,L4946)</f>
        <v/>
      </c>
      <c r="M4947">
        <f>IF(G4947=1,0.2*R4947/E4947,M4946)</f>
        <v/>
      </c>
      <c r="N4947">
        <f>IF(G4947=1,0.2*R4947/F4947,N4946)</f>
        <v/>
      </c>
      <c r="O4947">
        <f>IF(G4947=1,R4947*(1-1.0),IF(H4946=0,1,O4946*(1+0.00023125256064071564)))</f>
        <v/>
      </c>
      <c r="P4947">
        <f>IF(G4947=1,IF(H4946=0,1,ABS(0.2-J4946*B4947/I4947)+ABS(0.2-K4946*C4947/I4947)+ABS(0.2-L4946*D4947/I4947)+ABS(0.2-M4946*E4947/I4947)+ABS(0.2-N4946*F4947/I4947)),0)</f>
        <v/>
      </c>
      <c r="Q4947">
        <f>P4947*0.0015</f>
        <v/>
      </c>
      <c r="R4947">
        <f>I4947*(1-Q4947)</f>
        <v/>
      </c>
      <c r="S4947">
        <f>R4947/R4946-1</f>
        <v/>
      </c>
      <c r="T4947">
        <f>MAX(T4946,R4947)</f>
        <v/>
      </c>
      <c r="U4947">
        <f>R4947/T4947-1</f>
        <v/>
      </c>
      <c r="V4947" t="n">
        <v>25.24722740253865</v>
      </c>
      <c r="W4947" s="5">
        <f>R4947-V4947</f>
        <v/>
      </c>
    </row>
    <row r="4948">
      <c r="A4948" s="3" t="n">
        <v>45723</v>
      </c>
      <c r="B4948">
        <f>Prices!B4948</f>
        <v/>
      </c>
      <c r="C4948">
        <f>Prices!C4948</f>
        <v/>
      </c>
      <c r="D4948">
        <f>Prices!D4948</f>
        <v/>
      </c>
      <c r="E4948">
        <f>Prices!E4948</f>
        <v/>
      </c>
      <c r="F4948">
        <f>Prices!F4948</f>
        <v/>
      </c>
      <c r="G4948">
        <f>IF(AND(4946&gt;=16,TEXT(A4948,"yyyy-mm")&lt;&gt;TEXT(A4949,"yyyy-mm")),1,0)</f>
        <v/>
      </c>
      <c r="H4948">
        <f>IF(OR(H4947=1,G4948=1),1,0)</f>
        <v/>
      </c>
      <c r="I4948">
        <f>IF(H4947=0,1,SUMPRODUCT(J4947:N4947,B4948:F4948)+O4947*(1+0.00023125256064071564))</f>
        <v/>
      </c>
      <c r="J4948">
        <f>IF(G4948=1,0.2*R4948/B4948,J4947)</f>
        <v/>
      </c>
      <c r="K4948">
        <f>IF(G4948=1,0.2*R4948/C4948,K4947)</f>
        <v/>
      </c>
      <c r="L4948">
        <f>IF(G4948=1,0.2*R4948/D4948,L4947)</f>
        <v/>
      </c>
      <c r="M4948">
        <f>IF(G4948=1,0.2*R4948/E4948,M4947)</f>
        <v/>
      </c>
      <c r="N4948">
        <f>IF(G4948=1,0.2*R4948/F4948,N4947)</f>
        <v/>
      </c>
      <c r="O4948">
        <f>IF(G4948=1,R4948*(1-1.0),IF(H4947=0,1,O4947*(1+0.00023125256064071564)))</f>
        <v/>
      </c>
      <c r="P4948">
        <f>IF(G4948=1,IF(H4947=0,1,ABS(0.2-J4947*B4948/I4948)+ABS(0.2-K4947*C4948/I4948)+ABS(0.2-L4947*D4948/I4948)+ABS(0.2-M4947*E4948/I4948)+ABS(0.2-N4947*F4948/I4948)),0)</f>
        <v/>
      </c>
      <c r="Q4948">
        <f>P4948*0.0015</f>
        <v/>
      </c>
      <c r="R4948">
        <f>I4948*(1-Q4948)</f>
        <v/>
      </c>
      <c r="S4948">
        <f>R4948/R4947-1</f>
        <v/>
      </c>
      <c r="T4948">
        <f>MAX(T4947,R4948)</f>
        <v/>
      </c>
      <c r="U4948">
        <f>R4948/T4948-1</f>
        <v/>
      </c>
      <c r="V4948" t="n">
        <v>25.25321489842135</v>
      </c>
      <c r="W4948" s="5">
        <f>R4948-V4948</f>
        <v/>
      </c>
    </row>
    <row r="4949">
      <c r="A4949" s="3" t="n">
        <v>45726</v>
      </c>
      <c r="B4949">
        <f>Prices!B4949</f>
        <v/>
      </c>
      <c r="C4949">
        <f>Prices!C4949</f>
        <v/>
      </c>
      <c r="D4949">
        <f>Prices!D4949</f>
        <v/>
      </c>
      <c r="E4949">
        <f>Prices!E4949</f>
        <v/>
      </c>
      <c r="F4949">
        <f>Prices!F4949</f>
        <v/>
      </c>
      <c r="G4949">
        <f>IF(AND(4947&gt;=16,TEXT(A4949,"yyyy-mm")&lt;&gt;TEXT(A4950,"yyyy-mm")),1,0)</f>
        <v/>
      </c>
      <c r="H4949">
        <f>IF(OR(H4948=1,G4949=1),1,0)</f>
        <v/>
      </c>
      <c r="I4949">
        <f>IF(H4948=0,1,SUMPRODUCT(J4948:N4948,B4949:F4949)+O4948*(1+0.00023125256064071564))</f>
        <v/>
      </c>
      <c r="J4949">
        <f>IF(G4949=1,0.2*R4949/B4949,J4948)</f>
        <v/>
      </c>
      <c r="K4949">
        <f>IF(G4949=1,0.2*R4949/C4949,K4948)</f>
        <v/>
      </c>
      <c r="L4949">
        <f>IF(G4949=1,0.2*R4949/D4949,L4948)</f>
        <v/>
      </c>
      <c r="M4949">
        <f>IF(G4949=1,0.2*R4949/E4949,M4948)</f>
        <v/>
      </c>
      <c r="N4949">
        <f>IF(G4949=1,0.2*R4949/F4949,N4948)</f>
        <v/>
      </c>
      <c r="O4949">
        <f>IF(G4949=1,R4949*(1-1.0),IF(H4948=0,1,O4948*(1+0.00023125256064071564)))</f>
        <v/>
      </c>
      <c r="P4949">
        <f>IF(G4949=1,IF(H4948=0,1,ABS(0.2-J4948*B4949/I4949)+ABS(0.2-K4948*C4949/I4949)+ABS(0.2-L4948*D4949/I4949)+ABS(0.2-M4948*E4949/I4949)+ABS(0.2-N4948*F4949/I4949)),0)</f>
        <v/>
      </c>
      <c r="Q4949">
        <f>P4949*0.0015</f>
        <v/>
      </c>
      <c r="R4949">
        <f>I4949*(1-Q4949)</f>
        <v/>
      </c>
      <c r="S4949">
        <f>R4949/R4948-1</f>
        <v/>
      </c>
      <c r="T4949">
        <f>MAX(T4948,R4949)</f>
        <v/>
      </c>
      <c r="U4949">
        <f>R4949/T4949-1</f>
        <v/>
      </c>
      <c r="V4949" t="n">
        <v>24.83839855799001</v>
      </c>
      <c r="W4949" s="5">
        <f>R4949-V4949</f>
        <v/>
      </c>
    </row>
    <row r="4950">
      <c r="A4950" s="3" t="n">
        <v>45727</v>
      </c>
      <c r="B4950">
        <f>Prices!B4950</f>
        <v/>
      </c>
      <c r="C4950">
        <f>Prices!C4950</f>
        <v/>
      </c>
      <c r="D4950">
        <f>Prices!D4950</f>
        <v/>
      </c>
      <c r="E4950">
        <f>Prices!E4950</f>
        <v/>
      </c>
      <c r="F4950">
        <f>Prices!F4950</f>
        <v/>
      </c>
      <c r="G4950">
        <f>IF(AND(4948&gt;=16,TEXT(A4950,"yyyy-mm")&lt;&gt;TEXT(A4951,"yyyy-mm")),1,0)</f>
        <v/>
      </c>
      <c r="H4950">
        <f>IF(OR(H4949=1,G4950=1),1,0)</f>
        <v/>
      </c>
      <c r="I4950">
        <f>IF(H4949=0,1,SUMPRODUCT(J4949:N4949,B4950:F4950)+O4949*(1+0.00023125256064071564))</f>
        <v/>
      </c>
      <c r="J4950">
        <f>IF(G4950=1,0.2*R4950/B4950,J4949)</f>
        <v/>
      </c>
      <c r="K4950">
        <f>IF(G4950=1,0.2*R4950/C4950,K4949)</f>
        <v/>
      </c>
      <c r="L4950">
        <f>IF(G4950=1,0.2*R4950/D4950,L4949)</f>
        <v/>
      </c>
      <c r="M4950">
        <f>IF(G4950=1,0.2*R4950/E4950,M4949)</f>
        <v/>
      </c>
      <c r="N4950">
        <f>IF(G4950=1,0.2*R4950/F4950,N4949)</f>
        <v/>
      </c>
      <c r="O4950">
        <f>IF(G4950=1,R4950*(1-1.0),IF(H4949=0,1,O4949*(1+0.00023125256064071564)))</f>
        <v/>
      </c>
      <c r="P4950">
        <f>IF(G4950=1,IF(H4949=0,1,ABS(0.2-J4949*B4950/I4950)+ABS(0.2-K4949*C4950/I4950)+ABS(0.2-L4949*D4950/I4950)+ABS(0.2-M4949*E4950/I4950)+ABS(0.2-N4949*F4950/I4950)),0)</f>
        <v/>
      </c>
      <c r="Q4950">
        <f>P4950*0.0015</f>
        <v/>
      </c>
      <c r="R4950">
        <f>I4950*(1-Q4950)</f>
        <v/>
      </c>
      <c r="S4950">
        <f>R4950/R4949-1</f>
        <v/>
      </c>
      <c r="T4950">
        <f>MAX(T4949,R4950)</f>
        <v/>
      </c>
      <c r="U4950">
        <f>R4950/T4950-1</f>
        <v/>
      </c>
      <c r="V4950" t="n">
        <v>24.87501311606441</v>
      </c>
      <c r="W4950" s="5">
        <f>R4950-V4950</f>
        <v/>
      </c>
    </row>
    <row r="4951">
      <c r="A4951" s="3" t="n">
        <v>45728</v>
      </c>
      <c r="B4951">
        <f>Prices!B4951</f>
        <v/>
      </c>
      <c r="C4951">
        <f>Prices!C4951</f>
        <v/>
      </c>
      <c r="D4951">
        <f>Prices!D4951</f>
        <v/>
      </c>
      <c r="E4951">
        <f>Prices!E4951</f>
        <v/>
      </c>
      <c r="F4951">
        <f>Prices!F4951</f>
        <v/>
      </c>
      <c r="G4951">
        <f>IF(AND(4949&gt;=16,TEXT(A4951,"yyyy-mm")&lt;&gt;TEXT(A4952,"yyyy-mm")),1,0)</f>
        <v/>
      </c>
      <c r="H4951">
        <f>IF(OR(H4950=1,G4951=1),1,0)</f>
        <v/>
      </c>
      <c r="I4951">
        <f>IF(H4950=0,1,SUMPRODUCT(J4950:N4950,B4951:F4951)+O4950*(1+0.00023125256064071564))</f>
        <v/>
      </c>
      <c r="J4951">
        <f>IF(G4951=1,0.2*R4951/B4951,J4950)</f>
        <v/>
      </c>
      <c r="K4951">
        <f>IF(G4951=1,0.2*R4951/C4951,K4950)</f>
        <v/>
      </c>
      <c r="L4951">
        <f>IF(G4951=1,0.2*R4951/D4951,L4950)</f>
        <v/>
      </c>
      <c r="M4951">
        <f>IF(G4951=1,0.2*R4951/E4951,M4950)</f>
        <v/>
      </c>
      <c r="N4951">
        <f>IF(G4951=1,0.2*R4951/F4951,N4950)</f>
        <v/>
      </c>
      <c r="O4951">
        <f>IF(G4951=1,R4951*(1-1.0),IF(H4950=0,1,O4950*(1+0.00023125256064071564)))</f>
        <v/>
      </c>
      <c r="P4951">
        <f>IF(G4951=1,IF(H4950=0,1,ABS(0.2-J4950*B4951/I4951)+ABS(0.2-K4950*C4951/I4951)+ABS(0.2-L4950*D4951/I4951)+ABS(0.2-M4950*E4951/I4951)+ABS(0.2-N4950*F4951/I4951)),0)</f>
        <v/>
      </c>
      <c r="Q4951">
        <f>P4951*0.0015</f>
        <v/>
      </c>
      <c r="R4951">
        <f>I4951*(1-Q4951)</f>
        <v/>
      </c>
      <c r="S4951">
        <f>R4951/R4950-1</f>
        <v/>
      </c>
      <c r="T4951">
        <f>MAX(T4950,R4951)</f>
        <v/>
      </c>
      <c r="U4951">
        <f>R4951/T4951-1</f>
        <v/>
      </c>
      <c r="V4951" t="n">
        <v>24.79809611144211</v>
      </c>
      <c r="W4951" s="5">
        <f>R4951-V4951</f>
        <v/>
      </c>
    </row>
    <row r="4952">
      <c r="A4952" s="3" t="n">
        <v>45729</v>
      </c>
      <c r="B4952">
        <f>Prices!B4952</f>
        <v/>
      </c>
      <c r="C4952">
        <f>Prices!C4952</f>
        <v/>
      </c>
      <c r="D4952">
        <f>Prices!D4952</f>
        <v/>
      </c>
      <c r="E4952">
        <f>Prices!E4952</f>
        <v/>
      </c>
      <c r="F4952">
        <f>Prices!F4952</f>
        <v/>
      </c>
      <c r="G4952">
        <f>IF(AND(4950&gt;=16,TEXT(A4952,"yyyy-mm")&lt;&gt;TEXT(A4953,"yyyy-mm")),1,0)</f>
        <v/>
      </c>
      <c r="H4952">
        <f>IF(OR(H4951=1,G4952=1),1,0)</f>
        <v/>
      </c>
      <c r="I4952">
        <f>IF(H4951=0,1,SUMPRODUCT(J4951:N4951,B4952:F4952)+O4951*(1+0.00023125256064071564))</f>
        <v/>
      </c>
      <c r="J4952">
        <f>IF(G4952=1,0.2*R4952/B4952,J4951)</f>
        <v/>
      </c>
      <c r="K4952">
        <f>IF(G4952=1,0.2*R4952/C4952,K4951)</f>
        <v/>
      </c>
      <c r="L4952">
        <f>IF(G4952=1,0.2*R4952/D4952,L4951)</f>
        <v/>
      </c>
      <c r="M4952">
        <f>IF(G4952=1,0.2*R4952/E4952,M4951)</f>
        <v/>
      </c>
      <c r="N4952">
        <f>IF(G4952=1,0.2*R4952/F4952,N4951)</f>
        <v/>
      </c>
      <c r="O4952">
        <f>IF(G4952=1,R4952*(1-1.0),IF(H4951=0,1,O4951*(1+0.00023125256064071564)))</f>
        <v/>
      </c>
      <c r="P4952">
        <f>IF(G4952=1,IF(H4951=0,1,ABS(0.2-J4951*B4952/I4952)+ABS(0.2-K4951*C4952/I4952)+ABS(0.2-L4951*D4952/I4952)+ABS(0.2-M4951*E4952/I4952)+ABS(0.2-N4951*F4952/I4952)),0)</f>
        <v/>
      </c>
      <c r="Q4952">
        <f>P4952*0.0015</f>
        <v/>
      </c>
      <c r="R4952">
        <f>I4952*(1-Q4952)</f>
        <v/>
      </c>
      <c r="S4952">
        <f>R4952/R4951-1</f>
        <v/>
      </c>
      <c r="T4952">
        <f>MAX(T4951,R4952)</f>
        <v/>
      </c>
      <c r="U4952">
        <f>R4952/T4952-1</f>
        <v/>
      </c>
      <c r="V4952" t="n">
        <v>24.67723173056995</v>
      </c>
      <c r="W4952" s="5">
        <f>R4952-V4952</f>
        <v/>
      </c>
    </row>
    <row r="4953">
      <c r="A4953" s="3" t="n">
        <v>45733</v>
      </c>
      <c r="B4953">
        <f>Prices!B4953</f>
        <v/>
      </c>
      <c r="C4953">
        <f>Prices!C4953</f>
        <v/>
      </c>
      <c r="D4953">
        <f>Prices!D4953</f>
        <v/>
      </c>
      <c r="E4953">
        <f>Prices!E4953</f>
        <v/>
      </c>
      <c r="F4953">
        <f>Prices!F4953</f>
        <v/>
      </c>
      <c r="G4953">
        <f>IF(AND(4951&gt;=16,TEXT(A4953,"yyyy-mm")&lt;&gt;TEXT(A4954,"yyyy-mm")),1,0)</f>
        <v/>
      </c>
      <c r="H4953">
        <f>IF(OR(H4952=1,G4953=1),1,0)</f>
        <v/>
      </c>
      <c r="I4953">
        <f>IF(H4952=0,1,SUMPRODUCT(J4952:N4952,B4953:F4953)+O4952*(1+0.00023125256064071564))</f>
        <v/>
      </c>
      <c r="J4953">
        <f>IF(G4953=1,0.2*R4953/B4953,J4952)</f>
        <v/>
      </c>
      <c r="K4953">
        <f>IF(G4953=1,0.2*R4953/C4953,K4952)</f>
        <v/>
      </c>
      <c r="L4953">
        <f>IF(G4953=1,0.2*R4953/D4953,L4952)</f>
        <v/>
      </c>
      <c r="M4953">
        <f>IF(G4953=1,0.2*R4953/E4953,M4952)</f>
        <v/>
      </c>
      <c r="N4953">
        <f>IF(G4953=1,0.2*R4953/F4953,N4952)</f>
        <v/>
      </c>
      <c r="O4953">
        <f>IF(G4953=1,R4953*(1-1.0),IF(H4952=0,1,O4952*(1+0.00023125256064071564)))</f>
        <v/>
      </c>
      <c r="P4953">
        <f>IF(G4953=1,IF(H4952=0,1,ABS(0.2-J4952*B4953/I4953)+ABS(0.2-K4952*C4953/I4953)+ABS(0.2-L4952*D4953/I4953)+ABS(0.2-M4952*E4953/I4953)+ABS(0.2-N4952*F4953/I4953)),0)</f>
        <v/>
      </c>
      <c r="Q4953">
        <f>P4953*0.0015</f>
        <v/>
      </c>
      <c r="R4953">
        <f>I4953*(1-Q4953)</f>
        <v/>
      </c>
      <c r="S4953">
        <f>R4953/R4952-1</f>
        <v/>
      </c>
      <c r="T4953">
        <f>MAX(T4952,R4953)</f>
        <v/>
      </c>
      <c r="U4953">
        <f>R4953/T4953-1</f>
        <v/>
      </c>
      <c r="V4953" t="n">
        <v>24.85312249278479</v>
      </c>
      <c r="W4953" s="5">
        <f>R4953-V4953</f>
        <v/>
      </c>
    </row>
    <row r="4954">
      <c r="A4954" s="3" t="n">
        <v>45734</v>
      </c>
      <c r="B4954">
        <f>Prices!B4954</f>
        <v/>
      </c>
      <c r="C4954">
        <f>Prices!C4954</f>
        <v/>
      </c>
      <c r="D4954">
        <f>Prices!D4954</f>
        <v/>
      </c>
      <c r="E4954">
        <f>Prices!E4954</f>
        <v/>
      </c>
      <c r="F4954">
        <f>Prices!F4954</f>
        <v/>
      </c>
      <c r="G4954">
        <f>IF(AND(4952&gt;=16,TEXT(A4954,"yyyy-mm")&lt;&gt;TEXT(A4955,"yyyy-mm")),1,0)</f>
        <v/>
      </c>
      <c r="H4954">
        <f>IF(OR(H4953=1,G4954=1),1,0)</f>
        <v/>
      </c>
      <c r="I4954">
        <f>IF(H4953=0,1,SUMPRODUCT(J4953:N4953,B4954:F4954)+O4953*(1+0.00023125256064071564))</f>
        <v/>
      </c>
      <c r="J4954">
        <f>IF(G4954=1,0.2*R4954/B4954,J4953)</f>
        <v/>
      </c>
      <c r="K4954">
        <f>IF(G4954=1,0.2*R4954/C4954,K4953)</f>
        <v/>
      </c>
      <c r="L4954">
        <f>IF(G4954=1,0.2*R4954/D4954,L4953)</f>
        <v/>
      </c>
      <c r="M4954">
        <f>IF(G4954=1,0.2*R4954/E4954,M4953)</f>
        <v/>
      </c>
      <c r="N4954">
        <f>IF(G4954=1,0.2*R4954/F4954,N4953)</f>
        <v/>
      </c>
      <c r="O4954">
        <f>IF(G4954=1,R4954*(1-1.0),IF(H4953=0,1,O4953*(1+0.00023125256064071564)))</f>
        <v/>
      </c>
      <c r="P4954">
        <f>IF(G4954=1,IF(H4953=0,1,ABS(0.2-J4953*B4954/I4954)+ABS(0.2-K4953*C4954/I4954)+ABS(0.2-L4953*D4954/I4954)+ABS(0.2-M4953*E4954/I4954)+ABS(0.2-N4953*F4954/I4954)),0)</f>
        <v/>
      </c>
      <c r="Q4954">
        <f>P4954*0.0015</f>
        <v/>
      </c>
      <c r="R4954">
        <f>I4954*(1-Q4954)</f>
        <v/>
      </c>
      <c r="S4954">
        <f>R4954/R4953-1</f>
        <v/>
      </c>
      <c r="T4954">
        <f>MAX(T4953,R4954)</f>
        <v/>
      </c>
      <c r="U4954">
        <f>R4954/T4954-1</f>
        <v/>
      </c>
      <c r="V4954" t="n">
        <v>25.41977363690956</v>
      </c>
      <c r="W4954" s="5">
        <f>R4954-V4954</f>
        <v/>
      </c>
    </row>
    <row r="4955">
      <c r="A4955" s="3" t="n">
        <v>45735</v>
      </c>
      <c r="B4955">
        <f>Prices!B4955</f>
        <v/>
      </c>
      <c r="C4955">
        <f>Prices!C4955</f>
        <v/>
      </c>
      <c r="D4955">
        <f>Prices!D4955</f>
        <v/>
      </c>
      <c r="E4955">
        <f>Prices!E4955</f>
        <v/>
      </c>
      <c r="F4955">
        <f>Prices!F4955</f>
        <v/>
      </c>
      <c r="G4955">
        <f>IF(AND(4953&gt;=16,TEXT(A4955,"yyyy-mm")&lt;&gt;TEXT(A4956,"yyyy-mm")),1,0)</f>
        <v/>
      </c>
      <c r="H4955">
        <f>IF(OR(H4954=1,G4955=1),1,0)</f>
        <v/>
      </c>
      <c r="I4955">
        <f>IF(H4954=0,1,SUMPRODUCT(J4954:N4954,B4955:F4955)+O4954*(1+0.00023125256064071564))</f>
        <v/>
      </c>
      <c r="J4955">
        <f>IF(G4955=1,0.2*R4955/B4955,J4954)</f>
        <v/>
      </c>
      <c r="K4955">
        <f>IF(G4955=1,0.2*R4955/C4955,K4954)</f>
        <v/>
      </c>
      <c r="L4955">
        <f>IF(G4955=1,0.2*R4955/D4955,L4954)</f>
        <v/>
      </c>
      <c r="M4955">
        <f>IF(G4955=1,0.2*R4955/E4955,M4954)</f>
        <v/>
      </c>
      <c r="N4955">
        <f>IF(G4955=1,0.2*R4955/F4955,N4954)</f>
        <v/>
      </c>
      <c r="O4955">
        <f>IF(G4955=1,R4955*(1-1.0),IF(H4954=0,1,O4954*(1+0.00023125256064071564)))</f>
        <v/>
      </c>
      <c r="P4955">
        <f>IF(G4955=1,IF(H4954=0,1,ABS(0.2-J4954*B4955/I4955)+ABS(0.2-K4954*C4955/I4955)+ABS(0.2-L4954*D4955/I4955)+ABS(0.2-M4954*E4955/I4955)+ABS(0.2-N4954*F4955/I4955)),0)</f>
        <v/>
      </c>
      <c r="Q4955">
        <f>P4955*0.0015</f>
        <v/>
      </c>
      <c r="R4955">
        <f>I4955*(1-Q4955)</f>
        <v/>
      </c>
      <c r="S4955">
        <f>R4955/R4954-1</f>
        <v/>
      </c>
      <c r="T4955">
        <f>MAX(T4954,R4955)</f>
        <v/>
      </c>
      <c r="U4955">
        <f>R4955/T4955-1</f>
        <v/>
      </c>
      <c r="V4955" t="n">
        <v>25.85168882621717</v>
      </c>
      <c r="W4955" s="5">
        <f>R4955-V4955</f>
        <v/>
      </c>
    </row>
    <row r="4956">
      <c r="A4956" s="3" t="n">
        <v>45736</v>
      </c>
      <c r="B4956">
        <f>Prices!B4956</f>
        <v/>
      </c>
      <c r="C4956">
        <f>Prices!C4956</f>
        <v/>
      </c>
      <c r="D4956">
        <f>Prices!D4956</f>
        <v/>
      </c>
      <c r="E4956">
        <f>Prices!E4956</f>
        <v/>
      </c>
      <c r="F4956">
        <f>Prices!F4956</f>
        <v/>
      </c>
      <c r="G4956">
        <f>IF(AND(4954&gt;=16,TEXT(A4956,"yyyy-mm")&lt;&gt;TEXT(A4957,"yyyy-mm")),1,0)</f>
        <v/>
      </c>
      <c r="H4956">
        <f>IF(OR(H4955=1,G4956=1),1,0)</f>
        <v/>
      </c>
      <c r="I4956">
        <f>IF(H4955=0,1,SUMPRODUCT(J4955:N4955,B4956:F4956)+O4955*(1+0.00023125256064071564))</f>
        <v/>
      </c>
      <c r="J4956">
        <f>IF(G4956=1,0.2*R4956/B4956,J4955)</f>
        <v/>
      </c>
      <c r="K4956">
        <f>IF(G4956=1,0.2*R4956/C4956,K4955)</f>
        <v/>
      </c>
      <c r="L4956">
        <f>IF(G4956=1,0.2*R4956/D4956,L4955)</f>
        <v/>
      </c>
      <c r="M4956">
        <f>IF(G4956=1,0.2*R4956/E4956,M4955)</f>
        <v/>
      </c>
      <c r="N4956">
        <f>IF(G4956=1,0.2*R4956/F4956,N4955)</f>
        <v/>
      </c>
      <c r="O4956">
        <f>IF(G4956=1,R4956*(1-1.0),IF(H4955=0,1,O4955*(1+0.00023125256064071564)))</f>
        <v/>
      </c>
      <c r="P4956">
        <f>IF(G4956=1,IF(H4955=0,1,ABS(0.2-J4955*B4956/I4956)+ABS(0.2-K4955*C4956/I4956)+ABS(0.2-L4955*D4956/I4956)+ABS(0.2-M4955*E4956/I4956)+ABS(0.2-N4955*F4956/I4956)),0)</f>
        <v/>
      </c>
      <c r="Q4956">
        <f>P4956*0.0015</f>
        <v/>
      </c>
      <c r="R4956">
        <f>I4956*(1-Q4956)</f>
        <v/>
      </c>
      <c r="S4956">
        <f>R4956/R4955-1</f>
        <v/>
      </c>
      <c r="T4956">
        <f>MAX(T4955,R4956)</f>
        <v/>
      </c>
      <c r="U4956">
        <f>R4956/T4956-1</f>
        <v/>
      </c>
      <c r="V4956" t="n">
        <v>26.0443977128434</v>
      </c>
      <c r="W4956" s="5">
        <f>R4956-V4956</f>
        <v/>
      </c>
    </row>
    <row r="4957">
      <c r="A4957" s="3" t="n">
        <v>45737</v>
      </c>
      <c r="B4957">
        <f>Prices!B4957</f>
        <v/>
      </c>
      <c r="C4957">
        <f>Prices!C4957</f>
        <v/>
      </c>
      <c r="D4957">
        <f>Prices!D4957</f>
        <v/>
      </c>
      <c r="E4957">
        <f>Prices!E4957</f>
        <v/>
      </c>
      <c r="F4957">
        <f>Prices!F4957</f>
        <v/>
      </c>
      <c r="G4957">
        <f>IF(AND(4955&gt;=16,TEXT(A4957,"yyyy-mm")&lt;&gt;TEXT(A4958,"yyyy-mm")),1,0)</f>
        <v/>
      </c>
      <c r="H4957">
        <f>IF(OR(H4956=1,G4957=1),1,0)</f>
        <v/>
      </c>
      <c r="I4957">
        <f>IF(H4956=0,1,SUMPRODUCT(J4956:N4956,B4957:F4957)+O4956*(1+0.00023125256064071564))</f>
        <v/>
      </c>
      <c r="J4957">
        <f>IF(G4957=1,0.2*R4957/B4957,J4956)</f>
        <v/>
      </c>
      <c r="K4957">
        <f>IF(G4957=1,0.2*R4957/C4957,K4956)</f>
        <v/>
      </c>
      <c r="L4957">
        <f>IF(G4957=1,0.2*R4957/D4957,L4956)</f>
        <v/>
      </c>
      <c r="M4957">
        <f>IF(G4957=1,0.2*R4957/E4957,M4956)</f>
        <v/>
      </c>
      <c r="N4957">
        <f>IF(G4957=1,0.2*R4957/F4957,N4956)</f>
        <v/>
      </c>
      <c r="O4957">
        <f>IF(G4957=1,R4957*(1-1.0),IF(H4956=0,1,O4956*(1+0.00023125256064071564)))</f>
        <v/>
      </c>
      <c r="P4957">
        <f>IF(G4957=1,IF(H4956=0,1,ABS(0.2-J4956*B4957/I4957)+ABS(0.2-K4956*C4957/I4957)+ABS(0.2-L4956*D4957/I4957)+ABS(0.2-M4956*E4957/I4957)+ABS(0.2-N4956*F4957/I4957)),0)</f>
        <v/>
      </c>
      <c r="Q4957">
        <f>P4957*0.0015</f>
        <v/>
      </c>
      <c r="R4957">
        <f>I4957*(1-Q4957)</f>
        <v/>
      </c>
      <c r="S4957">
        <f>R4957/R4956-1</f>
        <v/>
      </c>
      <c r="T4957">
        <f>MAX(T4956,R4957)</f>
        <v/>
      </c>
      <c r="U4957">
        <f>R4957/T4957-1</f>
        <v/>
      </c>
      <c r="V4957" t="n">
        <v>26.35100161181692</v>
      </c>
      <c r="W4957" s="5">
        <f>R4957-V4957</f>
        <v/>
      </c>
    </row>
    <row r="4958">
      <c r="A4958" s="3" t="n">
        <v>45740</v>
      </c>
      <c r="B4958">
        <f>Prices!B4958</f>
        <v/>
      </c>
      <c r="C4958">
        <f>Prices!C4958</f>
        <v/>
      </c>
      <c r="D4958">
        <f>Prices!D4958</f>
        <v/>
      </c>
      <c r="E4958">
        <f>Prices!E4958</f>
        <v/>
      </c>
      <c r="F4958">
        <f>Prices!F4958</f>
        <v/>
      </c>
      <c r="G4958">
        <f>IF(AND(4956&gt;=16,TEXT(A4958,"yyyy-mm")&lt;&gt;TEXT(A4959,"yyyy-mm")),1,0)</f>
        <v/>
      </c>
      <c r="H4958">
        <f>IF(OR(H4957=1,G4958=1),1,0)</f>
        <v/>
      </c>
      <c r="I4958">
        <f>IF(H4957=0,1,SUMPRODUCT(J4957:N4957,B4958:F4958)+O4957*(1+0.00023125256064071564))</f>
        <v/>
      </c>
      <c r="J4958">
        <f>IF(G4958=1,0.2*R4958/B4958,J4957)</f>
        <v/>
      </c>
      <c r="K4958">
        <f>IF(G4958=1,0.2*R4958/C4958,K4957)</f>
        <v/>
      </c>
      <c r="L4958">
        <f>IF(G4958=1,0.2*R4958/D4958,L4957)</f>
        <v/>
      </c>
      <c r="M4958">
        <f>IF(G4958=1,0.2*R4958/E4958,M4957)</f>
        <v/>
      </c>
      <c r="N4958">
        <f>IF(G4958=1,0.2*R4958/F4958,N4957)</f>
        <v/>
      </c>
      <c r="O4958">
        <f>IF(G4958=1,R4958*(1-1.0),IF(H4957=0,1,O4957*(1+0.00023125256064071564)))</f>
        <v/>
      </c>
      <c r="P4958">
        <f>IF(G4958=1,IF(H4957=0,1,ABS(0.2-J4957*B4958/I4958)+ABS(0.2-K4957*C4958/I4958)+ABS(0.2-L4957*D4958/I4958)+ABS(0.2-M4957*E4958/I4958)+ABS(0.2-N4957*F4958/I4958)),0)</f>
        <v/>
      </c>
      <c r="Q4958">
        <f>P4958*0.0015</f>
        <v/>
      </c>
      <c r="R4958">
        <f>I4958*(1-Q4958)</f>
        <v/>
      </c>
      <c r="S4958">
        <f>R4958/R4957-1</f>
        <v/>
      </c>
      <c r="T4958">
        <f>MAX(T4957,R4958)</f>
        <v/>
      </c>
      <c r="U4958">
        <f>R4958/T4958-1</f>
        <v/>
      </c>
      <c r="V4958" t="n">
        <v>26.7525538456129</v>
      </c>
      <c r="W4958" s="5">
        <f>R4958-V4958</f>
        <v/>
      </c>
    </row>
    <row r="4959">
      <c r="A4959" s="3" t="n">
        <v>45741</v>
      </c>
      <c r="B4959">
        <f>Prices!B4959</f>
        <v/>
      </c>
      <c r="C4959">
        <f>Prices!C4959</f>
        <v/>
      </c>
      <c r="D4959">
        <f>Prices!D4959</f>
        <v/>
      </c>
      <c r="E4959">
        <f>Prices!E4959</f>
        <v/>
      </c>
      <c r="F4959">
        <f>Prices!F4959</f>
        <v/>
      </c>
      <c r="G4959">
        <f>IF(AND(4957&gt;=16,TEXT(A4959,"yyyy-mm")&lt;&gt;TEXT(A4960,"yyyy-mm")),1,0)</f>
        <v/>
      </c>
      <c r="H4959">
        <f>IF(OR(H4958=1,G4959=1),1,0)</f>
        <v/>
      </c>
      <c r="I4959">
        <f>IF(H4958=0,1,SUMPRODUCT(J4958:N4958,B4959:F4959)+O4958*(1+0.00023125256064071564))</f>
        <v/>
      </c>
      <c r="J4959">
        <f>IF(G4959=1,0.2*R4959/B4959,J4958)</f>
        <v/>
      </c>
      <c r="K4959">
        <f>IF(G4959=1,0.2*R4959/C4959,K4958)</f>
        <v/>
      </c>
      <c r="L4959">
        <f>IF(G4959=1,0.2*R4959/D4959,L4958)</f>
        <v/>
      </c>
      <c r="M4959">
        <f>IF(G4959=1,0.2*R4959/E4959,M4958)</f>
        <v/>
      </c>
      <c r="N4959">
        <f>IF(G4959=1,0.2*R4959/F4959,N4958)</f>
        <v/>
      </c>
      <c r="O4959">
        <f>IF(G4959=1,R4959*(1-1.0),IF(H4958=0,1,O4958*(1+0.00023125256064071564)))</f>
        <v/>
      </c>
      <c r="P4959">
        <f>IF(G4959=1,IF(H4958=0,1,ABS(0.2-J4958*B4959/I4959)+ABS(0.2-K4958*C4959/I4959)+ABS(0.2-L4958*D4959/I4959)+ABS(0.2-M4958*E4959/I4959)+ABS(0.2-N4958*F4959/I4959)),0)</f>
        <v/>
      </c>
      <c r="Q4959">
        <f>P4959*0.0015</f>
        <v/>
      </c>
      <c r="R4959">
        <f>I4959*(1-Q4959)</f>
        <v/>
      </c>
      <c r="S4959">
        <f>R4959/R4958-1</f>
        <v/>
      </c>
      <c r="T4959">
        <f>MAX(T4958,R4959)</f>
        <v/>
      </c>
      <c r="U4959">
        <f>R4959/T4959-1</f>
        <v/>
      </c>
      <c r="V4959" t="n">
        <v>26.40661841866635</v>
      </c>
      <c r="W4959" s="5">
        <f>R4959-V4959</f>
        <v/>
      </c>
    </row>
    <row r="4960">
      <c r="A4960" s="3" t="n">
        <v>45742</v>
      </c>
      <c r="B4960">
        <f>Prices!B4960</f>
        <v/>
      </c>
      <c r="C4960">
        <f>Prices!C4960</f>
        <v/>
      </c>
      <c r="D4960">
        <f>Prices!D4960</f>
        <v/>
      </c>
      <c r="E4960">
        <f>Prices!E4960</f>
        <v/>
      </c>
      <c r="F4960">
        <f>Prices!F4960</f>
        <v/>
      </c>
      <c r="G4960">
        <f>IF(AND(4958&gt;=16,TEXT(A4960,"yyyy-mm")&lt;&gt;TEXT(A4961,"yyyy-mm")),1,0)</f>
        <v/>
      </c>
      <c r="H4960">
        <f>IF(OR(H4959=1,G4960=1),1,0)</f>
        <v/>
      </c>
      <c r="I4960">
        <f>IF(H4959=0,1,SUMPRODUCT(J4959:N4959,B4960:F4960)+O4959*(1+0.00023125256064071564))</f>
        <v/>
      </c>
      <c r="J4960">
        <f>IF(G4960=1,0.2*R4960/B4960,J4959)</f>
        <v/>
      </c>
      <c r="K4960">
        <f>IF(G4960=1,0.2*R4960/C4960,K4959)</f>
        <v/>
      </c>
      <c r="L4960">
        <f>IF(G4960=1,0.2*R4960/D4960,L4959)</f>
        <v/>
      </c>
      <c r="M4960">
        <f>IF(G4960=1,0.2*R4960/E4960,M4959)</f>
        <v/>
      </c>
      <c r="N4960">
        <f>IF(G4960=1,0.2*R4960/F4960,N4959)</f>
        <v/>
      </c>
      <c r="O4960">
        <f>IF(G4960=1,R4960*(1-1.0),IF(H4959=0,1,O4959*(1+0.00023125256064071564)))</f>
        <v/>
      </c>
      <c r="P4960">
        <f>IF(G4960=1,IF(H4959=0,1,ABS(0.2-J4959*B4960/I4960)+ABS(0.2-K4959*C4960/I4960)+ABS(0.2-L4959*D4960/I4960)+ABS(0.2-M4959*E4960/I4960)+ABS(0.2-N4959*F4960/I4960)),0)</f>
        <v/>
      </c>
      <c r="Q4960">
        <f>P4960*0.0015</f>
        <v/>
      </c>
      <c r="R4960">
        <f>I4960*(1-Q4960)</f>
        <v/>
      </c>
      <c r="S4960">
        <f>R4960/R4959-1</f>
        <v/>
      </c>
      <c r="T4960">
        <f>MAX(T4959,R4960)</f>
        <v/>
      </c>
      <c r="U4960">
        <f>R4960/T4960-1</f>
        <v/>
      </c>
      <c r="V4960" t="n">
        <v>26.18851864514972</v>
      </c>
      <c r="W4960" s="5">
        <f>R4960-V4960</f>
        <v/>
      </c>
    </row>
    <row r="4961">
      <c r="A4961" s="3" t="n">
        <v>45743</v>
      </c>
      <c r="B4961">
        <f>Prices!B4961</f>
        <v/>
      </c>
      <c r="C4961">
        <f>Prices!C4961</f>
        <v/>
      </c>
      <c r="D4961">
        <f>Prices!D4961</f>
        <v/>
      </c>
      <c r="E4961">
        <f>Prices!E4961</f>
        <v/>
      </c>
      <c r="F4961">
        <f>Prices!F4961</f>
        <v/>
      </c>
      <c r="G4961">
        <f>IF(AND(4959&gt;=16,TEXT(A4961,"yyyy-mm")&lt;&gt;TEXT(A4962,"yyyy-mm")),1,0)</f>
        <v/>
      </c>
      <c r="H4961">
        <f>IF(OR(H4960=1,G4961=1),1,0)</f>
        <v/>
      </c>
      <c r="I4961">
        <f>IF(H4960=0,1,SUMPRODUCT(J4960:N4960,B4961:F4961)+O4960*(1+0.00023125256064071564))</f>
        <v/>
      </c>
      <c r="J4961">
        <f>IF(G4961=1,0.2*R4961/B4961,J4960)</f>
        <v/>
      </c>
      <c r="K4961">
        <f>IF(G4961=1,0.2*R4961/C4961,K4960)</f>
        <v/>
      </c>
      <c r="L4961">
        <f>IF(G4961=1,0.2*R4961/D4961,L4960)</f>
        <v/>
      </c>
      <c r="M4961">
        <f>IF(G4961=1,0.2*R4961/E4961,M4960)</f>
        <v/>
      </c>
      <c r="N4961">
        <f>IF(G4961=1,0.2*R4961/F4961,N4960)</f>
        <v/>
      </c>
      <c r="O4961">
        <f>IF(G4961=1,R4961*(1-1.0),IF(H4960=0,1,O4960*(1+0.00023125256064071564)))</f>
        <v/>
      </c>
      <c r="P4961">
        <f>IF(G4961=1,IF(H4960=0,1,ABS(0.2-J4960*B4961/I4961)+ABS(0.2-K4960*C4961/I4961)+ABS(0.2-L4960*D4961/I4961)+ABS(0.2-M4960*E4961/I4961)+ABS(0.2-N4960*F4961/I4961)),0)</f>
        <v/>
      </c>
      <c r="Q4961">
        <f>P4961*0.0015</f>
        <v/>
      </c>
      <c r="R4961">
        <f>I4961*(1-Q4961)</f>
        <v/>
      </c>
      <c r="S4961">
        <f>R4961/R4960-1</f>
        <v/>
      </c>
      <c r="T4961">
        <f>MAX(T4960,R4961)</f>
        <v/>
      </c>
      <c r="U4961">
        <f>R4961/T4961-1</f>
        <v/>
      </c>
      <c r="V4961" t="n">
        <v>26.37455351127231</v>
      </c>
      <c r="W4961" s="5">
        <f>R4961-V4961</f>
        <v/>
      </c>
    </row>
    <row r="4962">
      <c r="A4962" s="3" t="n">
        <v>45744</v>
      </c>
      <c r="B4962">
        <f>Prices!B4962</f>
        <v/>
      </c>
      <c r="C4962">
        <f>Prices!C4962</f>
        <v/>
      </c>
      <c r="D4962">
        <f>Prices!D4962</f>
        <v/>
      </c>
      <c r="E4962">
        <f>Prices!E4962</f>
        <v/>
      </c>
      <c r="F4962">
        <f>Prices!F4962</f>
        <v/>
      </c>
      <c r="G4962">
        <f>IF(AND(4960&gt;=16,TEXT(A4962,"yyyy-mm")&lt;&gt;TEXT(A4963,"yyyy-mm")),1,0)</f>
        <v/>
      </c>
      <c r="H4962">
        <f>IF(OR(H4961=1,G4962=1),1,0)</f>
        <v/>
      </c>
      <c r="I4962">
        <f>IF(H4961=0,1,SUMPRODUCT(J4961:N4961,B4962:F4962)+O4961*(1+0.00023125256064071564))</f>
        <v/>
      </c>
      <c r="J4962">
        <f>IF(G4962=1,0.2*R4962/B4962,J4961)</f>
        <v/>
      </c>
      <c r="K4962">
        <f>IF(G4962=1,0.2*R4962/C4962,K4961)</f>
        <v/>
      </c>
      <c r="L4962">
        <f>IF(G4962=1,0.2*R4962/D4962,L4961)</f>
        <v/>
      </c>
      <c r="M4962">
        <f>IF(G4962=1,0.2*R4962/E4962,M4961)</f>
        <v/>
      </c>
      <c r="N4962">
        <f>IF(G4962=1,0.2*R4962/F4962,N4961)</f>
        <v/>
      </c>
      <c r="O4962">
        <f>IF(G4962=1,R4962*(1-1.0),IF(H4961=0,1,O4961*(1+0.00023125256064071564)))</f>
        <v/>
      </c>
      <c r="P4962">
        <f>IF(G4962=1,IF(H4961=0,1,ABS(0.2-J4961*B4962/I4962)+ABS(0.2-K4961*C4962/I4962)+ABS(0.2-L4961*D4962/I4962)+ABS(0.2-M4961*E4962/I4962)+ABS(0.2-N4961*F4962/I4962)),0)</f>
        <v/>
      </c>
      <c r="Q4962">
        <f>P4962*0.0015</f>
        <v/>
      </c>
      <c r="R4962">
        <f>I4962*(1-Q4962)</f>
        <v/>
      </c>
      <c r="S4962">
        <f>R4962/R4961-1</f>
        <v/>
      </c>
      <c r="T4962">
        <f>MAX(T4961,R4962)</f>
        <v/>
      </c>
      <c r="U4962">
        <f>R4962/T4962-1</f>
        <v/>
      </c>
      <c r="V4962" t="n">
        <v>26.25756440176726</v>
      </c>
      <c r="W4962" s="5">
        <f>R4962-V4962</f>
        <v/>
      </c>
    </row>
    <row r="4963">
      <c r="A4963" s="3" t="n">
        <v>45748</v>
      </c>
      <c r="B4963">
        <f>Prices!B4963</f>
        <v/>
      </c>
      <c r="C4963">
        <f>Prices!C4963</f>
        <v/>
      </c>
      <c r="D4963">
        <f>Prices!D4963</f>
        <v/>
      </c>
      <c r="E4963">
        <f>Prices!E4963</f>
        <v/>
      </c>
      <c r="F4963">
        <f>Prices!F4963</f>
        <v/>
      </c>
      <c r="G4963">
        <f>IF(AND(4961&gt;=16,TEXT(A4963,"yyyy-mm")&lt;&gt;TEXT(A4964,"yyyy-mm")),1,0)</f>
        <v/>
      </c>
      <c r="H4963">
        <f>IF(OR(H4962=1,G4963=1),1,0)</f>
        <v/>
      </c>
      <c r="I4963">
        <f>IF(H4962=0,1,SUMPRODUCT(J4962:N4962,B4963:F4963)+O4962*(1+0.00023125256064071564))</f>
        <v/>
      </c>
      <c r="J4963">
        <f>IF(G4963=1,0.2*R4963/B4963,J4962)</f>
        <v/>
      </c>
      <c r="K4963">
        <f>IF(G4963=1,0.2*R4963/C4963,K4962)</f>
        <v/>
      </c>
      <c r="L4963">
        <f>IF(G4963=1,0.2*R4963/D4963,L4962)</f>
        <v/>
      </c>
      <c r="M4963">
        <f>IF(G4963=1,0.2*R4963/E4963,M4962)</f>
        <v/>
      </c>
      <c r="N4963">
        <f>IF(G4963=1,0.2*R4963/F4963,N4962)</f>
        <v/>
      </c>
      <c r="O4963">
        <f>IF(G4963=1,R4963*(1-1.0),IF(H4962=0,1,O4962*(1+0.00023125256064071564)))</f>
        <v/>
      </c>
      <c r="P4963">
        <f>IF(G4963=1,IF(H4962=0,1,ABS(0.2-J4962*B4963/I4963)+ABS(0.2-K4962*C4963/I4963)+ABS(0.2-L4962*D4963/I4963)+ABS(0.2-M4962*E4963/I4963)+ABS(0.2-N4962*F4963/I4963)),0)</f>
        <v/>
      </c>
      <c r="Q4963">
        <f>P4963*0.0015</f>
        <v/>
      </c>
      <c r="R4963">
        <f>I4963*(1-Q4963)</f>
        <v/>
      </c>
      <c r="S4963">
        <f>R4963/R4962-1</f>
        <v/>
      </c>
      <c r="T4963">
        <f>MAX(T4962,R4963)</f>
        <v/>
      </c>
      <c r="U4963">
        <f>R4963/T4963-1</f>
        <v/>
      </c>
      <c r="V4963" t="n">
        <v>25.97580317277967</v>
      </c>
      <c r="W4963" s="5">
        <f>R4963-V4963</f>
        <v/>
      </c>
    </row>
    <row r="4964">
      <c r="A4964" s="3" t="n">
        <v>45749</v>
      </c>
      <c r="B4964">
        <f>Prices!B4964</f>
        <v/>
      </c>
      <c r="C4964">
        <f>Prices!C4964</f>
        <v/>
      </c>
      <c r="D4964">
        <f>Prices!D4964</f>
        <v/>
      </c>
      <c r="E4964">
        <f>Prices!E4964</f>
        <v/>
      </c>
      <c r="F4964">
        <f>Prices!F4964</f>
        <v/>
      </c>
      <c r="G4964">
        <f>IF(AND(4962&gt;=16,TEXT(A4964,"yyyy-mm")&lt;&gt;TEXT(A4965,"yyyy-mm")),1,0)</f>
        <v/>
      </c>
      <c r="H4964">
        <f>IF(OR(H4963=1,G4964=1),1,0)</f>
        <v/>
      </c>
      <c r="I4964">
        <f>IF(H4963=0,1,SUMPRODUCT(J4963:N4963,B4964:F4964)+O4963*(1+0.00023125256064071564))</f>
        <v/>
      </c>
      <c r="J4964">
        <f>IF(G4964=1,0.2*R4964/B4964,J4963)</f>
        <v/>
      </c>
      <c r="K4964">
        <f>IF(G4964=1,0.2*R4964/C4964,K4963)</f>
        <v/>
      </c>
      <c r="L4964">
        <f>IF(G4964=1,0.2*R4964/D4964,L4963)</f>
        <v/>
      </c>
      <c r="M4964">
        <f>IF(G4964=1,0.2*R4964/E4964,M4963)</f>
        <v/>
      </c>
      <c r="N4964">
        <f>IF(G4964=1,0.2*R4964/F4964,N4963)</f>
        <v/>
      </c>
      <c r="O4964">
        <f>IF(G4964=1,R4964*(1-1.0),IF(H4963=0,1,O4963*(1+0.00023125256064071564)))</f>
        <v/>
      </c>
      <c r="P4964">
        <f>IF(G4964=1,IF(H4963=0,1,ABS(0.2-J4963*B4964/I4964)+ABS(0.2-K4963*C4964/I4964)+ABS(0.2-L4963*D4964/I4964)+ABS(0.2-M4963*E4964/I4964)+ABS(0.2-N4963*F4964/I4964)),0)</f>
        <v/>
      </c>
      <c r="Q4964">
        <f>P4964*0.0015</f>
        <v/>
      </c>
      <c r="R4964">
        <f>I4964*(1-Q4964)</f>
        <v/>
      </c>
      <c r="S4964">
        <f>R4964/R4963-1</f>
        <v/>
      </c>
      <c r="T4964">
        <f>MAX(T4963,R4964)</f>
        <v/>
      </c>
      <c r="U4964">
        <f>R4964/T4964-1</f>
        <v/>
      </c>
      <c r="V4964" t="n">
        <v>26.29939901560844</v>
      </c>
      <c r="W4964" s="5">
        <f>R4964-V4964</f>
        <v/>
      </c>
    </row>
    <row r="4965">
      <c r="A4965" s="3" t="n">
        <v>45750</v>
      </c>
      <c r="B4965">
        <f>Prices!B4965</f>
        <v/>
      </c>
      <c r="C4965">
        <f>Prices!C4965</f>
        <v/>
      </c>
      <c r="D4965">
        <f>Prices!D4965</f>
        <v/>
      </c>
      <c r="E4965">
        <f>Prices!E4965</f>
        <v/>
      </c>
      <c r="F4965">
        <f>Prices!F4965</f>
        <v/>
      </c>
      <c r="G4965">
        <f>IF(AND(4963&gt;=16,TEXT(A4965,"yyyy-mm")&lt;&gt;TEXT(A4966,"yyyy-mm")),1,0)</f>
        <v/>
      </c>
      <c r="H4965">
        <f>IF(OR(H4964=1,G4965=1),1,0)</f>
        <v/>
      </c>
      <c r="I4965">
        <f>IF(H4964=0,1,SUMPRODUCT(J4964:N4964,B4965:F4965)+O4964*(1+0.00023125256064071564))</f>
        <v/>
      </c>
      <c r="J4965">
        <f>IF(G4965=1,0.2*R4965/B4965,J4964)</f>
        <v/>
      </c>
      <c r="K4965">
        <f>IF(G4965=1,0.2*R4965/C4965,K4964)</f>
        <v/>
      </c>
      <c r="L4965">
        <f>IF(G4965=1,0.2*R4965/D4965,L4964)</f>
        <v/>
      </c>
      <c r="M4965">
        <f>IF(G4965=1,0.2*R4965/E4965,M4964)</f>
        <v/>
      </c>
      <c r="N4965">
        <f>IF(G4965=1,0.2*R4965/F4965,N4964)</f>
        <v/>
      </c>
      <c r="O4965">
        <f>IF(G4965=1,R4965*(1-1.0),IF(H4964=0,1,O4964*(1+0.00023125256064071564)))</f>
        <v/>
      </c>
      <c r="P4965">
        <f>IF(G4965=1,IF(H4964=0,1,ABS(0.2-J4964*B4965/I4965)+ABS(0.2-K4964*C4965/I4965)+ABS(0.2-L4964*D4965/I4965)+ABS(0.2-M4964*E4965/I4965)+ABS(0.2-N4964*F4965/I4965)),0)</f>
        <v/>
      </c>
      <c r="Q4965">
        <f>P4965*0.0015</f>
        <v/>
      </c>
      <c r="R4965">
        <f>I4965*(1-Q4965)</f>
        <v/>
      </c>
      <c r="S4965">
        <f>R4965/R4964-1</f>
        <v/>
      </c>
      <c r="T4965">
        <f>MAX(T4964,R4965)</f>
        <v/>
      </c>
      <c r="U4965">
        <f>R4965/T4965-1</f>
        <v/>
      </c>
      <c r="V4965" t="n">
        <v>26.26504118611763</v>
      </c>
      <c r="W4965" s="5">
        <f>R4965-V4965</f>
        <v/>
      </c>
    </row>
    <row r="4966">
      <c r="A4966" s="3" t="n">
        <v>45751</v>
      </c>
      <c r="B4966">
        <f>Prices!B4966</f>
        <v/>
      </c>
      <c r="C4966">
        <f>Prices!C4966</f>
        <v/>
      </c>
      <c r="D4966">
        <f>Prices!D4966</f>
        <v/>
      </c>
      <c r="E4966">
        <f>Prices!E4966</f>
        <v/>
      </c>
      <c r="F4966">
        <f>Prices!F4966</f>
        <v/>
      </c>
      <c r="G4966">
        <f>IF(AND(4964&gt;=16,TEXT(A4966,"yyyy-mm")&lt;&gt;TEXT(A4967,"yyyy-mm")),1,0)</f>
        <v/>
      </c>
      <c r="H4966">
        <f>IF(OR(H4965=1,G4966=1),1,0)</f>
        <v/>
      </c>
      <c r="I4966">
        <f>IF(H4965=0,1,SUMPRODUCT(J4965:N4965,B4966:F4966)+O4965*(1+0.00023125256064071564))</f>
        <v/>
      </c>
      <c r="J4966">
        <f>IF(G4966=1,0.2*R4966/B4966,J4965)</f>
        <v/>
      </c>
      <c r="K4966">
        <f>IF(G4966=1,0.2*R4966/C4966,K4965)</f>
        <v/>
      </c>
      <c r="L4966">
        <f>IF(G4966=1,0.2*R4966/D4966,L4965)</f>
        <v/>
      </c>
      <c r="M4966">
        <f>IF(G4966=1,0.2*R4966/E4966,M4965)</f>
        <v/>
      </c>
      <c r="N4966">
        <f>IF(G4966=1,0.2*R4966/F4966,N4965)</f>
        <v/>
      </c>
      <c r="O4966">
        <f>IF(G4966=1,R4966*(1-1.0),IF(H4965=0,1,O4965*(1+0.00023125256064071564)))</f>
        <v/>
      </c>
      <c r="P4966">
        <f>IF(G4966=1,IF(H4965=0,1,ABS(0.2-J4965*B4966/I4966)+ABS(0.2-K4965*C4966/I4966)+ABS(0.2-L4965*D4966/I4966)+ABS(0.2-M4965*E4966/I4966)+ABS(0.2-N4965*F4966/I4966)),0)</f>
        <v/>
      </c>
      <c r="Q4966">
        <f>P4966*0.0015</f>
        <v/>
      </c>
      <c r="R4966">
        <f>I4966*(1-Q4966)</f>
        <v/>
      </c>
      <c r="S4966">
        <f>R4966/R4965-1</f>
        <v/>
      </c>
      <c r="T4966">
        <f>MAX(T4965,R4966)</f>
        <v/>
      </c>
      <c r="U4966">
        <f>R4966/T4966-1</f>
        <v/>
      </c>
      <c r="V4966" t="n">
        <v>25.43030361072482</v>
      </c>
      <c r="W4966" s="5">
        <f>R4966-V4966</f>
        <v/>
      </c>
    </row>
    <row r="4967">
      <c r="A4967" s="3" t="n">
        <v>45754</v>
      </c>
      <c r="B4967">
        <f>Prices!B4967</f>
        <v/>
      </c>
      <c r="C4967">
        <f>Prices!C4967</f>
        <v/>
      </c>
      <c r="D4967">
        <f>Prices!D4967</f>
        <v/>
      </c>
      <c r="E4967">
        <f>Prices!E4967</f>
        <v/>
      </c>
      <c r="F4967">
        <f>Prices!F4967</f>
        <v/>
      </c>
      <c r="G4967">
        <f>IF(AND(4965&gt;=16,TEXT(A4967,"yyyy-mm")&lt;&gt;TEXT(A4968,"yyyy-mm")),1,0)</f>
        <v/>
      </c>
      <c r="H4967">
        <f>IF(OR(H4966=1,G4967=1),1,0)</f>
        <v/>
      </c>
      <c r="I4967">
        <f>IF(H4966=0,1,SUMPRODUCT(J4966:N4966,B4967:F4967)+O4966*(1+0.00023125256064071564))</f>
        <v/>
      </c>
      <c r="J4967">
        <f>IF(G4967=1,0.2*R4967/B4967,J4966)</f>
        <v/>
      </c>
      <c r="K4967">
        <f>IF(G4967=1,0.2*R4967/C4967,K4966)</f>
        <v/>
      </c>
      <c r="L4967">
        <f>IF(G4967=1,0.2*R4967/D4967,L4966)</f>
        <v/>
      </c>
      <c r="M4967">
        <f>IF(G4967=1,0.2*R4967/E4967,M4966)</f>
        <v/>
      </c>
      <c r="N4967">
        <f>IF(G4967=1,0.2*R4967/F4967,N4966)</f>
        <v/>
      </c>
      <c r="O4967">
        <f>IF(G4967=1,R4967*(1-1.0),IF(H4966=0,1,O4966*(1+0.00023125256064071564)))</f>
        <v/>
      </c>
      <c r="P4967">
        <f>IF(G4967=1,IF(H4966=0,1,ABS(0.2-J4966*B4967/I4967)+ABS(0.2-K4966*C4967/I4967)+ABS(0.2-L4966*D4967/I4967)+ABS(0.2-M4966*E4967/I4967)+ABS(0.2-N4966*F4967/I4967)),0)</f>
        <v/>
      </c>
      <c r="Q4967">
        <f>P4967*0.0015</f>
        <v/>
      </c>
      <c r="R4967">
        <f>I4967*(1-Q4967)</f>
        <v/>
      </c>
      <c r="S4967">
        <f>R4967/R4966-1</f>
        <v/>
      </c>
      <c r="T4967">
        <f>MAX(T4966,R4967)</f>
        <v/>
      </c>
      <c r="U4967">
        <f>R4967/T4967-1</f>
        <v/>
      </c>
      <c r="V4967" t="n">
        <v>24.52285737543902</v>
      </c>
      <c r="W4967" s="5">
        <f>R4967-V4967</f>
        <v/>
      </c>
    </row>
    <row r="4968">
      <c r="A4968" s="3" t="n">
        <v>45755</v>
      </c>
      <c r="B4968">
        <f>Prices!B4968</f>
        <v/>
      </c>
      <c r="C4968">
        <f>Prices!C4968</f>
        <v/>
      </c>
      <c r="D4968">
        <f>Prices!D4968</f>
        <v/>
      </c>
      <c r="E4968">
        <f>Prices!E4968</f>
        <v/>
      </c>
      <c r="F4968">
        <f>Prices!F4968</f>
        <v/>
      </c>
      <c r="G4968">
        <f>IF(AND(4966&gt;=16,TEXT(A4968,"yyyy-mm")&lt;&gt;TEXT(A4969,"yyyy-mm")),1,0)</f>
        <v/>
      </c>
      <c r="H4968">
        <f>IF(OR(H4967=1,G4968=1),1,0)</f>
        <v/>
      </c>
      <c r="I4968">
        <f>IF(H4967=0,1,SUMPRODUCT(J4967:N4967,B4968:F4968)+O4967*(1+0.00023125256064071564))</f>
        <v/>
      </c>
      <c r="J4968">
        <f>IF(G4968=1,0.2*R4968/B4968,J4967)</f>
        <v/>
      </c>
      <c r="K4968">
        <f>IF(G4968=1,0.2*R4968/C4968,K4967)</f>
        <v/>
      </c>
      <c r="L4968">
        <f>IF(G4968=1,0.2*R4968/D4968,L4967)</f>
        <v/>
      </c>
      <c r="M4968">
        <f>IF(G4968=1,0.2*R4968/E4968,M4967)</f>
        <v/>
      </c>
      <c r="N4968">
        <f>IF(G4968=1,0.2*R4968/F4968,N4967)</f>
        <v/>
      </c>
      <c r="O4968">
        <f>IF(G4968=1,R4968*(1-1.0),IF(H4967=0,1,O4967*(1+0.00023125256064071564)))</f>
        <v/>
      </c>
      <c r="P4968">
        <f>IF(G4968=1,IF(H4967=0,1,ABS(0.2-J4967*B4968/I4968)+ABS(0.2-K4967*C4968/I4968)+ABS(0.2-L4967*D4968/I4968)+ABS(0.2-M4967*E4968/I4968)+ABS(0.2-N4967*F4968/I4968)),0)</f>
        <v/>
      </c>
      <c r="Q4968">
        <f>P4968*0.0015</f>
        <v/>
      </c>
      <c r="R4968">
        <f>I4968*(1-Q4968)</f>
        <v/>
      </c>
      <c r="S4968">
        <f>R4968/R4967-1</f>
        <v/>
      </c>
      <c r="T4968">
        <f>MAX(T4967,R4968)</f>
        <v/>
      </c>
      <c r="U4968">
        <f>R4968/T4968-1</f>
        <v/>
      </c>
      <c r="V4968" t="n">
        <v>25.09352819468964</v>
      </c>
      <c r="W4968" s="5">
        <f>R4968-V4968</f>
        <v/>
      </c>
    </row>
    <row r="4969">
      <c r="A4969" s="3" t="n">
        <v>45756</v>
      </c>
      <c r="B4969">
        <f>Prices!B4969</f>
        <v/>
      </c>
      <c r="C4969">
        <f>Prices!C4969</f>
        <v/>
      </c>
      <c r="D4969">
        <f>Prices!D4969</f>
        <v/>
      </c>
      <c r="E4969">
        <f>Prices!E4969</f>
        <v/>
      </c>
      <c r="F4969">
        <f>Prices!F4969</f>
        <v/>
      </c>
      <c r="G4969">
        <f>IF(AND(4967&gt;=16,TEXT(A4969,"yyyy-mm")&lt;&gt;TEXT(A4970,"yyyy-mm")),1,0)</f>
        <v/>
      </c>
      <c r="H4969">
        <f>IF(OR(H4968=1,G4969=1),1,0)</f>
        <v/>
      </c>
      <c r="I4969">
        <f>IF(H4968=0,1,SUMPRODUCT(J4968:N4968,B4969:F4969)+O4968*(1+0.00023125256064071564))</f>
        <v/>
      </c>
      <c r="J4969">
        <f>IF(G4969=1,0.2*R4969/B4969,J4968)</f>
        <v/>
      </c>
      <c r="K4969">
        <f>IF(G4969=1,0.2*R4969/C4969,K4968)</f>
        <v/>
      </c>
      <c r="L4969">
        <f>IF(G4969=1,0.2*R4969/D4969,L4968)</f>
        <v/>
      </c>
      <c r="M4969">
        <f>IF(G4969=1,0.2*R4969/E4969,M4968)</f>
        <v/>
      </c>
      <c r="N4969">
        <f>IF(G4969=1,0.2*R4969/F4969,N4968)</f>
        <v/>
      </c>
      <c r="O4969">
        <f>IF(G4969=1,R4969*(1-1.0),IF(H4968=0,1,O4968*(1+0.00023125256064071564)))</f>
        <v/>
      </c>
      <c r="P4969">
        <f>IF(G4969=1,IF(H4968=0,1,ABS(0.2-J4968*B4969/I4969)+ABS(0.2-K4968*C4969/I4969)+ABS(0.2-L4968*D4969/I4969)+ABS(0.2-M4968*E4969/I4969)+ABS(0.2-N4968*F4969/I4969)),0)</f>
        <v/>
      </c>
      <c r="Q4969">
        <f>P4969*0.0015</f>
        <v/>
      </c>
      <c r="R4969">
        <f>I4969*(1-Q4969)</f>
        <v/>
      </c>
      <c r="S4969">
        <f>R4969/R4968-1</f>
        <v/>
      </c>
      <c r="T4969">
        <f>MAX(T4968,R4969)</f>
        <v/>
      </c>
      <c r="U4969">
        <f>R4969/T4969-1</f>
        <v/>
      </c>
      <c r="V4969" t="n">
        <v>24.85458417380543</v>
      </c>
      <c r="W4969" s="5">
        <f>R4969-V4969</f>
        <v/>
      </c>
    </row>
    <row r="4970">
      <c r="A4970" s="3" t="n">
        <v>45758</v>
      </c>
      <c r="B4970">
        <f>Prices!B4970</f>
        <v/>
      </c>
      <c r="C4970">
        <f>Prices!C4970</f>
        <v/>
      </c>
      <c r="D4970">
        <f>Prices!D4970</f>
        <v/>
      </c>
      <c r="E4970">
        <f>Prices!E4970</f>
        <v/>
      </c>
      <c r="F4970">
        <f>Prices!F4970</f>
        <v/>
      </c>
      <c r="G4970">
        <f>IF(AND(4968&gt;=16,TEXT(A4970,"yyyy-mm")&lt;&gt;TEXT(A4971,"yyyy-mm")),1,0)</f>
        <v/>
      </c>
      <c r="H4970">
        <f>IF(OR(H4969=1,G4970=1),1,0)</f>
        <v/>
      </c>
      <c r="I4970">
        <f>IF(H4969=0,1,SUMPRODUCT(J4969:N4969,B4970:F4970)+O4969*(1+0.00023125256064071564))</f>
        <v/>
      </c>
      <c r="J4970">
        <f>IF(G4970=1,0.2*R4970/B4970,J4969)</f>
        <v/>
      </c>
      <c r="K4970">
        <f>IF(G4970=1,0.2*R4970/C4970,K4969)</f>
        <v/>
      </c>
      <c r="L4970">
        <f>IF(G4970=1,0.2*R4970/D4970,L4969)</f>
        <v/>
      </c>
      <c r="M4970">
        <f>IF(G4970=1,0.2*R4970/E4970,M4969)</f>
        <v/>
      </c>
      <c r="N4970">
        <f>IF(G4970=1,0.2*R4970/F4970,N4969)</f>
        <v/>
      </c>
      <c r="O4970">
        <f>IF(G4970=1,R4970*(1-1.0),IF(H4969=0,1,O4969*(1+0.00023125256064071564)))</f>
        <v/>
      </c>
      <c r="P4970">
        <f>IF(G4970=1,IF(H4969=0,1,ABS(0.2-J4969*B4970/I4970)+ABS(0.2-K4969*C4970/I4970)+ABS(0.2-L4969*D4970/I4970)+ABS(0.2-M4969*E4970/I4970)+ABS(0.2-N4969*F4970/I4970)),0)</f>
        <v/>
      </c>
      <c r="Q4970">
        <f>P4970*0.0015</f>
        <v/>
      </c>
      <c r="R4970">
        <f>I4970*(1-Q4970)</f>
        <v/>
      </c>
      <c r="S4970">
        <f>R4970/R4969-1</f>
        <v/>
      </c>
      <c r="T4970">
        <f>MAX(T4969,R4970)</f>
        <v/>
      </c>
      <c r="U4970">
        <f>R4970/T4970-1</f>
        <v/>
      </c>
      <c r="V4970" t="n">
        <v>25.48730661225853</v>
      </c>
      <c r="W4970" s="5">
        <f>R4970-V4970</f>
        <v/>
      </c>
    </row>
    <row r="4971">
      <c r="A4971" s="3" t="n">
        <v>45762</v>
      </c>
      <c r="B4971">
        <f>Prices!B4971</f>
        <v/>
      </c>
      <c r="C4971">
        <f>Prices!C4971</f>
        <v/>
      </c>
      <c r="D4971">
        <f>Prices!D4971</f>
        <v/>
      </c>
      <c r="E4971">
        <f>Prices!E4971</f>
        <v/>
      </c>
      <c r="F4971">
        <f>Prices!F4971</f>
        <v/>
      </c>
      <c r="G4971">
        <f>IF(AND(4969&gt;=16,TEXT(A4971,"yyyy-mm")&lt;&gt;TEXT(A4972,"yyyy-mm")),1,0)</f>
        <v/>
      </c>
      <c r="H4971">
        <f>IF(OR(H4970=1,G4971=1),1,0)</f>
        <v/>
      </c>
      <c r="I4971">
        <f>IF(H4970=0,1,SUMPRODUCT(J4970:N4970,B4971:F4971)+O4970*(1+0.00023125256064071564))</f>
        <v/>
      </c>
      <c r="J4971">
        <f>IF(G4971=1,0.2*R4971/B4971,J4970)</f>
        <v/>
      </c>
      <c r="K4971">
        <f>IF(G4971=1,0.2*R4971/C4971,K4970)</f>
        <v/>
      </c>
      <c r="L4971">
        <f>IF(G4971=1,0.2*R4971/D4971,L4970)</f>
        <v/>
      </c>
      <c r="M4971">
        <f>IF(G4971=1,0.2*R4971/E4971,M4970)</f>
        <v/>
      </c>
      <c r="N4971">
        <f>IF(G4971=1,0.2*R4971/F4971,N4970)</f>
        <v/>
      </c>
      <c r="O4971">
        <f>IF(G4971=1,R4971*(1-1.0),IF(H4970=0,1,O4970*(1+0.00023125256064071564)))</f>
        <v/>
      </c>
      <c r="P4971">
        <f>IF(G4971=1,IF(H4970=0,1,ABS(0.2-J4970*B4971/I4971)+ABS(0.2-K4970*C4971/I4971)+ABS(0.2-L4970*D4971/I4971)+ABS(0.2-M4970*E4971/I4971)+ABS(0.2-N4970*F4971/I4971)),0)</f>
        <v/>
      </c>
      <c r="Q4971">
        <f>P4971*0.0015</f>
        <v/>
      </c>
      <c r="R4971">
        <f>I4971*(1-Q4971)</f>
        <v/>
      </c>
      <c r="S4971">
        <f>R4971/R4970-1</f>
        <v/>
      </c>
      <c r="T4971">
        <f>MAX(T4970,R4971)</f>
        <v/>
      </c>
      <c r="U4971">
        <f>R4971/T4971-1</f>
        <v/>
      </c>
      <c r="V4971" t="n">
        <v>26.20994384829524</v>
      </c>
      <c r="W4971" s="5">
        <f>R4971-V4971</f>
        <v/>
      </c>
    </row>
    <row r="4972">
      <c r="A4972" s="3" t="n">
        <v>45763</v>
      </c>
      <c r="B4972">
        <f>Prices!B4972</f>
        <v/>
      </c>
      <c r="C4972">
        <f>Prices!C4972</f>
        <v/>
      </c>
      <c r="D4972">
        <f>Prices!D4972</f>
        <v/>
      </c>
      <c r="E4972">
        <f>Prices!E4972</f>
        <v/>
      </c>
      <c r="F4972">
        <f>Prices!F4972</f>
        <v/>
      </c>
      <c r="G4972">
        <f>IF(AND(4970&gt;=16,TEXT(A4972,"yyyy-mm")&lt;&gt;TEXT(A4973,"yyyy-mm")),1,0)</f>
        <v/>
      </c>
      <c r="H4972">
        <f>IF(OR(H4971=1,G4972=1),1,0)</f>
        <v/>
      </c>
      <c r="I4972">
        <f>IF(H4971=0,1,SUMPRODUCT(J4971:N4971,B4972:F4972)+O4971*(1+0.00023125256064071564))</f>
        <v/>
      </c>
      <c r="J4972">
        <f>IF(G4972=1,0.2*R4972/B4972,J4971)</f>
        <v/>
      </c>
      <c r="K4972">
        <f>IF(G4972=1,0.2*R4972/C4972,K4971)</f>
        <v/>
      </c>
      <c r="L4972">
        <f>IF(G4972=1,0.2*R4972/D4972,L4971)</f>
        <v/>
      </c>
      <c r="M4972">
        <f>IF(G4972=1,0.2*R4972/E4972,M4971)</f>
        <v/>
      </c>
      <c r="N4972">
        <f>IF(G4972=1,0.2*R4972/F4972,N4971)</f>
        <v/>
      </c>
      <c r="O4972">
        <f>IF(G4972=1,R4972*(1-1.0),IF(H4971=0,1,O4971*(1+0.00023125256064071564)))</f>
        <v/>
      </c>
      <c r="P4972">
        <f>IF(G4972=1,IF(H4971=0,1,ABS(0.2-J4971*B4972/I4972)+ABS(0.2-K4971*C4972/I4972)+ABS(0.2-L4971*D4972/I4972)+ABS(0.2-M4971*E4972/I4972)+ABS(0.2-N4971*F4972/I4972)),0)</f>
        <v/>
      </c>
      <c r="Q4972">
        <f>P4972*0.0015</f>
        <v/>
      </c>
      <c r="R4972">
        <f>I4972*(1-Q4972)</f>
        <v/>
      </c>
      <c r="S4972">
        <f>R4972/R4971-1</f>
        <v/>
      </c>
      <c r="T4972">
        <f>MAX(T4971,R4972)</f>
        <v/>
      </c>
      <c r="U4972">
        <f>R4972/T4972-1</f>
        <v/>
      </c>
      <c r="V4972" t="n">
        <v>26.38334848287648</v>
      </c>
      <c r="W4972" s="5">
        <f>R4972-V4972</f>
        <v/>
      </c>
    </row>
    <row r="4973">
      <c r="A4973" s="3" t="n">
        <v>45764</v>
      </c>
      <c r="B4973">
        <f>Prices!B4973</f>
        <v/>
      </c>
      <c r="C4973">
        <f>Prices!C4973</f>
        <v/>
      </c>
      <c r="D4973">
        <f>Prices!D4973</f>
        <v/>
      </c>
      <c r="E4973">
        <f>Prices!E4973</f>
        <v/>
      </c>
      <c r="F4973">
        <f>Prices!F4973</f>
        <v/>
      </c>
      <c r="G4973">
        <f>IF(AND(4971&gt;=16,TEXT(A4973,"yyyy-mm")&lt;&gt;TEXT(A4974,"yyyy-mm")),1,0)</f>
        <v/>
      </c>
      <c r="H4973">
        <f>IF(OR(H4972=1,G4973=1),1,0)</f>
        <v/>
      </c>
      <c r="I4973">
        <f>IF(H4972=0,1,SUMPRODUCT(J4972:N4972,B4973:F4973)+O4972*(1+0.00023125256064071564))</f>
        <v/>
      </c>
      <c r="J4973">
        <f>IF(G4973=1,0.2*R4973/B4973,J4972)</f>
        <v/>
      </c>
      <c r="K4973">
        <f>IF(G4973=1,0.2*R4973/C4973,K4972)</f>
        <v/>
      </c>
      <c r="L4973">
        <f>IF(G4973=1,0.2*R4973/D4973,L4972)</f>
        <v/>
      </c>
      <c r="M4973">
        <f>IF(G4973=1,0.2*R4973/E4973,M4972)</f>
        <v/>
      </c>
      <c r="N4973">
        <f>IF(G4973=1,0.2*R4973/F4973,N4972)</f>
        <v/>
      </c>
      <c r="O4973">
        <f>IF(G4973=1,R4973*(1-1.0),IF(H4972=0,1,O4972*(1+0.00023125256064071564)))</f>
        <v/>
      </c>
      <c r="P4973">
        <f>IF(G4973=1,IF(H4972=0,1,ABS(0.2-J4972*B4973/I4973)+ABS(0.2-K4972*C4973/I4973)+ABS(0.2-L4972*D4973/I4973)+ABS(0.2-M4972*E4973/I4973)+ABS(0.2-N4972*F4973/I4973)),0)</f>
        <v/>
      </c>
      <c r="Q4973">
        <f>P4973*0.0015</f>
        <v/>
      </c>
      <c r="R4973">
        <f>I4973*(1-Q4973)</f>
        <v/>
      </c>
      <c r="S4973">
        <f>R4973/R4972-1</f>
        <v/>
      </c>
      <c r="T4973">
        <f>MAX(T4972,R4973)</f>
        <v/>
      </c>
      <c r="U4973">
        <f>R4973/T4973-1</f>
        <v/>
      </c>
      <c r="V4973" t="n">
        <v>26.5496128716287</v>
      </c>
      <c r="W4973" s="5">
        <f>R4973-V4973</f>
        <v/>
      </c>
    </row>
    <row r="4974">
      <c r="A4974" s="3" t="n">
        <v>45768</v>
      </c>
      <c r="B4974">
        <f>Prices!B4974</f>
        <v/>
      </c>
      <c r="C4974">
        <f>Prices!C4974</f>
        <v/>
      </c>
      <c r="D4974">
        <f>Prices!D4974</f>
        <v/>
      </c>
      <c r="E4974">
        <f>Prices!E4974</f>
        <v/>
      </c>
      <c r="F4974">
        <f>Prices!F4974</f>
        <v/>
      </c>
      <c r="G4974">
        <f>IF(AND(4972&gt;=16,TEXT(A4974,"yyyy-mm")&lt;&gt;TEXT(A4975,"yyyy-mm")),1,0)</f>
        <v/>
      </c>
      <c r="H4974">
        <f>IF(OR(H4973=1,G4974=1),1,0)</f>
        <v/>
      </c>
      <c r="I4974">
        <f>IF(H4973=0,1,SUMPRODUCT(J4973:N4973,B4974:F4974)+O4973*(1+0.00023125256064071564))</f>
        <v/>
      </c>
      <c r="J4974">
        <f>IF(G4974=1,0.2*R4974/B4974,J4973)</f>
        <v/>
      </c>
      <c r="K4974">
        <f>IF(G4974=1,0.2*R4974/C4974,K4973)</f>
        <v/>
      </c>
      <c r="L4974">
        <f>IF(G4974=1,0.2*R4974/D4974,L4973)</f>
        <v/>
      </c>
      <c r="M4974">
        <f>IF(G4974=1,0.2*R4974/E4974,M4973)</f>
        <v/>
      </c>
      <c r="N4974">
        <f>IF(G4974=1,0.2*R4974/F4974,N4973)</f>
        <v/>
      </c>
      <c r="O4974">
        <f>IF(G4974=1,R4974*(1-1.0),IF(H4973=0,1,O4973*(1+0.00023125256064071564)))</f>
        <v/>
      </c>
      <c r="P4974">
        <f>IF(G4974=1,IF(H4973=0,1,ABS(0.2-J4973*B4974/I4974)+ABS(0.2-K4973*C4974/I4974)+ABS(0.2-L4973*D4974/I4974)+ABS(0.2-M4973*E4974/I4974)+ABS(0.2-N4973*F4974/I4974)),0)</f>
        <v/>
      </c>
      <c r="Q4974">
        <f>P4974*0.0015</f>
        <v/>
      </c>
      <c r="R4974">
        <f>I4974*(1-Q4974)</f>
        <v/>
      </c>
      <c r="S4974">
        <f>R4974/R4973-1</f>
        <v/>
      </c>
      <c r="T4974">
        <f>MAX(T4973,R4974)</f>
        <v/>
      </c>
      <c r="U4974">
        <f>R4974/T4974-1</f>
        <v/>
      </c>
      <c r="V4974" t="n">
        <v>27.11429356832339</v>
      </c>
      <c r="W4974" s="5">
        <f>R4974-V4974</f>
        <v/>
      </c>
    </row>
    <row r="4975">
      <c r="A4975" s="3" t="n">
        <v>45769</v>
      </c>
      <c r="B4975">
        <f>Prices!B4975</f>
        <v/>
      </c>
      <c r="C4975">
        <f>Prices!C4975</f>
        <v/>
      </c>
      <c r="D4975">
        <f>Prices!D4975</f>
        <v/>
      </c>
      <c r="E4975">
        <f>Prices!E4975</f>
        <v/>
      </c>
      <c r="F4975">
        <f>Prices!F4975</f>
        <v/>
      </c>
      <c r="G4975">
        <f>IF(AND(4973&gt;=16,TEXT(A4975,"yyyy-mm")&lt;&gt;TEXT(A4976,"yyyy-mm")),1,0)</f>
        <v/>
      </c>
      <c r="H4975">
        <f>IF(OR(H4974=1,G4975=1),1,0)</f>
        <v/>
      </c>
      <c r="I4975">
        <f>IF(H4974=0,1,SUMPRODUCT(J4974:N4974,B4975:F4975)+O4974*(1+0.00023125256064071564))</f>
        <v/>
      </c>
      <c r="J4975">
        <f>IF(G4975=1,0.2*R4975/B4975,J4974)</f>
        <v/>
      </c>
      <c r="K4975">
        <f>IF(G4975=1,0.2*R4975/C4975,K4974)</f>
        <v/>
      </c>
      <c r="L4975">
        <f>IF(G4975=1,0.2*R4975/D4975,L4974)</f>
        <v/>
      </c>
      <c r="M4975">
        <f>IF(G4975=1,0.2*R4975/E4975,M4974)</f>
        <v/>
      </c>
      <c r="N4975">
        <f>IF(G4975=1,0.2*R4975/F4975,N4974)</f>
        <v/>
      </c>
      <c r="O4975">
        <f>IF(G4975=1,R4975*(1-1.0),IF(H4974=0,1,O4974*(1+0.00023125256064071564)))</f>
        <v/>
      </c>
      <c r="P4975">
        <f>IF(G4975=1,IF(H4974=0,1,ABS(0.2-J4974*B4975/I4975)+ABS(0.2-K4974*C4975/I4975)+ABS(0.2-L4974*D4975/I4975)+ABS(0.2-M4974*E4975/I4975)+ABS(0.2-N4974*F4975/I4975)),0)</f>
        <v/>
      </c>
      <c r="Q4975">
        <f>P4975*0.0015</f>
        <v/>
      </c>
      <c r="R4975">
        <f>I4975*(1-Q4975)</f>
        <v/>
      </c>
      <c r="S4975">
        <f>R4975/R4974-1</f>
        <v/>
      </c>
      <c r="T4975">
        <f>MAX(T4974,R4975)</f>
        <v/>
      </c>
      <c r="U4975">
        <f>R4975/T4975-1</f>
        <v/>
      </c>
      <c r="V4975" t="n">
        <v>27.29243244890023</v>
      </c>
      <c r="W4975" s="5">
        <f>R4975-V4975</f>
        <v/>
      </c>
    </row>
    <row r="4976">
      <c r="A4976" s="3" t="n">
        <v>45770</v>
      </c>
      <c r="B4976">
        <f>Prices!B4976</f>
        <v/>
      </c>
      <c r="C4976">
        <f>Prices!C4976</f>
        <v/>
      </c>
      <c r="D4976">
        <f>Prices!D4976</f>
        <v/>
      </c>
      <c r="E4976">
        <f>Prices!E4976</f>
        <v/>
      </c>
      <c r="F4976">
        <f>Prices!F4976</f>
        <v/>
      </c>
      <c r="G4976">
        <f>IF(AND(4974&gt;=16,TEXT(A4976,"yyyy-mm")&lt;&gt;TEXT(A4977,"yyyy-mm")),1,0)</f>
        <v/>
      </c>
      <c r="H4976">
        <f>IF(OR(H4975=1,G4976=1),1,0)</f>
        <v/>
      </c>
      <c r="I4976">
        <f>IF(H4975=0,1,SUMPRODUCT(J4975:N4975,B4976:F4976)+O4975*(1+0.00023125256064071564))</f>
        <v/>
      </c>
      <c r="J4976">
        <f>IF(G4976=1,0.2*R4976/B4976,J4975)</f>
        <v/>
      </c>
      <c r="K4976">
        <f>IF(G4976=1,0.2*R4976/C4976,K4975)</f>
        <v/>
      </c>
      <c r="L4976">
        <f>IF(G4976=1,0.2*R4976/D4976,L4975)</f>
        <v/>
      </c>
      <c r="M4976">
        <f>IF(G4976=1,0.2*R4976/E4976,M4975)</f>
        <v/>
      </c>
      <c r="N4976">
        <f>IF(G4976=1,0.2*R4976/F4976,N4975)</f>
        <v/>
      </c>
      <c r="O4976">
        <f>IF(G4976=1,R4976*(1-1.0),IF(H4975=0,1,O4975*(1+0.00023125256064071564)))</f>
        <v/>
      </c>
      <c r="P4976">
        <f>IF(G4976=1,IF(H4975=0,1,ABS(0.2-J4975*B4976/I4976)+ABS(0.2-K4975*C4976/I4976)+ABS(0.2-L4975*D4976/I4976)+ABS(0.2-M4975*E4976/I4976)+ABS(0.2-N4975*F4976/I4976)),0)</f>
        <v/>
      </c>
      <c r="Q4976">
        <f>P4976*0.0015</f>
        <v/>
      </c>
      <c r="R4976">
        <f>I4976*(1-Q4976)</f>
        <v/>
      </c>
      <c r="S4976">
        <f>R4976/R4975-1</f>
        <v/>
      </c>
      <c r="T4976">
        <f>MAX(T4975,R4976)</f>
        <v/>
      </c>
      <c r="U4976">
        <f>R4976/T4976-1</f>
        <v/>
      </c>
      <c r="V4976" t="n">
        <v>27.53071994043539</v>
      </c>
      <c r="W4976" s="5">
        <f>R4976-V4976</f>
        <v/>
      </c>
    </row>
    <row r="4977">
      <c r="A4977" s="3" t="n">
        <v>45771</v>
      </c>
      <c r="B4977">
        <f>Prices!B4977</f>
        <v/>
      </c>
      <c r="C4977">
        <f>Prices!C4977</f>
        <v/>
      </c>
      <c r="D4977">
        <f>Prices!D4977</f>
        <v/>
      </c>
      <c r="E4977">
        <f>Prices!E4977</f>
        <v/>
      </c>
      <c r="F4977">
        <f>Prices!F4977</f>
        <v/>
      </c>
      <c r="G4977">
        <f>IF(AND(4975&gt;=16,TEXT(A4977,"yyyy-mm")&lt;&gt;TEXT(A4978,"yyyy-mm")),1,0)</f>
        <v/>
      </c>
      <c r="H4977">
        <f>IF(OR(H4976=1,G4977=1),1,0)</f>
        <v/>
      </c>
      <c r="I4977">
        <f>IF(H4976=0,1,SUMPRODUCT(J4976:N4976,B4977:F4977)+O4976*(1+0.00023125256064071564))</f>
        <v/>
      </c>
      <c r="J4977">
        <f>IF(G4977=1,0.2*R4977/B4977,J4976)</f>
        <v/>
      </c>
      <c r="K4977">
        <f>IF(G4977=1,0.2*R4977/C4977,K4976)</f>
        <v/>
      </c>
      <c r="L4977">
        <f>IF(G4977=1,0.2*R4977/D4977,L4976)</f>
        <v/>
      </c>
      <c r="M4977">
        <f>IF(G4977=1,0.2*R4977/E4977,M4976)</f>
        <v/>
      </c>
      <c r="N4977">
        <f>IF(G4977=1,0.2*R4977/F4977,N4976)</f>
        <v/>
      </c>
      <c r="O4977">
        <f>IF(G4977=1,R4977*(1-1.0),IF(H4976=0,1,O4976*(1+0.00023125256064071564)))</f>
        <v/>
      </c>
      <c r="P4977">
        <f>IF(G4977=1,IF(H4976=0,1,ABS(0.2-J4976*B4977/I4977)+ABS(0.2-K4976*C4977/I4977)+ABS(0.2-L4976*D4977/I4977)+ABS(0.2-M4976*E4977/I4977)+ABS(0.2-N4976*F4977/I4977)),0)</f>
        <v/>
      </c>
      <c r="Q4977">
        <f>P4977*0.0015</f>
        <v/>
      </c>
      <c r="R4977">
        <f>I4977*(1-Q4977)</f>
        <v/>
      </c>
      <c r="S4977">
        <f>R4977/R4976-1</f>
        <v/>
      </c>
      <c r="T4977">
        <f>MAX(T4976,R4977)</f>
        <v/>
      </c>
      <c r="U4977">
        <f>R4977/T4977-1</f>
        <v/>
      </c>
      <c r="V4977" t="n">
        <v>27.51842624377007</v>
      </c>
      <c r="W4977" s="5">
        <f>R4977-V4977</f>
        <v/>
      </c>
    </row>
    <row r="4978">
      <c r="A4978" s="3" t="n">
        <v>45772</v>
      </c>
      <c r="B4978">
        <f>Prices!B4978</f>
        <v/>
      </c>
      <c r="C4978">
        <f>Prices!C4978</f>
        <v/>
      </c>
      <c r="D4978">
        <f>Prices!D4978</f>
        <v/>
      </c>
      <c r="E4978">
        <f>Prices!E4978</f>
        <v/>
      </c>
      <c r="F4978">
        <f>Prices!F4978</f>
        <v/>
      </c>
      <c r="G4978">
        <f>IF(AND(4976&gt;=16,TEXT(A4978,"yyyy-mm")&lt;&gt;TEXT(A4979,"yyyy-mm")),1,0)</f>
        <v/>
      </c>
      <c r="H4978">
        <f>IF(OR(H4977=1,G4978=1),1,0)</f>
        <v/>
      </c>
      <c r="I4978">
        <f>IF(H4977=0,1,SUMPRODUCT(J4977:N4977,B4978:F4978)+O4977*(1+0.00023125256064071564))</f>
        <v/>
      </c>
      <c r="J4978">
        <f>IF(G4978=1,0.2*R4978/B4978,J4977)</f>
        <v/>
      </c>
      <c r="K4978">
        <f>IF(G4978=1,0.2*R4978/C4978,K4977)</f>
        <v/>
      </c>
      <c r="L4978">
        <f>IF(G4978=1,0.2*R4978/D4978,L4977)</f>
        <v/>
      </c>
      <c r="M4978">
        <f>IF(G4978=1,0.2*R4978/E4978,M4977)</f>
        <v/>
      </c>
      <c r="N4978">
        <f>IF(G4978=1,0.2*R4978/F4978,N4977)</f>
        <v/>
      </c>
      <c r="O4978">
        <f>IF(G4978=1,R4978*(1-1.0),IF(H4977=0,1,O4977*(1+0.00023125256064071564)))</f>
        <v/>
      </c>
      <c r="P4978">
        <f>IF(G4978=1,IF(H4977=0,1,ABS(0.2-J4977*B4978/I4978)+ABS(0.2-K4977*C4978/I4978)+ABS(0.2-L4977*D4978/I4978)+ABS(0.2-M4977*E4978/I4978)+ABS(0.2-N4977*F4978/I4978)),0)</f>
        <v/>
      </c>
      <c r="Q4978">
        <f>P4978*0.0015</f>
        <v/>
      </c>
      <c r="R4978">
        <f>I4978*(1-Q4978)</f>
        <v/>
      </c>
      <c r="S4978">
        <f>R4978/R4977-1</f>
        <v/>
      </c>
      <c r="T4978">
        <f>MAX(T4977,R4978)</f>
        <v/>
      </c>
      <c r="U4978">
        <f>R4978/T4978-1</f>
        <v/>
      </c>
      <c r="V4978" t="n">
        <v>26.87882763281292</v>
      </c>
      <c r="W4978" s="5">
        <f>R4978-V4978</f>
        <v/>
      </c>
    </row>
    <row r="4979">
      <c r="A4979" s="3" t="n">
        <v>45775</v>
      </c>
      <c r="B4979">
        <f>Prices!B4979</f>
        <v/>
      </c>
      <c r="C4979">
        <f>Prices!C4979</f>
        <v/>
      </c>
      <c r="D4979">
        <f>Prices!D4979</f>
        <v/>
      </c>
      <c r="E4979">
        <f>Prices!E4979</f>
        <v/>
      </c>
      <c r="F4979">
        <f>Prices!F4979</f>
        <v/>
      </c>
      <c r="G4979">
        <f>IF(AND(4977&gt;=16,TEXT(A4979,"yyyy-mm")&lt;&gt;TEXT(A4980,"yyyy-mm")),1,0)</f>
        <v/>
      </c>
      <c r="H4979">
        <f>IF(OR(H4978=1,G4979=1),1,0)</f>
        <v/>
      </c>
      <c r="I4979">
        <f>IF(H4978=0,1,SUMPRODUCT(J4978:N4978,B4979:F4979)+O4978*(1+0.00023125256064071564))</f>
        <v/>
      </c>
      <c r="J4979">
        <f>IF(G4979=1,0.2*R4979/B4979,J4978)</f>
        <v/>
      </c>
      <c r="K4979">
        <f>IF(G4979=1,0.2*R4979/C4979,K4978)</f>
        <v/>
      </c>
      <c r="L4979">
        <f>IF(G4979=1,0.2*R4979/D4979,L4978)</f>
        <v/>
      </c>
      <c r="M4979">
        <f>IF(G4979=1,0.2*R4979/E4979,M4978)</f>
        <v/>
      </c>
      <c r="N4979">
        <f>IF(G4979=1,0.2*R4979/F4979,N4978)</f>
        <v/>
      </c>
      <c r="O4979">
        <f>IF(G4979=1,R4979*(1-1.0),IF(H4978=0,1,O4978*(1+0.00023125256064071564)))</f>
        <v/>
      </c>
      <c r="P4979">
        <f>IF(G4979=1,IF(H4978=0,1,ABS(0.2-J4978*B4979/I4979)+ABS(0.2-K4978*C4979/I4979)+ABS(0.2-L4978*D4979/I4979)+ABS(0.2-M4978*E4979/I4979)+ABS(0.2-N4978*F4979/I4979)),0)</f>
        <v/>
      </c>
      <c r="Q4979">
        <f>P4979*0.0015</f>
        <v/>
      </c>
      <c r="R4979">
        <f>I4979*(1-Q4979)</f>
        <v/>
      </c>
      <c r="S4979">
        <f>R4979/R4978-1</f>
        <v/>
      </c>
      <c r="T4979">
        <f>MAX(T4978,R4979)</f>
        <v/>
      </c>
      <c r="U4979">
        <f>R4979/T4979-1</f>
        <v/>
      </c>
      <c r="V4979" t="n">
        <v>27.24246340909568</v>
      </c>
      <c r="W4979" s="5">
        <f>R4979-V4979</f>
        <v/>
      </c>
    </row>
    <row r="4980">
      <c r="A4980" s="3" t="n">
        <v>45776</v>
      </c>
      <c r="B4980">
        <f>Prices!B4980</f>
        <v/>
      </c>
      <c r="C4980">
        <f>Prices!C4980</f>
        <v/>
      </c>
      <c r="D4980">
        <f>Prices!D4980</f>
        <v/>
      </c>
      <c r="E4980">
        <f>Prices!E4980</f>
        <v/>
      </c>
      <c r="F4980">
        <f>Prices!F4980</f>
        <v/>
      </c>
      <c r="G4980">
        <f>IF(AND(4978&gt;=16,TEXT(A4980,"yyyy-mm")&lt;&gt;TEXT(A4981,"yyyy-mm")),1,0)</f>
        <v/>
      </c>
      <c r="H4980">
        <f>IF(OR(H4979=1,G4980=1),1,0)</f>
        <v/>
      </c>
      <c r="I4980">
        <f>IF(H4979=0,1,SUMPRODUCT(J4979:N4979,B4980:F4980)+O4979*(1+0.00023125256064071564))</f>
        <v/>
      </c>
      <c r="J4980">
        <f>IF(G4980=1,0.2*R4980/B4980,J4979)</f>
        <v/>
      </c>
      <c r="K4980">
        <f>IF(G4980=1,0.2*R4980/C4980,K4979)</f>
        <v/>
      </c>
      <c r="L4980">
        <f>IF(G4980=1,0.2*R4980/D4980,L4979)</f>
        <v/>
      </c>
      <c r="M4980">
        <f>IF(G4980=1,0.2*R4980/E4980,M4979)</f>
        <v/>
      </c>
      <c r="N4980">
        <f>IF(G4980=1,0.2*R4980/F4980,N4979)</f>
        <v/>
      </c>
      <c r="O4980">
        <f>IF(G4980=1,R4980*(1-1.0),IF(H4979=0,1,O4979*(1+0.00023125256064071564)))</f>
        <v/>
      </c>
      <c r="P4980">
        <f>IF(G4980=1,IF(H4979=0,1,ABS(0.2-J4979*B4980/I4980)+ABS(0.2-K4979*C4980/I4980)+ABS(0.2-L4979*D4980/I4980)+ABS(0.2-M4979*E4980/I4980)+ABS(0.2-N4979*F4980/I4980)),0)</f>
        <v/>
      </c>
      <c r="Q4980">
        <f>P4980*0.0015</f>
        <v/>
      </c>
      <c r="R4980">
        <f>I4980*(1-Q4980)</f>
        <v/>
      </c>
      <c r="S4980">
        <f>R4980/R4979-1</f>
        <v/>
      </c>
      <c r="T4980">
        <f>MAX(T4979,R4980)</f>
        <v/>
      </c>
      <c r="U4980">
        <f>R4980/T4980-1</f>
        <v/>
      </c>
      <c r="V4980" t="n">
        <v>27.30446847332605</v>
      </c>
      <c r="W4980" s="5">
        <f>R4980-V4980</f>
        <v/>
      </c>
    </row>
    <row r="4981">
      <c r="A4981" s="3" t="n">
        <v>45777</v>
      </c>
      <c r="B4981">
        <f>Prices!B4981</f>
        <v/>
      </c>
      <c r="C4981">
        <f>Prices!C4981</f>
        <v/>
      </c>
      <c r="D4981">
        <f>Prices!D4981</f>
        <v/>
      </c>
      <c r="E4981">
        <f>Prices!E4981</f>
        <v/>
      </c>
      <c r="F4981">
        <f>Prices!F4981</f>
        <v/>
      </c>
      <c r="G4981">
        <f>IF(AND(4979&gt;=16,TEXT(A4981,"yyyy-mm")&lt;&gt;TEXT(A4982,"yyyy-mm")),1,0)</f>
        <v/>
      </c>
      <c r="H4981">
        <f>IF(OR(H4980=1,G4981=1),1,0)</f>
        <v/>
      </c>
      <c r="I4981">
        <f>IF(H4980=0,1,SUMPRODUCT(J4980:N4980,B4981:F4981)+O4980*(1+0.00023125256064071564))</f>
        <v/>
      </c>
      <c r="J4981">
        <f>IF(G4981=1,0.2*R4981/B4981,J4980)</f>
        <v/>
      </c>
      <c r="K4981">
        <f>IF(G4981=1,0.2*R4981/C4981,K4980)</f>
        <v/>
      </c>
      <c r="L4981">
        <f>IF(G4981=1,0.2*R4981/D4981,L4980)</f>
        <v/>
      </c>
      <c r="M4981">
        <f>IF(G4981=1,0.2*R4981/E4981,M4980)</f>
        <v/>
      </c>
      <c r="N4981">
        <f>IF(G4981=1,0.2*R4981/F4981,N4980)</f>
        <v/>
      </c>
      <c r="O4981">
        <f>IF(G4981=1,R4981*(1-1.0),IF(H4980=0,1,O4980*(1+0.00023125256064071564)))</f>
        <v/>
      </c>
      <c r="P4981">
        <f>IF(G4981=1,IF(H4980=0,1,ABS(0.2-J4980*B4981/I4981)+ABS(0.2-K4980*C4981/I4981)+ABS(0.2-L4980*D4981/I4981)+ABS(0.2-M4980*E4981/I4981)+ABS(0.2-N4980*F4981/I4981)),0)</f>
        <v/>
      </c>
      <c r="Q4981">
        <f>P4981*0.0015</f>
        <v/>
      </c>
      <c r="R4981">
        <f>I4981*(1-Q4981)</f>
        <v/>
      </c>
      <c r="S4981">
        <f>R4981/R4980-1</f>
        <v/>
      </c>
      <c r="T4981">
        <f>MAX(T4980,R4981)</f>
        <v/>
      </c>
      <c r="U4981">
        <f>R4981/T4981-1</f>
        <v/>
      </c>
      <c r="V4981" t="n">
        <v>27.05765912560495</v>
      </c>
      <c r="W4981" s="5">
        <f>R4981-V4981</f>
        <v/>
      </c>
    </row>
    <row r="4982">
      <c r="A4982" s="3" t="n">
        <v>45779</v>
      </c>
      <c r="B4982">
        <f>Prices!B4982</f>
        <v/>
      </c>
      <c r="C4982">
        <f>Prices!C4982</f>
        <v/>
      </c>
      <c r="D4982">
        <f>Prices!D4982</f>
        <v/>
      </c>
      <c r="E4982">
        <f>Prices!E4982</f>
        <v/>
      </c>
      <c r="F4982">
        <f>Prices!F4982</f>
        <v/>
      </c>
      <c r="G4982">
        <f>IF(AND(4980&gt;=16,TEXT(A4982,"yyyy-mm")&lt;&gt;TEXT(A4983,"yyyy-mm")),1,0)</f>
        <v/>
      </c>
      <c r="H4982">
        <f>IF(OR(H4981=1,G4982=1),1,0)</f>
        <v/>
      </c>
      <c r="I4982">
        <f>IF(H4981=0,1,SUMPRODUCT(J4981:N4981,B4982:F4982)+O4981*(1+0.00023125256064071564))</f>
        <v/>
      </c>
      <c r="J4982">
        <f>IF(G4982=1,0.2*R4982/B4982,J4981)</f>
        <v/>
      </c>
      <c r="K4982">
        <f>IF(G4982=1,0.2*R4982/C4982,K4981)</f>
        <v/>
      </c>
      <c r="L4982">
        <f>IF(G4982=1,0.2*R4982/D4982,L4981)</f>
        <v/>
      </c>
      <c r="M4982">
        <f>IF(G4982=1,0.2*R4982/E4982,M4981)</f>
        <v/>
      </c>
      <c r="N4982">
        <f>IF(G4982=1,0.2*R4982/F4982,N4981)</f>
        <v/>
      </c>
      <c r="O4982">
        <f>IF(G4982=1,R4982*(1-1.0),IF(H4981=0,1,O4981*(1+0.00023125256064071564)))</f>
        <v/>
      </c>
      <c r="P4982">
        <f>IF(G4982=1,IF(H4981=0,1,ABS(0.2-J4981*B4982/I4982)+ABS(0.2-K4981*C4982/I4982)+ABS(0.2-L4981*D4982/I4982)+ABS(0.2-M4981*E4982/I4982)+ABS(0.2-N4981*F4982/I4982)),0)</f>
        <v/>
      </c>
      <c r="Q4982">
        <f>P4982*0.0015</f>
        <v/>
      </c>
      <c r="R4982">
        <f>I4982*(1-Q4982)</f>
        <v/>
      </c>
      <c r="S4982">
        <f>R4982/R4981-1</f>
        <v/>
      </c>
      <c r="T4982">
        <f>MAX(T4981,R4982)</f>
        <v/>
      </c>
      <c r="U4982">
        <f>R4982/T4982-1</f>
        <v/>
      </c>
      <c r="V4982" t="n">
        <v>26.96763100917652</v>
      </c>
      <c r="W4982" s="5">
        <f>R4982-V4982</f>
        <v/>
      </c>
    </row>
    <row r="4983">
      <c r="A4983" s="3" t="n">
        <v>45782</v>
      </c>
      <c r="B4983">
        <f>Prices!B4983</f>
        <v/>
      </c>
      <c r="C4983">
        <f>Prices!C4983</f>
        <v/>
      </c>
      <c r="D4983">
        <f>Prices!D4983</f>
        <v/>
      </c>
      <c r="E4983">
        <f>Prices!E4983</f>
        <v/>
      </c>
      <c r="F4983">
        <f>Prices!F4983</f>
        <v/>
      </c>
      <c r="G4983">
        <f>IF(AND(4981&gt;=16,TEXT(A4983,"yyyy-mm")&lt;&gt;TEXT(A4984,"yyyy-mm")),1,0)</f>
        <v/>
      </c>
      <c r="H4983">
        <f>IF(OR(H4982=1,G4983=1),1,0)</f>
        <v/>
      </c>
      <c r="I4983">
        <f>IF(H4982=0,1,SUMPRODUCT(J4982:N4982,B4983:F4983)+O4982*(1+0.00023125256064071564))</f>
        <v/>
      </c>
      <c r="J4983">
        <f>IF(G4983=1,0.2*R4983/B4983,J4982)</f>
        <v/>
      </c>
      <c r="K4983">
        <f>IF(G4983=1,0.2*R4983/C4983,K4982)</f>
        <v/>
      </c>
      <c r="L4983">
        <f>IF(G4983=1,0.2*R4983/D4983,L4982)</f>
        <v/>
      </c>
      <c r="M4983">
        <f>IF(G4983=1,0.2*R4983/E4983,M4982)</f>
        <v/>
      </c>
      <c r="N4983">
        <f>IF(G4983=1,0.2*R4983/F4983,N4982)</f>
        <v/>
      </c>
      <c r="O4983">
        <f>IF(G4983=1,R4983*(1-1.0),IF(H4982=0,1,O4982*(1+0.00023125256064071564)))</f>
        <v/>
      </c>
      <c r="P4983">
        <f>IF(G4983=1,IF(H4982=0,1,ABS(0.2-J4982*B4983/I4983)+ABS(0.2-K4982*C4983/I4983)+ABS(0.2-L4982*D4983/I4983)+ABS(0.2-M4982*E4983/I4983)+ABS(0.2-N4982*F4983/I4983)),0)</f>
        <v/>
      </c>
      <c r="Q4983">
        <f>P4983*0.0015</f>
        <v/>
      </c>
      <c r="R4983">
        <f>I4983*(1-Q4983)</f>
        <v/>
      </c>
      <c r="S4983">
        <f>R4983/R4982-1</f>
        <v/>
      </c>
      <c r="T4983">
        <f>MAX(T4982,R4983)</f>
        <v/>
      </c>
      <c r="U4983">
        <f>R4983/T4983-1</f>
        <v/>
      </c>
      <c r="V4983" t="n">
        <v>27.30343067907825</v>
      </c>
      <c r="W4983" s="5">
        <f>R4983-V4983</f>
        <v/>
      </c>
    </row>
    <row r="4984">
      <c r="A4984" s="3" t="n">
        <v>45783</v>
      </c>
      <c r="B4984">
        <f>Prices!B4984</f>
        <v/>
      </c>
      <c r="C4984">
        <f>Prices!C4984</f>
        <v/>
      </c>
      <c r="D4984">
        <f>Prices!D4984</f>
        <v/>
      </c>
      <c r="E4984">
        <f>Prices!E4984</f>
        <v/>
      </c>
      <c r="F4984">
        <f>Prices!F4984</f>
        <v/>
      </c>
      <c r="G4984">
        <f>IF(AND(4982&gt;=16,TEXT(A4984,"yyyy-mm")&lt;&gt;TEXT(A4985,"yyyy-mm")),1,0)</f>
        <v/>
      </c>
      <c r="H4984">
        <f>IF(OR(H4983=1,G4984=1),1,0)</f>
        <v/>
      </c>
      <c r="I4984">
        <f>IF(H4983=0,1,SUMPRODUCT(J4983:N4983,B4984:F4984)+O4983*(1+0.00023125256064071564))</f>
        <v/>
      </c>
      <c r="J4984">
        <f>IF(G4984=1,0.2*R4984/B4984,J4983)</f>
        <v/>
      </c>
      <c r="K4984">
        <f>IF(G4984=1,0.2*R4984/C4984,K4983)</f>
        <v/>
      </c>
      <c r="L4984">
        <f>IF(G4984=1,0.2*R4984/D4984,L4983)</f>
        <v/>
      </c>
      <c r="M4984">
        <f>IF(G4984=1,0.2*R4984/E4984,M4983)</f>
        <v/>
      </c>
      <c r="N4984">
        <f>IF(G4984=1,0.2*R4984/F4984,N4983)</f>
        <v/>
      </c>
      <c r="O4984">
        <f>IF(G4984=1,R4984*(1-1.0),IF(H4983=0,1,O4983*(1+0.00023125256064071564)))</f>
        <v/>
      </c>
      <c r="P4984">
        <f>IF(G4984=1,IF(H4983=0,1,ABS(0.2-J4983*B4984/I4984)+ABS(0.2-K4983*C4984/I4984)+ABS(0.2-L4983*D4984/I4984)+ABS(0.2-M4983*E4984/I4984)+ABS(0.2-N4983*F4984/I4984)),0)</f>
        <v/>
      </c>
      <c r="Q4984">
        <f>P4984*0.0015</f>
        <v/>
      </c>
      <c r="R4984">
        <f>I4984*(1-Q4984)</f>
        <v/>
      </c>
      <c r="S4984">
        <f>R4984/R4983-1</f>
        <v/>
      </c>
      <c r="T4984">
        <f>MAX(T4983,R4984)</f>
        <v/>
      </c>
      <c r="U4984">
        <f>R4984/T4984-1</f>
        <v/>
      </c>
      <c r="V4984" t="n">
        <v>26.76594908407608</v>
      </c>
      <c r="W4984" s="5">
        <f>R4984-V4984</f>
        <v/>
      </c>
    </row>
    <row r="4985">
      <c r="A4985" s="3" t="n">
        <v>45784</v>
      </c>
      <c r="B4985">
        <f>Prices!B4985</f>
        <v/>
      </c>
      <c r="C4985">
        <f>Prices!C4985</f>
        <v/>
      </c>
      <c r="D4985">
        <f>Prices!D4985</f>
        <v/>
      </c>
      <c r="E4985">
        <f>Prices!E4985</f>
        <v/>
      </c>
      <c r="F4985">
        <f>Prices!F4985</f>
        <v/>
      </c>
      <c r="G4985">
        <f>IF(AND(4983&gt;=16,TEXT(A4985,"yyyy-mm")&lt;&gt;TEXT(A4986,"yyyy-mm")),1,0)</f>
        <v/>
      </c>
      <c r="H4985">
        <f>IF(OR(H4984=1,G4985=1),1,0)</f>
        <v/>
      </c>
      <c r="I4985">
        <f>IF(H4984=0,1,SUMPRODUCT(J4984:N4984,B4985:F4985)+O4984*(1+0.00023125256064071564))</f>
        <v/>
      </c>
      <c r="J4985">
        <f>IF(G4985=1,0.2*R4985/B4985,J4984)</f>
        <v/>
      </c>
      <c r="K4985">
        <f>IF(G4985=1,0.2*R4985/C4985,K4984)</f>
        <v/>
      </c>
      <c r="L4985">
        <f>IF(G4985=1,0.2*R4985/D4985,L4984)</f>
        <v/>
      </c>
      <c r="M4985">
        <f>IF(G4985=1,0.2*R4985/E4985,M4984)</f>
        <v/>
      </c>
      <c r="N4985">
        <f>IF(G4985=1,0.2*R4985/F4985,N4984)</f>
        <v/>
      </c>
      <c r="O4985">
        <f>IF(G4985=1,R4985*(1-1.0),IF(H4984=0,1,O4984*(1+0.00023125256064071564)))</f>
        <v/>
      </c>
      <c r="P4985">
        <f>IF(G4985=1,IF(H4984=0,1,ABS(0.2-J4984*B4985/I4985)+ABS(0.2-K4984*C4985/I4985)+ABS(0.2-L4984*D4985/I4985)+ABS(0.2-M4984*E4985/I4985)+ABS(0.2-N4984*F4985/I4985)),0)</f>
        <v/>
      </c>
      <c r="Q4985">
        <f>P4985*0.0015</f>
        <v/>
      </c>
      <c r="R4985">
        <f>I4985*(1-Q4985)</f>
        <v/>
      </c>
      <c r="S4985">
        <f>R4985/R4984-1</f>
        <v/>
      </c>
      <c r="T4985">
        <f>MAX(T4984,R4985)</f>
        <v/>
      </c>
      <c r="U4985">
        <f>R4985/T4985-1</f>
        <v/>
      </c>
      <c r="V4985" t="n">
        <v>27.08120355300885</v>
      </c>
      <c r="W4985" s="5">
        <f>R4985-V4985</f>
        <v/>
      </c>
    </row>
    <row r="4986">
      <c r="A4986" s="3" t="n">
        <v>45785</v>
      </c>
      <c r="B4986">
        <f>Prices!B4986</f>
        <v/>
      </c>
      <c r="C4986">
        <f>Prices!C4986</f>
        <v/>
      </c>
      <c r="D4986">
        <f>Prices!D4986</f>
        <v/>
      </c>
      <c r="E4986">
        <f>Prices!E4986</f>
        <v/>
      </c>
      <c r="F4986">
        <f>Prices!F4986</f>
        <v/>
      </c>
      <c r="G4986">
        <f>IF(AND(4984&gt;=16,TEXT(A4986,"yyyy-mm")&lt;&gt;TEXT(A4987,"yyyy-mm")),1,0)</f>
        <v/>
      </c>
      <c r="H4986">
        <f>IF(OR(H4985=1,G4986=1),1,0)</f>
        <v/>
      </c>
      <c r="I4986">
        <f>IF(H4985=0,1,SUMPRODUCT(J4985:N4985,B4986:F4986)+O4985*(1+0.00023125256064071564))</f>
        <v/>
      </c>
      <c r="J4986">
        <f>IF(G4986=1,0.2*R4986/B4986,J4985)</f>
        <v/>
      </c>
      <c r="K4986">
        <f>IF(G4986=1,0.2*R4986/C4986,K4985)</f>
        <v/>
      </c>
      <c r="L4986">
        <f>IF(G4986=1,0.2*R4986/D4986,L4985)</f>
        <v/>
      </c>
      <c r="M4986">
        <f>IF(G4986=1,0.2*R4986/E4986,M4985)</f>
        <v/>
      </c>
      <c r="N4986">
        <f>IF(G4986=1,0.2*R4986/F4986,N4985)</f>
        <v/>
      </c>
      <c r="O4986">
        <f>IF(G4986=1,R4986*(1-1.0),IF(H4985=0,1,O4985*(1+0.00023125256064071564)))</f>
        <v/>
      </c>
      <c r="P4986">
        <f>IF(G4986=1,IF(H4985=0,1,ABS(0.2-J4985*B4986/I4986)+ABS(0.2-K4985*C4986/I4986)+ABS(0.2-L4985*D4986/I4986)+ABS(0.2-M4985*E4986/I4986)+ABS(0.2-N4985*F4986/I4986)),0)</f>
        <v/>
      </c>
      <c r="Q4986">
        <f>P4986*0.0015</f>
        <v/>
      </c>
      <c r="R4986">
        <f>I4986*(1-Q4986)</f>
        <v/>
      </c>
      <c r="S4986">
        <f>R4986/R4985-1</f>
        <v/>
      </c>
      <c r="T4986">
        <f>MAX(T4985,R4986)</f>
        <v/>
      </c>
      <c r="U4986">
        <f>R4986/T4986-1</f>
        <v/>
      </c>
      <c r="V4986" t="n">
        <v>26.68440526751262</v>
      </c>
      <c r="W4986" s="5">
        <f>R4986-V4986</f>
        <v/>
      </c>
    </row>
    <row r="4987">
      <c r="A4987" s="3" t="n">
        <v>45786</v>
      </c>
      <c r="B4987">
        <f>Prices!B4987</f>
        <v/>
      </c>
      <c r="C4987">
        <f>Prices!C4987</f>
        <v/>
      </c>
      <c r="D4987">
        <f>Prices!D4987</f>
        <v/>
      </c>
      <c r="E4987">
        <f>Prices!E4987</f>
        <v/>
      </c>
      <c r="F4987">
        <f>Prices!F4987</f>
        <v/>
      </c>
      <c r="G4987">
        <f>IF(AND(4985&gt;=16,TEXT(A4987,"yyyy-mm")&lt;&gt;TEXT(A4988,"yyyy-mm")),1,0)</f>
        <v/>
      </c>
      <c r="H4987">
        <f>IF(OR(H4986=1,G4987=1),1,0)</f>
        <v/>
      </c>
      <c r="I4987">
        <f>IF(H4986=0,1,SUMPRODUCT(J4986:N4986,B4987:F4987)+O4986*(1+0.00023125256064071564))</f>
        <v/>
      </c>
      <c r="J4987">
        <f>IF(G4987=1,0.2*R4987/B4987,J4986)</f>
        <v/>
      </c>
      <c r="K4987">
        <f>IF(G4987=1,0.2*R4987/C4987,K4986)</f>
        <v/>
      </c>
      <c r="L4987">
        <f>IF(G4987=1,0.2*R4987/D4987,L4986)</f>
        <v/>
      </c>
      <c r="M4987">
        <f>IF(G4987=1,0.2*R4987/E4987,M4986)</f>
        <v/>
      </c>
      <c r="N4987">
        <f>IF(G4987=1,0.2*R4987/F4987,N4986)</f>
        <v/>
      </c>
      <c r="O4987">
        <f>IF(G4987=1,R4987*(1-1.0),IF(H4986=0,1,O4986*(1+0.00023125256064071564)))</f>
        <v/>
      </c>
      <c r="P4987">
        <f>IF(G4987=1,IF(H4986=0,1,ABS(0.2-J4986*B4987/I4987)+ABS(0.2-K4986*C4987/I4987)+ABS(0.2-L4986*D4987/I4987)+ABS(0.2-M4986*E4987/I4987)+ABS(0.2-N4986*F4987/I4987)),0)</f>
        <v/>
      </c>
      <c r="Q4987">
        <f>P4987*0.0015</f>
        <v/>
      </c>
      <c r="R4987">
        <f>I4987*(1-Q4987)</f>
        <v/>
      </c>
      <c r="S4987">
        <f>R4987/R4986-1</f>
        <v/>
      </c>
      <c r="T4987">
        <f>MAX(T4986,R4987)</f>
        <v/>
      </c>
      <c r="U4987">
        <f>R4987/T4987-1</f>
        <v/>
      </c>
      <c r="V4987" t="n">
        <v>26.61022359825348</v>
      </c>
      <c r="W4987" s="5">
        <f>R4987-V4987</f>
        <v/>
      </c>
    </row>
    <row r="4988">
      <c r="A4988" s="3" t="n">
        <v>45789</v>
      </c>
      <c r="B4988">
        <f>Prices!B4988</f>
        <v/>
      </c>
      <c r="C4988">
        <f>Prices!C4988</f>
        <v/>
      </c>
      <c r="D4988">
        <f>Prices!D4988</f>
        <v/>
      </c>
      <c r="E4988">
        <f>Prices!E4988</f>
        <v/>
      </c>
      <c r="F4988">
        <f>Prices!F4988</f>
        <v/>
      </c>
      <c r="G4988">
        <f>IF(AND(4986&gt;=16,TEXT(A4988,"yyyy-mm")&lt;&gt;TEXT(A4989,"yyyy-mm")),1,0)</f>
        <v/>
      </c>
      <c r="H4988">
        <f>IF(OR(H4987=1,G4988=1),1,0)</f>
        <v/>
      </c>
      <c r="I4988">
        <f>IF(H4987=0,1,SUMPRODUCT(J4987:N4987,B4988:F4988)+O4987*(1+0.00023125256064071564))</f>
        <v/>
      </c>
      <c r="J4988">
        <f>IF(G4988=1,0.2*R4988/B4988,J4987)</f>
        <v/>
      </c>
      <c r="K4988">
        <f>IF(G4988=1,0.2*R4988/C4988,K4987)</f>
        <v/>
      </c>
      <c r="L4988">
        <f>IF(G4988=1,0.2*R4988/D4988,L4987)</f>
        <v/>
      </c>
      <c r="M4988">
        <f>IF(G4988=1,0.2*R4988/E4988,M4987)</f>
        <v/>
      </c>
      <c r="N4988">
        <f>IF(G4988=1,0.2*R4988/F4988,N4987)</f>
        <v/>
      </c>
      <c r="O4988">
        <f>IF(G4988=1,R4988*(1-1.0),IF(H4987=0,1,O4987*(1+0.00023125256064071564)))</f>
        <v/>
      </c>
      <c r="P4988">
        <f>IF(G4988=1,IF(H4987=0,1,ABS(0.2-J4987*B4988/I4988)+ABS(0.2-K4987*C4988/I4988)+ABS(0.2-L4987*D4988/I4988)+ABS(0.2-M4987*E4988/I4988)+ABS(0.2-N4987*F4988/I4988)),0)</f>
        <v/>
      </c>
      <c r="Q4988">
        <f>P4988*0.0015</f>
        <v/>
      </c>
      <c r="R4988">
        <f>I4988*(1-Q4988)</f>
        <v/>
      </c>
      <c r="S4988">
        <f>R4988/R4987-1</f>
        <v/>
      </c>
      <c r="T4988">
        <f>MAX(T4987,R4988)</f>
        <v/>
      </c>
      <c r="U4988">
        <f>R4988/T4988-1</f>
        <v/>
      </c>
      <c r="V4988" t="n">
        <v>27.67999285265752</v>
      </c>
      <c r="W4988" s="5">
        <f>R4988-V4988</f>
        <v/>
      </c>
    </row>
    <row r="4989">
      <c r="A4989" s="3" t="n">
        <v>45790</v>
      </c>
      <c r="B4989">
        <f>Prices!B4989</f>
        <v/>
      </c>
      <c r="C4989">
        <f>Prices!C4989</f>
        <v/>
      </c>
      <c r="D4989">
        <f>Prices!D4989</f>
        <v/>
      </c>
      <c r="E4989">
        <f>Prices!E4989</f>
        <v/>
      </c>
      <c r="F4989">
        <f>Prices!F4989</f>
        <v/>
      </c>
      <c r="G4989">
        <f>IF(AND(4987&gt;=16,TEXT(A4989,"yyyy-mm")&lt;&gt;TEXT(A4990,"yyyy-mm")),1,0)</f>
        <v/>
      </c>
      <c r="H4989">
        <f>IF(OR(H4988=1,G4989=1),1,0)</f>
        <v/>
      </c>
      <c r="I4989">
        <f>IF(H4988=0,1,SUMPRODUCT(J4988:N4988,B4989:F4989)+O4988*(1+0.00023125256064071564))</f>
        <v/>
      </c>
      <c r="J4989">
        <f>IF(G4989=1,0.2*R4989/B4989,J4988)</f>
        <v/>
      </c>
      <c r="K4989">
        <f>IF(G4989=1,0.2*R4989/C4989,K4988)</f>
        <v/>
      </c>
      <c r="L4989">
        <f>IF(G4989=1,0.2*R4989/D4989,L4988)</f>
        <v/>
      </c>
      <c r="M4989">
        <f>IF(G4989=1,0.2*R4989/E4989,M4988)</f>
        <v/>
      </c>
      <c r="N4989">
        <f>IF(G4989=1,0.2*R4989/F4989,N4988)</f>
        <v/>
      </c>
      <c r="O4989">
        <f>IF(G4989=1,R4989*(1-1.0),IF(H4988=0,1,O4988*(1+0.00023125256064071564)))</f>
        <v/>
      </c>
      <c r="P4989">
        <f>IF(G4989=1,IF(H4988=0,1,ABS(0.2-J4988*B4989/I4989)+ABS(0.2-K4988*C4989/I4989)+ABS(0.2-L4988*D4989/I4989)+ABS(0.2-M4988*E4989/I4989)+ABS(0.2-N4988*F4989/I4989)),0)</f>
        <v/>
      </c>
      <c r="Q4989">
        <f>P4989*0.0015</f>
        <v/>
      </c>
      <c r="R4989">
        <f>I4989*(1-Q4989)</f>
        <v/>
      </c>
      <c r="S4989">
        <f>R4989/R4988-1</f>
        <v/>
      </c>
      <c r="T4989">
        <f>MAX(T4988,R4989)</f>
        <v/>
      </c>
      <c r="U4989">
        <f>R4989/T4989-1</f>
        <v/>
      </c>
      <c r="V4989" t="n">
        <v>27.64178276149155</v>
      </c>
      <c r="W4989" s="5">
        <f>R4989-V4989</f>
        <v/>
      </c>
    </row>
    <row r="4990">
      <c r="A4990" s="3" t="n">
        <v>45791</v>
      </c>
      <c r="B4990">
        <f>Prices!B4990</f>
        <v/>
      </c>
      <c r="C4990">
        <f>Prices!C4990</f>
        <v/>
      </c>
      <c r="D4990">
        <f>Prices!D4990</f>
        <v/>
      </c>
      <c r="E4990">
        <f>Prices!E4990</f>
        <v/>
      </c>
      <c r="F4990">
        <f>Prices!F4990</f>
        <v/>
      </c>
      <c r="G4990">
        <f>IF(AND(4988&gt;=16,TEXT(A4990,"yyyy-mm")&lt;&gt;TEXT(A4991,"yyyy-mm")),1,0)</f>
        <v/>
      </c>
      <c r="H4990">
        <f>IF(OR(H4989=1,G4990=1),1,0)</f>
        <v/>
      </c>
      <c r="I4990">
        <f>IF(H4989=0,1,SUMPRODUCT(J4989:N4989,B4990:F4990)+O4989*(1+0.00023125256064071564))</f>
        <v/>
      </c>
      <c r="J4990">
        <f>IF(G4990=1,0.2*R4990/B4990,J4989)</f>
        <v/>
      </c>
      <c r="K4990">
        <f>IF(G4990=1,0.2*R4990/C4990,K4989)</f>
        <v/>
      </c>
      <c r="L4990">
        <f>IF(G4990=1,0.2*R4990/D4990,L4989)</f>
        <v/>
      </c>
      <c r="M4990">
        <f>IF(G4990=1,0.2*R4990/E4990,M4989)</f>
        <v/>
      </c>
      <c r="N4990">
        <f>IF(G4990=1,0.2*R4990/F4990,N4989)</f>
        <v/>
      </c>
      <c r="O4990">
        <f>IF(G4990=1,R4990*(1-1.0),IF(H4989=0,1,O4989*(1+0.00023125256064071564)))</f>
        <v/>
      </c>
      <c r="P4990">
        <f>IF(G4990=1,IF(H4989=0,1,ABS(0.2-J4989*B4990/I4990)+ABS(0.2-K4989*C4990/I4990)+ABS(0.2-L4989*D4990/I4990)+ABS(0.2-M4989*E4990/I4990)+ABS(0.2-N4989*F4990/I4990)),0)</f>
        <v/>
      </c>
      <c r="Q4990">
        <f>P4990*0.0015</f>
        <v/>
      </c>
      <c r="R4990">
        <f>I4990*(1-Q4990)</f>
        <v/>
      </c>
      <c r="S4990">
        <f>R4990/R4989-1</f>
        <v/>
      </c>
      <c r="T4990">
        <f>MAX(T4989,R4990)</f>
        <v/>
      </c>
      <c r="U4990">
        <f>R4990/T4990-1</f>
        <v/>
      </c>
      <c r="V4990" t="n">
        <v>27.94265256626768</v>
      </c>
      <c r="W4990" s="5">
        <f>R4990-V4990</f>
        <v/>
      </c>
    </row>
    <row r="4991">
      <c r="A4991" s="3" t="n">
        <v>45792</v>
      </c>
      <c r="B4991">
        <f>Prices!B4991</f>
        <v/>
      </c>
      <c r="C4991">
        <f>Prices!C4991</f>
        <v/>
      </c>
      <c r="D4991">
        <f>Prices!D4991</f>
        <v/>
      </c>
      <c r="E4991">
        <f>Prices!E4991</f>
        <v/>
      </c>
      <c r="F4991">
        <f>Prices!F4991</f>
        <v/>
      </c>
      <c r="G4991">
        <f>IF(AND(4989&gt;=16,TEXT(A4991,"yyyy-mm")&lt;&gt;TEXT(A4992,"yyyy-mm")),1,0)</f>
        <v/>
      </c>
      <c r="H4991">
        <f>IF(OR(H4990=1,G4991=1),1,0)</f>
        <v/>
      </c>
      <c r="I4991">
        <f>IF(H4990=0,1,SUMPRODUCT(J4990:N4990,B4991:F4991)+O4990*(1+0.00023125256064071564))</f>
        <v/>
      </c>
      <c r="J4991">
        <f>IF(G4991=1,0.2*R4991/B4991,J4990)</f>
        <v/>
      </c>
      <c r="K4991">
        <f>IF(G4991=1,0.2*R4991/C4991,K4990)</f>
        <v/>
      </c>
      <c r="L4991">
        <f>IF(G4991=1,0.2*R4991/D4991,L4990)</f>
        <v/>
      </c>
      <c r="M4991">
        <f>IF(G4991=1,0.2*R4991/E4991,M4990)</f>
        <v/>
      </c>
      <c r="N4991">
        <f>IF(G4991=1,0.2*R4991/F4991,N4990)</f>
        <v/>
      </c>
      <c r="O4991">
        <f>IF(G4991=1,R4991*(1-1.0),IF(H4990=0,1,O4990*(1+0.00023125256064071564)))</f>
        <v/>
      </c>
      <c r="P4991">
        <f>IF(G4991=1,IF(H4990=0,1,ABS(0.2-J4990*B4991/I4991)+ABS(0.2-K4990*C4991/I4991)+ABS(0.2-L4990*D4991/I4991)+ABS(0.2-M4990*E4991/I4991)+ABS(0.2-N4990*F4991/I4991)),0)</f>
        <v/>
      </c>
      <c r="Q4991">
        <f>P4991*0.0015</f>
        <v/>
      </c>
      <c r="R4991">
        <f>I4991*(1-Q4991)</f>
        <v/>
      </c>
      <c r="S4991">
        <f>R4991/R4990-1</f>
        <v/>
      </c>
      <c r="T4991">
        <f>MAX(T4990,R4991)</f>
        <v/>
      </c>
      <c r="U4991">
        <f>R4991/T4991-1</f>
        <v/>
      </c>
      <c r="V4991" t="n">
        <v>28.19416793809261</v>
      </c>
      <c r="W4991" s="5">
        <f>R4991-V4991</f>
        <v/>
      </c>
    </row>
    <row r="4992">
      <c r="A4992" s="3" t="n">
        <v>45793</v>
      </c>
      <c r="B4992">
        <f>Prices!B4992</f>
        <v/>
      </c>
      <c r="C4992">
        <f>Prices!C4992</f>
        <v/>
      </c>
      <c r="D4992">
        <f>Prices!D4992</f>
        <v/>
      </c>
      <c r="E4992">
        <f>Prices!E4992</f>
        <v/>
      </c>
      <c r="F4992">
        <f>Prices!F4992</f>
        <v/>
      </c>
      <c r="G4992">
        <f>IF(AND(4990&gt;=16,TEXT(A4992,"yyyy-mm")&lt;&gt;TEXT(A4993,"yyyy-mm")),1,0)</f>
        <v/>
      </c>
      <c r="H4992">
        <f>IF(OR(H4991=1,G4992=1),1,0)</f>
        <v/>
      </c>
      <c r="I4992">
        <f>IF(H4991=0,1,SUMPRODUCT(J4991:N4991,B4992:F4992)+O4991*(1+0.00023125256064071564))</f>
        <v/>
      </c>
      <c r="J4992">
        <f>IF(G4992=1,0.2*R4992/B4992,J4991)</f>
        <v/>
      </c>
      <c r="K4992">
        <f>IF(G4992=1,0.2*R4992/C4992,K4991)</f>
        <v/>
      </c>
      <c r="L4992">
        <f>IF(G4992=1,0.2*R4992/D4992,L4991)</f>
        <v/>
      </c>
      <c r="M4992">
        <f>IF(G4992=1,0.2*R4992/E4992,M4991)</f>
        <v/>
      </c>
      <c r="N4992">
        <f>IF(G4992=1,0.2*R4992/F4992,N4991)</f>
        <v/>
      </c>
      <c r="O4992">
        <f>IF(G4992=1,R4992*(1-1.0),IF(H4991=0,1,O4991*(1+0.00023125256064071564)))</f>
        <v/>
      </c>
      <c r="P4992">
        <f>IF(G4992=1,IF(H4991=0,1,ABS(0.2-J4991*B4992/I4992)+ABS(0.2-K4991*C4992/I4992)+ABS(0.2-L4991*D4992/I4992)+ABS(0.2-M4991*E4992/I4992)+ABS(0.2-N4991*F4992/I4992)),0)</f>
        <v/>
      </c>
      <c r="Q4992">
        <f>P4992*0.0015</f>
        <v/>
      </c>
      <c r="R4992">
        <f>I4992*(1-Q4992)</f>
        <v/>
      </c>
      <c r="S4992">
        <f>R4992/R4991-1</f>
        <v/>
      </c>
      <c r="T4992">
        <f>MAX(T4991,R4992)</f>
        <v/>
      </c>
      <c r="U4992">
        <f>R4992/T4992-1</f>
        <v/>
      </c>
      <c r="V4992" t="n">
        <v>28.44116784811432</v>
      </c>
      <c r="W4992" s="5">
        <f>R4992-V4992</f>
        <v/>
      </c>
    </row>
    <row r="4993">
      <c r="A4993" s="3" t="n">
        <v>45796</v>
      </c>
      <c r="B4993">
        <f>Prices!B4993</f>
        <v/>
      </c>
      <c r="C4993">
        <f>Prices!C4993</f>
        <v/>
      </c>
      <c r="D4993">
        <f>Prices!D4993</f>
        <v/>
      </c>
      <c r="E4993">
        <f>Prices!E4993</f>
        <v/>
      </c>
      <c r="F4993">
        <f>Prices!F4993</f>
        <v/>
      </c>
      <c r="G4993">
        <f>IF(AND(4991&gt;=16,TEXT(A4993,"yyyy-mm")&lt;&gt;TEXT(A4994,"yyyy-mm")),1,0)</f>
        <v/>
      </c>
      <c r="H4993">
        <f>IF(OR(H4992=1,G4993=1),1,0)</f>
        <v/>
      </c>
      <c r="I4993">
        <f>IF(H4992=0,1,SUMPRODUCT(J4992:N4992,B4993:F4993)+O4992*(1+0.00023125256064071564))</f>
        <v/>
      </c>
      <c r="J4993">
        <f>IF(G4993=1,0.2*R4993/B4993,J4992)</f>
        <v/>
      </c>
      <c r="K4993">
        <f>IF(G4993=1,0.2*R4993/C4993,K4992)</f>
        <v/>
      </c>
      <c r="L4993">
        <f>IF(G4993=1,0.2*R4993/D4993,L4992)</f>
        <v/>
      </c>
      <c r="M4993">
        <f>IF(G4993=1,0.2*R4993/E4993,M4992)</f>
        <v/>
      </c>
      <c r="N4993">
        <f>IF(G4993=1,0.2*R4993/F4993,N4992)</f>
        <v/>
      </c>
      <c r="O4993">
        <f>IF(G4993=1,R4993*(1-1.0),IF(H4992=0,1,O4992*(1+0.00023125256064071564)))</f>
        <v/>
      </c>
      <c r="P4993">
        <f>IF(G4993=1,IF(H4992=0,1,ABS(0.2-J4992*B4993/I4993)+ABS(0.2-K4992*C4993/I4993)+ABS(0.2-L4992*D4993/I4993)+ABS(0.2-M4992*E4993/I4993)+ABS(0.2-N4992*F4993/I4993)),0)</f>
        <v/>
      </c>
      <c r="Q4993">
        <f>P4993*0.0015</f>
        <v/>
      </c>
      <c r="R4993">
        <f>I4993*(1-Q4993)</f>
        <v/>
      </c>
      <c r="S4993">
        <f>R4993/R4992-1</f>
        <v/>
      </c>
      <c r="T4993">
        <f>MAX(T4992,R4993)</f>
        <v/>
      </c>
      <c r="U4993">
        <f>R4993/T4993-1</f>
        <v/>
      </c>
      <c r="V4993" t="n">
        <v>28.4601856182937</v>
      </c>
      <c r="W4993" s="5">
        <f>R4993-V4993</f>
        <v/>
      </c>
    </row>
    <row r="4994">
      <c r="A4994" s="3" t="n">
        <v>45797</v>
      </c>
      <c r="B4994">
        <f>Prices!B4994</f>
        <v/>
      </c>
      <c r="C4994">
        <f>Prices!C4994</f>
        <v/>
      </c>
      <c r="D4994">
        <f>Prices!D4994</f>
        <v/>
      </c>
      <c r="E4994">
        <f>Prices!E4994</f>
        <v/>
      </c>
      <c r="F4994">
        <f>Prices!F4994</f>
        <v/>
      </c>
      <c r="G4994">
        <f>IF(AND(4992&gt;=16,TEXT(A4994,"yyyy-mm")&lt;&gt;TEXT(A4995,"yyyy-mm")),1,0)</f>
        <v/>
      </c>
      <c r="H4994">
        <f>IF(OR(H4993=1,G4994=1),1,0)</f>
        <v/>
      </c>
      <c r="I4994">
        <f>IF(H4993=0,1,SUMPRODUCT(J4993:N4993,B4994:F4994)+O4993*(1+0.00023125256064071564))</f>
        <v/>
      </c>
      <c r="J4994">
        <f>IF(G4994=1,0.2*R4994/B4994,J4993)</f>
        <v/>
      </c>
      <c r="K4994">
        <f>IF(G4994=1,0.2*R4994/C4994,K4993)</f>
        <v/>
      </c>
      <c r="L4994">
        <f>IF(G4994=1,0.2*R4994/D4994,L4993)</f>
        <v/>
      </c>
      <c r="M4994">
        <f>IF(G4994=1,0.2*R4994/E4994,M4993)</f>
        <v/>
      </c>
      <c r="N4994">
        <f>IF(G4994=1,0.2*R4994/F4994,N4993)</f>
        <v/>
      </c>
      <c r="O4994">
        <f>IF(G4994=1,R4994*(1-1.0),IF(H4993=0,1,O4993*(1+0.00023125256064071564)))</f>
        <v/>
      </c>
      <c r="P4994">
        <f>IF(G4994=1,IF(H4993=0,1,ABS(0.2-J4993*B4994/I4994)+ABS(0.2-K4993*C4994/I4994)+ABS(0.2-L4993*D4994/I4994)+ABS(0.2-M4993*E4994/I4994)+ABS(0.2-N4993*F4994/I4994)),0)</f>
        <v/>
      </c>
      <c r="Q4994">
        <f>P4994*0.0015</f>
        <v/>
      </c>
      <c r="R4994">
        <f>I4994*(1-Q4994)</f>
        <v/>
      </c>
      <c r="S4994">
        <f>R4994/R4993-1</f>
        <v/>
      </c>
      <c r="T4994">
        <f>MAX(T4993,R4994)</f>
        <v/>
      </c>
      <c r="U4994">
        <f>R4994/T4994-1</f>
        <v/>
      </c>
      <c r="V4994" t="n">
        <v>28.09902166110928</v>
      </c>
      <c r="W4994" s="5">
        <f>R4994-V4994</f>
        <v/>
      </c>
    </row>
    <row r="4995">
      <c r="A4995" s="3" t="n">
        <v>45798</v>
      </c>
      <c r="B4995">
        <f>Prices!B4995</f>
        <v/>
      </c>
      <c r="C4995">
        <f>Prices!C4995</f>
        <v/>
      </c>
      <c r="D4995">
        <f>Prices!D4995</f>
        <v/>
      </c>
      <c r="E4995">
        <f>Prices!E4995</f>
        <v/>
      </c>
      <c r="F4995">
        <f>Prices!F4995</f>
        <v/>
      </c>
      <c r="G4995">
        <f>IF(AND(4993&gt;=16,TEXT(A4995,"yyyy-mm")&lt;&gt;TEXT(A4996,"yyyy-mm")),1,0)</f>
        <v/>
      </c>
      <c r="H4995">
        <f>IF(OR(H4994=1,G4995=1),1,0)</f>
        <v/>
      </c>
      <c r="I4995">
        <f>IF(H4994=0,1,SUMPRODUCT(J4994:N4994,B4995:F4995)+O4994*(1+0.00023125256064071564))</f>
        <v/>
      </c>
      <c r="J4995">
        <f>IF(G4995=1,0.2*R4995/B4995,J4994)</f>
        <v/>
      </c>
      <c r="K4995">
        <f>IF(G4995=1,0.2*R4995/C4995,K4994)</f>
        <v/>
      </c>
      <c r="L4995">
        <f>IF(G4995=1,0.2*R4995/D4995,L4994)</f>
        <v/>
      </c>
      <c r="M4995">
        <f>IF(G4995=1,0.2*R4995/E4995,M4994)</f>
        <v/>
      </c>
      <c r="N4995">
        <f>IF(G4995=1,0.2*R4995/F4995,N4994)</f>
        <v/>
      </c>
      <c r="O4995">
        <f>IF(G4995=1,R4995*(1-1.0),IF(H4994=0,1,O4994*(1+0.00023125256064071564)))</f>
        <v/>
      </c>
      <c r="P4995">
        <f>IF(G4995=1,IF(H4994=0,1,ABS(0.2-J4994*B4995/I4995)+ABS(0.2-K4994*C4995/I4995)+ABS(0.2-L4994*D4995/I4995)+ABS(0.2-M4994*E4995/I4995)+ABS(0.2-N4994*F4995/I4995)),0)</f>
        <v/>
      </c>
      <c r="Q4995">
        <f>P4995*0.0015</f>
        <v/>
      </c>
      <c r="R4995">
        <f>I4995*(1-Q4995)</f>
        <v/>
      </c>
      <c r="S4995">
        <f>R4995/R4994-1</f>
        <v/>
      </c>
      <c r="T4995">
        <f>MAX(T4994,R4995)</f>
        <v/>
      </c>
      <c r="U4995">
        <f>R4995/T4995-1</f>
        <v/>
      </c>
      <c r="V4995" t="n">
        <v>28.28715403848404</v>
      </c>
      <c r="W4995" s="5">
        <f>R4995-V4995</f>
        <v/>
      </c>
    </row>
    <row r="4996">
      <c r="A4996" s="3" t="n">
        <v>45799</v>
      </c>
      <c r="B4996">
        <f>Prices!B4996</f>
        <v/>
      </c>
      <c r="C4996">
        <f>Prices!C4996</f>
        <v/>
      </c>
      <c r="D4996">
        <f>Prices!D4996</f>
        <v/>
      </c>
      <c r="E4996">
        <f>Prices!E4996</f>
        <v/>
      </c>
      <c r="F4996">
        <f>Prices!F4996</f>
        <v/>
      </c>
      <c r="G4996">
        <f>IF(AND(4994&gt;=16,TEXT(A4996,"yyyy-mm")&lt;&gt;TEXT(A4997,"yyyy-mm")),1,0)</f>
        <v/>
      </c>
      <c r="H4996">
        <f>IF(OR(H4995=1,G4996=1),1,0)</f>
        <v/>
      </c>
      <c r="I4996">
        <f>IF(H4995=0,1,SUMPRODUCT(J4995:N4995,B4996:F4996)+O4995*(1+0.00023125256064071564))</f>
        <v/>
      </c>
      <c r="J4996">
        <f>IF(G4996=1,0.2*R4996/B4996,J4995)</f>
        <v/>
      </c>
      <c r="K4996">
        <f>IF(G4996=1,0.2*R4996/C4996,K4995)</f>
        <v/>
      </c>
      <c r="L4996">
        <f>IF(G4996=1,0.2*R4996/D4996,L4995)</f>
        <v/>
      </c>
      <c r="M4996">
        <f>IF(G4996=1,0.2*R4996/E4996,M4995)</f>
        <v/>
      </c>
      <c r="N4996">
        <f>IF(G4996=1,0.2*R4996/F4996,N4995)</f>
        <v/>
      </c>
      <c r="O4996">
        <f>IF(G4996=1,R4996*(1-1.0),IF(H4995=0,1,O4995*(1+0.00023125256064071564)))</f>
        <v/>
      </c>
      <c r="P4996">
        <f>IF(G4996=1,IF(H4995=0,1,ABS(0.2-J4995*B4996/I4996)+ABS(0.2-K4995*C4996/I4996)+ABS(0.2-L4995*D4996/I4996)+ABS(0.2-M4995*E4996/I4996)+ABS(0.2-N4995*F4996/I4996)),0)</f>
        <v/>
      </c>
      <c r="Q4996">
        <f>P4996*0.0015</f>
        <v/>
      </c>
      <c r="R4996">
        <f>I4996*(1-Q4996)</f>
        <v/>
      </c>
      <c r="S4996">
        <f>R4996/R4995-1</f>
        <v/>
      </c>
      <c r="T4996">
        <f>MAX(T4995,R4996)</f>
        <v/>
      </c>
      <c r="U4996">
        <f>R4996/T4996-1</f>
        <v/>
      </c>
      <c r="V4996" t="n">
        <v>28.12264827895149</v>
      </c>
      <c r="W4996" s="5">
        <f>R4996-V4996</f>
        <v/>
      </c>
    </row>
    <row r="4997">
      <c r="A4997" s="3" t="n">
        <v>45800</v>
      </c>
      <c r="B4997">
        <f>Prices!B4997</f>
        <v/>
      </c>
      <c r="C4997">
        <f>Prices!C4997</f>
        <v/>
      </c>
      <c r="D4997">
        <f>Prices!D4997</f>
        <v/>
      </c>
      <c r="E4997">
        <f>Prices!E4997</f>
        <v/>
      </c>
      <c r="F4997">
        <f>Prices!F4997</f>
        <v/>
      </c>
      <c r="G4997">
        <f>IF(AND(4995&gt;=16,TEXT(A4997,"yyyy-mm")&lt;&gt;TEXT(A4998,"yyyy-mm")),1,0)</f>
        <v/>
      </c>
      <c r="H4997">
        <f>IF(OR(H4996=1,G4997=1),1,0)</f>
        <v/>
      </c>
      <c r="I4997">
        <f>IF(H4996=0,1,SUMPRODUCT(J4996:N4996,B4997:F4997)+O4996*(1+0.00023125256064071564))</f>
        <v/>
      </c>
      <c r="J4997">
        <f>IF(G4997=1,0.2*R4997/B4997,J4996)</f>
        <v/>
      </c>
      <c r="K4997">
        <f>IF(G4997=1,0.2*R4997/C4997,K4996)</f>
        <v/>
      </c>
      <c r="L4997">
        <f>IF(G4997=1,0.2*R4997/D4997,L4996)</f>
        <v/>
      </c>
      <c r="M4997">
        <f>IF(G4997=1,0.2*R4997/E4997,M4996)</f>
        <v/>
      </c>
      <c r="N4997">
        <f>IF(G4997=1,0.2*R4997/F4997,N4996)</f>
        <v/>
      </c>
      <c r="O4997">
        <f>IF(G4997=1,R4997*(1-1.0),IF(H4996=0,1,O4996*(1+0.00023125256064071564)))</f>
        <v/>
      </c>
      <c r="P4997">
        <f>IF(G4997=1,IF(H4996=0,1,ABS(0.2-J4996*B4997/I4997)+ABS(0.2-K4996*C4997/I4997)+ABS(0.2-L4996*D4997/I4997)+ABS(0.2-M4996*E4997/I4997)+ABS(0.2-N4996*F4997/I4997)),0)</f>
        <v/>
      </c>
      <c r="Q4997">
        <f>P4997*0.0015</f>
        <v/>
      </c>
      <c r="R4997">
        <f>I4997*(1-Q4997)</f>
        <v/>
      </c>
      <c r="S4997">
        <f>R4997/R4996-1</f>
        <v/>
      </c>
      <c r="T4997">
        <f>MAX(T4996,R4997)</f>
        <v/>
      </c>
      <c r="U4997">
        <f>R4997/T4997-1</f>
        <v/>
      </c>
      <c r="V4997" t="n">
        <v>28.33978769118251</v>
      </c>
      <c r="W4997" s="5">
        <f>R4997-V4997</f>
        <v/>
      </c>
    </row>
    <row r="4998">
      <c r="A4998" s="3" t="n">
        <v>45803</v>
      </c>
      <c r="B4998">
        <f>Prices!B4998</f>
        <v/>
      </c>
      <c r="C4998">
        <f>Prices!C4998</f>
        <v/>
      </c>
      <c r="D4998">
        <f>Prices!D4998</f>
        <v/>
      </c>
      <c r="E4998">
        <f>Prices!E4998</f>
        <v/>
      </c>
      <c r="F4998">
        <f>Prices!F4998</f>
        <v/>
      </c>
      <c r="G4998">
        <f>IF(AND(4996&gt;=16,TEXT(A4998,"yyyy-mm")&lt;&gt;TEXT(A4999,"yyyy-mm")),1,0)</f>
        <v/>
      </c>
      <c r="H4998">
        <f>IF(OR(H4997=1,G4998=1),1,0)</f>
        <v/>
      </c>
      <c r="I4998">
        <f>IF(H4997=0,1,SUMPRODUCT(J4997:N4997,B4998:F4998)+O4997*(1+0.00023125256064071564))</f>
        <v/>
      </c>
      <c r="J4998">
        <f>IF(G4998=1,0.2*R4998/B4998,J4997)</f>
        <v/>
      </c>
      <c r="K4998">
        <f>IF(G4998=1,0.2*R4998/C4998,K4997)</f>
        <v/>
      </c>
      <c r="L4998">
        <f>IF(G4998=1,0.2*R4998/D4998,L4997)</f>
        <v/>
      </c>
      <c r="M4998">
        <f>IF(G4998=1,0.2*R4998/E4998,M4997)</f>
        <v/>
      </c>
      <c r="N4998">
        <f>IF(G4998=1,0.2*R4998/F4998,N4997)</f>
        <v/>
      </c>
      <c r="O4998">
        <f>IF(G4998=1,R4998*(1-1.0),IF(H4997=0,1,O4997*(1+0.00023125256064071564)))</f>
        <v/>
      </c>
      <c r="P4998">
        <f>IF(G4998=1,IF(H4997=0,1,ABS(0.2-J4997*B4998/I4998)+ABS(0.2-K4997*C4998/I4998)+ABS(0.2-L4997*D4998/I4998)+ABS(0.2-M4997*E4998/I4998)+ABS(0.2-N4997*F4998/I4998)),0)</f>
        <v/>
      </c>
      <c r="Q4998">
        <f>P4998*0.0015</f>
        <v/>
      </c>
      <c r="R4998">
        <f>I4998*(1-Q4998)</f>
        <v/>
      </c>
      <c r="S4998">
        <f>R4998/R4997-1</f>
        <v/>
      </c>
      <c r="T4998">
        <f>MAX(T4997,R4998)</f>
        <v/>
      </c>
      <c r="U4998">
        <f>R4998/T4998-1</f>
        <v/>
      </c>
      <c r="V4998" t="n">
        <v>28.47332465577108</v>
      </c>
      <c r="W4998" s="5">
        <f>R4998-V4998</f>
        <v/>
      </c>
    </row>
    <row r="4999">
      <c r="A4999" s="3" t="n">
        <v>45804</v>
      </c>
      <c r="B4999">
        <f>Prices!B4999</f>
        <v/>
      </c>
      <c r="C4999">
        <f>Prices!C4999</f>
        <v/>
      </c>
      <c r="D4999">
        <f>Prices!D4999</f>
        <v/>
      </c>
      <c r="E4999">
        <f>Prices!E4999</f>
        <v/>
      </c>
      <c r="F4999">
        <f>Prices!F4999</f>
        <v/>
      </c>
      <c r="G4999">
        <f>IF(AND(4997&gt;=16,TEXT(A4999,"yyyy-mm")&lt;&gt;TEXT(A5000,"yyyy-mm")),1,0)</f>
        <v/>
      </c>
      <c r="H4999">
        <f>IF(OR(H4998=1,G4999=1),1,0)</f>
        <v/>
      </c>
      <c r="I4999">
        <f>IF(H4998=0,1,SUMPRODUCT(J4998:N4998,B4999:F4999)+O4998*(1+0.00023125256064071564))</f>
        <v/>
      </c>
      <c r="J4999">
        <f>IF(G4999=1,0.2*R4999/B4999,J4998)</f>
        <v/>
      </c>
      <c r="K4999">
        <f>IF(G4999=1,0.2*R4999/C4999,K4998)</f>
        <v/>
      </c>
      <c r="L4999">
        <f>IF(G4999=1,0.2*R4999/D4999,L4998)</f>
        <v/>
      </c>
      <c r="M4999">
        <f>IF(G4999=1,0.2*R4999/E4999,M4998)</f>
        <v/>
      </c>
      <c r="N4999">
        <f>IF(G4999=1,0.2*R4999/F4999,N4998)</f>
        <v/>
      </c>
      <c r="O4999">
        <f>IF(G4999=1,R4999*(1-1.0),IF(H4998=0,1,O4998*(1+0.00023125256064071564)))</f>
        <v/>
      </c>
      <c r="P4999">
        <f>IF(G4999=1,IF(H4998=0,1,ABS(0.2-J4998*B4999/I4999)+ABS(0.2-K4998*C4999/I4999)+ABS(0.2-L4998*D4999/I4999)+ABS(0.2-M4998*E4999/I4999)+ABS(0.2-N4998*F4999/I4999)),0)</f>
        <v/>
      </c>
      <c r="Q4999">
        <f>P4999*0.0015</f>
        <v/>
      </c>
      <c r="R4999">
        <f>I4999*(1-Q4999)</f>
        <v/>
      </c>
      <c r="S4999">
        <f>R4999/R4998-1</f>
        <v/>
      </c>
      <c r="T4999">
        <f>MAX(T4998,R4999)</f>
        <v/>
      </c>
      <c r="U4999">
        <f>R4999/T4999-1</f>
        <v/>
      </c>
      <c r="V4999" t="n">
        <v>28.42999084344082</v>
      </c>
      <c r="W4999" s="5">
        <f>R4999-V4999</f>
        <v/>
      </c>
    </row>
    <row r="5000">
      <c r="A5000" s="3" t="n">
        <v>45805</v>
      </c>
      <c r="B5000">
        <f>Prices!B5000</f>
        <v/>
      </c>
      <c r="C5000">
        <f>Prices!C5000</f>
        <v/>
      </c>
      <c r="D5000">
        <f>Prices!D5000</f>
        <v/>
      </c>
      <c r="E5000">
        <f>Prices!E5000</f>
        <v/>
      </c>
      <c r="F5000">
        <f>Prices!F5000</f>
        <v/>
      </c>
      <c r="G5000">
        <f>IF(AND(4998&gt;=16,TEXT(A5000,"yyyy-mm")&lt;&gt;TEXT(A5001,"yyyy-mm")),1,0)</f>
        <v/>
      </c>
      <c r="H5000">
        <f>IF(OR(H4999=1,G5000=1),1,0)</f>
        <v/>
      </c>
      <c r="I5000">
        <f>IF(H4999=0,1,SUMPRODUCT(J4999:N4999,B5000:F5000)+O4999*(1+0.00023125256064071564))</f>
        <v/>
      </c>
      <c r="J5000">
        <f>IF(G5000=1,0.2*R5000/B5000,J4999)</f>
        <v/>
      </c>
      <c r="K5000">
        <f>IF(G5000=1,0.2*R5000/C5000,K4999)</f>
        <v/>
      </c>
      <c r="L5000">
        <f>IF(G5000=1,0.2*R5000/D5000,L4999)</f>
        <v/>
      </c>
      <c r="M5000">
        <f>IF(G5000=1,0.2*R5000/E5000,M4999)</f>
        <v/>
      </c>
      <c r="N5000">
        <f>IF(G5000=1,0.2*R5000/F5000,N4999)</f>
        <v/>
      </c>
      <c r="O5000">
        <f>IF(G5000=1,R5000*(1-1.0),IF(H4999=0,1,O4999*(1+0.00023125256064071564)))</f>
        <v/>
      </c>
      <c r="P5000">
        <f>IF(G5000=1,IF(H4999=0,1,ABS(0.2-J4999*B5000/I5000)+ABS(0.2-K4999*C5000/I5000)+ABS(0.2-L4999*D5000/I5000)+ABS(0.2-M4999*E5000/I5000)+ABS(0.2-N4999*F5000/I5000)),0)</f>
        <v/>
      </c>
      <c r="Q5000">
        <f>P5000*0.0015</f>
        <v/>
      </c>
      <c r="R5000">
        <f>I5000*(1-Q5000)</f>
        <v/>
      </c>
      <c r="S5000">
        <f>R5000/R4999-1</f>
        <v/>
      </c>
      <c r="T5000">
        <f>MAX(T4999,R5000)</f>
        <v/>
      </c>
      <c r="U5000">
        <f>R5000/T5000-1</f>
        <v/>
      </c>
      <c r="V5000" t="n">
        <v>28.43608875679646</v>
      </c>
      <c r="W5000" s="5">
        <f>R5000-V5000</f>
        <v/>
      </c>
    </row>
    <row r="5001">
      <c r="A5001" s="3" t="n">
        <v>45806</v>
      </c>
      <c r="B5001">
        <f>Prices!B5001</f>
        <v/>
      </c>
      <c r="C5001">
        <f>Prices!C5001</f>
        <v/>
      </c>
      <c r="D5001">
        <f>Prices!D5001</f>
        <v/>
      </c>
      <c r="E5001">
        <f>Prices!E5001</f>
        <v/>
      </c>
      <c r="F5001">
        <f>Prices!F5001</f>
        <v/>
      </c>
      <c r="G5001">
        <f>IF(AND(4999&gt;=16,TEXT(A5001,"yyyy-mm")&lt;&gt;TEXT(A5002,"yyyy-mm")),1,0)</f>
        <v/>
      </c>
      <c r="H5001">
        <f>IF(OR(H5000=1,G5001=1),1,0)</f>
        <v/>
      </c>
      <c r="I5001">
        <f>IF(H5000=0,1,SUMPRODUCT(J5000:N5000,B5001:F5001)+O5000*(1+0.00023125256064071564))</f>
        <v/>
      </c>
      <c r="J5001">
        <f>IF(G5001=1,0.2*R5001/B5001,J5000)</f>
        <v/>
      </c>
      <c r="K5001">
        <f>IF(G5001=1,0.2*R5001/C5001,K5000)</f>
        <v/>
      </c>
      <c r="L5001">
        <f>IF(G5001=1,0.2*R5001/D5001,L5000)</f>
        <v/>
      </c>
      <c r="M5001">
        <f>IF(G5001=1,0.2*R5001/E5001,M5000)</f>
        <v/>
      </c>
      <c r="N5001">
        <f>IF(G5001=1,0.2*R5001/F5001,N5000)</f>
        <v/>
      </c>
      <c r="O5001">
        <f>IF(G5001=1,R5001*(1-1.0),IF(H5000=0,1,O5000*(1+0.00023125256064071564)))</f>
        <v/>
      </c>
      <c r="P5001">
        <f>IF(G5001=1,IF(H5000=0,1,ABS(0.2-J5000*B5001/I5001)+ABS(0.2-K5000*C5001/I5001)+ABS(0.2-L5000*D5001/I5001)+ABS(0.2-M5000*E5001/I5001)+ABS(0.2-N5000*F5001/I5001)),0)</f>
        <v/>
      </c>
      <c r="Q5001">
        <f>P5001*0.0015</f>
        <v/>
      </c>
      <c r="R5001">
        <f>I5001*(1-Q5001)</f>
        <v/>
      </c>
      <c r="S5001">
        <f>R5001/R5000-1</f>
        <v/>
      </c>
      <c r="T5001">
        <f>MAX(T5000,R5001)</f>
        <v/>
      </c>
      <c r="U5001">
        <f>R5001/T5001-1</f>
        <v/>
      </c>
      <c r="V5001" t="n">
        <v>28.58104490256432</v>
      </c>
      <c r="W5001" s="5">
        <f>R5001-V5001</f>
        <v/>
      </c>
    </row>
    <row r="5002">
      <c r="A5002" s="3" t="n">
        <v>45807</v>
      </c>
      <c r="B5002">
        <f>Prices!B5002</f>
        <v/>
      </c>
      <c r="C5002">
        <f>Prices!C5002</f>
        <v/>
      </c>
      <c r="D5002">
        <f>Prices!D5002</f>
        <v/>
      </c>
      <c r="E5002">
        <f>Prices!E5002</f>
        <v/>
      </c>
      <c r="F5002">
        <f>Prices!F5002</f>
        <v/>
      </c>
      <c r="G5002">
        <f>IF(AND(5000&gt;=16,TEXT(A5002,"yyyy-mm")&lt;&gt;TEXT(A5003,"yyyy-mm")),1,0)</f>
        <v/>
      </c>
      <c r="H5002">
        <f>IF(OR(H5001=1,G5002=1),1,0)</f>
        <v/>
      </c>
      <c r="I5002">
        <f>IF(H5001=0,1,SUMPRODUCT(J5001:N5001,B5002:F5002)+O5001*(1+0.00023125256064071564))</f>
        <v/>
      </c>
      <c r="J5002">
        <f>IF(G5002=1,0.2*R5002/B5002,J5001)</f>
        <v/>
      </c>
      <c r="K5002">
        <f>IF(G5002=1,0.2*R5002/C5002,K5001)</f>
        <v/>
      </c>
      <c r="L5002">
        <f>IF(G5002=1,0.2*R5002/D5002,L5001)</f>
        <v/>
      </c>
      <c r="M5002">
        <f>IF(G5002=1,0.2*R5002/E5002,M5001)</f>
        <v/>
      </c>
      <c r="N5002">
        <f>IF(G5002=1,0.2*R5002/F5002,N5001)</f>
        <v/>
      </c>
      <c r="O5002">
        <f>IF(G5002=1,R5002*(1-1.0),IF(H5001=0,1,O5001*(1+0.00023125256064071564)))</f>
        <v/>
      </c>
      <c r="P5002">
        <f>IF(G5002=1,IF(H5001=0,1,ABS(0.2-J5001*B5002/I5002)+ABS(0.2-K5001*C5002/I5002)+ABS(0.2-L5001*D5002/I5002)+ABS(0.2-M5001*E5002/I5002)+ABS(0.2-N5001*F5002/I5002)),0)</f>
        <v/>
      </c>
      <c r="Q5002">
        <f>P5002*0.0015</f>
        <v/>
      </c>
      <c r="R5002">
        <f>I5002*(1-Q5002)</f>
        <v/>
      </c>
      <c r="S5002">
        <f>R5002/R5001-1</f>
        <v/>
      </c>
      <c r="T5002">
        <f>MAX(T5001,R5002)</f>
        <v/>
      </c>
      <c r="U5002">
        <f>R5002/T5002-1</f>
        <v/>
      </c>
      <c r="V5002" t="n">
        <v>28.47649225725016</v>
      </c>
      <c r="W5002" s="5">
        <f>R5002-V5002</f>
        <v/>
      </c>
    </row>
    <row r="5003">
      <c r="A5003" s="3" t="n">
        <v>45810</v>
      </c>
      <c r="B5003">
        <f>Prices!B5003</f>
        <v/>
      </c>
      <c r="C5003">
        <f>Prices!C5003</f>
        <v/>
      </c>
      <c r="D5003">
        <f>Prices!D5003</f>
        <v/>
      </c>
      <c r="E5003">
        <f>Prices!E5003</f>
        <v/>
      </c>
      <c r="F5003">
        <f>Prices!F5003</f>
        <v/>
      </c>
      <c r="G5003">
        <f>IF(AND(5001&gt;=16,TEXT(A5003,"yyyy-mm")&lt;&gt;TEXT(A5004,"yyyy-mm")),1,0)</f>
        <v/>
      </c>
      <c r="H5003">
        <f>IF(OR(H5002=1,G5003=1),1,0)</f>
        <v/>
      </c>
      <c r="I5003">
        <f>IF(H5002=0,1,SUMPRODUCT(J5002:N5002,B5003:F5003)+O5002*(1+0.00023125256064071564))</f>
        <v/>
      </c>
      <c r="J5003">
        <f>IF(G5003=1,0.2*R5003/B5003,J5002)</f>
        <v/>
      </c>
      <c r="K5003">
        <f>IF(G5003=1,0.2*R5003/C5003,K5002)</f>
        <v/>
      </c>
      <c r="L5003">
        <f>IF(G5003=1,0.2*R5003/D5003,L5002)</f>
        <v/>
      </c>
      <c r="M5003">
        <f>IF(G5003=1,0.2*R5003/E5003,M5002)</f>
        <v/>
      </c>
      <c r="N5003">
        <f>IF(G5003=1,0.2*R5003/F5003,N5002)</f>
        <v/>
      </c>
      <c r="O5003">
        <f>IF(G5003=1,R5003*(1-1.0),IF(H5002=0,1,O5002*(1+0.00023125256064071564)))</f>
        <v/>
      </c>
      <c r="P5003">
        <f>IF(G5003=1,IF(H5002=0,1,ABS(0.2-J5002*B5003/I5003)+ABS(0.2-K5002*C5003/I5003)+ABS(0.2-L5002*D5003/I5003)+ABS(0.2-M5002*E5003/I5003)+ABS(0.2-N5002*F5003/I5003)),0)</f>
        <v/>
      </c>
      <c r="Q5003">
        <f>P5003*0.0015</f>
        <v/>
      </c>
      <c r="R5003">
        <f>I5003*(1-Q5003)</f>
        <v/>
      </c>
      <c r="S5003">
        <f>R5003/R5002-1</f>
        <v/>
      </c>
      <c r="T5003">
        <f>MAX(T5002,R5003)</f>
        <v/>
      </c>
      <c r="U5003">
        <f>R5003/T5003-1</f>
        <v/>
      </c>
      <c r="V5003" t="n">
        <v>28.54943452069161</v>
      </c>
      <c r="W5003" s="5">
        <f>R5003-V5003</f>
        <v/>
      </c>
    </row>
    <row r="5004">
      <c r="A5004" s="3" t="n">
        <v>45811</v>
      </c>
      <c r="B5004">
        <f>Prices!B5004</f>
        <v/>
      </c>
      <c r="C5004">
        <f>Prices!C5004</f>
        <v/>
      </c>
      <c r="D5004">
        <f>Prices!D5004</f>
        <v/>
      </c>
      <c r="E5004">
        <f>Prices!E5004</f>
        <v/>
      </c>
      <c r="F5004">
        <f>Prices!F5004</f>
        <v/>
      </c>
      <c r="G5004">
        <f>IF(AND(5002&gt;=16,TEXT(A5004,"yyyy-mm")&lt;&gt;TEXT(A5005,"yyyy-mm")),1,0)</f>
        <v/>
      </c>
      <c r="H5004">
        <f>IF(OR(H5003=1,G5004=1),1,0)</f>
        <v/>
      </c>
      <c r="I5004">
        <f>IF(H5003=0,1,SUMPRODUCT(J5003:N5003,B5004:F5004)+O5003*(1+0.00023125256064071564))</f>
        <v/>
      </c>
      <c r="J5004">
        <f>IF(G5004=1,0.2*R5004/B5004,J5003)</f>
        <v/>
      </c>
      <c r="K5004">
        <f>IF(G5004=1,0.2*R5004/C5004,K5003)</f>
        <v/>
      </c>
      <c r="L5004">
        <f>IF(G5004=1,0.2*R5004/D5004,L5003)</f>
        <v/>
      </c>
      <c r="M5004">
        <f>IF(G5004=1,0.2*R5004/E5004,M5003)</f>
        <v/>
      </c>
      <c r="N5004">
        <f>IF(G5004=1,0.2*R5004/F5004,N5003)</f>
        <v/>
      </c>
      <c r="O5004">
        <f>IF(G5004=1,R5004*(1-1.0),IF(H5003=0,1,O5003*(1+0.00023125256064071564)))</f>
        <v/>
      </c>
      <c r="P5004">
        <f>IF(G5004=1,IF(H5003=0,1,ABS(0.2-J5003*B5004/I5004)+ABS(0.2-K5003*C5004/I5004)+ABS(0.2-L5003*D5004/I5004)+ABS(0.2-M5003*E5004/I5004)+ABS(0.2-N5003*F5004/I5004)),0)</f>
        <v/>
      </c>
      <c r="Q5004">
        <f>P5004*0.0015</f>
        <v/>
      </c>
      <c r="R5004">
        <f>I5004*(1-Q5004)</f>
        <v/>
      </c>
      <c r="S5004">
        <f>R5004/R5003-1</f>
        <v/>
      </c>
      <c r="T5004">
        <f>MAX(T5003,R5004)</f>
        <v/>
      </c>
      <c r="U5004">
        <f>R5004/T5004-1</f>
        <v/>
      </c>
      <c r="V5004" t="n">
        <v>28.47754592724105</v>
      </c>
      <c r="W5004" s="5">
        <f>R5004-V5004</f>
        <v/>
      </c>
    </row>
    <row r="5005">
      <c r="A5005" s="3" t="n">
        <v>45812</v>
      </c>
      <c r="B5005">
        <f>Prices!B5005</f>
        <v/>
      </c>
      <c r="C5005">
        <f>Prices!C5005</f>
        <v/>
      </c>
      <c r="D5005">
        <f>Prices!D5005</f>
        <v/>
      </c>
      <c r="E5005">
        <f>Prices!E5005</f>
        <v/>
      </c>
      <c r="F5005">
        <f>Prices!F5005</f>
        <v/>
      </c>
      <c r="G5005">
        <f>IF(AND(5003&gt;=16,TEXT(A5005,"yyyy-mm")&lt;&gt;TEXT(A5006,"yyyy-mm")),1,0)</f>
        <v/>
      </c>
      <c r="H5005">
        <f>IF(OR(H5004=1,G5005=1),1,0)</f>
        <v/>
      </c>
      <c r="I5005">
        <f>IF(H5004=0,1,SUMPRODUCT(J5004:N5004,B5005:F5005)+O5004*(1+0.00023125256064071564))</f>
        <v/>
      </c>
      <c r="J5005">
        <f>IF(G5005=1,0.2*R5005/B5005,J5004)</f>
        <v/>
      </c>
      <c r="K5005">
        <f>IF(G5005=1,0.2*R5005/C5005,K5004)</f>
        <v/>
      </c>
      <c r="L5005">
        <f>IF(G5005=1,0.2*R5005/D5005,L5004)</f>
        <v/>
      </c>
      <c r="M5005">
        <f>IF(G5005=1,0.2*R5005/E5005,M5004)</f>
        <v/>
      </c>
      <c r="N5005">
        <f>IF(G5005=1,0.2*R5005/F5005,N5004)</f>
        <v/>
      </c>
      <c r="O5005">
        <f>IF(G5005=1,R5005*(1-1.0),IF(H5004=0,1,O5004*(1+0.00023125256064071564)))</f>
        <v/>
      </c>
      <c r="P5005">
        <f>IF(G5005=1,IF(H5004=0,1,ABS(0.2-J5004*B5005/I5005)+ABS(0.2-K5004*C5005/I5005)+ABS(0.2-L5004*D5005/I5005)+ABS(0.2-M5004*E5005/I5005)+ABS(0.2-N5004*F5005/I5005)),0)</f>
        <v/>
      </c>
      <c r="Q5005">
        <f>P5005*0.0015</f>
        <v/>
      </c>
      <c r="R5005">
        <f>I5005*(1-Q5005)</f>
        <v/>
      </c>
      <c r="S5005">
        <f>R5005/R5004-1</f>
        <v/>
      </c>
      <c r="T5005">
        <f>MAX(T5004,R5005)</f>
        <v/>
      </c>
      <c r="U5005">
        <f>R5005/T5005-1</f>
        <v/>
      </c>
      <c r="V5005" t="n">
        <v>28.66399433258972</v>
      </c>
      <c r="W5005" s="5">
        <f>R5005-V5005</f>
        <v/>
      </c>
    </row>
    <row r="5006">
      <c r="A5006" s="3" t="n">
        <v>45813</v>
      </c>
      <c r="B5006">
        <f>Prices!B5006</f>
        <v/>
      </c>
      <c r="C5006">
        <f>Prices!C5006</f>
        <v/>
      </c>
      <c r="D5006">
        <f>Prices!D5006</f>
        <v/>
      </c>
      <c r="E5006">
        <f>Prices!E5006</f>
        <v/>
      </c>
      <c r="F5006">
        <f>Prices!F5006</f>
        <v/>
      </c>
      <c r="G5006">
        <f>IF(AND(5004&gt;=16,TEXT(A5006,"yyyy-mm")&lt;&gt;TEXT(A5007,"yyyy-mm")),1,0)</f>
        <v/>
      </c>
      <c r="H5006">
        <f>IF(OR(H5005=1,G5006=1),1,0)</f>
        <v/>
      </c>
      <c r="I5006">
        <f>IF(H5005=0,1,SUMPRODUCT(J5005:N5005,B5006:F5006)+O5005*(1+0.00023125256064071564))</f>
        <v/>
      </c>
      <c r="J5006">
        <f>IF(G5006=1,0.2*R5006/B5006,J5005)</f>
        <v/>
      </c>
      <c r="K5006">
        <f>IF(G5006=1,0.2*R5006/C5006,K5005)</f>
        <v/>
      </c>
      <c r="L5006">
        <f>IF(G5006=1,0.2*R5006/D5006,L5005)</f>
        <v/>
      </c>
      <c r="M5006">
        <f>IF(G5006=1,0.2*R5006/E5006,M5005)</f>
        <v/>
      </c>
      <c r="N5006">
        <f>IF(G5006=1,0.2*R5006/F5006,N5005)</f>
        <v/>
      </c>
      <c r="O5006">
        <f>IF(G5006=1,R5006*(1-1.0),IF(H5005=0,1,O5005*(1+0.00023125256064071564)))</f>
        <v/>
      </c>
      <c r="P5006">
        <f>IF(G5006=1,IF(H5005=0,1,ABS(0.2-J5005*B5006/I5006)+ABS(0.2-K5005*C5006/I5006)+ABS(0.2-L5005*D5006/I5006)+ABS(0.2-M5005*E5006/I5006)+ABS(0.2-N5005*F5006/I5006)),0)</f>
        <v/>
      </c>
      <c r="Q5006">
        <f>P5006*0.0015</f>
        <v/>
      </c>
      <c r="R5006">
        <f>I5006*(1-Q5006)</f>
        <v/>
      </c>
      <c r="S5006">
        <f>R5006/R5005-1</f>
        <v/>
      </c>
      <c r="T5006">
        <f>MAX(T5005,R5006)</f>
        <v/>
      </c>
      <c r="U5006">
        <f>R5006/T5006-1</f>
        <v/>
      </c>
      <c r="V5006" t="n">
        <v>28.86773385591183</v>
      </c>
      <c r="W5006" s="5">
        <f>R5006-V5006</f>
        <v/>
      </c>
    </row>
    <row r="5007">
      <c r="A5007" s="3" t="n">
        <v>45814</v>
      </c>
      <c r="B5007">
        <f>Prices!B5007</f>
        <v/>
      </c>
      <c r="C5007">
        <f>Prices!C5007</f>
        <v/>
      </c>
      <c r="D5007">
        <f>Prices!D5007</f>
        <v/>
      </c>
      <c r="E5007">
        <f>Prices!E5007</f>
        <v/>
      </c>
      <c r="F5007">
        <f>Prices!F5007</f>
        <v/>
      </c>
      <c r="G5007">
        <f>IF(AND(5005&gt;=16,TEXT(A5007,"yyyy-mm")&lt;&gt;TEXT(A5008,"yyyy-mm")),1,0)</f>
        <v/>
      </c>
      <c r="H5007">
        <f>IF(OR(H5006=1,G5007=1),1,0)</f>
        <v/>
      </c>
      <c r="I5007">
        <f>IF(H5006=0,1,SUMPRODUCT(J5006:N5006,B5007:F5007)+O5006*(1+0.00023125256064071564))</f>
        <v/>
      </c>
      <c r="J5007">
        <f>IF(G5007=1,0.2*R5007/B5007,J5006)</f>
        <v/>
      </c>
      <c r="K5007">
        <f>IF(G5007=1,0.2*R5007/C5007,K5006)</f>
        <v/>
      </c>
      <c r="L5007">
        <f>IF(G5007=1,0.2*R5007/D5007,L5006)</f>
        <v/>
      </c>
      <c r="M5007">
        <f>IF(G5007=1,0.2*R5007/E5007,M5006)</f>
        <v/>
      </c>
      <c r="N5007">
        <f>IF(G5007=1,0.2*R5007/F5007,N5006)</f>
        <v/>
      </c>
      <c r="O5007">
        <f>IF(G5007=1,R5007*(1-1.0),IF(H5006=0,1,O5006*(1+0.00023125256064071564)))</f>
        <v/>
      </c>
      <c r="P5007">
        <f>IF(G5007=1,IF(H5006=0,1,ABS(0.2-J5006*B5007/I5007)+ABS(0.2-K5006*C5007/I5007)+ABS(0.2-L5006*D5007/I5007)+ABS(0.2-M5006*E5007/I5007)+ABS(0.2-N5006*F5007/I5007)),0)</f>
        <v/>
      </c>
      <c r="Q5007">
        <f>P5007*0.0015</f>
        <v/>
      </c>
      <c r="R5007">
        <f>I5007*(1-Q5007)</f>
        <v/>
      </c>
      <c r="S5007">
        <f>R5007/R5006-1</f>
        <v/>
      </c>
      <c r="T5007">
        <f>MAX(T5006,R5007)</f>
        <v/>
      </c>
      <c r="U5007">
        <f>R5007/T5007-1</f>
        <v/>
      </c>
      <c r="V5007" t="n">
        <v>29.12583966976597</v>
      </c>
      <c r="W5007" s="5">
        <f>R5007-V5007</f>
        <v/>
      </c>
    </row>
    <row r="5008">
      <c r="A5008" s="3" t="n">
        <v>45817</v>
      </c>
      <c r="B5008">
        <f>Prices!B5008</f>
        <v/>
      </c>
      <c r="C5008">
        <f>Prices!C5008</f>
        <v/>
      </c>
      <c r="D5008">
        <f>Prices!D5008</f>
        <v/>
      </c>
      <c r="E5008">
        <f>Prices!E5008</f>
        <v/>
      </c>
      <c r="F5008">
        <f>Prices!F5008</f>
        <v/>
      </c>
      <c r="G5008">
        <f>IF(AND(5006&gt;=16,TEXT(A5008,"yyyy-mm")&lt;&gt;TEXT(A5009,"yyyy-mm")),1,0)</f>
        <v/>
      </c>
      <c r="H5008">
        <f>IF(OR(H5007=1,G5008=1),1,0)</f>
        <v/>
      </c>
      <c r="I5008">
        <f>IF(H5007=0,1,SUMPRODUCT(J5007:N5007,B5008:F5008)+O5007*(1+0.00023125256064071564))</f>
        <v/>
      </c>
      <c r="J5008">
        <f>IF(G5008=1,0.2*R5008/B5008,J5007)</f>
        <v/>
      </c>
      <c r="K5008">
        <f>IF(G5008=1,0.2*R5008/C5008,K5007)</f>
        <v/>
      </c>
      <c r="L5008">
        <f>IF(G5008=1,0.2*R5008/D5008,L5007)</f>
        <v/>
      </c>
      <c r="M5008">
        <f>IF(G5008=1,0.2*R5008/E5008,M5007)</f>
        <v/>
      </c>
      <c r="N5008">
        <f>IF(G5008=1,0.2*R5008/F5008,N5007)</f>
        <v/>
      </c>
      <c r="O5008">
        <f>IF(G5008=1,R5008*(1-1.0),IF(H5007=0,1,O5007*(1+0.00023125256064071564)))</f>
        <v/>
      </c>
      <c r="P5008">
        <f>IF(G5008=1,IF(H5007=0,1,ABS(0.2-J5007*B5008/I5008)+ABS(0.2-K5007*C5008/I5008)+ABS(0.2-L5007*D5008/I5008)+ABS(0.2-M5007*E5008/I5008)+ABS(0.2-N5007*F5008/I5008)),0)</f>
        <v/>
      </c>
      <c r="Q5008">
        <f>P5008*0.0015</f>
        <v/>
      </c>
      <c r="R5008">
        <f>I5008*(1-Q5008)</f>
        <v/>
      </c>
      <c r="S5008">
        <f>R5008/R5007-1</f>
        <v/>
      </c>
      <c r="T5008">
        <f>MAX(T5007,R5008)</f>
        <v/>
      </c>
      <c r="U5008">
        <f>R5008/T5008-1</f>
        <v/>
      </c>
      <c r="V5008" t="n">
        <v>29.41998002470936</v>
      </c>
      <c r="W5008" s="5">
        <f>R5008-V5008</f>
        <v/>
      </c>
    </row>
    <row r="5009">
      <c r="A5009" s="3" t="n">
        <v>45818</v>
      </c>
      <c r="B5009">
        <f>Prices!B5009</f>
        <v/>
      </c>
      <c r="C5009">
        <f>Prices!C5009</f>
        <v/>
      </c>
      <c r="D5009">
        <f>Prices!D5009</f>
        <v/>
      </c>
      <c r="E5009">
        <f>Prices!E5009</f>
        <v/>
      </c>
      <c r="F5009">
        <f>Prices!F5009</f>
        <v/>
      </c>
      <c r="G5009">
        <f>IF(AND(5007&gt;=16,TEXT(A5009,"yyyy-mm")&lt;&gt;TEXT(A5010,"yyyy-mm")),1,0)</f>
        <v/>
      </c>
      <c r="H5009">
        <f>IF(OR(H5008=1,G5009=1),1,0)</f>
        <v/>
      </c>
      <c r="I5009">
        <f>IF(H5008=0,1,SUMPRODUCT(J5008:N5008,B5009:F5009)+O5008*(1+0.00023125256064071564))</f>
        <v/>
      </c>
      <c r="J5009">
        <f>IF(G5009=1,0.2*R5009/B5009,J5008)</f>
        <v/>
      </c>
      <c r="K5009">
        <f>IF(G5009=1,0.2*R5009/C5009,K5008)</f>
        <v/>
      </c>
      <c r="L5009">
        <f>IF(G5009=1,0.2*R5009/D5009,L5008)</f>
        <v/>
      </c>
      <c r="M5009">
        <f>IF(G5009=1,0.2*R5009/E5009,M5008)</f>
        <v/>
      </c>
      <c r="N5009">
        <f>IF(G5009=1,0.2*R5009/F5009,N5008)</f>
        <v/>
      </c>
      <c r="O5009">
        <f>IF(G5009=1,R5009*(1-1.0),IF(H5008=0,1,O5008*(1+0.00023125256064071564)))</f>
        <v/>
      </c>
      <c r="P5009">
        <f>IF(G5009=1,IF(H5008=0,1,ABS(0.2-J5008*B5009/I5009)+ABS(0.2-K5008*C5009/I5009)+ABS(0.2-L5008*D5009/I5009)+ABS(0.2-M5008*E5009/I5009)+ABS(0.2-N5008*F5009/I5009)),0)</f>
        <v/>
      </c>
      <c r="Q5009">
        <f>P5009*0.0015</f>
        <v/>
      </c>
      <c r="R5009">
        <f>I5009*(1-Q5009)</f>
        <v/>
      </c>
      <c r="S5009">
        <f>R5009/R5008-1</f>
        <v/>
      </c>
      <c r="T5009">
        <f>MAX(T5008,R5009)</f>
        <v/>
      </c>
      <c r="U5009">
        <f>R5009/T5009-1</f>
        <v/>
      </c>
      <c r="V5009" t="n">
        <v>29.51107475497143</v>
      </c>
      <c r="W5009" s="5">
        <f>R5009-V5009</f>
        <v/>
      </c>
    </row>
    <row r="5010">
      <c r="A5010" s="3" t="n">
        <v>45819</v>
      </c>
      <c r="B5010">
        <f>Prices!B5010</f>
        <v/>
      </c>
      <c r="C5010">
        <f>Prices!C5010</f>
        <v/>
      </c>
      <c r="D5010">
        <f>Prices!D5010</f>
        <v/>
      </c>
      <c r="E5010">
        <f>Prices!E5010</f>
        <v/>
      </c>
      <c r="F5010">
        <f>Prices!F5010</f>
        <v/>
      </c>
      <c r="G5010">
        <f>IF(AND(5008&gt;=16,TEXT(A5010,"yyyy-mm")&lt;&gt;TEXT(A5011,"yyyy-mm")),1,0)</f>
        <v/>
      </c>
      <c r="H5010">
        <f>IF(OR(H5009=1,G5010=1),1,0)</f>
        <v/>
      </c>
      <c r="I5010">
        <f>IF(H5009=0,1,SUMPRODUCT(J5009:N5009,B5010:F5010)+O5009*(1+0.00023125256064071564))</f>
        <v/>
      </c>
      <c r="J5010">
        <f>IF(G5010=1,0.2*R5010/B5010,J5009)</f>
        <v/>
      </c>
      <c r="K5010">
        <f>IF(G5010=1,0.2*R5010/C5010,K5009)</f>
        <v/>
      </c>
      <c r="L5010">
        <f>IF(G5010=1,0.2*R5010/D5010,L5009)</f>
        <v/>
      </c>
      <c r="M5010">
        <f>IF(G5010=1,0.2*R5010/E5010,M5009)</f>
        <v/>
      </c>
      <c r="N5010">
        <f>IF(G5010=1,0.2*R5010/F5010,N5009)</f>
        <v/>
      </c>
      <c r="O5010">
        <f>IF(G5010=1,R5010*(1-1.0),IF(H5009=0,1,O5009*(1+0.00023125256064071564)))</f>
        <v/>
      </c>
      <c r="P5010">
        <f>IF(G5010=1,IF(H5009=0,1,ABS(0.2-J5009*B5010/I5010)+ABS(0.2-K5009*C5010/I5010)+ABS(0.2-L5009*D5010/I5010)+ABS(0.2-M5009*E5010/I5010)+ABS(0.2-N5009*F5010/I5010)),0)</f>
        <v/>
      </c>
      <c r="Q5010">
        <f>P5010*0.0015</f>
        <v/>
      </c>
      <c r="R5010">
        <f>I5010*(1-Q5010)</f>
        <v/>
      </c>
      <c r="S5010">
        <f>R5010/R5009-1</f>
        <v/>
      </c>
      <c r="T5010">
        <f>MAX(T5009,R5010)</f>
        <v/>
      </c>
      <c r="U5010">
        <f>R5010/T5010-1</f>
        <v/>
      </c>
      <c r="V5010" t="n">
        <v>29.42405869319177</v>
      </c>
      <c r="W5010" s="5">
        <f>R5010-V5010</f>
        <v/>
      </c>
    </row>
    <row r="5011">
      <c r="A5011" s="3" t="n">
        <v>45820</v>
      </c>
      <c r="B5011">
        <f>Prices!B5011</f>
        <v/>
      </c>
      <c r="C5011">
        <f>Prices!C5011</f>
        <v/>
      </c>
      <c r="D5011">
        <f>Prices!D5011</f>
        <v/>
      </c>
      <c r="E5011">
        <f>Prices!E5011</f>
        <v/>
      </c>
      <c r="F5011">
        <f>Prices!F5011</f>
        <v/>
      </c>
      <c r="G5011">
        <f>IF(AND(5009&gt;=16,TEXT(A5011,"yyyy-mm")&lt;&gt;TEXT(A5012,"yyyy-mm")),1,0)</f>
        <v/>
      </c>
      <c r="H5011">
        <f>IF(OR(H5010=1,G5011=1),1,0)</f>
        <v/>
      </c>
      <c r="I5011">
        <f>IF(H5010=0,1,SUMPRODUCT(J5010:N5010,B5011:F5011)+O5010*(1+0.00023125256064071564))</f>
        <v/>
      </c>
      <c r="J5011">
        <f>IF(G5011=1,0.2*R5011/B5011,J5010)</f>
        <v/>
      </c>
      <c r="K5011">
        <f>IF(G5011=1,0.2*R5011/C5011,K5010)</f>
        <v/>
      </c>
      <c r="L5011">
        <f>IF(G5011=1,0.2*R5011/D5011,L5010)</f>
        <v/>
      </c>
      <c r="M5011">
        <f>IF(G5011=1,0.2*R5011/E5011,M5010)</f>
        <v/>
      </c>
      <c r="N5011">
        <f>IF(G5011=1,0.2*R5011/F5011,N5010)</f>
        <v/>
      </c>
      <c r="O5011">
        <f>IF(G5011=1,R5011*(1-1.0),IF(H5010=0,1,O5010*(1+0.00023125256064071564)))</f>
        <v/>
      </c>
      <c r="P5011">
        <f>IF(G5011=1,IF(H5010=0,1,ABS(0.2-J5010*B5011/I5011)+ABS(0.2-K5010*C5011/I5011)+ABS(0.2-L5010*D5011/I5011)+ABS(0.2-M5010*E5011/I5011)+ABS(0.2-N5010*F5011/I5011)),0)</f>
        <v/>
      </c>
      <c r="Q5011">
        <f>P5011*0.0015</f>
        <v/>
      </c>
      <c r="R5011">
        <f>I5011*(1-Q5011)</f>
        <v/>
      </c>
      <c r="S5011">
        <f>R5011/R5010-1</f>
        <v/>
      </c>
      <c r="T5011">
        <f>MAX(T5010,R5011)</f>
        <v/>
      </c>
      <c r="U5011">
        <f>R5011/T5011-1</f>
        <v/>
      </c>
      <c r="V5011" t="n">
        <v>28.95479376641018</v>
      </c>
      <c r="W5011" s="5">
        <f>R5011-V5011</f>
        <v/>
      </c>
    </row>
    <row r="5012">
      <c r="A5012" s="3" t="n">
        <v>45821</v>
      </c>
      <c r="B5012">
        <f>Prices!B5012</f>
        <v/>
      </c>
      <c r="C5012">
        <f>Prices!C5012</f>
        <v/>
      </c>
      <c r="D5012">
        <f>Prices!D5012</f>
        <v/>
      </c>
      <c r="E5012">
        <f>Prices!E5012</f>
        <v/>
      </c>
      <c r="F5012">
        <f>Prices!F5012</f>
        <v/>
      </c>
      <c r="G5012">
        <f>IF(AND(5010&gt;=16,TEXT(A5012,"yyyy-mm")&lt;&gt;TEXT(A5013,"yyyy-mm")),1,0)</f>
        <v/>
      </c>
      <c r="H5012">
        <f>IF(OR(H5011=1,G5012=1),1,0)</f>
        <v/>
      </c>
      <c r="I5012">
        <f>IF(H5011=0,1,SUMPRODUCT(J5011:N5011,B5012:F5012)+O5011*(1+0.00023125256064071564))</f>
        <v/>
      </c>
      <c r="J5012">
        <f>IF(G5012=1,0.2*R5012/B5012,J5011)</f>
        <v/>
      </c>
      <c r="K5012">
        <f>IF(G5012=1,0.2*R5012/C5012,K5011)</f>
        <v/>
      </c>
      <c r="L5012">
        <f>IF(G5012=1,0.2*R5012/D5012,L5011)</f>
        <v/>
      </c>
      <c r="M5012">
        <f>IF(G5012=1,0.2*R5012/E5012,M5011)</f>
        <v/>
      </c>
      <c r="N5012">
        <f>IF(G5012=1,0.2*R5012/F5012,N5011)</f>
        <v/>
      </c>
      <c r="O5012">
        <f>IF(G5012=1,R5012*(1-1.0),IF(H5011=0,1,O5011*(1+0.00023125256064071564)))</f>
        <v/>
      </c>
      <c r="P5012">
        <f>IF(G5012=1,IF(H5011=0,1,ABS(0.2-J5011*B5012/I5012)+ABS(0.2-K5011*C5012/I5012)+ABS(0.2-L5011*D5012/I5012)+ABS(0.2-M5011*E5012/I5012)+ABS(0.2-N5011*F5012/I5012)),0)</f>
        <v/>
      </c>
      <c r="Q5012">
        <f>P5012*0.0015</f>
        <v/>
      </c>
      <c r="R5012">
        <f>I5012*(1-Q5012)</f>
        <v/>
      </c>
      <c r="S5012">
        <f>R5012/R5011-1</f>
        <v/>
      </c>
      <c r="T5012">
        <f>MAX(T5011,R5012)</f>
        <v/>
      </c>
      <c r="U5012">
        <f>R5012/T5012-1</f>
        <v/>
      </c>
      <c r="V5012" t="n">
        <v>28.8209185261055</v>
      </c>
      <c r="W5012" s="5">
        <f>R5012-V5012</f>
        <v/>
      </c>
    </row>
    <row r="5013">
      <c r="A5013" s="3" t="n">
        <v>45824</v>
      </c>
      <c r="B5013">
        <f>Prices!B5013</f>
        <v/>
      </c>
      <c r="C5013">
        <f>Prices!C5013</f>
        <v/>
      </c>
      <c r="D5013">
        <f>Prices!D5013</f>
        <v/>
      </c>
      <c r="E5013">
        <f>Prices!E5013</f>
        <v/>
      </c>
      <c r="F5013">
        <f>Prices!F5013</f>
        <v/>
      </c>
      <c r="G5013">
        <f>IF(AND(5011&gt;=16,TEXT(A5013,"yyyy-mm")&lt;&gt;TEXT(A5014,"yyyy-mm")),1,0)</f>
        <v/>
      </c>
      <c r="H5013">
        <f>IF(OR(H5012=1,G5013=1),1,0)</f>
        <v/>
      </c>
      <c r="I5013">
        <f>IF(H5012=0,1,SUMPRODUCT(J5012:N5012,B5013:F5013)+O5012*(1+0.00023125256064071564))</f>
        <v/>
      </c>
      <c r="J5013">
        <f>IF(G5013=1,0.2*R5013/B5013,J5012)</f>
        <v/>
      </c>
      <c r="K5013">
        <f>IF(G5013=1,0.2*R5013/C5013,K5012)</f>
        <v/>
      </c>
      <c r="L5013">
        <f>IF(G5013=1,0.2*R5013/D5013,L5012)</f>
        <v/>
      </c>
      <c r="M5013">
        <f>IF(G5013=1,0.2*R5013/E5013,M5012)</f>
        <v/>
      </c>
      <c r="N5013">
        <f>IF(G5013=1,0.2*R5013/F5013,N5012)</f>
        <v/>
      </c>
      <c r="O5013">
        <f>IF(G5013=1,R5013*(1-1.0),IF(H5012=0,1,O5012*(1+0.00023125256064071564)))</f>
        <v/>
      </c>
      <c r="P5013">
        <f>IF(G5013=1,IF(H5012=0,1,ABS(0.2-J5012*B5013/I5013)+ABS(0.2-K5012*C5013/I5013)+ABS(0.2-L5012*D5013/I5013)+ABS(0.2-M5012*E5013/I5013)+ABS(0.2-N5012*F5013/I5013)),0)</f>
        <v/>
      </c>
      <c r="Q5013">
        <f>P5013*0.0015</f>
        <v/>
      </c>
      <c r="R5013">
        <f>I5013*(1-Q5013)</f>
        <v/>
      </c>
      <c r="S5013">
        <f>R5013/R5012-1</f>
        <v/>
      </c>
      <c r="T5013">
        <f>MAX(T5012,R5013)</f>
        <v/>
      </c>
      <c r="U5013">
        <f>R5013/T5013-1</f>
        <v/>
      </c>
      <c r="V5013" t="n">
        <v>29.04068375983065</v>
      </c>
      <c r="W5013" s="5">
        <f>R5013-V5013</f>
        <v/>
      </c>
    </row>
    <row r="5014">
      <c r="A5014" s="3" t="n">
        <v>45825</v>
      </c>
      <c r="B5014">
        <f>Prices!B5014</f>
        <v/>
      </c>
      <c r="C5014">
        <f>Prices!C5014</f>
        <v/>
      </c>
      <c r="D5014">
        <f>Prices!D5014</f>
        <v/>
      </c>
      <c r="E5014">
        <f>Prices!E5014</f>
        <v/>
      </c>
      <c r="F5014">
        <f>Prices!F5014</f>
        <v/>
      </c>
      <c r="G5014">
        <f>IF(AND(5012&gt;=16,TEXT(A5014,"yyyy-mm")&lt;&gt;TEXT(A5015,"yyyy-mm")),1,0)</f>
        <v/>
      </c>
      <c r="H5014">
        <f>IF(OR(H5013=1,G5014=1),1,0)</f>
        <v/>
      </c>
      <c r="I5014">
        <f>IF(H5013=0,1,SUMPRODUCT(J5013:N5013,B5014:F5014)+O5013*(1+0.00023125256064071564))</f>
        <v/>
      </c>
      <c r="J5014">
        <f>IF(G5014=1,0.2*R5014/B5014,J5013)</f>
        <v/>
      </c>
      <c r="K5014">
        <f>IF(G5014=1,0.2*R5014/C5014,K5013)</f>
        <v/>
      </c>
      <c r="L5014">
        <f>IF(G5014=1,0.2*R5014/D5014,L5013)</f>
        <v/>
      </c>
      <c r="M5014">
        <f>IF(G5014=1,0.2*R5014/E5014,M5013)</f>
        <v/>
      </c>
      <c r="N5014">
        <f>IF(G5014=1,0.2*R5014/F5014,N5013)</f>
        <v/>
      </c>
      <c r="O5014">
        <f>IF(G5014=1,R5014*(1-1.0),IF(H5013=0,1,O5013*(1+0.00023125256064071564)))</f>
        <v/>
      </c>
      <c r="P5014">
        <f>IF(G5014=1,IF(H5013=0,1,ABS(0.2-J5013*B5014/I5014)+ABS(0.2-K5013*C5014/I5014)+ABS(0.2-L5013*D5014/I5014)+ABS(0.2-M5013*E5014/I5014)+ABS(0.2-N5013*F5014/I5014)),0)</f>
        <v/>
      </c>
      <c r="Q5014">
        <f>P5014*0.0015</f>
        <v/>
      </c>
      <c r="R5014">
        <f>I5014*(1-Q5014)</f>
        <v/>
      </c>
      <c r="S5014">
        <f>R5014/R5013-1</f>
        <v/>
      </c>
      <c r="T5014">
        <f>MAX(T5013,R5014)</f>
        <v/>
      </c>
      <c r="U5014">
        <f>R5014/T5014-1</f>
        <v/>
      </c>
      <c r="V5014" t="n">
        <v>28.92313122992231</v>
      </c>
      <c r="W5014" s="5">
        <f>R5014-V5014</f>
        <v/>
      </c>
    </row>
    <row r="5015">
      <c r="A5015" s="3" t="n">
        <v>45826</v>
      </c>
      <c r="B5015">
        <f>Prices!B5015</f>
        <v/>
      </c>
      <c r="C5015">
        <f>Prices!C5015</f>
        <v/>
      </c>
      <c r="D5015">
        <f>Prices!D5015</f>
        <v/>
      </c>
      <c r="E5015">
        <f>Prices!E5015</f>
        <v/>
      </c>
      <c r="F5015">
        <f>Prices!F5015</f>
        <v/>
      </c>
      <c r="G5015">
        <f>IF(AND(5013&gt;=16,TEXT(A5015,"yyyy-mm")&lt;&gt;TEXT(A5016,"yyyy-mm")),1,0)</f>
        <v/>
      </c>
      <c r="H5015">
        <f>IF(OR(H5014=1,G5015=1),1,0)</f>
        <v/>
      </c>
      <c r="I5015">
        <f>IF(H5014=0,1,SUMPRODUCT(J5014:N5014,B5015:F5015)+O5014*(1+0.00023125256064071564))</f>
        <v/>
      </c>
      <c r="J5015">
        <f>IF(G5015=1,0.2*R5015/B5015,J5014)</f>
        <v/>
      </c>
      <c r="K5015">
        <f>IF(G5015=1,0.2*R5015/C5015,K5014)</f>
        <v/>
      </c>
      <c r="L5015">
        <f>IF(G5015=1,0.2*R5015/D5015,L5014)</f>
        <v/>
      </c>
      <c r="M5015">
        <f>IF(G5015=1,0.2*R5015/E5015,M5014)</f>
        <v/>
      </c>
      <c r="N5015">
        <f>IF(G5015=1,0.2*R5015/F5015,N5014)</f>
        <v/>
      </c>
      <c r="O5015">
        <f>IF(G5015=1,R5015*(1-1.0),IF(H5014=0,1,O5014*(1+0.00023125256064071564)))</f>
        <v/>
      </c>
      <c r="P5015">
        <f>IF(G5015=1,IF(H5014=0,1,ABS(0.2-J5014*B5015/I5015)+ABS(0.2-K5014*C5015/I5015)+ABS(0.2-L5014*D5015/I5015)+ABS(0.2-M5014*E5015/I5015)+ABS(0.2-N5014*F5015/I5015)),0)</f>
        <v/>
      </c>
      <c r="Q5015">
        <f>P5015*0.0015</f>
        <v/>
      </c>
      <c r="R5015">
        <f>I5015*(1-Q5015)</f>
        <v/>
      </c>
      <c r="S5015">
        <f>R5015/R5014-1</f>
        <v/>
      </c>
      <c r="T5015">
        <f>MAX(T5014,R5015)</f>
        <v/>
      </c>
      <c r="U5015">
        <f>R5015/T5015-1</f>
        <v/>
      </c>
      <c r="V5015" t="n">
        <v>28.8728253208398</v>
      </c>
      <c r="W5015" s="5">
        <f>R5015-V5015</f>
        <v/>
      </c>
    </row>
    <row r="5016">
      <c r="A5016" s="3" t="n">
        <v>45827</v>
      </c>
      <c r="B5016">
        <f>Prices!B5016</f>
        <v/>
      </c>
      <c r="C5016">
        <f>Prices!C5016</f>
        <v/>
      </c>
      <c r="D5016">
        <f>Prices!D5016</f>
        <v/>
      </c>
      <c r="E5016">
        <f>Prices!E5016</f>
        <v/>
      </c>
      <c r="F5016">
        <f>Prices!F5016</f>
        <v/>
      </c>
      <c r="G5016">
        <f>IF(AND(5014&gt;=16,TEXT(A5016,"yyyy-mm")&lt;&gt;TEXT(A5017,"yyyy-mm")),1,0)</f>
        <v/>
      </c>
      <c r="H5016">
        <f>IF(OR(H5015=1,G5016=1),1,0)</f>
        <v/>
      </c>
      <c r="I5016">
        <f>IF(H5015=0,1,SUMPRODUCT(J5015:N5015,B5016:F5016)+O5015*(1+0.00023125256064071564))</f>
        <v/>
      </c>
      <c r="J5016">
        <f>IF(G5016=1,0.2*R5016/B5016,J5015)</f>
        <v/>
      </c>
      <c r="K5016">
        <f>IF(G5016=1,0.2*R5016/C5016,K5015)</f>
        <v/>
      </c>
      <c r="L5016">
        <f>IF(G5016=1,0.2*R5016/D5016,L5015)</f>
        <v/>
      </c>
      <c r="M5016">
        <f>IF(G5016=1,0.2*R5016/E5016,M5015)</f>
        <v/>
      </c>
      <c r="N5016">
        <f>IF(G5016=1,0.2*R5016/F5016,N5015)</f>
        <v/>
      </c>
      <c r="O5016">
        <f>IF(G5016=1,R5016*(1-1.0),IF(H5015=0,1,O5015*(1+0.00023125256064071564)))</f>
        <v/>
      </c>
      <c r="P5016">
        <f>IF(G5016=1,IF(H5015=0,1,ABS(0.2-J5015*B5016/I5016)+ABS(0.2-K5015*C5016/I5016)+ABS(0.2-L5015*D5016/I5016)+ABS(0.2-M5015*E5016/I5016)+ABS(0.2-N5015*F5016/I5016)),0)</f>
        <v/>
      </c>
      <c r="Q5016">
        <f>P5016*0.0015</f>
        <v/>
      </c>
      <c r="R5016">
        <f>I5016*(1-Q5016)</f>
        <v/>
      </c>
      <c r="S5016">
        <f>R5016/R5015-1</f>
        <v/>
      </c>
      <c r="T5016">
        <f>MAX(T5015,R5016)</f>
        <v/>
      </c>
      <c r="U5016">
        <f>R5016/T5016-1</f>
        <v/>
      </c>
      <c r="V5016" t="n">
        <v>28.54012154789231</v>
      </c>
      <c r="W5016" s="5">
        <f>R5016-V5016</f>
        <v/>
      </c>
    </row>
    <row r="5017">
      <c r="A5017" s="3" t="n">
        <v>45828</v>
      </c>
      <c r="B5017">
        <f>Prices!B5017</f>
        <v/>
      </c>
      <c r="C5017">
        <f>Prices!C5017</f>
        <v/>
      </c>
      <c r="D5017">
        <f>Prices!D5017</f>
        <v/>
      </c>
      <c r="E5017">
        <f>Prices!E5017</f>
        <v/>
      </c>
      <c r="F5017">
        <f>Prices!F5017</f>
        <v/>
      </c>
      <c r="G5017">
        <f>IF(AND(5015&gt;=16,TEXT(A5017,"yyyy-mm")&lt;&gt;TEXT(A5018,"yyyy-mm")),1,0)</f>
        <v/>
      </c>
      <c r="H5017">
        <f>IF(OR(H5016=1,G5017=1),1,0)</f>
        <v/>
      </c>
      <c r="I5017">
        <f>IF(H5016=0,1,SUMPRODUCT(J5016:N5016,B5017:F5017)+O5016*(1+0.00023125256064071564))</f>
        <v/>
      </c>
      <c r="J5017">
        <f>IF(G5017=1,0.2*R5017/B5017,J5016)</f>
        <v/>
      </c>
      <c r="K5017">
        <f>IF(G5017=1,0.2*R5017/C5017,K5016)</f>
        <v/>
      </c>
      <c r="L5017">
        <f>IF(G5017=1,0.2*R5017/D5017,L5016)</f>
        <v/>
      </c>
      <c r="M5017">
        <f>IF(G5017=1,0.2*R5017/E5017,M5016)</f>
        <v/>
      </c>
      <c r="N5017">
        <f>IF(G5017=1,0.2*R5017/F5017,N5016)</f>
        <v/>
      </c>
      <c r="O5017">
        <f>IF(G5017=1,R5017*(1-1.0),IF(H5016=0,1,O5016*(1+0.00023125256064071564)))</f>
        <v/>
      </c>
      <c r="P5017">
        <f>IF(G5017=1,IF(H5016=0,1,ABS(0.2-J5016*B5017/I5017)+ABS(0.2-K5016*C5017/I5017)+ABS(0.2-L5016*D5017/I5017)+ABS(0.2-M5016*E5017/I5017)+ABS(0.2-N5016*F5017/I5017)),0)</f>
        <v/>
      </c>
      <c r="Q5017">
        <f>P5017*0.0015</f>
        <v/>
      </c>
      <c r="R5017">
        <f>I5017*(1-Q5017)</f>
        <v/>
      </c>
      <c r="S5017">
        <f>R5017/R5016-1</f>
        <v/>
      </c>
      <c r="T5017">
        <f>MAX(T5016,R5017)</f>
        <v/>
      </c>
      <c r="U5017">
        <f>R5017/T5017-1</f>
        <v/>
      </c>
      <c r="V5017" t="n">
        <v>28.88123620711847</v>
      </c>
      <c r="W5017" s="5">
        <f>R5017-V5017</f>
        <v/>
      </c>
    </row>
    <row r="5018">
      <c r="A5018" s="3" t="n">
        <v>45831</v>
      </c>
      <c r="B5018">
        <f>Prices!B5018</f>
        <v/>
      </c>
      <c r="C5018">
        <f>Prices!C5018</f>
        <v/>
      </c>
      <c r="D5018">
        <f>Prices!D5018</f>
        <v/>
      </c>
      <c r="E5018">
        <f>Prices!E5018</f>
        <v/>
      </c>
      <c r="F5018">
        <f>Prices!F5018</f>
        <v/>
      </c>
      <c r="G5018">
        <f>IF(AND(5016&gt;=16,TEXT(A5018,"yyyy-mm")&lt;&gt;TEXT(A5019,"yyyy-mm")),1,0)</f>
        <v/>
      </c>
      <c r="H5018">
        <f>IF(OR(H5017=1,G5018=1),1,0)</f>
        <v/>
      </c>
      <c r="I5018">
        <f>IF(H5017=0,1,SUMPRODUCT(J5017:N5017,B5018:F5018)+O5017*(1+0.00023125256064071564))</f>
        <v/>
      </c>
      <c r="J5018">
        <f>IF(G5018=1,0.2*R5018/B5018,J5017)</f>
        <v/>
      </c>
      <c r="K5018">
        <f>IF(G5018=1,0.2*R5018/C5018,K5017)</f>
        <v/>
      </c>
      <c r="L5018">
        <f>IF(G5018=1,0.2*R5018/D5018,L5017)</f>
        <v/>
      </c>
      <c r="M5018">
        <f>IF(G5018=1,0.2*R5018/E5018,M5017)</f>
        <v/>
      </c>
      <c r="N5018">
        <f>IF(G5018=1,0.2*R5018/F5018,N5017)</f>
        <v/>
      </c>
      <c r="O5018">
        <f>IF(G5018=1,R5018*(1-1.0),IF(H5017=0,1,O5017*(1+0.00023125256064071564)))</f>
        <v/>
      </c>
      <c r="P5018">
        <f>IF(G5018=1,IF(H5017=0,1,ABS(0.2-J5017*B5018/I5018)+ABS(0.2-K5017*C5018/I5018)+ABS(0.2-L5017*D5018/I5018)+ABS(0.2-M5017*E5018/I5018)+ABS(0.2-N5017*F5018/I5018)),0)</f>
        <v/>
      </c>
      <c r="Q5018">
        <f>P5018*0.0015</f>
        <v/>
      </c>
      <c r="R5018">
        <f>I5018*(1-Q5018)</f>
        <v/>
      </c>
      <c r="S5018">
        <f>R5018/R5017-1</f>
        <v/>
      </c>
      <c r="T5018">
        <f>MAX(T5017,R5018)</f>
        <v/>
      </c>
      <c r="U5018">
        <f>R5018/T5018-1</f>
        <v/>
      </c>
      <c r="V5018" t="n">
        <v>28.99891715010135</v>
      </c>
      <c r="W5018" s="5">
        <f>R5018-V5018</f>
        <v/>
      </c>
    </row>
    <row r="5019">
      <c r="A5019" s="3" t="n">
        <v>45832</v>
      </c>
      <c r="B5019">
        <f>Prices!B5019</f>
        <v/>
      </c>
      <c r="C5019">
        <f>Prices!C5019</f>
        <v/>
      </c>
      <c r="D5019">
        <f>Prices!D5019</f>
        <v/>
      </c>
      <c r="E5019">
        <f>Prices!E5019</f>
        <v/>
      </c>
      <c r="F5019">
        <f>Prices!F5019</f>
        <v/>
      </c>
      <c r="G5019">
        <f>IF(AND(5017&gt;=16,TEXT(A5019,"yyyy-mm")&lt;&gt;TEXT(A5020,"yyyy-mm")),1,0)</f>
        <v/>
      </c>
      <c r="H5019">
        <f>IF(OR(H5018=1,G5019=1),1,0)</f>
        <v/>
      </c>
      <c r="I5019">
        <f>IF(H5018=0,1,SUMPRODUCT(J5018:N5018,B5019:F5019)+O5018*(1+0.00023125256064071564))</f>
        <v/>
      </c>
      <c r="J5019">
        <f>IF(G5019=1,0.2*R5019/B5019,J5018)</f>
        <v/>
      </c>
      <c r="K5019">
        <f>IF(G5019=1,0.2*R5019/C5019,K5018)</f>
        <v/>
      </c>
      <c r="L5019">
        <f>IF(G5019=1,0.2*R5019/D5019,L5018)</f>
        <v/>
      </c>
      <c r="M5019">
        <f>IF(G5019=1,0.2*R5019/E5019,M5018)</f>
        <v/>
      </c>
      <c r="N5019">
        <f>IF(G5019=1,0.2*R5019/F5019,N5018)</f>
        <v/>
      </c>
      <c r="O5019">
        <f>IF(G5019=1,R5019*(1-1.0),IF(H5018=0,1,O5018*(1+0.00023125256064071564)))</f>
        <v/>
      </c>
      <c r="P5019">
        <f>IF(G5019=1,IF(H5018=0,1,ABS(0.2-J5018*B5019/I5019)+ABS(0.2-K5018*C5019/I5019)+ABS(0.2-L5018*D5019/I5019)+ABS(0.2-M5018*E5019/I5019)+ABS(0.2-N5018*F5019/I5019)),0)</f>
        <v/>
      </c>
      <c r="Q5019">
        <f>P5019*0.0015</f>
        <v/>
      </c>
      <c r="R5019">
        <f>I5019*(1-Q5019)</f>
        <v/>
      </c>
      <c r="S5019">
        <f>R5019/R5018-1</f>
        <v/>
      </c>
      <c r="T5019">
        <f>MAX(T5018,R5019)</f>
        <v/>
      </c>
      <c r="U5019">
        <f>R5019/T5019-1</f>
        <v/>
      </c>
      <c r="V5019" t="n">
        <v>29.1817141610809</v>
      </c>
      <c r="W5019" s="5">
        <f>R5019-V5019</f>
        <v/>
      </c>
    </row>
    <row r="5020">
      <c r="A5020" s="3" t="n">
        <v>45833</v>
      </c>
      <c r="B5020">
        <f>Prices!B5020</f>
        <v/>
      </c>
      <c r="C5020">
        <f>Prices!C5020</f>
        <v/>
      </c>
      <c r="D5020">
        <f>Prices!D5020</f>
        <v/>
      </c>
      <c r="E5020">
        <f>Prices!E5020</f>
        <v/>
      </c>
      <c r="F5020">
        <f>Prices!F5020</f>
        <v/>
      </c>
      <c r="G5020">
        <f>IF(AND(5018&gt;=16,TEXT(A5020,"yyyy-mm")&lt;&gt;TEXT(A5021,"yyyy-mm")),1,0)</f>
        <v/>
      </c>
      <c r="H5020">
        <f>IF(OR(H5019=1,G5020=1),1,0)</f>
        <v/>
      </c>
      <c r="I5020">
        <f>IF(H5019=0,1,SUMPRODUCT(J5019:N5019,B5020:F5020)+O5019*(1+0.00023125256064071564))</f>
        <v/>
      </c>
      <c r="J5020">
        <f>IF(G5020=1,0.2*R5020/B5020,J5019)</f>
        <v/>
      </c>
      <c r="K5020">
        <f>IF(G5020=1,0.2*R5020/C5020,K5019)</f>
        <v/>
      </c>
      <c r="L5020">
        <f>IF(G5020=1,0.2*R5020/D5020,L5019)</f>
        <v/>
      </c>
      <c r="M5020">
        <f>IF(G5020=1,0.2*R5020/E5020,M5019)</f>
        <v/>
      </c>
      <c r="N5020">
        <f>IF(G5020=1,0.2*R5020/F5020,N5019)</f>
        <v/>
      </c>
      <c r="O5020">
        <f>IF(G5020=1,R5020*(1-1.0),IF(H5019=0,1,O5019*(1+0.00023125256064071564)))</f>
        <v/>
      </c>
      <c r="P5020">
        <f>IF(G5020=1,IF(H5019=0,1,ABS(0.2-J5019*B5020/I5020)+ABS(0.2-K5019*C5020/I5020)+ABS(0.2-L5019*D5020/I5020)+ABS(0.2-M5019*E5020/I5020)+ABS(0.2-N5019*F5020/I5020)),0)</f>
        <v/>
      </c>
      <c r="Q5020">
        <f>P5020*0.0015</f>
        <v/>
      </c>
      <c r="R5020">
        <f>I5020*(1-Q5020)</f>
        <v/>
      </c>
      <c r="S5020">
        <f>R5020/R5019-1</f>
        <v/>
      </c>
      <c r="T5020">
        <f>MAX(T5019,R5020)</f>
        <v/>
      </c>
      <c r="U5020">
        <f>R5020/T5020-1</f>
        <v/>
      </c>
      <c r="V5020" t="n">
        <v>29.35556554181301</v>
      </c>
      <c r="W5020" s="5">
        <f>R5020-V5020</f>
        <v/>
      </c>
    </row>
    <row r="5021">
      <c r="A5021" s="3" t="n">
        <v>45834</v>
      </c>
      <c r="B5021">
        <f>Prices!B5021</f>
        <v/>
      </c>
      <c r="C5021">
        <f>Prices!C5021</f>
        <v/>
      </c>
      <c r="D5021">
        <f>Prices!D5021</f>
        <v/>
      </c>
      <c r="E5021">
        <f>Prices!E5021</f>
        <v/>
      </c>
      <c r="F5021">
        <f>Prices!F5021</f>
        <v/>
      </c>
      <c r="G5021">
        <f>IF(AND(5019&gt;=16,TEXT(A5021,"yyyy-mm")&lt;&gt;TEXT(A5022,"yyyy-mm")),1,0)</f>
        <v/>
      </c>
      <c r="H5021">
        <f>IF(OR(H5020=1,G5021=1),1,0)</f>
        <v/>
      </c>
      <c r="I5021">
        <f>IF(H5020=0,1,SUMPRODUCT(J5020:N5020,B5021:F5021)+O5020*(1+0.00023125256064071564))</f>
        <v/>
      </c>
      <c r="J5021">
        <f>IF(G5021=1,0.2*R5021/B5021,J5020)</f>
        <v/>
      </c>
      <c r="K5021">
        <f>IF(G5021=1,0.2*R5021/C5021,K5020)</f>
        <v/>
      </c>
      <c r="L5021">
        <f>IF(G5021=1,0.2*R5021/D5021,L5020)</f>
        <v/>
      </c>
      <c r="M5021">
        <f>IF(G5021=1,0.2*R5021/E5021,M5020)</f>
        <v/>
      </c>
      <c r="N5021">
        <f>IF(G5021=1,0.2*R5021/F5021,N5020)</f>
        <v/>
      </c>
      <c r="O5021">
        <f>IF(G5021=1,R5021*(1-1.0),IF(H5020=0,1,O5020*(1+0.00023125256064071564)))</f>
        <v/>
      </c>
      <c r="P5021">
        <f>IF(G5021=1,IF(H5020=0,1,ABS(0.2-J5020*B5021/I5021)+ABS(0.2-K5020*C5021/I5021)+ABS(0.2-L5020*D5021/I5021)+ABS(0.2-M5020*E5021/I5021)+ABS(0.2-N5020*F5021/I5021)),0)</f>
        <v/>
      </c>
      <c r="Q5021">
        <f>P5021*0.0015</f>
        <v/>
      </c>
      <c r="R5021">
        <f>I5021*(1-Q5021)</f>
        <v/>
      </c>
      <c r="S5021">
        <f>R5021/R5020-1</f>
        <v/>
      </c>
      <c r="T5021">
        <f>MAX(T5020,R5021)</f>
        <v/>
      </c>
      <c r="U5021">
        <f>R5021/T5021-1</f>
        <v/>
      </c>
      <c r="V5021" t="n">
        <v>29.52519363940691</v>
      </c>
      <c r="W5021" s="5">
        <f>R5021-V5021</f>
        <v/>
      </c>
    </row>
    <row r="5022">
      <c r="A5022" s="3" t="n">
        <v>45835</v>
      </c>
      <c r="B5022">
        <f>Prices!B5022</f>
        <v/>
      </c>
      <c r="C5022">
        <f>Prices!C5022</f>
        <v/>
      </c>
      <c r="D5022">
        <f>Prices!D5022</f>
        <v/>
      </c>
      <c r="E5022">
        <f>Prices!E5022</f>
        <v/>
      </c>
      <c r="F5022">
        <f>Prices!F5022</f>
        <v/>
      </c>
      <c r="G5022">
        <f>IF(AND(5020&gt;=16,TEXT(A5022,"yyyy-mm")&lt;&gt;TEXT(A5023,"yyyy-mm")),1,0)</f>
        <v/>
      </c>
      <c r="H5022">
        <f>IF(OR(H5021=1,G5022=1),1,0)</f>
        <v/>
      </c>
      <c r="I5022">
        <f>IF(H5021=0,1,SUMPRODUCT(J5021:N5021,B5022:F5022)+O5021*(1+0.00023125256064071564))</f>
        <v/>
      </c>
      <c r="J5022">
        <f>IF(G5022=1,0.2*R5022/B5022,J5021)</f>
        <v/>
      </c>
      <c r="K5022">
        <f>IF(G5022=1,0.2*R5022/C5022,K5021)</f>
        <v/>
      </c>
      <c r="L5022">
        <f>IF(G5022=1,0.2*R5022/D5022,L5021)</f>
        <v/>
      </c>
      <c r="M5022">
        <f>IF(G5022=1,0.2*R5022/E5022,M5021)</f>
        <v/>
      </c>
      <c r="N5022">
        <f>IF(G5022=1,0.2*R5022/F5022,N5021)</f>
        <v/>
      </c>
      <c r="O5022">
        <f>IF(G5022=1,R5022*(1-1.0),IF(H5021=0,1,O5021*(1+0.00023125256064071564)))</f>
        <v/>
      </c>
      <c r="P5022">
        <f>IF(G5022=1,IF(H5021=0,1,ABS(0.2-J5021*B5022/I5022)+ABS(0.2-K5021*C5022/I5022)+ABS(0.2-L5021*D5022/I5022)+ABS(0.2-M5021*E5022/I5022)+ABS(0.2-N5021*F5022/I5022)),0)</f>
        <v/>
      </c>
      <c r="Q5022">
        <f>P5022*0.0015</f>
        <v/>
      </c>
      <c r="R5022">
        <f>I5022*(1-Q5022)</f>
        <v/>
      </c>
      <c r="S5022">
        <f>R5022/R5021-1</f>
        <v/>
      </c>
      <c r="T5022">
        <f>MAX(T5021,R5022)</f>
        <v/>
      </c>
      <c r="U5022">
        <f>R5022/T5022-1</f>
        <v/>
      </c>
      <c r="V5022" t="n">
        <v>29.60216026664375</v>
      </c>
      <c r="W5022" s="5">
        <f>R5022-V5022</f>
        <v/>
      </c>
    </row>
    <row r="5023">
      <c r="A5023" s="3" t="n">
        <v>45838</v>
      </c>
      <c r="B5023">
        <f>Prices!B5023</f>
        <v/>
      </c>
      <c r="C5023">
        <f>Prices!C5023</f>
        <v/>
      </c>
      <c r="D5023">
        <f>Prices!D5023</f>
        <v/>
      </c>
      <c r="E5023">
        <f>Prices!E5023</f>
        <v/>
      </c>
      <c r="F5023">
        <f>Prices!F5023</f>
        <v/>
      </c>
      <c r="G5023">
        <f>IF(AND(5021&gt;=16,TEXT(A5023,"yyyy-mm")&lt;&gt;TEXT(A5024,"yyyy-mm")),1,0)</f>
        <v/>
      </c>
      <c r="H5023">
        <f>IF(OR(H5022=1,G5023=1),1,0)</f>
        <v/>
      </c>
      <c r="I5023">
        <f>IF(H5022=0,1,SUMPRODUCT(J5022:N5022,B5023:F5023)+O5022*(1+0.00023125256064071564))</f>
        <v/>
      </c>
      <c r="J5023">
        <f>IF(G5023=1,0.2*R5023/B5023,J5022)</f>
        <v/>
      </c>
      <c r="K5023">
        <f>IF(G5023=1,0.2*R5023/C5023,K5022)</f>
        <v/>
      </c>
      <c r="L5023">
        <f>IF(G5023=1,0.2*R5023/D5023,L5022)</f>
        <v/>
      </c>
      <c r="M5023">
        <f>IF(G5023=1,0.2*R5023/E5023,M5022)</f>
        <v/>
      </c>
      <c r="N5023">
        <f>IF(G5023=1,0.2*R5023/F5023,N5022)</f>
        <v/>
      </c>
      <c r="O5023">
        <f>IF(G5023=1,R5023*(1-1.0),IF(H5022=0,1,O5022*(1+0.00023125256064071564)))</f>
        <v/>
      </c>
      <c r="P5023">
        <f>IF(G5023=1,IF(H5022=0,1,ABS(0.2-J5022*B5023/I5023)+ABS(0.2-K5022*C5023/I5023)+ABS(0.2-L5022*D5023/I5023)+ABS(0.2-M5022*E5023/I5023)+ABS(0.2-N5022*F5023/I5023)),0)</f>
        <v/>
      </c>
      <c r="Q5023">
        <f>P5023*0.0015</f>
        <v/>
      </c>
      <c r="R5023">
        <f>I5023*(1-Q5023)</f>
        <v/>
      </c>
      <c r="S5023">
        <f>R5023/R5022-1</f>
        <v/>
      </c>
      <c r="T5023">
        <f>MAX(T5022,R5023)</f>
        <v/>
      </c>
      <c r="U5023">
        <f>R5023/T5023-1</f>
        <v/>
      </c>
      <c r="V5023" t="n">
        <v>29.72214994955379</v>
      </c>
      <c r="W5023" s="5">
        <f>R5023-V5023</f>
        <v/>
      </c>
    </row>
    <row r="5024">
      <c r="A5024" s="3" t="n">
        <v>45839</v>
      </c>
      <c r="B5024">
        <f>Prices!B5024</f>
        <v/>
      </c>
      <c r="C5024">
        <f>Prices!C5024</f>
        <v/>
      </c>
      <c r="D5024">
        <f>Prices!D5024</f>
        <v/>
      </c>
      <c r="E5024">
        <f>Prices!E5024</f>
        <v/>
      </c>
      <c r="F5024">
        <f>Prices!F5024</f>
        <v/>
      </c>
      <c r="G5024">
        <f>IF(AND(5022&gt;=16,TEXT(A5024,"yyyy-mm")&lt;&gt;TEXT(A5025,"yyyy-mm")),1,0)</f>
        <v/>
      </c>
      <c r="H5024">
        <f>IF(OR(H5023=1,G5024=1),1,0)</f>
        <v/>
      </c>
      <c r="I5024">
        <f>IF(H5023=0,1,SUMPRODUCT(J5023:N5023,B5024:F5024)+O5023*(1+0.00023125256064071564))</f>
        <v/>
      </c>
      <c r="J5024">
        <f>IF(G5024=1,0.2*R5024/B5024,J5023)</f>
        <v/>
      </c>
      <c r="K5024">
        <f>IF(G5024=1,0.2*R5024/C5024,K5023)</f>
        <v/>
      </c>
      <c r="L5024">
        <f>IF(G5024=1,0.2*R5024/D5024,L5023)</f>
        <v/>
      </c>
      <c r="M5024">
        <f>IF(G5024=1,0.2*R5024/E5024,M5023)</f>
        <v/>
      </c>
      <c r="N5024">
        <f>IF(G5024=1,0.2*R5024/F5024,N5023)</f>
        <v/>
      </c>
      <c r="O5024">
        <f>IF(G5024=1,R5024*(1-1.0),IF(H5023=0,1,O5023*(1+0.00023125256064071564)))</f>
        <v/>
      </c>
      <c r="P5024">
        <f>IF(G5024=1,IF(H5023=0,1,ABS(0.2-J5023*B5024/I5024)+ABS(0.2-K5023*C5024/I5024)+ABS(0.2-L5023*D5024/I5024)+ABS(0.2-M5023*E5024/I5024)+ABS(0.2-N5023*F5024/I5024)),0)</f>
        <v/>
      </c>
      <c r="Q5024">
        <f>P5024*0.0015</f>
        <v/>
      </c>
      <c r="R5024">
        <f>I5024*(1-Q5024)</f>
        <v/>
      </c>
      <c r="S5024">
        <f>R5024/R5023-1</f>
        <v/>
      </c>
      <c r="T5024">
        <f>MAX(T5023,R5024)</f>
        <v/>
      </c>
      <c r="U5024">
        <f>R5024/T5024-1</f>
        <v/>
      </c>
      <c r="V5024" t="n">
        <v>29.65636314080848</v>
      </c>
      <c r="W5024" s="5">
        <f>R5024-V5024</f>
        <v/>
      </c>
    </row>
    <row r="5025">
      <c r="A5025" s="3" t="n">
        <v>45840</v>
      </c>
      <c r="B5025">
        <f>Prices!B5025</f>
        <v/>
      </c>
      <c r="C5025">
        <f>Prices!C5025</f>
        <v/>
      </c>
      <c r="D5025">
        <f>Prices!D5025</f>
        <v/>
      </c>
      <c r="E5025">
        <f>Prices!E5025</f>
        <v/>
      </c>
      <c r="F5025">
        <f>Prices!F5025</f>
        <v/>
      </c>
      <c r="G5025">
        <f>IF(AND(5023&gt;=16,TEXT(A5025,"yyyy-mm")&lt;&gt;TEXT(A5026,"yyyy-mm")),1,0)</f>
        <v/>
      </c>
      <c r="H5025">
        <f>IF(OR(H5024=1,G5025=1),1,0)</f>
        <v/>
      </c>
      <c r="I5025">
        <f>IF(H5024=0,1,SUMPRODUCT(J5024:N5024,B5025:F5025)+O5024*(1+0.00023125256064071564))</f>
        <v/>
      </c>
      <c r="J5025">
        <f>IF(G5025=1,0.2*R5025/B5025,J5024)</f>
        <v/>
      </c>
      <c r="K5025">
        <f>IF(G5025=1,0.2*R5025/C5025,K5024)</f>
        <v/>
      </c>
      <c r="L5025">
        <f>IF(G5025=1,0.2*R5025/D5025,L5024)</f>
        <v/>
      </c>
      <c r="M5025">
        <f>IF(G5025=1,0.2*R5025/E5025,M5024)</f>
        <v/>
      </c>
      <c r="N5025">
        <f>IF(G5025=1,0.2*R5025/F5025,N5024)</f>
        <v/>
      </c>
      <c r="O5025">
        <f>IF(G5025=1,R5025*(1-1.0),IF(H5024=0,1,O5024*(1+0.00023125256064071564)))</f>
        <v/>
      </c>
      <c r="P5025">
        <f>IF(G5025=1,IF(H5024=0,1,ABS(0.2-J5024*B5025/I5025)+ABS(0.2-K5024*C5025/I5025)+ABS(0.2-L5024*D5025/I5025)+ABS(0.2-M5024*E5025/I5025)+ABS(0.2-N5024*F5025/I5025)),0)</f>
        <v/>
      </c>
      <c r="Q5025">
        <f>P5025*0.0015</f>
        <v/>
      </c>
      <c r="R5025">
        <f>I5025*(1-Q5025)</f>
        <v/>
      </c>
      <c r="S5025">
        <f>R5025/R5024-1</f>
        <v/>
      </c>
      <c r="T5025">
        <f>MAX(T5024,R5025)</f>
        <v/>
      </c>
      <c r="U5025">
        <f>R5025/T5025-1</f>
        <v/>
      </c>
      <c r="V5025" t="n">
        <v>29.53796036864477</v>
      </c>
      <c r="W5025" s="5">
        <f>R5025-V5025</f>
        <v/>
      </c>
    </row>
    <row r="5026">
      <c r="A5026" s="3" t="n">
        <v>45841</v>
      </c>
      <c r="B5026">
        <f>Prices!B5026</f>
        <v/>
      </c>
      <c r="C5026">
        <f>Prices!C5026</f>
        <v/>
      </c>
      <c r="D5026">
        <f>Prices!D5026</f>
        <v/>
      </c>
      <c r="E5026">
        <f>Prices!E5026</f>
        <v/>
      </c>
      <c r="F5026">
        <f>Prices!F5026</f>
        <v/>
      </c>
      <c r="G5026">
        <f>IF(AND(5024&gt;=16,TEXT(A5026,"yyyy-mm")&lt;&gt;TEXT(A5027,"yyyy-mm")),1,0)</f>
        <v/>
      </c>
      <c r="H5026">
        <f>IF(OR(H5025=1,G5026=1),1,0)</f>
        <v/>
      </c>
      <c r="I5026">
        <f>IF(H5025=0,1,SUMPRODUCT(J5025:N5025,B5026:F5026)+O5025*(1+0.00023125256064071564))</f>
        <v/>
      </c>
      <c r="J5026">
        <f>IF(G5026=1,0.2*R5026/B5026,J5025)</f>
        <v/>
      </c>
      <c r="K5026">
        <f>IF(G5026=1,0.2*R5026/C5026,K5025)</f>
        <v/>
      </c>
      <c r="L5026">
        <f>IF(G5026=1,0.2*R5026/D5026,L5025)</f>
        <v/>
      </c>
      <c r="M5026">
        <f>IF(G5026=1,0.2*R5026/E5026,M5025)</f>
        <v/>
      </c>
      <c r="N5026">
        <f>IF(G5026=1,0.2*R5026/F5026,N5025)</f>
        <v/>
      </c>
      <c r="O5026">
        <f>IF(G5026=1,R5026*(1-1.0),IF(H5025=0,1,O5025*(1+0.00023125256064071564)))</f>
        <v/>
      </c>
      <c r="P5026">
        <f>IF(G5026=1,IF(H5025=0,1,ABS(0.2-J5025*B5026/I5026)+ABS(0.2-K5025*C5026/I5026)+ABS(0.2-L5025*D5026/I5026)+ABS(0.2-M5025*E5026/I5026)+ABS(0.2-N5025*F5026/I5026)),0)</f>
        <v/>
      </c>
      <c r="Q5026">
        <f>P5026*0.0015</f>
        <v/>
      </c>
      <c r="R5026">
        <f>I5026*(1-Q5026)</f>
        <v/>
      </c>
      <c r="S5026">
        <f>R5026/R5025-1</f>
        <v/>
      </c>
      <c r="T5026">
        <f>MAX(T5025,R5026)</f>
        <v/>
      </c>
      <c r="U5026">
        <f>R5026/T5026-1</f>
        <v/>
      </c>
      <c r="V5026" t="n">
        <v>29.51895543268979</v>
      </c>
      <c r="W5026" s="5">
        <f>R5026-V5026</f>
        <v/>
      </c>
    </row>
    <row r="5027">
      <c r="A5027" s="3" t="n">
        <v>45842</v>
      </c>
      <c r="B5027">
        <f>Prices!B5027</f>
        <v/>
      </c>
      <c r="C5027">
        <f>Prices!C5027</f>
        <v/>
      </c>
      <c r="D5027">
        <f>Prices!D5027</f>
        <v/>
      </c>
      <c r="E5027">
        <f>Prices!E5027</f>
        <v/>
      </c>
      <c r="F5027">
        <f>Prices!F5027</f>
        <v/>
      </c>
      <c r="G5027">
        <f>IF(AND(5025&gt;=16,TEXT(A5027,"yyyy-mm")&lt;&gt;TEXT(A5028,"yyyy-mm")),1,0)</f>
        <v/>
      </c>
      <c r="H5027">
        <f>IF(OR(H5026=1,G5027=1),1,0)</f>
        <v/>
      </c>
      <c r="I5027">
        <f>IF(H5026=0,1,SUMPRODUCT(J5026:N5026,B5027:F5027)+O5026*(1+0.00023125256064071564))</f>
        <v/>
      </c>
      <c r="J5027">
        <f>IF(G5027=1,0.2*R5027/B5027,J5026)</f>
        <v/>
      </c>
      <c r="K5027">
        <f>IF(G5027=1,0.2*R5027/C5027,K5026)</f>
        <v/>
      </c>
      <c r="L5027">
        <f>IF(G5027=1,0.2*R5027/D5027,L5026)</f>
        <v/>
      </c>
      <c r="M5027">
        <f>IF(G5027=1,0.2*R5027/E5027,M5026)</f>
        <v/>
      </c>
      <c r="N5027">
        <f>IF(G5027=1,0.2*R5027/F5027,N5026)</f>
        <v/>
      </c>
      <c r="O5027">
        <f>IF(G5027=1,R5027*(1-1.0),IF(H5026=0,1,O5026*(1+0.00023125256064071564)))</f>
        <v/>
      </c>
      <c r="P5027">
        <f>IF(G5027=1,IF(H5026=0,1,ABS(0.2-J5026*B5027/I5027)+ABS(0.2-K5026*C5027/I5027)+ABS(0.2-L5026*D5027/I5027)+ABS(0.2-M5026*E5027/I5027)+ABS(0.2-N5026*F5027/I5027)),0)</f>
        <v/>
      </c>
      <c r="Q5027">
        <f>P5027*0.0015</f>
        <v/>
      </c>
      <c r="R5027">
        <f>I5027*(1-Q5027)</f>
        <v/>
      </c>
      <c r="S5027">
        <f>R5027/R5026-1</f>
        <v/>
      </c>
      <c r="T5027">
        <f>MAX(T5026,R5027)</f>
        <v/>
      </c>
      <c r="U5027">
        <f>R5027/T5027-1</f>
        <v/>
      </c>
      <c r="V5027" t="n">
        <v>29.52820473105503</v>
      </c>
      <c r="W5027" s="5">
        <f>R5027-V5027</f>
        <v/>
      </c>
    </row>
    <row r="5028">
      <c r="A5028" s="3" t="n">
        <v>45845</v>
      </c>
      <c r="B5028">
        <f>Prices!B5028</f>
        <v/>
      </c>
      <c r="C5028">
        <f>Prices!C5028</f>
        <v/>
      </c>
      <c r="D5028">
        <f>Prices!D5028</f>
        <v/>
      </c>
      <c r="E5028">
        <f>Prices!E5028</f>
        <v/>
      </c>
      <c r="F5028">
        <f>Prices!F5028</f>
        <v/>
      </c>
      <c r="G5028">
        <f>IF(AND(5026&gt;=16,TEXT(A5028,"yyyy-mm")&lt;&gt;TEXT(A5029,"yyyy-mm")),1,0)</f>
        <v/>
      </c>
      <c r="H5028">
        <f>IF(OR(H5027=1,G5028=1),1,0)</f>
        <v/>
      </c>
      <c r="I5028">
        <f>IF(H5027=0,1,SUMPRODUCT(J5027:N5027,B5028:F5028)+O5027*(1+0.00023125256064071564))</f>
        <v/>
      </c>
      <c r="J5028">
        <f>IF(G5028=1,0.2*R5028/B5028,J5027)</f>
        <v/>
      </c>
      <c r="K5028">
        <f>IF(G5028=1,0.2*R5028/C5028,K5027)</f>
        <v/>
      </c>
      <c r="L5028">
        <f>IF(G5028=1,0.2*R5028/D5028,L5027)</f>
        <v/>
      </c>
      <c r="M5028">
        <f>IF(G5028=1,0.2*R5028/E5028,M5027)</f>
        <v/>
      </c>
      <c r="N5028">
        <f>IF(G5028=1,0.2*R5028/F5028,N5027)</f>
        <v/>
      </c>
      <c r="O5028">
        <f>IF(G5028=1,R5028*(1-1.0),IF(H5027=0,1,O5027*(1+0.00023125256064071564)))</f>
        <v/>
      </c>
      <c r="P5028">
        <f>IF(G5028=1,IF(H5027=0,1,ABS(0.2-J5027*B5028/I5028)+ABS(0.2-K5027*C5028/I5028)+ABS(0.2-L5027*D5028/I5028)+ABS(0.2-M5027*E5028/I5028)+ABS(0.2-N5027*F5028/I5028)),0)</f>
        <v/>
      </c>
      <c r="Q5028">
        <f>P5028*0.0015</f>
        <v/>
      </c>
      <c r="R5028">
        <f>I5028*(1-Q5028)</f>
        <v/>
      </c>
      <c r="S5028">
        <f>R5028/R5027-1</f>
        <v/>
      </c>
      <c r="T5028">
        <f>MAX(T5027,R5028)</f>
        <v/>
      </c>
      <c r="U5028">
        <f>R5028/T5028-1</f>
        <v/>
      </c>
      <c r="V5028" t="n">
        <v>29.4847858990569</v>
      </c>
      <c r="W5028" s="5">
        <f>R5028-V5028</f>
        <v/>
      </c>
    </row>
    <row r="5029">
      <c r="A5029" s="3" t="n">
        <v>45846</v>
      </c>
      <c r="B5029">
        <f>Prices!B5029</f>
        <v/>
      </c>
      <c r="C5029">
        <f>Prices!C5029</f>
        <v/>
      </c>
      <c r="D5029">
        <f>Prices!D5029</f>
        <v/>
      </c>
      <c r="E5029">
        <f>Prices!E5029</f>
        <v/>
      </c>
      <c r="F5029">
        <f>Prices!F5029</f>
        <v/>
      </c>
      <c r="G5029">
        <f>IF(AND(5027&gt;=16,TEXT(A5029,"yyyy-mm")&lt;&gt;TEXT(A5030,"yyyy-mm")),1,0)</f>
        <v/>
      </c>
      <c r="H5029">
        <f>IF(OR(H5028=1,G5029=1),1,0)</f>
        <v/>
      </c>
      <c r="I5029">
        <f>IF(H5028=0,1,SUMPRODUCT(J5028:N5028,B5029:F5029)+O5028*(1+0.00023125256064071564))</f>
        <v/>
      </c>
      <c r="J5029">
        <f>IF(G5029=1,0.2*R5029/B5029,J5028)</f>
        <v/>
      </c>
      <c r="K5029">
        <f>IF(G5029=1,0.2*R5029/C5029,K5028)</f>
        <v/>
      </c>
      <c r="L5029">
        <f>IF(G5029=1,0.2*R5029/D5029,L5028)</f>
        <v/>
      </c>
      <c r="M5029">
        <f>IF(G5029=1,0.2*R5029/E5029,M5028)</f>
        <v/>
      </c>
      <c r="N5029">
        <f>IF(G5029=1,0.2*R5029/F5029,N5028)</f>
        <v/>
      </c>
      <c r="O5029">
        <f>IF(G5029=1,R5029*(1-1.0),IF(H5028=0,1,O5028*(1+0.00023125256064071564)))</f>
        <v/>
      </c>
      <c r="P5029">
        <f>IF(G5029=1,IF(H5028=0,1,ABS(0.2-J5028*B5029/I5029)+ABS(0.2-K5028*C5029/I5029)+ABS(0.2-L5028*D5029/I5029)+ABS(0.2-M5028*E5029/I5029)+ABS(0.2-N5028*F5029/I5029)),0)</f>
        <v/>
      </c>
      <c r="Q5029">
        <f>P5029*0.0015</f>
        <v/>
      </c>
      <c r="R5029">
        <f>I5029*(1-Q5029)</f>
        <v/>
      </c>
      <c r="S5029">
        <f>R5029/R5028-1</f>
        <v/>
      </c>
      <c r="T5029">
        <f>MAX(T5028,R5029)</f>
        <v/>
      </c>
      <c r="U5029">
        <f>R5029/T5029-1</f>
        <v/>
      </c>
      <c r="V5029" t="n">
        <v>29.41777200773469</v>
      </c>
      <c r="W5029" s="5">
        <f>R5029-V5029</f>
        <v/>
      </c>
    </row>
    <row r="5030">
      <c r="A5030" s="3" t="n">
        <v>45847</v>
      </c>
      <c r="B5030">
        <f>Prices!B5030</f>
        <v/>
      </c>
      <c r="C5030">
        <f>Prices!C5030</f>
        <v/>
      </c>
      <c r="D5030">
        <f>Prices!D5030</f>
        <v/>
      </c>
      <c r="E5030">
        <f>Prices!E5030</f>
        <v/>
      </c>
      <c r="F5030">
        <f>Prices!F5030</f>
        <v/>
      </c>
      <c r="G5030">
        <f>IF(AND(5028&gt;=16,TEXT(A5030,"yyyy-mm")&lt;&gt;TEXT(A5031,"yyyy-mm")),1,0)</f>
        <v/>
      </c>
      <c r="H5030">
        <f>IF(OR(H5029=1,G5030=1),1,0)</f>
        <v/>
      </c>
      <c r="I5030">
        <f>IF(H5029=0,1,SUMPRODUCT(J5029:N5029,B5030:F5030)+O5029*(1+0.00023125256064071564))</f>
        <v/>
      </c>
      <c r="J5030">
        <f>IF(G5030=1,0.2*R5030/B5030,J5029)</f>
        <v/>
      </c>
      <c r="K5030">
        <f>IF(G5030=1,0.2*R5030/C5030,K5029)</f>
        <v/>
      </c>
      <c r="L5030">
        <f>IF(G5030=1,0.2*R5030/D5030,L5029)</f>
        <v/>
      </c>
      <c r="M5030">
        <f>IF(G5030=1,0.2*R5030/E5030,M5029)</f>
        <v/>
      </c>
      <c r="N5030">
        <f>IF(G5030=1,0.2*R5030/F5030,N5029)</f>
        <v/>
      </c>
      <c r="O5030">
        <f>IF(G5030=1,R5030*(1-1.0),IF(H5029=0,1,O5029*(1+0.00023125256064071564)))</f>
        <v/>
      </c>
      <c r="P5030">
        <f>IF(G5030=1,IF(H5029=0,1,ABS(0.2-J5029*B5030/I5030)+ABS(0.2-K5029*C5030/I5030)+ABS(0.2-L5029*D5030/I5030)+ABS(0.2-M5029*E5030/I5030)+ABS(0.2-N5029*F5030/I5030)),0)</f>
        <v/>
      </c>
      <c r="Q5030">
        <f>P5030*0.0015</f>
        <v/>
      </c>
      <c r="R5030">
        <f>I5030*(1-Q5030)</f>
        <v/>
      </c>
      <c r="S5030">
        <f>R5030/R5029-1</f>
        <v/>
      </c>
      <c r="T5030">
        <f>MAX(T5029,R5030)</f>
        <v/>
      </c>
      <c r="U5030">
        <f>R5030/T5030-1</f>
        <v/>
      </c>
      <c r="V5030" t="n">
        <v>29.45604100201174</v>
      </c>
      <c r="W5030" s="5">
        <f>R5030-V5030</f>
        <v/>
      </c>
    </row>
    <row r="5031">
      <c r="A5031" s="3" t="n">
        <v>45848</v>
      </c>
      <c r="B5031">
        <f>Prices!B5031</f>
        <v/>
      </c>
      <c r="C5031">
        <f>Prices!C5031</f>
        <v/>
      </c>
      <c r="D5031">
        <f>Prices!D5031</f>
        <v/>
      </c>
      <c r="E5031">
        <f>Prices!E5031</f>
        <v/>
      </c>
      <c r="F5031">
        <f>Prices!F5031</f>
        <v/>
      </c>
      <c r="G5031">
        <f>IF(AND(5029&gt;=16,TEXT(A5031,"yyyy-mm")&lt;&gt;TEXT(A5032,"yyyy-mm")),1,0)</f>
        <v/>
      </c>
      <c r="H5031">
        <f>IF(OR(H5030=1,G5031=1),1,0)</f>
        <v/>
      </c>
      <c r="I5031">
        <f>IF(H5030=0,1,SUMPRODUCT(J5030:N5030,B5031:F5031)+O5030*(1+0.00023125256064071564))</f>
        <v/>
      </c>
      <c r="J5031">
        <f>IF(G5031=1,0.2*R5031/B5031,J5030)</f>
        <v/>
      </c>
      <c r="K5031">
        <f>IF(G5031=1,0.2*R5031/C5031,K5030)</f>
        <v/>
      </c>
      <c r="L5031">
        <f>IF(G5031=1,0.2*R5031/D5031,L5030)</f>
        <v/>
      </c>
      <c r="M5031">
        <f>IF(G5031=1,0.2*R5031/E5031,M5030)</f>
        <v/>
      </c>
      <c r="N5031">
        <f>IF(G5031=1,0.2*R5031/F5031,N5030)</f>
        <v/>
      </c>
      <c r="O5031">
        <f>IF(G5031=1,R5031*(1-1.0),IF(H5030=0,1,O5030*(1+0.00023125256064071564)))</f>
        <v/>
      </c>
      <c r="P5031">
        <f>IF(G5031=1,IF(H5030=0,1,ABS(0.2-J5030*B5031/I5031)+ABS(0.2-K5030*C5031/I5031)+ABS(0.2-L5030*D5031/I5031)+ABS(0.2-M5030*E5031/I5031)+ABS(0.2-N5030*F5031/I5031)),0)</f>
        <v/>
      </c>
      <c r="Q5031">
        <f>P5031*0.0015</f>
        <v/>
      </c>
      <c r="R5031">
        <f>I5031*(1-Q5031)</f>
        <v/>
      </c>
      <c r="S5031">
        <f>R5031/R5030-1</f>
        <v/>
      </c>
      <c r="T5031">
        <f>MAX(T5030,R5031)</f>
        <v/>
      </c>
      <c r="U5031">
        <f>R5031/T5031-1</f>
        <v/>
      </c>
      <c r="V5031" t="n">
        <v>29.33579721689848</v>
      </c>
      <c r="W5031" s="5">
        <f>R5031-V5031</f>
        <v/>
      </c>
    </row>
    <row r="5032">
      <c r="A5032" s="3" t="n">
        <v>45849</v>
      </c>
      <c r="B5032">
        <f>Prices!B5032</f>
        <v/>
      </c>
      <c r="C5032">
        <f>Prices!C5032</f>
        <v/>
      </c>
      <c r="D5032">
        <f>Prices!D5032</f>
        <v/>
      </c>
      <c r="E5032">
        <f>Prices!E5032</f>
        <v/>
      </c>
      <c r="F5032">
        <f>Prices!F5032</f>
        <v/>
      </c>
      <c r="G5032">
        <f>IF(AND(5030&gt;=16,TEXT(A5032,"yyyy-mm")&lt;&gt;TEXT(A5033,"yyyy-mm")),1,0)</f>
        <v/>
      </c>
      <c r="H5032">
        <f>IF(OR(H5031=1,G5032=1),1,0)</f>
        <v/>
      </c>
      <c r="I5032">
        <f>IF(H5031=0,1,SUMPRODUCT(J5031:N5031,B5032:F5032)+O5031*(1+0.00023125256064071564))</f>
        <v/>
      </c>
      <c r="J5032">
        <f>IF(G5032=1,0.2*R5032/B5032,J5031)</f>
        <v/>
      </c>
      <c r="K5032">
        <f>IF(G5032=1,0.2*R5032/C5032,K5031)</f>
        <v/>
      </c>
      <c r="L5032">
        <f>IF(G5032=1,0.2*R5032/D5032,L5031)</f>
        <v/>
      </c>
      <c r="M5032">
        <f>IF(G5032=1,0.2*R5032/E5032,M5031)</f>
        <v/>
      </c>
      <c r="N5032">
        <f>IF(G5032=1,0.2*R5032/F5032,N5031)</f>
        <v/>
      </c>
      <c r="O5032">
        <f>IF(G5032=1,R5032*(1-1.0),IF(H5031=0,1,O5031*(1+0.00023125256064071564)))</f>
        <v/>
      </c>
      <c r="P5032">
        <f>IF(G5032=1,IF(H5031=0,1,ABS(0.2-J5031*B5032/I5032)+ABS(0.2-K5031*C5032/I5032)+ABS(0.2-L5031*D5032/I5032)+ABS(0.2-M5031*E5032/I5032)+ABS(0.2-N5031*F5032/I5032)),0)</f>
        <v/>
      </c>
      <c r="Q5032">
        <f>P5032*0.0015</f>
        <v/>
      </c>
      <c r="R5032">
        <f>I5032*(1-Q5032)</f>
        <v/>
      </c>
      <c r="S5032">
        <f>R5032/R5031-1</f>
        <v/>
      </c>
      <c r="T5032">
        <f>MAX(T5031,R5032)</f>
        <v/>
      </c>
      <c r="U5032">
        <f>R5032/T5032-1</f>
        <v/>
      </c>
      <c r="V5032" t="n">
        <v>29.07579537841839</v>
      </c>
      <c r="W5032" s="5">
        <f>R5032-V5032</f>
        <v/>
      </c>
    </row>
    <row r="5033">
      <c r="A5033" s="3" t="n">
        <v>45852</v>
      </c>
      <c r="B5033">
        <f>Prices!B5033</f>
        <v/>
      </c>
      <c r="C5033">
        <f>Prices!C5033</f>
        <v/>
      </c>
      <c r="D5033">
        <f>Prices!D5033</f>
        <v/>
      </c>
      <c r="E5033">
        <f>Prices!E5033</f>
        <v/>
      </c>
      <c r="F5033">
        <f>Prices!F5033</f>
        <v/>
      </c>
      <c r="G5033">
        <f>IF(AND(5031&gt;=16,TEXT(A5033,"yyyy-mm")&lt;&gt;TEXT(A5034,"yyyy-mm")),1,0)</f>
        <v/>
      </c>
      <c r="H5033">
        <f>IF(OR(H5032=1,G5033=1),1,0)</f>
        <v/>
      </c>
      <c r="I5033">
        <f>IF(H5032=0,1,SUMPRODUCT(J5032:N5032,B5033:F5033)+O5032*(1+0.00023125256064071564))</f>
        <v/>
      </c>
      <c r="J5033">
        <f>IF(G5033=1,0.2*R5033/B5033,J5032)</f>
        <v/>
      </c>
      <c r="K5033">
        <f>IF(G5033=1,0.2*R5033/C5033,K5032)</f>
        <v/>
      </c>
      <c r="L5033">
        <f>IF(G5033=1,0.2*R5033/D5033,L5032)</f>
        <v/>
      </c>
      <c r="M5033">
        <f>IF(G5033=1,0.2*R5033/E5033,M5032)</f>
        <v/>
      </c>
      <c r="N5033">
        <f>IF(G5033=1,0.2*R5033/F5033,N5032)</f>
        <v/>
      </c>
      <c r="O5033">
        <f>IF(G5033=1,R5033*(1-1.0),IF(H5032=0,1,O5032*(1+0.00023125256064071564)))</f>
        <v/>
      </c>
      <c r="P5033">
        <f>IF(G5033=1,IF(H5032=0,1,ABS(0.2-J5032*B5033/I5033)+ABS(0.2-K5032*C5033/I5033)+ABS(0.2-L5032*D5033/I5033)+ABS(0.2-M5032*E5033/I5033)+ABS(0.2-N5032*F5033/I5033)),0)</f>
        <v/>
      </c>
      <c r="Q5033">
        <f>P5033*0.0015</f>
        <v/>
      </c>
      <c r="R5033">
        <f>I5033*(1-Q5033)</f>
        <v/>
      </c>
      <c r="S5033">
        <f>R5033/R5032-1</f>
        <v/>
      </c>
      <c r="T5033">
        <f>MAX(T5032,R5033)</f>
        <v/>
      </c>
      <c r="U5033">
        <f>R5033/T5033-1</f>
        <v/>
      </c>
      <c r="V5033" t="n">
        <v>29.17597130578795</v>
      </c>
      <c r="W5033" s="5">
        <f>R5033-V5033</f>
        <v/>
      </c>
    </row>
    <row r="5034">
      <c r="A5034" s="3" t="n">
        <v>45853</v>
      </c>
      <c r="B5034">
        <f>Prices!B5034</f>
        <v/>
      </c>
      <c r="C5034">
        <f>Prices!C5034</f>
        <v/>
      </c>
      <c r="D5034">
        <f>Prices!D5034</f>
        <v/>
      </c>
      <c r="E5034">
        <f>Prices!E5034</f>
        <v/>
      </c>
      <c r="F5034">
        <f>Prices!F5034</f>
        <v/>
      </c>
      <c r="G5034">
        <f>IF(AND(5032&gt;=16,TEXT(A5034,"yyyy-mm")&lt;&gt;TEXT(A5035,"yyyy-mm")),1,0)</f>
        <v/>
      </c>
      <c r="H5034">
        <f>IF(OR(H5033=1,G5034=1),1,0)</f>
        <v/>
      </c>
      <c r="I5034">
        <f>IF(H5033=0,1,SUMPRODUCT(J5033:N5033,B5034:F5034)+O5033*(1+0.00023125256064071564))</f>
        <v/>
      </c>
      <c r="J5034">
        <f>IF(G5034=1,0.2*R5034/B5034,J5033)</f>
        <v/>
      </c>
      <c r="K5034">
        <f>IF(G5034=1,0.2*R5034/C5034,K5033)</f>
        <v/>
      </c>
      <c r="L5034">
        <f>IF(G5034=1,0.2*R5034/D5034,L5033)</f>
        <v/>
      </c>
      <c r="M5034">
        <f>IF(G5034=1,0.2*R5034/E5034,M5033)</f>
        <v/>
      </c>
      <c r="N5034">
        <f>IF(G5034=1,0.2*R5034/F5034,N5033)</f>
        <v/>
      </c>
      <c r="O5034">
        <f>IF(G5034=1,R5034*(1-1.0),IF(H5033=0,1,O5033*(1+0.00023125256064071564)))</f>
        <v/>
      </c>
      <c r="P5034">
        <f>IF(G5034=1,IF(H5033=0,1,ABS(0.2-J5033*B5034/I5034)+ABS(0.2-K5033*C5034/I5034)+ABS(0.2-L5033*D5034/I5034)+ABS(0.2-M5033*E5034/I5034)+ABS(0.2-N5033*F5034/I5034)),0)</f>
        <v/>
      </c>
      <c r="Q5034">
        <f>P5034*0.0015</f>
        <v/>
      </c>
      <c r="R5034">
        <f>I5034*(1-Q5034)</f>
        <v/>
      </c>
      <c r="S5034">
        <f>R5034/R5033-1</f>
        <v/>
      </c>
      <c r="T5034">
        <f>MAX(T5033,R5034)</f>
        <v/>
      </c>
      <c r="U5034">
        <f>R5034/T5034-1</f>
        <v/>
      </c>
      <c r="V5034" t="n">
        <v>29.38628704595796</v>
      </c>
      <c r="W5034" s="5">
        <f>R5034-V5034</f>
        <v/>
      </c>
    </row>
    <row r="5035">
      <c r="A5035" s="3" t="n">
        <v>45854</v>
      </c>
      <c r="B5035">
        <f>Prices!B5035</f>
        <v/>
      </c>
      <c r="C5035">
        <f>Prices!C5035</f>
        <v/>
      </c>
      <c r="D5035">
        <f>Prices!D5035</f>
        <v/>
      </c>
      <c r="E5035">
        <f>Prices!E5035</f>
        <v/>
      </c>
      <c r="F5035">
        <f>Prices!F5035</f>
        <v/>
      </c>
      <c r="G5035">
        <f>IF(AND(5033&gt;=16,TEXT(A5035,"yyyy-mm")&lt;&gt;TEXT(A5036,"yyyy-mm")),1,0)</f>
        <v/>
      </c>
      <c r="H5035">
        <f>IF(OR(H5034=1,G5035=1),1,0)</f>
        <v/>
      </c>
      <c r="I5035">
        <f>IF(H5034=0,1,SUMPRODUCT(J5034:N5034,B5035:F5035)+O5034*(1+0.00023125256064071564))</f>
        <v/>
      </c>
      <c r="J5035">
        <f>IF(G5035=1,0.2*R5035/B5035,J5034)</f>
        <v/>
      </c>
      <c r="K5035">
        <f>IF(G5035=1,0.2*R5035/C5035,K5034)</f>
        <v/>
      </c>
      <c r="L5035">
        <f>IF(G5035=1,0.2*R5035/D5035,L5034)</f>
        <v/>
      </c>
      <c r="M5035">
        <f>IF(G5035=1,0.2*R5035/E5035,M5034)</f>
        <v/>
      </c>
      <c r="N5035">
        <f>IF(G5035=1,0.2*R5035/F5035,N5034)</f>
        <v/>
      </c>
      <c r="O5035">
        <f>IF(G5035=1,R5035*(1-1.0),IF(H5034=0,1,O5034*(1+0.00023125256064071564)))</f>
        <v/>
      </c>
      <c r="P5035">
        <f>IF(G5035=1,IF(H5034=0,1,ABS(0.2-J5034*B5035/I5035)+ABS(0.2-K5034*C5035/I5035)+ABS(0.2-L5034*D5035/I5035)+ABS(0.2-M5034*E5035/I5035)+ABS(0.2-N5034*F5035/I5035)),0)</f>
        <v/>
      </c>
      <c r="Q5035">
        <f>P5035*0.0015</f>
        <v/>
      </c>
      <c r="R5035">
        <f>I5035*(1-Q5035)</f>
        <v/>
      </c>
      <c r="S5035">
        <f>R5035/R5034-1</f>
        <v/>
      </c>
      <c r="T5035">
        <f>MAX(T5034,R5035)</f>
        <v/>
      </c>
      <c r="U5035">
        <f>R5035/T5035-1</f>
        <v/>
      </c>
      <c r="V5035" t="n">
        <v>29.39608588320936</v>
      </c>
      <c r="W5035" s="5">
        <f>R5035-V5035</f>
        <v/>
      </c>
    </row>
    <row r="5036">
      <c r="A5036" s="3" t="n">
        <v>45855</v>
      </c>
      <c r="B5036">
        <f>Prices!B5036</f>
        <v/>
      </c>
      <c r="C5036">
        <f>Prices!C5036</f>
        <v/>
      </c>
      <c r="D5036">
        <f>Prices!D5036</f>
        <v/>
      </c>
      <c r="E5036">
        <f>Prices!E5036</f>
        <v/>
      </c>
      <c r="F5036">
        <f>Prices!F5036</f>
        <v/>
      </c>
      <c r="G5036">
        <f>IF(AND(5034&gt;=16,TEXT(A5036,"yyyy-mm")&lt;&gt;TEXT(A5037,"yyyy-mm")),1,0)</f>
        <v/>
      </c>
      <c r="H5036">
        <f>IF(OR(H5035=1,G5036=1),1,0)</f>
        <v/>
      </c>
      <c r="I5036">
        <f>IF(H5035=0,1,SUMPRODUCT(J5035:N5035,B5036:F5036)+O5035*(1+0.00023125256064071564))</f>
        <v/>
      </c>
      <c r="J5036">
        <f>IF(G5036=1,0.2*R5036/B5036,J5035)</f>
        <v/>
      </c>
      <c r="K5036">
        <f>IF(G5036=1,0.2*R5036/C5036,K5035)</f>
        <v/>
      </c>
      <c r="L5036">
        <f>IF(G5036=1,0.2*R5036/D5036,L5035)</f>
        <v/>
      </c>
      <c r="M5036">
        <f>IF(G5036=1,0.2*R5036/E5036,M5035)</f>
        <v/>
      </c>
      <c r="N5036">
        <f>IF(G5036=1,0.2*R5036/F5036,N5035)</f>
        <v/>
      </c>
      <c r="O5036">
        <f>IF(G5036=1,R5036*(1-1.0),IF(H5035=0,1,O5035*(1+0.00023125256064071564)))</f>
        <v/>
      </c>
      <c r="P5036">
        <f>IF(G5036=1,IF(H5035=0,1,ABS(0.2-J5035*B5036/I5036)+ABS(0.2-K5035*C5036/I5036)+ABS(0.2-L5035*D5036/I5036)+ABS(0.2-M5035*E5036/I5036)+ABS(0.2-N5035*F5036/I5036)),0)</f>
        <v/>
      </c>
      <c r="Q5036">
        <f>P5036*0.0015</f>
        <v/>
      </c>
      <c r="R5036">
        <f>I5036*(1-Q5036)</f>
        <v/>
      </c>
      <c r="S5036">
        <f>R5036/R5035-1</f>
        <v/>
      </c>
      <c r="T5036">
        <f>MAX(T5035,R5036)</f>
        <v/>
      </c>
      <c r="U5036">
        <f>R5036/T5036-1</f>
        <v/>
      </c>
      <c r="V5036" t="n">
        <v>29.33211323040445</v>
      </c>
      <c r="W5036" s="5">
        <f>R5036-V5036</f>
        <v/>
      </c>
    </row>
    <row r="5037">
      <c r="A5037" s="3" t="n">
        <v>45856</v>
      </c>
      <c r="B5037">
        <f>Prices!B5037</f>
        <v/>
      </c>
      <c r="C5037">
        <f>Prices!C5037</f>
        <v/>
      </c>
      <c r="D5037">
        <f>Prices!D5037</f>
        <v/>
      </c>
      <c r="E5037">
        <f>Prices!E5037</f>
        <v/>
      </c>
      <c r="F5037">
        <f>Prices!F5037</f>
        <v/>
      </c>
      <c r="G5037">
        <f>IF(AND(5035&gt;=16,TEXT(A5037,"yyyy-mm")&lt;&gt;TEXT(A5038,"yyyy-mm")),1,0)</f>
        <v/>
      </c>
      <c r="H5037">
        <f>IF(OR(H5036=1,G5037=1),1,0)</f>
        <v/>
      </c>
      <c r="I5037">
        <f>IF(H5036=0,1,SUMPRODUCT(J5036:N5036,B5037:F5037)+O5036*(1+0.00023125256064071564))</f>
        <v/>
      </c>
      <c r="J5037">
        <f>IF(G5037=1,0.2*R5037/B5037,J5036)</f>
        <v/>
      </c>
      <c r="K5037">
        <f>IF(G5037=1,0.2*R5037/C5037,K5036)</f>
        <v/>
      </c>
      <c r="L5037">
        <f>IF(G5037=1,0.2*R5037/D5037,L5036)</f>
        <v/>
      </c>
      <c r="M5037">
        <f>IF(G5037=1,0.2*R5037/E5037,M5036)</f>
        <v/>
      </c>
      <c r="N5037">
        <f>IF(G5037=1,0.2*R5037/F5037,N5036)</f>
        <v/>
      </c>
      <c r="O5037">
        <f>IF(G5037=1,R5037*(1-1.0),IF(H5036=0,1,O5036*(1+0.00023125256064071564)))</f>
        <v/>
      </c>
      <c r="P5037">
        <f>IF(G5037=1,IF(H5036=0,1,ABS(0.2-J5036*B5037/I5037)+ABS(0.2-K5036*C5037/I5037)+ABS(0.2-L5036*D5037/I5037)+ABS(0.2-M5036*E5037/I5037)+ABS(0.2-N5036*F5037/I5037)),0)</f>
        <v/>
      </c>
      <c r="Q5037">
        <f>P5037*0.0015</f>
        <v/>
      </c>
      <c r="R5037">
        <f>I5037*(1-Q5037)</f>
        <v/>
      </c>
      <c r="S5037">
        <f>R5037/R5036-1</f>
        <v/>
      </c>
      <c r="T5037">
        <f>MAX(T5036,R5037)</f>
        <v/>
      </c>
      <c r="U5037">
        <f>R5037/T5037-1</f>
        <v/>
      </c>
      <c r="V5037" t="n">
        <v>29.16029953461061</v>
      </c>
      <c r="W5037" s="5">
        <f>R5037-V5037</f>
        <v/>
      </c>
    </row>
    <row r="5038">
      <c r="A5038" s="3" t="n">
        <v>45859</v>
      </c>
      <c r="B5038">
        <f>Prices!B5038</f>
        <v/>
      </c>
      <c r="C5038">
        <f>Prices!C5038</f>
        <v/>
      </c>
      <c r="D5038">
        <f>Prices!D5038</f>
        <v/>
      </c>
      <c r="E5038">
        <f>Prices!E5038</f>
        <v/>
      </c>
      <c r="F5038">
        <f>Prices!F5038</f>
        <v/>
      </c>
      <c r="G5038">
        <f>IF(AND(5036&gt;=16,TEXT(A5038,"yyyy-mm")&lt;&gt;TEXT(A5039,"yyyy-mm")),1,0)</f>
        <v/>
      </c>
      <c r="H5038">
        <f>IF(OR(H5037=1,G5038=1),1,0)</f>
        <v/>
      </c>
      <c r="I5038">
        <f>IF(H5037=0,1,SUMPRODUCT(J5037:N5037,B5038:F5038)+O5037*(1+0.00023125256064071564))</f>
        <v/>
      </c>
      <c r="J5038">
        <f>IF(G5038=1,0.2*R5038/B5038,J5037)</f>
        <v/>
      </c>
      <c r="K5038">
        <f>IF(G5038=1,0.2*R5038/C5038,K5037)</f>
        <v/>
      </c>
      <c r="L5038">
        <f>IF(G5038=1,0.2*R5038/D5038,L5037)</f>
        <v/>
      </c>
      <c r="M5038">
        <f>IF(G5038=1,0.2*R5038/E5038,M5037)</f>
        <v/>
      </c>
      <c r="N5038">
        <f>IF(G5038=1,0.2*R5038/F5038,N5037)</f>
        <v/>
      </c>
      <c r="O5038">
        <f>IF(G5038=1,R5038*(1-1.0),IF(H5037=0,1,O5037*(1+0.00023125256064071564)))</f>
        <v/>
      </c>
      <c r="P5038">
        <f>IF(G5038=1,IF(H5037=0,1,ABS(0.2-J5037*B5038/I5038)+ABS(0.2-K5037*C5038/I5038)+ABS(0.2-L5037*D5038/I5038)+ABS(0.2-M5037*E5038/I5038)+ABS(0.2-N5037*F5038/I5038)),0)</f>
        <v/>
      </c>
      <c r="Q5038">
        <f>P5038*0.0015</f>
        <v/>
      </c>
      <c r="R5038">
        <f>I5038*(1-Q5038)</f>
        <v/>
      </c>
      <c r="S5038">
        <f>R5038/R5037-1</f>
        <v/>
      </c>
      <c r="T5038">
        <f>MAX(T5037,R5038)</f>
        <v/>
      </c>
      <c r="U5038">
        <f>R5038/T5038-1</f>
        <v/>
      </c>
      <c r="V5038" t="n">
        <v>29.29374658187754</v>
      </c>
      <c r="W5038" s="5">
        <f>R5038-V5038</f>
        <v/>
      </c>
    </row>
    <row r="5039">
      <c r="A5039" s="3" t="n">
        <v>45860</v>
      </c>
      <c r="B5039">
        <f>Prices!B5039</f>
        <v/>
      </c>
      <c r="C5039">
        <f>Prices!C5039</f>
        <v/>
      </c>
      <c r="D5039">
        <f>Prices!D5039</f>
        <v/>
      </c>
      <c r="E5039">
        <f>Prices!E5039</f>
        <v/>
      </c>
      <c r="F5039">
        <f>Prices!F5039</f>
        <v/>
      </c>
      <c r="G5039">
        <f>IF(AND(5037&gt;=16,TEXT(A5039,"yyyy-mm")&lt;&gt;TEXT(A5040,"yyyy-mm")),1,0)</f>
        <v/>
      </c>
      <c r="H5039">
        <f>IF(OR(H5038=1,G5039=1),1,0)</f>
        <v/>
      </c>
      <c r="I5039">
        <f>IF(H5038=0,1,SUMPRODUCT(J5038:N5038,B5039:F5039)+O5038*(1+0.00023125256064071564))</f>
        <v/>
      </c>
      <c r="J5039">
        <f>IF(G5039=1,0.2*R5039/B5039,J5038)</f>
        <v/>
      </c>
      <c r="K5039">
        <f>IF(G5039=1,0.2*R5039/C5039,K5038)</f>
        <v/>
      </c>
      <c r="L5039">
        <f>IF(G5039=1,0.2*R5039/D5039,L5038)</f>
        <v/>
      </c>
      <c r="M5039">
        <f>IF(G5039=1,0.2*R5039/E5039,M5038)</f>
        <v/>
      </c>
      <c r="N5039">
        <f>IF(G5039=1,0.2*R5039/F5039,N5038)</f>
        <v/>
      </c>
      <c r="O5039">
        <f>IF(G5039=1,R5039*(1-1.0),IF(H5038=0,1,O5038*(1+0.00023125256064071564)))</f>
        <v/>
      </c>
      <c r="P5039">
        <f>IF(G5039=1,IF(H5038=0,1,ABS(0.2-J5038*B5039/I5039)+ABS(0.2-K5038*C5039/I5039)+ABS(0.2-L5038*D5039/I5039)+ABS(0.2-M5038*E5039/I5039)+ABS(0.2-N5038*F5039/I5039)),0)</f>
        <v/>
      </c>
      <c r="Q5039">
        <f>P5039*0.0015</f>
        <v/>
      </c>
      <c r="R5039">
        <f>I5039*(1-Q5039)</f>
        <v/>
      </c>
      <c r="S5039">
        <f>R5039/R5038-1</f>
        <v/>
      </c>
      <c r="T5039">
        <f>MAX(T5038,R5039)</f>
        <v/>
      </c>
      <c r="U5039">
        <f>R5039/T5039-1</f>
        <v/>
      </c>
      <c r="V5039" t="n">
        <v>29.25100017875615</v>
      </c>
      <c r="W5039" s="5">
        <f>R5039-V5039</f>
        <v/>
      </c>
    </row>
    <row r="5040">
      <c r="A5040" s="3" t="n">
        <v>45861</v>
      </c>
      <c r="B5040">
        <f>Prices!B5040</f>
        <v/>
      </c>
      <c r="C5040">
        <f>Prices!C5040</f>
        <v/>
      </c>
      <c r="D5040">
        <f>Prices!D5040</f>
        <v/>
      </c>
      <c r="E5040">
        <f>Prices!E5040</f>
        <v/>
      </c>
      <c r="F5040">
        <f>Prices!F5040</f>
        <v/>
      </c>
      <c r="G5040">
        <f>IF(AND(5038&gt;=16,TEXT(A5040,"yyyy-mm")&lt;&gt;TEXT(A5041,"yyyy-mm")),1,0)</f>
        <v/>
      </c>
      <c r="H5040">
        <f>IF(OR(H5039=1,G5040=1),1,0)</f>
        <v/>
      </c>
      <c r="I5040">
        <f>IF(H5039=0,1,SUMPRODUCT(J5039:N5039,B5040:F5040)+O5039*(1+0.00023125256064071564))</f>
        <v/>
      </c>
      <c r="J5040">
        <f>IF(G5040=1,0.2*R5040/B5040,J5039)</f>
        <v/>
      </c>
      <c r="K5040">
        <f>IF(G5040=1,0.2*R5040/C5040,K5039)</f>
        <v/>
      </c>
      <c r="L5040">
        <f>IF(G5040=1,0.2*R5040/D5040,L5039)</f>
        <v/>
      </c>
      <c r="M5040">
        <f>IF(G5040=1,0.2*R5040/E5040,M5039)</f>
        <v/>
      </c>
      <c r="N5040">
        <f>IF(G5040=1,0.2*R5040/F5040,N5039)</f>
        <v/>
      </c>
      <c r="O5040">
        <f>IF(G5040=1,R5040*(1-1.0),IF(H5039=0,1,O5039*(1+0.00023125256064071564)))</f>
        <v/>
      </c>
      <c r="P5040">
        <f>IF(G5040=1,IF(H5039=0,1,ABS(0.2-J5039*B5040/I5040)+ABS(0.2-K5039*C5040/I5040)+ABS(0.2-L5039*D5040/I5040)+ABS(0.2-M5039*E5040/I5040)+ABS(0.2-N5039*F5040/I5040)),0)</f>
        <v/>
      </c>
      <c r="Q5040">
        <f>P5040*0.0015</f>
        <v/>
      </c>
      <c r="R5040">
        <f>I5040*(1-Q5040)</f>
        <v/>
      </c>
      <c r="S5040">
        <f>R5040/R5039-1</f>
        <v/>
      </c>
      <c r="T5040">
        <f>MAX(T5039,R5040)</f>
        <v/>
      </c>
      <c r="U5040">
        <f>R5040/T5040-1</f>
        <v/>
      </c>
      <c r="V5040" t="n">
        <v>29.3406492486286</v>
      </c>
      <c r="W5040" s="5">
        <f>R5040-V5040</f>
        <v/>
      </c>
    </row>
    <row r="5041">
      <c r="A5041" s="3" t="n">
        <v>45862</v>
      </c>
      <c r="B5041">
        <f>Prices!B5041</f>
        <v/>
      </c>
      <c r="C5041">
        <f>Prices!C5041</f>
        <v/>
      </c>
      <c r="D5041">
        <f>Prices!D5041</f>
        <v/>
      </c>
      <c r="E5041">
        <f>Prices!E5041</f>
        <v/>
      </c>
      <c r="F5041">
        <f>Prices!F5041</f>
        <v/>
      </c>
      <c r="G5041">
        <f>IF(AND(5039&gt;=16,TEXT(A5041,"yyyy-mm")&lt;&gt;TEXT(A5042,"yyyy-mm")),1,0)</f>
        <v/>
      </c>
      <c r="H5041">
        <f>IF(OR(H5040=1,G5041=1),1,0)</f>
        <v/>
      </c>
      <c r="I5041">
        <f>IF(H5040=0,1,SUMPRODUCT(J5040:N5040,B5041:F5041)+O5040*(1+0.00023125256064071564))</f>
        <v/>
      </c>
      <c r="J5041">
        <f>IF(G5041=1,0.2*R5041/B5041,J5040)</f>
        <v/>
      </c>
      <c r="K5041">
        <f>IF(G5041=1,0.2*R5041/C5041,K5040)</f>
        <v/>
      </c>
      <c r="L5041">
        <f>IF(G5041=1,0.2*R5041/D5041,L5040)</f>
        <v/>
      </c>
      <c r="M5041">
        <f>IF(G5041=1,0.2*R5041/E5041,M5040)</f>
        <v/>
      </c>
      <c r="N5041">
        <f>IF(G5041=1,0.2*R5041/F5041,N5040)</f>
        <v/>
      </c>
      <c r="O5041">
        <f>IF(G5041=1,R5041*(1-1.0),IF(H5040=0,1,O5040*(1+0.00023125256064071564)))</f>
        <v/>
      </c>
      <c r="P5041">
        <f>IF(G5041=1,IF(H5040=0,1,ABS(0.2-J5040*B5041/I5041)+ABS(0.2-K5040*C5041/I5041)+ABS(0.2-L5040*D5041/I5041)+ABS(0.2-M5040*E5041/I5041)+ABS(0.2-N5040*F5041/I5041)),0)</f>
        <v/>
      </c>
      <c r="Q5041">
        <f>P5041*0.0015</f>
        <v/>
      </c>
      <c r="R5041">
        <f>I5041*(1-Q5041)</f>
        <v/>
      </c>
      <c r="S5041">
        <f>R5041/R5040-1</f>
        <v/>
      </c>
      <c r="T5041">
        <f>MAX(T5040,R5041)</f>
        <v/>
      </c>
      <c r="U5041">
        <f>R5041/T5041-1</f>
        <v/>
      </c>
      <c r="V5041" t="n">
        <v>29.1243467610264</v>
      </c>
      <c r="W5041" s="5">
        <f>R5041-V5041</f>
        <v/>
      </c>
    </row>
    <row r="5042">
      <c r="A5042" s="3" t="n">
        <v>45863</v>
      </c>
      <c r="B5042">
        <f>Prices!B5042</f>
        <v/>
      </c>
      <c r="C5042">
        <f>Prices!C5042</f>
        <v/>
      </c>
      <c r="D5042">
        <f>Prices!D5042</f>
        <v/>
      </c>
      <c r="E5042">
        <f>Prices!E5042</f>
        <v/>
      </c>
      <c r="F5042">
        <f>Prices!F5042</f>
        <v/>
      </c>
      <c r="G5042">
        <f>IF(AND(5040&gt;=16,TEXT(A5042,"yyyy-mm")&lt;&gt;TEXT(A5043,"yyyy-mm")),1,0)</f>
        <v/>
      </c>
      <c r="H5042">
        <f>IF(OR(H5041=1,G5042=1),1,0)</f>
        <v/>
      </c>
      <c r="I5042">
        <f>IF(H5041=0,1,SUMPRODUCT(J5041:N5041,B5042:F5042)+O5041*(1+0.00023125256064071564))</f>
        <v/>
      </c>
      <c r="J5042">
        <f>IF(G5042=1,0.2*R5042/B5042,J5041)</f>
        <v/>
      </c>
      <c r="K5042">
        <f>IF(G5042=1,0.2*R5042/C5042,K5041)</f>
        <v/>
      </c>
      <c r="L5042">
        <f>IF(G5042=1,0.2*R5042/D5042,L5041)</f>
        <v/>
      </c>
      <c r="M5042">
        <f>IF(G5042=1,0.2*R5042/E5042,M5041)</f>
        <v/>
      </c>
      <c r="N5042">
        <f>IF(G5042=1,0.2*R5042/F5042,N5041)</f>
        <v/>
      </c>
      <c r="O5042">
        <f>IF(G5042=1,R5042*(1-1.0),IF(H5041=0,1,O5041*(1+0.00023125256064071564)))</f>
        <v/>
      </c>
      <c r="P5042">
        <f>IF(G5042=1,IF(H5041=0,1,ABS(0.2-J5041*B5042/I5042)+ABS(0.2-K5041*C5042/I5042)+ABS(0.2-L5041*D5042/I5042)+ABS(0.2-M5041*E5042/I5042)+ABS(0.2-N5041*F5042/I5042)),0)</f>
        <v/>
      </c>
      <c r="Q5042">
        <f>P5042*0.0015</f>
        <v/>
      </c>
      <c r="R5042">
        <f>I5042*(1-Q5042)</f>
        <v/>
      </c>
      <c r="S5042">
        <f>R5042/R5041-1</f>
        <v/>
      </c>
      <c r="T5042">
        <f>MAX(T5041,R5042)</f>
        <v/>
      </c>
      <c r="U5042">
        <f>R5042/T5042-1</f>
        <v/>
      </c>
      <c r="V5042" t="n">
        <v>28.69820222144284</v>
      </c>
      <c r="W5042" s="5">
        <f>R5042-V5042</f>
        <v/>
      </c>
    </row>
    <row r="5043">
      <c r="A5043" s="3" t="n">
        <v>45866</v>
      </c>
      <c r="B5043">
        <f>Prices!B5043</f>
        <v/>
      </c>
      <c r="C5043">
        <f>Prices!C5043</f>
        <v/>
      </c>
      <c r="D5043">
        <f>Prices!D5043</f>
        <v/>
      </c>
      <c r="E5043">
        <f>Prices!E5043</f>
        <v/>
      </c>
      <c r="F5043">
        <f>Prices!F5043</f>
        <v/>
      </c>
      <c r="G5043">
        <f>IF(AND(5041&gt;=16,TEXT(A5043,"yyyy-mm")&lt;&gt;TEXT(A5044,"yyyy-mm")),1,0)</f>
        <v/>
      </c>
      <c r="H5043">
        <f>IF(OR(H5042=1,G5043=1),1,0)</f>
        <v/>
      </c>
      <c r="I5043">
        <f>IF(H5042=0,1,SUMPRODUCT(J5042:N5042,B5043:F5043)+O5042*(1+0.00023125256064071564))</f>
        <v/>
      </c>
      <c r="J5043">
        <f>IF(G5043=1,0.2*R5043/B5043,J5042)</f>
        <v/>
      </c>
      <c r="K5043">
        <f>IF(G5043=1,0.2*R5043/C5043,K5042)</f>
        <v/>
      </c>
      <c r="L5043">
        <f>IF(G5043=1,0.2*R5043/D5043,L5042)</f>
        <v/>
      </c>
      <c r="M5043">
        <f>IF(G5043=1,0.2*R5043/E5043,M5042)</f>
        <v/>
      </c>
      <c r="N5043">
        <f>IF(G5043=1,0.2*R5043/F5043,N5042)</f>
        <v/>
      </c>
      <c r="O5043">
        <f>IF(G5043=1,R5043*(1-1.0),IF(H5042=0,1,O5042*(1+0.00023125256064071564)))</f>
        <v/>
      </c>
      <c r="P5043">
        <f>IF(G5043=1,IF(H5042=0,1,ABS(0.2-J5042*B5043/I5043)+ABS(0.2-K5042*C5043/I5043)+ABS(0.2-L5042*D5043/I5043)+ABS(0.2-M5042*E5043/I5043)+ABS(0.2-N5042*F5043/I5043)),0)</f>
        <v/>
      </c>
      <c r="Q5043">
        <f>P5043*0.0015</f>
        <v/>
      </c>
      <c r="R5043">
        <f>I5043*(1-Q5043)</f>
        <v/>
      </c>
      <c r="S5043">
        <f>R5043/R5042-1</f>
        <v/>
      </c>
      <c r="T5043">
        <f>MAX(T5042,R5043)</f>
        <v/>
      </c>
      <c r="U5043">
        <f>R5043/T5043-1</f>
        <v/>
      </c>
      <c r="V5043" t="n">
        <v>28.42522811912895</v>
      </c>
      <c r="W5043" s="5">
        <f>R5043-V5043</f>
        <v/>
      </c>
    </row>
    <row r="5044">
      <c r="A5044" s="3" t="n">
        <v>45867</v>
      </c>
      <c r="B5044">
        <f>Prices!B5044</f>
        <v/>
      </c>
      <c r="C5044">
        <f>Prices!C5044</f>
        <v/>
      </c>
      <c r="D5044">
        <f>Prices!D5044</f>
        <v/>
      </c>
      <c r="E5044">
        <f>Prices!E5044</f>
        <v/>
      </c>
      <c r="F5044">
        <f>Prices!F5044</f>
        <v/>
      </c>
      <c r="G5044">
        <f>IF(AND(5042&gt;=16,TEXT(A5044,"yyyy-mm")&lt;&gt;TEXT(A5045,"yyyy-mm")),1,0)</f>
        <v/>
      </c>
      <c r="H5044">
        <f>IF(OR(H5043=1,G5044=1),1,0)</f>
        <v/>
      </c>
      <c r="I5044">
        <f>IF(H5043=0,1,SUMPRODUCT(J5043:N5043,B5044:F5044)+O5043*(1+0.00023125256064071564))</f>
        <v/>
      </c>
      <c r="J5044">
        <f>IF(G5044=1,0.2*R5044/B5044,J5043)</f>
        <v/>
      </c>
      <c r="K5044">
        <f>IF(G5044=1,0.2*R5044/C5044,K5043)</f>
        <v/>
      </c>
      <c r="L5044">
        <f>IF(G5044=1,0.2*R5044/D5044,L5043)</f>
        <v/>
      </c>
      <c r="M5044">
        <f>IF(G5044=1,0.2*R5044/E5044,M5043)</f>
        <v/>
      </c>
      <c r="N5044">
        <f>IF(G5044=1,0.2*R5044/F5044,N5043)</f>
        <v/>
      </c>
      <c r="O5044">
        <f>IF(G5044=1,R5044*(1-1.0),IF(H5043=0,1,O5043*(1+0.00023125256064071564)))</f>
        <v/>
      </c>
      <c r="P5044">
        <f>IF(G5044=1,IF(H5043=0,1,ABS(0.2-J5043*B5044/I5044)+ABS(0.2-K5043*C5044/I5044)+ABS(0.2-L5043*D5044/I5044)+ABS(0.2-M5043*E5044/I5044)+ABS(0.2-N5043*F5044/I5044)),0)</f>
        <v/>
      </c>
      <c r="Q5044">
        <f>P5044*0.0015</f>
        <v/>
      </c>
      <c r="R5044">
        <f>I5044*(1-Q5044)</f>
        <v/>
      </c>
      <c r="S5044">
        <f>R5044/R5043-1</f>
        <v/>
      </c>
      <c r="T5044">
        <f>MAX(T5043,R5044)</f>
        <v/>
      </c>
      <c r="U5044">
        <f>R5044/T5044-1</f>
        <v/>
      </c>
      <c r="V5044" t="n">
        <v>28.63107205919841</v>
      </c>
      <c r="W5044" s="5">
        <f>R5044-V5044</f>
        <v/>
      </c>
    </row>
    <row r="5045">
      <c r="A5045" s="3" t="n">
        <v>45868</v>
      </c>
      <c r="B5045">
        <f>Prices!B5045</f>
        <v/>
      </c>
      <c r="C5045">
        <f>Prices!C5045</f>
        <v/>
      </c>
      <c r="D5045">
        <f>Prices!D5045</f>
        <v/>
      </c>
      <c r="E5045">
        <f>Prices!E5045</f>
        <v/>
      </c>
      <c r="F5045">
        <f>Prices!F5045</f>
        <v/>
      </c>
      <c r="G5045">
        <f>IF(AND(5043&gt;=16,TEXT(A5045,"yyyy-mm")&lt;&gt;TEXT(A5046,"yyyy-mm")),1,0)</f>
        <v/>
      </c>
      <c r="H5045">
        <f>IF(OR(H5044=1,G5045=1),1,0)</f>
        <v/>
      </c>
      <c r="I5045">
        <f>IF(H5044=0,1,SUMPRODUCT(J5044:N5044,B5045:F5045)+O5044*(1+0.00023125256064071564))</f>
        <v/>
      </c>
      <c r="J5045">
        <f>IF(G5045=1,0.2*R5045/B5045,J5044)</f>
        <v/>
      </c>
      <c r="K5045">
        <f>IF(G5045=1,0.2*R5045/C5045,K5044)</f>
        <v/>
      </c>
      <c r="L5045">
        <f>IF(G5045=1,0.2*R5045/D5045,L5044)</f>
        <v/>
      </c>
      <c r="M5045">
        <f>IF(G5045=1,0.2*R5045/E5045,M5044)</f>
        <v/>
      </c>
      <c r="N5045">
        <f>IF(G5045=1,0.2*R5045/F5045,N5044)</f>
        <v/>
      </c>
      <c r="O5045">
        <f>IF(G5045=1,R5045*(1-1.0),IF(H5044=0,1,O5044*(1+0.00023125256064071564)))</f>
        <v/>
      </c>
      <c r="P5045">
        <f>IF(G5045=1,IF(H5044=0,1,ABS(0.2-J5044*B5045/I5045)+ABS(0.2-K5044*C5045/I5045)+ABS(0.2-L5044*D5045/I5045)+ABS(0.2-M5044*E5045/I5045)+ABS(0.2-N5044*F5045/I5045)),0)</f>
        <v/>
      </c>
      <c r="Q5045">
        <f>P5045*0.0015</f>
        <v/>
      </c>
      <c r="R5045">
        <f>I5045*(1-Q5045)</f>
        <v/>
      </c>
      <c r="S5045">
        <f>R5045/R5044-1</f>
        <v/>
      </c>
      <c r="T5045">
        <f>MAX(T5044,R5045)</f>
        <v/>
      </c>
      <c r="U5045">
        <f>R5045/T5045-1</f>
        <v/>
      </c>
      <c r="V5045" t="n">
        <v>28.63313053536804</v>
      </c>
      <c r="W5045" s="5">
        <f>R5045-V5045</f>
        <v/>
      </c>
    </row>
    <row r="5046">
      <c r="A5046" s="3" t="n">
        <v>45869</v>
      </c>
      <c r="B5046">
        <f>Prices!B5046</f>
        <v/>
      </c>
      <c r="C5046">
        <f>Prices!C5046</f>
        <v/>
      </c>
      <c r="D5046">
        <f>Prices!D5046</f>
        <v/>
      </c>
      <c r="E5046">
        <f>Prices!E5046</f>
        <v/>
      </c>
      <c r="F5046">
        <f>Prices!F5046</f>
        <v/>
      </c>
      <c r="G5046">
        <f>IF(AND(5044&gt;=16,TEXT(A5046,"yyyy-mm")&lt;&gt;TEXT(A5047,"yyyy-mm")),1,0)</f>
        <v/>
      </c>
      <c r="H5046">
        <f>IF(OR(H5045=1,G5046=1),1,0)</f>
        <v/>
      </c>
      <c r="I5046">
        <f>IF(H5045=0,1,SUMPRODUCT(J5045:N5045,B5046:F5046)+O5045*(1+0.00023125256064071564))</f>
        <v/>
      </c>
      <c r="J5046">
        <f>IF(G5046=1,0.2*R5046/B5046,J5045)</f>
        <v/>
      </c>
      <c r="K5046">
        <f>IF(G5046=1,0.2*R5046/C5046,K5045)</f>
        <v/>
      </c>
      <c r="L5046">
        <f>IF(G5046=1,0.2*R5046/D5046,L5045)</f>
        <v/>
      </c>
      <c r="M5046">
        <f>IF(G5046=1,0.2*R5046/E5046,M5045)</f>
        <v/>
      </c>
      <c r="N5046">
        <f>IF(G5046=1,0.2*R5046/F5046,N5045)</f>
        <v/>
      </c>
      <c r="O5046">
        <f>IF(G5046=1,R5046*(1-1.0),IF(H5045=0,1,O5045*(1+0.00023125256064071564)))</f>
        <v/>
      </c>
      <c r="P5046">
        <f>IF(G5046=1,IF(H5045=0,1,ABS(0.2-J5045*B5046/I5046)+ABS(0.2-K5045*C5046/I5046)+ABS(0.2-L5045*D5046/I5046)+ABS(0.2-M5045*E5046/I5046)+ABS(0.2-N5045*F5046/I5046)),0)</f>
        <v/>
      </c>
      <c r="Q5046">
        <f>P5046*0.0015</f>
        <v/>
      </c>
      <c r="R5046">
        <f>I5046*(1-Q5046)</f>
        <v/>
      </c>
      <c r="S5046">
        <f>R5046/R5045-1</f>
        <v/>
      </c>
      <c r="T5046">
        <f>MAX(T5045,R5046)</f>
        <v/>
      </c>
      <c r="U5046">
        <f>R5046/T5046-1</f>
        <v/>
      </c>
      <c r="V5046" t="n">
        <v>28.50681316372295</v>
      </c>
      <c r="W5046" s="5">
        <f>R5046-V5046</f>
        <v/>
      </c>
    </row>
    <row r="5047">
      <c r="A5047" s="3" t="n">
        <v>45870</v>
      </c>
      <c r="B5047">
        <f>Prices!B5047</f>
        <v/>
      </c>
      <c r="C5047">
        <f>Prices!C5047</f>
        <v/>
      </c>
      <c r="D5047">
        <f>Prices!D5047</f>
        <v/>
      </c>
      <c r="E5047">
        <f>Prices!E5047</f>
        <v/>
      </c>
      <c r="F5047">
        <f>Prices!F5047</f>
        <v/>
      </c>
      <c r="G5047">
        <f>IF(AND(5045&gt;=16,TEXT(A5047,"yyyy-mm")&lt;&gt;TEXT(A5048,"yyyy-mm")),1,0)</f>
        <v/>
      </c>
      <c r="H5047">
        <f>IF(OR(H5046=1,G5047=1),1,0)</f>
        <v/>
      </c>
      <c r="I5047">
        <f>IF(H5046=0,1,SUMPRODUCT(J5046:N5046,B5047:F5047)+O5046*(1+0.00023125256064071564))</f>
        <v/>
      </c>
      <c r="J5047">
        <f>IF(G5047=1,0.2*R5047/B5047,J5046)</f>
        <v/>
      </c>
      <c r="K5047">
        <f>IF(G5047=1,0.2*R5047/C5047,K5046)</f>
        <v/>
      </c>
      <c r="L5047">
        <f>IF(G5047=1,0.2*R5047/D5047,L5046)</f>
        <v/>
      </c>
      <c r="M5047">
        <f>IF(G5047=1,0.2*R5047/E5047,M5046)</f>
        <v/>
      </c>
      <c r="N5047">
        <f>IF(G5047=1,0.2*R5047/F5047,N5046)</f>
        <v/>
      </c>
      <c r="O5047">
        <f>IF(G5047=1,R5047*(1-1.0),IF(H5046=0,1,O5046*(1+0.00023125256064071564)))</f>
        <v/>
      </c>
      <c r="P5047">
        <f>IF(G5047=1,IF(H5046=0,1,ABS(0.2-J5046*B5047/I5047)+ABS(0.2-K5046*C5047/I5047)+ABS(0.2-L5046*D5047/I5047)+ABS(0.2-M5046*E5047/I5047)+ABS(0.2-N5046*F5047/I5047)),0)</f>
        <v/>
      </c>
      <c r="Q5047">
        <f>P5047*0.0015</f>
        <v/>
      </c>
      <c r="R5047">
        <f>I5047*(1-Q5047)</f>
        <v/>
      </c>
      <c r="S5047">
        <f>R5047/R5046-1</f>
        <v/>
      </c>
      <c r="T5047">
        <f>MAX(T5046,R5047)</f>
        <v/>
      </c>
      <c r="U5047">
        <f>R5047/T5047-1</f>
        <v/>
      </c>
      <c r="V5047" t="n">
        <v>28.12529350247331</v>
      </c>
      <c r="W5047" s="5">
        <f>R5047-V5047</f>
        <v/>
      </c>
    </row>
    <row r="5048">
      <c r="A5048" s="3" t="n">
        <v>45873</v>
      </c>
      <c r="B5048">
        <f>Prices!B5048</f>
        <v/>
      </c>
      <c r="C5048">
        <f>Prices!C5048</f>
        <v/>
      </c>
      <c r="D5048">
        <f>Prices!D5048</f>
        <v/>
      </c>
      <c r="E5048">
        <f>Prices!E5048</f>
        <v/>
      </c>
      <c r="F5048">
        <f>Prices!F5048</f>
        <v/>
      </c>
      <c r="G5048">
        <f>IF(AND(5046&gt;=16,TEXT(A5048,"yyyy-mm")&lt;&gt;TEXT(A5049,"yyyy-mm")),1,0)</f>
        <v/>
      </c>
      <c r="H5048">
        <f>IF(OR(H5047=1,G5048=1),1,0)</f>
        <v/>
      </c>
      <c r="I5048">
        <f>IF(H5047=0,1,SUMPRODUCT(J5047:N5047,B5048:F5048)+O5047*(1+0.00023125256064071564))</f>
        <v/>
      </c>
      <c r="J5048">
        <f>IF(G5048=1,0.2*R5048/B5048,J5047)</f>
        <v/>
      </c>
      <c r="K5048">
        <f>IF(G5048=1,0.2*R5048/C5048,K5047)</f>
        <v/>
      </c>
      <c r="L5048">
        <f>IF(G5048=1,0.2*R5048/D5048,L5047)</f>
        <v/>
      </c>
      <c r="M5048">
        <f>IF(G5048=1,0.2*R5048/E5048,M5047)</f>
        <v/>
      </c>
      <c r="N5048">
        <f>IF(G5048=1,0.2*R5048/F5048,N5047)</f>
        <v/>
      </c>
      <c r="O5048">
        <f>IF(G5048=1,R5048*(1-1.0),IF(H5047=0,1,O5047*(1+0.00023125256064071564)))</f>
        <v/>
      </c>
      <c r="P5048">
        <f>IF(G5048=1,IF(H5047=0,1,ABS(0.2-J5047*B5048/I5048)+ABS(0.2-K5047*C5048/I5048)+ABS(0.2-L5047*D5048/I5048)+ABS(0.2-M5047*E5048/I5048)+ABS(0.2-N5047*F5048/I5048)),0)</f>
        <v/>
      </c>
      <c r="Q5048">
        <f>P5048*0.0015</f>
        <v/>
      </c>
      <c r="R5048">
        <f>I5048*(1-Q5048)</f>
        <v/>
      </c>
      <c r="S5048">
        <f>R5048/R5047-1</f>
        <v/>
      </c>
      <c r="T5048">
        <f>MAX(T5047,R5048)</f>
        <v/>
      </c>
      <c r="U5048">
        <f>R5048/T5048-1</f>
        <v/>
      </c>
      <c r="V5048" t="n">
        <v>28.40766234790894</v>
      </c>
      <c r="W5048" s="5">
        <f>R5048-V5048</f>
        <v/>
      </c>
    </row>
    <row r="5049">
      <c r="A5049" s="3" t="n">
        <v>45874</v>
      </c>
      <c r="B5049">
        <f>Prices!B5049</f>
        <v/>
      </c>
      <c r="C5049">
        <f>Prices!C5049</f>
        <v/>
      </c>
      <c r="D5049">
        <f>Prices!D5049</f>
        <v/>
      </c>
      <c r="E5049">
        <f>Prices!E5049</f>
        <v/>
      </c>
      <c r="F5049">
        <f>Prices!F5049</f>
        <v/>
      </c>
      <c r="G5049">
        <f>IF(AND(5047&gt;=16,TEXT(A5049,"yyyy-mm")&lt;&gt;TEXT(A5050,"yyyy-mm")),1,0)</f>
        <v/>
      </c>
      <c r="H5049">
        <f>IF(OR(H5048=1,G5049=1),1,0)</f>
        <v/>
      </c>
      <c r="I5049">
        <f>IF(H5048=0,1,SUMPRODUCT(J5048:N5048,B5049:F5049)+O5048*(1+0.00023125256064071564))</f>
        <v/>
      </c>
      <c r="J5049">
        <f>IF(G5049=1,0.2*R5049/B5049,J5048)</f>
        <v/>
      </c>
      <c r="K5049">
        <f>IF(G5049=1,0.2*R5049/C5049,K5048)</f>
        <v/>
      </c>
      <c r="L5049">
        <f>IF(G5049=1,0.2*R5049/D5049,L5048)</f>
        <v/>
      </c>
      <c r="M5049">
        <f>IF(G5049=1,0.2*R5049/E5049,M5048)</f>
        <v/>
      </c>
      <c r="N5049">
        <f>IF(G5049=1,0.2*R5049/F5049,N5048)</f>
        <v/>
      </c>
      <c r="O5049">
        <f>IF(G5049=1,R5049*(1-1.0),IF(H5048=0,1,O5048*(1+0.00023125256064071564)))</f>
        <v/>
      </c>
      <c r="P5049">
        <f>IF(G5049=1,IF(H5048=0,1,ABS(0.2-J5048*B5049/I5049)+ABS(0.2-K5048*C5049/I5049)+ABS(0.2-L5048*D5049/I5049)+ABS(0.2-M5048*E5049/I5049)+ABS(0.2-N5048*F5049/I5049)),0)</f>
        <v/>
      </c>
      <c r="Q5049">
        <f>P5049*0.0015</f>
        <v/>
      </c>
      <c r="R5049">
        <f>I5049*(1-Q5049)</f>
        <v/>
      </c>
      <c r="S5049">
        <f>R5049/R5048-1</f>
        <v/>
      </c>
      <c r="T5049">
        <f>MAX(T5048,R5049)</f>
        <v/>
      </c>
      <c r="U5049">
        <f>R5049/T5049-1</f>
        <v/>
      </c>
      <c r="V5049" t="n">
        <v>28.3786769238675</v>
      </c>
      <c r="W5049" s="5">
        <f>R5049-V5049</f>
        <v/>
      </c>
    </row>
    <row r="5050">
      <c r="A5050" s="3" t="n">
        <v>45875</v>
      </c>
      <c r="B5050">
        <f>Prices!B5050</f>
        <v/>
      </c>
      <c r="C5050">
        <f>Prices!C5050</f>
        <v/>
      </c>
      <c r="D5050">
        <f>Prices!D5050</f>
        <v/>
      </c>
      <c r="E5050">
        <f>Prices!E5050</f>
        <v/>
      </c>
      <c r="F5050">
        <f>Prices!F5050</f>
        <v/>
      </c>
      <c r="G5050">
        <f>IF(AND(5048&gt;=16,TEXT(A5050,"yyyy-mm")&lt;&gt;TEXT(A5051,"yyyy-mm")),1,0)</f>
        <v/>
      </c>
      <c r="H5050">
        <f>IF(OR(H5049=1,G5050=1),1,0)</f>
        <v/>
      </c>
      <c r="I5050">
        <f>IF(H5049=0,1,SUMPRODUCT(J5049:N5049,B5050:F5050)+O5049*(1+0.00023125256064071564))</f>
        <v/>
      </c>
      <c r="J5050">
        <f>IF(G5050=1,0.2*R5050/B5050,J5049)</f>
        <v/>
      </c>
      <c r="K5050">
        <f>IF(G5050=1,0.2*R5050/C5050,K5049)</f>
        <v/>
      </c>
      <c r="L5050">
        <f>IF(G5050=1,0.2*R5050/D5050,L5049)</f>
        <v/>
      </c>
      <c r="M5050">
        <f>IF(G5050=1,0.2*R5050/E5050,M5049)</f>
        <v/>
      </c>
      <c r="N5050">
        <f>IF(G5050=1,0.2*R5050/F5050,N5049)</f>
        <v/>
      </c>
      <c r="O5050">
        <f>IF(G5050=1,R5050*(1-1.0),IF(H5049=0,1,O5049*(1+0.00023125256064071564)))</f>
        <v/>
      </c>
      <c r="P5050">
        <f>IF(G5050=1,IF(H5049=0,1,ABS(0.2-J5049*B5050/I5050)+ABS(0.2-K5049*C5050/I5050)+ABS(0.2-L5049*D5050/I5050)+ABS(0.2-M5049*E5050/I5050)+ABS(0.2-N5049*F5050/I5050)),0)</f>
        <v/>
      </c>
      <c r="Q5050">
        <f>P5050*0.0015</f>
        <v/>
      </c>
      <c r="R5050">
        <f>I5050*(1-Q5050)</f>
        <v/>
      </c>
      <c r="S5050">
        <f>R5050/R5049-1</f>
        <v/>
      </c>
      <c r="T5050">
        <f>MAX(T5049,R5050)</f>
        <v/>
      </c>
      <c r="U5050">
        <f>R5050/T5050-1</f>
        <v/>
      </c>
      <c r="V5050" t="n">
        <v>28.11557308456909</v>
      </c>
      <c r="W5050" s="5">
        <f>R5050-V5050</f>
        <v/>
      </c>
    </row>
    <row r="5051">
      <c r="A5051" s="3" t="n">
        <v>45876</v>
      </c>
      <c r="B5051">
        <f>Prices!B5051</f>
        <v/>
      </c>
      <c r="C5051">
        <f>Prices!C5051</f>
        <v/>
      </c>
      <c r="D5051">
        <f>Prices!D5051</f>
        <v/>
      </c>
      <c r="E5051">
        <f>Prices!E5051</f>
        <v/>
      </c>
      <c r="F5051">
        <f>Prices!F5051</f>
        <v/>
      </c>
      <c r="G5051">
        <f>IF(AND(5049&gt;=16,TEXT(A5051,"yyyy-mm")&lt;&gt;TEXT(A5052,"yyyy-mm")),1,0)</f>
        <v/>
      </c>
      <c r="H5051">
        <f>IF(OR(H5050=1,G5051=1),1,0)</f>
        <v/>
      </c>
      <c r="I5051">
        <f>IF(H5050=0,1,SUMPRODUCT(J5050:N5050,B5051:F5051)+O5050*(1+0.00023125256064071564))</f>
        <v/>
      </c>
      <c r="J5051">
        <f>IF(G5051=1,0.2*R5051/B5051,J5050)</f>
        <v/>
      </c>
      <c r="K5051">
        <f>IF(G5051=1,0.2*R5051/C5051,K5050)</f>
        <v/>
      </c>
      <c r="L5051">
        <f>IF(G5051=1,0.2*R5051/D5051,L5050)</f>
        <v/>
      </c>
      <c r="M5051">
        <f>IF(G5051=1,0.2*R5051/E5051,M5050)</f>
        <v/>
      </c>
      <c r="N5051">
        <f>IF(G5051=1,0.2*R5051/F5051,N5050)</f>
        <v/>
      </c>
      <c r="O5051">
        <f>IF(G5051=1,R5051*(1-1.0),IF(H5050=0,1,O5050*(1+0.00023125256064071564)))</f>
        <v/>
      </c>
      <c r="P5051">
        <f>IF(G5051=1,IF(H5050=0,1,ABS(0.2-J5050*B5051/I5051)+ABS(0.2-K5050*C5051/I5051)+ABS(0.2-L5050*D5051/I5051)+ABS(0.2-M5050*E5051/I5051)+ABS(0.2-N5050*F5051/I5051)),0)</f>
        <v/>
      </c>
      <c r="Q5051">
        <f>P5051*0.0015</f>
        <v/>
      </c>
      <c r="R5051">
        <f>I5051*(1-Q5051)</f>
        <v/>
      </c>
      <c r="S5051">
        <f>R5051/R5050-1</f>
        <v/>
      </c>
      <c r="T5051">
        <f>MAX(T5050,R5051)</f>
        <v/>
      </c>
      <c r="U5051">
        <f>R5051/T5051-1</f>
        <v/>
      </c>
      <c r="V5051" t="n">
        <v>28.1726539456001</v>
      </c>
      <c r="W5051" s="5">
        <f>R5051-V5051</f>
        <v/>
      </c>
    </row>
    <row r="5052">
      <c r="A5052" s="3" t="n">
        <v>45877</v>
      </c>
      <c r="B5052">
        <f>Prices!B5052</f>
        <v/>
      </c>
      <c r="C5052">
        <f>Prices!C5052</f>
        <v/>
      </c>
      <c r="D5052">
        <f>Prices!D5052</f>
        <v/>
      </c>
      <c r="E5052">
        <f>Prices!E5052</f>
        <v/>
      </c>
      <c r="F5052">
        <f>Prices!F5052</f>
        <v/>
      </c>
      <c r="G5052">
        <f>IF(AND(5050&gt;=16,TEXT(A5052,"yyyy-mm")&lt;&gt;TEXT(A5053,"yyyy-mm")),1,0)</f>
        <v/>
      </c>
      <c r="H5052">
        <f>IF(OR(H5051=1,G5052=1),1,0)</f>
        <v/>
      </c>
      <c r="I5052">
        <f>IF(H5051=0,1,SUMPRODUCT(J5051:N5051,B5052:F5052)+O5051*(1+0.00023125256064071564))</f>
        <v/>
      </c>
      <c r="J5052">
        <f>IF(G5052=1,0.2*R5052/B5052,J5051)</f>
        <v/>
      </c>
      <c r="K5052">
        <f>IF(G5052=1,0.2*R5052/C5052,K5051)</f>
        <v/>
      </c>
      <c r="L5052">
        <f>IF(G5052=1,0.2*R5052/D5052,L5051)</f>
        <v/>
      </c>
      <c r="M5052">
        <f>IF(G5052=1,0.2*R5052/E5052,M5051)</f>
        <v/>
      </c>
      <c r="N5052">
        <f>IF(G5052=1,0.2*R5052/F5052,N5051)</f>
        <v/>
      </c>
      <c r="O5052">
        <f>IF(G5052=1,R5052*(1-1.0),IF(H5051=0,1,O5051*(1+0.00023125256064071564)))</f>
        <v/>
      </c>
      <c r="P5052">
        <f>IF(G5052=1,IF(H5051=0,1,ABS(0.2-J5051*B5052/I5052)+ABS(0.2-K5051*C5052/I5052)+ABS(0.2-L5051*D5052/I5052)+ABS(0.2-M5051*E5052/I5052)+ABS(0.2-N5051*F5052/I5052)),0)</f>
        <v/>
      </c>
      <c r="Q5052">
        <f>P5052*0.0015</f>
        <v/>
      </c>
      <c r="R5052">
        <f>I5052*(1-Q5052)</f>
        <v/>
      </c>
      <c r="S5052">
        <f>R5052/R5051-1</f>
        <v/>
      </c>
      <c r="T5052">
        <f>MAX(T5051,R5052)</f>
        <v/>
      </c>
      <c r="U5052">
        <f>R5052/T5052-1</f>
        <v/>
      </c>
      <c r="V5052" t="n">
        <v>27.77033578915309</v>
      </c>
      <c r="W5052" s="5">
        <f>R5052-V5052</f>
        <v/>
      </c>
    </row>
    <row r="5053">
      <c r="A5053" s="3" t="n">
        <v>45880</v>
      </c>
      <c r="B5053">
        <f>Prices!B5053</f>
        <v/>
      </c>
      <c r="C5053">
        <f>Prices!C5053</f>
        <v/>
      </c>
      <c r="D5053">
        <f>Prices!D5053</f>
        <v/>
      </c>
      <c r="E5053">
        <f>Prices!E5053</f>
        <v/>
      </c>
      <c r="F5053">
        <f>Prices!F5053</f>
        <v/>
      </c>
      <c r="G5053">
        <f>IF(AND(5051&gt;=16,TEXT(A5053,"yyyy-mm")&lt;&gt;TEXT(A5054,"yyyy-mm")),1,0)</f>
        <v/>
      </c>
      <c r="H5053">
        <f>IF(OR(H5052=1,G5053=1),1,0)</f>
        <v/>
      </c>
      <c r="I5053">
        <f>IF(H5052=0,1,SUMPRODUCT(J5052:N5052,B5053:F5053)+O5052*(1+0.00023125256064071564))</f>
        <v/>
      </c>
      <c r="J5053">
        <f>IF(G5053=1,0.2*R5053/B5053,J5052)</f>
        <v/>
      </c>
      <c r="K5053">
        <f>IF(G5053=1,0.2*R5053/C5053,K5052)</f>
        <v/>
      </c>
      <c r="L5053">
        <f>IF(G5053=1,0.2*R5053/D5053,L5052)</f>
        <v/>
      </c>
      <c r="M5053">
        <f>IF(G5053=1,0.2*R5053/E5053,M5052)</f>
        <v/>
      </c>
      <c r="N5053">
        <f>IF(G5053=1,0.2*R5053/F5053,N5052)</f>
        <v/>
      </c>
      <c r="O5053">
        <f>IF(G5053=1,R5053*(1-1.0),IF(H5052=0,1,O5052*(1+0.00023125256064071564)))</f>
        <v/>
      </c>
      <c r="P5053">
        <f>IF(G5053=1,IF(H5052=0,1,ABS(0.2-J5052*B5053/I5053)+ABS(0.2-K5052*C5053/I5053)+ABS(0.2-L5052*D5053/I5053)+ABS(0.2-M5052*E5053/I5053)+ABS(0.2-N5052*F5053/I5053)),0)</f>
        <v/>
      </c>
      <c r="Q5053">
        <f>P5053*0.0015</f>
        <v/>
      </c>
      <c r="R5053">
        <f>I5053*(1-Q5053)</f>
        <v/>
      </c>
      <c r="S5053">
        <f>R5053/R5052-1</f>
        <v/>
      </c>
      <c r="T5053">
        <f>MAX(T5052,R5053)</f>
        <v/>
      </c>
      <c r="U5053">
        <f>R5053/T5053-1</f>
        <v/>
      </c>
      <c r="V5053" t="n">
        <v>27.94955091532387</v>
      </c>
      <c r="W5053" s="5">
        <f>R5053-V5053</f>
        <v/>
      </c>
    </row>
    <row r="5054">
      <c r="A5054" s="3" t="n">
        <v>45881</v>
      </c>
      <c r="B5054">
        <f>Prices!B5054</f>
        <v/>
      </c>
      <c r="C5054">
        <f>Prices!C5054</f>
        <v/>
      </c>
      <c r="D5054">
        <f>Prices!D5054</f>
        <v/>
      </c>
      <c r="E5054">
        <f>Prices!E5054</f>
        <v/>
      </c>
      <c r="F5054">
        <f>Prices!F5054</f>
        <v/>
      </c>
      <c r="G5054">
        <f>IF(AND(5052&gt;=16,TEXT(A5054,"yyyy-mm")&lt;&gt;TEXT(A5055,"yyyy-mm")),1,0)</f>
        <v/>
      </c>
      <c r="H5054">
        <f>IF(OR(H5053=1,G5054=1),1,0)</f>
        <v/>
      </c>
      <c r="I5054">
        <f>IF(H5053=0,1,SUMPRODUCT(J5053:N5053,B5054:F5054)+O5053*(1+0.00023125256064071564))</f>
        <v/>
      </c>
      <c r="J5054">
        <f>IF(G5054=1,0.2*R5054/B5054,J5053)</f>
        <v/>
      </c>
      <c r="K5054">
        <f>IF(G5054=1,0.2*R5054/C5054,K5053)</f>
        <v/>
      </c>
      <c r="L5054">
        <f>IF(G5054=1,0.2*R5054/D5054,L5053)</f>
        <v/>
      </c>
      <c r="M5054">
        <f>IF(G5054=1,0.2*R5054/E5054,M5053)</f>
        <v/>
      </c>
      <c r="N5054">
        <f>IF(G5054=1,0.2*R5054/F5054,N5053)</f>
        <v/>
      </c>
      <c r="O5054">
        <f>IF(G5054=1,R5054*(1-1.0),IF(H5053=0,1,O5053*(1+0.00023125256064071564)))</f>
        <v/>
      </c>
      <c r="P5054">
        <f>IF(G5054=1,IF(H5053=0,1,ABS(0.2-J5053*B5054/I5054)+ABS(0.2-K5053*C5054/I5054)+ABS(0.2-L5053*D5054/I5054)+ABS(0.2-M5053*E5054/I5054)+ABS(0.2-N5053*F5054/I5054)),0)</f>
        <v/>
      </c>
      <c r="Q5054">
        <f>P5054*0.0015</f>
        <v/>
      </c>
      <c r="R5054">
        <f>I5054*(1-Q5054)</f>
        <v/>
      </c>
      <c r="S5054">
        <f>R5054/R5053-1</f>
        <v/>
      </c>
      <c r="T5054">
        <f>MAX(T5053,R5054)</f>
        <v/>
      </c>
      <c r="U5054">
        <f>R5054/T5054-1</f>
        <v/>
      </c>
      <c r="V5054" t="n">
        <v>27.88691874032984</v>
      </c>
      <c r="W5054" s="5">
        <f>R5054-V5054</f>
        <v/>
      </c>
    </row>
    <row r="5055">
      <c r="A5055" s="3" t="n">
        <v>45882</v>
      </c>
      <c r="B5055">
        <f>Prices!B5055</f>
        <v/>
      </c>
      <c r="C5055">
        <f>Prices!C5055</f>
        <v/>
      </c>
      <c r="D5055">
        <f>Prices!D5055</f>
        <v/>
      </c>
      <c r="E5055">
        <f>Prices!E5055</f>
        <v/>
      </c>
      <c r="F5055">
        <f>Prices!F5055</f>
        <v/>
      </c>
      <c r="G5055">
        <f>IF(AND(5053&gt;=16,TEXT(A5055,"yyyy-mm")&lt;&gt;TEXT(A5056,"yyyy-mm")),1,0)</f>
        <v/>
      </c>
      <c r="H5055">
        <f>IF(OR(H5054=1,G5055=1),1,0)</f>
        <v/>
      </c>
      <c r="I5055">
        <f>IF(H5054=0,1,SUMPRODUCT(J5054:N5054,B5055:F5055)+O5054*(1+0.00023125256064071564))</f>
        <v/>
      </c>
      <c r="J5055">
        <f>IF(G5055=1,0.2*R5055/B5055,J5054)</f>
        <v/>
      </c>
      <c r="K5055">
        <f>IF(G5055=1,0.2*R5055/C5055,K5054)</f>
        <v/>
      </c>
      <c r="L5055">
        <f>IF(G5055=1,0.2*R5055/D5055,L5054)</f>
        <v/>
      </c>
      <c r="M5055">
        <f>IF(G5055=1,0.2*R5055/E5055,M5054)</f>
        <v/>
      </c>
      <c r="N5055">
        <f>IF(G5055=1,0.2*R5055/F5055,N5054)</f>
        <v/>
      </c>
      <c r="O5055">
        <f>IF(G5055=1,R5055*(1-1.0),IF(H5054=0,1,O5054*(1+0.00023125256064071564)))</f>
        <v/>
      </c>
      <c r="P5055">
        <f>IF(G5055=1,IF(H5054=0,1,ABS(0.2-J5054*B5055/I5055)+ABS(0.2-K5054*C5055/I5055)+ABS(0.2-L5054*D5055/I5055)+ABS(0.2-M5054*E5055/I5055)+ABS(0.2-N5054*F5055/I5055)),0)</f>
        <v/>
      </c>
      <c r="Q5055">
        <f>P5055*0.0015</f>
        <v/>
      </c>
      <c r="R5055">
        <f>I5055*(1-Q5055)</f>
        <v/>
      </c>
      <c r="S5055">
        <f>R5055/R5054-1</f>
        <v/>
      </c>
      <c r="T5055">
        <f>MAX(T5054,R5055)</f>
        <v/>
      </c>
      <c r="U5055">
        <f>R5055/T5055-1</f>
        <v/>
      </c>
      <c r="V5055" t="n">
        <v>28.11493749698142</v>
      </c>
      <c r="W5055" s="5">
        <f>R5055-V5055</f>
        <v/>
      </c>
    </row>
    <row r="5056">
      <c r="A5056" s="3" t="n">
        <v>45883</v>
      </c>
      <c r="B5056">
        <f>Prices!B5056</f>
        <v/>
      </c>
      <c r="C5056">
        <f>Prices!C5056</f>
        <v/>
      </c>
      <c r="D5056">
        <f>Prices!D5056</f>
        <v/>
      </c>
      <c r="E5056">
        <f>Prices!E5056</f>
        <v/>
      </c>
      <c r="F5056">
        <f>Prices!F5056</f>
        <v/>
      </c>
      <c r="G5056">
        <f>IF(AND(5054&gt;=16,TEXT(A5056,"yyyy-mm")&lt;&gt;TEXT(A5057,"yyyy-mm")),1,0)</f>
        <v/>
      </c>
      <c r="H5056">
        <f>IF(OR(H5055=1,G5056=1),1,0)</f>
        <v/>
      </c>
      <c r="I5056">
        <f>IF(H5055=0,1,SUMPRODUCT(J5055:N5055,B5056:F5056)+O5055*(1+0.00023125256064071564))</f>
        <v/>
      </c>
      <c r="J5056">
        <f>IF(G5056=1,0.2*R5056/B5056,J5055)</f>
        <v/>
      </c>
      <c r="K5056">
        <f>IF(G5056=1,0.2*R5056/C5056,K5055)</f>
        <v/>
      </c>
      <c r="L5056">
        <f>IF(G5056=1,0.2*R5056/D5056,L5055)</f>
        <v/>
      </c>
      <c r="M5056">
        <f>IF(G5056=1,0.2*R5056/E5056,M5055)</f>
        <v/>
      </c>
      <c r="N5056">
        <f>IF(G5056=1,0.2*R5056/F5056,N5055)</f>
        <v/>
      </c>
      <c r="O5056">
        <f>IF(G5056=1,R5056*(1-1.0),IF(H5055=0,1,O5055*(1+0.00023125256064071564)))</f>
        <v/>
      </c>
      <c r="P5056">
        <f>IF(G5056=1,IF(H5055=0,1,ABS(0.2-J5055*B5056/I5056)+ABS(0.2-K5055*C5056/I5056)+ABS(0.2-L5055*D5056/I5056)+ABS(0.2-M5055*E5056/I5056)+ABS(0.2-N5055*F5056/I5056)),0)</f>
        <v/>
      </c>
      <c r="Q5056">
        <f>P5056*0.0015</f>
        <v/>
      </c>
      <c r="R5056">
        <f>I5056*(1-Q5056)</f>
        <v/>
      </c>
      <c r="S5056">
        <f>R5056/R5055-1</f>
        <v/>
      </c>
      <c r="T5056">
        <f>MAX(T5055,R5056)</f>
        <v/>
      </c>
      <c r="U5056">
        <f>R5056/T5056-1</f>
        <v/>
      </c>
      <c r="V5056" t="n">
        <v>28.05147653003625</v>
      </c>
      <c r="W5056" s="5">
        <f>R5056-V5056</f>
        <v/>
      </c>
    </row>
    <row r="5057">
      <c r="A5057" s="3" t="n">
        <v>45887</v>
      </c>
      <c r="B5057">
        <f>Prices!B5057</f>
        <v/>
      </c>
      <c r="C5057">
        <f>Prices!C5057</f>
        <v/>
      </c>
      <c r="D5057">
        <f>Prices!D5057</f>
        <v/>
      </c>
      <c r="E5057">
        <f>Prices!E5057</f>
        <v/>
      </c>
      <c r="F5057">
        <f>Prices!F5057</f>
        <v/>
      </c>
      <c r="G5057">
        <f>IF(AND(5055&gt;=16,TEXT(A5057,"yyyy-mm")&lt;&gt;TEXT(A5058,"yyyy-mm")),1,0)</f>
        <v/>
      </c>
      <c r="H5057">
        <f>IF(OR(H5056=1,G5057=1),1,0)</f>
        <v/>
      </c>
      <c r="I5057">
        <f>IF(H5056=0,1,SUMPRODUCT(J5056:N5056,B5057:F5057)+O5056*(1+0.00023125256064071564))</f>
        <v/>
      </c>
      <c r="J5057">
        <f>IF(G5057=1,0.2*R5057/B5057,J5056)</f>
        <v/>
      </c>
      <c r="K5057">
        <f>IF(G5057=1,0.2*R5057/C5057,K5056)</f>
        <v/>
      </c>
      <c r="L5057">
        <f>IF(G5057=1,0.2*R5057/D5057,L5056)</f>
        <v/>
      </c>
      <c r="M5057">
        <f>IF(G5057=1,0.2*R5057/E5057,M5056)</f>
        <v/>
      </c>
      <c r="N5057">
        <f>IF(G5057=1,0.2*R5057/F5057,N5056)</f>
        <v/>
      </c>
      <c r="O5057">
        <f>IF(G5057=1,R5057*(1-1.0),IF(H5056=0,1,O5056*(1+0.00023125256064071564)))</f>
        <v/>
      </c>
      <c r="P5057">
        <f>IF(G5057=1,IF(H5056=0,1,ABS(0.2-J5056*B5057/I5057)+ABS(0.2-K5056*C5057/I5057)+ABS(0.2-L5056*D5057/I5057)+ABS(0.2-M5056*E5057/I5057)+ABS(0.2-N5056*F5057/I5057)),0)</f>
        <v/>
      </c>
      <c r="Q5057">
        <f>P5057*0.0015</f>
        <v/>
      </c>
      <c r="R5057">
        <f>I5057*(1-Q5057)</f>
        <v/>
      </c>
      <c r="S5057">
        <f>R5057/R5056-1</f>
        <v/>
      </c>
      <c r="T5057">
        <f>MAX(T5056,R5057)</f>
        <v/>
      </c>
      <c r="U5057">
        <f>R5057/T5057-1</f>
        <v/>
      </c>
      <c r="V5057" t="n">
        <v>28.4269630459021</v>
      </c>
      <c r="W5057" s="5">
        <f>R5057-V5057</f>
        <v/>
      </c>
    </row>
    <row r="5058">
      <c r="A5058" s="3" t="n">
        <v>45888</v>
      </c>
      <c r="B5058">
        <f>Prices!B5058</f>
        <v/>
      </c>
      <c r="C5058">
        <f>Prices!C5058</f>
        <v/>
      </c>
      <c r="D5058">
        <f>Prices!D5058</f>
        <v/>
      </c>
      <c r="E5058">
        <f>Prices!E5058</f>
        <v/>
      </c>
      <c r="F5058">
        <f>Prices!F5058</f>
        <v/>
      </c>
      <c r="G5058">
        <f>IF(AND(5056&gt;=16,TEXT(A5058,"yyyy-mm")&lt;&gt;TEXT(A5059,"yyyy-mm")),1,0)</f>
        <v/>
      </c>
      <c r="H5058">
        <f>IF(OR(H5057=1,G5058=1),1,0)</f>
        <v/>
      </c>
      <c r="I5058">
        <f>IF(H5057=0,1,SUMPRODUCT(J5057:N5057,B5058:F5058)+O5057*(1+0.00023125256064071564))</f>
        <v/>
      </c>
      <c r="J5058">
        <f>IF(G5058=1,0.2*R5058/B5058,J5057)</f>
        <v/>
      </c>
      <c r="K5058">
        <f>IF(G5058=1,0.2*R5058/C5058,K5057)</f>
        <v/>
      </c>
      <c r="L5058">
        <f>IF(G5058=1,0.2*R5058/D5058,L5057)</f>
        <v/>
      </c>
      <c r="M5058">
        <f>IF(G5058=1,0.2*R5058/E5058,M5057)</f>
        <v/>
      </c>
      <c r="N5058">
        <f>IF(G5058=1,0.2*R5058/F5058,N5057)</f>
        <v/>
      </c>
      <c r="O5058">
        <f>IF(G5058=1,R5058*(1-1.0),IF(H5057=0,1,O5057*(1+0.00023125256064071564)))</f>
        <v/>
      </c>
      <c r="P5058">
        <f>IF(G5058=1,IF(H5057=0,1,ABS(0.2-J5057*B5058/I5058)+ABS(0.2-K5057*C5058/I5058)+ABS(0.2-L5057*D5058/I5058)+ABS(0.2-M5057*E5058/I5058)+ABS(0.2-N5057*F5058/I5058)),0)</f>
        <v/>
      </c>
      <c r="Q5058">
        <f>P5058*0.0015</f>
        <v/>
      </c>
      <c r="R5058">
        <f>I5058*(1-Q5058)</f>
        <v/>
      </c>
      <c r="S5058">
        <f>R5058/R5057-1</f>
        <v/>
      </c>
      <c r="T5058">
        <f>MAX(T5057,R5058)</f>
        <v/>
      </c>
      <c r="U5058">
        <f>R5058/T5058-1</f>
        <v/>
      </c>
      <c r="V5058" t="n">
        <v>28.60039917863323</v>
      </c>
      <c r="W5058" s="5">
        <f>R5058-V5058</f>
        <v/>
      </c>
    </row>
    <row r="5059">
      <c r="A5059" s="3" t="n">
        <v>45889</v>
      </c>
      <c r="B5059">
        <f>Prices!B5059</f>
        <v/>
      </c>
      <c r="C5059">
        <f>Prices!C5059</f>
        <v/>
      </c>
      <c r="D5059">
        <f>Prices!D5059</f>
        <v/>
      </c>
      <c r="E5059">
        <f>Prices!E5059</f>
        <v/>
      </c>
      <c r="F5059">
        <f>Prices!F5059</f>
        <v/>
      </c>
      <c r="G5059">
        <f>IF(AND(5057&gt;=16,TEXT(A5059,"yyyy-mm")&lt;&gt;TEXT(A5060,"yyyy-mm")),1,0)</f>
        <v/>
      </c>
      <c r="H5059">
        <f>IF(OR(H5058=1,G5059=1),1,0)</f>
        <v/>
      </c>
      <c r="I5059">
        <f>IF(H5058=0,1,SUMPRODUCT(J5058:N5058,B5059:F5059)+O5058*(1+0.00023125256064071564))</f>
        <v/>
      </c>
      <c r="J5059">
        <f>IF(G5059=1,0.2*R5059/B5059,J5058)</f>
        <v/>
      </c>
      <c r="K5059">
        <f>IF(G5059=1,0.2*R5059/C5059,K5058)</f>
        <v/>
      </c>
      <c r="L5059">
        <f>IF(G5059=1,0.2*R5059/D5059,L5058)</f>
        <v/>
      </c>
      <c r="M5059">
        <f>IF(G5059=1,0.2*R5059/E5059,M5058)</f>
        <v/>
      </c>
      <c r="N5059">
        <f>IF(G5059=1,0.2*R5059/F5059,N5058)</f>
        <v/>
      </c>
      <c r="O5059">
        <f>IF(G5059=1,R5059*(1-1.0),IF(H5058=0,1,O5058*(1+0.00023125256064071564)))</f>
        <v/>
      </c>
      <c r="P5059">
        <f>IF(G5059=1,IF(H5058=0,1,ABS(0.2-J5058*B5059/I5059)+ABS(0.2-K5058*C5059/I5059)+ABS(0.2-L5058*D5059/I5059)+ABS(0.2-M5058*E5059/I5059)+ABS(0.2-N5058*F5059/I5059)),0)</f>
        <v/>
      </c>
      <c r="Q5059">
        <f>P5059*0.0015</f>
        <v/>
      </c>
      <c r="R5059">
        <f>I5059*(1-Q5059)</f>
        <v/>
      </c>
      <c r="S5059">
        <f>R5059/R5058-1</f>
        <v/>
      </c>
      <c r="T5059">
        <f>MAX(T5058,R5059)</f>
        <v/>
      </c>
      <c r="U5059">
        <f>R5059/T5059-1</f>
        <v/>
      </c>
      <c r="V5059" t="n">
        <v>28.69217338526908</v>
      </c>
      <c r="W5059" s="5">
        <f>R5059-V5059</f>
        <v/>
      </c>
    </row>
    <row r="5060">
      <c r="A5060" s="3" t="n">
        <v>45890</v>
      </c>
      <c r="B5060">
        <f>Prices!B5060</f>
        <v/>
      </c>
      <c r="C5060">
        <f>Prices!C5060</f>
        <v/>
      </c>
      <c r="D5060">
        <f>Prices!D5060</f>
        <v/>
      </c>
      <c r="E5060">
        <f>Prices!E5060</f>
        <v/>
      </c>
      <c r="F5060">
        <f>Prices!F5060</f>
        <v/>
      </c>
      <c r="G5060">
        <f>IF(AND(5058&gt;=16,TEXT(A5060,"yyyy-mm")&lt;&gt;TEXT(A5061,"yyyy-mm")),1,0)</f>
        <v/>
      </c>
      <c r="H5060">
        <f>IF(OR(H5059=1,G5060=1),1,0)</f>
        <v/>
      </c>
      <c r="I5060">
        <f>IF(H5059=0,1,SUMPRODUCT(J5059:N5059,B5060:F5060)+O5059*(1+0.00023125256064071564))</f>
        <v/>
      </c>
      <c r="J5060">
        <f>IF(G5060=1,0.2*R5060/B5060,J5059)</f>
        <v/>
      </c>
      <c r="K5060">
        <f>IF(G5060=1,0.2*R5060/C5060,K5059)</f>
        <v/>
      </c>
      <c r="L5060">
        <f>IF(G5060=1,0.2*R5060/D5060,L5059)</f>
        <v/>
      </c>
      <c r="M5060">
        <f>IF(G5060=1,0.2*R5060/E5060,M5059)</f>
        <v/>
      </c>
      <c r="N5060">
        <f>IF(G5060=1,0.2*R5060/F5060,N5059)</f>
        <v/>
      </c>
      <c r="O5060">
        <f>IF(G5060=1,R5060*(1-1.0),IF(H5059=0,1,O5059*(1+0.00023125256064071564)))</f>
        <v/>
      </c>
      <c r="P5060">
        <f>IF(G5060=1,IF(H5059=0,1,ABS(0.2-J5059*B5060/I5060)+ABS(0.2-K5059*C5060/I5060)+ABS(0.2-L5059*D5060/I5060)+ABS(0.2-M5059*E5060/I5060)+ABS(0.2-N5059*F5060/I5060)),0)</f>
        <v/>
      </c>
      <c r="Q5060">
        <f>P5060*0.0015</f>
        <v/>
      </c>
      <c r="R5060">
        <f>I5060*(1-Q5060)</f>
        <v/>
      </c>
      <c r="S5060">
        <f>R5060/R5059-1</f>
        <v/>
      </c>
      <c r="T5060">
        <f>MAX(T5059,R5060)</f>
        <v/>
      </c>
      <c r="U5060">
        <f>R5060/T5060-1</f>
        <v/>
      </c>
      <c r="V5060" t="n">
        <v>28.64314708539571</v>
      </c>
      <c r="W5060" s="5">
        <f>R5060-V5060</f>
        <v/>
      </c>
    </row>
    <row r="5061">
      <c r="A5061" s="3" t="n">
        <v>45891</v>
      </c>
      <c r="B5061">
        <f>Prices!B5061</f>
        <v/>
      </c>
      <c r="C5061">
        <f>Prices!C5061</f>
        <v/>
      </c>
      <c r="D5061">
        <f>Prices!D5061</f>
        <v/>
      </c>
      <c r="E5061">
        <f>Prices!E5061</f>
        <v/>
      </c>
      <c r="F5061">
        <f>Prices!F5061</f>
        <v/>
      </c>
      <c r="G5061">
        <f>IF(AND(5059&gt;=16,TEXT(A5061,"yyyy-mm")&lt;&gt;TEXT(A5062,"yyyy-mm")),1,0)</f>
        <v/>
      </c>
      <c r="H5061">
        <f>IF(OR(H5060=1,G5061=1),1,0)</f>
        <v/>
      </c>
      <c r="I5061">
        <f>IF(H5060=0,1,SUMPRODUCT(J5060:N5060,B5061:F5061)+O5060*(1+0.00023125256064071564))</f>
        <v/>
      </c>
      <c r="J5061">
        <f>IF(G5061=1,0.2*R5061/B5061,J5060)</f>
        <v/>
      </c>
      <c r="K5061">
        <f>IF(G5061=1,0.2*R5061/C5061,K5060)</f>
        <v/>
      </c>
      <c r="L5061">
        <f>IF(G5061=1,0.2*R5061/D5061,L5060)</f>
        <v/>
      </c>
      <c r="M5061">
        <f>IF(G5061=1,0.2*R5061/E5061,M5060)</f>
        <v/>
      </c>
      <c r="N5061">
        <f>IF(G5061=1,0.2*R5061/F5061,N5060)</f>
        <v/>
      </c>
      <c r="O5061">
        <f>IF(G5061=1,R5061*(1-1.0),IF(H5060=0,1,O5060*(1+0.00023125256064071564)))</f>
        <v/>
      </c>
      <c r="P5061">
        <f>IF(G5061=1,IF(H5060=0,1,ABS(0.2-J5060*B5061/I5061)+ABS(0.2-K5060*C5061/I5061)+ABS(0.2-L5060*D5061/I5061)+ABS(0.2-M5060*E5061/I5061)+ABS(0.2-N5060*F5061/I5061)),0)</f>
        <v/>
      </c>
      <c r="Q5061">
        <f>P5061*0.0015</f>
        <v/>
      </c>
      <c r="R5061">
        <f>I5061*(1-Q5061)</f>
        <v/>
      </c>
      <c r="S5061">
        <f>R5061/R5060-1</f>
        <v/>
      </c>
      <c r="T5061">
        <f>MAX(T5060,R5061)</f>
        <v/>
      </c>
      <c r="U5061">
        <f>R5061/T5061-1</f>
        <v/>
      </c>
      <c r="V5061" t="n">
        <v>28.51639388727542</v>
      </c>
      <c r="W5061" s="5">
        <f>R5061-V5061</f>
        <v/>
      </c>
    </row>
    <row r="5062">
      <c r="A5062" s="3" t="n">
        <v>45894</v>
      </c>
      <c r="B5062">
        <f>Prices!B5062</f>
        <v/>
      </c>
      <c r="C5062">
        <f>Prices!C5062</f>
        <v/>
      </c>
      <c r="D5062">
        <f>Prices!D5062</f>
        <v/>
      </c>
      <c r="E5062">
        <f>Prices!E5062</f>
        <v/>
      </c>
      <c r="F5062">
        <f>Prices!F5062</f>
        <v/>
      </c>
      <c r="G5062">
        <f>IF(AND(5060&gt;=16,TEXT(A5062,"yyyy-mm")&lt;&gt;TEXT(A5063,"yyyy-mm")),1,0)</f>
        <v/>
      </c>
      <c r="H5062">
        <f>IF(OR(H5061=1,G5062=1),1,0)</f>
        <v/>
      </c>
      <c r="I5062">
        <f>IF(H5061=0,1,SUMPRODUCT(J5061:N5061,B5062:F5062)+O5061*(1+0.00023125256064071564))</f>
        <v/>
      </c>
      <c r="J5062">
        <f>IF(G5062=1,0.2*R5062/B5062,J5061)</f>
        <v/>
      </c>
      <c r="K5062">
        <f>IF(G5062=1,0.2*R5062/C5062,K5061)</f>
        <v/>
      </c>
      <c r="L5062">
        <f>IF(G5062=1,0.2*R5062/D5062,L5061)</f>
        <v/>
      </c>
      <c r="M5062">
        <f>IF(G5062=1,0.2*R5062/E5062,M5061)</f>
        <v/>
      </c>
      <c r="N5062">
        <f>IF(G5062=1,0.2*R5062/F5062,N5061)</f>
        <v/>
      </c>
      <c r="O5062">
        <f>IF(G5062=1,R5062*(1-1.0),IF(H5061=0,1,O5061*(1+0.00023125256064071564)))</f>
        <v/>
      </c>
      <c r="P5062">
        <f>IF(G5062=1,IF(H5061=0,1,ABS(0.2-J5061*B5062/I5062)+ABS(0.2-K5061*C5062/I5062)+ABS(0.2-L5061*D5062/I5062)+ABS(0.2-M5061*E5062/I5062)+ABS(0.2-N5061*F5062/I5062)),0)</f>
        <v/>
      </c>
      <c r="Q5062">
        <f>P5062*0.0015</f>
        <v/>
      </c>
      <c r="R5062">
        <f>I5062*(1-Q5062)</f>
        <v/>
      </c>
      <c r="S5062">
        <f>R5062/R5061-1</f>
        <v/>
      </c>
      <c r="T5062">
        <f>MAX(T5061,R5062)</f>
        <v/>
      </c>
      <c r="U5062">
        <f>R5062/T5062-1</f>
        <v/>
      </c>
      <c r="V5062" t="n">
        <v>28.57765665432343</v>
      </c>
      <c r="W5062" s="5">
        <f>R5062-V5062</f>
        <v/>
      </c>
    </row>
    <row r="5063">
      <c r="A5063" s="3" t="n">
        <v>45895</v>
      </c>
      <c r="B5063">
        <f>Prices!B5063</f>
        <v/>
      </c>
      <c r="C5063">
        <f>Prices!C5063</f>
        <v/>
      </c>
      <c r="D5063">
        <f>Prices!D5063</f>
        <v/>
      </c>
      <c r="E5063">
        <f>Prices!E5063</f>
        <v/>
      </c>
      <c r="F5063">
        <f>Prices!F5063</f>
        <v/>
      </c>
      <c r="G5063">
        <f>IF(AND(5061&gt;=16,TEXT(A5063,"yyyy-mm")&lt;&gt;TEXT(A5064,"yyyy-mm")),1,0)</f>
        <v/>
      </c>
      <c r="H5063">
        <f>IF(OR(H5062=1,G5063=1),1,0)</f>
        <v/>
      </c>
      <c r="I5063">
        <f>IF(H5062=0,1,SUMPRODUCT(J5062:N5062,B5063:F5063)+O5062*(1+0.00023125256064071564))</f>
        <v/>
      </c>
      <c r="J5063">
        <f>IF(G5063=1,0.2*R5063/B5063,J5062)</f>
        <v/>
      </c>
      <c r="K5063">
        <f>IF(G5063=1,0.2*R5063/C5063,K5062)</f>
        <v/>
      </c>
      <c r="L5063">
        <f>IF(G5063=1,0.2*R5063/D5063,L5062)</f>
        <v/>
      </c>
      <c r="M5063">
        <f>IF(G5063=1,0.2*R5063/E5063,M5062)</f>
        <v/>
      </c>
      <c r="N5063">
        <f>IF(G5063=1,0.2*R5063/F5063,N5062)</f>
        <v/>
      </c>
      <c r="O5063">
        <f>IF(G5063=1,R5063*(1-1.0),IF(H5062=0,1,O5062*(1+0.00023125256064071564)))</f>
        <v/>
      </c>
      <c r="P5063">
        <f>IF(G5063=1,IF(H5062=0,1,ABS(0.2-J5062*B5063/I5063)+ABS(0.2-K5062*C5063/I5063)+ABS(0.2-L5062*D5063/I5063)+ABS(0.2-M5062*E5063/I5063)+ABS(0.2-N5062*F5063/I5063)),0)</f>
        <v/>
      </c>
      <c r="Q5063">
        <f>P5063*0.0015</f>
        <v/>
      </c>
      <c r="R5063">
        <f>I5063*(1-Q5063)</f>
        <v/>
      </c>
      <c r="S5063">
        <f>R5063/R5062-1</f>
        <v/>
      </c>
      <c r="T5063">
        <f>MAX(T5062,R5063)</f>
        <v/>
      </c>
      <c r="U5063">
        <f>R5063/T5063-1</f>
        <v/>
      </c>
      <c r="V5063" t="n">
        <v>28.13961621470452</v>
      </c>
      <c r="W5063" s="5">
        <f>R5063-V5063</f>
        <v/>
      </c>
    </row>
    <row r="5064">
      <c r="A5064" s="3" t="n">
        <v>45897</v>
      </c>
      <c r="B5064">
        <f>Prices!B5064</f>
        <v/>
      </c>
      <c r="C5064">
        <f>Prices!C5064</f>
        <v/>
      </c>
      <c r="D5064">
        <f>Prices!D5064</f>
        <v/>
      </c>
      <c r="E5064">
        <f>Prices!E5064</f>
        <v/>
      </c>
      <c r="F5064">
        <f>Prices!F5064</f>
        <v/>
      </c>
      <c r="G5064">
        <f>IF(AND(5062&gt;=16,TEXT(A5064,"yyyy-mm")&lt;&gt;TEXT(A5065,"yyyy-mm")),1,0)</f>
        <v/>
      </c>
      <c r="H5064">
        <f>IF(OR(H5063=1,G5064=1),1,0)</f>
        <v/>
      </c>
      <c r="I5064">
        <f>IF(H5063=0,1,SUMPRODUCT(J5063:N5063,B5064:F5064)+O5063*(1+0.00023125256064071564))</f>
        <v/>
      </c>
      <c r="J5064">
        <f>IF(G5064=1,0.2*R5064/B5064,J5063)</f>
        <v/>
      </c>
      <c r="K5064">
        <f>IF(G5064=1,0.2*R5064/C5064,K5063)</f>
        <v/>
      </c>
      <c r="L5064">
        <f>IF(G5064=1,0.2*R5064/D5064,L5063)</f>
        <v/>
      </c>
      <c r="M5064">
        <f>IF(G5064=1,0.2*R5064/E5064,M5063)</f>
        <v/>
      </c>
      <c r="N5064">
        <f>IF(G5064=1,0.2*R5064/F5064,N5063)</f>
        <v/>
      </c>
      <c r="O5064">
        <f>IF(G5064=1,R5064*(1-1.0),IF(H5063=0,1,O5063*(1+0.00023125256064071564)))</f>
        <v/>
      </c>
      <c r="P5064">
        <f>IF(G5064=1,IF(H5063=0,1,ABS(0.2-J5063*B5064/I5064)+ABS(0.2-K5063*C5064/I5064)+ABS(0.2-L5063*D5064/I5064)+ABS(0.2-M5063*E5064/I5064)+ABS(0.2-N5063*F5064/I5064)),0)</f>
        <v/>
      </c>
      <c r="Q5064">
        <f>P5064*0.0015</f>
        <v/>
      </c>
      <c r="R5064">
        <f>I5064*(1-Q5064)</f>
        <v/>
      </c>
      <c r="S5064">
        <f>R5064/R5063-1</f>
        <v/>
      </c>
      <c r="T5064">
        <f>MAX(T5063,R5064)</f>
        <v/>
      </c>
      <c r="U5064">
        <f>R5064/T5064-1</f>
        <v/>
      </c>
      <c r="V5064" t="n">
        <v>27.83657232912985</v>
      </c>
      <c r="W5064" s="5">
        <f>R5064-V5064</f>
        <v/>
      </c>
    </row>
    <row r="5065">
      <c r="A5065" s="3" t="n">
        <v>45898</v>
      </c>
      <c r="B5065">
        <f>Prices!B5065</f>
        <v/>
      </c>
      <c r="C5065">
        <f>Prices!C5065</f>
        <v/>
      </c>
      <c r="D5065">
        <f>Prices!D5065</f>
        <v/>
      </c>
      <c r="E5065">
        <f>Prices!E5065</f>
        <v/>
      </c>
      <c r="F5065">
        <f>Prices!F5065</f>
        <v/>
      </c>
      <c r="G5065">
        <f>IF(AND(5063&gt;=16,TEXT(A5065,"yyyy-mm")&lt;&gt;TEXT(A5066,"yyyy-mm")),1,0)</f>
        <v/>
      </c>
      <c r="H5065">
        <f>IF(OR(H5064=1,G5065=1),1,0)</f>
        <v/>
      </c>
      <c r="I5065">
        <f>IF(H5064=0,1,SUMPRODUCT(J5064:N5064,B5065:F5065)+O5064*(1+0.00023125256064071564))</f>
        <v/>
      </c>
      <c r="J5065">
        <f>IF(G5065=1,0.2*R5065/B5065,J5064)</f>
        <v/>
      </c>
      <c r="K5065">
        <f>IF(G5065=1,0.2*R5065/C5065,K5064)</f>
        <v/>
      </c>
      <c r="L5065">
        <f>IF(G5065=1,0.2*R5065/D5065,L5064)</f>
        <v/>
      </c>
      <c r="M5065">
        <f>IF(G5065=1,0.2*R5065/E5065,M5064)</f>
        <v/>
      </c>
      <c r="N5065">
        <f>IF(G5065=1,0.2*R5065/F5065,N5064)</f>
        <v/>
      </c>
      <c r="O5065">
        <f>IF(G5065=1,R5065*(1-1.0),IF(H5064=0,1,O5064*(1+0.00023125256064071564)))</f>
        <v/>
      </c>
      <c r="P5065">
        <f>IF(G5065=1,IF(H5064=0,1,ABS(0.2-J5064*B5065/I5065)+ABS(0.2-K5064*C5065/I5065)+ABS(0.2-L5064*D5065/I5065)+ABS(0.2-M5064*E5065/I5065)+ABS(0.2-N5064*F5065/I5065)),0)</f>
        <v/>
      </c>
      <c r="Q5065">
        <f>P5065*0.0015</f>
        <v/>
      </c>
      <c r="R5065">
        <f>I5065*(1-Q5065)</f>
        <v/>
      </c>
      <c r="S5065">
        <f>R5065/R5064-1</f>
        <v/>
      </c>
      <c r="T5065">
        <f>MAX(T5064,R5065)</f>
        <v/>
      </c>
      <c r="U5065">
        <f>R5065/T5065-1</f>
        <v/>
      </c>
      <c r="V5065" t="n">
        <v>27.75715128505327</v>
      </c>
      <c r="W5065" s="5">
        <f>R5065-V5065</f>
        <v/>
      </c>
    </row>
    <row r="5066">
      <c r="A5066" s="3" t="n">
        <v>45901</v>
      </c>
      <c r="B5066">
        <f>Prices!B5066</f>
        <v/>
      </c>
      <c r="C5066">
        <f>Prices!C5066</f>
        <v/>
      </c>
      <c r="D5066">
        <f>Prices!D5066</f>
        <v/>
      </c>
      <c r="E5066">
        <f>Prices!E5066</f>
        <v/>
      </c>
      <c r="F5066">
        <f>Prices!F5066</f>
        <v/>
      </c>
      <c r="G5066">
        <f>IF(AND(5064&gt;=16,TEXT(A5066,"yyyy-mm")&lt;&gt;TEXT(A5067,"yyyy-mm")),1,0)</f>
        <v/>
      </c>
      <c r="H5066">
        <f>IF(OR(H5065=1,G5066=1),1,0)</f>
        <v/>
      </c>
      <c r="I5066">
        <f>IF(H5065=0,1,SUMPRODUCT(J5065:N5065,B5066:F5066)+O5065*(1+0.00023125256064071564))</f>
        <v/>
      </c>
      <c r="J5066">
        <f>IF(G5066=1,0.2*R5066/B5066,J5065)</f>
        <v/>
      </c>
      <c r="K5066">
        <f>IF(G5066=1,0.2*R5066/C5066,K5065)</f>
        <v/>
      </c>
      <c r="L5066">
        <f>IF(G5066=1,0.2*R5066/D5066,L5065)</f>
        <v/>
      </c>
      <c r="M5066">
        <f>IF(G5066=1,0.2*R5066/E5066,M5065)</f>
        <v/>
      </c>
      <c r="N5066">
        <f>IF(G5066=1,0.2*R5066/F5066,N5065)</f>
        <v/>
      </c>
      <c r="O5066">
        <f>IF(G5066=1,R5066*(1-1.0),IF(H5065=0,1,O5065*(1+0.00023125256064071564)))</f>
        <v/>
      </c>
      <c r="P5066">
        <f>IF(G5066=1,IF(H5065=0,1,ABS(0.2-J5065*B5066/I5066)+ABS(0.2-K5065*C5066/I5066)+ABS(0.2-L5065*D5066/I5066)+ABS(0.2-M5065*E5066/I5066)+ABS(0.2-N5065*F5066/I5066)),0)</f>
        <v/>
      </c>
      <c r="Q5066">
        <f>P5066*0.0015</f>
        <v/>
      </c>
      <c r="R5066">
        <f>I5066*(1-Q5066)</f>
        <v/>
      </c>
      <c r="S5066">
        <f>R5066/R5065-1</f>
        <v/>
      </c>
      <c r="T5066">
        <f>MAX(T5065,R5066)</f>
        <v/>
      </c>
      <c r="U5066">
        <f>R5066/T5066-1</f>
        <v/>
      </c>
      <c r="V5066" t="n">
        <v>28.22568754935761</v>
      </c>
      <c r="W5066" s="5">
        <f>R5066-V5066</f>
        <v/>
      </c>
    </row>
    <row r="5067">
      <c r="A5067" s="3" t="n">
        <v>45902</v>
      </c>
      <c r="B5067">
        <f>Prices!B5067</f>
        <v/>
      </c>
      <c r="C5067">
        <f>Prices!C5067</f>
        <v/>
      </c>
      <c r="D5067">
        <f>Prices!D5067</f>
        <v/>
      </c>
      <c r="E5067">
        <f>Prices!E5067</f>
        <v/>
      </c>
      <c r="F5067">
        <f>Prices!F5067</f>
        <v/>
      </c>
      <c r="G5067">
        <f>IF(AND(5065&gt;=16,TEXT(A5067,"yyyy-mm")&lt;&gt;TEXT(A5068,"yyyy-mm")),1,0)</f>
        <v/>
      </c>
      <c r="H5067">
        <f>IF(OR(H5066=1,G5067=1),1,0)</f>
        <v/>
      </c>
      <c r="I5067">
        <f>IF(H5066=0,1,SUMPRODUCT(J5066:N5066,B5067:F5067)+O5066*(1+0.00023125256064071564))</f>
        <v/>
      </c>
      <c r="J5067">
        <f>IF(G5067=1,0.2*R5067/B5067,J5066)</f>
        <v/>
      </c>
      <c r="K5067">
        <f>IF(G5067=1,0.2*R5067/C5067,K5066)</f>
        <v/>
      </c>
      <c r="L5067">
        <f>IF(G5067=1,0.2*R5067/D5067,L5066)</f>
        <v/>
      </c>
      <c r="M5067">
        <f>IF(G5067=1,0.2*R5067/E5067,M5066)</f>
        <v/>
      </c>
      <c r="N5067">
        <f>IF(G5067=1,0.2*R5067/F5067,N5066)</f>
        <v/>
      </c>
      <c r="O5067">
        <f>IF(G5067=1,R5067*(1-1.0),IF(H5066=0,1,O5066*(1+0.00023125256064071564)))</f>
        <v/>
      </c>
      <c r="P5067">
        <f>IF(G5067=1,IF(H5066=0,1,ABS(0.2-J5066*B5067/I5067)+ABS(0.2-K5066*C5067/I5067)+ABS(0.2-L5066*D5067/I5067)+ABS(0.2-M5066*E5067/I5067)+ABS(0.2-N5066*F5067/I5067)),0)</f>
        <v/>
      </c>
      <c r="Q5067">
        <f>P5067*0.0015</f>
        <v/>
      </c>
      <c r="R5067">
        <f>I5067*(1-Q5067)</f>
        <v/>
      </c>
      <c r="S5067">
        <f>R5067/R5066-1</f>
        <v/>
      </c>
      <c r="T5067">
        <f>MAX(T5066,R5067)</f>
        <v/>
      </c>
      <c r="U5067">
        <f>R5067/T5067-1</f>
        <v/>
      </c>
      <c r="V5067" t="n">
        <v>28.32341691161843</v>
      </c>
      <c r="W5067" s="5">
        <f>R5067-V5067</f>
        <v/>
      </c>
    </row>
    <row r="5068">
      <c r="A5068" s="3" t="n">
        <v>45903</v>
      </c>
      <c r="B5068">
        <f>Prices!B5068</f>
        <v/>
      </c>
      <c r="C5068">
        <f>Prices!C5068</f>
        <v/>
      </c>
      <c r="D5068">
        <f>Prices!D5068</f>
        <v/>
      </c>
      <c r="E5068">
        <f>Prices!E5068</f>
        <v/>
      </c>
      <c r="F5068">
        <f>Prices!F5068</f>
        <v/>
      </c>
      <c r="G5068">
        <f>IF(AND(5066&gt;=16,TEXT(A5068,"yyyy-mm")&lt;&gt;TEXT(A5069,"yyyy-mm")),1,0)</f>
        <v/>
      </c>
      <c r="H5068">
        <f>IF(OR(H5067=1,G5068=1),1,0)</f>
        <v/>
      </c>
      <c r="I5068">
        <f>IF(H5067=0,1,SUMPRODUCT(J5067:N5067,B5068:F5068)+O5067*(1+0.00023125256064071564))</f>
        <v/>
      </c>
      <c r="J5068">
        <f>IF(G5068=1,0.2*R5068/B5068,J5067)</f>
        <v/>
      </c>
      <c r="K5068">
        <f>IF(G5068=1,0.2*R5068/C5068,K5067)</f>
        <v/>
      </c>
      <c r="L5068">
        <f>IF(G5068=1,0.2*R5068/D5068,L5067)</f>
        <v/>
      </c>
      <c r="M5068">
        <f>IF(G5068=1,0.2*R5068/E5068,M5067)</f>
        <v/>
      </c>
      <c r="N5068">
        <f>IF(G5068=1,0.2*R5068/F5068,N5067)</f>
        <v/>
      </c>
      <c r="O5068">
        <f>IF(G5068=1,R5068*(1-1.0),IF(H5067=0,1,O5067*(1+0.00023125256064071564)))</f>
        <v/>
      </c>
      <c r="P5068">
        <f>IF(G5068=1,IF(H5067=0,1,ABS(0.2-J5067*B5068/I5068)+ABS(0.2-K5067*C5068/I5068)+ABS(0.2-L5067*D5068/I5068)+ABS(0.2-M5067*E5068/I5068)+ABS(0.2-N5067*F5068/I5068)),0)</f>
        <v/>
      </c>
      <c r="Q5068">
        <f>P5068*0.0015</f>
        <v/>
      </c>
      <c r="R5068">
        <f>I5068*(1-Q5068)</f>
        <v/>
      </c>
      <c r="S5068">
        <f>R5068/R5067-1</f>
        <v/>
      </c>
      <c r="T5068">
        <f>MAX(T5067,R5068)</f>
        <v/>
      </c>
      <c r="U5068">
        <f>R5068/T5068-1</f>
        <v/>
      </c>
      <c r="V5068" t="n">
        <v>28.52107786012513</v>
      </c>
      <c r="W5068" s="5">
        <f>R5068-V5068</f>
        <v/>
      </c>
    </row>
    <row r="5069">
      <c r="A5069" s="3" t="n">
        <v>45904</v>
      </c>
      <c r="B5069">
        <f>Prices!B5069</f>
        <v/>
      </c>
      <c r="C5069">
        <f>Prices!C5069</f>
        <v/>
      </c>
      <c r="D5069">
        <f>Prices!D5069</f>
        <v/>
      </c>
      <c r="E5069">
        <f>Prices!E5069</f>
        <v/>
      </c>
      <c r="F5069">
        <f>Prices!F5069</f>
        <v/>
      </c>
      <c r="G5069">
        <f>IF(AND(5067&gt;=16,TEXT(A5069,"yyyy-mm")&lt;&gt;TEXT(A5070,"yyyy-mm")),1,0)</f>
        <v/>
      </c>
      <c r="H5069">
        <f>IF(OR(H5068=1,G5069=1),1,0)</f>
        <v/>
      </c>
      <c r="I5069">
        <f>IF(H5068=0,1,SUMPRODUCT(J5068:N5068,B5069:F5069)+O5068*(1+0.00023125256064071564))</f>
        <v/>
      </c>
      <c r="J5069">
        <f>IF(G5069=1,0.2*R5069/B5069,J5068)</f>
        <v/>
      </c>
      <c r="K5069">
        <f>IF(G5069=1,0.2*R5069/C5069,K5068)</f>
        <v/>
      </c>
      <c r="L5069">
        <f>IF(G5069=1,0.2*R5069/D5069,L5068)</f>
        <v/>
      </c>
      <c r="M5069">
        <f>IF(G5069=1,0.2*R5069/E5069,M5068)</f>
        <v/>
      </c>
      <c r="N5069">
        <f>IF(G5069=1,0.2*R5069/F5069,N5068)</f>
        <v/>
      </c>
      <c r="O5069">
        <f>IF(G5069=1,R5069*(1-1.0),IF(H5068=0,1,O5068*(1+0.00023125256064071564)))</f>
        <v/>
      </c>
      <c r="P5069">
        <f>IF(G5069=1,IF(H5068=0,1,ABS(0.2-J5068*B5069/I5069)+ABS(0.2-K5068*C5069/I5069)+ABS(0.2-L5068*D5069/I5069)+ABS(0.2-M5068*E5069/I5069)+ABS(0.2-N5068*F5069/I5069)),0)</f>
        <v/>
      </c>
      <c r="Q5069">
        <f>P5069*0.0015</f>
        <v/>
      </c>
      <c r="R5069">
        <f>I5069*(1-Q5069)</f>
        <v/>
      </c>
      <c r="S5069">
        <f>R5069/R5068-1</f>
        <v/>
      </c>
      <c r="T5069">
        <f>MAX(T5068,R5069)</f>
        <v/>
      </c>
      <c r="U5069">
        <f>R5069/T5069-1</f>
        <v/>
      </c>
      <c r="V5069" t="n">
        <v>28.39119932264239</v>
      </c>
      <c r="W5069" s="5">
        <f>R5069-V5069</f>
        <v/>
      </c>
    </row>
    <row r="5070">
      <c r="A5070" s="3" t="n">
        <v>45905</v>
      </c>
      <c r="B5070">
        <f>Prices!B5070</f>
        <v/>
      </c>
      <c r="C5070">
        <f>Prices!C5070</f>
        <v/>
      </c>
      <c r="D5070">
        <f>Prices!D5070</f>
        <v/>
      </c>
      <c r="E5070">
        <f>Prices!E5070</f>
        <v/>
      </c>
      <c r="F5070">
        <f>Prices!F5070</f>
        <v/>
      </c>
      <c r="G5070">
        <f>IF(AND(5068&gt;=16,TEXT(A5070,"yyyy-mm")&lt;&gt;TEXT(A5071,"yyyy-mm")),1,0)</f>
        <v/>
      </c>
      <c r="H5070">
        <f>IF(OR(H5069=1,G5070=1),1,0)</f>
        <v/>
      </c>
      <c r="I5070">
        <f>IF(H5069=0,1,SUMPRODUCT(J5069:N5069,B5070:F5070)+O5069*(1+0.00023125256064071564))</f>
        <v/>
      </c>
      <c r="J5070">
        <f>IF(G5070=1,0.2*R5070/B5070,J5069)</f>
        <v/>
      </c>
      <c r="K5070">
        <f>IF(G5070=1,0.2*R5070/C5070,K5069)</f>
        <v/>
      </c>
      <c r="L5070">
        <f>IF(G5070=1,0.2*R5070/D5070,L5069)</f>
        <v/>
      </c>
      <c r="M5070">
        <f>IF(G5070=1,0.2*R5070/E5070,M5069)</f>
        <v/>
      </c>
      <c r="N5070">
        <f>IF(G5070=1,0.2*R5070/F5070,N5069)</f>
        <v/>
      </c>
      <c r="O5070">
        <f>IF(G5070=1,R5070*(1-1.0),IF(H5069=0,1,O5069*(1+0.00023125256064071564)))</f>
        <v/>
      </c>
      <c r="P5070">
        <f>IF(G5070=1,IF(H5069=0,1,ABS(0.2-J5069*B5070/I5070)+ABS(0.2-K5069*C5070/I5070)+ABS(0.2-L5069*D5070/I5070)+ABS(0.2-M5069*E5070/I5070)+ABS(0.2-N5069*F5070/I5070)),0)</f>
        <v/>
      </c>
      <c r="Q5070">
        <f>P5070*0.0015</f>
        <v/>
      </c>
      <c r="R5070">
        <f>I5070*(1-Q5070)</f>
        <v/>
      </c>
      <c r="S5070">
        <f>R5070/R5069-1</f>
        <v/>
      </c>
      <c r="T5070">
        <f>MAX(T5069,R5070)</f>
        <v/>
      </c>
      <c r="U5070">
        <f>R5070/T5070-1</f>
        <v/>
      </c>
      <c r="V5070" t="n">
        <v>28.40237015600608</v>
      </c>
      <c r="W5070" s="5">
        <f>R5070-V5070</f>
        <v/>
      </c>
    </row>
    <row r="5071">
      <c r="A5071" s="3" t="n">
        <v>45908</v>
      </c>
      <c r="B5071">
        <f>Prices!B5071</f>
        <v/>
      </c>
      <c r="C5071">
        <f>Prices!C5071</f>
        <v/>
      </c>
      <c r="D5071">
        <f>Prices!D5071</f>
        <v/>
      </c>
      <c r="E5071">
        <f>Prices!E5071</f>
        <v/>
      </c>
      <c r="F5071">
        <f>Prices!F5071</f>
        <v/>
      </c>
      <c r="G5071">
        <f>IF(AND(5069&gt;=16,TEXT(A5071,"yyyy-mm")&lt;&gt;TEXT(A5072,"yyyy-mm")),1,0)</f>
        <v/>
      </c>
      <c r="H5071">
        <f>IF(OR(H5070=1,G5071=1),1,0)</f>
        <v/>
      </c>
      <c r="I5071">
        <f>IF(H5070=0,1,SUMPRODUCT(J5070:N5070,B5071:F5071)+O5070*(1+0.00023125256064071564))</f>
        <v/>
      </c>
      <c r="J5071">
        <f>IF(G5071=1,0.2*R5071/B5071,J5070)</f>
        <v/>
      </c>
      <c r="K5071">
        <f>IF(G5071=1,0.2*R5071/C5071,K5070)</f>
        <v/>
      </c>
      <c r="L5071">
        <f>IF(G5071=1,0.2*R5071/D5071,L5070)</f>
        <v/>
      </c>
      <c r="M5071">
        <f>IF(G5071=1,0.2*R5071/E5071,M5070)</f>
        <v/>
      </c>
      <c r="N5071">
        <f>IF(G5071=1,0.2*R5071/F5071,N5070)</f>
        <v/>
      </c>
      <c r="O5071">
        <f>IF(G5071=1,R5071*(1-1.0),IF(H5070=0,1,O5070*(1+0.00023125256064071564)))</f>
        <v/>
      </c>
      <c r="P5071">
        <f>IF(G5071=1,IF(H5070=0,1,ABS(0.2-J5070*B5071/I5071)+ABS(0.2-K5070*C5071/I5071)+ABS(0.2-L5070*D5071/I5071)+ABS(0.2-M5070*E5071/I5071)+ABS(0.2-N5070*F5071/I5071)),0)</f>
        <v/>
      </c>
      <c r="Q5071">
        <f>P5071*0.0015</f>
        <v/>
      </c>
      <c r="R5071">
        <f>I5071*(1-Q5071)</f>
        <v/>
      </c>
      <c r="S5071">
        <f>R5071/R5070-1</f>
        <v/>
      </c>
      <c r="T5071">
        <f>MAX(T5070,R5071)</f>
        <v/>
      </c>
      <c r="U5071">
        <f>R5071/T5071-1</f>
        <v/>
      </c>
      <c r="V5071" t="n">
        <v>28.43473150196283</v>
      </c>
      <c r="W5071" s="5">
        <f>R5071-V5071</f>
        <v/>
      </c>
    </row>
    <row r="5072">
      <c r="A5072" s="3" t="n">
        <v>45909</v>
      </c>
      <c r="B5072">
        <f>Prices!B5072</f>
        <v/>
      </c>
      <c r="C5072">
        <f>Prices!C5072</f>
        <v/>
      </c>
      <c r="D5072">
        <f>Prices!D5072</f>
        <v/>
      </c>
      <c r="E5072">
        <f>Prices!E5072</f>
        <v/>
      </c>
      <c r="F5072">
        <f>Prices!F5072</f>
        <v/>
      </c>
      <c r="G5072">
        <f>IF(AND(5070&gt;=16,TEXT(A5072,"yyyy-mm")&lt;&gt;TEXT(A5073,"yyyy-mm")),1,0)</f>
        <v/>
      </c>
      <c r="H5072">
        <f>IF(OR(H5071=1,G5072=1),1,0)</f>
        <v/>
      </c>
      <c r="I5072">
        <f>IF(H5071=0,1,SUMPRODUCT(J5071:N5071,B5072:F5072)+O5071*(1+0.00023125256064071564))</f>
        <v/>
      </c>
      <c r="J5072">
        <f>IF(G5072=1,0.2*R5072/B5072,J5071)</f>
        <v/>
      </c>
      <c r="K5072">
        <f>IF(G5072=1,0.2*R5072/C5072,K5071)</f>
        <v/>
      </c>
      <c r="L5072">
        <f>IF(G5072=1,0.2*R5072/D5072,L5071)</f>
        <v/>
      </c>
      <c r="M5072">
        <f>IF(G5072=1,0.2*R5072/E5072,M5071)</f>
        <v/>
      </c>
      <c r="N5072">
        <f>IF(G5072=1,0.2*R5072/F5072,N5071)</f>
        <v/>
      </c>
      <c r="O5072">
        <f>IF(G5072=1,R5072*(1-1.0),IF(H5071=0,1,O5071*(1+0.00023125256064071564)))</f>
        <v/>
      </c>
      <c r="P5072">
        <f>IF(G5072=1,IF(H5071=0,1,ABS(0.2-J5071*B5072/I5072)+ABS(0.2-K5071*C5072/I5072)+ABS(0.2-L5071*D5072/I5072)+ABS(0.2-M5071*E5072/I5072)+ABS(0.2-N5071*F5072/I5072)),0)</f>
        <v/>
      </c>
      <c r="Q5072">
        <f>P5072*0.0015</f>
        <v/>
      </c>
      <c r="R5072">
        <f>I5072*(1-Q5072)</f>
        <v/>
      </c>
      <c r="S5072">
        <f>R5072/R5071-1</f>
        <v/>
      </c>
      <c r="T5072">
        <f>MAX(T5071,R5072)</f>
        <v/>
      </c>
      <c r="U5072">
        <f>R5072/T5072-1</f>
        <v/>
      </c>
      <c r="V5072" t="n">
        <v>28.5405866842675</v>
      </c>
      <c r="W5072" s="5">
        <f>R5072-V5072</f>
        <v/>
      </c>
    </row>
    <row r="5073">
      <c r="A5073" s="3" t="n">
        <v>45910</v>
      </c>
      <c r="B5073">
        <f>Prices!B5073</f>
        <v/>
      </c>
      <c r="C5073">
        <f>Prices!C5073</f>
        <v/>
      </c>
      <c r="D5073">
        <f>Prices!D5073</f>
        <v/>
      </c>
      <c r="E5073">
        <f>Prices!E5073</f>
        <v/>
      </c>
      <c r="F5073">
        <f>Prices!F5073</f>
        <v/>
      </c>
      <c r="G5073">
        <f>IF(AND(5071&gt;=16,TEXT(A5073,"yyyy-mm")&lt;&gt;TEXT(A5074,"yyyy-mm")),1,0)</f>
        <v/>
      </c>
      <c r="H5073">
        <f>IF(OR(H5072=1,G5073=1),1,0)</f>
        <v/>
      </c>
      <c r="I5073">
        <f>IF(H5072=0,1,SUMPRODUCT(J5072:N5072,B5073:F5073)+O5072*(1+0.00023125256064071564))</f>
        <v/>
      </c>
      <c r="J5073">
        <f>IF(G5073=1,0.2*R5073/B5073,J5072)</f>
        <v/>
      </c>
      <c r="K5073">
        <f>IF(G5073=1,0.2*R5073/C5073,K5072)</f>
        <v/>
      </c>
      <c r="L5073">
        <f>IF(G5073=1,0.2*R5073/D5073,L5072)</f>
        <v/>
      </c>
      <c r="M5073">
        <f>IF(G5073=1,0.2*R5073/E5073,M5072)</f>
        <v/>
      </c>
      <c r="N5073">
        <f>IF(G5073=1,0.2*R5073/F5073,N5072)</f>
        <v/>
      </c>
      <c r="O5073">
        <f>IF(G5073=1,R5073*(1-1.0),IF(H5072=0,1,O5072*(1+0.00023125256064071564)))</f>
        <v/>
      </c>
      <c r="P5073">
        <f>IF(G5073=1,IF(H5072=0,1,ABS(0.2-J5072*B5073/I5073)+ABS(0.2-K5072*C5073/I5073)+ABS(0.2-L5072*D5073/I5073)+ABS(0.2-M5072*E5073/I5073)+ABS(0.2-N5072*F5073/I5073)),0)</f>
        <v/>
      </c>
      <c r="Q5073">
        <f>P5073*0.0015</f>
        <v/>
      </c>
      <c r="R5073">
        <f>I5073*(1-Q5073)</f>
        <v/>
      </c>
      <c r="S5073">
        <f>R5073/R5072-1</f>
        <v/>
      </c>
      <c r="T5073">
        <f>MAX(T5072,R5073)</f>
        <v/>
      </c>
      <c r="U5073">
        <f>R5073/T5073-1</f>
        <v/>
      </c>
      <c r="V5073" t="n">
        <v>28.81583234998937</v>
      </c>
      <c r="W5073" s="5">
        <f>R5073-V5073</f>
        <v/>
      </c>
    </row>
    <row r="5074">
      <c r="A5074" s="3" t="n">
        <v>45911</v>
      </c>
      <c r="B5074">
        <f>Prices!B5074</f>
        <v/>
      </c>
      <c r="C5074">
        <f>Prices!C5074</f>
        <v/>
      </c>
      <c r="D5074">
        <f>Prices!D5074</f>
        <v/>
      </c>
      <c r="E5074">
        <f>Prices!E5074</f>
        <v/>
      </c>
      <c r="F5074">
        <f>Prices!F5074</f>
        <v/>
      </c>
      <c r="G5074">
        <f>IF(AND(5072&gt;=16,TEXT(A5074,"yyyy-mm")&lt;&gt;TEXT(A5075,"yyyy-mm")),1,0)</f>
        <v/>
      </c>
      <c r="H5074">
        <f>IF(OR(H5073=1,G5074=1),1,0)</f>
        <v/>
      </c>
      <c r="I5074">
        <f>IF(H5073=0,1,SUMPRODUCT(J5073:N5073,B5074:F5074)+O5073*(1+0.00023125256064071564))</f>
        <v/>
      </c>
      <c r="J5074">
        <f>IF(G5074=1,0.2*R5074/B5074,J5073)</f>
        <v/>
      </c>
      <c r="K5074">
        <f>IF(G5074=1,0.2*R5074/C5074,K5073)</f>
        <v/>
      </c>
      <c r="L5074">
        <f>IF(G5074=1,0.2*R5074/D5074,L5073)</f>
        <v/>
      </c>
      <c r="M5074">
        <f>IF(G5074=1,0.2*R5074/E5074,M5073)</f>
        <v/>
      </c>
      <c r="N5074">
        <f>IF(G5074=1,0.2*R5074/F5074,N5073)</f>
        <v/>
      </c>
      <c r="O5074">
        <f>IF(G5074=1,R5074*(1-1.0),IF(H5073=0,1,O5073*(1+0.00023125256064071564)))</f>
        <v/>
      </c>
      <c r="P5074">
        <f>IF(G5074=1,IF(H5073=0,1,ABS(0.2-J5073*B5074/I5074)+ABS(0.2-K5073*C5074/I5074)+ABS(0.2-L5073*D5074/I5074)+ABS(0.2-M5073*E5074/I5074)+ABS(0.2-N5073*F5074/I5074)),0)</f>
        <v/>
      </c>
      <c r="Q5074">
        <f>P5074*0.0015</f>
        <v/>
      </c>
      <c r="R5074">
        <f>I5074*(1-Q5074)</f>
        <v/>
      </c>
      <c r="S5074">
        <f>R5074/R5073-1</f>
        <v/>
      </c>
      <c r="T5074">
        <f>MAX(T5073,R5074)</f>
        <v/>
      </c>
      <c r="U5074">
        <f>R5074/T5074-1</f>
        <v/>
      </c>
      <c r="V5074" t="n">
        <v>28.79091455488978</v>
      </c>
      <c r="W5074" s="5">
        <f>R5074-V5074</f>
        <v/>
      </c>
    </row>
    <row r="5075">
      <c r="A5075" s="3" t="n">
        <v>45912</v>
      </c>
      <c r="B5075">
        <f>Prices!B5075</f>
        <v/>
      </c>
      <c r="C5075">
        <f>Prices!C5075</f>
        <v/>
      </c>
      <c r="D5075">
        <f>Prices!D5075</f>
        <v/>
      </c>
      <c r="E5075">
        <f>Prices!E5075</f>
        <v/>
      </c>
      <c r="F5075">
        <f>Prices!F5075</f>
        <v/>
      </c>
      <c r="G5075">
        <f>IF(AND(5073&gt;=16,TEXT(A5075,"yyyy-mm")&lt;&gt;TEXT(A5076,"yyyy-mm")),1,0)</f>
        <v/>
      </c>
      <c r="H5075">
        <f>IF(OR(H5074=1,G5075=1),1,0)</f>
        <v/>
      </c>
      <c r="I5075">
        <f>IF(H5074=0,1,SUMPRODUCT(J5074:N5074,B5075:F5075)+O5074*(1+0.00023125256064071564))</f>
        <v/>
      </c>
      <c r="J5075">
        <f>IF(G5075=1,0.2*R5075/B5075,J5074)</f>
        <v/>
      </c>
      <c r="K5075">
        <f>IF(G5075=1,0.2*R5075/C5075,K5074)</f>
        <v/>
      </c>
      <c r="L5075">
        <f>IF(G5075=1,0.2*R5075/D5075,L5074)</f>
        <v/>
      </c>
      <c r="M5075">
        <f>IF(G5075=1,0.2*R5075/E5075,M5074)</f>
        <v/>
      </c>
      <c r="N5075">
        <f>IF(G5075=1,0.2*R5075/F5075,N5074)</f>
        <v/>
      </c>
      <c r="O5075">
        <f>IF(G5075=1,R5075*(1-1.0),IF(H5074=0,1,O5074*(1+0.00023125256064071564)))</f>
        <v/>
      </c>
      <c r="P5075">
        <f>IF(G5075=1,IF(H5074=0,1,ABS(0.2-J5074*B5075/I5075)+ABS(0.2-K5074*C5075/I5075)+ABS(0.2-L5074*D5075/I5075)+ABS(0.2-M5074*E5075/I5075)+ABS(0.2-N5074*F5075/I5075)),0)</f>
        <v/>
      </c>
      <c r="Q5075">
        <f>P5075*0.0015</f>
        <v/>
      </c>
      <c r="R5075">
        <f>I5075*(1-Q5075)</f>
        <v/>
      </c>
      <c r="S5075">
        <f>R5075/R5074-1</f>
        <v/>
      </c>
      <c r="T5075">
        <f>MAX(T5074,R5075)</f>
        <v/>
      </c>
      <c r="U5075">
        <f>R5075/T5075-1</f>
        <v/>
      </c>
      <c r="V5075" t="n">
        <v>28.93775509467752</v>
      </c>
      <c r="W5075" s="5">
        <f>R5075-V5075</f>
        <v/>
      </c>
    </row>
    <row r="5076">
      <c r="A5076" s="3" t="n">
        <v>45915</v>
      </c>
      <c r="B5076">
        <f>Prices!B5076</f>
        <v/>
      </c>
      <c r="C5076">
        <f>Prices!C5076</f>
        <v/>
      </c>
      <c r="D5076">
        <f>Prices!D5076</f>
        <v/>
      </c>
      <c r="E5076">
        <f>Prices!E5076</f>
        <v/>
      </c>
      <c r="F5076">
        <f>Prices!F5076</f>
        <v/>
      </c>
      <c r="G5076">
        <f>IF(AND(5074&gt;=16,TEXT(A5076,"yyyy-mm")&lt;&gt;TEXT(A5077,"yyyy-mm")),1,0)</f>
        <v/>
      </c>
      <c r="H5076">
        <f>IF(OR(H5075=1,G5076=1),1,0)</f>
        <v/>
      </c>
      <c r="I5076">
        <f>IF(H5075=0,1,SUMPRODUCT(J5075:N5075,B5076:F5076)+O5075*(1+0.00023125256064071564))</f>
        <v/>
      </c>
      <c r="J5076">
        <f>IF(G5076=1,0.2*R5076/B5076,J5075)</f>
        <v/>
      </c>
      <c r="K5076">
        <f>IF(G5076=1,0.2*R5076/C5076,K5075)</f>
        <v/>
      </c>
      <c r="L5076">
        <f>IF(G5076=1,0.2*R5076/D5076,L5075)</f>
        <v/>
      </c>
      <c r="M5076">
        <f>IF(G5076=1,0.2*R5076/E5076,M5075)</f>
        <v/>
      </c>
      <c r="N5076">
        <f>IF(G5076=1,0.2*R5076/F5076,N5075)</f>
        <v/>
      </c>
      <c r="O5076">
        <f>IF(G5076=1,R5076*(1-1.0),IF(H5075=0,1,O5075*(1+0.00023125256064071564)))</f>
        <v/>
      </c>
      <c r="P5076">
        <f>IF(G5076=1,IF(H5075=0,1,ABS(0.2-J5075*B5076/I5076)+ABS(0.2-K5075*C5076/I5076)+ABS(0.2-L5075*D5076/I5076)+ABS(0.2-M5075*E5076/I5076)+ABS(0.2-N5075*F5076/I5076)),0)</f>
        <v/>
      </c>
      <c r="Q5076">
        <f>P5076*0.0015</f>
        <v/>
      </c>
      <c r="R5076">
        <f>I5076*(1-Q5076)</f>
        <v/>
      </c>
      <c r="S5076">
        <f>R5076/R5075-1</f>
        <v/>
      </c>
      <c r="T5076">
        <f>MAX(T5075,R5076)</f>
        <v/>
      </c>
      <c r="U5076">
        <f>R5076/T5076-1</f>
        <v/>
      </c>
      <c r="V5076" t="n">
        <v>28.98514357550427</v>
      </c>
      <c r="W5076" s="5">
        <f>R5076-V5076</f>
        <v/>
      </c>
    </row>
    <row r="5077">
      <c r="A5077" s="3" t="n">
        <v>45916</v>
      </c>
      <c r="B5077">
        <f>Prices!B5077</f>
        <v/>
      </c>
      <c r="C5077">
        <f>Prices!C5077</f>
        <v/>
      </c>
      <c r="D5077">
        <f>Prices!D5077</f>
        <v/>
      </c>
      <c r="E5077">
        <f>Prices!E5077</f>
        <v/>
      </c>
      <c r="F5077">
        <f>Prices!F5077</f>
        <v/>
      </c>
      <c r="G5077">
        <f>IF(AND(5075&gt;=16,TEXT(A5077,"yyyy-mm")&lt;&gt;TEXT(A5078,"yyyy-mm")),1,0)</f>
        <v/>
      </c>
      <c r="H5077">
        <f>IF(OR(H5076=1,G5077=1),1,0)</f>
        <v/>
      </c>
      <c r="I5077">
        <f>IF(H5076=0,1,SUMPRODUCT(J5076:N5076,B5077:F5077)+O5076*(1+0.00023125256064071564))</f>
        <v/>
      </c>
      <c r="J5077">
        <f>IF(G5077=1,0.2*R5077/B5077,J5076)</f>
        <v/>
      </c>
      <c r="K5077">
        <f>IF(G5077=1,0.2*R5077/C5077,K5076)</f>
        <v/>
      </c>
      <c r="L5077">
        <f>IF(G5077=1,0.2*R5077/D5077,L5076)</f>
        <v/>
      </c>
      <c r="M5077">
        <f>IF(G5077=1,0.2*R5077/E5077,M5076)</f>
        <v/>
      </c>
      <c r="N5077">
        <f>IF(G5077=1,0.2*R5077/F5077,N5076)</f>
        <v/>
      </c>
      <c r="O5077">
        <f>IF(G5077=1,R5077*(1-1.0),IF(H5076=0,1,O5076*(1+0.00023125256064071564)))</f>
        <v/>
      </c>
      <c r="P5077">
        <f>IF(G5077=1,IF(H5076=0,1,ABS(0.2-J5076*B5077/I5077)+ABS(0.2-K5076*C5077/I5077)+ABS(0.2-L5076*D5077/I5077)+ABS(0.2-M5076*E5077/I5077)+ABS(0.2-N5076*F5077/I5077)),0)</f>
        <v/>
      </c>
      <c r="Q5077">
        <f>P5077*0.0015</f>
        <v/>
      </c>
      <c r="R5077">
        <f>I5077*(1-Q5077)</f>
        <v/>
      </c>
      <c r="S5077">
        <f>R5077/R5076-1</f>
        <v/>
      </c>
      <c r="T5077">
        <f>MAX(T5076,R5077)</f>
        <v/>
      </c>
      <c r="U5077">
        <f>R5077/T5077-1</f>
        <v/>
      </c>
      <c r="V5077" t="n">
        <v>29.17096930063065</v>
      </c>
      <c r="W5077" s="5">
        <f>R5077-V5077</f>
        <v/>
      </c>
    </row>
    <row r="5078">
      <c r="A5078" s="3" t="n">
        <v>45917</v>
      </c>
      <c r="B5078">
        <f>Prices!B5078</f>
        <v/>
      </c>
      <c r="C5078">
        <f>Prices!C5078</f>
        <v/>
      </c>
      <c r="D5078">
        <f>Prices!D5078</f>
        <v/>
      </c>
      <c r="E5078">
        <f>Prices!E5078</f>
        <v/>
      </c>
      <c r="F5078">
        <f>Prices!F5078</f>
        <v/>
      </c>
      <c r="G5078">
        <f>IF(AND(5076&gt;=16,TEXT(A5078,"yyyy-mm")&lt;&gt;TEXT(A5079,"yyyy-mm")),1,0)</f>
        <v/>
      </c>
      <c r="H5078">
        <f>IF(OR(H5077=1,G5078=1),1,0)</f>
        <v/>
      </c>
      <c r="I5078">
        <f>IF(H5077=0,1,SUMPRODUCT(J5077:N5077,B5078:F5078)+O5077*(1+0.00023125256064071564))</f>
        <v/>
      </c>
      <c r="J5078">
        <f>IF(G5078=1,0.2*R5078/B5078,J5077)</f>
        <v/>
      </c>
      <c r="K5078">
        <f>IF(G5078=1,0.2*R5078/C5078,K5077)</f>
        <v/>
      </c>
      <c r="L5078">
        <f>IF(G5078=1,0.2*R5078/D5078,L5077)</f>
        <v/>
      </c>
      <c r="M5078">
        <f>IF(G5078=1,0.2*R5078/E5078,M5077)</f>
        <v/>
      </c>
      <c r="N5078">
        <f>IF(G5078=1,0.2*R5078/F5078,N5077)</f>
        <v/>
      </c>
      <c r="O5078">
        <f>IF(G5078=1,R5078*(1-1.0),IF(H5077=0,1,O5077*(1+0.00023125256064071564)))</f>
        <v/>
      </c>
      <c r="P5078">
        <f>IF(G5078=1,IF(H5077=0,1,ABS(0.2-J5077*B5078/I5078)+ABS(0.2-K5077*C5078/I5078)+ABS(0.2-L5077*D5078/I5078)+ABS(0.2-M5077*E5078/I5078)+ABS(0.2-N5077*F5078/I5078)),0)</f>
        <v/>
      </c>
      <c r="Q5078">
        <f>P5078*0.0015</f>
        <v/>
      </c>
      <c r="R5078">
        <f>I5078*(1-Q5078)</f>
        <v/>
      </c>
      <c r="S5078">
        <f>R5078/R5077-1</f>
        <v/>
      </c>
      <c r="T5078">
        <f>MAX(T5077,R5078)</f>
        <v/>
      </c>
      <c r="U5078">
        <f>R5078/T5078-1</f>
        <v/>
      </c>
      <c r="V5078" t="n">
        <v>29.29594043623724</v>
      </c>
      <c r="W5078" s="5">
        <f>R5078-V5078</f>
        <v/>
      </c>
    </row>
    <row r="5079">
      <c r="A5079" s="3" t="n">
        <v>45918</v>
      </c>
      <c r="B5079">
        <f>Prices!B5079</f>
        <v/>
      </c>
      <c r="C5079">
        <f>Prices!C5079</f>
        <v/>
      </c>
      <c r="D5079">
        <f>Prices!D5079</f>
        <v/>
      </c>
      <c r="E5079">
        <f>Prices!E5079</f>
        <v/>
      </c>
      <c r="F5079">
        <f>Prices!F5079</f>
        <v/>
      </c>
      <c r="G5079">
        <f>IF(AND(5077&gt;=16,TEXT(A5079,"yyyy-mm")&lt;&gt;TEXT(A5080,"yyyy-mm")),1,0)</f>
        <v/>
      </c>
      <c r="H5079">
        <f>IF(OR(H5078=1,G5079=1),1,0)</f>
        <v/>
      </c>
      <c r="I5079">
        <f>IF(H5078=0,1,SUMPRODUCT(J5078:N5078,B5079:F5079)+O5078*(1+0.00023125256064071564))</f>
        <v/>
      </c>
      <c r="J5079">
        <f>IF(G5079=1,0.2*R5079/B5079,J5078)</f>
        <v/>
      </c>
      <c r="K5079">
        <f>IF(G5079=1,0.2*R5079/C5079,K5078)</f>
        <v/>
      </c>
      <c r="L5079">
        <f>IF(G5079=1,0.2*R5079/D5079,L5078)</f>
        <v/>
      </c>
      <c r="M5079">
        <f>IF(G5079=1,0.2*R5079/E5079,M5078)</f>
        <v/>
      </c>
      <c r="N5079">
        <f>IF(G5079=1,0.2*R5079/F5079,N5078)</f>
        <v/>
      </c>
      <c r="O5079">
        <f>IF(G5079=1,R5079*(1-1.0),IF(H5078=0,1,O5078*(1+0.00023125256064071564)))</f>
        <v/>
      </c>
      <c r="P5079">
        <f>IF(G5079=1,IF(H5078=0,1,ABS(0.2-J5078*B5079/I5079)+ABS(0.2-K5078*C5079/I5079)+ABS(0.2-L5078*D5079/I5079)+ABS(0.2-M5078*E5079/I5079)+ABS(0.2-N5078*F5079/I5079)),0)</f>
        <v/>
      </c>
      <c r="Q5079">
        <f>P5079*0.0015</f>
        <v/>
      </c>
      <c r="R5079">
        <f>I5079*(1-Q5079)</f>
        <v/>
      </c>
      <c r="S5079">
        <f>R5079/R5078-1</f>
        <v/>
      </c>
      <c r="T5079">
        <f>MAX(T5078,R5079)</f>
        <v/>
      </c>
      <c r="U5079">
        <f>R5079/T5079-1</f>
        <v/>
      </c>
      <c r="V5079" t="n">
        <v>29.34033227412492</v>
      </c>
      <c r="W5079" s="5">
        <f>R5079-V5079</f>
        <v/>
      </c>
    </row>
    <row r="5080">
      <c r="A5080" s="3" t="n">
        <v>45919</v>
      </c>
      <c r="B5080">
        <f>Prices!B5080</f>
        <v/>
      </c>
      <c r="C5080">
        <f>Prices!C5080</f>
        <v/>
      </c>
      <c r="D5080">
        <f>Prices!D5080</f>
        <v/>
      </c>
      <c r="E5080">
        <f>Prices!E5080</f>
        <v/>
      </c>
      <c r="F5080">
        <f>Prices!F5080</f>
        <v/>
      </c>
      <c r="G5080">
        <f>IF(AND(5078&gt;=16,TEXT(A5080,"yyyy-mm")&lt;&gt;TEXT(A5081,"yyyy-mm")),1,0)</f>
        <v/>
      </c>
      <c r="H5080">
        <f>IF(OR(H5079=1,G5080=1),1,0)</f>
        <v/>
      </c>
      <c r="I5080">
        <f>IF(H5079=0,1,SUMPRODUCT(J5079:N5079,B5080:F5080)+O5079*(1+0.00023125256064071564))</f>
        <v/>
      </c>
      <c r="J5080">
        <f>IF(G5080=1,0.2*R5080/B5080,J5079)</f>
        <v/>
      </c>
      <c r="K5080">
        <f>IF(G5080=1,0.2*R5080/C5080,K5079)</f>
        <v/>
      </c>
      <c r="L5080">
        <f>IF(G5080=1,0.2*R5080/D5080,L5079)</f>
        <v/>
      </c>
      <c r="M5080">
        <f>IF(G5080=1,0.2*R5080/E5080,M5079)</f>
        <v/>
      </c>
      <c r="N5080">
        <f>IF(G5080=1,0.2*R5080/F5080,N5079)</f>
        <v/>
      </c>
      <c r="O5080">
        <f>IF(G5080=1,R5080*(1-1.0),IF(H5079=0,1,O5079*(1+0.00023125256064071564)))</f>
        <v/>
      </c>
      <c r="P5080">
        <f>IF(G5080=1,IF(H5079=0,1,ABS(0.2-J5079*B5080/I5080)+ABS(0.2-K5079*C5080/I5080)+ABS(0.2-L5079*D5080/I5080)+ABS(0.2-M5079*E5080/I5080)+ABS(0.2-N5079*F5080/I5080)),0)</f>
        <v/>
      </c>
      <c r="Q5080">
        <f>P5080*0.0015</f>
        <v/>
      </c>
      <c r="R5080">
        <f>I5080*(1-Q5080)</f>
        <v/>
      </c>
      <c r="S5080">
        <f>R5080/R5079-1</f>
        <v/>
      </c>
      <c r="T5080">
        <f>MAX(T5079,R5080)</f>
        <v/>
      </c>
      <c r="U5080">
        <f>R5080/T5080-1</f>
        <v/>
      </c>
      <c r="V5080" t="n">
        <v>29.33538822477049</v>
      </c>
      <c r="W5080" s="5">
        <f>R5080-V5080</f>
        <v/>
      </c>
    </row>
    <row r="5081">
      <c r="A5081" s="3" t="n">
        <v>45922</v>
      </c>
      <c r="B5081">
        <f>Prices!B5081</f>
        <v/>
      </c>
      <c r="C5081">
        <f>Prices!C5081</f>
        <v/>
      </c>
      <c r="D5081">
        <f>Prices!D5081</f>
        <v/>
      </c>
      <c r="E5081">
        <f>Prices!E5081</f>
        <v/>
      </c>
      <c r="F5081">
        <f>Prices!F5081</f>
        <v/>
      </c>
      <c r="G5081">
        <f>IF(AND(5079&gt;=16,TEXT(A5081,"yyyy-mm")&lt;&gt;TEXT(A5082,"yyyy-mm")),1,0)</f>
        <v/>
      </c>
      <c r="H5081">
        <f>IF(OR(H5080=1,G5081=1),1,0)</f>
        <v/>
      </c>
      <c r="I5081">
        <f>IF(H5080=0,1,SUMPRODUCT(J5080:N5080,B5081:F5081)+O5080*(1+0.00023125256064071564))</f>
        <v/>
      </c>
      <c r="J5081">
        <f>IF(G5081=1,0.2*R5081/B5081,J5080)</f>
        <v/>
      </c>
      <c r="K5081">
        <f>IF(G5081=1,0.2*R5081/C5081,K5080)</f>
        <v/>
      </c>
      <c r="L5081">
        <f>IF(G5081=1,0.2*R5081/D5081,L5080)</f>
        <v/>
      </c>
      <c r="M5081">
        <f>IF(G5081=1,0.2*R5081/E5081,M5080)</f>
        <v/>
      </c>
      <c r="N5081">
        <f>IF(G5081=1,0.2*R5081/F5081,N5080)</f>
        <v/>
      </c>
      <c r="O5081">
        <f>IF(G5081=1,R5081*(1-1.0),IF(H5080=0,1,O5080*(1+0.00023125256064071564)))</f>
        <v/>
      </c>
      <c r="P5081">
        <f>IF(G5081=1,IF(H5080=0,1,ABS(0.2-J5080*B5081/I5081)+ABS(0.2-K5080*C5081/I5081)+ABS(0.2-L5080*D5081/I5081)+ABS(0.2-M5080*E5081/I5081)+ABS(0.2-N5080*F5081/I5081)),0)</f>
        <v/>
      </c>
      <c r="Q5081">
        <f>P5081*0.0015</f>
        <v/>
      </c>
      <c r="R5081">
        <f>I5081*(1-Q5081)</f>
        <v/>
      </c>
      <c r="S5081">
        <f>R5081/R5080-1</f>
        <v/>
      </c>
      <c r="T5081">
        <f>MAX(T5080,R5081)</f>
        <v/>
      </c>
      <c r="U5081">
        <f>R5081/T5081-1</f>
        <v/>
      </c>
      <c r="V5081" t="n">
        <v>29.22344089197313</v>
      </c>
      <c r="W5081" s="5">
        <f>R5081-V5081</f>
        <v/>
      </c>
    </row>
    <row r="5082">
      <c r="A5082" s="3" t="n">
        <v>45923</v>
      </c>
      <c r="B5082">
        <f>Prices!B5082</f>
        <v/>
      </c>
      <c r="C5082">
        <f>Prices!C5082</f>
        <v/>
      </c>
      <c r="D5082">
        <f>Prices!D5082</f>
        <v/>
      </c>
      <c r="E5082">
        <f>Prices!E5082</f>
        <v/>
      </c>
      <c r="F5082">
        <f>Prices!F5082</f>
        <v/>
      </c>
      <c r="G5082">
        <f>IF(AND(5080&gt;=16,TEXT(A5082,"yyyy-mm")&lt;&gt;TEXT(A5083,"yyyy-mm")),1,0)</f>
        <v/>
      </c>
      <c r="H5082">
        <f>IF(OR(H5081=1,G5082=1),1,0)</f>
        <v/>
      </c>
      <c r="I5082">
        <f>IF(H5081=0,1,SUMPRODUCT(J5081:N5081,B5082:F5082)+O5081*(1+0.00023125256064071564))</f>
        <v/>
      </c>
      <c r="J5082">
        <f>IF(G5082=1,0.2*R5082/B5082,J5081)</f>
        <v/>
      </c>
      <c r="K5082">
        <f>IF(G5082=1,0.2*R5082/C5082,K5081)</f>
        <v/>
      </c>
      <c r="L5082">
        <f>IF(G5082=1,0.2*R5082/D5082,L5081)</f>
        <v/>
      </c>
      <c r="M5082">
        <f>IF(G5082=1,0.2*R5082/E5082,M5081)</f>
        <v/>
      </c>
      <c r="N5082">
        <f>IF(G5082=1,0.2*R5082/F5082,N5081)</f>
        <v/>
      </c>
      <c r="O5082">
        <f>IF(G5082=1,R5082*(1-1.0),IF(H5081=0,1,O5081*(1+0.00023125256064071564)))</f>
        <v/>
      </c>
      <c r="P5082">
        <f>IF(G5082=1,IF(H5081=0,1,ABS(0.2-J5081*B5082/I5082)+ABS(0.2-K5081*C5082/I5082)+ABS(0.2-L5081*D5082/I5082)+ABS(0.2-M5081*E5082/I5082)+ABS(0.2-N5081*F5082/I5082)),0)</f>
        <v/>
      </c>
      <c r="Q5082">
        <f>P5082*0.0015</f>
        <v/>
      </c>
      <c r="R5082">
        <f>I5082*(1-Q5082)</f>
        <v/>
      </c>
      <c r="S5082">
        <f>R5082/R5081-1</f>
        <v/>
      </c>
      <c r="T5082">
        <f>MAX(T5081,R5082)</f>
        <v/>
      </c>
      <c r="U5082">
        <f>R5082/T5082-1</f>
        <v/>
      </c>
      <c r="V5082" t="n">
        <v>29.132833089665</v>
      </c>
      <c r="W5082" s="5">
        <f>R5082-V5082</f>
        <v/>
      </c>
    </row>
    <row r="5083">
      <c r="A5083" s="3" t="n">
        <v>45924</v>
      </c>
      <c r="B5083">
        <f>Prices!B5083</f>
        <v/>
      </c>
      <c r="C5083">
        <f>Prices!C5083</f>
        <v/>
      </c>
      <c r="D5083">
        <f>Prices!D5083</f>
        <v/>
      </c>
      <c r="E5083">
        <f>Prices!E5083</f>
        <v/>
      </c>
      <c r="F5083">
        <f>Prices!F5083</f>
        <v/>
      </c>
      <c r="G5083">
        <f>IF(AND(5081&gt;=16,TEXT(A5083,"yyyy-mm")&lt;&gt;TEXT(A5084,"yyyy-mm")),1,0)</f>
        <v/>
      </c>
      <c r="H5083">
        <f>IF(OR(H5082=1,G5083=1),1,0)</f>
        <v/>
      </c>
      <c r="I5083">
        <f>IF(H5082=0,1,SUMPRODUCT(J5082:N5082,B5083:F5083)+O5082*(1+0.00023125256064071564))</f>
        <v/>
      </c>
      <c r="J5083">
        <f>IF(G5083=1,0.2*R5083/B5083,J5082)</f>
        <v/>
      </c>
      <c r="K5083">
        <f>IF(G5083=1,0.2*R5083/C5083,K5082)</f>
        <v/>
      </c>
      <c r="L5083">
        <f>IF(G5083=1,0.2*R5083/D5083,L5082)</f>
        <v/>
      </c>
      <c r="M5083">
        <f>IF(G5083=1,0.2*R5083/E5083,M5082)</f>
        <v/>
      </c>
      <c r="N5083">
        <f>IF(G5083=1,0.2*R5083/F5083,N5082)</f>
        <v/>
      </c>
      <c r="O5083">
        <f>IF(G5083=1,R5083*(1-1.0),IF(H5082=0,1,O5082*(1+0.00023125256064071564)))</f>
        <v/>
      </c>
      <c r="P5083">
        <f>IF(G5083=1,IF(H5082=0,1,ABS(0.2-J5082*B5083/I5083)+ABS(0.2-K5082*C5083/I5083)+ABS(0.2-L5082*D5083/I5083)+ABS(0.2-M5082*E5083/I5083)+ABS(0.2-N5082*F5083/I5083)),0)</f>
        <v/>
      </c>
      <c r="Q5083">
        <f>P5083*0.0015</f>
        <v/>
      </c>
      <c r="R5083">
        <f>I5083*(1-Q5083)</f>
        <v/>
      </c>
      <c r="S5083">
        <f>R5083/R5082-1</f>
        <v/>
      </c>
      <c r="T5083">
        <f>MAX(T5082,R5083)</f>
        <v/>
      </c>
      <c r="U5083">
        <f>R5083/T5083-1</f>
        <v/>
      </c>
      <c r="V5083" t="n">
        <v>28.90501656749693</v>
      </c>
      <c r="W5083" s="5">
        <f>R5083-V5083</f>
        <v/>
      </c>
    </row>
    <row r="5084">
      <c r="A5084" s="3" t="n">
        <v>45925</v>
      </c>
      <c r="B5084">
        <f>Prices!B5084</f>
        <v/>
      </c>
      <c r="C5084">
        <f>Prices!C5084</f>
        <v/>
      </c>
      <c r="D5084">
        <f>Prices!D5084</f>
        <v/>
      </c>
      <c r="E5084">
        <f>Prices!E5084</f>
        <v/>
      </c>
      <c r="F5084">
        <f>Prices!F5084</f>
        <v/>
      </c>
      <c r="G5084">
        <f>IF(AND(5082&gt;=16,TEXT(A5084,"yyyy-mm")&lt;&gt;TEXT(A5085,"yyyy-mm")),1,0)</f>
        <v/>
      </c>
      <c r="H5084">
        <f>IF(OR(H5083=1,G5084=1),1,0)</f>
        <v/>
      </c>
      <c r="I5084">
        <f>IF(H5083=0,1,SUMPRODUCT(J5083:N5083,B5084:F5084)+O5083*(1+0.00023125256064071564))</f>
        <v/>
      </c>
      <c r="J5084">
        <f>IF(G5084=1,0.2*R5084/B5084,J5083)</f>
        <v/>
      </c>
      <c r="K5084">
        <f>IF(G5084=1,0.2*R5084/C5084,K5083)</f>
        <v/>
      </c>
      <c r="L5084">
        <f>IF(G5084=1,0.2*R5084/D5084,L5083)</f>
        <v/>
      </c>
      <c r="M5084">
        <f>IF(G5084=1,0.2*R5084/E5084,M5083)</f>
        <v/>
      </c>
      <c r="N5084">
        <f>IF(G5084=1,0.2*R5084/F5084,N5083)</f>
        <v/>
      </c>
      <c r="O5084">
        <f>IF(G5084=1,R5084*(1-1.0),IF(H5083=0,1,O5083*(1+0.00023125256064071564)))</f>
        <v/>
      </c>
      <c r="P5084">
        <f>IF(G5084=1,IF(H5083=0,1,ABS(0.2-J5083*B5084/I5084)+ABS(0.2-K5083*C5084/I5084)+ABS(0.2-L5083*D5084/I5084)+ABS(0.2-M5083*E5084/I5084)+ABS(0.2-N5083*F5084/I5084)),0)</f>
        <v/>
      </c>
      <c r="Q5084">
        <f>P5084*0.0015</f>
        <v/>
      </c>
      <c r="R5084">
        <f>I5084*(1-Q5084)</f>
        <v/>
      </c>
      <c r="S5084">
        <f>R5084/R5083-1</f>
        <v/>
      </c>
      <c r="T5084">
        <f>MAX(T5083,R5084)</f>
        <v/>
      </c>
      <c r="U5084">
        <f>R5084/T5084-1</f>
        <v/>
      </c>
      <c r="V5084" t="n">
        <v>28.71710267508338</v>
      </c>
      <c r="W5084" s="5">
        <f>R5084-V5084</f>
        <v/>
      </c>
    </row>
    <row r="5085">
      <c r="A5085" s="3" t="n">
        <v>45926</v>
      </c>
      <c r="B5085">
        <f>Prices!B5085</f>
        <v/>
      </c>
      <c r="C5085">
        <f>Prices!C5085</f>
        <v/>
      </c>
      <c r="D5085">
        <f>Prices!D5085</f>
        <v/>
      </c>
      <c r="E5085">
        <f>Prices!E5085</f>
        <v/>
      </c>
      <c r="F5085">
        <f>Prices!F5085</f>
        <v/>
      </c>
      <c r="G5085">
        <f>IF(AND(5083&gt;=16,TEXT(A5085,"yyyy-mm")&lt;&gt;TEXT(A5086,"yyyy-mm")),1,0)</f>
        <v/>
      </c>
      <c r="H5085">
        <f>IF(OR(H5084=1,G5085=1),1,0)</f>
        <v/>
      </c>
      <c r="I5085">
        <f>IF(H5084=0,1,SUMPRODUCT(J5084:N5084,B5085:F5085)+O5084*(1+0.00023125256064071564))</f>
        <v/>
      </c>
      <c r="J5085">
        <f>IF(G5085=1,0.2*R5085/B5085,J5084)</f>
        <v/>
      </c>
      <c r="K5085">
        <f>IF(G5085=1,0.2*R5085/C5085,K5084)</f>
        <v/>
      </c>
      <c r="L5085">
        <f>IF(G5085=1,0.2*R5085/D5085,L5084)</f>
        <v/>
      </c>
      <c r="M5085">
        <f>IF(G5085=1,0.2*R5085/E5085,M5084)</f>
        <v/>
      </c>
      <c r="N5085">
        <f>IF(G5085=1,0.2*R5085/F5085,N5084)</f>
        <v/>
      </c>
      <c r="O5085">
        <f>IF(G5085=1,R5085*(1-1.0),IF(H5084=0,1,O5084*(1+0.00023125256064071564)))</f>
        <v/>
      </c>
      <c r="P5085">
        <f>IF(G5085=1,IF(H5084=0,1,ABS(0.2-J5084*B5085/I5085)+ABS(0.2-K5084*C5085/I5085)+ABS(0.2-L5084*D5085/I5085)+ABS(0.2-M5084*E5085/I5085)+ABS(0.2-N5084*F5085/I5085)),0)</f>
        <v/>
      </c>
      <c r="Q5085">
        <f>P5085*0.0015</f>
        <v/>
      </c>
      <c r="R5085">
        <f>I5085*(1-Q5085)</f>
        <v/>
      </c>
      <c r="S5085">
        <f>R5085/R5084-1</f>
        <v/>
      </c>
      <c r="T5085">
        <f>MAX(T5084,R5085)</f>
        <v/>
      </c>
      <c r="U5085">
        <f>R5085/T5085-1</f>
        <v/>
      </c>
      <c r="V5085" t="n">
        <v>28.21546993351627</v>
      </c>
      <c r="W5085" s="5">
        <f>R5085-V5085</f>
        <v/>
      </c>
    </row>
    <row r="5086">
      <c r="A5086" s="3" t="n">
        <v>45929</v>
      </c>
      <c r="B5086">
        <f>Prices!B5086</f>
        <v/>
      </c>
      <c r="C5086">
        <f>Prices!C5086</f>
        <v/>
      </c>
      <c r="D5086">
        <f>Prices!D5086</f>
        <v/>
      </c>
      <c r="E5086">
        <f>Prices!E5086</f>
        <v/>
      </c>
      <c r="F5086">
        <f>Prices!F5086</f>
        <v/>
      </c>
      <c r="G5086">
        <f>IF(AND(5084&gt;=16,TEXT(A5086,"yyyy-mm")&lt;&gt;TEXT(A5087,"yyyy-mm")),1,0)</f>
        <v/>
      </c>
      <c r="H5086">
        <f>IF(OR(H5085=1,G5086=1),1,0)</f>
        <v/>
      </c>
      <c r="I5086">
        <f>IF(H5085=0,1,SUMPRODUCT(J5085:N5085,B5086:F5086)+O5085*(1+0.00023125256064071564))</f>
        <v/>
      </c>
      <c r="J5086">
        <f>IF(G5086=1,0.2*R5086/B5086,J5085)</f>
        <v/>
      </c>
      <c r="K5086">
        <f>IF(G5086=1,0.2*R5086/C5086,K5085)</f>
        <v/>
      </c>
      <c r="L5086">
        <f>IF(G5086=1,0.2*R5086/D5086,L5085)</f>
        <v/>
      </c>
      <c r="M5086">
        <f>IF(G5086=1,0.2*R5086/E5086,M5085)</f>
        <v/>
      </c>
      <c r="N5086">
        <f>IF(G5086=1,0.2*R5086/F5086,N5085)</f>
        <v/>
      </c>
      <c r="O5086">
        <f>IF(G5086=1,R5086*(1-1.0),IF(H5085=0,1,O5085*(1+0.00023125256064071564)))</f>
        <v/>
      </c>
      <c r="P5086">
        <f>IF(G5086=1,IF(H5085=0,1,ABS(0.2-J5085*B5086/I5086)+ABS(0.2-K5085*C5086/I5086)+ABS(0.2-L5085*D5086/I5086)+ABS(0.2-M5085*E5086/I5086)+ABS(0.2-N5085*F5086/I5086)),0)</f>
        <v/>
      </c>
      <c r="Q5086">
        <f>P5086*0.0015</f>
        <v/>
      </c>
      <c r="R5086">
        <f>I5086*(1-Q5086)</f>
        <v/>
      </c>
      <c r="S5086">
        <f>R5086/R5085-1</f>
        <v/>
      </c>
      <c r="T5086">
        <f>MAX(T5085,R5086)</f>
        <v/>
      </c>
      <c r="U5086">
        <f>R5086/T5086-1</f>
        <v/>
      </c>
      <c r="V5086" t="n">
        <v>28.29406249309903</v>
      </c>
      <c r="W5086" s="5">
        <f>R5086-V5086</f>
        <v/>
      </c>
    </row>
    <row r="5087">
      <c r="A5087" s="3" t="n">
        <v>45930</v>
      </c>
      <c r="B5087">
        <f>Prices!B5087</f>
        <v/>
      </c>
      <c r="C5087">
        <f>Prices!C5087</f>
        <v/>
      </c>
      <c r="D5087">
        <f>Prices!D5087</f>
        <v/>
      </c>
      <c r="E5087">
        <f>Prices!E5087</f>
        <v/>
      </c>
      <c r="F5087">
        <f>Prices!F5087</f>
        <v/>
      </c>
      <c r="G5087">
        <f>IF(AND(5085&gt;=16,TEXT(A5087,"yyyy-mm")&lt;&gt;TEXT(A5088,"yyyy-mm")),1,0)</f>
        <v/>
      </c>
      <c r="H5087">
        <f>IF(OR(H5086=1,G5087=1),1,0)</f>
        <v/>
      </c>
      <c r="I5087">
        <f>IF(H5086=0,1,SUMPRODUCT(J5086:N5086,B5087:F5087)+O5086*(1+0.00023125256064071564))</f>
        <v/>
      </c>
      <c r="J5087">
        <f>IF(G5087=1,0.2*R5087/B5087,J5086)</f>
        <v/>
      </c>
      <c r="K5087">
        <f>IF(G5087=1,0.2*R5087/C5087,K5086)</f>
        <v/>
      </c>
      <c r="L5087">
        <f>IF(G5087=1,0.2*R5087/D5087,L5086)</f>
        <v/>
      </c>
      <c r="M5087">
        <f>IF(G5087=1,0.2*R5087/E5087,M5086)</f>
        <v/>
      </c>
      <c r="N5087">
        <f>IF(G5087=1,0.2*R5087/F5087,N5086)</f>
        <v/>
      </c>
      <c r="O5087">
        <f>IF(G5087=1,R5087*(1-1.0),IF(H5086=0,1,O5086*(1+0.00023125256064071564)))</f>
        <v/>
      </c>
      <c r="P5087">
        <f>IF(G5087=1,IF(H5086=0,1,ABS(0.2-J5086*B5087/I5087)+ABS(0.2-K5086*C5087/I5087)+ABS(0.2-L5086*D5087/I5087)+ABS(0.2-M5086*E5087/I5087)+ABS(0.2-N5086*F5087/I5087)),0)</f>
        <v/>
      </c>
      <c r="Q5087">
        <f>P5087*0.0015</f>
        <v/>
      </c>
      <c r="R5087">
        <f>I5087*(1-Q5087)</f>
        <v/>
      </c>
      <c r="S5087">
        <f>R5087/R5086-1</f>
        <v/>
      </c>
      <c r="T5087">
        <f>MAX(T5086,R5087)</f>
        <v/>
      </c>
      <c r="U5087">
        <f>R5087/T5087-1</f>
        <v/>
      </c>
      <c r="V5087" t="n">
        <v>28.25152929437133</v>
      </c>
      <c r="W5087" s="5">
        <f>R5087-V5087</f>
        <v/>
      </c>
    </row>
    <row r="5088">
      <c r="A5088" s="3" t="n">
        <v>45931</v>
      </c>
      <c r="B5088">
        <f>Prices!B5088</f>
        <v/>
      </c>
      <c r="C5088">
        <f>Prices!C5088</f>
        <v/>
      </c>
      <c r="D5088">
        <f>Prices!D5088</f>
        <v/>
      </c>
      <c r="E5088">
        <f>Prices!E5088</f>
        <v/>
      </c>
      <c r="F5088">
        <f>Prices!F5088</f>
        <v/>
      </c>
      <c r="G5088">
        <f>IF(AND(5086&gt;=16,TEXT(A5088,"yyyy-mm")&lt;&gt;TEXT(A5089,"yyyy-mm")),1,0)</f>
        <v/>
      </c>
      <c r="H5088">
        <f>IF(OR(H5087=1,G5088=1),1,0)</f>
        <v/>
      </c>
      <c r="I5088">
        <f>IF(H5087=0,1,SUMPRODUCT(J5087:N5087,B5088:F5088)+O5087*(1+0.00023125256064071564))</f>
        <v/>
      </c>
      <c r="J5088">
        <f>IF(G5088=1,0.2*R5088/B5088,J5087)</f>
        <v/>
      </c>
      <c r="K5088">
        <f>IF(G5088=1,0.2*R5088/C5088,K5087)</f>
        <v/>
      </c>
      <c r="L5088">
        <f>IF(G5088=1,0.2*R5088/D5088,L5087)</f>
        <v/>
      </c>
      <c r="M5088">
        <f>IF(G5088=1,0.2*R5088/E5088,M5087)</f>
        <v/>
      </c>
      <c r="N5088">
        <f>IF(G5088=1,0.2*R5088/F5088,N5087)</f>
        <v/>
      </c>
      <c r="O5088">
        <f>IF(G5088=1,R5088*(1-1.0),IF(H5087=0,1,O5087*(1+0.00023125256064071564)))</f>
        <v/>
      </c>
      <c r="P5088">
        <f>IF(G5088=1,IF(H5087=0,1,ABS(0.2-J5087*B5088/I5088)+ABS(0.2-K5087*C5088/I5088)+ABS(0.2-L5087*D5088/I5088)+ABS(0.2-M5087*E5088/I5088)+ABS(0.2-N5087*F5088/I5088)),0)</f>
        <v/>
      </c>
      <c r="Q5088">
        <f>P5088*0.0015</f>
        <v/>
      </c>
      <c r="R5088">
        <f>I5088*(1-Q5088)</f>
        <v/>
      </c>
      <c r="S5088">
        <f>R5088/R5087-1</f>
        <v/>
      </c>
      <c r="T5088">
        <f>MAX(T5087,R5088)</f>
        <v/>
      </c>
      <c r="U5088">
        <f>R5088/T5088-1</f>
        <v/>
      </c>
      <c r="V5088" t="n">
        <v>28.47873748422021</v>
      </c>
      <c r="W5088" s="5">
        <f>R5088-V5088</f>
        <v/>
      </c>
    </row>
    <row r="5089">
      <c r="A5089" s="3" t="n">
        <v>45933</v>
      </c>
      <c r="B5089">
        <f>Prices!B5089</f>
        <v/>
      </c>
      <c r="C5089">
        <f>Prices!C5089</f>
        <v/>
      </c>
      <c r="D5089">
        <f>Prices!D5089</f>
        <v/>
      </c>
      <c r="E5089">
        <f>Prices!E5089</f>
        <v/>
      </c>
      <c r="F5089">
        <f>Prices!F5089</f>
        <v/>
      </c>
      <c r="G5089">
        <f>IF(AND(5087&gt;=16,TEXT(A5089,"yyyy-mm")&lt;&gt;TEXT(A5090,"yyyy-mm")),1,0)</f>
        <v/>
      </c>
      <c r="H5089">
        <f>IF(OR(H5088=1,G5089=1),1,0)</f>
        <v/>
      </c>
      <c r="I5089">
        <f>IF(H5088=0,1,SUMPRODUCT(J5088:N5088,B5089:F5089)+O5088*(1+0.00023125256064071564))</f>
        <v/>
      </c>
      <c r="J5089">
        <f>IF(G5089=1,0.2*R5089/B5089,J5088)</f>
        <v/>
      </c>
      <c r="K5089">
        <f>IF(G5089=1,0.2*R5089/C5089,K5088)</f>
        <v/>
      </c>
      <c r="L5089">
        <f>IF(G5089=1,0.2*R5089/D5089,L5088)</f>
        <v/>
      </c>
      <c r="M5089">
        <f>IF(G5089=1,0.2*R5089/E5089,M5088)</f>
        <v/>
      </c>
      <c r="N5089">
        <f>IF(G5089=1,0.2*R5089/F5089,N5088)</f>
        <v/>
      </c>
      <c r="O5089">
        <f>IF(G5089=1,R5089*(1-1.0),IF(H5088=0,1,O5088*(1+0.00023125256064071564)))</f>
        <v/>
      </c>
      <c r="P5089">
        <f>IF(G5089=1,IF(H5088=0,1,ABS(0.2-J5088*B5089/I5089)+ABS(0.2-K5088*C5089/I5089)+ABS(0.2-L5088*D5089/I5089)+ABS(0.2-M5088*E5089/I5089)+ABS(0.2-N5088*F5089/I5089)),0)</f>
        <v/>
      </c>
      <c r="Q5089">
        <f>P5089*0.0015</f>
        <v/>
      </c>
      <c r="R5089">
        <f>I5089*(1-Q5089)</f>
        <v/>
      </c>
      <c r="S5089">
        <f>R5089/R5088-1</f>
        <v/>
      </c>
      <c r="T5089">
        <f>MAX(T5088,R5089)</f>
        <v/>
      </c>
      <c r="U5089">
        <f>R5089/T5089-1</f>
        <v/>
      </c>
      <c r="V5089" t="n">
        <v>28.65159657708415</v>
      </c>
      <c r="W5089" s="5">
        <f>R5089-V5089</f>
        <v/>
      </c>
    </row>
    <row r="5090">
      <c r="A5090" s="3" t="n">
        <v>45936</v>
      </c>
      <c r="B5090">
        <f>Prices!B5090</f>
        <v/>
      </c>
      <c r="C5090">
        <f>Prices!C5090</f>
        <v/>
      </c>
      <c r="D5090">
        <f>Prices!D5090</f>
        <v/>
      </c>
      <c r="E5090">
        <f>Prices!E5090</f>
        <v/>
      </c>
      <c r="F5090">
        <f>Prices!F5090</f>
        <v/>
      </c>
      <c r="G5090">
        <f>IF(AND(5088&gt;=16,TEXT(A5090,"yyyy-mm")&lt;&gt;TEXT(A5091,"yyyy-mm")),1,0)</f>
        <v/>
      </c>
      <c r="H5090">
        <f>IF(OR(H5089=1,G5090=1),1,0)</f>
        <v/>
      </c>
      <c r="I5090">
        <f>IF(H5089=0,1,SUMPRODUCT(J5089:N5089,B5090:F5090)+O5089*(1+0.00023125256064071564))</f>
        <v/>
      </c>
      <c r="J5090">
        <f>IF(G5090=1,0.2*R5090/B5090,J5089)</f>
        <v/>
      </c>
      <c r="K5090">
        <f>IF(G5090=1,0.2*R5090/C5090,K5089)</f>
        <v/>
      </c>
      <c r="L5090">
        <f>IF(G5090=1,0.2*R5090/D5090,L5089)</f>
        <v/>
      </c>
      <c r="M5090">
        <f>IF(G5090=1,0.2*R5090/E5090,M5089)</f>
        <v/>
      </c>
      <c r="N5090">
        <f>IF(G5090=1,0.2*R5090/F5090,N5089)</f>
        <v/>
      </c>
      <c r="O5090">
        <f>IF(G5090=1,R5090*(1-1.0),IF(H5089=0,1,O5089*(1+0.00023125256064071564)))</f>
        <v/>
      </c>
      <c r="P5090">
        <f>IF(G5090=1,IF(H5089=0,1,ABS(0.2-J5089*B5090/I5090)+ABS(0.2-K5089*C5090/I5090)+ABS(0.2-L5089*D5090/I5090)+ABS(0.2-M5089*E5090/I5090)+ABS(0.2-N5089*F5090/I5090)),0)</f>
        <v/>
      </c>
      <c r="Q5090">
        <f>P5090*0.0015</f>
        <v/>
      </c>
      <c r="R5090">
        <f>I5090*(1-Q5090)</f>
        <v/>
      </c>
      <c r="S5090">
        <f>R5090/R5089-1</f>
        <v/>
      </c>
      <c r="T5090">
        <f>MAX(T5089,R5090)</f>
        <v/>
      </c>
      <c r="U5090">
        <f>R5090/T5090-1</f>
        <v/>
      </c>
      <c r="V5090" t="n">
        <v>28.90811272110842</v>
      </c>
      <c r="W5090" s="5">
        <f>R5090-V5090</f>
        <v/>
      </c>
    </row>
    <row r="5091">
      <c r="A5091" s="3" t="n">
        <v>45937</v>
      </c>
      <c r="B5091">
        <f>Prices!B5091</f>
        <v/>
      </c>
      <c r="C5091">
        <f>Prices!C5091</f>
        <v/>
      </c>
      <c r="D5091">
        <f>Prices!D5091</f>
        <v/>
      </c>
      <c r="E5091">
        <f>Prices!E5091</f>
        <v/>
      </c>
      <c r="F5091">
        <f>Prices!F5091</f>
        <v/>
      </c>
      <c r="G5091">
        <f>IF(AND(5089&gt;=16,TEXT(A5091,"yyyy-mm")&lt;&gt;TEXT(A5092,"yyyy-mm")),1,0)</f>
        <v/>
      </c>
      <c r="H5091">
        <f>IF(OR(H5090=1,G5091=1),1,0)</f>
        <v/>
      </c>
      <c r="I5091">
        <f>IF(H5090=0,1,SUMPRODUCT(J5090:N5090,B5091:F5091)+O5090*(1+0.00023125256064071564))</f>
        <v/>
      </c>
      <c r="J5091">
        <f>IF(G5091=1,0.2*R5091/B5091,J5090)</f>
        <v/>
      </c>
      <c r="K5091">
        <f>IF(G5091=1,0.2*R5091/C5091,K5090)</f>
        <v/>
      </c>
      <c r="L5091">
        <f>IF(G5091=1,0.2*R5091/D5091,L5090)</f>
        <v/>
      </c>
      <c r="M5091">
        <f>IF(G5091=1,0.2*R5091/E5091,M5090)</f>
        <v/>
      </c>
      <c r="N5091">
        <f>IF(G5091=1,0.2*R5091/F5091,N5090)</f>
        <v/>
      </c>
      <c r="O5091">
        <f>IF(G5091=1,R5091*(1-1.0),IF(H5090=0,1,O5090*(1+0.00023125256064071564)))</f>
        <v/>
      </c>
      <c r="P5091">
        <f>IF(G5091=1,IF(H5090=0,1,ABS(0.2-J5090*B5091/I5091)+ABS(0.2-K5090*C5091/I5091)+ABS(0.2-L5090*D5091/I5091)+ABS(0.2-M5090*E5091/I5091)+ABS(0.2-N5090*F5091/I5091)),0)</f>
        <v/>
      </c>
      <c r="Q5091">
        <f>P5091*0.0015</f>
        <v/>
      </c>
      <c r="R5091">
        <f>I5091*(1-Q5091)</f>
        <v/>
      </c>
      <c r="S5091">
        <f>R5091/R5090-1</f>
        <v/>
      </c>
      <c r="T5091">
        <f>MAX(T5090,R5091)</f>
        <v/>
      </c>
      <c r="U5091">
        <f>R5091/T5091-1</f>
        <v/>
      </c>
      <c r="V5091" t="n">
        <v>28.92646288593991</v>
      </c>
      <c r="W5091" s="5">
        <f>R5091-V5091</f>
        <v/>
      </c>
    </row>
    <row r="5092">
      <c r="A5092" s="3" t="n">
        <v>45938</v>
      </c>
      <c r="B5092">
        <f>Prices!B5092</f>
        <v/>
      </c>
      <c r="C5092">
        <f>Prices!C5092</f>
        <v/>
      </c>
      <c r="D5092">
        <f>Prices!D5092</f>
        <v/>
      </c>
      <c r="E5092">
        <f>Prices!E5092</f>
        <v/>
      </c>
      <c r="F5092">
        <f>Prices!F5092</f>
        <v/>
      </c>
      <c r="G5092">
        <f>IF(AND(5090&gt;=16,TEXT(A5092,"yyyy-mm")&lt;&gt;TEXT(A5093,"yyyy-mm")),1,0)</f>
        <v/>
      </c>
      <c r="H5092">
        <f>IF(OR(H5091=1,G5092=1),1,0)</f>
        <v/>
      </c>
      <c r="I5092">
        <f>IF(H5091=0,1,SUMPRODUCT(J5091:N5091,B5092:F5092)+O5091*(1+0.00023125256064071564))</f>
        <v/>
      </c>
      <c r="J5092">
        <f>IF(G5092=1,0.2*R5092/B5092,J5091)</f>
        <v/>
      </c>
      <c r="K5092">
        <f>IF(G5092=1,0.2*R5092/C5092,K5091)</f>
        <v/>
      </c>
      <c r="L5092">
        <f>IF(G5092=1,0.2*R5092/D5092,L5091)</f>
        <v/>
      </c>
      <c r="M5092">
        <f>IF(G5092=1,0.2*R5092/E5092,M5091)</f>
        <v/>
      </c>
      <c r="N5092">
        <f>IF(G5092=1,0.2*R5092/F5092,N5091)</f>
        <v/>
      </c>
      <c r="O5092">
        <f>IF(G5092=1,R5092*(1-1.0),IF(H5091=0,1,O5091*(1+0.00023125256064071564)))</f>
        <v/>
      </c>
      <c r="P5092">
        <f>IF(G5092=1,IF(H5091=0,1,ABS(0.2-J5091*B5092/I5092)+ABS(0.2-K5091*C5092/I5092)+ABS(0.2-L5091*D5092/I5092)+ABS(0.2-M5091*E5092/I5092)+ABS(0.2-N5091*F5092/I5092)),0)</f>
        <v/>
      </c>
      <c r="Q5092">
        <f>P5092*0.0015</f>
        <v/>
      </c>
      <c r="R5092">
        <f>I5092*(1-Q5092)</f>
        <v/>
      </c>
      <c r="S5092">
        <f>R5092/R5091-1</f>
        <v/>
      </c>
      <c r="T5092">
        <f>MAX(T5091,R5092)</f>
        <v/>
      </c>
      <c r="U5092">
        <f>R5092/T5092-1</f>
        <v/>
      </c>
      <c r="V5092" t="n">
        <v>28.77743035981692</v>
      </c>
      <c r="W5092" s="5">
        <f>R5092-V5092</f>
        <v/>
      </c>
    </row>
    <row r="5093">
      <c r="A5093" s="3" t="n">
        <v>45939</v>
      </c>
      <c r="B5093">
        <f>Prices!B5093</f>
        <v/>
      </c>
      <c r="C5093">
        <f>Prices!C5093</f>
        <v/>
      </c>
      <c r="D5093">
        <f>Prices!D5093</f>
        <v/>
      </c>
      <c r="E5093">
        <f>Prices!E5093</f>
        <v/>
      </c>
      <c r="F5093">
        <f>Prices!F5093</f>
        <v/>
      </c>
      <c r="G5093">
        <f>IF(AND(5091&gt;=16,TEXT(A5093,"yyyy-mm")&lt;&gt;TEXT(A5094,"yyyy-mm")),1,0)</f>
        <v/>
      </c>
      <c r="H5093">
        <f>IF(OR(H5092=1,G5093=1),1,0)</f>
        <v/>
      </c>
      <c r="I5093">
        <f>IF(H5092=0,1,SUMPRODUCT(J5092:N5092,B5093:F5093)+O5092*(1+0.00023125256064071564))</f>
        <v/>
      </c>
      <c r="J5093">
        <f>IF(G5093=1,0.2*R5093/B5093,J5092)</f>
        <v/>
      </c>
      <c r="K5093">
        <f>IF(G5093=1,0.2*R5093/C5093,K5092)</f>
        <v/>
      </c>
      <c r="L5093">
        <f>IF(G5093=1,0.2*R5093/D5093,L5092)</f>
        <v/>
      </c>
      <c r="M5093">
        <f>IF(G5093=1,0.2*R5093/E5093,M5092)</f>
        <v/>
      </c>
      <c r="N5093">
        <f>IF(G5093=1,0.2*R5093/F5093,N5092)</f>
        <v/>
      </c>
      <c r="O5093">
        <f>IF(G5093=1,R5093*(1-1.0),IF(H5092=0,1,O5092*(1+0.00023125256064071564)))</f>
        <v/>
      </c>
      <c r="P5093">
        <f>IF(G5093=1,IF(H5092=0,1,ABS(0.2-J5092*B5093/I5093)+ABS(0.2-K5092*C5093/I5093)+ABS(0.2-L5092*D5093/I5093)+ABS(0.2-M5092*E5093/I5093)+ABS(0.2-N5092*F5093/I5093)),0)</f>
        <v/>
      </c>
      <c r="Q5093">
        <f>P5093*0.0015</f>
        <v/>
      </c>
      <c r="R5093">
        <f>I5093*(1-Q5093)</f>
        <v/>
      </c>
      <c r="S5093">
        <f>R5093/R5092-1</f>
        <v/>
      </c>
      <c r="T5093">
        <f>MAX(T5092,R5093)</f>
        <v/>
      </c>
      <c r="U5093">
        <f>R5093/T5093-1</f>
        <v/>
      </c>
      <c r="V5093" t="n">
        <v>29.00290400249947</v>
      </c>
      <c r="W5093" s="5">
        <f>R5093-V5093</f>
        <v/>
      </c>
    </row>
    <row r="5094">
      <c r="A5094" s="3" t="n">
        <v>45940</v>
      </c>
      <c r="B5094">
        <f>Prices!B5094</f>
        <v/>
      </c>
      <c r="C5094">
        <f>Prices!C5094</f>
        <v/>
      </c>
      <c r="D5094">
        <f>Prices!D5094</f>
        <v/>
      </c>
      <c r="E5094">
        <f>Prices!E5094</f>
        <v/>
      </c>
      <c r="F5094">
        <f>Prices!F5094</f>
        <v/>
      </c>
      <c r="G5094">
        <f>IF(AND(5092&gt;=16,TEXT(A5094,"yyyy-mm")&lt;&gt;TEXT(A5095,"yyyy-mm")),1,0)</f>
        <v/>
      </c>
      <c r="H5094">
        <f>IF(OR(H5093=1,G5094=1),1,0)</f>
        <v/>
      </c>
      <c r="I5094">
        <f>IF(H5093=0,1,SUMPRODUCT(J5093:N5093,B5094:F5094)+O5093*(1+0.00023125256064071564))</f>
        <v/>
      </c>
      <c r="J5094">
        <f>IF(G5094=1,0.2*R5094/B5094,J5093)</f>
        <v/>
      </c>
      <c r="K5094">
        <f>IF(G5094=1,0.2*R5094/C5094,K5093)</f>
        <v/>
      </c>
      <c r="L5094">
        <f>IF(G5094=1,0.2*R5094/D5094,L5093)</f>
        <v/>
      </c>
      <c r="M5094">
        <f>IF(G5094=1,0.2*R5094/E5094,M5093)</f>
        <v/>
      </c>
      <c r="N5094">
        <f>IF(G5094=1,0.2*R5094/F5094,N5093)</f>
        <v/>
      </c>
      <c r="O5094">
        <f>IF(G5094=1,R5094*(1-1.0),IF(H5093=0,1,O5093*(1+0.00023125256064071564)))</f>
        <v/>
      </c>
      <c r="P5094">
        <f>IF(G5094=1,IF(H5093=0,1,ABS(0.2-J5093*B5094/I5094)+ABS(0.2-K5093*C5094/I5094)+ABS(0.2-L5093*D5094/I5094)+ABS(0.2-M5093*E5094/I5094)+ABS(0.2-N5093*F5094/I5094)),0)</f>
        <v/>
      </c>
      <c r="Q5094">
        <f>P5094*0.0015</f>
        <v/>
      </c>
      <c r="R5094">
        <f>I5094*(1-Q5094)</f>
        <v/>
      </c>
      <c r="S5094">
        <f>R5094/R5093-1</f>
        <v/>
      </c>
      <c r="T5094">
        <f>MAX(T5093,R5094)</f>
        <v/>
      </c>
      <c r="U5094">
        <f>R5094/T5094-1</f>
        <v/>
      </c>
      <c r="V5094" t="n">
        <v>29.12460686857739</v>
      </c>
      <c r="W5094" s="5">
        <f>R5094-V5094</f>
        <v/>
      </c>
    </row>
    <row r="5095">
      <c r="A5095" s="3" t="n">
        <v>45943</v>
      </c>
      <c r="B5095">
        <f>Prices!B5095</f>
        <v/>
      </c>
      <c r="C5095">
        <f>Prices!C5095</f>
        <v/>
      </c>
      <c r="D5095">
        <f>Prices!D5095</f>
        <v/>
      </c>
      <c r="E5095">
        <f>Prices!E5095</f>
        <v/>
      </c>
      <c r="F5095">
        <f>Prices!F5095</f>
        <v/>
      </c>
      <c r="G5095">
        <f>IF(AND(5093&gt;=16,TEXT(A5095,"yyyy-mm")&lt;&gt;TEXT(A5096,"yyyy-mm")),1,0)</f>
        <v/>
      </c>
      <c r="H5095">
        <f>IF(OR(H5094=1,G5095=1),1,0)</f>
        <v/>
      </c>
      <c r="I5095">
        <f>IF(H5094=0,1,SUMPRODUCT(J5094:N5094,B5095:F5095)+O5094*(1+0.00023125256064071564))</f>
        <v/>
      </c>
      <c r="J5095">
        <f>IF(G5095=1,0.2*R5095/B5095,J5094)</f>
        <v/>
      </c>
      <c r="K5095">
        <f>IF(G5095=1,0.2*R5095/C5095,K5094)</f>
        <v/>
      </c>
      <c r="L5095">
        <f>IF(G5095=1,0.2*R5095/D5095,L5094)</f>
        <v/>
      </c>
      <c r="M5095">
        <f>IF(G5095=1,0.2*R5095/E5095,M5094)</f>
        <v/>
      </c>
      <c r="N5095">
        <f>IF(G5095=1,0.2*R5095/F5095,N5094)</f>
        <v/>
      </c>
      <c r="O5095">
        <f>IF(G5095=1,R5095*(1-1.0),IF(H5094=0,1,O5094*(1+0.00023125256064071564)))</f>
        <v/>
      </c>
      <c r="P5095">
        <f>IF(G5095=1,IF(H5094=0,1,ABS(0.2-J5094*B5095/I5095)+ABS(0.2-K5094*C5095/I5095)+ABS(0.2-L5094*D5095/I5095)+ABS(0.2-M5094*E5095/I5095)+ABS(0.2-N5094*F5095/I5095)),0)</f>
        <v/>
      </c>
      <c r="Q5095">
        <f>P5095*0.0015</f>
        <v/>
      </c>
      <c r="R5095">
        <f>I5095*(1-Q5095)</f>
        <v/>
      </c>
      <c r="S5095">
        <f>R5095/R5094-1</f>
        <v/>
      </c>
      <c r="T5095">
        <f>MAX(T5094,R5095)</f>
        <v/>
      </c>
      <c r="U5095">
        <f>R5095/T5095-1</f>
        <v/>
      </c>
      <c r="V5095" t="n">
        <v>29.15887391914212</v>
      </c>
      <c r="W5095" s="5">
        <f>R5095-V5095</f>
        <v/>
      </c>
    </row>
    <row r="5096">
      <c r="A5096" s="3" t="n">
        <v>45944</v>
      </c>
      <c r="B5096">
        <f>Prices!B5096</f>
        <v/>
      </c>
      <c r="C5096">
        <f>Prices!C5096</f>
        <v/>
      </c>
      <c r="D5096">
        <f>Prices!D5096</f>
        <v/>
      </c>
      <c r="E5096">
        <f>Prices!E5096</f>
        <v/>
      </c>
      <c r="F5096">
        <f>Prices!F5096</f>
        <v/>
      </c>
      <c r="G5096">
        <f>IF(AND(5094&gt;=16,TEXT(A5096,"yyyy-mm")&lt;&gt;TEXT(A5097,"yyyy-mm")),1,0)</f>
        <v/>
      </c>
      <c r="H5096">
        <f>IF(OR(H5095=1,G5096=1),1,0)</f>
        <v/>
      </c>
      <c r="I5096">
        <f>IF(H5095=0,1,SUMPRODUCT(J5095:N5095,B5096:F5096)+O5095*(1+0.00023125256064071564))</f>
        <v/>
      </c>
      <c r="J5096">
        <f>IF(G5096=1,0.2*R5096/B5096,J5095)</f>
        <v/>
      </c>
      <c r="K5096">
        <f>IF(G5096=1,0.2*R5096/C5096,K5095)</f>
        <v/>
      </c>
      <c r="L5096">
        <f>IF(G5096=1,0.2*R5096/D5096,L5095)</f>
        <v/>
      </c>
      <c r="M5096">
        <f>IF(G5096=1,0.2*R5096/E5096,M5095)</f>
        <v/>
      </c>
      <c r="N5096">
        <f>IF(G5096=1,0.2*R5096/F5096,N5095)</f>
        <v/>
      </c>
      <c r="O5096">
        <f>IF(G5096=1,R5096*(1-1.0),IF(H5095=0,1,O5095*(1+0.00023125256064071564)))</f>
        <v/>
      </c>
      <c r="P5096">
        <f>IF(G5096=1,IF(H5095=0,1,ABS(0.2-J5095*B5096/I5096)+ABS(0.2-K5095*C5096/I5096)+ABS(0.2-L5095*D5096/I5096)+ABS(0.2-M5095*E5096/I5096)+ABS(0.2-N5095*F5096/I5096)),0)</f>
        <v/>
      </c>
      <c r="Q5096">
        <f>P5096*0.0015</f>
        <v/>
      </c>
      <c r="R5096">
        <f>I5096*(1-Q5096)</f>
        <v/>
      </c>
      <c r="S5096">
        <f>R5096/R5095-1</f>
        <v/>
      </c>
      <c r="T5096">
        <f>MAX(T5095,R5096)</f>
        <v/>
      </c>
      <c r="U5096">
        <f>R5096/T5096-1</f>
        <v/>
      </c>
      <c r="V5096" t="n">
        <v>28.99410128312162</v>
      </c>
      <c r="W5096" s="5">
        <f>R5096-V5096</f>
        <v/>
      </c>
    </row>
    <row r="5097">
      <c r="A5097" s="3" t="n">
        <v>45945</v>
      </c>
      <c r="B5097">
        <f>Prices!B5097</f>
        <v/>
      </c>
      <c r="C5097">
        <f>Prices!C5097</f>
        <v/>
      </c>
      <c r="D5097">
        <f>Prices!D5097</f>
        <v/>
      </c>
      <c r="E5097">
        <f>Prices!E5097</f>
        <v/>
      </c>
      <c r="F5097">
        <f>Prices!F5097</f>
        <v/>
      </c>
      <c r="G5097">
        <f>IF(AND(5095&gt;=16,TEXT(A5097,"yyyy-mm")&lt;&gt;TEXT(A5098,"yyyy-mm")),1,0)</f>
        <v/>
      </c>
      <c r="H5097">
        <f>IF(OR(H5096=1,G5097=1),1,0)</f>
        <v/>
      </c>
      <c r="I5097">
        <f>IF(H5096=0,1,SUMPRODUCT(J5096:N5096,B5097:F5097)+O5096*(1+0.00023125256064071564))</f>
        <v/>
      </c>
      <c r="J5097">
        <f>IF(G5097=1,0.2*R5097/B5097,J5096)</f>
        <v/>
      </c>
      <c r="K5097">
        <f>IF(G5097=1,0.2*R5097/C5097,K5096)</f>
        <v/>
      </c>
      <c r="L5097">
        <f>IF(G5097=1,0.2*R5097/D5097,L5096)</f>
        <v/>
      </c>
      <c r="M5097">
        <f>IF(G5097=1,0.2*R5097/E5097,M5096)</f>
        <v/>
      </c>
      <c r="N5097">
        <f>IF(G5097=1,0.2*R5097/F5097,N5096)</f>
        <v/>
      </c>
      <c r="O5097">
        <f>IF(G5097=1,R5097*(1-1.0),IF(H5096=0,1,O5096*(1+0.00023125256064071564)))</f>
        <v/>
      </c>
      <c r="P5097">
        <f>IF(G5097=1,IF(H5096=0,1,ABS(0.2-J5096*B5097/I5097)+ABS(0.2-K5096*C5097/I5097)+ABS(0.2-L5096*D5097/I5097)+ABS(0.2-M5096*E5097/I5097)+ABS(0.2-N5096*F5097/I5097)),0)</f>
        <v/>
      </c>
      <c r="Q5097">
        <f>P5097*0.0015</f>
        <v/>
      </c>
      <c r="R5097">
        <f>I5097*(1-Q5097)</f>
        <v/>
      </c>
      <c r="S5097">
        <f>R5097/R5096-1</f>
        <v/>
      </c>
      <c r="T5097">
        <f>MAX(T5096,R5097)</f>
        <v/>
      </c>
      <c r="U5097">
        <f>R5097/T5097-1</f>
        <v/>
      </c>
      <c r="V5097" t="n">
        <v>29.31227222748023</v>
      </c>
      <c r="W5097" s="5">
        <f>R5097-V5097</f>
        <v/>
      </c>
    </row>
    <row r="5098">
      <c r="A5098" s="3" t="n">
        <v>45946</v>
      </c>
      <c r="B5098">
        <f>Prices!B5098</f>
        <v/>
      </c>
      <c r="C5098">
        <f>Prices!C5098</f>
        <v/>
      </c>
      <c r="D5098">
        <f>Prices!D5098</f>
        <v/>
      </c>
      <c r="E5098">
        <f>Prices!E5098</f>
        <v/>
      </c>
      <c r="F5098">
        <f>Prices!F5098</f>
        <v/>
      </c>
      <c r="G5098">
        <f>IF(AND(5096&gt;=16,TEXT(A5098,"yyyy-mm")&lt;&gt;TEXT(A5099,"yyyy-mm")),1,0)</f>
        <v/>
      </c>
      <c r="H5098">
        <f>IF(OR(H5097=1,G5098=1),1,0)</f>
        <v/>
      </c>
      <c r="I5098">
        <f>IF(H5097=0,1,SUMPRODUCT(J5097:N5097,B5098:F5098)+O5097*(1+0.00023125256064071564))</f>
        <v/>
      </c>
      <c r="J5098">
        <f>IF(G5098=1,0.2*R5098/B5098,J5097)</f>
        <v/>
      </c>
      <c r="K5098">
        <f>IF(G5098=1,0.2*R5098/C5098,K5097)</f>
        <v/>
      </c>
      <c r="L5098">
        <f>IF(G5098=1,0.2*R5098/D5098,L5097)</f>
        <v/>
      </c>
      <c r="M5098">
        <f>IF(G5098=1,0.2*R5098/E5098,M5097)</f>
        <v/>
      </c>
      <c r="N5098">
        <f>IF(G5098=1,0.2*R5098/F5098,N5097)</f>
        <v/>
      </c>
      <c r="O5098">
        <f>IF(G5098=1,R5098*(1-1.0),IF(H5097=0,1,O5097*(1+0.00023125256064071564)))</f>
        <v/>
      </c>
      <c r="P5098">
        <f>IF(G5098=1,IF(H5097=0,1,ABS(0.2-J5097*B5098/I5098)+ABS(0.2-K5097*C5098/I5098)+ABS(0.2-L5097*D5098/I5098)+ABS(0.2-M5097*E5098/I5098)+ABS(0.2-N5097*F5098/I5098)),0)</f>
        <v/>
      </c>
      <c r="Q5098">
        <f>P5098*0.0015</f>
        <v/>
      </c>
      <c r="R5098">
        <f>I5098*(1-Q5098)</f>
        <v/>
      </c>
      <c r="S5098">
        <f>R5098/R5097-1</f>
        <v/>
      </c>
      <c r="T5098">
        <f>MAX(T5097,R5098)</f>
        <v/>
      </c>
      <c r="U5098">
        <f>R5098/T5098-1</f>
        <v/>
      </c>
      <c r="V5098" t="n">
        <v>29.40769428045214</v>
      </c>
      <c r="W5098" s="5">
        <f>R5098-V5098</f>
        <v/>
      </c>
    </row>
    <row r="5099">
      <c r="A5099" s="3" t="n">
        <v>45947</v>
      </c>
      <c r="B5099">
        <f>Prices!B5099</f>
        <v/>
      </c>
      <c r="C5099">
        <f>Prices!C5099</f>
        <v/>
      </c>
      <c r="D5099">
        <f>Prices!D5099</f>
        <v/>
      </c>
      <c r="E5099">
        <f>Prices!E5099</f>
        <v/>
      </c>
      <c r="F5099">
        <f>Prices!F5099</f>
        <v/>
      </c>
      <c r="G5099">
        <f>IF(AND(5097&gt;=16,TEXT(A5099,"yyyy-mm")&lt;&gt;TEXT(A5100,"yyyy-mm")),1,0)</f>
        <v/>
      </c>
      <c r="H5099">
        <f>IF(OR(H5098=1,G5099=1),1,0)</f>
        <v/>
      </c>
      <c r="I5099">
        <f>IF(H5098=0,1,SUMPRODUCT(J5098:N5098,B5099:F5099)+O5098*(1+0.00023125256064071564))</f>
        <v/>
      </c>
      <c r="J5099">
        <f>IF(G5099=1,0.2*R5099/B5099,J5098)</f>
        <v/>
      </c>
      <c r="K5099">
        <f>IF(G5099=1,0.2*R5099/C5099,K5098)</f>
        <v/>
      </c>
      <c r="L5099">
        <f>IF(G5099=1,0.2*R5099/D5099,L5098)</f>
        <v/>
      </c>
      <c r="M5099">
        <f>IF(G5099=1,0.2*R5099/E5099,M5098)</f>
        <v/>
      </c>
      <c r="N5099">
        <f>IF(G5099=1,0.2*R5099/F5099,N5098)</f>
        <v/>
      </c>
      <c r="O5099">
        <f>IF(G5099=1,R5099*(1-1.0),IF(H5098=0,1,O5098*(1+0.00023125256064071564)))</f>
        <v/>
      </c>
      <c r="P5099">
        <f>IF(G5099=1,IF(H5098=0,1,ABS(0.2-J5098*B5099/I5099)+ABS(0.2-K5098*C5099/I5099)+ABS(0.2-L5098*D5099/I5099)+ABS(0.2-M5098*E5099/I5099)+ABS(0.2-N5098*F5099/I5099)),0)</f>
        <v/>
      </c>
      <c r="Q5099">
        <f>P5099*0.0015</f>
        <v/>
      </c>
      <c r="R5099">
        <f>I5099*(1-Q5099)</f>
        <v/>
      </c>
      <c r="S5099">
        <f>R5099/R5098-1</f>
        <v/>
      </c>
      <c r="T5099">
        <f>MAX(T5098,R5099)</f>
        <v/>
      </c>
      <c r="U5099">
        <f>R5099/T5099-1</f>
        <v/>
      </c>
      <c r="V5099" t="n">
        <v>29.40376626923372</v>
      </c>
      <c r="W5099" s="5">
        <f>R5099-V5099</f>
        <v/>
      </c>
    </row>
    <row r="5100">
      <c r="A5100" s="3" t="n">
        <v>45950</v>
      </c>
      <c r="B5100">
        <f>Prices!B5100</f>
        <v/>
      </c>
      <c r="C5100">
        <f>Prices!C5100</f>
        <v/>
      </c>
      <c r="D5100">
        <f>Prices!D5100</f>
        <v/>
      </c>
      <c r="E5100">
        <f>Prices!E5100</f>
        <v/>
      </c>
      <c r="F5100">
        <f>Prices!F5100</f>
        <v/>
      </c>
      <c r="G5100">
        <f>IF(AND(5098&gt;=16,TEXT(A5100,"yyyy-mm")&lt;&gt;TEXT(A5101,"yyyy-mm")),1,0)</f>
        <v/>
      </c>
      <c r="H5100">
        <f>IF(OR(H5099=1,G5100=1),1,0)</f>
        <v/>
      </c>
      <c r="I5100">
        <f>IF(H5099=0,1,SUMPRODUCT(J5099:N5099,B5100:F5100)+O5099*(1+0.00023125256064071564))</f>
        <v/>
      </c>
      <c r="J5100">
        <f>IF(G5100=1,0.2*R5100/B5100,J5099)</f>
        <v/>
      </c>
      <c r="K5100">
        <f>IF(G5100=1,0.2*R5100/C5100,K5099)</f>
        <v/>
      </c>
      <c r="L5100">
        <f>IF(G5100=1,0.2*R5100/D5100,L5099)</f>
        <v/>
      </c>
      <c r="M5100">
        <f>IF(G5100=1,0.2*R5100/E5100,M5099)</f>
        <v/>
      </c>
      <c r="N5100">
        <f>IF(G5100=1,0.2*R5100/F5100,N5099)</f>
        <v/>
      </c>
      <c r="O5100">
        <f>IF(G5100=1,R5100*(1-1.0),IF(H5099=0,1,O5099*(1+0.00023125256064071564)))</f>
        <v/>
      </c>
      <c r="P5100">
        <f>IF(G5100=1,IF(H5099=0,1,ABS(0.2-J5099*B5100/I5100)+ABS(0.2-K5099*C5100/I5100)+ABS(0.2-L5099*D5100/I5100)+ABS(0.2-M5099*E5100/I5100)+ABS(0.2-N5099*F5100/I5100)),0)</f>
        <v/>
      </c>
      <c r="Q5100">
        <f>P5100*0.0015</f>
        <v/>
      </c>
      <c r="R5100">
        <f>I5100*(1-Q5100)</f>
        <v/>
      </c>
      <c r="S5100">
        <f>R5100/R5099-1</f>
        <v/>
      </c>
      <c r="T5100">
        <f>MAX(T5099,R5100)</f>
        <v/>
      </c>
      <c r="U5100">
        <f>R5100/T5100-1</f>
        <v/>
      </c>
      <c r="V5100" t="n">
        <v>29.58138161914921</v>
      </c>
      <c r="W5100" s="5">
        <f>R5100-V5100</f>
        <v/>
      </c>
    </row>
    <row r="5101">
      <c r="A5101" s="3" t="n">
        <v>45951</v>
      </c>
      <c r="B5101">
        <f>Prices!B5101</f>
        <v/>
      </c>
      <c r="C5101">
        <f>Prices!C5101</f>
        <v/>
      </c>
      <c r="D5101">
        <f>Prices!D5101</f>
        <v/>
      </c>
      <c r="E5101">
        <f>Prices!E5101</f>
        <v/>
      </c>
      <c r="F5101">
        <f>Prices!F5101</f>
        <v/>
      </c>
      <c r="G5101">
        <f>IF(AND(5099&gt;=16,TEXT(A5101,"yyyy-mm")&lt;&gt;TEXT(A5102,"yyyy-mm")),1,0)</f>
        <v/>
      </c>
      <c r="H5101">
        <f>IF(OR(H5100=1,G5101=1),1,0)</f>
        <v/>
      </c>
      <c r="I5101">
        <f>IF(H5100=0,1,SUMPRODUCT(J5100:N5100,B5101:F5101)+O5100*(1+0.00023125256064071564))</f>
        <v/>
      </c>
      <c r="J5101">
        <f>IF(G5101=1,0.2*R5101/B5101,J5100)</f>
        <v/>
      </c>
      <c r="K5101">
        <f>IF(G5101=1,0.2*R5101/C5101,K5100)</f>
        <v/>
      </c>
      <c r="L5101">
        <f>IF(G5101=1,0.2*R5101/D5101,L5100)</f>
        <v/>
      </c>
      <c r="M5101">
        <f>IF(G5101=1,0.2*R5101/E5101,M5100)</f>
        <v/>
      </c>
      <c r="N5101">
        <f>IF(G5101=1,0.2*R5101/F5101,N5100)</f>
        <v/>
      </c>
      <c r="O5101">
        <f>IF(G5101=1,R5101*(1-1.0),IF(H5100=0,1,O5100*(1+0.00023125256064071564)))</f>
        <v/>
      </c>
      <c r="P5101">
        <f>IF(G5101=1,IF(H5100=0,1,ABS(0.2-J5100*B5101/I5101)+ABS(0.2-K5100*C5101/I5101)+ABS(0.2-L5100*D5101/I5101)+ABS(0.2-M5100*E5101/I5101)+ABS(0.2-N5100*F5101/I5101)),0)</f>
        <v/>
      </c>
      <c r="Q5101">
        <f>P5101*0.0015</f>
        <v/>
      </c>
      <c r="R5101">
        <f>I5101*(1-Q5101)</f>
        <v/>
      </c>
      <c r="S5101">
        <f>R5101/R5100-1</f>
        <v/>
      </c>
      <c r="T5101">
        <f>MAX(T5100,R5101)</f>
        <v/>
      </c>
      <c r="U5101">
        <f>R5101/T5101-1</f>
        <v/>
      </c>
      <c r="V5101" t="n">
        <v>29.63115817534082</v>
      </c>
      <c r="W5101" s="5">
        <f>R5101-V5101</f>
        <v/>
      </c>
    </row>
    <row r="5102">
      <c r="A5102" s="3" t="n">
        <v>45953</v>
      </c>
      <c r="B5102">
        <f>Prices!B5102</f>
        <v/>
      </c>
      <c r="C5102">
        <f>Prices!C5102</f>
        <v/>
      </c>
      <c r="D5102">
        <f>Prices!D5102</f>
        <v/>
      </c>
      <c r="E5102">
        <f>Prices!E5102</f>
        <v/>
      </c>
      <c r="F5102">
        <f>Prices!F5102</f>
        <v/>
      </c>
      <c r="G5102">
        <f>IF(AND(5100&gt;=16,TEXT(A5102,"yyyy-mm")&lt;&gt;TEXT(A5103,"yyyy-mm")),1,0)</f>
        <v/>
      </c>
      <c r="H5102">
        <f>IF(OR(H5101=1,G5102=1),1,0)</f>
        <v/>
      </c>
      <c r="I5102">
        <f>IF(H5101=0,1,SUMPRODUCT(J5101:N5101,B5102:F5102)+O5101*(1+0.00023125256064071564))</f>
        <v/>
      </c>
      <c r="J5102">
        <f>IF(G5102=1,0.2*R5102/B5102,J5101)</f>
        <v/>
      </c>
      <c r="K5102">
        <f>IF(G5102=1,0.2*R5102/C5102,K5101)</f>
        <v/>
      </c>
      <c r="L5102">
        <f>IF(G5102=1,0.2*R5102/D5102,L5101)</f>
        <v/>
      </c>
      <c r="M5102">
        <f>IF(G5102=1,0.2*R5102/E5102,M5101)</f>
        <v/>
      </c>
      <c r="N5102">
        <f>IF(G5102=1,0.2*R5102/F5102,N5101)</f>
        <v/>
      </c>
      <c r="O5102">
        <f>IF(G5102=1,R5102*(1-1.0),IF(H5101=0,1,O5101*(1+0.00023125256064071564)))</f>
        <v/>
      </c>
      <c r="P5102">
        <f>IF(G5102=1,IF(H5101=0,1,ABS(0.2-J5101*B5102/I5102)+ABS(0.2-K5101*C5102/I5102)+ABS(0.2-L5101*D5102/I5102)+ABS(0.2-M5101*E5102/I5102)+ABS(0.2-N5101*F5102/I5102)),0)</f>
        <v/>
      </c>
      <c r="Q5102">
        <f>P5102*0.0015</f>
        <v/>
      </c>
      <c r="R5102">
        <f>I5102*(1-Q5102)</f>
        <v/>
      </c>
      <c r="S5102">
        <f>R5102/R5101-1</f>
        <v/>
      </c>
      <c r="T5102">
        <f>MAX(T5101,R5102)</f>
        <v/>
      </c>
      <c r="U5102">
        <f>R5102/T5102-1</f>
        <v/>
      </c>
      <c r="V5102" t="n">
        <v>29.51385334886109</v>
      </c>
      <c r="W5102" s="5">
        <f>R5102-V5102</f>
        <v/>
      </c>
    </row>
    <row r="5103">
      <c r="A5103" s="3" t="n">
        <v>45954</v>
      </c>
      <c r="B5103">
        <f>Prices!B5103</f>
        <v/>
      </c>
      <c r="C5103">
        <f>Prices!C5103</f>
        <v/>
      </c>
      <c r="D5103">
        <f>Prices!D5103</f>
        <v/>
      </c>
      <c r="E5103">
        <f>Prices!E5103</f>
        <v/>
      </c>
      <c r="F5103">
        <f>Prices!F5103</f>
        <v/>
      </c>
      <c r="G5103">
        <f>IF(AND(5101&gt;=16,TEXT(A5103,"yyyy-mm")&lt;&gt;TEXT(A5104,"yyyy-mm")),1,0)</f>
        <v/>
      </c>
      <c r="H5103">
        <f>IF(OR(H5102=1,G5103=1),1,0)</f>
        <v/>
      </c>
      <c r="I5103">
        <f>IF(H5102=0,1,SUMPRODUCT(J5102:N5102,B5103:F5103)+O5102*(1+0.00023125256064071564))</f>
        <v/>
      </c>
      <c r="J5103">
        <f>IF(G5103=1,0.2*R5103/B5103,J5102)</f>
        <v/>
      </c>
      <c r="K5103">
        <f>IF(G5103=1,0.2*R5103/C5103,K5102)</f>
        <v/>
      </c>
      <c r="L5103">
        <f>IF(G5103=1,0.2*R5103/D5103,L5102)</f>
        <v/>
      </c>
      <c r="M5103">
        <f>IF(G5103=1,0.2*R5103/E5103,M5102)</f>
        <v/>
      </c>
      <c r="N5103">
        <f>IF(G5103=1,0.2*R5103/F5103,N5102)</f>
        <v/>
      </c>
      <c r="O5103">
        <f>IF(G5103=1,R5103*(1-1.0),IF(H5102=0,1,O5102*(1+0.00023125256064071564)))</f>
        <v/>
      </c>
      <c r="P5103">
        <f>IF(G5103=1,IF(H5102=0,1,ABS(0.2-J5102*B5103/I5103)+ABS(0.2-K5102*C5103/I5103)+ABS(0.2-L5102*D5103/I5103)+ABS(0.2-M5102*E5103/I5103)+ABS(0.2-N5102*F5103/I5103)),0)</f>
        <v/>
      </c>
      <c r="Q5103">
        <f>P5103*0.0015</f>
        <v/>
      </c>
      <c r="R5103">
        <f>I5103*(1-Q5103)</f>
        <v/>
      </c>
      <c r="S5103">
        <f>R5103/R5102-1</f>
        <v/>
      </c>
      <c r="T5103">
        <f>MAX(T5102,R5103)</f>
        <v/>
      </c>
      <c r="U5103">
        <f>R5103/T5103-1</f>
        <v/>
      </c>
      <c r="V5103" t="n">
        <v>29.43156433319958</v>
      </c>
      <c r="W5103" s="5">
        <f>R5103-V5103</f>
        <v/>
      </c>
    </row>
    <row r="5104">
      <c r="A5104" s="3" t="n">
        <v>45957</v>
      </c>
      <c r="B5104">
        <f>Prices!B5104</f>
        <v/>
      </c>
      <c r="C5104">
        <f>Prices!C5104</f>
        <v/>
      </c>
      <c r="D5104">
        <f>Prices!D5104</f>
        <v/>
      </c>
      <c r="E5104">
        <f>Prices!E5104</f>
        <v/>
      </c>
      <c r="F5104">
        <f>Prices!F5104</f>
        <v/>
      </c>
      <c r="G5104">
        <f>IF(AND(5102&gt;=16,TEXT(A5104,"yyyy-mm")&lt;&gt;TEXT(A5105,"yyyy-mm")),1,0)</f>
        <v/>
      </c>
      <c r="H5104">
        <f>IF(OR(H5103=1,G5104=1),1,0)</f>
        <v/>
      </c>
      <c r="I5104">
        <f>IF(H5103=0,1,SUMPRODUCT(J5103:N5103,B5104:F5104)+O5103*(1+0.00023125256064071564))</f>
        <v/>
      </c>
      <c r="J5104">
        <f>IF(G5104=1,0.2*R5104/B5104,J5103)</f>
        <v/>
      </c>
      <c r="K5104">
        <f>IF(G5104=1,0.2*R5104/C5104,K5103)</f>
        <v/>
      </c>
      <c r="L5104">
        <f>IF(G5104=1,0.2*R5104/D5104,L5103)</f>
        <v/>
      </c>
      <c r="M5104">
        <f>IF(G5104=1,0.2*R5104/E5104,M5103)</f>
        <v/>
      </c>
      <c r="N5104">
        <f>IF(G5104=1,0.2*R5104/F5104,N5103)</f>
        <v/>
      </c>
      <c r="O5104">
        <f>IF(G5104=1,R5104*(1-1.0),IF(H5103=0,1,O5103*(1+0.00023125256064071564)))</f>
        <v/>
      </c>
      <c r="P5104">
        <f>IF(G5104=1,IF(H5103=0,1,ABS(0.2-J5103*B5104/I5104)+ABS(0.2-K5103*C5104/I5104)+ABS(0.2-L5103*D5104/I5104)+ABS(0.2-M5103*E5104/I5104)+ABS(0.2-N5103*F5104/I5104)),0)</f>
        <v/>
      </c>
      <c r="Q5104">
        <f>P5104*0.0015</f>
        <v/>
      </c>
      <c r="R5104">
        <f>I5104*(1-Q5104)</f>
        <v/>
      </c>
      <c r="S5104">
        <f>R5104/R5103-1</f>
        <v/>
      </c>
      <c r="T5104">
        <f>MAX(T5103,R5104)</f>
        <v/>
      </c>
      <c r="U5104">
        <f>R5104/T5104-1</f>
        <v/>
      </c>
      <c r="V5104" t="n">
        <v>29.62427582849047</v>
      </c>
      <c r="W5104" s="5">
        <f>R5104-V5104</f>
        <v/>
      </c>
    </row>
    <row r="5105">
      <c r="A5105" s="3" t="n">
        <v>45958</v>
      </c>
      <c r="B5105">
        <f>Prices!B5105</f>
        <v/>
      </c>
      <c r="C5105">
        <f>Prices!C5105</f>
        <v/>
      </c>
      <c r="D5105">
        <f>Prices!D5105</f>
        <v/>
      </c>
      <c r="E5105">
        <f>Prices!E5105</f>
        <v/>
      </c>
      <c r="F5105">
        <f>Prices!F5105</f>
        <v/>
      </c>
      <c r="G5105">
        <f>IF(AND(5103&gt;=16,TEXT(A5105,"yyyy-mm")&lt;&gt;TEXT(A5106,"yyyy-mm")),1,0)</f>
        <v/>
      </c>
      <c r="H5105">
        <f>IF(OR(H5104=1,G5105=1),1,0)</f>
        <v/>
      </c>
      <c r="I5105">
        <f>IF(H5104=0,1,SUMPRODUCT(J5104:N5104,B5105:F5105)+O5104*(1+0.00023125256064071564))</f>
        <v/>
      </c>
      <c r="J5105">
        <f>IF(G5105=1,0.2*R5105/B5105,J5104)</f>
        <v/>
      </c>
      <c r="K5105">
        <f>IF(G5105=1,0.2*R5105/C5105,K5104)</f>
        <v/>
      </c>
      <c r="L5105">
        <f>IF(G5105=1,0.2*R5105/D5105,L5104)</f>
        <v/>
      </c>
      <c r="M5105">
        <f>IF(G5105=1,0.2*R5105/E5105,M5104)</f>
        <v/>
      </c>
      <c r="N5105">
        <f>IF(G5105=1,0.2*R5105/F5105,N5104)</f>
        <v/>
      </c>
      <c r="O5105">
        <f>IF(G5105=1,R5105*(1-1.0),IF(H5104=0,1,O5104*(1+0.00023125256064071564)))</f>
        <v/>
      </c>
      <c r="P5105">
        <f>IF(G5105=1,IF(H5104=0,1,ABS(0.2-J5104*B5105/I5105)+ABS(0.2-K5104*C5105/I5105)+ABS(0.2-L5104*D5105/I5105)+ABS(0.2-M5104*E5105/I5105)+ABS(0.2-N5104*F5105/I5105)),0)</f>
        <v/>
      </c>
      <c r="Q5105">
        <f>P5105*0.0015</f>
        <v/>
      </c>
      <c r="R5105">
        <f>I5105*(1-Q5105)</f>
        <v/>
      </c>
      <c r="S5105">
        <f>R5105/R5104-1</f>
        <v/>
      </c>
      <c r="T5105">
        <f>MAX(T5104,R5105)</f>
        <v/>
      </c>
      <c r="U5105">
        <f>R5105/T5105-1</f>
        <v/>
      </c>
      <c r="V5105" t="n">
        <v>29.59648944329076</v>
      </c>
      <c r="W5105" s="5">
        <f>R5105-V5105</f>
        <v/>
      </c>
    </row>
    <row r="5106">
      <c r="A5106" s="3" t="n">
        <v>45959</v>
      </c>
      <c r="B5106">
        <f>Prices!B5106</f>
        <v/>
      </c>
      <c r="C5106">
        <f>Prices!C5106</f>
        <v/>
      </c>
      <c r="D5106">
        <f>Prices!D5106</f>
        <v/>
      </c>
      <c r="E5106">
        <f>Prices!E5106</f>
        <v/>
      </c>
      <c r="F5106">
        <f>Prices!F5106</f>
        <v/>
      </c>
      <c r="G5106">
        <f>IF(AND(5104&gt;=16,TEXT(A5106,"yyyy-mm")&lt;&gt;TEXT(A5107,"yyyy-mm")),1,0)</f>
        <v/>
      </c>
      <c r="H5106">
        <f>IF(OR(H5105=1,G5106=1),1,0)</f>
        <v/>
      </c>
      <c r="I5106">
        <f>IF(H5105=0,1,SUMPRODUCT(J5105:N5105,B5106:F5106)+O5105*(1+0.00023125256064071564))</f>
        <v/>
      </c>
      <c r="J5106">
        <f>IF(G5106=1,0.2*R5106/B5106,J5105)</f>
        <v/>
      </c>
      <c r="K5106">
        <f>IF(G5106=1,0.2*R5106/C5106,K5105)</f>
        <v/>
      </c>
      <c r="L5106">
        <f>IF(G5106=1,0.2*R5106/D5106,L5105)</f>
        <v/>
      </c>
      <c r="M5106">
        <f>IF(G5106=1,0.2*R5106/E5106,M5105)</f>
        <v/>
      </c>
      <c r="N5106">
        <f>IF(G5106=1,0.2*R5106/F5106,N5105)</f>
        <v/>
      </c>
      <c r="O5106">
        <f>IF(G5106=1,R5106*(1-1.0),IF(H5105=0,1,O5105*(1+0.00023125256064071564)))</f>
        <v/>
      </c>
      <c r="P5106">
        <f>IF(G5106=1,IF(H5105=0,1,ABS(0.2-J5105*B5106/I5106)+ABS(0.2-K5105*C5106/I5106)+ABS(0.2-L5105*D5106/I5106)+ABS(0.2-M5105*E5106/I5106)+ABS(0.2-N5105*F5106/I5106)),0)</f>
        <v/>
      </c>
      <c r="Q5106">
        <f>P5106*0.0015</f>
        <v/>
      </c>
      <c r="R5106">
        <f>I5106*(1-Q5106)</f>
        <v/>
      </c>
      <c r="S5106">
        <f>R5106/R5105-1</f>
        <v/>
      </c>
      <c r="T5106">
        <f>MAX(T5105,R5106)</f>
        <v/>
      </c>
      <c r="U5106">
        <f>R5106/T5106-1</f>
        <v/>
      </c>
      <c r="V5106" t="n">
        <v>29.71135582582936</v>
      </c>
      <c r="W5106" s="5">
        <f>R5106-V5106</f>
        <v/>
      </c>
    </row>
    <row r="5107">
      <c r="A5107" s="3" t="n">
        <v>45960</v>
      </c>
      <c r="B5107">
        <f>Prices!B5107</f>
        <v/>
      </c>
      <c r="C5107">
        <f>Prices!C5107</f>
        <v/>
      </c>
      <c r="D5107">
        <f>Prices!D5107</f>
        <v/>
      </c>
      <c r="E5107">
        <f>Prices!E5107</f>
        <v/>
      </c>
      <c r="F5107">
        <f>Prices!F5107</f>
        <v/>
      </c>
      <c r="G5107">
        <f>IF(AND(5105&gt;=16,TEXT(A5107,"yyyy-mm")&lt;&gt;TEXT(A5108,"yyyy-mm")),1,0)</f>
        <v/>
      </c>
      <c r="H5107">
        <f>IF(OR(H5106=1,G5107=1),1,0)</f>
        <v/>
      </c>
      <c r="I5107">
        <f>IF(H5106=0,1,SUMPRODUCT(J5106:N5106,B5107:F5107)+O5106*(1+0.00023125256064071564))</f>
        <v/>
      </c>
      <c r="J5107">
        <f>IF(G5107=1,0.2*R5107/B5107,J5106)</f>
        <v/>
      </c>
      <c r="K5107">
        <f>IF(G5107=1,0.2*R5107/C5107,K5106)</f>
        <v/>
      </c>
      <c r="L5107">
        <f>IF(G5107=1,0.2*R5107/D5107,L5106)</f>
        <v/>
      </c>
      <c r="M5107">
        <f>IF(G5107=1,0.2*R5107/E5107,M5106)</f>
        <v/>
      </c>
      <c r="N5107">
        <f>IF(G5107=1,0.2*R5107/F5107,N5106)</f>
        <v/>
      </c>
      <c r="O5107">
        <f>IF(G5107=1,R5107*(1-1.0),IF(H5106=0,1,O5106*(1+0.00023125256064071564)))</f>
        <v/>
      </c>
      <c r="P5107">
        <f>IF(G5107=1,IF(H5106=0,1,ABS(0.2-J5106*B5107/I5107)+ABS(0.2-K5106*C5107/I5107)+ABS(0.2-L5106*D5107/I5107)+ABS(0.2-M5106*E5107/I5107)+ABS(0.2-N5106*F5107/I5107)),0)</f>
        <v/>
      </c>
      <c r="Q5107">
        <f>P5107*0.0015</f>
        <v/>
      </c>
      <c r="R5107">
        <f>I5107*(1-Q5107)</f>
        <v/>
      </c>
      <c r="S5107">
        <f>R5107/R5106-1</f>
        <v/>
      </c>
      <c r="T5107">
        <f>MAX(T5106,R5107)</f>
        <v/>
      </c>
      <c r="U5107">
        <f>R5107/T5107-1</f>
        <v/>
      </c>
      <c r="V5107" t="n">
        <v>29.63566409585172</v>
      </c>
      <c r="W5107" s="5">
        <f>R5107-V5107</f>
        <v/>
      </c>
    </row>
    <row r="5108">
      <c r="A5108" s="3" t="n">
        <v>45961</v>
      </c>
      <c r="B5108">
        <f>Prices!B5108</f>
        <v/>
      </c>
      <c r="C5108">
        <f>Prices!C5108</f>
        <v/>
      </c>
      <c r="D5108">
        <f>Prices!D5108</f>
        <v/>
      </c>
      <c r="E5108">
        <f>Prices!E5108</f>
        <v/>
      </c>
      <c r="F5108">
        <f>Prices!F5108</f>
        <v/>
      </c>
      <c r="G5108">
        <f>IF(AND(5106&gt;=16,TEXT(A5108,"yyyy-mm")&lt;&gt;TEXT(A5109,"yyyy-mm")),1,0)</f>
        <v/>
      </c>
      <c r="H5108">
        <f>IF(OR(H5107=1,G5108=1),1,0)</f>
        <v/>
      </c>
      <c r="I5108">
        <f>IF(H5107=0,1,SUMPRODUCT(J5107:N5107,B5108:F5108)+O5107*(1+0.00023125256064071564))</f>
        <v/>
      </c>
      <c r="J5108">
        <f>IF(G5108=1,0.2*R5108/B5108,J5107)</f>
        <v/>
      </c>
      <c r="K5108">
        <f>IF(G5108=1,0.2*R5108/C5108,K5107)</f>
        <v/>
      </c>
      <c r="L5108">
        <f>IF(G5108=1,0.2*R5108/D5108,L5107)</f>
        <v/>
      </c>
      <c r="M5108">
        <f>IF(G5108=1,0.2*R5108/E5108,M5107)</f>
        <v/>
      </c>
      <c r="N5108">
        <f>IF(G5108=1,0.2*R5108/F5108,N5107)</f>
        <v/>
      </c>
      <c r="O5108">
        <f>IF(G5108=1,R5108*(1-1.0),IF(H5107=0,1,O5107*(1+0.00023125256064071564)))</f>
        <v/>
      </c>
      <c r="P5108">
        <f>IF(G5108=1,IF(H5107=0,1,ABS(0.2-J5107*B5108/I5108)+ABS(0.2-K5107*C5108/I5108)+ABS(0.2-L5107*D5108/I5108)+ABS(0.2-M5107*E5108/I5108)+ABS(0.2-N5107*F5108/I5108)),0)</f>
        <v/>
      </c>
      <c r="Q5108">
        <f>P5108*0.0015</f>
        <v/>
      </c>
      <c r="R5108">
        <f>I5108*(1-Q5108)</f>
        <v/>
      </c>
      <c r="S5108">
        <f>R5108/R5107-1</f>
        <v/>
      </c>
      <c r="T5108">
        <f>MAX(T5107,R5108)</f>
        <v/>
      </c>
      <c r="U5108">
        <f>R5108/T5108-1</f>
        <v/>
      </c>
      <c r="V5108" t="n">
        <v>29.47985794919962</v>
      </c>
      <c r="W5108" s="5">
        <f>R5108-V5108</f>
        <v/>
      </c>
    </row>
    <row r="5109">
      <c r="A5109" s="3" t="n">
        <v>45964</v>
      </c>
      <c r="B5109">
        <f>Prices!B5109</f>
        <v/>
      </c>
      <c r="C5109">
        <f>Prices!C5109</f>
        <v/>
      </c>
      <c r="D5109">
        <f>Prices!D5109</f>
        <v/>
      </c>
      <c r="E5109">
        <f>Prices!E5109</f>
        <v/>
      </c>
      <c r="F5109">
        <f>Prices!F5109</f>
        <v/>
      </c>
      <c r="G5109">
        <f>IF(AND(5107&gt;=16,TEXT(A5109,"yyyy-mm")&lt;&gt;TEXT(A5110,"yyyy-mm")),1,0)</f>
        <v/>
      </c>
      <c r="H5109">
        <f>IF(OR(H5108=1,G5109=1),1,0)</f>
        <v/>
      </c>
      <c r="I5109">
        <f>IF(H5108=0,1,SUMPRODUCT(J5108:N5108,B5109:F5109)+O5108*(1+0.00023125256064071564))</f>
        <v/>
      </c>
      <c r="J5109">
        <f>IF(G5109=1,0.2*R5109/B5109,J5108)</f>
        <v/>
      </c>
      <c r="K5109">
        <f>IF(G5109=1,0.2*R5109/C5109,K5108)</f>
        <v/>
      </c>
      <c r="L5109">
        <f>IF(G5109=1,0.2*R5109/D5109,L5108)</f>
        <v/>
      </c>
      <c r="M5109">
        <f>IF(G5109=1,0.2*R5109/E5109,M5108)</f>
        <v/>
      </c>
      <c r="N5109">
        <f>IF(G5109=1,0.2*R5109/F5109,N5108)</f>
        <v/>
      </c>
      <c r="O5109">
        <f>IF(G5109=1,R5109*(1-1.0),IF(H5108=0,1,O5108*(1+0.00023125256064071564)))</f>
        <v/>
      </c>
      <c r="P5109">
        <f>IF(G5109=1,IF(H5108=0,1,ABS(0.2-J5108*B5109/I5109)+ABS(0.2-K5108*C5109/I5109)+ABS(0.2-L5108*D5109/I5109)+ABS(0.2-M5108*E5109/I5109)+ABS(0.2-N5108*F5109/I5109)),0)</f>
        <v/>
      </c>
      <c r="Q5109">
        <f>P5109*0.0015</f>
        <v/>
      </c>
      <c r="R5109">
        <f>I5109*(1-Q5109)</f>
        <v/>
      </c>
      <c r="S5109">
        <f>R5109/R5108-1</f>
        <v/>
      </c>
      <c r="T5109">
        <f>MAX(T5108,R5109)</f>
        <v/>
      </c>
      <c r="U5109">
        <f>R5109/T5109-1</f>
        <v/>
      </c>
      <c r="V5109" t="n">
        <v>29.66893933835316</v>
      </c>
      <c r="W5109" s="5">
        <f>R5109-V5109</f>
        <v/>
      </c>
    </row>
    <row r="5110">
      <c r="A5110" s="3" t="n">
        <v>45965</v>
      </c>
      <c r="B5110">
        <f>Prices!B5110</f>
        <v/>
      </c>
      <c r="C5110">
        <f>Prices!C5110</f>
        <v/>
      </c>
      <c r="D5110">
        <f>Prices!D5110</f>
        <v/>
      </c>
      <c r="E5110">
        <f>Prices!E5110</f>
        <v/>
      </c>
      <c r="F5110">
        <f>Prices!F5110</f>
        <v/>
      </c>
      <c r="G5110">
        <f>IF(AND(5108&gt;=16,TEXT(A5110,"yyyy-mm")&lt;&gt;TEXT(A5111,"yyyy-mm")),1,0)</f>
        <v/>
      </c>
      <c r="H5110">
        <f>IF(OR(H5109=1,G5110=1),1,0)</f>
        <v/>
      </c>
      <c r="I5110">
        <f>IF(H5109=0,1,SUMPRODUCT(J5109:N5109,B5110:F5110)+O5109*(1+0.00023125256064071564))</f>
        <v/>
      </c>
      <c r="J5110">
        <f>IF(G5110=1,0.2*R5110/B5110,J5109)</f>
        <v/>
      </c>
      <c r="K5110">
        <f>IF(G5110=1,0.2*R5110/C5110,K5109)</f>
        <v/>
      </c>
      <c r="L5110">
        <f>IF(G5110=1,0.2*R5110/D5110,L5109)</f>
        <v/>
      </c>
      <c r="M5110">
        <f>IF(G5110=1,0.2*R5110/E5110,M5109)</f>
        <v/>
      </c>
      <c r="N5110">
        <f>IF(G5110=1,0.2*R5110/F5110,N5109)</f>
        <v/>
      </c>
      <c r="O5110">
        <f>IF(G5110=1,R5110*(1-1.0),IF(H5109=0,1,O5109*(1+0.00023125256064071564)))</f>
        <v/>
      </c>
      <c r="P5110">
        <f>IF(G5110=1,IF(H5109=0,1,ABS(0.2-J5109*B5110/I5110)+ABS(0.2-K5109*C5110/I5110)+ABS(0.2-L5109*D5110/I5110)+ABS(0.2-M5109*E5110/I5110)+ABS(0.2-N5109*F5110/I5110)),0)</f>
        <v/>
      </c>
      <c r="Q5110">
        <f>P5110*0.0015</f>
        <v/>
      </c>
      <c r="R5110">
        <f>I5110*(1-Q5110)</f>
        <v/>
      </c>
      <c r="S5110">
        <f>R5110/R5109-1</f>
        <v/>
      </c>
      <c r="T5110">
        <f>MAX(T5109,R5110)</f>
        <v/>
      </c>
      <c r="U5110">
        <f>R5110/T5110-1</f>
        <v/>
      </c>
      <c r="V5110" t="n">
        <v>29.51419262161066</v>
      </c>
      <c r="W5110" s="5">
        <f>R5110-V5110</f>
        <v/>
      </c>
    </row>
    <row r="5111">
      <c r="A5111" s="3" t="n">
        <v>45967</v>
      </c>
      <c r="B5111">
        <f>Prices!B5111</f>
        <v/>
      </c>
      <c r="C5111">
        <f>Prices!C5111</f>
        <v/>
      </c>
      <c r="D5111">
        <f>Prices!D5111</f>
        <v/>
      </c>
      <c r="E5111">
        <f>Prices!E5111</f>
        <v/>
      </c>
      <c r="F5111">
        <f>Prices!F5111</f>
        <v/>
      </c>
      <c r="G5111">
        <f>IF(AND(5109&gt;=16,TEXT(A5111,"yyyy-mm")&lt;&gt;TEXT(A5112,"yyyy-mm")),1,0)</f>
        <v/>
      </c>
      <c r="H5111">
        <f>IF(OR(H5110=1,G5111=1),1,0)</f>
        <v/>
      </c>
      <c r="I5111">
        <f>IF(H5110=0,1,SUMPRODUCT(J5110:N5110,B5111:F5111)+O5110*(1+0.00023125256064071564))</f>
        <v/>
      </c>
      <c r="J5111">
        <f>IF(G5111=1,0.2*R5111/B5111,J5110)</f>
        <v/>
      </c>
      <c r="K5111">
        <f>IF(G5111=1,0.2*R5111/C5111,K5110)</f>
        <v/>
      </c>
      <c r="L5111">
        <f>IF(G5111=1,0.2*R5111/D5111,L5110)</f>
        <v/>
      </c>
      <c r="M5111">
        <f>IF(G5111=1,0.2*R5111/E5111,M5110)</f>
        <v/>
      </c>
      <c r="N5111">
        <f>IF(G5111=1,0.2*R5111/F5111,N5110)</f>
        <v/>
      </c>
      <c r="O5111">
        <f>IF(G5111=1,R5111*(1-1.0),IF(H5110=0,1,O5110*(1+0.00023125256064071564)))</f>
        <v/>
      </c>
      <c r="P5111">
        <f>IF(G5111=1,IF(H5110=0,1,ABS(0.2-J5110*B5111/I5111)+ABS(0.2-K5110*C5111/I5111)+ABS(0.2-L5110*D5111/I5111)+ABS(0.2-M5110*E5111/I5111)+ABS(0.2-N5110*F5111/I5111)),0)</f>
        <v/>
      </c>
      <c r="Q5111">
        <f>P5111*0.0015</f>
        <v/>
      </c>
      <c r="R5111">
        <f>I5111*(1-Q5111)</f>
        <v/>
      </c>
      <c r="S5111">
        <f>R5111/R5110-1</f>
        <v/>
      </c>
      <c r="T5111">
        <f>MAX(T5110,R5111)</f>
        <v/>
      </c>
      <c r="U5111">
        <f>R5111/T5111-1</f>
        <v/>
      </c>
      <c r="V5111" t="n">
        <v>29.30858339073674</v>
      </c>
      <c r="W5111" s="5">
        <f>R5111-V5111</f>
        <v/>
      </c>
    </row>
    <row r="5112">
      <c r="A5112" s="3" t="n">
        <v>45968</v>
      </c>
      <c r="B5112">
        <f>Prices!B5112</f>
        <v/>
      </c>
      <c r="C5112">
        <f>Prices!C5112</f>
        <v/>
      </c>
      <c r="D5112">
        <f>Prices!D5112</f>
        <v/>
      </c>
      <c r="E5112">
        <f>Prices!E5112</f>
        <v/>
      </c>
      <c r="F5112">
        <f>Prices!F5112</f>
        <v/>
      </c>
      <c r="G5112">
        <f>IF(AND(5110&gt;=16,TEXT(A5112,"yyyy-mm")&lt;&gt;TEXT(A5113,"yyyy-mm")),1,0)</f>
        <v/>
      </c>
      <c r="H5112">
        <f>IF(OR(H5111=1,G5112=1),1,0)</f>
        <v/>
      </c>
      <c r="I5112">
        <f>IF(H5111=0,1,SUMPRODUCT(J5111:N5111,B5112:F5112)+O5111*(1+0.00023125256064071564))</f>
        <v/>
      </c>
      <c r="J5112">
        <f>IF(G5112=1,0.2*R5112/B5112,J5111)</f>
        <v/>
      </c>
      <c r="K5112">
        <f>IF(G5112=1,0.2*R5112/C5112,K5111)</f>
        <v/>
      </c>
      <c r="L5112">
        <f>IF(G5112=1,0.2*R5112/D5112,L5111)</f>
        <v/>
      </c>
      <c r="M5112">
        <f>IF(G5112=1,0.2*R5112/E5112,M5111)</f>
        <v/>
      </c>
      <c r="N5112">
        <f>IF(G5112=1,0.2*R5112/F5112,N5111)</f>
        <v/>
      </c>
      <c r="O5112">
        <f>IF(G5112=1,R5112*(1-1.0),IF(H5111=0,1,O5111*(1+0.00023125256064071564)))</f>
        <v/>
      </c>
      <c r="P5112">
        <f>IF(G5112=1,IF(H5111=0,1,ABS(0.2-J5111*B5112/I5112)+ABS(0.2-K5111*C5112/I5112)+ABS(0.2-L5111*D5112/I5112)+ABS(0.2-M5111*E5112/I5112)+ABS(0.2-N5111*F5112/I5112)),0)</f>
        <v/>
      </c>
      <c r="Q5112">
        <f>P5112*0.0015</f>
        <v/>
      </c>
      <c r="R5112">
        <f>I5112*(1-Q5112)</f>
        <v/>
      </c>
      <c r="S5112">
        <f>R5112/R5111-1</f>
        <v/>
      </c>
      <c r="T5112">
        <f>MAX(T5111,R5112)</f>
        <v/>
      </c>
      <c r="U5112">
        <f>R5112/T5112-1</f>
        <v/>
      </c>
      <c r="V5112" t="n">
        <v>29.45567807259341</v>
      </c>
      <c r="W5112" s="5">
        <f>R5112-V5112</f>
        <v/>
      </c>
    </row>
    <row r="5113">
      <c r="A5113" s="3" t="n">
        <v>45971</v>
      </c>
      <c r="B5113">
        <f>Prices!B5113</f>
        <v/>
      </c>
      <c r="C5113">
        <f>Prices!C5113</f>
        <v/>
      </c>
      <c r="D5113">
        <f>Prices!D5113</f>
        <v/>
      </c>
      <c r="E5113">
        <f>Prices!E5113</f>
        <v/>
      </c>
      <c r="F5113">
        <f>Prices!F5113</f>
        <v/>
      </c>
      <c r="G5113">
        <f>IF(AND(5111&gt;=16,TEXT(A5113,"yyyy-mm")&lt;&gt;TEXT(A5114,"yyyy-mm")),1,0)</f>
        <v/>
      </c>
      <c r="H5113">
        <f>IF(OR(H5112=1,G5113=1),1,0)</f>
        <v/>
      </c>
      <c r="I5113">
        <f>IF(H5112=0,1,SUMPRODUCT(J5112:N5112,B5113:F5113)+O5112*(1+0.00023125256064071564))</f>
        <v/>
      </c>
      <c r="J5113">
        <f>IF(G5113=1,0.2*R5113/B5113,J5112)</f>
        <v/>
      </c>
      <c r="K5113">
        <f>IF(G5113=1,0.2*R5113/C5113,K5112)</f>
        <v/>
      </c>
      <c r="L5113">
        <f>IF(G5113=1,0.2*R5113/D5113,L5112)</f>
        <v/>
      </c>
      <c r="M5113">
        <f>IF(G5113=1,0.2*R5113/E5113,M5112)</f>
        <v/>
      </c>
      <c r="N5113">
        <f>IF(G5113=1,0.2*R5113/F5113,N5112)</f>
        <v/>
      </c>
      <c r="O5113">
        <f>IF(G5113=1,R5113*(1-1.0),IF(H5112=0,1,O5112*(1+0.00023125256064071564)))</f>
        <v/>
      </c>
      <c r="P5113">
        <f>IF(G5113=1,IF(H5112=0,1,ABS(0.2-J5112*B5113/I5113)+ABS(0.2-K5112*C5113/I5113)+ABS(0.2-L5112*D5113/I5113)+ABS(0.2-M5112*E5113/I5113)+ABS(0.2-N5112*F5113/I5113)),0)</f>
        <v/>
      </c>
      <c r="Q5113">
        <f>P5113*0.0015</f>
        <v/>
      </c>
      <c r="R5113">
        <f>I5113*(1-Q5113)</f>
        <v/>
      </c>
      <c r="S5113">
        <f>R5113/R5112-1</f>
        <v/>
      </c>
      <c r="T5113">
        <f>MAX(T5112,R5113)</f>
        <v/>
      </c>
      <c r="U5113">
        <f>R5113/T5113-1</f>
        <v/>
      </c>
      <c r="V5113" t="n">
        <v>29.53786077981567</v>
      </c>
      <c r="W5113" s="5">
        <f>R5113-V5113</f>
        <v/>
      </c>
    </row>
    <row r="5114">
      <c r="A5114" s="3" t="n">
        <v>45972</v>
      </c>
      <c r="B5114">
        <f>Prices!B5114</f>
        <v/>
      </c>
      <c r="C5114">
        <f>Prices!C5114</f>
        <v/>
      </c>
      <c r="D5114">
        <f>Prices!D5114</f>
        <v/>
      </c>
      <c r="E5114">
        <f>Prices!E5114</f>
        <v/>
      </c>
      <c r="F5114">
        <f>Prices!F5114</f>
        <v/>
      </c>
      <c r="G5114">
        <f>IF(AND(5112&gt;=16,TEXT(A5114,"yyyy-mm")&lt;&gt;TEXT(A5115,"yyyy-mm")),1,0)</f>
        <v/>
      </c>
      <c r="H5114">
        <f>IF(OR(H5113=1,G5114=1),1,0)</f>
        <v/>
      </c>
      <c r="I5114">
        <f>IF(H5113=0,1,SUMPRODUCT(J5113:N5113,B5114:F5114)+O5113*(1+0.00023125256064071564))</f>
        <v/>
      </c>
      <c r="J5114">
        <f>IF(G5114=1,0.2*R5114/B5114,J5113)</f>
        <v/>
      </c>
      <c r="K5114">
        <f>IF(G5114=1,0.2*R5114/C5114,K5113)</f>
        <v/>
      </c>
      <c r="L5114">
        <f>IF(G5114=1,0.2*R5114/D5114,L5113)</f>
        <v/>
      </c>
      <c r="M5114">
        <f>IF(G5114=1,0.2*R5114/E5114,M5113)</f>
        <v/>
      </c>
      <c r="N5114">
        <f>IF(G5114=1,0.2*R5114/F5114,N5113)</f>
        <v/>
      </c>
      <c r="O5114">
        <f>IF(G5114=1,R5114*(1-1.0),IF(H5113=0,1,O5113*(1+0.00023125256064071564)))</f>
        <v/>
      </c>
      <c r="P5114">
        <f>IF(G5114=1,IF(H5113=0,1,ABS(0.2-J5113*B5114/I5114)+ABS(0.2-K5113*C5114/I5114)+ABS(0.2-L5113*D5114/I5114)+ABS(0.2-M5113*E5114/I5114)+ABS(0.2-N5113*F5114/I5114)),0)</f>
        <v/>
      </c>
      <c r="Q5114">
        <f>P5114*0.0015</f>
        <v/>
      </c>
      <c r="R5114">
        <f>I5114*(1-Q5114)</f>
        <v/>
      </c>
      <c r="S5114">
        <f>R5114/R5113-1</f>
        <v/>
      </c>
      <c r="T5114">
        <f>MAX(T5113,R5114)</f>
        <v/>
      </c>
      <c r="U5114">
        <f>R5114/T5114-1</f>
        <v/>
      </c>
      <c r="V5114" t="n">
        <v>29.54225282275157</v>
      </c>
      <c r="W5114" s="5">
        <f>R5114-V5114</f>
        <v/>
      </c>
    </row>
    <row r="5115">
      <c r="A5115" s="3" t="n">
        <v>45973</v>
      </c>
      <c r="B5115">
        <f>Prices!B5115</f>
        <v/>
      </c>
      <c r="C5115">
        <f>Prices!C5115</f>
        <v/>
      </c>
      <c r="D5115">
        <f>Prices!D5115</f>
        <v/>
      </c>
      <c r="E5115">
        <f>Prices!E5115</f>
        <v/>
      </c>
      <c r="F5115">
        <f>Prices!F5115</f>
        <v/>
      </c>
      <c r="G5115">
        <f>IF(AND(5113&gt;=16,TEXT(A5115,"yyyy-mm")&lt;&gt;TEXT(A5116,"yyyy-mm")),1,0)</f>
        <v/>
      </c>
      <c r="H5115">
        <f>IF(OR(H5114=1,G5115=1),1,0)</f>
        <v/>
      </c>
      <c r="I5115">
        <f>IF(H5114=0,1,SUMPRODUCT(J5114:N5114,B5115:F5115)+O5114*(1+0.00023125256064071564))</f>
        <v/>
      </c>
      <c r="J5115">
        <f>IF(G5115=1,0.2*R5115/B5115,J5114)</f>
        <v/>
      </c>
      <c r="K5115">
        <f>IF(G5115=1,0.2*R5115/C5115,K5114)</f>
        <v/>
      </c>
      <c r="L5115">
        <f>IF(G5115=1,0.2*R5115/D5115,L5114)</f>
        <v/>
      </c>
      <c r="M5115">
        <f>IF(G5115=1,0.2*R5115/E5115,M5114)</f>
        <v/>
      </c>
      <c r="N5115">
        <f>IF(G5115=1,0.2*R5115/F5115,N5114)</f>
        <v/>
      </c>
      <c r="O5115">
        <f>IF(G5115=1,R5115*(1-1.0),IF(H5114=0,1,O5114*(1+0.00023125256064071564)))</f>
        <v/>
      </c>
      <c r="P5115">
        <f>IF(G5115=1,IF(H5114=0,1,ABS(0.2-J5114*B5115/I5115)+ABS(0.2-K5114*C5115/I5115)+ABS(0.2-L5114*D5115/I5115)+ABS(0.2-M5114*E5115/I5115)+ABS(0.2-N5114*F5115/I5115)),0)</f>
        <v/>
      </c>
      <c r="Q5115">
        <f>P5115*0.0015</f>
        <v/>
      </c>
      <c r="R5115">
        <f>I5115*(1-Q5115)</f>
        <v/>
      </c>
      <c r="S5115">
        <f>R5115/R5114-1</f>
        <v/>
      </c>
      <c r="T5115">
        <f>MAX(T5114,R5115)</f>
        <v/>
      </c>
      <c r="U5115">
        <f>R5115/T5115-1</f>
        <v/>
      </c>
      <c r="V5115" t="n">
        <v>29.78773137320121</v>
      </c>
      <c r="W5115" s="5">
        <f>R5115-V5115</f>
        <v/>
      </c>
    </row>
    <row r="5116">
      <c r="A5116" s="3" t="n">
        <v>45974</v>
      </c>
      <c r="B5116">
        <f>Prices!B5116</f>
        <v/>
      </c>
      <c r="C5116">
        <f>Prices!C5116</f>
        <v/>
      </c>
      <c r="D5116">
        <f>Prices!D5116</f>
        <v/>
      </c>
      <c r="E5116">
        <f>Prices!E5116</f>
        <v/>
      </c>
      <c r="F5116">
        <f>Prices!F5116</f>
        <v/>
      </c>
      <c r="G5116">
        <f>IF(AND(5114&gt;=16,TEXT(A5116,"yyyy-mm")&lt;&gt;TEXT(A5117,"yyyy-mm")),1,0)</f>
        <v/>
      </c>
      <c r="H5116">
        <f>IF(OR(H5115=1,G5116=1),1,0)</f>
        <v/>
      </c>
      <c r="I5116">
        <f>IF(H5115=0,1,SUMPRODUCT(J5115:N5115,B5116:F5116)+O5115*(1+0.00023125256064071564))</f>
        <v/>
      </c>
      <c r="J5116">
        <f>IF(G5116=1,0.2*R5116/B5116,J5115)</f>
        <v/>
      </c>
      <c r="K5116">
        <f>IF(G5116=1,0.2*R5116/C5116,K5115)</f>
        <v/>
      </c>
      <c r="L5116">
        <f>IF(G5116=1,0.2*R5116/D5116,L5115)</f>
        <v/>
      </c>
      <c r="M5116">
        <f>IF(G5116=1,0.2*R5116/E5116,M5115)</f>
        <v/>
      </c>
      <c r="N5116">
        <f>IF(G5116=1,0.2*R5116/F5116,N5115)</f>
        <v/>
      </c>
      <c r="O5116">
        <f>IF(G5116=1,R5116*(1-1.0),IF(H5115=0,1,O5115*(1+0.00023125256064071564)))</f>
        <v/>
      </c>
      <c r="P5116">
        <f>IF(G5116=1,IF(H5115=0,1,ABS(0.2-J5115*B5116/I5116)+ABS(0.2-K5115*C5116/I5116)+ABS(0.2-L5115*D5116/I5116)+ABS(0.2-M5115*E5116/I5116)+ABS(0.2-N5115*F5116/I5116)),0)</f>
        <v/>
      </c>
      <c r="Q5116">
        <f>P5116*0.0015</f>
        <v/>
      </c>
      <c r="R5116">
        <f>I5116*(1-Q5116)</f>
        <v/>
      </c>
      <c r="S5116">
        <f>R5116/R5115-1</f>
        <v/>
      </c>
      <c r="T5116">
        <f>MAX(T5115,R5116)</f>
        <v/>
      </c>
      <c r="U5116">
        <f>R5116/T5116-1</f>
        <v/>
      </c>
      <c r="V5116" t="n">
        <v>29.70487501139117</v>
      </c>
      <c r="W5116" s="5">
        <f>R5116-V5116</f>
        <v/>
      </c>
    </row>
    <row r="5117">
      <c r="A5117" s="3" t="n">
        <v>45975</v>
      </c>
      <c r="B5117">
        <f>Prices!B5117</f>
        <v/>
      </c>
      <c r="C5117">
        <f>Prices!C5117</f>
        <v/>
      </c>
      <c r="D5117">
        <f>Prices!D5117</f>
        <v/>
      </c>
      <c r="E5117">
        <f>Prices!E5117</f>
        <v/>
      </c>
      <c r="F5117">
        <f>Prices!F5117</f>
        <v/>
      </c>
      <c r="G5117">
        <f>IF(AND(5115&gt;=16,TEXT(A5117,"yyyy-mm")&lt;&gt;TEXT(A5118,"yyyy-mm")),1,0)</f>
        <v/>
      </c>
      <c r="H5117">
        <f>IF(OR(H5116=1,G5117=1),1,0)</f>
        <v/>
      </c>
      <c r="I5117">
        <f>IF(H5116=0,1,SUMPRODUCT(J5116:N5116,B5117:F5117)+O5116*(1+0.00023125256064071564))</f>
        <v/>
      </c>
      <c r="J5117">
        <f>IF(G5117=1,0.2*R5117/B5117,J5116)</f>
        <v/>
      </c>
      <c r="K5117">
        <f>IF(G5117=1,0.2*R5117/C5117,K5116)</f>
        <v/>
      </c>
      <c r="L5117">
        <f>IF(G5117=1,0.2*R5117/D5117,L5116)</f>
        <v/>
      </c>
      <c r="M5117">
        <f>IF(G5117=1,0.2*R5117/E5117,M5116)</f>
        <v/>
      </c>
      <c r="N5117">
        <f>IF(G5117=1,0.2*R5117/F5117,N5116)</f>
        <v/>
      </c>
      <c r="O5117">
        <f>IF(G5117=1,R5117*(1-1.0),IF(H5116=0,1,O5116*(1+0.00023125256064071564)))</f>
        <v/>
      </c>
      <c r="P5117">
        <f>IF(G5117=1,IF(H5116=0,1,ABS(0.2-J5116*B5117/I5117)+ABS(0.2-K5116*C5117/I5117)+ABS(0.2-L5116*D5117/I5117)+ABS(0.2-M5116*E5117/I5117)+ABS(0.2-N5116*F5117/I5117)),0)</f>
        <v/>
      </c>
      <c r="Q5117">
        <f>P5117*0.0015</f>
        <v/>
      </c>
      <c r="R5117">
        <f>I5117*(1-Q5117)</f>
        <v/>
      </c>
      <c r="S5117">
        <f>R5117/R5116-1</f>
        <v/>
      </c>
      <c r="T5117">
        <f>MAX(T5116,R5117)</f>
        <v/>
      </c>
      <c r="U5117">
        <f>R5117/T5117-1</f>
        <v/>
      </c>
      <c r="V5117" t="n">
        <v>29.73936994977316</v>
      </c>
      <c r="W5117" s="5">
        <f>R5117-V5117</f>
        <v/>
      </c>
    </row>
    <row r="5118">
      <c r="A5118" s="3" t="n">
        <v>45978</v>
      </c>
      <c r="B5118">
        <f>Prices!B5118</f>
        <v/>
      </c>
      <c r="C5118">
        <f>Prices!C5118</f>
        <v/>
      </c>
      <c r="D5118">
        <f>Prices!D5118</f>
        <v/>
      </c>
      <c r="E5118">
        <f>Prices!E5118</f>
        <v/>
      </c>
      <c r="F5118">
        <f>Prices!F5118</f>
        <v/>
      </c>
      <c r="G5118">
        <f>IF(AND(5116&gt;=16,TEXT(A5118,"yyyy-mm")&lt;&gt;TEXT(A5119,"yyyy-mm")),1,0)</f>
        <v/>
      </c>
      <c r="H5118">
        <f>IF(OR(H5117=1,G5118=1),1,0)</f>
        <v/>
      </c>
      <c r="I5118">
        <f>IF(H5117=0,1,SUMPRODUCT(J5117:N5117,B5118:F5118)+O5117*(1+0.00023125256064071564))</f>
        <v/>
      </c>
      <c r="J5118">
        <f>IF(G5118=1,0.2*R5118/B5118,J5117)</f>
        <v/>
      </c>
      <c r="K5118">
        <f>IF(G5118=1,0.2*R5118/C5118,K5117)</f>
        <v/>
      </c>
      <c r="L5118">
        <f>IF(G5118=1,0.2*R5118/D5118,L5117)</f>
        <v/>
      </c>
      <c r="M5118">
        <f>IF(G5118=1,0.2*R5118/E5118,M5117)</f>
        <v/>
      </c>
      <c r="N5118">
        <f>IF(G5118=1,0.2*R5118/F5118,N5117)</f>
        <v/>
      </c>
      <c r="O5118">
        <f>IF(G5118=1,R5118*(1-1.0),IF(H5117=0,1,O5117*(1+0.00023125256064071564)))</f>
        <v/>
      </c>
      <c r="P5118">
        <f>IF(G5118=1,IF(H5117=0,1,ABS(0.2-J5117*B5118/I5118)+ABS(0.2-K5117*C5118/I5118)+ABS(0.2-L5117*D5118/I5118)+ABS(0.2-M5117*E5118/I5118)+ABS(0.2-N5117*F5118/I5118)),0)</f>
        <v/>
      </c>
      <c r="Q5118">
        <f>P5118*0.0015</f>
        <v/>
      </c>
      <c r="R5118">
        <f>I5118*(1-Q5118)</f>
        <v/>
      </c>
      <c r="S5118">
        <f>R5118/R5117-1</f>
        <v/>
      </c>
      <c r="T5118">
        <f>MAX(T5117,R5118)</f>
        <v/>
      </c>
      <c r="U5118">
        <f>R5118/T5118-1</f>
        <v/>
      </c>
      <c r="V5118" t="n">
        <v>29.92292982496932</v>
      </c>
      <c r="W5118" s="5">
        <f>R5118-V5118</f>
        <v/>
      </c>
    </row>
    <row r="5119">
      <c r="A5119" s="3" t="n">
        <v>45979</v>
      </c>
      <c r="B5119">
        <f>Prices!B5119</f>
        <v/>
      </c>
      <c r="C5119">
        <f>Prices!C5119</f>
        <v/>
      </c>
      <c r="D5119">
        <f>Prices!D5119</f>
        <v/>
      </c>
      <c r="E5119">
        <f>Prices!E5119</f>
        <v/>
      </c>
      <c r="F5119">
        <f>Prices!F5119</f>
        <v/>
      </c>
      <c r="G5119">
        <f>IF(AND(5117&gt;=16,TEXT(A5119,"yyyy-mm")&lt;&gt;TEXT(A5120,"yyyy-mm")),1,0)</f>
        <v/>
      </c>
      <c r="H5119">
        <f>IF(OR(H5118=1,G5119=1),1,0)</f>
        <v/>
      </c>
      <c r="I5119">
        <f>IF(H5118=0,1,SUMPRODUCT(J5118:N5118,B5119:F5119)+O5118*(1+0.00023125256064071564))</f>
        <v/>
      </c>
      <c r="J5119">
        <f>IF(G5119=1,0.2*R5119/B5119,J5118)</f>
        <v/>
      </c>
      <c r="K5119">
        <f>IF(G5119=1,0.2*R5119/C5119,K5118)</f>
        <v/>
      </c>
      <c r="L5119">
        <f>IF(G5119=1,0.2*R5119/D5119,L5118)</f>
        <v/>
      </c>
      <c r="M5119">
        <f>IF(G5119=1,0.2*R5119/E5119,M5118)</f>
        <v/>
      </c>
      <c r="N5119">
        <f>IF(G5119=1,0.2*R5119/F5119,N5118)</f>
        <v/>
      </c>
      <c r="O5119">
        <f>IF(G5119=1,R5119*(1-1.0),IF(H5118=0,1,O5118*(1+0.00023125256064071564)))</f>
        <v/>
      </c>
      <c r="P5119">
        <f>IF(G5119=1,IF(H5118=0,1,ABS(0.2-J5118*B5119/I5119)+ABS(0.2-K5118*C5119/I5119)+ABS(0.2-L5118*D5119/I5119)+ABS(0.2-M5118*E5119/I5119)+ABS(0.2-N5118*F5119/I5119)),0)</f>
        <v/>
      </c>
      <c r="Q5119">
        <f>P5119*0.0015</f>
        <v/>
      </c>
      <c r="R5119">
        <f>I5119*(1-Q5119)</f>
        <v/>
      </c>
      <c r="S5119">
        <f>R5119/R5118-1</f>
        <v/>
      </c>
      <c r="T5119">
        <f>MAX(T5118,R5119)</f>
        <v/>
      </c>
      <c r="U5119">
        <f>R5119/T5119-1</f>
        <v/>
      </c>
      <c r="V5119" t="n">
        <v>29.67535183721649</v>
      </c>
      <c r="W5119" s="5">
        <f>R5119-V5119</f>
        <v/>
      </c>
    </row>
    <row r="5120">
      <c r="A5120" s="3" t="n">
        <v>45980</v>
      </c>
      <c r="B5120">
        <f>Prices!B5120</f>
        <v/>
      </c>
      <c r="C5120">
        <f>Prices!C5120</f>
        <v/>
      </c>
      <c r="D5120">
        <f>Prices!D5120</f>
        <v/>
      </c>
      <c r="E5120">
        <f>Prices!E5120</f>
        <v/>
      </c>
      <c r="F5120">
        <f>Prices!F5120</f>
        <v/>
      </c>
      <c r="G5120">
        <f>IF(AND(5118&gt;=16,TEXT(A5120,"yyyy-mm")&lt;&gt;TEXT(A5121,"yyyy-mm")),1,0)</f>
        <v/>
      </c>
      <c r="H5120">
        <f>IF(OR(H5119=1,G5120=1),1,0)</f>
        <v/>
      </c>
      <c r="I5120">
        <f>IF(H5119=0,1,SUMPRODUCT(J5119:N5119,B5120:F5120)+O5119*(1+0.00023125256064071564))</f>
        <v/>
      </c>
      <c r="J5120">
        <f>IF(G5120=1,0.2*R5120/B5120,J5119)</f>
        <v/>
      </c>
      <c r="K5120">
        <f>IF(G5120=1,0.2*R5120/C5120,K5119)</f>
        <v/>
      </c>
      <c r="L5120">
        <f>IF(G5120=1,0.2*R5120/D5120,L5119)</f>
        <v/>
      </c>
      <c r="M5120">
        <f>IF(G5120=1,0.2*R5120/E5120,M5119)</f>
        <v/>
      </c>
      <c r="N5120">
        <f>IF(G5120=1,0.2*R5120/F5120,N5119)</f>
        <v/>
      </c>
      <c r="O5120">
        <f>IF(G5120=1,R5120*(1-1.0),IF(H5119=0,1,O5119*(1+0.00023125256064071564)))</f>
        <v/>
      </c>
      <c r="P5120">
        <f>IF(G5120=1,IF(H5119=0,1,ABS(0.2-J5119*B5120/I5120)+ABS(0.2-K5119*C5120/I5120)+ABS(0.2-L5119*D5120/I5120)+ABS(0.2-M5119*E5120/I5120)+ABS(0.2-N5119*F5120/I5120)),0)</f>
        <v/>
      </c>
      <c r="Q5120">
        <f>P5120*0.0015</f>
        <v/>
      </c>
      <c r="R5120">
        <f>I5120*(1-Q5120)</f>
        <v/>
      </c>
      <c r="S5120">
        <f>R5120/R5119-1</f>
        <v/>
      </c>
      <c r="T5120">
        <f>MAX(T5119,R5120)</f>
        <v/>
      </c>
      <c r="U5120">
        <f>R5120/T5120-1</f>
        <v/>
      </c>
      <c r="V5120" t="n">
        <v>29.75469728444702</v>
      </c>
      <c r="W5120" s="5">
        <f>R5120-V5120</f>
        <v/>
      </c>
    </row>
    <row r="5121">
      <c r="A5121" s="3" t="n">
        <v>45981</v>
      </c>
      <c r="B5121">
        <f>Prices!B5121</f>
        <v/>
      </c>
      <c r="C5121">
        <f>Prices!C5121</f>
        <v/>
      </c>
      <c r="D5121">
        <f>Prices!D5121</f>
        <v/>
      </c>
      <c r="E5121">
        <f>Prices!E5121</f>
        <v/>
      </c>
      <c r="F5121">
        <f>Prices!F5121</f>
        <v/>
      </c>
      <c r="G5121">
        <f>IF(AND(5119&gt;=16,TEXT(A5121,"yyyy-mm")&lt;&gt;TEXT(A5122,"yyyy-mm")),1,0)</f>
        <v/>
      </c>
      <c r="H5121">
        <f>IF(OR(H5120=1,G5121=1),1,0)</f>
        <v/>
      </c>
      <c r="I5121">
        <f>IF(H5120=0,1,SUMPRODUCT(J5120:N5120,B5121:F5121)+O5120*(1+0.00023125256064071564))</f>
        <v/>
      </c>
      <c r="J5121">
        <f>IF(G5121=1,0.2*R5121/B5121,J5120)</f>
        <v/>
      </c>
      <c r="K5121">
        <f>IF(G5121=1,0.2*R5121/C5121,K5120)</f>
        <v/>
      </c>
      <c r="L5121">
        <f>IF(G5121=1,0.2*R5121/D5121,L5120)</f>
        <v/>
      </c>
      <c r="M5121">
        <f>IF(G5121=1,0.2*R5121/E5121,M5120)</f>
        <v/>
      </c>
      <c r="N5121">
        <f>IF(G5121=1,0.2*R5121/F5121,N5120)</f>
        <v/>
      </c>
      <c r="O5121">
        <f>IF(G5121=1,R5121*(1-1.0),IF(H5120=0,1,O5120*(1+0.00023125256064071564)))</f>
        <v/>
      </c>
      <c r="P5121">
        <f>IF(G5121=1,IF(H5120=0,1,ABS(0.2-J5120*B5121/I5121)+ABS(0.2-K5120*C5121/I5121)+ABS(0.2-L5120*D5121/I5121)+ABS(0.2-M5120*E5121/I5121)+ABS(0.2-N5120*F5121/I5121)),0)</f>
        <v/>
      </c>
      <c r="Q5121">
        <f>P5121*0.0015</f>
        <v/>
      </c>
      <c r="R5121">
        <f>I5121*(1-Q5121)</f>
        <v/>
      </c>
      <c r="S5121">
        <f>R5121/R5120-1</f>
        <v/>
      </c>
      <c r="T5121">
        <f>MAX(T5120,R5121)</f>
        <v/>
      </c>
      <c r="U5121">
        <f>R5121/T5121-1</f>
        <v/>
      </c>
      <c r="V5121" t="n">
        <v>29.83158959472435</v>
      </c>
      <c r="W5121" s="5">
        <f>R5121-V5121</f>
        <v/>
      </c>
    </row>
    <row r="5122">
      <c r="A5122" s="3" t="n">
        <v>45982</v>
      </c>
      <c r="B5122">
        <f>Prices!B5122</f>
        <v/>
      </c>
      <c r="C5122">
        <f>Prices!C5122</f>
        <v/>
      </c>
      <c r="D5122">
        <f>Prices!D5122</f>
        <v/>
      </c>
      <c r="E5122">
        <f>Prices!E5122</f>
        <v/>
      </c>
      <c r="F5122">
        <f>Prices!F5122</f>
        <v/>
      </c>
      <c r="G5122">
        <f>IF(AND(5120&gt;=16,TEXT(A5122,"yyyy-mm")&lt;&gt;TEXT(A5123,"yyyy-mm")),1,0)</f>
        <v/>
      </c>
      <c r="H5122">
        <f>IF(OR(H5121=1,G5122=1),1,0)</f>
        <v/>
      </c>
      <c r="I5122">
        <f>IF(H5121=0,1,SUMPRODUCT(J5121:N5121,B5122:F5122)+O5121*(1+0.00023125256064071564))</f>
        <v/>
      </c>
      <c r="J5122">
        <f>IF(G5122=1,0.2*R5122/B5122,J5121)</f>
        <v/>
      </c>
      <c r="K5122">
        <f>IF(G5122=1,0.2*R5122/C5122,K5121)</f>
        <v/>
      </c>
      <c r="L5122">
        <f>IF(G5122=1,0.2*R5122/D5122,L5121)</f>
        <v/>
      </c>
      <c r="M5122">
        <f>IF(G5122=1,0.2*R5122/E5122,M5121)</f>
        <v/>
      </c>
      <c r="N5122">
        <f>IF(G5122=1,0.2*R5122/F5122,N5121)</f>
        <v/>
      </c>
      <c r="O5122">
        <f>IF(G5122=1,R5122*(1-1.0),IF(H5121=0,1,O5121*(1+0.00023125256064071564)))</f>
        <v/>
      </c>
      <c r="P5122">
        <f>IF(G5122=1,IF(H5121=0,1,ABS(0.2-J5121*B5122/I5122)+ABS(0.2-K5121*C5122/I5122)+ABS(0.2-L5121*D5122/I5122)+ABS(0.2-M5121*E5122/I5122)+ABS(0.2-N5121*F5122/I5122)),0)</f>
        <v/>
      </c>
      <c r="Q5122">
        <f>P5122*0.0015</f>
        <v/>
      </c>
      <c r="R5122">
        <f>I5122*(1-Q5122)</f>
        <v/>
      </c>
      <c r="S5122">
        <f>R5122/R5121-1</f>
        <v/>
      </c>
      <c r="T5122">
        <f>MAX(T5121,R5122)</f>
        <v/>
      </c>
      <c r="U5122">
        <f>R5122/T5122-1</f>
        <v/>
      </c>
      <c r="V5122" t="n">
        <v>29.51703603292255</v>
      </c>
      <c r="W5122" s="5">
        <f>R5122-V5122</f>
        <v/>
      </c>
    </row>
    <row r="5123">
      <c r="A5123" s="3" t="n">
        <v>45985</v>
      </c>
      <c r="B5123">
        <f>Prices!B5123</f>
        <v/>
      </c>
      <c r="C5123">
        <f>Prices!C5123</f>
        <v/>
      </c>
      <c r="D5123">
        <f>Prices!D5123</f>
        <v/>
      </c>
      <c r="E5123">
        <f>Prices!E5123</f>
        <v/>
      </c>
      <c r="F5123">
        <f>Prices!F5123</f>
        <v/>
      </c>
      <c r="G5123">
        <f>IF(AND(5121&gt;=16,TEXT(A5123,"yyyy-mm")&lt;&gt;TEXT(A5124,"yyyy-mm")),1,0)</f>
        <v/>
      </c>
      <c r="H5123">
        <f>IF(OR(H5122=1,G5123=1),1,0)</f>
        <v/>
      </c>
      <c r="I5123">
        <f>IF(H5122=0,1,SUMPRODUCT(J5122:N5122,B5123:F5123)+O5122*(1+0.00023125256064071564))</f>
        <v/>
      </c>
      <c r="J5123">
        <f>IF(G5123=1,0.2*R5123/B5123,J5122)</f>
        <v/>
      </c>
      <c r="K5123">
        <f>IF(G5123=1,0.2*R5123/C5123,K5122)</f>
        <v/>
      </c>
      <c r="L5123">
        <f>IF(G5123=1,0.2*R5123/D5123,L5122)</f>
        <v/>
      </c>
      <c r="M5123">
        <f>IF(G5123=1,0.2*R5123/E5123,M5122)</f>
        <v/>
      </c>
      <c r="N5123">
        <f>IF(G5123=1,0.2*R5123/F5123,N5122)</f>
        <v/>
      </c>
      <c r="O5123">
        <f>IF(G5123=1,R5123*(1-1.0),IF(H5122=0,1,O5122*(1+0.00023125256064071564)))</f>
        <v/>
      </c>
      <c r="P5123">
        <f>IF(G5123=1,IF(H5122=0,1,ABS(0.2-J5122*B5123/I5123)+ABS(0.2-K5122*C5123/I5123)+ABS(0.2-L5122*D5123/I5123)+ABS(0.2-M5122*E5123/I5123)+ABS(0.2-N5122*F5123/I5123)),0)</f>
        <v/>
      </c>
      <c r="Q5123">
        <f>P5123*0.0015</f>
        <v/>
      </c>
      <c r="R5123">
        <f>I5123*(1-Q5123)</f>
        <v/>
      </c>
      <c r="S5123">
        <f>R5123/R5122-1</f>
        <v/>
      </c>
      <c r="T5123">
        <f>MAX(T5122,R5123)</f>
        <v/>
      </c>
      <c r="U5123">
        <f>R5123/T5123-1</f>
        <v/>
      </c>
      <c r="V5123" t="n">
        <v>29.33514273708946</v>
      </c>
      <c r="W5123" s="5">
        <f>R5123-V5123</f>
        <v/>
      </c>
    </row>
    <row r="5124">
      <c r="A5124" s="3" t="n">
        <v>45986</v>
      </c>
      <c r="B5124">
        <f>Prices!B5124</f>
        <v/>
      </c>
      <c r="C5124">
        <f>Prices!C5124</f>
        <v/>
      </c>
      <c r="D5124">
        <f>Prices!D5124</f>
        <v/>
      </c>
      <c r="E5124">
        <f>Prices!E5124</f>
        <v/>
      </c>
      <c r="F5124">
        <f>Prices!F5124</f>
        <v/>
      </c>
      <c r="G5124">
        <f>IF(AND(5122&gt;=16,TEXT(A5124,"yyyy-mm")&lt;&gt;TEXT(A5125,"yyyy-mm")),1,0)</f>
        <v/>
      </c>
      <c r="H5124">
        <f>IF(OR(H5123=1,G5124=1),1,0)</f>
        <v/>
      </c>
      <c r="I5124">
        <f>IF(H5123=0,1,SUMPRODUCT(J5123:N5123,B5124:F5124)+O5123*(1+0.00023125256064071564))</f>
        <v/>
      </c>
      <c r="J5124">
        <f>IF(G5124=1,0.2*R5124/B5124,J5123)</f>
        <v/>
      </c>
      <c r="K5124">
        <f>IF(G5124=1,0.2*R5124/C5124,K5123)</f>
        <v/>
      </c>
      <c r="L5124">
        <f>IF(G5124=1,0.2*R5124/D5124,L5123)</f>
        <v/>
      </c>
      <c r="M5124">
        <f>IF(G5124=1,0.2*R5124/E5124,M5123)</f>
        <v/>
      </c>
      <c r="N5124">
        <f>IF(G5124=1,0.2*R5124/F5124,N5123)</f>
        <v/>
      </c>
      <c r="O5124">
        <f>IF(G5124=1,R5124*(1-1.0),IF(H5123=0,1,O5123*(1+0.00023125256064071564)))</f>
        <v/>
      </c>
      <c r="P5124">
        <f>IF(G5124=1,IF(H5123=0,1,ABS(0.2-J5123*B5124/I5124)+ABS(0.2-K5123*C5124/I5124)+ABS(0.2-L5123*D5124/I5124)+ABS(0.2-M5123*E5124/I5124)+ABS(0.2-N5123*F5124/I5124)),0)</f>
        <v/>
      </c>
      <c r="Q5124">
        <f>P5124*0.0015</f>
        <v/>
      </c>
      <c r="R5124">
        <f>I5124*(1-Q5124)</f>
        <v/>
      </c>
      <c r="S5124">
        <f>R5124/R5123-1</f>
        <v/>
      </c>
      <c r="T5124">
        <f>MAX(T5123,R5124)</f>
        <v/>
      </c>
      <c r="U5124">
        <f>R5124/T5124-1</f>
        <v/>
      </c>
      <c r="V5124" t="n">
        <v>29.37109613670604</v>
      </c>
      <c r="W5124" s="5">
        <f>R5124-V5124</f>
        <v/>
      </c>
    </row>
    <row r="5125">
      <c r="A5125" s="3" t="n">
        <v>45987</v>
      </c>
      <c r="B5125">
        <f>Prices!B5125</f>
        <v/>
      </c>
      <c r="C5125">
        <f>Prices!C5125</f>
        <v/>
      </c>
      <c r="D5125">
        <f>Prices!D5125</f>
        <v/>
      </c>
      <c r="E5125">
        <f>Prices!E5125</f>
        <v/>
      </c>
      <c r="F5125">
        <f>Prices!F5125</f>
        <v/>
      </c>
      <c r="G5125">
        <f>IF(AND(5123&gt;=16,TEXT(A5125,"yyyy-mm")&lt;&gt;TEXT(A5126,"yyyy-mm")),1,0)</f>
        <v/>
      </c>
      <c r="H5125">
        <f>IF(OR(H5124=1,G5125=1),1,0)</f>
        <v/>
      </c>
      <c r="I5125">
        <f>IF(H5124=0,1,SUMPRODUCT(J5124:N5124,B5125:F5125)+O5124*(1+0.00023125256064071564))</f>
        <v/>
      </c>
      <c r="J5125">
        <f>IF(G5125=1,0.2*R5125/B5125,J5124)</f>
        <v/>
      </c>
      <c r="K5125">
        <f>IF(G5125=1,0.2*R5125/C5125,K5124)</f>
        <v/>
      </c>
      <c r="L5125">
        <f>IF(G5125=1,0.2*R5125/D5125,L5124)</f>
        <v/>
      </c>
      <c r="M5125">
        <f>IF(G5125=1,0.2*R5125/E5125,M5124)</f>
        <v/>
      </c>
      <c r="N5125">
        <f>IF(G5125=1,0.2*R5125/F5125,N5124)</f>
        <v/>
      </c>
      <c r="O5125">
        <f>IF(G5125=1,R5125*(1-1.0),IF(H5124=0,1,O5124*(1+0.00023125256064071564)))</f>
        <v/>
      </c>
      <c r="P5125">
        <f>IF(G5125=1,IF(H5124=0,1,ABS(0.2-J5124*B5125/I5125)+ABS(0.2-K5124*C5125/I5125)+ABS(0.2-L5124*D5125/I5125)+ABS(0.2-M5124*E5125/I5125)+ABS(0.2-N5124*F5125/I5125)),0)</f>
        <v/>
      </c>
      <c r="Q5125">
        <f>P5125*0.0015</f>
        <v/>
      </c>
      <c r="R5125">
        <f>I5125*(1-Q5125)</f>
        <v/>
      </c>
      <c r="S5125">
        <f>R5125/R5124-1</f>
        <v/>
      </c>
      <c r="T5125">
        <f>MAX(T5124,R5125)</f>
        <v/>
      </c>
      <c r="U5125">
        <f>R5125/T5125-1</f>
        <v/>
      </c>
      <c r="V5125" t="n">
        <v>29.79673676117367</v>
      </c>
      <c r="W5125" s="5">
        <f>R5125-V5125</f>
        <v/>
      </c>
    </row>
    <row r="5126">
      <c r="A5126" s="3" t="n">
        <v>45988</v>
      </c>
      <c r="B5126">
        <f>Prices!B5126</f>
        <v/>
      </c>
      <c r="C5126">
        <f>Prices!C5126</f>
        <v/>
      </c>
      <c r="D5126">
        <f>Prices!D5126</f>
        <v/>
      </c>
      <c r="E5126">
        <f>Prices!E5126</f>
        <v/>
      </c>
      <c r="F5126">
        <f>Prices!F5126</f>
        <v/>
      </c>
      <c r="G5126">
        <f>IF(AND(5124&gt;=16,TEXT(A5126,"yyyy-mm")&lt;&gt;TEXT(A5127,"yyyy-mm")),1,0)</f>
        <v/>
      </c>
      <c r="H5126">
        <f>IF(OR(H5125=1,G5126=1),1,0)</f>
        <v/>
      </c>
      <c r="I5126">
        <f>IF(H5125=0,1,SUMPRODUCT(J5125:N5125,B5126:F5126)+O5125*(1+0.00023125256064071564))</f>
        <v/>
      </c>
      <c r="J5126">
        <f>IF(G5126=1,0.2*R5126/B5126,J5125)</f>
        <v/>
      </c>
      <c r="K5126">
        <f>IF(G5126=1,0.2*R5126/C5126,K5125)</f>
        <v/>
      </c>
      <c r="L5126">
        <f>IF(G5126=1,0.2*R5126/D5126,L5125)</f>
        <v/>
      </c>
      <c r="M5126">
        <f>IF(G5126=1,0.2*R5126/E5126,M5125)</f>
        <v/>
      </c>
      <c r="N5126">
        <f>IF(G5126=1,0.2*R5126/F5126,N5125)</f>
        <v/>
      </c>
      <c r="O5126">
        <f>IF(G5126=1,R5126*(1-1.0),IF(H5125=0,1,O5125*(1+0.00023125256064071564)))</f>
        <v/>
      </c>
      <c r="P5126">
        <f>IF(G5126=1,IF(H5125=0,1,ABS(0.2-J5125*B5126/I5126)+ABS(0.2-K5125*C5126/I5126)+ABS(0.2-L5125*D5126/I5126)+ABS(0.2-M5125*E5126/I5126)+ABS(0.2-N5125*F5126/I5126)),0)</f>
        <v/>
      </c>
      <c r="Q5126">
        <f>P5126*0.0015</f>
        <v/>
      </c>
      <c r="R5126">
        <f>I5126*(1-Q5126)</f>
        <v/>
      </c>
      <c r="S5126">
        <f>R5126/R5125-1</f>
        <v/>
      </c>
      <c r="T5126">
        <f>MAX(T5125,R5126)</f>
        <v/>
      </c>
      <c r="U5126">
        <f>R5126/T5126-1</f>
        <v/>
      </c>
      <c r="V5126" t="n">
        <v>29.74686898262027</v>
      </c>
      <c r="W5126" s="5">
        <f>R5126-V5126</f>
        <v/>
      </c>
    </row>
    <row r="5127">
      <c r="A5127" s="3" t="n">
        <v>45989</v>
      </c>
      <c r="B5127">
        <f>Prices!B5127</f>
        <v/>
      </c>
      <c r="C5127">
        <f>Prices!C5127</f>
        <v/>
      </c>
      <c r="D5127">
        <f>Prices!D5127</f>
        <v/>
      </c>
      <c r="E5127">
        <f>Prices!E5127</f>
        <v/>
      </c>
      <c r="F5127">
        <f>Prices!F5127</f>
        <v/>
      </c>
      <c r="G5127">
        <f>IF(AND(5125&gt;=16,TEXT(A5127,"yyyy-mm")&lt;&gt;TEXT(A5128,"yyyy-mm")),1,0)</f>
        <v/>
      </c>
      <c r="H5127">
        <f>IF(OR(H5126=1,G5127=1),1,0)</f>
        <v/>
      </c>
      <c r="I5127">
        <f>IF(H5126=0,1,SUMPRODUCT(J5126:N5126,B5127:F5127)+O5126*(1+0.00023125256064071564))</f>
        <v/>
      </c>
      <c r="J5127">
        <f>IF(G5127=1,0.2*R5127/B5127,J5126)</f>
        <v/>
      </c>
      <c r="K5127">
        <f>IF(G5127=1,0.2*R5127/C5127,K5126)</f>
        <v/>
      </c>
      <c r="L5127">
        <f>IF(G5127=1,0.2*R5127/D5127,L5126)</f>
        <v/>
      </c>
      <c r="M5127">
        <f>IF(G5127=1,0.2*R5127/E5127,M5126)</f>
        <v/>
      </c>
      <c r="N5127">
        <f>IF(G5127=1,0.2*R5127/F5127,N5126)</f>
        <v/>
      </c>
      <c r="O5127">
        <f>IF(G5127=1,R5127*(1-1.0),IF(H5126=0,1,O5126*(1+0.00023125256064071564)))</f>
        <v/>
      </c>
      <c r="P5127">
        <f>IF(G5127=1,IF(H5126=0,1,ABS(0.2-J5126*B5127/I5127)+ABS(0.2-K5126*C5127/I5127)+ABS(0.2-L5126*D5127/I5127)+ABS(0.2-M5126*E5127/I5127)+ABS(0.2-N5126*F5127/I5127)),0)</f>
        <v/>
      </c>
      <c r="Q5127">
        <f>P5127*0.0015</f>
        <v/>
      </c>
      <c r="R5127">
        <f>I5127*(1-Q5127)</f>
        <v/>
      </c>
      <c r="S5127">
        <f>R5127/R5126-1</f>
        <v/>
      </c>
      <c r="T5127">
        <f>MAX(T5126,R5127)</f>
        <v/>
      </c>
      <c r="U5127">
        <f>R5127/T5127-1</f>
        <v/>
      </c>
      <c r="V5127" t="n">
        <v>29.69933365623327</v>
      </c>
      <c r="W5127" s="5">
        <f>R5127-V5127</f>
        <v/>
      </c>
    </row>
    <row r="5128">
      <c r="A5128" s="3" t="n">
        <v>45992</v>
      </c>
      <c r="B5128">
        <f>Prices!B5128</f>
        <v/>
      </c>
      <c r="C5128">
        <f>Prices!C5128</f>
        <v/>
      </c>
      <c r="D5128">
        <f>Prices!D5128</f>
        <v/>
      </c>
      <c r="E5128">
        <f>Prices!E5128</f>
        <v/>
      </c>
      <c r="F5128">
        <f>Prices!F5128</f>
        <v/>
      </c>
      <c r="G5128">
        <f>IF(AND(5126&gt;=16,TEXT(A5128,"yyyy-mm")&lt;&gt;TEXT(A5129,"yyyy-mm")),1,0)</f>
        <v/>
      </c>
      <c r="H5128">
        <f>IF(OR(H5127=1,G5128=1),1,0)</f>
        <v/>
      </c>
      <c r="I5128">
        <f>IF(H5127=0,1,SUMPRODUCT(J5127:N5127,B5128:F5128)+O5127*(1+0.00023125256064071564))</f>
        <v/>
      </c>
      <c r="J5128">
        <f>IF(G5128=1,0.2*R5128/B5128,J5127)</f>
        <v/>
      </c>
      <c r="K5128">
        <f>IF(G5128=1,0.2*R5128/C5128,K5127)</f>
        <v/>
      </c>
      <c r="L5128">
        <f>IF(G5128=1,0.2*R5128/D5128,L5127)</f>
        <v/>
      </c>
      <c r="M5128">
        <f>IF(G5128=1,0.2*R5128/E5128,M5127)</f>
        <v/>
      </c>
      <c r="N5128">
        <f>IF(G5128=1,0.2*R5128/F5128,N5127)</f>
        <v/>
      </c>
      <c r="O5128">
        <f>IF(G5128=1,R5128*(1-1.0),IF(H5127=0,1,O5127*(1+0.00023125256064071564)))</f>
        <v/>
      </c>
      <c r="P5128">
        <f>IF(G5128=1,IF(H5127=0,1,ABS(0.2-J5127*B5128/I5128)+ABS(0.2-K5127*C5128/I5128)+ABS(0.2-L5127*D5128/I5128)+ABS(0.2-M5127*E5128/I5128)+ABS(0.2-N5127*F5128/I5128)),0)</f>
        <v/>
      </c>
      <c r="Q5128">
        <f>P5128*0.0015</f>
        <v/>
      </c>
      <c r="R5128">
        <f>I5128*(1-Q5128)</f>
        <v/>
      </c>
      <c r="S5128">
        <f>R5128/R5127-1</f>
        <v/>
      </c>
      <c r="T5128">
        <f>MAX(T5127,R5128)</f>
        <v/>
      </c>
      <c r="U5128">
        <f>R5128/T5128-1</f>
        <v/>
      </c>
      <c r="V5128" t="n">
        <v>29.71702480835298</v>
      </c>
      <c r="W5128" s="5">
        <f>R5128-V5128</f>
        <v/>
      </c>
    </row>
    <row r="5129">
      <c r="A5129" s="3" t="n">
        <v>45993</v>
      </c>
      <c r="B5129">
        <f>Prices!B5129</f>
        <v/>
      </c>
      <c r="C5129">
        <f>Prices!C5129</f>
        <v/>
      </c>
      <c r="D5129">
        <f>Prices!D5129</f>
        <v/>
      </c>
      <c r="E5129">
        <f>Prices!E5129</f>
        <v/>
      </c>
      <c r="F5129">
        <f>Prices!F5129</f>
        <v/>
      </c>
      <c r="G5129">
        <f>IF(AND(5127&gt;=16,TEXT(A5129,"yyyy-mm")&lt;&gt;TEXT(A5130,"yyyy-mm")),1,0)</f>
        <v/>
      </c>
      <c r="H5129">
        <f>IF(OR(H5128=1,G5129=1),1,0)</f>
        <v/>
      </c>
      <c r="I5129">
        <f>IF(H5128=0,1,SUMPRODUCT(J5128:N5128,B5129:F5129)+O5128*(1+0.00023125256064071564))</f>
        <v/>
      </c>
      <c r="J5129">
        <f>IF(G5129=1,0.2*R5129/B5129,J5128)</f>
        <v/>
      </c>
      <c r="K5129">
        <f>IF(G5129=1,0.2*R5129/C5129,K5128)</f>
        <v/>
      </c>
      <c r="L5129">
        <f>IF(G5129=1,0.2*R5129/D5129,L5128)</f>
        <v/>
      </c>
      <c r="M5129">
        <f>IF(G5129=1,0.2*R5129/E5129,M5128)</f>
        <v/>
      </c>
      <c r="N5129">
        <f>IF(G5129=1,0.2*R5129/F5129,N5128)</f>
        <v/>
      </c>
      <c r="O5129">
        <f>IF(G5129=1,R5129*(1-1.0),IF(H5128=0,1,O5128*(1+0.00023125256064071564)))</f>
        <v/>
      </c>
      <c r="P5129">
        <f>IF(G5129=1,IF(H5128=0,1,ABS(0.2-J5128*B5129/I5129)+ABS(0.2-K5128*C5129/I5129)+ABS(0.2-L5128*D5129/I5129)+ABS(0.2-M5128*E5129/I5129)+ABS(0.2-N5128*F5129/I5129)),0)</f>
        <v/>
      </c>
      <c r="Q5129">
        <f>P5129*0.0015</f>
        <v/>
      </c>
      <c r="R5129">
        <f>I5129*(1-Q5129)</f>
        <v/>
      </c>
      <c r="S5129">
        <f>R5129/R5128-1</f>
        <v/>
      </c>
      <c r="T5129">
        <f>MAX(T5128,R5129)</f>
        <v/>
      </c>
      <c r="U5129">
        <f>R5129/T5129-1</f>
        <v/>
      </c>
      <c r="V5129" t="n">
        <v>29.65341625724139</v>
      </c>
      <c r="W5129" s="5">
        <f>R5129-V5129</f>
        <v/>
      </c>
    </row>
    <row r="5130">
      <c r="A5130" s="3" t="n">
        <v>45994</v>
      </c>
      <c r="B5130">
        <f>Prices!B5130</f>
        <v/>
      </c>
      <c r="C5130">
        <f>Prices!C5130</f>
        <v/>
      </c>
      <c r="D5130">
        <f>Prices!D5130</f>
        <v/>
      </c>
      <c r="E5130">
        <f>Prices!E5130</f>
        <v/>
      </c>
      <c r="F5130">
        <f>Prices!F5130</f>
        <v/>
      </c>
      <c r="G5130">
        <f>IF(AND(5128&gt;=16,TEXT(A5130,"yyyy-mm")&lt;&gt;TEXT(A5131,"yyyy-mm")),1,0)</f>
        <v/>
      </c>
      <c r="H5130">
        <f>IF(OR(H5129=1,G5130=1),1,0)</f>
        <v/>
      </c>
      <c r="I5130">
        <f>IF(H5129=0,1,SUMPRODUCT(J5129:N5129,B5130:F5130)+O5129*(1+0.00023125256064071564))</f>
        <v/>
      </c>
      <c r="J5130">
        <f>IF(G5130=1,0.2*R5130/B5130,J5129)</f>
        <v/>
      </c>
      <c r="K5130">
        <f>IF(G5130=1,0.2*R5130/C5130,K5129)</f>
        <v/>
      </c>
      <c r="L5130">
        <f>IF(G5130=1,0.2*R5130/D5130,L5129)</f>
        <v/>
      </c>
      <c r="M5130">
        <f>IF(G5130=1,0.2*R5130/E5130,M5129)</f>
        <v/>
      </c>
      <c r="N5130">
        <f>IF(G5130=1,0.2*R5130/F5130,N5129)</f>
        <v/>
      </c>
      <c r="O5130">
        <f>IF(G5130=1,R5130*(1-1.0),IF(H5129=0,1,O5129*(1+0.00023125256064071564)))</f>
        <v/>
      </c>
      <c r="P5130">
        <f>IF(G5130=1,IF(H5129=0,1,ABS(0.2-J5129*B5130/I5130)+ABS(0.2-K5129*C5130/I5130)+ABS(0.2-L5129*D5130/I5130)+ABS(0.2-M5129*E5130/I5130)+ABS(0.2-N5129*F5130/I5130)),0)</f>
        <v/>
      </c>
      <c r="Q5130">
        <f>P5130*0.0015</f>
        <v/>
      </c>
      <c r="R5130">
        <f>I5130*(1-Q5130)</f>
        <v/>
      </c>
      <c r="S5130">
        <f>R5130/R5129-1</f>
        <v/>
      </c>
      <c r="T5130">
        <f>MAX(T5129,R5130)</f>
        <v/>
      </c>
      <c r="U5130">
        <f>R5130/T5130-1</f>
        <v/>
      </c>
      <c r="V5130" t="n">
        <v>29.37707695740398</v>
      </c>
      <c r="W5130" s="5">
        <f>R5130-V5130</f>
        <v/>
      </c>
    </row>
    <row r="5131">
      <c r="A5131" s="3" t="n">
        <v>45995</v>
      </c>
      <c r="B5131">
        <f>Prices!B5131</f>
        <v/>
      </c>
      <c r="C5131">
        <f>Prices!C5131</f>
        <v/>
      </c>
      <c r="D5131">
        <f>Prices!D5131</f>
        <v/>
      </c>
      <c r="E5131">
        <f>Prices!E5131</f>
        <v/>
      </c>
      <c r="F5131">
        <f>Prices!F5131</f>
        <v/>
      </c>
      <c r="G5131">
        <f>IF(AND(5129&gt;=16,TEXT(A5131,"yyyy-mm")&lt;&gt;TEXT(A5132,"yyyy-mm")),1,0)</f>
        <v/>
      </c>
      <c r="H5131">
        <f>IF(OR(H5130=1,G5131=1),1,0)</f>
        <v/>
      </c>
      <c r="I5131">
        <f>IF(H5130=0,1,SUMPRODUCT(J5130:N5130,B5131:F5131)+O5130*(1+0.00023125256064071564))</f>
        <v/>
      </c>
      <c r="J5131">
        <f>IF(G5131=1,0.2*R5131/B5131,J5130)</f>
        <v/>
      </c>
      <c r="K5131">
        <f>IF(G5131=1,0.2*R5131/C5131,K5130)</f>
        <v/>
      </c>
      <c r="L5131">
        <f>IF(G5131=1,0.2*R5131/D5131,L5130)</f>
        <v/>
      </c>
      <c r="M5131">
        <f>IF(G5131=1,0.2*R5131/E5131,M5130)</f>
        <v/>
      </c>
      <c r="N5131">
        <f>IF(G5131=1,0.2*R5131/F5131,N5130)</f>
        <v/>
      </c>
      <c r="O5131">
        <f>IF(G5131=1,R5131*(1-1.0),IF(H5130=0,1,O5130*(1+0.00023125256064071564)))</f>
        <v/>
      </c>
      <c r="P5131">
        <f>IF(G5131=1,IF(H5130=0,1,ABS(0.2-J5130*B5131/I5131)+ABS(0.2-K5130*C5131/I5131)+ABS(0.2-L5130*D5131/I5131)+ABS(0.2-M5130*E5131/I5131)+ABS(0.2-N5130*F5131/I5131)),0)</f>
        <v/>
      </c>
      <c r="Q5131">
        <f>P5131*0.0015</f>
        <v/>
      </c>
      <c r="R5131">
        <f>I5131*(1-Q5131)</f>
        <v/>
      </c>
      <c r="S5131">
        <f>R5131/R5130-1</f>
        <v/>
      </c>
      <c r="T5131">
        <f>MAX(T5130,R5131)</f>
        <v/>
      </c>
      <c r="U5131">
        <f>R5131/T5131-1</f>
        <v/>
      </c>
      <c r="V5131" t="n">
        <v>29.38284653798674</v>
      </c>
      <c r="W5131" s="5">
        <f>R5131-V5131</f>
        <v/>
      </c>
    </row>
    <row r="5132">
      <c r="A5132" s="3" t="n">
        <v>45996</v>
      </c>
      <c r="B5132">
        <f>Prices!B5132</f>
        <v/>
      </c>
      <c r="C5132">
        <f>Prices!C5132</f>
        <v/>
      </c>
      <c r="D5132">
        <f>Prices!D5132</f>
        <v/>
      </c>
      <c r="E5132">
        <f>Prices!E5132</f>
        <v/>
      </c>
      <c r="F5132">
        <f>Prices!F5132</f>
        <v/>
      </c>
      <c r="G5132">
        <f>IF(AND(5130&gt;=16,TEXT(A5132,"yyyy-mm")&lt;&gt;TEXT(A5133,"yyyy-mm")),1,0)</f>
        <v/>
      </c>
      <c r="H5132">
        <f>IF(OR(H5131=1,G5132=1),1,0)</f>
        <v/>
      </c>
      <c r="I5132">
        <f>IF(H5131=0,1,SUMPRODUCT(J5131:N5131,B5132:F5132)+O5131*(1+0.00023125256064071564))</f>
        <v/>
      </c>
      <c r="J5132">
        <f>IF(G5132=1,0.2*R5132/B5132,J5131)</f>
        <v/>
      </c>
      <c r="K5132">
        <f>IF(G5132=1,0.2*R5132/C5132,K5131)</f>
        <v/>
      </c>
      <c r="L5132">
        <f>IF(G5132=1,0.2*R5132/D5132,L5131)</f>
        <v/>
      </c>
      <c r="M5132">
        <f>IF(G5132=1,0.2*R5132/E5132,M5131)</f>
        <v/>
      </c>
      <c r="N5132">
        <f>IF(G5132=1,0.2*R5132/F5132,N5131)</f>
        <v/>
      </c>
      <c r="O5132">
        <f>IF(G5132=1,R5132*(1-1.0),IF(H5131=0,1,O5131*(1+0.00023125256064071564)))</f>
        <v/>
      </c>
      <c r="P5132">
        <f>IF(G5132=1,IF(H5131=0,1,ABS(0.2-J5131*B5132/I5132)+ABS(0.2-K5131*C5132/I5132)+ABS(0.2-L5131*D5132/I5132)+ABS(0.2-M5131*E5132/I5132)+ABS(0.2-N5131*F5132/I5132)),0)</f>
        <v/>
      </c>
      <c r="Q5132">
        <f>P5132*0.0015</f>
        <v/>
      </c>
      <c r="R5132">
        <f>I5132*(1-Q5132)</f>
        <v/>
      </c>
      <c r="S5132">
        <f>R5132/R5131-1</f>
        <v/>
      </c>
      <c r="T5132">
        <f>MAX(T5131,R5132)</f>
        <v/>
      </c>
      <c r="U5132">
        <f>R5132/T5132-1</f>
        <v/>
      </c>
      <c r="V5132" t="n">
        <v>29.495746776864</v>
      </c>
      <c r="W5132" s="5">
        <f>R5132-V5132</f>
        <v/>
      </c>
    </row>
    <row r="5133">
      <c r="A5133" s="3" t="n">
        <v>45999</v>
      </c>
      <c r="B5133">
        <f>Prices!B5133</f>
        <v/>
      </c>
      <c r="C5133">
        <f>Prices!C5133</f>
        <v/>
      </c>
      <c r="D5133">
        <f>Prices!D5133</f>
        <v/>
      </c>
      <c r="E5133">
        <f>Prices!E5133</f>
        <v/>
      </c>
      <c r="F5133">
        <f>Prices!F5133</f>
        <v/>
      </c>
      <c r="G5133">
        <f>IF(AND(5131&gt;=16,TEXT(A5133,"yyyy-mm")&lt;&gt;TEXT(A5134,"yyyy-mm")),1,0)</f>
        <v/>
      </c>
      <c r="H5133">
        <f>IF(OR(H5132=1,G5133=1),1,0)</f>
        <v/>
      </c>
      <c r="I5133">
        <f>IF(H5132=0,1,SUMPRODUCT(J5132:N5132,B5133:F5133)+O5132*(1+0.00023125256064071564))</f>
        <v/>
      </c>
      <c r="J5133">
        <f>IF(G5133=1,0.2*R5133/B5133,J5132)</f>
        <v/>
      </c>
      <c r="K5133">
        <f>IF(G5133=1,0.2*R5133/C5133,K5132)</f>
        <v/>
      </c>
      <c r="L5133">
        <f>IF(G5133=1,0.2*R5133/D5133,L5132)</f>
        <v/>
      </c>
      <c r="M5133">
        <f>IF(G5133=1,0.2*R5133/E5133,M5132)</f>
        <v/>
      </c>
      <c r="N5133">
        <f>IF(G5133=1,0.2*R5133/F5133,N5132)</f>
        <v/>
      </c>
      <c r="O5133">
        <f>IF(G5133=1,R5133*(1-1.0),IF(H5132=0,1,O5132*(1+0.00023125256064071564)))</f>
        <v/>
      </c>
      <c r="P5133">
        <f>IF(G5133=1,IF(H5132=0,1,ABS(0.2-J5132*B5133/I5133)+ABS(0.2-K5132*C5133/I5133)+ABS(0.2-L5132*D5133/I5133)+ABS(0.2-M5132*E5133/I5133)+ABS(0.2-N5132*F5133/I5133)),0)</f>
        <v/>
      </c>
      <c r="Q5133">
        <f>P5133*0.0015</f>
        <v/>
      </c>
      <c r="R5133">
        <f>I5133*(1-Q5133)</f>
        <v/>
      </c>
      <c r="S5133">
        <f>R5133/R5132-1</f>
        <v/>
      </c>
      <c r="T5133">
        <f>MAX(T5132,R5133)</f>
        <v/>
      </c>
      <c r="U5133">
        <f>R5133/T5133-1</f>
        <v/>
      </c>
      <c r="V5133" t="n">
        <v>28.97853897921599</v>
      </c>
      <c r="W5133" s="5">
        <f>R5133-V5133</f>
        <v/>
      </c>
    </row>
    <row r="5134">
      <c r="A5134" s="3" t="n">
        <v>46000</v>
      </c>
      <c r="B5134">
        <f>Prices!B5134</f>
        <v/>
      </c>
      <c r="C5134">
        <f>Prices!C5134</f>
        <v/>
      </c>
      <c r="D5134">
        <f>Prices!D5134</f>
        <v/>
      </c>
      <c r="E5134">
        <f>Prices!E5134</f>
        <v/>
      </c>
      <c r="F5134">
        <f>Prices!F5134</f>
        <v/>
      </c>
      <c r="G5134">
        <f>IF(AND(5132&gt;=16,TEXT(A5134,"yyyy-mm")&lt;&gt;TEXT(A5135,"yyyy-mm")),1,0)</f>
        <v/>
      </c>
      <c r="H5134">
        <f>IF(OR(H5133=1,G5134=1),1,0)</f>
        <v/>
      </c>
      <c r="I5134">
        <f>IF(H5133=0,1,SUMPRODUCT(J5133:N5133,B5134:F5134)+O5133*(1+0.00023125256064071564))</f>
        <v/>
      </c>
      <c r="J5134">
        <f>IF(G5134=1,0.2*R5134/B5134,J5133)</f>
        <v/>
      </c>
      <c r="K5134">
        <f>IF(G5134=1,0.2*R5134/C5134,K5133)</f>
        <v/>
      </c>
      <c r="L5134">
        <f>IF(G5134=1,0.2*R5134/D5134,L5133)</f>
        <v/>
      </c>
      <c r="M5134">
        <f>IF(G5134=1,0.2*R5134/E5134,M5133)</f>
        <v/>
      </c>
      <c r="N5134">
        <f>IF(G5134=1,0.2*R5134/F5134,N5133)</f>
        <v/>
      </c>
      <c r="O5134">
        <f>IF(G5134=1,R5134*(1-1.0),IF(H5133=0,1,O5133*(1+0.00023125256064071564)))</f>
        <v/>
      </c>
      <c r="P5134">
        <f>IF(G5134=1,IF(H5133=0,1,ABS(0.2-J5133*B5134/I5134)+ABS(0.2-K5133*C5134/I5134)+ABS(0.2-L5133*D5134/I5134)+ABS(0.2-M5133*E5134/I5134)+ABS(0.2-N5133*F5134/I5134)),0)</f>
        <v/>
      </c>
      <c r="Q5134">
        <f>P5134*0.0015</f>
        <v/>
      </c>
      <c r="R5134">
        <f>I5134*(1-Q5134)</f>
        <v/>
      </c>
      <c r="S5134">
        <f>R5134/R5133-1</f>
        <v/>
      </c>
      <c r="T5134">
        <f>MAX(T5133,R5134)</f>
        <v/>
      </c>
      <c r="U5134">
        <f>R5134/T5134-1</f>
        <v/>
      </c>
      <c r="V5134" t="n">
        <v>29.03721272303452</v>
      </c>
      <c r="W5134" s="5">
        <f>R5134-V5134</f>
        <v/>
      </c>
    </row>
    <row r="5135">
      <c r="A5135" s="3" t="n">
        <v>46001</v>
      </c>
      <c r="B5135">
        <f>Prices!B5135</f>
        <v/>
      </c>
      <c r="C5135">
        <f>Prices!C5135</f>
        <v/>
      </c>
      <c r="D5135">
        <f>Prices!D5135</f>
        <v/>
      </c>
      <c r="E5135">
        <f>Prices!E5135</f>
        <v/>
      </c>
      <c r="F5135">
        <f>Prices!F5135</f>
        <v/>
      </c>
      <c r="G5135">
        <f>IF(AND(5133&gt;=16,TEXT(A5135,"yyyy-mm")&lt;&gt;TEXT(A5136,"yyyy-mm")),1,0)</f>
        <v/>
      </c>
      <c r="H5135">
        <f>IF(OR(H5134=1,G5135=1),1,0)</f>
        <v/>
      </c>
      <c r="I5135">
        <f>IF(H5134=0,1,SUMPRODUCT(J5134:N5134,B5135:F5135)+O5134*(1+0.00023125256064071564))</f>
        <v/>
      </c>
      <c r="J5135">
        <f>IF(G5135=1,0.2*R5135/B5135,J5134)</f>
        <v/>
      </c>
      <c r="K5135">
        <f>IF(G5135=1,0.2*R5135/C5135,K5134)</f>
        <v/>
      </c>
      <c r="L5135">
        <f>IF(G5135=1,0.2*R5135/D5135,L5134)</f>
        <v/>
      </c>
      <c r="M5135">
        <f>IF(G5135=1,0.2*R5135/E5135,M5134)</f>
        <v/>
      </c>
      <c r="N5135">
        <f>IF(G5135=1,0.2*R5135/F5135,N5134)</f>
        <v/>
      </c>
      <c r="O5135">
        <f>IF(G5135=1,R5135*(1-1.0),IF(H5134=0,1,O5134*(1+0.00023125256064071564)))</f>
        <v/>
      </c>
      <c r="P5135">
        <f>IF(G5135=1,IF(H5134=0,1,ABS(0.2-J5134*B5135/I5135)+ABS(0.2-K5134*C5135/I5135)+ABS(0.2-L5134*D5135/I5135)+ABS(0.2-M5134*E5135/I5135)+ABS(0.2-N5134*F5135/I5135)),0)</f>
        <v/>
      </c>
      <c r="Q5135">
        <f>P5135*0.0015</f>
        <v/>
      </c>
      <c r="R5135">
        <f>I5135*(1-Q5135)</f>
        <v/>
      </c>
      <c r="S5135">
        <f>R5135/R5134-1</f>
        <v/>
      </c>
      <c r="T5135">
        <f>MAX(T5134,R5135)</f>
        <v/>
      </c>
      <c r="U5135">
        <f>R5135/T5135-1</f>
        <v/>
      </c>
      <c r="V5135" t="n">
        <v>28.83691748734319</v>
      </c>
      <c r="W5135" s="5">
        <f>R5135-V5135</f>
        <v/>
      </c>
    </row>
    <row r="5136">
      <c r="A5136" s="3" t="n">
        <v>46002</v>
      </c>
      <c r="B5136">
        <f>Prices!B5136</f>
        <v/>
      </c>
      <c r="C5136">
        <f>Prices!C5136</f>
        <v/>
      </c>
      <c r="D5136">
        <f>Prices!D5136</f>
        <v/>
      </c>
      <c r="E5136">
        <f>Prices!E5136</f>
        <v/>
      </c>
      <c r="F5136">
        <f>Prices!F5136</f>
        <v/>
      </c>
      <c r="G5136">
        <f>IF(AND(5134&gt;=16,TEXT(A5136,"yyyy-mm")&lt;&gt;TEXT(A5137,"yyyy-mm")),1,0)</f>
        <v/>
      </c>
      <c r="H5136">
        <f>IF(OR(H5135=1,G5136=1),1,0)</f>
        <v/>
      </c>
      <c r="I5136">
        <f>IF(H5135=0,1,SUMPRODUCT(J5135:N5135,B5136:F5136)+O5135*(1+0.00023125256064071564))</f>
        <v/>
      </c>
      <c r="J5136">
        <f>IF(G5136=1,0.2*R5136/B5136,J5135)</f>
        <v/>
      </c>
      <c r="K5136">
        <f>IF(G5136=1,0.2*R5136/C5136,K5135)</f>
        <v/>
      </c>
      <c r="L5136">
        <f>IF(G5136=1,0.2*R5136/D5136,L5135)</f>
        <v/>
      </c>
      <c r="M5136">
        <f>IF(G5136=1,0.2*R5136/E5136,M5135)</f>
        <v/>
      </c>
      <c r="N5136">
        <f>IF(G5136=1,0.2*R5136/F5136,N5135)</f>
        <v/>
      </c>
      <c r="O5136">
        <f>IF(G5136=1,R5136*(1-1.0),IF(H5135=0,1,O5135*(1+0.00023125256064071564)))</f>
        <v/>
      </c>
      <c r="P5136">
        <f>IF(G5136=1,IF(H5135=0,1,ABS(0.2-J5135*B5136/I5136)+ABS(0.2-K5135*C5136/I5136)+ABS(0.2-L5135*D5136/I5136)+ABS(0.2-M5135*E5136/I5136)+ABS(0.2-N5135*F5136/I5136)),0)</f>
        <v/>
      </c>
      <c r="Q5136">
        <f>P5136*0.0015</f>
        <v/>
      </c>
      <c r="R5136">
        <f>I5136*(1-Q5136)</f>
        <v/>
      </c>
      <c r="S5136">
        <f>R5136/R5135-1</f>
        <v/>
      </c>
      <c r="T5136">
        <f>MAX(T5135,R5136)</f>
        <v/>
      </c>
      <c r="U5136">
        <f>R5136/T5136-1</f>
        <v/>
      </c>
      <c r="V5136" t="n">
        <v>29.05054649649054</v>
      </c>
      <c r="W5136" s="5">
        <f>R5136-V5136</f>
        <v/>
      </c>
    </row>
    <row r="5137">
      <c r="A5137" s="3" t="n">
        <v>46003</v>
      </c>
      <c r="B5137">
        <f>Prices!B5137</f>
        <v/>
      </c>
      <c r="C5137">
        <f>Prices!C5137</f>
        <v/>
      </c>
      <c r="D5137">
        <f>Prices!D5137</f>
        <v/>
      </c>
      <c r="E5137">
        <f>Prices!E5137</f>
        <v/>
      </c>
      <c r="F5137">
        <f>Prices!F5137</f>
        <v/>
      </c>
      <c r="G5137">
        <f>IF(AND(5135&gt;=16,TEXT(A5137,"yyyy-mm")&lt;&gt;TEXT(A5138,"yyyy-mm")),1,0)</f>
        <v/>
      </c>
      <c r="H5137">
        <f>IF(OR(H5136=1,G5137=1),1,0)</f>
        <v/>
      </c>
      <c r="I5137">
        <f>IF(H5136=0,1,SUMPRODUCT(J5136:N5136,B5137:F5137)+O5136*(1+0.00023125256064071564))</f>
        <v/>
      </c>
      <c r="J5137">
        <f>IF(G5137=1,0.2*R5137/B5137,J5136)</f>
        <v/>
      </c>
      <c r="K5137">
        <f>IF(G5137=1,0.2*R5137/C5137,K5136)</f>
        <v/>
      </c>
      <c r="L5137">
        <f>IF(G5137=1,0.2*R5137/D5137,L5136)</f>
        <v/>
      </c>
      <c r="M5137">
        <f>IF(G5137=1,0.2*R5137/E5137,M5136)</f>
        <v/>
      </c>
      <c r="N5137">
        <f>IF(G5137=1,0.2*R5137/F5137,N5136)</f>
        <v/>
      </c>
      <c r="O5137">
        <f>IF(G5137=1,R5137*(1-1.0),IF(H5136=0,1,O5136*(1+0.00023125256064071564)))</f>
        <v/>
      </c>
      <c r="P5137">
        <f>IF(G5137=1,IF(H5136=0,1,ABS(0.2-J5136*B5137/I5137)+ABS(0.2-K5136*C5137/I5137)+ABS(0.2-L5136*D5137/I5137)+ABS(0.2-M5136*E5137/I5137)+ABS(0.2-N5136*F5137/I5137)),0)</f>
        <v/>
      </c>
      <c r="Q5137">
        <f>P5137*0.0015</f>
        <v/>
      </c>
      <c r="R5137">
        <f>I5137*(1-Q5137)</f>
        <v/>
      </c>
      <c r="S5137">
        <f>R5137/R5136-1</f>
        <v/>
      </c>
      <c r="T5137">
        <f>MAX(T5136,R5137)</f>
        <v/>
      </c>
      <c r="U5137">
        <f>R5137/T5137-1</f>
        <v/>
      </c>
      <c r="V5137" t="n">
        <v>29.31386192582723</v>
      </c>
      <c r="W5137" s="5">
        <f>R5137-V5137</f>
        <v/>
      </c>
    </row>
    <row r="5138">
      <c r="A5138" s="3" t="n">
        <v>46006</v>
      </c>
      <c r="B5138">
        <f>Prices!B5138</f>
        <v/>
      </c>
      <c r="C5138">
        <f>Prices!C5138</f>
        <v/>
      </c>
      <c r="D5138">
        <f>Prices!D5138</f>
        <v/>
      </c>
      <c r="E5138">
        <f>Prices!E5138</f>
        <v/>
      </c>
      <c r="F5138">
        <f>Prices!F5138</f>
        <v/>
      </c>
      <c r="G5138">
        <f>IF(AND(5136&gt;=16,TEXT(A5138,"yyyy-mm")&lt;&gt;TEXT(A5139,"yyyy-mm")),1,0)</f>
        <v/>
      </c>
      <c r="H5138">
        <f>IF(OR(H5137=1,G5138=1),1,0)</f>
        <v/>
      </c>
      <c r="I5138">
        <f>IF(H5137=0,1,SUMPRODUCT(J5137:N5137,B5138:F5138)+O5137*(1+0.00023125256064071564))</f>
        <v/>
      </c>
      <c r="J5138">
        <f>IF(G5138=1,0.2*R5138/B5138,J5137)</f>
        <v/>
      </c>
      <c r="K5138">
        <f>IF(G5138=1,0.2*R5138/C5138,K5137)</f>
        <v/>
      </c>
      <c r="L5138">
        <f>IF(G5138=1,0.2*R5138/D5138,L5137)</f>
        <v/>
      </c>
      <c r="M5138">
        <f>IF(G5138=1,0.2*R5138/E5138,M5137)</f>
        <v/>
      </c>
      <c r="N5138">
        <f>IF(G5138=1,0.2*R5138/F5138,N5137)</f>
        <v/>
      </c>
      <c r="O5138">
        <f>IF(G5138=1,R5138*(1-1.0),IF(H5137=0,1,O5137*(1+0.00023125256064071564)))</f>
        <v/>
      </c>
      <c r="P5138">
        <f>IF(G5138=1,IF(H5137=0,1,ABS(0.2-J5137*B5138/I5138)+ABS(0.2-K5137*C5138/I5138)+ABS(0.2-L5137*D5138/I5138)+ABS(0.2-M5137*E5138/I5138)+ABS(0.2-N5137*F5138/I5138)),0)</f>
        <v/>
      </c>
      <c r="Q5138">
        <f>P5138*0.0015</f>
        <v/>
      </c>
      <c r="R5138">
        <f>I5138*(1-Q5138)</f>
        <v/>
      </c>
      <c r="S5138">
        <f>R5138/R5137-1</f>
        <v/>
      </c>
      <c r="T5138">
        <f>MAX(T5137,R5138)</f>
        <v/>
      </c>
      <c r="U5138">
        <f>R5138/T5138-1</f>
        <v/>
      </c>
      <c r="V5138" t="n">
        <v>29.30005934489484</v>
      </c>
      <c r="W5138" s="5">
        <f>R5138-V5138</f>
        <v/>
      </c>
    </row>
    <row r="5139">
      <c r="A5139" s="3" t="n">
        <v>46007</v>
      </c>
      <c r="B5139">
        <f>Prices!B5139</f>
        <v/>
      </c>
      <c r="C5139">
        <f>Prices!C5139</f>
        <v/>
      </c>
      <c r="D5139">
        <f>Prices!D5139</f>
        <v/>
      </c>
      <c r="E5139">
        <f>Prices!E5139</f>
        <v/>
      </c>
      <c r="F5139">
        <f>Prices!F5139</f>
        <v/>
      </c>
      <c r="G5139">
        <f>IF(AND(5137&gt;=16,TEXT(A5139,"yyyy-mm")&lt;&gt;TEXT(A5140,"yyyy-mm")),1,0)</f>
        <v/>
      </c>
      <c r="H5139">
        <f>IF(OR(H5138=1,G5139=1),1,0)</f>
        <v/>
      </c>
      <c r="I5139">
        <f>IF(H5138=0,1,SUMPRODUCT(J5138:N5138,B5139:F5139)+O5138*(1+0.00023125256064071564))</f>
        <v/>
      </c>
      <c r="J5139">
        <f>IF(G5139=1,0.2*R5139/B5139,J5138)</f>
        <v/>
      </c>
      <c r="K5139">
        <f>IF(G5139=1,0.2*R5139/C5139,K5138)</f>
        <v/>
      </c>
      <c r="L5139">
        <f>IF(G5139=1,0.2*R5139/D5139,L5138)</f>
        <v/>
      </c>
      <c r="M5139">
        <f>IF(G5139=1,0.2*R5139/E5139,M5138)</f>
        <v/>
      </c>
      <c r="N5139">
        <f>IF(G5139=1,0.2*R5139/F5139,N5138)</f>
        <v/>
      </c>
      <c r="O5139">
        <f>IF(G5139=1,R5139*(1-1.0),IF(H5138=0,1,O5138*(1+0.00023125256064071564)))</f>
        <v/>
      </c>
      <c r="P5139">
        <f>IF(G5139=1,IF(H5138=0,1,ABS(0.2-J5138*B5139/I5139)+ABS(0.2-K5138*C5139/I5139)+ABS(0.2-L5138*D5139/I5139)+ABS(0.2-M5138*E5139/I5139)+ABS(0.2-N5138*F5139/I5139)),0)</f>
        <v/>
      </c>
      <c r="Q5139">
        <f>P5139*0.0015</f>
        <v/>
      </c>
      <c r="R5139">
        <f>I5139*(1-Q5139)</f>
        <v/>
      </c>
      <c r="S5139">
        <f>R5139/R5138-1</f>
        <v/>
      </c>
      <c r="T5139">
        <f>MAX(T5138,R5139)</f>
        <v/>
      </c>
      <c r="U5139">
        <f>R5139/T5139-1</f>
        <v/>
      </c>
      <c r="V5139" t="n">
        <v>29.10294213293828</v>
      </c>
      <c r="W5139" s="5">
        <f>R5139-V5139</f>
        <v/>
      </c>
    </row>
    <row r="5140">
      <c r="A5140" s="3" t="n">
        <v>46008</v>
      </c>
      <c r="B5140">
        <f>Prices!B5140</f>
        <v/>
      </c>
      <c r="C5140">
        <f>Prices!C5140</f>
        <v/>
      </c>
      <c r="D5140">
        <f>Prices!D5140</f>
        <v/>
      </c>
      <c r="E5140">
        <f>Prices!E5140</f>
        <v/>
      </c>
      <c r="F5140">
        <f>Prices!F5140</f>
        <v/>
      </c>
      <c r="G5140">
        <f>IF(AND(5138&gt;=16,TEXT(A5140,"yyyy-mm")&lt;&gt;TEXT(A5141,"yyyy-mm")),1,0)</f>
        <v/>
      </c>
      <c r="H5140">
        <f>IF(OR(H5139=1,G5140=1),1,0)</f>
        <v/>
      </c>
      <c r="I5140">
        <f>IF(H5139=0,1,SUMPRODUCT(J5139:N5139,B5140:F5140)+O5139*(1+0.00023125256064071564))</f>
        <v/>
      </c>
      <c r="J5140">
        <f>IF(G5140=1,0.2*R5140/B5140,J5139)</f>
        <v/>
      </c>
      <c r="K5140">
        <f>IF(G5140=1,0.2*R5140/C5140,K5139)</f>
        <v/>
      </c>
      <c r="L5140">
        <f>IF(G5140=1,0.2*R5140/D5140,L5139)</f>
        <v/>
      </c>
      <c r="M5140">
        <f>IF(G5140=1,0.2*R5140/E5140,M5139)</f>
        <v/>
      </c>
      <c r="N5140">
        <f>IF(G5140=1,0.2*R5140/F5140,N5139)</f>
        <v/>
      </c>
      <c r="O5140">
        <f>IF(G5140=1,R5140*(1-1.0),IF(H5139=0,1,O5139*(1+0.00023125256064071564)))</f>
        <v/>
      </c>
      <c r="P5140">
        <f>IF(G5140=1,IF(H5139=0,1,ABS(0.2-J5139*B5140/I5140)+ABS(0.2-K5139*C5140/I5140)+ABS(0.2-L5139*D5140/I5140)+ABS(0.2-M5139*E5140/I5140)+ABS(0.2-N5139*F5140/I5140)),0)</f>
        <v/>
      </c>
      <c r="Q5140">
        <f>P5140*0.0015</f>
        <v/>
      </c>
      <c r="R5140">
        <f>I5140*(1-Q5140)</f>
        <v/>
      </c>
      <c r="S5140">
        <f>R5140/R5139-1</f>
        <v/>
      </c>
      <c r="T5140">
        <f>MAX(T5139,R5140)</f>
        <v/>
      </c>
      <c r="U5140">
        <f>R5140/T5140-1</f>
        <v/>
      </c>
      <c r="V5140" t="n">
        <v>28.97855705024343</v>
      </c>
      <c r="W5140" s="5">
        <f>R5140-V5140</f>
        <v/>
      </c>
    </row>
    <row r="5141">
      <c r="A5141" s="3" t="n">
        <v>46009</v>
      </c>
      <c r="B5141">
        <f>Prices!B5141</f>
        <v/>
      </c>
      <c r="C5141">
        <f>Prices!C5141</f>
        <v/>
      </c>
      <c r="D5141">
        <f>Prices!D5141</f>
        <v/>
      </c>
      <c r="E5141">
        <f>Prices!E5141</f>
        <v/>
      </c>
      <c r="F5141">
        <f>Prices!F5141</f>
        <v/>
      </c>
      <c r="G5141">
        <f>IF(AND(5139&gt;=16,TEXT(A5141,"yyyy-mm")&lt;&gt;TEXT(A5142,"yyyy-mm")),1,0)</f>
        <v/>
      </c>
      <c r="H5141">
        <f>IF(OR(H5140=1,G5141=1),1,0)</f>
        <v/>
      </c>
      <c r="I5141">
        <f>IF(H5140=0,1,SUMPRODUCT(J5140:N5140,B5141:F5141)+O5140*(1+0.00023125256064071564))</f>
        <v/>
      </c>
      <c r="J5141">
        <f>IF(G5141=1,0.2*R5141/B5141,J5140)</f>
        <v/>
      </c>
      <c r="K5141">
        <f>IF(G5141=1,0.2*R5141/C5141,K5140)</f>
        <v/>
      </c>
      <c r="L5141">
        <f>IF(G5141=1,0.2*R5141/D5141,L5140)</f>
        <v/>
      </c>
      <c r="M5141">
        <f>IF(G5141=1,0.2*R5141/E5141,M5140)</f>
        <v/>
      </c>
      <c r="N5141">
        <f>IF(G5141=1,0.2*R5141/F5141,N5140)</f>
        <v/>
      </c>
      <c r="O5141">
        <f>IF(G5141=1,R5141*(1-1.0),IF(H5140=0,1,O5140*(1+0.00023125256064071564)))</f>
        <v/>
      </c>
      <c r="P5141">
        <f>IF(G5141=1,IF(H5140=0,1,ABS(0.2-J5140*B5141/I5141)+ABS(0.2-K5140*C5141/I5141)+ABS(0.2-L5140*D5141/I5141)+ABS(0.2-M5140*E5141/I5141)+ABS(0.2-N5140*F5141/I5141)),0)</f>
        <v/>
      </c>
      <c r="Q5141">
        <f>P5141*0.0015</f>
        <v/>
      </c>
      <c r="R5141">
        <f>I5141*(1-Q5141)</f>
        <v/>
      </c>
      <c r="S5141">
        <f>R5141/R5140-1</f>
        <v/>
      </c>
      <c r="T5141">
        <f>MAX(T5140,R5141)</f>
        <v/>
      </c>
      <c r="U5141">
        <f>R5141/T5141-1</f>
        <v/>
      </c>
      <c r="V5141" t="n">
        <v>29.01742532554541</v>
      </c>
      <c r="W5141" s="5">
        <f>R5141-V5141</f>
        <v/>
      </c>
    </row>
    <row r="5142">
      <c r="A5142" s="3" t="n">
        <v>46010</v>
      </c>
      <c r="B5142">
        <f>Prices!B5142</f>
        <v/>
      </c>
      <c r="C5142">
        <f>Prices!C5142</f>
        <v/>
      </c>
      <c r="D5142">
        <f>Prices!D5142</f>
        <v/>
      </c>
      <c r="E5142">
        <f>Prices!E5142</f>
        <v/>
      </c>
      <c r="F5142">
        <f>Prices!F5142</f>
        <v/>
      </c>
      <c r="G5142">
        <f>IF(AND(5140&gt;=16,TEXT(A5142,"yyyy-mm")&lt;&gt;TEXT(A5143,"yyyy-mm")),1,0)</f>
        <v/>
      </c>
      <c r="H5142">
        <f>IF(OR(H5141=1,G5142=1),1,0)</f>
        <v/>
      </c>
      <c r="I5142">
        <f>IF(H5141=0,1,SUMPRODUCT(J5141:N5141,B5142:F5142)+O5141*(1+0.00023125256064071564))</f>
        <v/>
      </c>
      <c r="J5142">
        <f>IF(G5142=1,0.2*R5142/B5142,J5141)</f>
        <v/>
      </c>
      <c r="K5142">
        <f>IF(G5142=1,0.2*R5142/C5142,K5141)</f>
        <v/>
      </c>
      <c r="L5142">
        <f>IF(G5142=1,0.2*R5142/D5142,L5141)</f>
        <v/>
      </c>
      <c r="M5142">
        <f>IF(G5142=1,0.2*R5142/E5142,M5141)</f>
        <v/>
      </c>
      <c r="N5142">
        <f>IF(G5142=1,0.2*R5142/F5142,N5141)</f>
        <v/>
      </c>
      <c r="O5142">
        <f>IF(G5142=1,R5142*(1-1.0),IF(H5141=0,1,O5141*(1+0.00023125256064071564)))</f>
        <v/>
      </c>
      <c r="P5142">
        <f>IF(G5142=1,IF(H5141=0,1,ABS(0.2-J5141*B5142/I5142)+ABS(0.2-K5141*C5142/I5142)+ABS(0.2-L5141*D5142/I5142)+ABS(0.2-M5141*E5142/I5142)+ABS(0.2-N5141*F5142/I5142)),0)</f>
        <v/>
      </c>
      <c r="Q5142">
        <f>P5142*0.0015</f>
        <v/>
      </c>
      <c r="R5142">
        <f>I5142*(1-Q5142)</f>
        <v/>
      </c>
      <c r="S5142">
        <f>R5142/R5141-1</f>
        <v/>
      </c>
      <c r="T5142">
        <f>MAX(T5141,R5142)</f>
        <v/>
      </c>
      <c r="U5142">
        <f>R5142/T5142-1</f>
        <v/>
      </c>
      <c r="V5142" t="n">
        <v>29.2978074101869</v>
      </c>
      <c r="W5142" s="5">
        <f>R5142-V5142</f>
        <v/>
      </c>
    </row>
    <row r="5143">
      <c r="A5143" s="3" t="n">
        <v>46013</v>
      </c>
      <c r="B5143">
        <f>Prices!B5143</f>
        <v/>
      </c>
      <c r="C5143">
        <f>Prices!C5143</f>
        <v/>
      </c>
      <c r="D5143">
        <f>Prices!D5143</f>
        <v/>
      </c>
      <c r="E5143">
        <f>Prices!E5143</f>
        <v/>
      </c>
      <c r="F5143">
        <f>Prices!F5143</f>
        <v/>
      </c>
      <c r="G5143">
        <f>IF(AND(5141&gt;=16,TEXT(A5143,"yyyy-mm")&lt;&gt;TEXT(A5144,"yyyy-mm")),1,0)</f>
        <v/>
      </c>
      <c r="H5143">
        <f>IF(OR(H5142=1,G5143=1),1,0)</f>
        <v/>
      </c>
      <c r="I5143">
        <f>IF(H5142=0,1,SUMPRODUCT(J5142:N5142,B5143:F5143)+O5142*(1+0.00023125256064071564))</f>
        <v/>
      </c>
      <c r="J5143">
        <f>IF(G5143=1,0.2*R5143/B5143,J5142)</f>
        <v/>
      </c>
      <c r="K5143">
        <f>IF(G5143=1,0.2*R5143/C5143,K5142)</f>
        <v/>
      </c>
      <c r="L5143">
        <f>IF(G5143=1,0.2*R5143/D5143,L5142)</f>
        <v/>
      </c>
      <c r="M5143">
        <f>IF(G5143=1,0.2*R5143/E5143,M5142)</f>
        <v/>
      </c>
      <c r="N5143">
        <f>IF(G5143=1,0.2*R5143/F5143,N5142)</f>
        <v/>
      </c>
      <c r="O5143">
        <f>IF(G5143=1,R5143*(1-1.0),IF(H5142=0,1,O5142*(1+0.00023125256064071564)))</f>
        <v/>
      </c>
      <c r="P5143">
        <f>IF(G5143=1,IF(H5142=0,1,ABS(0.2-J5142*B5143/I5143)+ABS(0.2-K5142*C5143/I5143)+ABS(0.2-L5142*D5143/I5143)+ABS(0.2-M5142*E5143/I5143)+ABS(0.2-N5142*F5143/I5143)),0)</f>
        <v/>
      </c>
      <c r="Q5143">
        <f>P5143*0.0015</f>
        <v/>
      </c>
      <c r="R5143">
        <f>I5143*(1-Q5143)</f>
        <v/>
      </c>
      <c r="S5143">
        <f>R5143/R5142-1</f>
        <v/>
      </c>
      <c r="T5143">
        <f>MAX(T5142,R5143)</f>
        <v/>
      </c>
      <c r="U5143">
        <f>R5143/T5143-1</f>
        <v/>
      </c>
      <c r="V5143" t="n">
        <v>29.54849253665946</v>
      </c>
      <c r="W5143" s="5">
        <f>R5143-V5143</f>
        <v/>
      </c>
    </row>
    <row r="5144">
      <c r="A5144" s="3" t="n">
        <v>46014</v>
      </c>
      <c r="B5144">
        <f>Prices!B5144</f>
        <v/>
      </c>
      <c r="C5144">
        <f>Prices!C5144</f>
        <v/>
      </c>
      <c r="D5144">
        <f>Prices!D5144</f>
        <v/>
      </c>
      <c r="E5144">
        <f>Prices!E5144</f>
        <v/>
      </c>
      <c r="F5144">
        <f>Prices!F5144</f>
        <v/>
      </c>
      <c r="G5144">
        <f>IF(AND(5142&gt;=16,TEXT(A5144,"yyyy-mm")&lt;&gt;TEXT(A5145,"yyyy-mm")),1,0)</f>
        <v/>
      </c>
      <c r="H5144">
        <f>IF(OR(H5143=1,G5144=1),1,0)</f>
        <v/>
      </c>
      <c r="I5144">
        <f>IF(H5143=0,1,SUMPRODUCT(J5143:N5143,B5144:F5144)+O5143*(1+0.00023125256064071564))</f>
        <v/>
      </c>
      <c r="J5144">
        <f>IF(G5144=1,0.2*R5144/B5144,J5143)</f>
        <v/>
      </c>
      <c r="K5144">
        <f>IF(G5144=1,0.2*R5144/C5144,K5143)</f>
        <v/>
      </c>
      <c r="L5144">
        <f>IF(G5144=1,0.2*R5144/D5144,L5143)</f>
        <v/>
      </c>
      <c r="M5144">
        <f>IF(G5144=1,0.2*R5144/E5144,M5143)</f>
        <v/>
      </c>
      <c r="N5144">
        <f>IF(G5144=1,0.2*R5144/F5144,N5143)</f>
        <v/>
      </c>
      <c r="O5144">
        <f>IF(G5144=1,R5144*(1-1.0),IF(H5143=0,1,O5143*(1+0.00023125256064071564)))</f>
        <v/>
      </c>
      <c r="P5144">
        <f>IF(G5144=1,IF(H5143=0,1,ABS(0.2-J5143*B5144/I5144)+ABS(0.2-K5143*C5144/I5144)+ABS(0.2-L5143*D5144/I5144)+ABS(0.2-M5143*E5144/I5144)+ABS(0.2-N5143*F5144/I5144)),0)</f>
        <v/>
      </c>
      <c r="Q5144">
        <f>P5144*0.0015</f>
        <v/>
      </c>
      <c r="R5144">
        <f>I5144*(1-Q5144)</f>
        <v/>
      </c>
      <c r="S5144">
        <f>R5144/R5143-1</f>
        <v/>
      </c>
      <c r="T5144">
        <f>MAX(T5143,R5144)</f>
        <v/>
      </c>
      <c r="U5144">
        <f>R5144/T5144-1</f>
        <v/>
      </c>
      <c r="V5144" t="n">
        <v>29.57547584947896</v>
      </c>
      <c r="W5144" s="5">
        <f>R5144-V5144</f>
        <v/>
      </c>
    </row>
    <row r="5145">
      <c r="A5145" s="3" t="n">
        <v>46015</v>
      </c>
      <c r="B5145">
        <f>Prices!B5145</f>
        <v/>
      </c>
      <c r="C5145">
        <f>Prices!C5145</f>
        <v/>
      </c>
      <c r="D5145">
        <f>Prices!D5145</f>
        <v/>
      </c>
      <c r="E5145">
        <f>Prices!E5145</f>
        <v/>
      </c>
      <c r="F5145">
        <f>Prices!F5145</f>
        <v/>
      </c>
      <c r="G5145">
        <f>IF(AND(5143&gt;=16,TEXT(A5145,"yyyy-mm")&lt;&gt;TEXT(A5146,"yyyy-mm")),1,0)</f>
        <v/>
      </c>
      <c r="H5145">
        <f>IF(OR(H5144=1,G5145=1),1,0)</f>
        <v/>
      </c>
      <c r="I5145">
        <f>IF(H5144=0,1,SUMPRODUCT(J5144:N5144,B5145:F5145)+O5144*(1+0.00023125256064071564))</f>
        <v/>
      </c>
      <c r="J5145">
        <f>IF(G5145=1,0.2*R5145/B5145,J5144)</f>
        <v/>
      </c>
      <c r="K5145">
        <f>IF(G5145=1,0.2*R5145/C5145,K5144)</f>
        <v/>
      </c>
      <c r="L5145">
        <f>IF(G5145=1,0.2*R5145/D5145,L5144)</f>
        <v/>
      </c>
      <c r="M5145">
        <f>IF(G5145=1,0.2*R5145/E5145,M5144)</f>
        <v/>
      </c>
      <c r="N5145">
        <f>IF(G5145=1,0.2*R5145/F5145,N5144)</f>
        <v/>
      </c>
      <c r="O5145">
        <f>IF(G5145=1,R5145*(1-1.0),IF(H5144=0,1,O5144*(1+0.00023125256064071564)))</f>
        <v/>
      </c>
      <c r="P5145">
        <f>IF(G5145=1,IF(H5144=0,1,ABS(0.2-J5144*B5145/I5145)+ABS(0.2-K5144*C5145/I5145)+ABS(0.2-L5144*D5145/I5145)+ABS(0.2-M5144*E5145/I5145)+ABS(0.2-N5144*F5145/I5145)),0)</f>
        <v/>
      </c>
      <c r="Q5145">
        <f>P5145*0.0015</f>
        <v/>
      </c>
      <c r="R5145">
        <f>I5145*(1-Q5145)</f>
        <v/>
      </c>
      <c r="S5145">
        <f>R5145/R5144-1</f>
        <v/>
      </c>
      <c r="T5145">
        <f>MAX(T5144,R5145)</f>
        <v/>
      </c>
      <c r="U5145">
        <f>R5145/T5145-1</f>
        <v/>
      </c>
      <c r="V5145" t="n">
        <v>29.501876637403</v>
      </c>
      <c r="W5145" s="5">
        <f>R5145-V5145</f>
        <v/>
      </c>
    </row>
    <row r="5146">
      <c r="A5146" s="3" t="n">
        <v>46017</v>
      </c>
      <c r="B5146">
        <f>Prices!B5146</f>
        <v/>
      </c>
      <c r="C5146">
        <f>Prices!C5146</f>
        <v/>
      </c>
      <c r="D5146">
        <f>Prices!D5146</f>
        <v/>
      </c>
      <c r="E5146">
        <f>Prices!E5146</f>
        <v/>
      </c>
      <c r="F5146">
        <f>Prices!F5146</f>
        <v/>
      </c>
      <c r="G5146">
        <f>IF(AND(5144&gt;=16,TEXT(A5146,"yyyy-mm")&lt;&gt;TEXT(A5147,"yyyy-mm")),1,0)</f>
        <v/>
      </c>
      <c r="H5146">
        <f>IF(OR(H5145=1,G5146=1),1,0)</f>
        <v/>
      </c>
      <c r="I5146">
        <f>IF(H5145=0,1,SUMPRODUCT(J5145:N5145,B5146:F5146)+O5145*(1+0.00023125256064071564))</f>
        <v/>
      </c>
      <c r="J5146">
        <f>IF(G5146=1,0.2*R5146/B5146,J5145)</f>
        <v/>
      </c>
      <c r="K5146">
        <f>IF(G5146=1,0.2*R5146/C5146,K5145)</f>
        <v/>
      </c>
      <c r="L5146">
        <f>IF(G5146=1,0.2*R5146/D5146,L5145)</f>
        <v/>
      </c>
      <c r="M5146">
        <f>IF(G5146=1,0.2*R5146/E5146,M5145)</f>
        <v/>
      </c>
      <c r="N5146">
        <f>IF(G5146=1,0.2*R5146/F5146,N5145)</f>
        <v/>
      </c>
      <c r="O5146">
        <f>IF(G5146=1,R5146*(1-1.0),IF(H5145=0,1,O5145*(1+0.00023125256064071564)))</f>
        <v/>
      </c>
      <c r="P5146">
        <f>IF(G5146=1,IF(H5145=0,1,ABS(0.2-J5145*B5146/I5146)+ABS(0.2-K5145*C5146/I5146)+ABS(0.2-L5145*D5146/I5146)+ABS(0.2-M5145*E5146/I5146)+ABS(0.2-N5145*F5146/I5146)),0)</f>
        <v/>
      </c>
      <c r="Q5146">
        <f>P5146*0.0015</f>
        <v/>
      </c>
      <c r="R5146">
        <f>I5146*(1-Q5146)</f>
        <v/>
      </c>
      <c r="S5146">
        <f>R5146/R5145-1</f>
        <v/>
      </c>
      <c r="T5146">
        <f>MAX(T5145,R5146)</f>
        <v/>
      </c>
      <c r="U5146">
        <f>R5146/T5146-1</f>
        <v/>
      </c>
      <c r="V5146" t="n">
        <v>29.37307460353178</v>
      </c>
      <c r="W5146" s="5">
        <f>R5146-V5146</f>
        <v/>
      </c>
    </row>
    <row r="5147">
      <c r="A5147" s="3" t="n">
        <v>46020</v>
      </c>
      <c r="B5147">
        <f>Prices!B5147</f>
        <v/>
      </c>
      <c r="C5147">
        <f>Prices!C5147</f>
        <v/>
      </c>
      <c r="D5147">
        <f>Prices!D5147</f>
        <v/>
      </c>
      <c r="E5147">
        <f>Prices!E5147</f>
        <v/>
      </c>
      <c r="F5147">
        <f>Prices!F5147</f>
        <v/>
      </c>
      <c r="G5147">
        <f>IF(AND(5145&gt;=16,TEXT(A5147,"yyyy-mm")&lt;&gt;TEXT(A5148,"yyyy-mm")),1,0)</f>
        <v/>
      </c>
      <c r="H5147">
        <f>IF(OR(H5146=1,G5147=1),1,0)</f>
        <v/>
      </c>
      <c r="I5147">
        <f>IF(H5146=0,1,SUMPRODUCT(J5146:N5146,B5147:F5147)+O5146*(1+0.00023125256064071564))</f>
        <v/>
      </c>
      <c r="J5147">
        <f>IF(G5147=1,0.2*R5147/B5147,J5146)</f>
        <v/>
      </c>
      <c r="K5147">
        <f>IF(G5147=1,0.2*R5147/C5147,K5146)</f>
        <v/>
      </c>
      <c r="L5147">
        <f>IF(G5147=1,0.2*R5147/D5147,L5146)</f>
        <v/>
      </c>
      <c r="M5147">
        <f>IF(G5147=1,0.2*R5147/E5147,M5146)</f>
        <v/>
      </c>
      <c r="N5147">
        <f>IF(G5147=1,0.2*R5147/F5147,N5146)</f>
        <v/>
      </c>
      <c r="O5147">
        <f>IF(G5147=1,R5147*(1-1.0),IF(H5146=0,1,O5146*(1+0.00023125256064071564)))</f>
        <v/>
      </c>
      <c r="P5147">
        <f>IF(G5147=1,IF(H5146=0,1,ABS(0.2-J5146*B5147/I5147)+ABS(0.2-K5146*C5147/I5147)+ABS(0.2-L5146*D5147/I5147)+ABS(0.2-M5146*E5147/I5147)+ABS(0.2-N5146*F5147/I5147)),0)</f>
        <v/>
      </c>
      <c r="Q5147">
        <f>P5147*0.0015</f>
        <v/>
      </c>
      <c r="R5147">
        <f>I5147*(1-Q5147)</f>
        <v/>
      </c>
      <c r="S5147">
        <f>R5147/R5146-1</f>
        <v/>
      </c>
      <c r="T5147">
        <f>MAX(T5146,R5147)</f>
        <v/>
      </c>
      <c r="U5147">
        <f>R5147/T5147-1</f>
        <v/>
      </c>
      <c r="V5147" t="n">
        <v>29.24661353909614</v>
      </c>
      <c r="W5147" s="5">
        <f>R5147-V5147</f>
        <v/>
      </c>
    </row>
    <row r="5148">
      <c r="A5148" s="3" t="n">
        <v>46021</v>
      </c>
      <c r="B5148">
        <f>Prices!B5148</f>
        <v/>
      </c>
      <c r="C5148">
        <f>Prices!C5148</f>
        <v/>
      </c>
      <c r="D5148">
        <f>Prices!D5148</f>
        <v/>
      </c>
      <c r="E5148">
        <f>Prices!E5148</f>
        <v/>
      </c>
      <c r="F5148">
        <f>Prices!F5148</f>
        <v/>
      </c>
      <c r="G5148">
        <f>IF(AND(5146&gt;=16,TEXT(A5148,"yyyy-mm")&lt;&gt;TEXT(A5149,"yyyy-mm")),1,0)</f>
        <v/>
      </c>
      <c r="H5148">
        <f>IF(OR(H5147=1,G5148=1),1,0)</f>
        <v/>
      </c>
      <c r="I5148">
        <f>IF(H5147=0,1,SUMPRODUCT(J5147:N5147,B5148:F5148)+O5147*(1+0.00023125256064071564))</f>
        <v/>
      </c>
      <c r="J5148">
        <f>IF(G5148=1,0.2*R5148/B5148,J5147)</f>
        <v/>
      </c>
      <c r="K5148">
        <f>IF(G5148=1,0.2*R5148/C5148,K5147)</f>
        <v/>
      </c>
      <c r="L5148">
        <f>IF(G5148=1,0.2*R5148/D5148,L5147)</f>
        <v/>
      </c>
      <c r="M5148">
        <f>IF(G5148=1,0.2*R5148/E5148,M5147)</f>
        <v/>
      </c>
      <c r="N5148">
        <f>IF(G5148=1,0.2*R5148/F5148,N5147)</f>
        <v/>
      </c>
      <c r="O5148">
        <f>IF(G5148=1,R5148*(1-1.0),IF(H5147=0,1,O5147*(1+0.00023125256064071564)))</f>
        <v/>
      </c>
      <c r="P5148">
        <f>IF(G5148=1,IF(H5147=0,1,ABS(0.2-J5147*B5148/I5148)+ABS(0.2-K5147*C5148/I5148)+ABS(0.2-L5147*D5148/I5148)+ABS(0.2-M5147*E5148/I5148)+ABS(0.2-N5147*F5148/I5148)),0)</f>
        <v/>
      </c>
      <c r="Q5148">
        <f>P5148*0.0015</f>
        <v/>
      </c>
      <c r="R5148">
        <f>I5148*(1-Q5148)</f>
        <v/>
      </c>
      <c r="S5148">
        <f>R5148/R5147-1</f>
        <v/>
      </c>
      <c r="T5148">
        <f>MAX(T5147,R5148)</f>
        <v/>
      </c>
      <c r="U5148">
        <f>R5148/T5148-1</f>
        <v/>
      </c>
      <c r="V5148" t="n">
        <v>29.12299934064284</v>
      </c>
      <c r="W5148" s="5">
        <f>R5148-V5148</f>
        <v/>
      </c>
    </row>
    <row r="5149">
      <c r="A5149" s="3" t="n">
        <v>46022</v>
      </c>
      <c r="B5149">
        <f>Prices!B5149</f>
        <v/>
      </c>
      <c r="C5149">
        <f>Prices!C5149</f>
        <v/>
      </c>
      <c r="D5149">
        <f>Prices!D5149</f>
        <v/>
      </c>
      <c r="E5149">
        <f>Prices!E5149</f>
        <v/>
      </c>
      <c r="F5149">
        <f>Prices!F5149</f>
        <v/>
      </c>
      <c r="G5149">
        <f>IF(AND(5147&gt;=16,TEXT(A5149,"yyyy-mm")&lt;&gt;TEXT(A5150,"yyyy-mm")),1,0)</f>
        <v/>
      </c>
      <c r="H5149">
        <f>IF(OR(H5148=1,G5149=1),1,0)</f>
        <v/>
      </c>
      <c r="I5149">
        <f>IF(H5148=0,1,SUMPRODUCT(J5148:N5148,B5149:F5149)+O5148*(1+0.00023125256064071564))</f>
        <v/>
      </c>
      <c r="J5149">
        <f>IF(G5149=1,0.2*R5149/B5149,J5148)</f>
        <v/>
      </c>
      <c r="K5149">
        <f>IF(G5149=1,0.2*R5149/C5149,K5148)</f>
        <v/>
      </c>
      <c r="L5149">
        <f>IF(G5149=1,0.2*R5149/D5149,L5148)</f>
        <v/>
      </c>
      <c r="M5149">
        <f>IF(G5149=1,0.2*R5149/E5149,M5148)</f>
        <v/>
      </c>
      <c r="N5149">
        <f>IF(G5149=1,0.2*R5149/F5149,N5148)</f>
        <v/>
      </c>
      <c r="O5149">
        <f>IF(G5149=1,R5149*(1-1.0),IF(H5148=0,1,O5148*(1+0.00023125256064071564)))</f>
        <v/>
      </c>
      <c r="P5149">
        <f>IF(G5149=1,IF(H5148=0,1,ABS(0.2-J5148*B5149/I5149)+ABS(0.2-K5148*C5149/I5149)+ABS(0.2-L5148*D5149/I5149)+ABS(0.2-M5148*E5149/I5149)+ABS(0.2-N5148*F5149/I5149)),0)</f>
        <v/>
      </c>
      <c r="Q5149">
        <f>P5149*0.0015</f>
        <v/>
      </c>
      <c r="R5149">
        <f>I5149*(1-Q5149)</f>
        <v/>
      </c>
      <c r="S5149">
        <f>R5149/R5148-1</f>
        <v/>
      </c>
      <c r="T5149">
        <f>MAX(T5148,R5149)</f>
        <v/>
      </c>
      <c r="U5149">
        <f>R5149/T5149-1</f>
        <v/>
      </c>
      <c r="V5149" t="n">
        <v>29.42262015674901</v>
      </c>
      <c r="W5149" s="5">
        <f>R5149-V5149</f>
        <v/>
      </c>
    </row>
    <row r="5150">
      <c r="A5150" s="3" t="n">
        <v>46023</v>
      </c>
      <c r="B5150">
        <f>Prices!B5150</f>
        <v/>
      </c>
      <c r="C5150">
        <f>Prices!C5150</f>
        <v/>
      </c>
      <c r="D5150">
        <f>Prices!D5150</f>
        <v/>
      </c>
      <c r="E5150">
        <f>Prices!E5150</f>
        <v/>
      </c>
      <c r="F5150">
        <f>Prices!F5150</f>
        <v/>
      </c>
      <c r="G5150">
        <f>IF(AND(5148&gt;=16,TEXT(A5150,"yyyy-mm")&lt;&gt;TEXT(A5151,"yyyy-mm")),1,0)</f>
        <v/>
      </c>
      <c r="H5150">
        <f>IF(OR(H5149=1,G5150=1),1,0)</f>
        <v/>
      </c>
      <c r="I5150">
        <f>IF(H5149=0,1,SUMPRODUCT(J5149:N5149,B5150:F5150)+O5149*(1+0.00023125256064071564))</f>
        <v/>
      </c>
      <c r="J5150">
        <f>IF(G5150=1,0.2*R5150/B5150,J5149)</f>
        <v/>
      </c>
      <c r="K5150">
        <f>IF(G5150=1,0.2*R5150/C5150,K5149)</f>
        <v/>
      </c>
      <c r="L5150">
        <f>IF(G5150=1,0.2*R5150/D5150,L5149)</f>
        <v/>
      </c>
      <c r="M5150">
        <f>IF(G5150=1,0.2*R5150/E5150,M5149)</f>
        <v/>
      </c>
      <c r="N5150">
        <f>IF(G5150=1,0.2*R5150/F5150,N5149)</f>
        <v/>
      </c>
      <c r="O5150">
        <f>IF(G5150=1,R5150*(1-1.0),IF(H5149=0,1,O5149*(1+0.00023125256064071564)))</f>
        <v/>
      </c>
      <c r="P5150">
        <f>IF(G5150=1,IF(H5149=0,1,ABS(0.2-J5149*B5150/I5150)+ABS(0.2-K5149*C5150/I5150)+ABS(0.2-L5149*D5150/I5150)+ABS(0.2-M5149*E5150/I5150)+ABS(0.2-N5149*F5150/I5150)),0)</f>
        <v/>
      </c>
      <c r="Q5150">
        <f>P5150*0.0015</f>
        <v/>
      </c>
      <c r="R5150">
        <f>I5150*(1-Q5150)</f>
        <v/>
      </c>
      <c r="S5150">
        <f>R5150/R5149-1</f>
        <v/>
      </c>
      <c r="T5150">
        <f>MAX(T5149,R5150)</f>
        <v/>
      </c>
      <c r="U5150">
        <f>R5150/T5150-1</f>
        <v/>
      </c>
      <c r="V5150" t="n">
        <v>29.49360674319702</v>
      </c>
      <c r="W5150" s="5">
        <f>R5150-V5150</f>
        <v/>
      </c>
    </row>
    <row r="5151">
      <c r="A5151" s="3" t="n">
        <v>46024</v>
      </c>
      <c r="B5151">
        <f>Prices!B5151</f>
        <v/>
      </c>
      <c r="C5151">
        <f>Prices!C5151</f>
        <v/>
      </c>
      <c r="D5151">
        <f>Prices!D5151</f>
        <v/>
      </c>
      <c r="E5151">
        <f>Prices!E5151</f>
        <v/>
      </c>
      <c r="F5151">
        <f>Prices!F5151</f>
        <v/>
      </c>
      <c r="G5151">
        <f>IF(AND(5149&gt;=16,TEXT(A5151,"yyyy-mm")&lt;&gt;TEXT(A5152,"yyyy-mm")),1,0)</f>
        <v/>
      </c>
      <c r="H5151">
        <f>IF(OR(H5150=1,G5151=1),1,0)</f>
        <v/>
      </c>
      <c r="I5151">
        <f>IF(H5150=0,1,SUMPRODUCT(J5150:N5150,B5151:F5151)+O5150*(1+0.00023125256064071564))</f>
        <v/>
      </c>
      <c r="J5151">
        <f>IF(G5151=1,0.2*R5151/B5151,J5150)</f>
        <v/>
      </c>
      <c r="K5151">
        <f>IF(G5151=1,0.2*R5151/C5151,K5150)</f>
        <v/>
      </c>
      <c r="L5151">
        <f>IF(G5151=1,0.2*R5151/D5151,L5150)</f>
        <v/>
      </c>
      <c r="M5151">
        <f>IF(G5151=1,0.2*R5151/E5151,M5150)</f>
        <v/>
      </c>
      <c r="N5151">
        <f>IF(G5151=1,0.2*R5151/F5151,N5150)</f>
        <v/>
      </c>
      <c r="O5151">
        <f>IF(G5151=1,R5151*(1-1.0),IF(H5150=0,1,O5150*(1+0.00023125256064071564)))</f>
        <v/>
      </c>
      <c r="P5151">
        <f>IF(G5151=1,IF(H5150=0,1,ABS(0.2-J5150*B5151/I5151)+ABS(0.2-K5150*C5151/I5151)+ABS(0.2-L5150*D5151/I5151)+ABS(0.2-M5150*E5151/I5151)+ABS(0.2-N5150*F5151/I5151)),0)</f>
        <v/>
      </c>
      <c r="Q5151">
        <f>P5151*0.0015</f>
        <v/>
      </c>
      <c r="R5151">
        <f>I5151*(1-Q5151)</f>
        <v/>
      </c>
      <c r="S5151">
        <f>R5151/R5150-1</f>
        <v/>
      </c>
      <c r="T5151">
        <f>MAX(T5150,R5151)</f>
        <v/>
      </c>
      <c r="U5151">
        <f>R5151/T5151-1</f>
        <v/>
      </c>
      <c r="V5151" t="n">
        <v>29.79215440225906</v>
      </c>
      <c r="W5151" s="5">
        <f>R5151-V5151</f>
        <v/>
      </c>
    </row>
    <row r="5152">
      <c r="A5152" s="3" t="n">
        <v>46027</v>
      </c>
      <c r="B5152">
        <f>Prices!B5152</f>
        <v/>
      </c>
      <c r="C5152">
        <f>Prices!C5152</f>
        <v/>
      </c>
      <c r="D5152">
        <f>Prices!D5152</f>
        <v/>
      </c>
      <c r="E5152">
        <f>Prices!E5152</f>
        <v/>
      </c>
      <c r="F5152">
        <f>Prices!F5152</f>
        <v/>
      </c>
      <c r="G5152">
        <f>IF(AND(5150&gt;=16,TEXT(A5152,"yyyy-mm")&lt;&gt;TEXT(A5153,"yyyy-mm")),1,0)</f>
        <v/>
      </c>
      <c r="H5152">
        <f>IF(OR(H5151=1,G5152=1),1,0)</f>
        <v/>
      </c>
      <c r="I5152">
        <f>IF(H5151=0,1,SUMPRODUCT(J5151:N5151,B5152:F5152)+O5151*(1+0.00023125256064071564))</f>
        <v/>
      </c>
      <c r="J5152">
        <f>IF(G5152=1,0.2*R5152/B5152,J5151)</f>
        <v/>
      </c>
      <c r="K5152">
        <f>IF(G5152=1,0.2*R5152/C5152,K5151)</f>
        <v/>
      </c>
      <c r="L5152">
        <f>IF(G5152=1,0.2*R5152/D5152,L5151)</f>
        <v/>
      </c>
      <c r="M5152">
        <f>IF(G5152=1,0.2*R5152/E5152,M5151)</f>
        <v/>
      </c>
      <c r="N5152">
        <f>IF(G5152=1,0.2*R5152/F5152,N5151)</f>
        <v/>
      </c>
      <c r="O5152">
        <f>IF(G5152=1,R5152*(1-1.0),IF(H5151=0,1,O5151*(1+0.00023125256064071564)))</f>
        <v/>
      </c>
      <c r="P5152">
        <f>IF(G5152=1,IF(H5151=0,1,ABS(0.2-J5151*B5152/I5152)+ABS(0.2-K5151*C5152/I5152)+ABS(0.2-L5151*D5152/I5152)+ABS(0.2-M5151*E5152/I5152)+ABS(0.2-N5151*F5152/I5152)),0)</f>
        <v/>
      </c>
      <c r="Q5152">
        <f>P5152*0.0015</f>
        <v/>
      </c>
      <c r="R5152">
        <f>I5152*(1-Q5152)</f>
        <v/>
      </c>
      <c r="S5152">
        <f>R5152/R5151-1</f>
        <v/>
      </c>
      <c r="T5152">
        <f>MAX(T5151,R5152)</f>
        <v/>
      </c>
      <c r="U5152">
        <f>R5152/T5152-1</f>
        <v/>
      </c>
      <c r="V5152" t="n">
        <v>29.82438076630567</v>
      </c>
      <c r="W5152" s="5">
        <f>R5152-V5152</f>
        <v/>
      </c>
    </row>
    <row r="5153">
      <c r="A5153" s="3" t="n">
        <v>46028</v>
      </c>
      <c r="B5153">
        <f>Prices!B5153</f>
        <v/>
      </c>
      <c r="C5153">
        <f>Prices!C5153</f>
        <v/>
      </c>
      <c r="D5153">
        <f>Prices!D5153</f>
        <v/>
      </c>
      <c r="E5153">
        <f>Prices!E5153</f>
        <v/>
      </c>
      <c r="F5153">
        <f>Prices!F5153</f>
        <v/>
      </c>
      <c r="G5153">
        <f>IF(AND(5151&gt;=16,TEXT(A5153,"yyyy-mm")&lt;&gt;TEXT(A5154,"yyyy-mm")),1,0)</f>
        <v/>
      </c>
      <c r="H5153">
        <f>IF(OR(H5152=1,G5153=1),1,0)</f>
        <v/>
      </c>
      <c r="I5153">
        <f>IF(H5152=0,1,SUMPRODUCT(J5152:N5152,B5153:F5153)+O5152*(1+0.00023125256064071564))</f>
        <v/>
      </c>
      <c r="J5153">
        <f>IF(G5153=1,0.2*R5153/B5153,J5152)</f>
        <v/>
      </c>
      <c r="K5153">
        <f>IF(G5153=1,0.2*R5153/C5153,K5152)</f>
        <v/>
      </c>
      <c r="L5153">
        <f>IF(G5153=1,0.2*R5153/D5153,L5152)</f>
        <v/>
      </c>
      <c r="M5153">
        <f>IF(G5153=1,0.2*R5153/E5153,M5152)</f>
        <v/>
      </c>
      <c r="N5153">
        <f>IF(G5153=1,0.2*R5153/F5153,N5152)</f>
        <v/>
      </c>
      <c r="O5153">
        <f>IF(G5153=1,R5153*(1-1.0),IF(H5152=0,1,O5152*(1+0.00023125256064071564)))</f>
        <v/>
      </c>
      <c r="P5153">
        <f>IF(G5153=1,IF(H5152=0,1,ABS(0.2-J5152*B5153/I5153)+ABS(0.2-K5152*C5153/I5153)+ABS(0.2-L5152*D5153/I5153)+ABS(0.2-M5152*E5153/I5153)+ABS(0.2-N5152*F5153/I5153)),0)</f>
        <v/>
      </c>
      <c r="Q5153">
        <f>P5153*0.0015</f>
        <v/>
      </c>
      <c r="R5153">
        <f>I5153*(1-Q5153)</f>
        <v/>
      </c>
      <c r="S5153">
        <f>R5153/R5152-1</f>
        <v/>
      </c>
      <c r="T5153">
        <f>MAX(T5152,R5153)</f>
        <v/>
      </c>
      <c r="U5153">
        <f>R5153/T5153-1</f>
        <v/>
      </c>
      <c r="V5153" t="n">
        <v>29.90193515404789</v>
      </c>
      <c r="W5153" s="5">
        <f>R5153-V5153</f>
        <v/>
      </c>
    </row>
    <row r="5154">
      <c r="A5154" s="3" t="n">
        <v>46029</v>
      </c>
      <c r="B5154">
        <f>Prices!B5154</f>
        <v/>
      </c>
      <c r="C5154">
        <f>Prices!C5154</f>
        <v/>
      </c>
      <c r="D5154">
        <f>Prices!D5154</f>
        <v/>
      </c>
      <c r="E5154">
        <f>Prices!E5154</f>
        <v/>
      </c>
      <c r="F5154">
        <f>Prices!F5154</f>
        <v/>
      </c>
      <c r="G5154">
        <f>IF(AND(5152&gt;=16,TEXT(A5154,"yyyy-mm")&lt;&gt;TEXT(A5155,"yyyy-mm")),1,0)</f>
        <v/>
      </c>
      <c r="H5154">
        <f>IF(OR(H5153=1,G5154=1),1,0)</f>
        <v/>
      </c>
      <c r="I5154">
        <f>IF(H5153=0,1,SUMPRODUCT(J5153:N5153,B5154:F5154)+O5153*(1+0.00023125256064071564))</f>
        <v/>
      </c>
      <c r="J5154">
        <f>IF(G5154=1,0.2*R5154/B5154,J5153)</f>
        <v/>
      </c>
      <c r="K5154">
        <f>IF(G5154=1,0.2*R5154/C5154,K5153)</f>
        <v/>
      </c>
      <c r="L5154">
        <f>IF(G5154=1,0.2*R5154/D5154,L5153)</f>
        <v/>
      </c>
      <c r="M5154">
        <f>IF(G5154=1,0.2*R5154/E5154,M5153)</f>
        <v/>
      </c>
      <c r="N5154">
        <f>IF(G5154=1,0.2*R5154/F5154,N5153)</f>
        <v/>
      </c>
      <c r="O5154">
        <f>IF(G5154=1,R5154*(1-1.0),IF(H5153=0,1,O5153*(1+0.00023125256064071564)))</f>
        <v/>
      </c>
      <c r="P5154">
        <f>IF(G5154=1,IF(H5153=0,1,ABS(0.2-J5153*B5154/I5154)+ABS(0.2-K5153*C5154/I5154)+ABS(0.2-L5153*D5154/I5154)+ABS(0.2-M5153*E5154/I5154)+ABS(0.2-N5153*F5154/I5154)),0)</f>
        <v/>
      </c>
      <c r="Q5154">
        <f>P5154*0.0015</f>
        <v/>
      </c>
      <c r="R5154">
        <f>I5154*(1-Q5154)</f>
        <v/>
      </c>
      <c r="S5154">
        <f>R5154/R5153-1</f>
        <v/>
      </c>
      <c r="T5154">
        <f>MAX(T5153,R5154)</f>
        <v/>
      </c>
      <c r="U5154">
        <f>R5154/T5154-1</f>
        <v/>
      </c>
      <c r="V5154" t="n">
        <v>29.93273413969692</v>
      </c>
      <c r="W5154" s="5">
        <f>R5154-V5154</f>
        <v/>
      </c>
    </row>
    <row r="5155">
      <c r="A5155" s="3" t="n">
        <v>46030</v>
      </c>
      <c r="B5155">
        <f>Prices!B5155</f>
        <v/>
      </c>
      <c r="C5155">
        <f>Prices!C5155</f>
        <v/>
      </c>
      <c r="D5155">
        <f>Prices!D5155</f>
        <v/>
      </c>
      <c r="E5155">
        <f>Prices!E5155</f>
        <v/>
      </c>
      <c r="F5155">
        <f>Prices!F5155</f>
        <v/>
      </c>
      <c r="G5155">
        <f>IF(AND(5153&gt;=16,TEXT(A5155,"yyyy-mm")&lt;&gt;TEXT(A5156,"yyyy-mm")),1,0)</f>
        <v/>
      </c>
      <c r="H5155">
        <f>IF(OR(H5154=1,G5155=1),1,0)</f>
        <v/>
      </c>
      <c r="I5155">
        <f>IF(H5154=0,1,SUMPRODUCT(J5154:N5154,B5155:F5155)+O5154*(1+0.00023125256064071564))</f>
        <v/>
      </c>
      <c r="J5155">
        <f>IF(G5155=1,0.2*R5155/B5155,J5154)</f>
        <v/>
      </c>
      <c r="K5155">
        <f>IF(G5155=1,0.2*R5155/C5155,K5154)</f>
        <v/>
      </c>
      <c r="L5155">
        <f>IF(G5155=1,0.2*R5155/D5155,L5154)</f>
        <v/>
      </c>
      <c r="M5155">
        <f>IF(G5155=1,0.2*R5155/E5155,M5154)</f>
        <v/>
      </c>
      <c r="N5155">
        <f>IF(G5155=1,0.2*R5155/F5155,N5154)</f>
        <v/>
      </c>
      <c r="O5155">
        <f>IF(G5155=1,R5155*(1-1.0),IF(H5154=0,1,O5154*(1+0.00023125256064071564)))</f>
        <v/>
      </c>
      <c r="P5155">
        <f>IF(G5155=1,IF(H5154=0,1,ABS(0.2-J5154*B5155/I5155)+ABS(0.2-K5154*C5155/I5155)+ABS(0.2-L5154*D5155/I5155)+ABS(0.2-M5154*E5155/I5155)+ABS(0.2-N5154*F5155/I5155)),0)</f>
        <v/>
      </c>
      <c r="Q5155">
        <f>P5155*0.0015</f>
        <v/>
      </c>
      <c r="R5155">
        <f>I5155*(1-Q5155)</f>
        <v/>
      </c>
      <c r="S5155">
        <f>R5155/R5154-1</f>
        <v/>
      </c>
      <c r="T5155">
        <f>MAX(T5154,R5155)</f>
        <v/>
      </c>
      <c r="U5155">
        <f>R5155/T5155-1</f>
        <v/>
      </c>
      <c r="V5155" t="n">
        <v>29.37226995936438</v>
      </c>
      <c r="W5155" s="5">
        <f>R5155-V5155</f>
        <v/>
      </c>
    </row>
    <row r="5156">
      <c r="A5156" s="3" t="n">
        <v>46031</v>
      </c>
      <c r="B5156">
        <f>Prices!B5156</f>
        <v/>
      </c>
      <c r="C5156">
        <f>Prices!C5156</f>
        <v/>
      </c>
      <c r="D5156">
        <f>Prices!D5156</f>
        <v/>
      </c>
      <c r="E5156">
        <f>Prices!E5156</f>
        <v/>
      </c>
      <c r="F5156">
        <f>Prices!F5156</f>
        <v/>
      </c>
      <c r="G5156">
        <f>IF(AND(5154&gt;=16,TEXT(A5156,"yyyy-mm")&lt;&gt;TEXT(A5157,"yyyy-mm")),1,0)</f>
        <v/>
      </c>
      <c r="H5156">
        <f>IF(OR(H5155=1,G5156=1),1,0)</f>
        <v/>
      </c>
      <c r="I5156">
        <f>IF(H5155=0,1,SUMPRODUCT(J5155:N5155,B5156:F5156)+O5155*(1+0.00023125256064071564))</f>
        <v/>
      </c>
      <c r="J5156">
        <f>IF(G5156=1,0.2*R5156/B5156,J5155)</f>
        <v/>
      </c>
      <c r="K5156">
        <f>IF(G5156=1,0.2*R5156/C5156,K5155)</f>
        <v/>
      </c>
      <c r="L5156">
        <f>IF(G5156=1,0.2*R5156/D5156,L5155)</f>
        <v/>
      </c>
      <c r="M5156">
        <f>IF(G5156=1,0.2*R5156/E5156,M5155)</f>
        <v/>
      </c>
      <c r="N5156">
        <f>IF(G5156=1,0.2*R5156/F5156,N5155)</f>
        <v/>
      </c>
      <c r="O5156">
        <f>IF(G5156=1,R5156*(1-1.0),IF(H5155=0,1,O5155*(1+0.00023125256064071564)))</f>
        <v/>
      </c>
      <c r="P5156">
        <f>IF(G5156=1,IF(H5155=0,1,ABS(0.2-J5155*B5156/I5156)+ABS(0.2-K5155*C5156/I5156)+ABS(0.2-L5155*D5156/I5156)+ABS(0.2-M5155*E5156/I5156)+ABS(0.2-N5155*F5156/I5156)),0)</f>
        <v/>
      </c>
      <c r="Q5156">
        <f>P5156*0.0015</f>
        <v/>
      </c>
      <c r="R5156">
        <f>I5156*(1-Q5156)</f>
        <v/>
      </c>
      <c r="S5156">
        <f>R5156/R5155-1</f>
        <v/>
      </c>
      <c r="T5156">
        <f>MAX(T5155,R5156)</f>
        <v/>
      </c>
      <c r="U5156">
        <f>R5156/T5156-1</f>
        <v/>
      </c>
      <c r="V5156" t="n">
        <v>29.07158248569077</v>
      </c>
      <c r="W5156" s="5">
        <f>R5156-V5156</f>
        <v/>
      </c>
    </row>
    <row r="5157">
      <c r="A5157" s="3" t="n">
        <v>46034</v>
      </c>
      <c r="B5157">
        <f>Prices!B5157</f>
        <v/>
      </c>
      <c r="C5157">
        <f>Prices!C5157</f>
        <v/>
      </c>
      <c r="D5157">
        <f>Prices!D5157</f>
        <v/>
      </c>
      <c r="E5157">
        <f>Prices!E5157</f>
        <v/>
      </c>
      <c r="F5157">
        <f>Prices!F5157</f>
        <v/>
      </c>
      <c r="G5157">
        <f>IF(AND(5155&gt;=16,TEXT(A5157,"yyyy-mm")&lt;&gt;TEXT(A5158,"yyyy-mm")),1,0)</f>
        <v/>
      </c>
      <c r="H5157">
        <f>IF(OR(H5156=1,G5157=1),1,0)</f>
        <v/>
      </c>
      <c r="I5157">
        <f>IF(H5156=0,1,SUMPRODUCT(J5156:N5156,B5157:F5157)+O5156*(1+0.00023125256064071564))</f>
        <v/>
      </c>
      <c r="J5157">
        <f>IF(G5157=1,0.2*R5157/B5157,J5156)</f>
        <v/>
      </c>
      <c r="K5157">
        <f>IF(G5157=1,0.2*R5157/C5157,K5156)</f>
        <v/>
      </c>
      <c r="L5157">
        <f>IF(G5157=1,0.2*R5157/D5157,L5156)</f>
        <v/>
      </c>
      <c r="M5157">
        <f>IF(G5157=1,0.2*R5157/E5157,M5156)</f>
        <v/>
      </c>
      <c r="N5157">
        <f>IF(G5157=1,0.2*R5157/F5157,N5156)</f>
        <v/>
      </c>
      <c r="O5157">
        <f>IF(G5157=1,R5157*(1-1.0),IF(H5156=0,1,O5156*(1+0.00023125256064071564)))</f>
        <v/>
      </c>
      <c r="P5157">
        <f>IF(G5157=1,IF(H5156=0,1,ABS(0.2-J5156*B5157/I5157)+ABS(0.2-K5156*C5157/I5157)+ABS(0.2-L5156*D5157/I5157)+ABS(0.2-M5156*E5157/I5157)+ABS(0.2-N5156*F5157/I5157)),0)</f>
        <v/>
      </c>
      <c r="Q5157">
        <f>P5157*0.0015</f>
        <v/>
      </c>
      <c r="R5157">
        <f>I5157*(1-Q5157)</f>
        <v/>
      </c>
      <c r="S5157">
        <f>R5157/R5156-1</f>
        <v/>
      </c>
      <c r="T5157">
        <f>MAX(T5156,R5157)</f>
        <v/>
      </c>
      <c r="U5157">
        <f>R5157/T5157-1</f>
        <v/>
      </c>
      <c r="V5157" t="n">
        <v>29.13482687077721</v>
      </c>
      <c r="W5157" s="5">
        <f>R5157-V5157</f>
        <v/>
      </c>
    </row>
    <row r="5158">
      <c r="A5158" s="3" t="n">
        <v>46035</v>
      </c>
      <c r="B5158">
        <f>Prices!B5158</f>
        <v/>
      </c>
      <c r="C5158">
        <f>Prices!C5158</f>
        <v/>
      </c>
      <c r="D5158">
        <f>Prices!D5158</f>
        <v/>
      </c>
      <c r="E5158">
        <f>Prices!E5158</f>
        <v/>
      </c>
      <c r="F5158">
        <f>Prices!F5158</f>
        <v/>
      </c>
      <c r="G5158">
        <f>IF(AND(5156&gt;=16,TEXT(A5158,"yyyy-mm")&lt;&gt;TEXT(A5159,"yyyy-mm")),1,0)</f>
        <v/>
      </c>
      <c r="H5158">
        <f>IF(OR(H5157=1,G5158=1),1,0)</f>
        <v/>
      </c>
      <c r="I5158">
        <f>IF(H5157=0,1,SUMPRODUCT(J5157:N5157,B5158:F5158)+O5157*(1+0.00023125256064071564))</f>
        <v/>
      </c>
      <c r="J5158">
        <f>IF(G5158=1,0.2*R5158/B5158,J5157)</f>
        <v/>
      </c>
      <c r="K5158">
        <f>IF(G5158=1,0.2*R5158/C5158,K5157)</f>
        <v/>
      </c>
      <c r="L5158">
        <f>IF(G5158=1,0.2*R5158/D5158,L5157)</f>
        <v/>
      </c>
      <c r="M5158">
        <f>IF(G5158=1,0.2*R5158/E5158,M5157)</f>
        <v/>
      </c>
      <c r="N5158">
        <f>IF(G5158=1,0.2*R5158/F5158,N5157)</f>
        <v/>
      </c>
      <c r="O5158">
        <f>IF(G5158=1,R5158*(1-1.0),IF(H5157=0,1,O5157*(1+0.00023125256064071564)))</f>
        <v/>
      </c>
      <c r="P5158">
        <f>IF(G5158=1,IF(H5157=0,1,ABS(0.2-J5157*B5158/I5158)+ABS(0.2-K5157*C5158/I5158)+ABS(0.2-L5157*D5158/I5158)+ABS(0.2-M5157*E5158/I5158)+ABS(0.2-N5157*F5158/I5158)),0)</f>
        <v/>
      </c>
      <c r="Q5158">
        <f>P5158*0.0015</f>
        <v/>
      </c>
      <c r="R5158">
        <f>I5158*(1-Q5158)</f>
        <v/>
      </c>
      <c r="S5158">
        <f>R5158/R5157-1</f>
        <v/>
      </c>
      <c r="T5158">
        <f>MAX(T5157,R5158)</f>
        <v/>
      </c>
      <c r="U5158">
        <f>R5158/T5158-1</f>
        <v/>
      </c>
      <c r="V5158" t="n">
        <v>29.17206083888045</v>
      </c>
      <c r="W5158" s="5">
        <f>R5158-V5158</f>
        <v/>
      </c>
    </row>
    <row r="5159">
      <c r="A5159" s="3" t="n">
        <v>46036</v>
      </c>
      <c r="B5159">
        <f>Prices!B5159</f>
        <v/>
      </c>
      <c r="C5159">
        <f>Prices!C5159</f>
        <v/>
      </c>
      <c r="D5159">
        <f>Prices!D5159</f>
        <v/>
      </c>
      <c r="E5159">
        <f>Prices!E5159</f>
        <v/>
      </c>
      <c r="F5159">
        <f>Prices!F5159</f>
        <v/>
      </c>
      <c r="G5159">
        <f>IF(AND(5157&gt;=16,TEXT(A5159,"yyyy-mm")&lt;&gt;TEXT(A5160,"yyyy-mm")),1,0)</f>
        <v/>
      </c>
      <c r="H5159">
        <f>IF(OR(H5158=1,G5159=1),1,0)</f>
        <v/>
      </c>
      <c r="I5159">
        <f>IF(H5158=0,1,SUMPRODUCT(J5158:N5158,B5159:F5159)+O5158*(1+0.00023125256064071564))</f>
        <v/>
      </c>
      <c r="J5159">
        <f>IF(G5159=1,0.2*R5159/B5159,J5158)</f>
        <v/>
      </c>
      <c r="K5159">
        <f>IF(G5159=1,0.2*R5159/C5159,K5158)</f>
        <v/>
      </c>
      <c r="L5159">
        <f>IF(G5159=1,0.2*R5159/D5159,L5158)</f>
        <v/>
      </c>
      <c r="M5159">
        <f>IF(G5159=1,0.2*R5159/E5159,M5158)</f>
        <v/>
      </c>
      <c r="N5159">
        <f>IF(G5159=1,0.2*R5159/F5159,N5158)</f>
        <v/>
      </c>
      <c r="O5159">
        <f>IF(G5159=1,R5159*(1-1.0),IF(H5158=0,1,O5158*(1+0.00023125256064071564)))</f>
        <v/>
      </c>
      <c r="P5159">
        <f>IF(G5159=1,IF(H5158=0,1,ABS(0.2-J5158*B5159/I5159)+ABS(0.2-K5158*C5159/I5159)+ABS(0.2-L5158*D5159/I5159)+ABS(0.2-M5158*E5159/I5159)+ABS(0.2-N5158*F5159/I5159)),0)</f>
        <v/>
      </c>
      <c r="Q5159">
        <f>P5159*0.0015</f>
        <v/>
      </c>
      <c r="R5159">
        <f>I5159*(1-Q5159)</f>
        <v/>
      </c>
      <c r="S5159">
        <f>R5159/R5158-1</f>
        <v/>
      </c>
      <c r="T5159">
        <f>MAX(T5158,R5159)</f>
        <v/>
      </c>
      <c r="U5159">
        <f>R5159/T5159-1</f>
        <v/>
      </c>
      <c r="V5159" t="n">
        <v>29.29436067135359</v>
      </c>
      <c r="W5159" s="5">
        <f>R5159-V5159</f>
        <v/>
      </c>
    </row>
    <row r="5160">
      <c r="A5160" s="3" t="n">
        <v>46038</v>
      </c>
      <c r="B5160">
        <f>Prices!B5160</f>
        <v/>
      </c>
      <c r="C5160">
        <f>Prices!C5160</f>
        <v/>
      </c>
      <c r="D5160">
        <f>Prices!D5160</f>
        <v/>
      </c>
      <c r="E5160">
        <f>Prices!E5160</f>
        <v/>
      </c>
      <c r="F5160">
        <f>Prices!F5160</f>
        <v/>
      </c>
      <c r="G5160">
        <f>IF(AND(5158&gt;=16,TEXT(A5160,"yyyy-mm")&lt;&gt;TEXT(A5161,"yyyy-mm")),1,0)</f>
        <v/>
      </c>
      <c r="H5160">
        <f>IF(OR(H5159=1,G5160=1),1,0)</f>
        <v/>
      </c>
      <c r="I5160">
        <f>IF(H5159=0,1,SUMPRODUCT(J5159:N5159,B5160:F5160)+O5159*(1+0.00023125256064071564))</f>
        <v/>
      </c>
      <c r="J5160">
        <f>IF(G5160=1,0.2*R5160/B5160,J5159)</f>
        <v/>
      </c>
      <c r="K5160">
        <f>IF(G5160=1,0.2*R5160/C5160,K5159)</f>
        <v/>
      </c>
      <c r="L5160">
        <f>IF(G5160=1,0.2*R5160/D5160,L5159)</f>
        <v/>
      </c>
      <c r="M5160">
        <f>IF(G5160=1,0.2*R5160/E5160,M5159)</f>
        <v/>
      </c>
      <c r="N5160">
        <f>IF(G5160=1,0.2*R5160/F5160,N5159)</f>
        <v/>
      </c>
      <c r="O5160">
        <f>IF(G5160=1,R5160*(1-1.0),IF(H5159=0,1,O5159*(1+0.00023125256064071564)))</f>
        <v/>
      </c>
      <c r="P5160">
        <f>IF(G5160=1,IF(H5159=0,1,ABS(0.2-J5159*B5160/I5160)+ABS(0.2-K5159*C5160/I5160)+ABS(0.2-L5159*D5160/I5160)+ABS(0.2-M5159*E5160/I5160)+ABS(0.2-N5159*F5160/I5160)),0)</f>
        <v/>
      </c>
      <c r="Q5160">
        <f>P5160*0.0015</f>
        <v/>
      </c>
      <c r="R5160">
        <f>I5160*(1-Q5160)</f>
        <v/>
      </c>
      <c r="S5160">
        <f>R5160/R5159-1</f>
        <v/>
      </c>
      <c r="T5160">
        <f>MAX(T5159,R5160)</f>
        <v/>
      </c>
      <c r="U5160">
        <f>R5160/T5160-1</f>
        <v/>
      </c>
      <c r="V5160" t="n">
        <v>29.31168794154872</v>
      </c>
      <c r="W5160" s="5">
        <f>R5160-V5160</f>
        <v/>
      </c>
    </row>
    <row r="5161">
      <c r="A5161" s="3" t="n">
        <v>46041</v>
      </c>
      <c r="B5161">
        <f>Prices!B5161</f>
        <v/>
      </c>
      <c r="C5161">
        <f>Prices!C5161</f>
        <v/>
      </c>
      <c r="D5161">
        <f>Prices!D5161</f>
        <v/>
      </c>
      <c r="E5161">
        <f>Prices!E5161</f>
        <v/>
      </c>
      <c r="F5161">
        <f>Prices!F5161</f>
        <v/>
      </c>
      <c r="G5161">
        <f>IF(AND(5159&gt;=16,TEXT(A5161,"yyyy-mm")&lt;&gt;TEXT(A5162,"yyyy-mm")),1,0)</f>
        <v/>
      </c>
      <c r="H5161">
        <f>IF(OR(H5160=1,G5161=1),1,0)</f>
        <v/>
      </c>
      <c r="I5161">
        <f>IF(H5160=0,1,SUMPRODUCT(J5160:N5160,B5161:F5161)+O5160*(1+0.00023125256064071564))</f>
        <v/>
      </c>
      <c r="J5161">
        <f>IF(G5161=1,0.2*R5161/B5161,J5160)</f>
        <v/>
      </c>
      <c r="K5161">
        <f>IF(G5161=1,0.2*R5161/C5161,K5160)</f>
        <v/>
      </c>
      <c r="L5161">
        <f>IF(G5161=1,0.2*R5161/D5161,L5160)</f>
        <v/>
      </c>
      <c r="M5161">
        <f>IF(G5161=1,0.2*R5161/E5161,M5160)</f>
        <v/>
      </c>
      <c r="N5161">
        <f>IF(G5161=1,0.2*R5161/F5161,N5160)</f>
        <v/>
      </c>
      <c r="O5161">
        <f>IF(G5161=1,R5161*(1-1.0),IF(H5160=0,1,O5160*(1+0.00023125256064071564)))</f>
        <v/>
      </c>
      <c r="P5161">
        <f>IF(G5161=1,IF(H5160=0,1,ABS(0.2-J5160*B5161/I5161)+ABS(0.2-K5160*C5161/I5161)+ABS(0.2-L5160*D5161/I5161)+ABS(0.2-M5160*E5161/I5161)+ABS(0.2-N5160*F5161/I5161)),0)</f>
        <v/>
      </c>
      <c r="Q5161">
        <f>P5161*0.0015</f>
        <v/>
      </c>
      <c r="R5161">
        <f>I5161*(1-Q5161)</f>
        <v/>
      </c>
      <c r="S5161">
        <f>R5161/R5160-1</f>
        <v/>
      </c>
      <c r="T5161">
        <f>MAX(T5160,R5161)</f>
        <v/>
      </c>
      <c r="U5161">
        <f>R5161/T5161-1</f>
        <v/>
      </c>
      <c r="V5161" t="n">
        <v>29.27160848247696</v>
      </c>
      <c r="W5161" s="5">
        <f>R5161-V5161</f>
        <v/>
      </c>
    </row>
    <row r="5162">
      <c r="A5162" s="3" t="n">
        <v>46042</v>
      </c>
      <c r="B5162">
        <f>Prices!B5162</f>
        <v/>
      </c>
      <c r="C5162">
        <f>Prices!C5162</f>
        <v/>
      </c>
      <c r="D5162">
        <f>Prices!D5162</f>
        <v/>
      </c>
      <c r="E5162">
        <f>Prices!E5162</f>
        <v/>
      </c>
      <c r="F5162">
        <f>Prices!F5162</f>
        <v/>
      </c>
      <c r="G5162">
        <f>IF(AND(5160&gt;=16,TEXT(A5162,"yyyy-mm")&lt;&gt;TEXT(A5163,"yyyy-mm")),1,0)</f>
        <v/>
      </c>
      <c r="H5162">
        <f>IF(OR(H5161=1,G5162=1),1,0)</f>
        <v/>
      </c>
      <c r="I5162">
        <f>IF(H5161=0,1,SUMPRODUCT(J5161:N5161,B5162:F5162)+O5161*(1+0.00023125256064071564))</f>
        <v/>
      </c>
      <c r="J5162">
        <f>IF(G5162=1,0.2*R5162/B5162,J5161)</f>
        <v/>
      </c>
      <c r="K5162">
        <f>IF(G5162=1,0.2*R5162/C5162,K5161)</f>
        <v/>
      </c>
      <c r="L5162">
        <f>IF(G5162=1,0.2*R5162/D5162,L5161)</f>
        <v/>
      </c>
      <c r="M5162">
        <f>IF(G5162=1,0.2*R5162/E5162,M5161)</f>
        <v/>
      </c>
      <c r="N5162">
        <f>IF(G5162=1,0.2*R5162/F5162,N5161)</f>
        <v/>
      </c>
      <c r="O5162">
        <f>IF(G5162=1,R5162*(1-1.0),IF(H5161=0,1,O5161*(1+0.00023125256064071564)))</f>
        <v/>
      </c>
      <c r="P5162">
        <f>IF(G5162=1,IF(H5161=0,1,ABS(0.2-J5161*B5162/I5162)+ABS(0.2-K5161*C5162/I5162)+ABS(0.2-L5161*D5162/I5162)+ABS(0.2-M5161*E5162/I5162)+ABS(0.2-N5161*F5162/I5162)),0)</f>
        <v/>
      </c>
      <c r="Q5162">
        <f>P5162*0.0015</f>
        <v/>
      </c>
      <c r="R5162">
        <f>I5162*(1-Q5162)</f>
        <v/>
      </c>
      <c r="S5162">
        <f>R5162/R5161-1</f>
        <v/>
      </c>
      <c r="T5162">
        <f>MAX(T5161,R5162)</f>
        <v/>
      </c>
      <c r="U5162">
        <f>R5162/T5162-1</f>
        <v/>
      </c>
      <c r="V5162" t="n">
        <v>28.59296068386297</v>
      </c>
      <c r="W5162" s="5">
        <f>R5162-V5162</f>
        <v/>
      </c>
    </row>
    <row r="5163">
      <c r="A5163" s="3" t="n">
        <v>46043</v>
      </c>
      <c r="B5163">
        <f>Prices!B5163</f>
        <v/>
      </c>
      <c r="C5163">
        <f>Prices!C5163</f>
        <v/>
      </c>
      <c r="D5163">
        <f>Prices!D5163</f>
        <v/>
      </c>
      <c r="E5163">
        <f>Prices!E5163</f>
        <v/>
      </c>
      <c r="F5163">
        <f>Prices!F5163</f>
        <v/>
      </c>
      <c r="G5163">
        <f>IF(AND(5161&gt;=16,TEXT(A5163,"yyyy-mm")&lt;&gt;TEXT(A5164,"yyyy-mm")),1,0)</f>
        <v/>
      </c>
      <c r="H5163">
        <f>IF(OR(H5162=1,G5163=1),1,0)</f>
        <v/>
      </c>
      <c r="I5163">
        <f>IF(H5162=0,1,SUMPRODUCT(J5162:N5162,B5163:F5163)+O5162*(1+0.00023125256064071564))</f>
        <v/>
      </c>
      <c r="J5163">
        <f>IF(G5163=1,0.2*R5163/B5163,J5162)</f>
        <v/>
      </c>
      <c r="K5163">
        <f>IF(G5163=1,0.2*R5163/C5163,K5162)</f>
        <v/>
      </c>
      <c r="L5163">
        <f>IF(G5163=1,0.2*R5163/D5163,L5162)</f>
        <v/>
      </c>
      <c r="M5163">
        <f>IF(G5163=1,0.2*R5163/E5163,M5162)</f>
        <v/>
      </c>
      <c r="N5163">
        <f>IF(G5163=1,0.2*R5163/F5163,N5162)</f>
        <v/>
      </c>
      <c r="O5163">
        <f>IF(G5163=1,R5163*(1-1.0),IF(H5162=0,1,O5162*(1+0.00023125256064071564)))</f>
        <v/>
      </c>
      <c r="P5163">
        <f>IF(G5163=1,IF(H5162=0,1,ABS(0.2-J5162*B5163/I5163)+ABS(0.2-K5162*C5163/I5163)+ABS(0.2-L5162*D5163/I5163)+ABS(0.2-M5162*E5163/I5163)+ABS(0.2-N5162*F5163/I5163)),0)</f>
        <v/>
      </c>
      <c r="Q5163">
        <f>P5163*0.0015</f>
        <v/>
      </c>
      <c r="R5163">
        <f>I5163*(1-Q5163)</f>
        <v/>
      </c>
      <c r="S5163">
        <f>R5163/R5162-1</f>
        <v/>
      </c>
      <c r="T5163">
        <f>MAX(T5162,R5163)</f>
        <v/>
      </c>
      <c r="U5163">
        <f>R5163/T5163-1</f>
        <v/>
      </c>
      <c r="V5163" t="n">
        <v>28.43827321622215</v>
      </c>
      <c r="W5163" s="5">
        <f>R5163-V5163</f>
        <v/>
      </c>
    </row>
    <row r="5164">
      <c r="A5164" s="3" t="n">
        <v>46044</v>
      </c>
      <c r="B5164">
        <f>Prices!B5164</f>
        <v/>
      </c>
      <c r="C5164">
        <f>Prices!C5164</f>
        <v/>
      </c>
      <c r="D5164">
        <f>Prices!D5164</f>
        <v/>
      </c>
      <c r="E5164">
        <f>Prices!E5164</f>
        <v/>
      </c>
      <c r="F5164">
        <f>Prices!F5164</f>
        <v/>
      </c>
      <c r="G5164">
        <f>IF(AND(5162&gt;=16,TEXT(A5164,"yyyy-mm")&lt;&gt;TEXT(A5165,"yyyy-mm")),1,0)</f>
        <v/>
      </c>
      <c r="H5164">
        <f>IF(OR(H5163=1,G5164=1),1,0)</f>
        <v/>
      </c>
      <c r="I5164">
        <f>IF(H5163=0,1,SUMPRODUCT(J5163:N5163,B5164:F5164)+O5163*(1+0.00023125256064071564))</f>
        <v/>
      </c>
      <c r="J5164">
        <f>IF(G5164=1,0.2*R5164/B5164,J5163)</f>
        <v/>
      </c>
      <c r="K5164">
        <f>IF(G5164=1,0.2*R5164/C5164,K5163)</f>
        <v/>
      </c>
      <c r="L5164">
        <f>IF(G5164=1,0.2*R5164/D5164,L5163)</f>
        <v/>
      </c>
      <c r="M5164">
        <f>IF(G5164=1,0.2*R5164/E5164,M5163)</f>
        <v/>
      </c>
      <c r="N5164">
        <f>IF(G5164=1,0.2*R5164/F5164,N5163)</f>
        <v/>
      </c>
      <c r="O5164">
        <f>IF(G5164=1,R5164*(1-1.0),IF(H5163=0,1,O5163*(1+0.00023125256064071564)))</f>
        <v/>
      </c>
      <c r="P5164">
        <f>IF(G5164=1,IF(H5163=0,1,ABS(0.2-J5163*B5164/I5164)+ABS(0.2-K5163*C5164/I5164)+ABS(0.2-L5163*D5164/I5164)+ABS(0.2-M5163*E5164/I5164)+ABS(0.2-N5163*F5164/I5164)),0)</f>
        <v/>
      </c>
      <c r="Q5164">
        <f>P5164*0.0015</f>
        <v/>
      </c>
      <c r="R5164">
        <f>I5164*(1-Q5164)</f>
        <v/>
      </c>
      <c r="S5164">
        <f>R5164/R5163-1</f>
        <v/>
      </c>
      <c r="T5164">
        <f>MAX(T5163,R5164)</f>
        <v/>
      </c>
      <c r="U5164">
        <f>R5164/T5164-1</f>
        <v/>
      </c>
      <c r="V5164" t="n">
        <v>28.75856434420508</v>
      </c>
      <c r="W5164" s="5">
        <f>R5164-V5164</f>
        <v/>
      </c>
    </row>
    <row r="5165">
      <c r="A5165" s="3" t="n">
        <v>46045</v>
      </c>
      <c r="B5165">
        <f>Prices!B5165</f>
        <v/>
      </c>
      <c r="C5165">
        <f>Prices!C5165</f>
        <v/>
      </c>
      <c r="D5165">
        <f>Prices!D5165</f>
        <v/>
      </c>
      <c r="E5165">
        <f>Prices!E5165</f>
        <v/>
      </c>
      <c r="F5165">
        <f>Prices!F5165</f>
        <v/>
      </c>
      <c r="G5165">
        <f>IF(AND(5163&gt;=16,TEXT(A5165,"yyyy-mm")&lt;&gt;TEXT(A5166,"yyyy-mm")),1,0)</f>
        <v/>
      </c>
      <c r="H5165">
        <f>IF(OR(H5164=1,G5165=1),1,0)</f>
        <v/>
      </c>
      <c r="I5165">
        <f>IF(H5164=0,1,SUMPRODUCT(J5164:N5164,B5165:F5165)+O5164*(1+0.00023125256064071564))</f>
        <v/>
      </c>
      <c r="J5165">
        <f>IF(G5165=1,0.2*R5165/B5165,J5164)</f>
        <v/>
      </c>
      <c r="K5165">
        <f>IF(G5165=1,0.2*R5165/C5165,K5164)</f>
        <v/>
      </c>
      <c r="L5165">
        <f>IF(G5165=1,0.2*R5165/D5165,L5164)</f>
        <v/>
      </c>
      <c r="M5165">
        <f>IF(G5165=1,0.2*R5165/E5165,M5164)</f>
        <v/>
      </c>
      <c r="N5165">
        <f>IF(G5165=1,0.2*R5165/F5165,N5164)</f>
        <v/>
      </c>
      <c r="O5165">
        <f>IF(G5165=1,R5165*(1-1.0),IF(H5164=0,1,O5164*(1+0.00023125256064071564)))</f>
        <v/>
      </c>
      <c r="P5165">
        <f>IF(G5165=1,IF(H5164=0,1,ABS(0.2-J5164*B5165/I5165)+ABS(0.2-K5164*C5165/I5165)+ABS(0.2-L5164*D5165/I5165)+ABS(0.2-M5164*E5165/I5165)+ABS(0.2-N5164*F5165/I5165)),0)</f>
        <v/>
      </c>
      <c r="Q5165">
        <f>P5165*0.0015</f>
        <v/>
      </c>
      <c r="R5165">
        <f>I5165*(1-Q5165)</f>
        <v/>
      </c>
      <c r="S5165">
        <f>R5165/R5164-1</f>
        <v/>
      </c>
      <c r="T5165">
        <f>MAX(T5164,R5165)</f>
        <v/>
      </c>
      <c r="U5165">
        <f>R5165/T5165-1</f>
        <v/>
      </c>
      <c r="V5165" t="n">
        <v>28.3767842371482</v>
      </c>
      <c r="W5165" s="5">
        <f>R5165-V5165</f>
        <v/>
      </c>
    </row>
    <row r="5166">
      <c r="A5166" s="3" t="n">
        <v>46049</v>
      </c>
      <c r="B5166">
        <f>Prices!B5166</f>
        <v/>
      </c>
      <c r="C5166">
        <f>Prices!C5166</f>
        <v/>
      </c>
      <c r="D5166">
        <f>Prices!D5166</f>
        <v/>
      </c>
      <c r="E5166">
        <f>Prices!E5166</f>
        <v/>
      </c>
      <c r="F5166">
        <f>Prices!F5166</f>
        <v/>
      </c>
      <c r="G5166">
        <f>IF(AND(5164&gt;=16,TEXT(A5166,"yyyy-mm")&lt;&gt;TEXT(A5167,"yyyy-mm")),1,0)</f>
        <v/>
      </c>
      <c r="H5166">
        <f>IF(OR(H5165=1,G5166=1),1,0)</f>
        <v/>
      </c>
      <c r="I5166">
        <f>IF(H5165=0,1,SUMPRODUCT(J5165:N5165,B5166:F5166)+O5165*(1+0.00023125256064071564))</f>
        <v/>
      </c>
      <c r="J5166">
        <f>IF(G5166=1,0.2*R5166/B5166,J5165)</f>
        <v/>
      </c>
      <c r="K5166">
        <f>IF(G5166=1,0.2*R5166/C5166,K5165)</f>
        <v/>
      </c>
      <c r="L5166">
        <f>IF(G5166=1,0.2*R5166/D5166,L5165)</f>
        <v/>
      </c>
      <c r="M5166">
        <f>IF(G5166=1,0.2*R5166/E5166,M5165)</f>
        <v/>
      </c>
      <c r="N5166">
        <f>IF(G5166=1,0.2*R5166/F5166,N5165)</f>
        <v/>
      </c>
      <c r="O5166">
        <f>IF(G5166=1,R5166*(1-1.0),IF(H5165=0,1,O5165*(1+0.00023125256064071564)))</f>
        <v/>
      </c>
      <c r="P5166">
        <f>IF(G5166=1,IF(H5165=0,1,ABS(0.2-J5165*B5166/I5166)+ABS(0.2-K5165*C5166/I5166)+ABS(0.2-L5165*D5166/I5166)+ABS(0.2-M5165*E5166/I5166)+ABS(0.2-N5165*F5166/I5166)),0)</f>
        <v/>
      </c>
      <c r="Q5166">
        <f>P5166*0.0015</f>
        <v/>
      </c>
      <c r="R5166">
        <f>I5166*(1-Q5166)</f>
        <v/>
      </c>
      <c r="S5166">
        <f>R5166/R5165-1</f>
        <v/>
      </c>
      <c r="T5166">
        <f>MAX(T5165,R5166)</f>
        <v/>
      </c>
      <c r="U5166">
        <f>R5166/T5166-1</f>
        <v/>
      </c>
      <c r="V5166" t="n">
        <v>28.53455107715929</v>
      </c>
      <c r="W5166" s="5">
        <f>R5166-V5166</f>
        <v/>
      </c>
    </row>
    <row r="5167">
      <c r="A5167" s="3" t="n">
        <v>46050</v>
      </c>
      <c r="B5167">
        <f>Prices!B5167</f>
        <v/>
      </c>
      <c r="C5167">
        <f>Prices!C5167</f>
        <v/>
      </c>
      <c r="D5167">
        <f>Prices!D5167</f>
        <v/>
      </c>
      <c r="E5167">
        <f>Prices!E5167</f>
        <v/>
      </c>
      <c r="F5167">
        <f>Prices!F5167</f>
        <v/>
      </c>
      <c r="G5167">
        <f>IF(AND(5165&gt;=16,TEXT(A5167,"yyyy-mm")&lt;&gt;TEXT(A5168,"yyyy-mm")),1,0)</f>
        <v/>
      </c>
      <c r="H5167">
        <f>IF(OR(H5166=1,G5167=1),1,0)</f>
        <v/>
      </c>
      <c r="I5167">
        <f>IF(H5166=0,1,SUMPRODUCT(J5166:N5166,B5167:F5167)+O5166*(1+0.00023125256064071564))</f>
        <v/>
      </c>
      <c r="J5167">
        <f>IF(G5167=1,0.2*R5167/B5167,J5166)</f>
        <v/>
      </c>
      <c r="K5167">
        <f>IF(G5167=1,0.2*R5167/C5167,K5166)</f>
        <v/>
      </c>
      <c r="L5167">
        <f>IF(G5167=1,0.2*R5167/D5167,L5166)</f>
        <v/>
      </c>
      <c r="M5167">
        <f>IF(G5167=1,0.2*R5167/E5167,M5166)</f>
        <v/>
      </c>
      <c r="N5167">
        <f>IF(G5167=1,0.2*R5167/F5167,N5166)</f>
        <v/>
      </c>
      <c r="O5167">
        <f>IF(G5167=1,R5167*(1-1.0),IF(H5166=0,1,O5166*(1+0.00023125256064071564)))</f>
        <v/>
      </c>
      <c r="P5167">
        <f>IF(G5167=1,IF(H5166=0,1,ABS(0.2-J5166*B5167/I5167)+ABS(0.2-K5166*C5167/I5167)+ABS(0.2-L5166*D5167/I5167)+ABS(0.2-M5166*E5167/I5167)+ABS(0.2-N5166*F5167/I5167)),0)</f>
        <v/>
      </c>
      <c r="Q5167">
        <f>P5167*0.0015</f>
        <v/>
      </c>
      <c r="R5167">
        <f>I5167*(1-Q5167)</f>
        <v/>
      </c>
      <c r="S5167">
        <f>R5167/R5166-1</f>
        <v/>
      </c>
      <c r="T5167">
        <f>MAX(T5166,R5167)</f>
        <v/>
      </c>
      <c r="U5167">
        <f>R5167/T5167-1</f>
        <v/>
      </c>
      <c r="V5167" t="n">
        <v>29.03657087760966</v>
      </c>
      <c r="W5167" s="5">
        <f>R5167-V5167</f>
        <v/>
      </c>
    </row>
    <row r="5168">
      <c r="A5168" s="3" t="n">
        <v>46051</v>
      </c>
      <c r="B5168">
        <f>Prices!B5168</f>
        <v/>
      </c>
      <c r="C5168">
        <f>Prices!C5168</f>
        <v/>
      </c>
      <c r="D5168">
        <f>Prices!D5168</f>
        <v/>
      </c>
      <c r="E5168">
        <f>Prices!E5168</f>
        <v/>
      </c>
      <c r="F5168">
        <f>Prices!F5168</f>
        <v/>
      </c>
      <c r="G5168">
        <f>IF(AND(5166&gt;=16,TEXT(A5168,"yyyy-mm")&lt;&gt;TEXT(A5169,"yyyy-mm")),1,0)</f>
        <v/>
      </c>
      <c r="H5168">
        <f>IF(OR(H5167=1,G5168=1),1,0)</f>
        <v/>
      </c>
      <c r="I5168">
        <f>IF(H5167=0,1,SUMPRODUCT(J5167:N5167,B5168:F5168)+O5167*(1+0.00023125256064071564))</f>
        <v/>
      </c>
      <c r="J5168">
        <f>IF(G5168=1,0.2*R5168/B5168,J5167)</f>
        <v/>
      </c>
      <c r="K5168">
        <f>IF(G5168=1,0.2*R5168/C5168,K5167)</f>
        <v/>
      </c>
      <c r="L5168">
        <f>IF(G5168=1,0.2*R5168/D5168,L5167)</f>
        <v/>
      </c>
      <c r="M5168">
        <f>IF(G5168=1,0.2*R5168/E5168,M5167)</f>
        <v/>
      </c>
      <c r="N5168">
        <f>IF(G5168=1,0.2*R5168/F5168,N5167)</f>
        <v/>
      </c>
      <c r="O5168">
        <f>IF(G5168=1,R5168*(1-1.0),IF(H5167=0,1,O5167*(1+0.00023125256064071564)))</f>
        <v/>
      </c>
      <c r="P5168">
        <f>IF(G5168=1,IF(H5167=0,1,ABS(0.2-J5167*B5168/I5168)+ABS(0.2-K5167*C5168/I5168)+ABS(0.2-L5167*D5168/I5168)+ABS(0.2-M5167*E5168/I5168)+ABS(0.2-N5167*F5168/I5168)),0)</f>
        <v/>
      </c>
      <c r="Q5168">
        <f>P5168*0.0015</f>
        <v/>
      </c>
      <c r="R5168">
        <f>I5168*(1-Q5168)</f>
        <v/>
      </c>
      <c r="S5168">
        <f>R5168/R5167-1</f>
        <v/>
      </c>
      <c r="T5168">
        <f>MAX(T5167,R5168)</f>
        <v/>
      </c>
      <c r="U5168">
        <f>R5168/T5168-1</f>
        <v/>
      </c>
      <c r="V5168" t="n">
        <v>29.12522047743956</v>
      </c>
      <c r="W5168" s="5">
        <f>R5168-V5168</f>
        <v/>
      </c>
    </row>
    <row r="5169">
      <c r="A5169" s="3" t="n">
        <v>46052</v>
      </c>
      <c r="B5169">
        <f>Prices!B5169</f>
        <v/>
      </c>
      <c r="C5169">
        <f>Prices!C5169</f>
        <v/>
      </c>
      <c r="D5169">
        <f>Prices!D5169</f>
        <v/>
      </c>
      <c r="E5169">
        <f>Prices!E5169</f>
        <v/>
      </c>
      <c r="F5169">
        <f>Prices!F5169</f>
        <v/>
      </c>
      <c r="G5169">
        <f>IF(AND(5167&gt;=16,TEXT(A5169,"yyyy-mm")&lt;&gt;TEXT(A5170,"yyyy-mm")),1,0)</f>
        <v/>
      </c>
      <c r="H5169">
        <f>IF(OR(H5168=1,G5169=1),1,0)</f>
        <v/>
      </c>
      <c r="I5169">
        <f>IF(H5168=0,1,SUMPRODUCT(J5168:N5168,B5169:F5169)+O5168*(1+0.00023125256064071564))</f>
        <v/>
      </c>
      <c r="J5169">
        <f>IF(G5169=1,0.2*R5169/B5169,J5168)</f>
        <v/>
      </c>
      <c r="K5169">
        <f>IF(G5169=1,0.2*R5169/C5169,K5168)</f>
        <v/>
      </c>
      <c r="L5169">
        <f>IF(G5169=1,0.2*R5169/D5169,L5168)</f>
        <v/>
      </c>
      <c r="M5169">
        <f>IF(G5169=1,0.2*R5169/E5169,M5168)</f>
        <v/>
      </c>
      <c r="N5169">
        <f>IF(G5169=1,0.2*R5169/F5169,N5168)</f>
        <v/>
      </c>
      <c r="O5169">
        <f>IF(G5169=1,R5169*(1-1.0),IF(H5168=0,1,O5168*(1+0.00023125256064071564)))</f>
        <v/>
      </c>
      <c r="P5169">
        <f>IF(G5169=1,IF(H5168=0,1,ABS(0.2-J5168*B5169/I5169)+ABS(0.2-K5168*C5169/I5169)+ABS(0.2-L5168*D5169/I5169)+ABS(0.2-M5168*E5169/I5169)+ABS(0.2-N5168*F5169/I5169)),0)</f>
        <v/>
      </c>
      <c r="Q5169">
        <f>P5169*0.0015</f>
        <v/>
      </c>
      <c r="R5169">
        <f>I5169*(1-Q5169)</f>
        <v/>
      </c>
      <c r="S5169">
        <f>R5169/R5168-1</f>
        <v/>
      </c>
      <c r="T5169">
        <f>MAX(T5168,R5169)</f>
        <v/>
      </c>
      <c r="U5169">
        <f>R5169/T5169-1</f>
        <v/>
      </c>
      <c r="V5169" t="n">
        <v>28.92863176022479</v>
      </c>
      <c r="W5169" s="5">
        <f>R5169-V5169</f>
        <v/>
      </c>
    </row>
    <row r="5170">
      <c r="A5170" s="3" t="n">
        <v>46054</v>
      </c>
      <c r="B5170">
        <f>Prices!B5170</f>
        <v/>
      </c>
      <c r="C5170">
        <f>Prices!C5170</f>
        <v/>
      </c>
      <c r="D5170">
        <f>Prices!D5170</f>
        <v/>
      </c>
      <c r="E5170">
        <f>Prices!E5170</f>
        <v/>
      </c>
      <c r="F5170">
        <f>Prices!F5170</f>
        <v/>
      </c>
      <c r="G5170">
        <f>IF(AND(5168&gt;=16,TEXT(A5170,"yyyy-mm")&lt;&gt;TEXT(A5171,"yyyy-mm")),1,0)</f>
        <v/>
      </c>
      <c r="H5170">
        <f>IF(OR(H5169=1,G5170=1),1,0)</f>
        <v/>
      </c>
      <c r="I5170">
        <f>IF(H5169=0,1,SUMPRODUCT(J5169:N5169,B5170:F5170)+O5169*(1+0.00023125256064071564))</f>
        <v/>
      </c>
      <c r="J5170">
        <f>IF(G5170=1,0.2*R5170/B5170,J5169)</f>
        <v/>
      </c>
      <c r="K5170">
        <f>IF(G5170=1,0.2*R5170/C5170,K5169)</f>
        <v/>
      </c>
      <c r="L5170">
        <f>IF(G5170=1,0.2*R5170/D5170,L5169)</f>
        <v/>
      </c>
      <c r="M5170">
        <f>IF(G5170=1,0.2*R5170/E5170,M5169)</f>
        <v/>
      </c>
      <c r="N5170">
        <f>IF(G5170=1,0.2*R5170/F5170,N5169)</f>
        <v/>
      </c>
      <c r="O5170">
        <f>IF(G5170=1,R5170*(1-1.0),IF(H5169=0,1,O5169*(1+0.00023125256064071564)))</f>
        <v/>
      </c>
      <c r="P5170">
        <f>IF(G5170=1,IF(H5169=0,1,ABS(0.2-J5169*B5170/I5170)+ABS(0.2-K5169*C5170/I5170)+ABS(0.2-L5169*D5170/I5170)+ABS(0.2-M5169*E5170/I5170)+ABS(0.2-N5169*F5170/I5170)),0)</f>
        <v/>
      </c>
      <c r="Q5170">
        <f>P5170*0.0015</f>
        <v/>
      </c>
      <c r="R5170">
        <f>I5170*(1-Q5170)</f>
        <v/>
      </c>
      <c r="S5170">
        <f>R5170/R5169-1</f>
        <v/>
      </c>
      <c r="T5170">
        <f>MAX(T5169,R5170)</f>
        <v/>
      </c>
      <c r="U5170">
        <f>R5170/T5170-1</f>
        <v/>
      </c>
      <c r="V5170" t="n">
        <v>28.14525101131475</v>
      </c>
      <c r="W5170" s="5">
        <f>R5170-V5170</f>
        <v/>
      </c>
    </row>
    <row r="5171">
      <c r="A5171" s="3" t="n">
        <v>46055</v>
      </c>
      <c r="B5171">
        <f>Prices!B5171</f>
        <v/>
      </c>
      <c r="C5171">
        <f>Prices!C5171</f>
        <v/>
      </c>
      <c r="D5171">
        <f>Prices!D5171</f>
        <v/>
      </c>
      <c r="E5171">
        <f>Prices!E5171</f>
        <v/>
      </c>
      <c r="F5171">
        <f>Prices!F5171</f>
        <v/>
      </c>
      <c r="G5171">
        <f>IF(AND(5169&gt;=16,TEXT(A5171,"yyyy-mm")&lt;&gt;TEXT(A5172,"yyyy-mm")),1,0)</f>
        <v/>
      </c>
      <c r="H5171">
        <f>IF(OR(H5170=1,G5171=1),1,0)</f>
        <v/>
      </c>
      <c r="I5171">
        <f>IF(H5170=0,1,SUMPRODUCT(J5170:N5170,B5171:F5171)+O5170*(1+0.00023125256064071564))</f>
        <v/>
      </c>
      <c r="J5171">
        <f>IF(G5171=1,0.2*R5171/B5171,J5170)</f>
        <v/>
      </c>
      <c r="K5171">
        <f>IF(G5171=1,0.2*R5171/C5171,K5170)</f>
        <v/>
      </c>
      <c r="L5171">
        <f>IF(G5171=1,0.2*R5171/D5171,L5170)</f>
        <v/>
      </c>
      <c r="M5171">
        <f>IF(G5171=1,0.2*R5171/E5171,M5170)</f>
        <v/>
      </c>
      <c r="N5171">
        <f>IF(G5171=1,0.2*R5171/F5171,N5170)</f>
        <v/>
      </c>
      <c r="O5171">
        <f>IF(G5171=1,R5171*(1-1.0),IF(H5170=0,1,O5170*(1+0.00023125256064071564)))</f>
        <v/>
      </c>
      <c r="P5171">
        <f>IF(G5171=1,IF(H5170=0,1,ABS(0.2-J5170*B5171/I5171)+ABS(0.2-K5170*C5171/I5171)+ABS(0.2-L5170*D5171/I5171)+ABS(0.2-M5170*E5171/I5171)+ABS(0.2-N5170*F5171/I5171)),0)</f>
        <v/>
      </c>
      <c r="Q5171">
        <f>P5171*0.0015</f>
        <v/>
      </c>
      <c r="R5171">
        <f>I5171*(1-Q5171)</f>
        <v/>
      </c>
      <c r="S5171">
        <f>R5171/R5170-1</f>
        <v/>
      </c>
      <c r="T5171">
        <f>MAX(T5170,R5171)</f>
        <v/>
      </c>
      <c r="U5171">
        <f>R5171/T5171-1</f>
        <v/>
      </c>
      <c r="V5171" t="n">
        <v>28.49971418388062</v>
      </c>
      <c r="W5171" s="5">
        <f>R5171-V5171</f>
        <v/>
      </c>
    </row>
    <row r="5172">
      <c r="A5172" s="3" t="n">
        <v>46056</v>
      </c>
      <c r="B5172">
        <f>Prices!B5172</f>
        <v/>
      </c>
      <c r="C5172">
        <f>Prices!C5172</f>
        <v/>
      </c>
      <c r="D5172">
        <f>Prices!D5172</f>
        <v/>
      </c>
      <c r="E5172">
        <f>Prices!E5172</f>
        <v/>
      </c>
      <c r="F5172">
        <f>Prices!F5172</f>
        <v/>
      </c>
      <c r="G5172">
        <f>IF(AND(5170&gt;=16,TEXT(A5172,"yyyy-mm")&lt;&gt;TEXT(A5173,"yyyy-mm")),1,0)</f>
        <v/>
      </c>
      <c r="H5172">
        <f>IF(OR(H5171=1,G5172=1),1,0)</f>
        <v/>
      </c>
      <c r="I5172">
        <f>IF(H5171=0,1,SUMPRODUCT(J5171:N5171,B5172:F5172)+O5171*(1+0.00023125256064071564))</f>
        <v/>
      </c>
      <c r="J5172">
        <f>IF(G5172=1,0.2*R5172/B5172,J5171)</f>
        <v/>
      </c>
      <c r="K5172">
        <f>IF(G5172=1,0.2*R5172/C5172,K5171)</f>
        <v/>
      </c>
      <c r="L5172">
        <f>IF(G5172=1,0.2*R5172/D5172,L5171)</f>
        <v/>
      </c>
      <c r="M5172">
        <f>IF(G5172=1,0.2*R5172/E5172,M5171)</f>
        <v/>
      </c>
      <c r="N5172">
        <f>IF(G5172=1,0.2*R5172/F5172,N5171)</f>
        <v/>
      </c>
      <c r="O5172">
        <f>IF(G5172=1,R5172*(1-1.0),IF(H5171=0,1,O5171*(1+0.00023125256064071564)))</f>
        <v/>
      </c>
      <c r="P5172">
        <f>IF(G5172=1,IF(H5171=0,1,ABS(0.2-J5171*B5172/I5172)+ABS(0.2-K5171*C5172/I5172)+ABS(0.2-L5171*D5172/I5172)+ABS(0.2-M5171*E5172/I5172)+ABS(0.2-N5171*F5172/I5172)),0)</f>
        <v/>
      </c>
      <c r="Q5172">
        <f>P5172*0.0015</f>
        <v/>
      </c>
      <c r="R5172">
        <f>I5172*(1-Q5172)</f>
        <v/>
      </c>
      <c r="S5172">
        <f>R5172/R5171-1</f>
        <v/>
      </c>
      <c r="T5172">
        <f>MAX(T5171,R5172)</f>
        <v/>
      </c>
      <c r="U5172">
        <f>R5172/T5172-1</f>
        <v/>
      </c>
      <c r="V5172" t="n">
        <v>29.26137697919215</v>
      </c>
      <c r="W5172" s="5">
        <f>R5172-V5172</f>
        <v/>
      </c>
    </row>
    <row r="5173">
      <c r="A5173" s="3" t="n">
        <v>46057</v>
      </c>
      <c r="B5173">
        <f>Prices!B5173</f>
        <v/>
      </c>
      <c r="C5173">
        <f>Prices!C5173</f>
        <v/>
      </c>
      <c r="D5173">
        <f>Prices!D5173</f>
        <v/>
      </c>
      <c r="E5173">
        <f>Prices!E5173</f>
        <v/>
      </c>
      <c r="F5173">
        <f>Prices!F5173</f>
        <v/>
      </c>
      <c r="G5173">
        <f>IF(AND(5171&gt;=16,TEXT(A5173,"yyyy-mm")&lt;&gt;TEXT(A5174,"yyyy-mm")),1,0)</f>
        <v/>
      </c>
      <c r="H5173">
        <f>IF(OR(H5172=1,G5173=1),1,0)</f>
        <v/>
      </c>
      <c r="I5173">
        <f>IF(H5172=0,1,SUMPRODUCT(J5172:N5172,B5173:F5173)+O5172*(1+0.00023125256064071564))</f>
        <v/>
      </c>
      <c r="J5173">
        <f>IF(G5173=1,0.2*R5173/B5173,J5172)</f>
        <v/>
      </c>
      <c r="K5173">
        <f>IF(G5173=1,0.2*R5173/C5173,K5172)</f>
        <v/>
      </c>
      <c r="L5173">
        <f>IF(G5173=1,0.2*R5173/D5173,L5172)</f>
        <v/>
      </c>
      <c r="M5173">
        <f>IF(G5173=1,0.2*R5173/E5173,M5172)</f>
        <v/>
      </c>
      <c r="N5173">
        <f>IF(G5173=1,0.2*R5173/F5173,N5172)</f>
        <v/>
      </c>
      <c r="O5173">
        <f>IF(G5173=1,R5173*(1-1.0),IF(H5172=0,1,O5172*(1+0.00023125256064071564)))</f>
        <v/>
      </c>
      <c r="P5173">
        <f>IF(G5173=1,IF(H5172=0,1,ABS(0.2-J5172*B5173/I5173)+ABS(0.2-K5172*C5173/I5173)+ABS(0.2-L5172*D5173/I5173)+ABS(0.2-M5172*E5173/I5173)+ABS(0.2-N5172*F5173/I5173)),0)</f>
        <v/>
      </c>
      <c r="Q5173">
        <f>P5173*0.0015</f>
        <v/>
      </c>
      <c r="R5173">
        <f>I5173*(1-Q5173)</f>
        <v/>
      </c>
      <c r="S5173">
        <f>R5173/R5172-1</f>
        <v/>
      </c>
      <c r="T5173">
        <f>MAX(T5172,R5173)</f>
        <v/>
      </c>
      <c r="U5173">
        <f>R5173/T5173-1</f>
        <v/>
      </c>
      <c r="V5173" t="n">
        <v>29.49153655531726</v>
      </c>
      <c r="W5173" s="5">
        <f>R5173-V5173</f>
        <v/>
      </c>
    </row>
    <row r="5174">
      <c r="A5174" s="3" t="n">
        <v>46058</v>
      </c>
      <c r="B5174">
        <f>Prices!B5174</f>
        <v/>
      </c>
      <c r="C5174">
        <f>Prices!C5174</f>
        <v/>
      </c>
      <c r="D5174">
        <f>Prices!D5174</f>
        <v/>
      </c>
      <c r="E5174">
        <f>Prices!E5174</f>
        <v/>
      </c>
      <c r="F5174">
        <f>Prices!F5174</f>
        <v/>
      </c>
      <c r="G5174">
        <f>IF(AND(5172&gt;=16,TEXT(A5174,"yyyy-mm")&lt;&gt;TEXT(A5175,"yyyy-mm")),1,0)</f>
        <v/>
      </c>
      <c r="H5174">
        <f>IF(OR(H5173=1,G5174=1),1,0)</f>
        <v/>
      </c>
      <c r="I5174">
        <f>IF(H5173=0,1,SUMPRODUCT(J5173:N5173,B5174:F5174)+O5173*(1+0.00023125256064071564))</f>
        <v/>
      </c>
      <c r="J5174">
        <f>IF(G5174=1,0.2*R5174/B5174,J5173)</f>
        <v/>
      </c>
      <c r="K5174">
        <f>IF(G5174=1,0.2*R5174/C5174,K5173)</f>
        <v/>
      </c>
      <c r="L5174">
        <f>IF(G5174=1,0.2*R5174/D5174,L5173)</f>
        <v/>
      </c>
      <c r="M5174">
        <f>IF(G5174=1,0.2*R5174/E5174,M5173)</f>
        <v/>
      </c>
      <c r="N5174">
        <f>IF(G5174=1,0.2*R5174/F5174,N5173)</f>
        <v/>
      </c>
      <c r="O5174">
        <f>IF(G5174=1,R5174*(1-1.0),IF(H5173=0,1,O5173*(1+0.00023125256064071564)))</f>
        <v/>
      </c>
      <c r="P5174">
        <f>IF(G5174=1,IF(H5173=0,1,ABS(0.2-J5173*B5174/I5174)+ABS(0.2-K5173*C5174/I5174)+ABS(0.2-L5173*D5174/I5174)+ABS(0.2-M5173*E5174/I5174)+ABS(0.2-N5173*F5174/I5174)),0)</f>
        <v/>
      </c>
      <c r="Q5174">
        <f>P5174*0.0015</f>
        <v/>
      </c>
      <c r="R5174">
        <f>I5174*(1-Q5174)</f>
        <v/>
      </c>
      <c r="S5174">
        <f>R5174/R5173-1</f>
        <v/>
      </c>
      <c r="T5174">
        <f>MAX(T5173,R5174)</f>
        <v/>
      </c>
      <c r="U5174">
        <f>R5174/T5174-1</f>
        <v/>
      </c>
      <c r="V5174" t="n">
        <v>29.34123190898115</v>
      </c>
      <c r="W5174" s="5">
        <f>R5174-V5174</f>
        <v/>
      </c>
    </row>
    <row r="5175">
      <c r="A5175" s="3" t="n">
        <v>46059</v>
      </c>
      <c r="B5175">
        <f>Prices!B5175</f>
        <v/>
      </c>
      <c r="C5175">
        <f>Prices!C5175</f>
        <v/>
      </c>
      <c r="D5175">
        <f>Prices!D5175</f>
        <v/>
      </c>
      <c r="E5175">
        <f>Prices!E5175</f>
        <v/>
      </c>
      <c r="F5175">
        <f>Prices!F5175</f>
        <v/>
      </c>
      <c r="G5175">
        <f>IF(AND(5173&gt;=16,TEXT(A5175,"yyyy-mm")&lt;&gt;TEXT(A5176,"yyyy-mm")),1,0)</f>
        <v/>
      </c>
      <c r="H5175">
        <f>IF(OR(H5174=1,G5175=1),1,0)</f>
        <v/>
      </c>
      <c r="I5175">
        <f>IF(H5174=0,1,SUMPRODUCT(J5174:N5174,B5175:F5175)+O5174*(1+0.00023125256064071564))</f>
        <v/>
      </c>
      <c r="J5175">
        <f>IF(G5175=1,0.2*R5175/B5175,J5174)</f>
        <v/>
      </c>
      <c r="K5175">
        <f>IF(G5175=1,0.2*R5175/C5175,K5174)</f>
        <v/>
      </c>
      <c r="L5175">
        <f>IF(G5175=1,0.2*R5175/D5175,L5174)</f>
        <v/>
      </c>
      <c r="M5175">
        <f>IF(G5175=1,0.2*R5175/E5175,M5174)</f>
        <v/>
      </c>
      <c r="N5175">
        <f>IF(G5175=1,0.2*R5175/F5175,N5174)</f>
        <v/>
      </c>
      <c r="O5175">
        <f>IF(G5175=1,R5175*(1-1.0),IF(H5174=0,1,O5174*(1+0.00023125256064071564)))</f>
        <v/>
      </c>
      <c r="P5175">
        <f>IF(G5175=1,IF(H5174=0,1,ABS(0.2-J5174*B5175/I5175)+ABS(0.2-K5174*C5175/I5175)+ABS(0.2-L5174*D5175/I5175)+ABS(0.2-M5174*E5175/I5175)+ABS(0.2-N5174*F5175/I5175)),0)</f>
        <v/>
      </c>
      <c r="Q5175">
        <f>P5175*0.0015</f>
        <v/>
      </c>
      <c r="R5175">
        <f>I5175*(1-Q5175)</f>
        <v/>
      </c>
      <c r="S5175">
        <f>R5175/R5174-1</f>
        <v/>
      </c>
      <c r="T5175">
        <f>MAX(T5174,R5175)</f>
        <v/>
      </c>
      <c r="U5175">
        <f>R5175/T5175-1</f>
        <v/>
      </c>
      <c r="V5175" t="n">
        <v>29.41720496995983</v>
      </c>
      <c r="W5175" s="5">
        <f>R5175-V5175</f>
        <v/>
      </c>
    </row>
    <row r="5176">
      <c r="A5176" s="3" t="n">
        <v>46062</v>
      </c>
      <c r="B5176">
        <f>Prices!B5176</f>
        <v/>
      </c>
      <c r="C5176">
        <f>Prices!C5176</f>
        <v/>
      </c>
      <c r="D5176">
        <f>Prices!D5176</f>
        <v/>
      </c>
      <c r="E5176">
        <f>Prices!E5176</f>
        <v/>
      </c>
      <c r="F5176">
        <f>Prices!F5176</f>
        <v/>
      </c>
      <c r="G5176">
        <f>IF(AND(5174&gt;=16,TEXT(A5176,"yyyy-mm")&lt;&gt;TEXT(A5177,"yyyy-mm")),1,0)</f>
        <v/>
      </c>
      <c r="H5176">
        <f>IF(OR(H5175=1,G5176=1),1,0)</f>
        <v/>
      </c>
      <c r="I5176">
        <f>IF(H5175=0,1,SUMPRODUCT(J5175:N5175,B5176:F5176)+O5175*(1+0.00023125256064071564))</f>
        <v/>
      </c>
      <c r="J5176">
        <f>IF(G5176=1,0.2*R5176/B5176,J5175)</f>
        <v/>
      </c>
      <c r="K5176">
        <f>IF(G5176=1,0.2*R5176/C5176,K5175)</f>
        <v/>
      </c>
      <c r="L5176">
        <f>IF(G5176=1,0.2*R5176/D5176,L5175)</f>
        <v/>
      </c>
      <c r="M5176">
        <f>IF(G5176=1,0.2*R5176/E5176,M5175)</f>
        <v/>
      </c>
      <c r="N5176">
        <f>IF(G5176=1,0.2*R5176/F5176,N5175)</f>
        <v/>
      </c>
      <c r="O5176">
        <f>IF(G5176=1,R5176*(1-1.0),IF(H5175=0,1,O5175*(1+0.00023125256064071564)))</f>
        <v/>
      </c>
      <c r="P5176">
        <f>IF(G5176=1,IF(H5175=0,1,ABS(0.2-J5175*B5176/I5176)+ABS(0.2-K5175*C5176/I5176)+ABS(0.2-L5175*D5176/I5176)+ABS(0.2-M5175*E5176/I5176)+ABS(0.2-N5175*F5176/I5176)),0)</f>
        <v/>
      </c>
      <c r="Q5176">
        <f>P5176*0.0015</f>
        <v/>
      </c>
      <c r="R5176">
        <f>I5176*(1-Q5176)</f>
        <v/>
      </c>
      <c r="S5176">
        <f>R5176/R5175-1</f>
        <v/>
      </c>
      <c r="T5176">
        <f>MAX(T5175,R5176)</f>
        <v/>
      </c>
      <c r="U5176">
        <f>R5176/T5176-1</f>
        <v/>
      </c>
      <c r="V5176" t="n">
        <v>29.79388844891935</v>
      </c>
      <c r="W5176" s="5">
        <f>R5176-V5176</f>
        <v/>
      </c>
    </row>
    <row r="5177">
      <c r="A5177" s="3" t="n">
        <v>46063</v>
      </c>
      <c r="B5177">
        <f>Prices!B5177</f>
        <v/>
      </c>
      <c r="C5177">
        <f>Prices!C5177</f>
        <v/>
      </c>
      <c r="D5177">
        <f>Prices!D5177</f>
        <v/>
      </c>
      <c r="E5177">
        <f>Prices!E5177</f>
        <v/>
      </c>
      <c r="F5177">
        <f>Prices!F5177</f>
        <v/>
      </c>
      <c r="G5177">
        <f>IF(AND(5175&gt;=16,TEXT(A5177,"yyyy-mm")&lt;&gt;TEXT(A5178,"yyyy-mm")),1,0)</f>
        <v/>
      </c>
      <c r="H5177">
        <f>IF(OR(H5176=1,G5177=1),1,0)</f>
        <v/>
      </c>
      <c r="I5177">
        <f>IF(H5176=0,1,SUMPRODUCT(J5176:N5176,B5177:F5177)+O5176*(1+0.00023125256064071564))</f>
        <v/>
      </c>
      <c r="J5177">
        <f>IF(G5177=1,0.2*R5177/B5177,J5176)</f>
        <v/>
      </c>
      <c r="K5177">
        <f>IF(G5177=1,0.2*R5177/C5177,K5176)</f>
        <v/>
      </c>
      <c r="L5177">
        <f>IF(G5177=1,0.2*R5177/D5177,L5176)</f>
        <v/>
      </c>
      <c r="M5177">
        <f>IF(G5177=1,0.2*R5177/E5177,M5176)</f>
        <v/>
      </c>
      <c r="N5177">
        <f>IF(G5177=1,0.2*R5177/F5177,N5176)</f>
        <v/>
      </c>
      <c r="O5177">
        <f>IF(G5177=1,R5177*(1-1.0),IF(H5176=0,1,O5176*(1+0.00023125256064071564)))</f>
        <v/>
      </c>
      <c r="P5177">
        <f>IF(G5177=1,IF(H5176=0,1,ABS(0.2-J5176*B5177/I5177)+ABS(0.2-K5176*C5177/I5177)+ABS(0.2-L5176*D5177/I5177)+ABS(0.2-M5176*E5177/I5177)+ABS(0.2-N5176*F5177/I5177)),0)</f>
        <v/>
      </c>
      <c r="Q5177">
        <f>P5177*0.0015</f>
        <v/>
      </c>
      <c r="R5177">
        <f>I5177*(1-Q5177)</f>
        <v/>
      </c>
      <c r="S5177">
        <f>R5177/R5176-1</f>
        <v/>
      </c>
      <c r="T5177">
        <f>MAX(T5176,R5177)</f>
        <v/>
      </c>
      <c r="U5177">
        <f>R5177/T5177-1</f>
        <v/>
      </c>
      <c r="V5177" t="n">
        <v>29.90853175304621</v>
      </c>
      <c r="W5177" s="5">
        <f>R5177-V5177</f>
        <v/>
      </c>
    </row>
    <row r="5178">
      <c r="A5178" s="3" t="n">
        <v>46064</v>
      </c>
      <c r="B5178">
        <f>Prices!B5178</f>
        <v/>
      </c>
      <c r="C5178">
        <f>Prices!C5178</f>
        <v/>
      </c>
      <c r="D5178">
        <f>Prices!D5178</f>
        <v/>
      </c>
      <c r="E5178">
        <f>Prices!E5178</f>
        <v/>
      </c>
      <c r="F5178">
        <f>Prices!F5178</f>
        <v/>
      </c>
      <c r="G5178">
        <f>IF(AND(5176&gt;=16,TEXT(A5178,"yyyy-mm")&lt;&gt;TEXT(A5179,"yyyy-mm")),1,0)</f>
        <v/>
      </c>
      <c r="H5178">
        <f>IF(OR(H5177=1,G5178=1),1,0)</f>
        <v/>
      </c>
      <c r="I5178">
        <f>IF(H5177=0,1,SUMPRODUCT(J5177:N5177,B5178:F5178)+O5177*(1+0.00023125256064071564))</f>
        <v/>
      </c>
      <c r="J5178">
        <f>IF(G5178=1,0.2*R5178/B5178,J5177)</f>
        <v/>
      </c>
      <c r="K5178">
        <f>IF(G5178=1,0.2*R5178/C5178,K5177)</f>
        <v/>
      </c>
      <c r="L5178">
        <f>IF(G5178=1,0.2*R5178/D5178,L5177)</f>
        <v/>
      </c>
      <c r="M5178">
        <f>IF(G5178=1,0.2*R5178/E5178,M5177)</f>
        <v/>
      </c>
      <c r="N5178">
        <f>IF(G5178=1,0.2*R5178/F5178,N5177)</f>
        <v/>
      </c>
      <c r="O5178">
        <f>IF(G5178=1,R5178*(1-1.0),IF(H5177=0,1,O5177*(1+0.00023125256064071564)))</f>
        <v/>
      </c>
      <c r="P5178">
        <f>IF(G5178=1,IF(H5177=0,1,ABS(0.2-J5177*B5178/I5178)+ABS(0.2-K5177*C5178/I5178)+ABS(0.2-L5177*D5178/I5178)+ABS(0.2-M5177*E5178/I5178)+ABS(0.2-N5177*F5178/I5178)),0)</f>
        <v/>
      </c>
      <c r="Q5178">
        <f>P5178*0.0015</f>
        <v/>
      </c>
      <c r="R5178">
        <f>I5178*(1-Q5178)</f>
        <v/>
      </c>
      <c r="S5178">
        <f>R5178/R5177-1</f>
        <v/>
      </c>
      <c r="T5178">
        <f>MAX(T5177,R5178)</f>
        <v/>
      </c>
      <c r="U5178">
        <f>R5178/T5178-1</f>
        <v/>
      </c>
      <c r="V5178" t="n">
        <v>30.0289940036322</v>
      </c>
      <c r="W5178" s="5">
        <f>R5178-V5178</f>
        <v/>
      </c>
    </row>
    <row r="5179">
      <c r="A5179" s="3" t="n">
        <v>46065</v>
      </c>
      <c r="B5179">
        <f>Prices!B5179</f>
        <v/>
      </c>
      <c r="C5179">
        <f>Prices!C5179</f>
        <v/>
      </c>
      <c r="D5179">
        <f>Prices!D5179</f>
        <v/>
      </c>
      <c r="E5179">
        <f>Prices!E5179</f>
        <v/>
      </c>
      <c r="F5179">
        <f>Prices!F5179</f>
        <v/>
      </c>
      <c r="G5179">
        <f>IF(AND(5177&gt;=16,TEXT(A5179,"yyyy-mm")&lt;&gt;TEXT(A5180,"yyyy-mm")),1,0)</f>
        <v/>
      </c>
      <c r="H5179">
        <f>IF(OR(H5178=1,G5179=1),1,0)</f>
        <v/>
      </c>
      <c r="I5179">
        <f>IF(H5178=0,1,SUMPRODUCT(J5178:N5178,B5179:F5179)+O5178*(1+0.00023125256064071564))</f>
        <v/>
      </c>
      <c r="J5179">
        <f>IF(G5179=1,0.2*R5179/B5179,J5178)</f>
        <v/>
      </c>
      <c r="K5179">
        <f>IF(G5179=1,0.2*R5179/C5179,K5178)</f>
        <v/>
      </c>
      <c r="L5179">
        <f>IF(G5179=1,0.2*R5179/D5179,L5178)</f>
        <v/>
      </c>
      <c r="M5179">
        <f>IF(G5179=1,0.2*R5179/E5179,M5178)</f>
        <v/>
      </c>
      <c r="N5179">
        <f>IF(G5179=1,0.2*R5179/F5179,N5178)</f>
        <v/>
      </c>
      <c r="O5179">
        <f>IF(G5179=1,R5179*(1-1.0),IF(H5178=0,1,O5178*(1+0.00023125256064071564)))</f>
        <v/>
      </c>
      <c r="P5179">
        <f>IF(G5179=1,IF(H5178=0,1,ABS(0.2-J5178*B5179/I5179)+ABS(0.2-K5178*C5179/I5179)+ABS(0.2-L5178*D5179/I5179)+ABS(0.2-M5178*E5179/I5179)+ABS(0.2-N5178*F5179/I5179)),0)</f>
        <v/>
      </c>
      <c r="Q5179">
        <f>P5179*0.0015</f>
        <v/>
      </c>
      <c r="R5179">
        <f>I5179*(1-Q5179)</f>
        <v/>
      </c>
      <c r="S5179">
        <f>R5179/R5178-1</f>
        <v/>
      </c>
      <c r="T5179">
        <f>MAX(T5178,R5179)</f>
        <v/>
      </c>
      <c r="U5179">
        <f>R5179/T5179-1</f>
        <v/>
      </c>
      <c r="V5179" t="n">
        <v>29.975883244942</v>
      </c>
      <c r="W5179" s="5">
        <f>R5179-V5179</f>
        <v/>
      </c>
    </row>
    <row r="5180">
      <c r="A5180" s="3" t="n">
        <v>46066</v>
      </c>
      <c r="B5180">
        <f>Prices!B5180</f>
        <v/>
      </c>
      <c r="C5180">
        <f>Prices!C5180</f>
        <v/>
      </c>
      <c r="D5180">
        <f>Prices!D5180</f>
        <v/>
      </c>
      <c r="E5180">
        <f>Prices!E5180</f>
        <v/>
      </c>
      <c r="F5180">
        <f>Prices!F5180</f>
        <v/>
      </c>
      <c r="G5180">
        <f>IF(AND(5178&gt;=16,TEXT(A5180,"yyyy-mm")&lt;&gt;TEXT(A5181,"yyyy-mm")),1,0)</f>
        <v/>
      </c>
      <c r="H5180">
        <f>IF(OR(H5179=1,G5180=1),1,0)</f>
        <v/>
      </c>
      <c r="I5180">
        <f>IF(H5179=0,1,SUMPRODUCT(J5179:N5179,B5180:F5180)+O5179*(1+0.00023125256064071564))</f>
        <v/>
      </c>
      <c r="J5180">
        <f>IF(G5180=1,0.2*R5180/B5180,J5179)</f>
        <v/>
      </c>
      <c r="K5180">
        <f>IF(G5180=1,0.2*R5180/C5180,K5179)</f>
        <v/>
      </c>
      <c r="L5180">
        <f>IF(G5180=1,0.2*R5180/D5180,L5179)</f>
        <v/>
      </c>
      <c r="M5180">
        <f>IF(G5180=1,0.2*R5180/E5180,M5179)</f>
        <v/>
      </c>
      <c r="N5180">
        <f>IF(G5180=1,0.2*R5180/F5180,N5179)</f>
        <v/>
      </c>
      <c r="O5180">
        <f>IF(G5180=1,R5180*(1-1.0),IF(H5179=0,1,O5179*(1+0.00023125256064071564)))</f>
        <v/>
      </c>
      <c r="P5180">
        <f>IF(G5180=1,IF(H5179=0,1,ABS(0.2-J5179*B5180/I5180)+ABS(0.2-K5179*C5180/I5180)+ABS(0.2-L5179*D5180/I5180)+ABS(0.2-M5179*E5180/I5180)+ABS(0.2-N5179*F5180/I5180)),0)</f>
        <v/>
      </c>
      <c r="Q5180">
        <f>P5180*0.0015</f>
        <v/>
      </c>
      <c r="R5180">
        <f>I5180*(1-Q5180)</f>
        <v/>
      </c>
      <c r="S5180">
        <f>R5180/R5179-1</f>
        <v/>
      </c>
      <c r="T5180">
        <f>MAX(T5179,R5180)</f>
        <v/>
      </c>
      <c r="U5180">
        <f>R5180/T5180-1</f>
        <v/>
      </c>
      <c r="V5180" t="n">
        <v>29.46185964569943</v>
      </c>
      <c r="W5180" s="5">
        <f>R5180-V5180</f>
        <v/>
      </c>
    </row>
    <row r="5181">
      <c r="A5181" s="3" t="n">
        <v>46069</v>
      </c>
      <c r="B5181">
        <f>Prices!B5181</f>
        <v/>
      </c>
      <c r="C5181">
        <f>Prices!C5181</f>
        <v/>
      </c>
      <c r="D5181">
        <f>Prices!D5181</f>
        <v/>
      </c>
      <c r="E5181">
        <f>Prices!E5181</f>
        <v/>
      </c>
      <c r="F5181">
        <f>Prices!F5181</f>
        <v/>
      </c>
      <c r="G5181">
        <f>IF(AND(5179&gt;=16,TEXT(A5181,"yyyy-mm")&lt;&gt;TEXT(A5182,"yyyy-mm")),1,0)</f>
        <v/>
      </c>
      <c r="H5181">
        <f>IF(OR(H5180=1,G5181=1),1,0)</f>
        <v/>
      </c>
      <c r="I5181">
        <f>IF(H5180=0,1,SUMPRODUCT(J5180:N5180,B5181:F5181)+O5180*(1+0.00023125256064071564))</f>
        <v/>
      </c>
      <c r="J5181">
        <f>IF(G5181=1,0.2*R5181/B5181,J5180)</f>
        <v/>
      </c>
      <c r="K5181">
        <f>IF(G5181=1,0.2*R5181/C5181,K5180)</f>
        <v/>
      </c>
      <c r="L5181">
        <f>IF(G5181=1,0.2*R5181/D5181,L5180)</f>
        <v/>
      </c>
      <c r="M5181">
        <f>IF(G5181=1,0.2*R5181/E5181,M5180)</f>
        <v/>
      </c>
      <c r="N5181">
        <f>IF(G5181=1,0.2*R5181/F5181,N5180)</f>
        <v/>
      </c>
      <c r="O5181">
        <f>IF(G5181=1,R5181*(1-1.0),IF(H5180=0,1,O5180*(1+0.00023125256064071564)))</f>
        <v/>
      </c>
      <c r="P5181">
        <f>IF(G5181=1,IF(H5180=0,1,ABS(0.2-J5180*B5181/I5181)+ABS(0.2-K5180*C5181/I5181)+ABS(0.2-L5180*D5181/I5181)+ABS(0.2-M5180*E5181/I5181)+ABS(0.2-N5180*F5181/I5181)),0)</f>
        <v/>
      </c>
      <c r="Q5181">
        <f>P5181*0.0015</f>
        <v/>
      </c>
      <c r="R5181">
        <f>I5181*(1-Q5181)</f>
        <v/>
      </c>
      <c r="S5181">
        <f>R5181/R5180-1</f>
        <v/>
      </c>
      <c r="T5181">
        <f>MAX(T5180,R5181)</f>
        <v/>
      </c>
      <c r="U5181">
        <f>R5181/T5181-1</f>
        <v/>
      </c>
      <c r="V5181" t="n">
        <v>29.6198274812634</v>
      </c>
      <c r="W5181" s="5">
        <f>R5181-V5181</f>
        <v/>
      </c>
    </row>
    <row r="5182">
      <c r="A5182" s="3" t="n">
        <v>46070</v>
      </c>
      <c r="B5182">
        <f>Prices!B5182</f>
        <v/>
      </c>
      <c r="C5182">
        <f>Prices!C5182</f>
        <v/>
      </c>
      <c r="D5182">
        <f>Prices!D5182</f>
        <v/>
      </c>
      <c r="E5182">
        <f>Prices!E5182</f>
        <v/>
      </c>
      <c r="F5182">
        <f>Prices!F5182</f>
        <v/>
      </c>
      <c r="G5182">
        <f>IF(AND(5180&gt;=16,TEXT(A5182,"yyyy-mm")&lt;&gt;TEXT(A5183,"yyyy-mm")),1,0)</f>
        <v/>
      </c>
      <c r="H5182">
        <f>IF(OR(H5181=1,G5182=1),1,0)</f>
        <v/>
      </c>
      <c r="I5182">
        <f>IF(H5181=0,1,SUMPRODUCT(J5181:N5181,B5182:F5182)+O5181*(1+0.00023125256064071564))</f>
        <v/>
      </c>
      <c r="J5182">
        <f>IF(G5182=1,0.2*R5182/B5182,J5181)</f>
        <v/>
      </c>
      <c r="K5182">
        <f>IF(G5182=1,0.2*R5182/C5182,K5181)</f>
        <v/>
      </c>
      <c r="L5182">
        <f>IF(G5182=1,0.2*R5182/D5182,L5181)</f>
        <v/>
      </c>
      <c r="M5182">
        <f>IF(G5182=1,0.2*R5182/E5182,M5181)</f>
        <v/>
      </c>
      <c r="N5182">
        <f>IF(G5182=1,0.2*R5182/F5182,N5181)</f>
        <v/>
      </c>
      <c r="O5182">
        <f>IF(G5182=1,R5182*(1-1.0),IF(H5181=0,1,O5181*(1+0.00023125256064071564)))</f>
        <v/>
      </c>
      <c r="P5182">
        <f>IF(G5182=1,IF(H5181=0,1,ABS(0.2-J5181*B5182/I5182)+ABS(0.2-K5181*C5182/I5182)+ABS(0.2-L5181*D5182/I5182)+ABS(0.2-M5181*E5182/I5182)+ABS(0.2-N5181*F5182/I5182)),0)</f>
        <v/>
      </c>
      <c r="Q5182">
        <f>P5182*0.0015</f>
        <v/>
      </c>
      <c r="R5182">
        <f>I5182*(1-Q5182)</f>
        <v/>
      </c>
      <c r="S5182">
        <f>R5182/R5181-1</f>
        <v/>
      </c>
      <c r="T5182">
        <f>MAX(T5181,R5182)</f>
        <v/>
      </c>
      <c r="U5182">
        <f>R5182/T5182-1</f>
        <v/>
      </c>
      <c r="V5182" t="n">
        <v>29.74331356547226</v>
      </c>
      <c r="W5182" s="5">
        <f>R5182-V5182</f>
        <v/>
      </c>
    </row>
    <row r="5183">
      <c r="A5183" s="3" t="n">
        <v>46071</v>
      </c>
      <c r="B5183">
        <f>Prices!B5183</f>
        <v/>
      </c>
      <c r="C5183">
        <f>Prices!C5183</f>
        <v/>
      </c>
      <c r="D5183">
        <f>Prices!D5183</f>
        <v/>
      </c>
      <c r="E5183">
        <f>Prices!E5183</f>
        <v/>
      </c>
      <c r="F5183">
        <f>Prices!F5183</f>
        <v/>
      </c>
      <c r="G5183">
        <f>IF(AND(5181&gt;=16,TEXT(A5183,"yyyy-mm")&lt;&gt;TEXT(A5184,"yyyy-mm")),1,0)</f>
        <v/>
      </c>
      <c r="H5183">
        <f>IF(OR(H5182=1,G5183=1),1,0)</f>
        <v/>
      </c>
      <c r="I5183">
        <f>IF(H5182=0,1,SUMPRODUCT(J5182:N5182,B5183:F5183)+O5182*(1+0.00023125256064071564))</f>
        <v/>
      </c>
      <c r="J5183">
        <f>IF(G5183=1,0.2*R5183/B5183,J5182)</f>
        <v/>
      </c>
      <c r="K5183">
        <f>IF(G5183=1,0.2*R5183/C5183,K5182)</f>
        <v/>
      </c>
      <c r="L5183">
        <f>IF(G5183=1,0.2*R5183/D5183,L5182)</f>
        <v/>
      </c>
      <c r="M5183">
        <f>IF(G5183=1,0.2*R5183/E5183,M5182)</f>
        <v/>
      </c>
      <c r="N5183">
        <f>IF(G5183=1,0.2*R5183/F5183,N5182)</f>
        <v/>
      </c>
      <c r="O5183">
        <f>IF(G5183=1,R5183*(1-1.0),IF(H5182=0,1,O5182*(1+0.00023125256064071564)))</f>
        <v/>
      </c>
      <c r="P5183">
        <f>IF(G5183=1,IF(H5182=0,1,ABS(0.2-J5182*B5183/I5183)+ABS(0.2-K5182*C5183/I5183)+ABS(0.2-L5182*D5183/I5183)+ABS(0.2-M5182*E5183/I5183)+ABS(0.2-N5182*F5183/I5183)),0)</f>
        <v/>
      </c>
      <c r="Q5183">
        <f>P5183*0.0015</f>
        <v/>
      </c>
      <c r="R5183">
        <f>I5183*(1-Q5183)</f>
        <v/>
      </c>
      <c r="S5183">
        <f>R5183/R5182-1</f>
        <v/>
      </c>
      <c r="T5183">
        <f>MAX(T5182,R5183)</f>
        <v/>
      </c>
      <c r="U5183">
        <f>R5183/T5183-1</f>
        <v/>
      </c>
      <c r="V5183" t="n">
        <v>29.94619138359887</v>
      </c>
      <c r="W5183" s="5">
        <f>R5183-V5183</f>
        <v/>
      </c>
    </row>
    <row r="5184">
      <c r="A5184" s="3" t="n">
        <v>46072</v>
      </c>
      <c r="B5184">
        <f>Prices!B5184</f>
        <v/>
      </c>
      <c r="C5184">
        <f>Prices!C5184</f>
        <v/>
      </c>
      <c r="D5184">
        <f>Prices!D5184</f>
        <v/>
      </c>
      <c r="E5184">
        <f>Prices!E5184</f>
        <v/>
      </c>
      <c r="F5184">
        <f>Prices!F5184</f>
        <v/>
      </c>
      <c r="G5184">
        <f>IF(AND(5182&gt;=16,TEXT(A5184,"yyyy-mm")&lt;&gt;TEXT(A5185,"yyyy-mm")),1,0)</f>
        <v/>
      </c>
      <c r="H5184">
        <f>IF(OR(H5183=1,G5184=1),1,0)</f>
        <v/>
      </c>
      <c r="I5184">
        <f>IF(H5183=0,1,SUMPRODUCT(J5183:N5183,B5184:F5184)+O5183*(1+0.00023125256064071564))</f>
        <v/>
      </c>
      <c r="J5184">
        <f>IF(G5184=1,0.2*R5184/B5184,J5183)</f>
        <v/>
      </c>
      <c r="K5184">
        <f>IF(G5184=1,0.2*R5184/C5184,K5183)</f>
        <v/>
      </c>
      <c r="L5184">
        <f>IF(G5184=1,0.2*R5184/D5184,L5183)</f>
        <v/>
      </c>
      <c r="M5184">
        <f>IF(G5184=1,0.2*R5184/E5184,M5183)</f>
        <v/>
      </c>
      <c r="N5184">
        <f>IF(G5184=1,0.2*R5184/F5184,N5183)</f>
        <v/>
      </c>
      <c r="O5184">
        <f>IF(G5184=1,R5184*(1-1.0),IF(H5183=0,1,O5183*(1+0.00023125256064071564)))</f>
        <v/>
      </c>
      <c r="P5184">
        <f>IF(G5184=1,IF(H5183=0,1,ABS(0.2-J5183*B5184/I5184)+ABS(0.2-K5183*C5184/I5184)+ABS(0.2-L5183*D5184/I5184)+ABS(0.2-M5183*E5184/I5184)+ABS(0.2-N5183*F5184/I5184)),0)</f>
        <v/>
      </c>
      <c r="Q5184">
        <f>P5184*0.0015</f>
        <v/>
      </c>
      <c r="R5184">
        <f>I5184*(1-Q5184)</f>
        <v/>
      </c>
      <c r="S5184">
        <f>R5184/R5183-1</f>
        <v/>
      </c>
      <c r="T5184">
        <f>MAX(T5183,R5184)</f>
        <v/>
      </c>
      <c r="U5184">
        <f>R5184/T5184-1</f>
        <v/>
      </c>
      <c r="V5184" t="n">
        <v>29.53625420857869</v>
      </c>
      <c r="W5184" s="5">
        <f>R5184-V5184</f>
        <v/>
      </c>
    </row>
    <row r="5185">
      <c r="A5185" s="3" t="n">
        <v>46073</v>
      </c>
      <c r="B5185">
        <f>Prices!B5185</f>
        <v/>
      </c>
      <c r="C5185">
        <f>Prices!C5185</f>
        <v/>
      </c>
      <c r="D5185">
        <f>Prices!D5185</f>
        <v/>
      </c>
      <c r="E5185">
        <f>Prices!E5185</f>
        <v/>
      </c>
      <c r="F5185">
        <f>Prices!F5185</f>
        <v/>
      </c>
      <c r="G5185">
        <f>IF(AND(5183&gt;=16,TEXT(A5185,"yyyy-mm")&lt;&gt;TEXT(A5186,"yyyy-mm")),1,0)</f>
        <v/>
      </c>
      <c r="H5185">
        <f>IF(OR(H5184=1,G5185=1),1,0)</f>
        <v/>
      </c>
      <c r="I5185">
        <f>IF(H5184=0,1,SUMPRODUCT(J5184:N5184,B5185:F5185)+O5184*(1+0.00023125256064071564))</f>
        <v/>
      </c>
      <c r="J5185">
        <f>IF(G5185=1,0.2*R5185/B5185,J5184)</f>
        <v/>
      </c>
      <c r="K5185">
        <f>IF(G5185=1,0.2*R5185/C5185,K5184)</f>
        <v/>
      </c>
      <c r="L5185">
        <f>IF(G5185=1,0.2*R5185/D5185,L5184)</f>
        <v/>
      </c>
      <c r="M5185">
        <f>IF(G5185=1,0.2*R5185/E5185,M5184)</f>
        <v/>
      </c>
      <c r="N5185">
        <f>IF(G5185=1,0.2*R5185/F5185,N5184)</f>
        <v/>
      </c>
      <c r="O5185">
        <f>IF(G5185=1,R5185*(1-1.0),IF(H5184=0,1,O5184*(1+0.00023125256064071564)))</f>
        <v/>
      </c>
      <c r="P5185">
        <f>IF(G5185=1,IF(H5184=0,1,ABS(0.2-J5184*B5185/I5185)+ABS(0.2-K5184*C5185/I5185)+ABS(0.2-L5184*D5185/I5185)+ABS(0.2-M5184*E5185/I5185)+ABS(0.2-N5184*F5185/I5185)),0)</f>
        <v/>
      </c>
      <c r="Q5185">
        <f>P5185*0.0015</f>
        <v/>
      </c>
      <c r="R5185">
        <f>I5185*(1-Q5185)</f>
        <v/>
      </c>
      <c r="S5185">
        <f>R5185/R5184-1</f>
        <v/>
      </c>
      <c r="T5185">
        <f>MAX(T5184,R5185)</f>
        <v/>
      </c>
      <c r="U5185">
        <f>R5185/T5185-1</f>
        <v/>
      </c>
      <c r="V5185" t="n">
        <v>29.73160256046465</v>
      </c>
      <c r="W5185" s="5">
        <f>R5185-V5185</f>
        <v/>
      </c>
    </row>
    <row r="5186">
      <c r="A5186" s="3" t="n">
        <v>46076</v>
      </c>
      <c r="B5186">
        <f>Prices!B5186</f>
        <v/>
      </c>
      <c r="C5186">
        <f>Prices!C5186</f>
        <v/>
      </c>
      <c r="D5186">
        <f>Prices!D5186</f>
        <v/>
      </c>
      <c r="E5186">
        <f>Prices!E5186</f>
        <v/>
      </c>
      <c r="F5186">
        <f>Prices!F5186</f>
        <v/>
      </c>
      <c r="G5186">
        <f>IF(AND(5184&gt;=16,TEXT(A5186,"yyyy-mm")&lt;&gt;TEXT(A5187,"yyyy-mm")),1,0)</f>
        <v/>
      </c>
      <c r="H5186">
        <f>IF(OR(H5185=1,G5186=1),1,0)</f>
        <v/>
      </c>
      <c r="I5186">
        <f>IF(H5185=0,1,SUMPRODUCT(J5185:N5185,B5186:F5186)+O5185*(1+0.00023125256064071564))</f>
        <v/>
      </c>
      <c r="J5186">
        <f>IF(G5186=1,0.2*R5186/B5186,J5185)</f>
        <v/>
      </c>
      <c r="K5186">
        <f>IF(G5186=1,0.2*R5186/C5186,K5185)</f>
        <v/>
      </c>
      <c r="L5186">
        <f>IF(G5186=1,0.2*R5186/D5186,L5185)</f>
        <v/>
      </c>
      <c r="M5186">
        <f>IF(G5186=1,0.2*R5186/E5186,M5185)</f>
        <v/>
      </c>
      <c r="N5186">
        <f>IF(G5186=1,0.2*R5186/F5186,N5185)</f>
        <v/>
      </c>
      <c r="O5186">
        <f>IF(G5186=1,R5186*(1-1.0),IF(H5185=0,1,O5185*(1+0.00023125256064071564)))</f>
        <v/>
      </c>
      <c r="P5186">
        <f>IF(G5186=1,IF(H5185=0,1,ABS(0.2-J5185*B5186/I5186)+ABS(0.2-K5185*C5186/I5186)+ABS(0.2-L5185*D5186/I5186)+ABS(0.2-M5185*E5186/I5186)+ABS(0.2-N5185*F5186/I5186)),0)</f>
        <v/>
      </c>
      <c r="Q5186">
        <f>P5186*0.0015</f>
        <v/>
      </c>
      <c r="R5186">
        <f>I5186*(1-Q5186)</f>
        <v/>
      </c>
      <c r="S5186">
        <f>R5186/R5185-1</f>
        <v/>
      </c>
      <c r="T5186">
        <f>MAX(T5185,R5186)</f>
        <v/>
      </c>
      <c r="U5186">
        <f>R5186/T5186-1</f>
        <v/>
      </c>
      <c r="V5186" t="n">
        <v>29.78423310544285</v>
      </c>
      <c r="W5186" s="5">
        <f>R5186-V5186</f>
        <v/>
      </c>
    </row>
    <row r="5187">
      <c r="A5187" s="3" t="n">
        <v>46077</v>
      </c>
      <c r="B5187">
        <f>Prices!B5187</f>
        <v/>
      </c>
      <c r="C5187">
        <f>Prices!C5187</f>
        <v/>
      </c>
      <c r="D5187">
        <f>Prices!D5187</f>
        <v/>
      </c>
      <c r="E5187">
        <f>Prices!E5187</f>
        <v/>
      </c>
      <c r="F5187">
        <f>Prices!F5187</f>
        <v/>
      </c>
      <c r="G5187">
        <f>IF(AND(5185&gt;=16,TEXT(A5187,"yyyy-mm")&lt;&gt;TEXT(A5188,"yyyy-mm")),1,0)</f>
        <v/>
      </c>
      <c r="H5187">
        <f>IF(OR(H5186=1,G5187=1),1,0)</f>
        <v/>
      </c>
      <c r="I5187">
        <f>IF(H5186=0,1,SUMPRODUCT(J5186:N5186,B5187:F5187)+O5186*(1+0.00023125256064071564))</f>
        <v/>
      </c>
      <c r="J5187">
        <f>IF(G5187=1,0.2*R5187/B5187,J5186)</f>
        <v/>
      </c>
      <c r="K5187">
        <f>IF(G5187=1,0.2*R5187/C5187,K5186)</f>
        <v/>
      </c>
      <c r="L5187">
        <f>IF(G5187=1,0.2*R5187/D5187,L5186)</f>
        <v/>
      </c>
      <c r="M5187">
        <f>IF(G5187=1,0.2*R5187/E5187,M5186)</f>
        <v/>
      </c>
      <c r="N5187">
        <f>IF(G5187=1,0.2*R5187/F5187,N5186)</f>
        <v/>
      </c>
      <c r="O5187">
        <f>IF(G5187=1,R5187*(1-1.0),IF(H5186=0,1,O5186*(1+0.00023125256064071564)))</f>
        <v/>
      </c>
      <c r="P5187">
        <f>IF(G5187=1,IF(H5186=0,1,ABS(0.2-J5186*B5187/I5187)+ABS(0.2-K5186*C5187/I5187)+ABS(0.2-L5186*D5187/I5187)+ABS(0.2-M5186*E5187/I5187)+ABS(0.2-N5186*F5187/I5187)),0)</f>
        <v/>
      </c>
      <c r="Q5187">
        <f>P5187*0.0015</f>
        <v/>
      </c>
      <c r="R5187">
        <f>I5187*(1-Q5187)</f>
        <v/>
      </c>
      <c r="S5187">
        <f>R5187/R5186-1</f>
        <v/>
      </c>
      <c r="T5187">
        <f>MAX(T5186,R5187)</f>
        <v/>
      </c>
      <c r="U5187">
        <f>R5187/T5187-1</f>
        <v/>
      </c>
      <c r="V5187" t="n">
        <v>29.71115631465316</v>
      </c>
      <c r="W5187" s="5">
        <f>R5187-V5187</f>
        <v/>
      </c>
    </row>
    <row r="5188">
      <c r="A5188" s="3" t="n">
        <v>46078</v>
      </c>
      <c r="B5188">
        <f>Prices!B5188</f>
        <v/>
      </c>
      <c r="C5188">
        <f>Prices!C5188</f>
        <v/>
      </c>
      <c r="D5188">
        <f>Prices!D5188</f>
        <v/>
      </c>
      <c r="E5188">
        <f>Prices!E5188</f>
        <v/>
      </c>
      <c r="F5188">
        <f>Prices!F5188</f>
        <v/>
      </c>
      <c r="G5188">
        <f>IF(AND(5186&gt;=16,TEXT(A5188,"yyyy-mm")&lt;&gt;TEXT(A5189,"yyyy-mm")),1,0)</f>
        <v/>
      </c>
      <c r="H5188">
        <f>IF(OR(H5187=1,G5188=1),1,0)</f>
        <v/>
      </c>
      <c r="I5188">
        <f>IF(H5187=0,1,SUMPRODUCT(J5187:N5187,B5188:F5188)+O5187*(1+0.00023125256064071564))</f>
        <v/>
      </c>
      <c r="J5188">
        <f>IF(G5188=1,0.2*R5188/B5188,J5187)</f>
        <v/>
      </c>
      <c r="K5188">
        <f>IF(G5188=1,0.2*R5188/C5188,K5187)</f>
        <v/>
      </c>
      <c r="L5188">
        <f>IF(G5188=1,0.2*R5188/D5188,L5187)</f>
        <v/>
      </c>
      <c r="M5188">
        <f>IF(G5188=1,0.2*R5188/E5188,M5187)</f>
        <v/>
      </c>
      <c r="N5188">
        <f>IF(G5188=1,0.2*R5188/F5188,N5187)</f>
        <v/>
      </c>
      <c r="O5188">
        <f>IF(G5188=1,R5188*(1-1.0),IF(H5187=0,1,O5187*(1+0.00023125256064071564)))</f>
        <v/>
      </c>
      <c r="P5188">
        <f>IF(G5188=1,IF(H5187=0,1,ABS(0.2-J5187*B5188/I5188)+ABS(0.2-K5187*C5188/I5188)+ABS(0.2-L5187*D5188/I5188)+ABS(0.2-M5187*E5188/I5188)+ABS(0.2-N5187*F5188/I5188)),0)</f>
        <v/>
      </c>
      <c r="Q5188">
        <f>P5188*0.0015</f>
        <v/>
      </c>
      <c r="R5188">
        <f>I5188*(1-Q5188)</f>
        <v/>
      </c>
      <c r="S5188">
        <f>R5188/R5187-1</f>
        <v/>
      </c>
      <c r="T5188">
        <f>MAX(T5187,R5188)</f>
        <v/>
      </c>
      <c r="U5188">
        <f>R5188/T5188-1</f>
        <v/>
      </c>
      <c r="V5188" t="n">
        <v>29.98783083706023</v>
      </c>
      <c r="W5188" s="5">
        <f>R5188-V5188</f>
        <v/>
      </c>
    </row>
    <row r="5189">
      <c r="A5189" s="3" t="n">
        <v>46079</v>
      </c>
      <c r="B5189">
        <f>Prices!B5189</f>
        <v/>
      </c>
      <c r="C5189">
        <f>Prices!C5189</f>
        <v/>
      </c>
      <c r="D5189">
        <f>Prices!D5189</f>
        <v/>
      </c>
      <c r="E5189">
        <f>Prices!E5189</f>
        <v/>
      </c>
      <c r="F5189">
        <f>Prices!F5189</f>
        <v/>
      </c>
      <c r="G5189">
        <f>IF(AND(5187&gt;=16,TEXT(A5189,"yyyy-mm")&lt;&gt;TEXT(A5190,"yyyy-mm")),1,0)</f>
        <v/>
      </c>
      <c r="H5189">
        <f>IF(OR(H5188=1,G5189=1),1,0)</f>
        <v/>
      </c>
      <c r="I5189">
        <f>IF(H5188=0,1,SUMPRODUCT(J5188:N5188,B5189:F5189)+O5188*(1+0.00023125256064071564))</f>
        <v/>
      </c>
      <c r="J5189">
        <f>IF(G5189=1,0.2*R5189/B5189,J5188)</f>
        <v/>
      </c>
      <c r="K5189">
        <f>IF(G5189=1,0.2*R5189/C5189,K5188)</f>
        <v/>
      </c>
      <c r="L5189">
        <f>IF(G5189=1,0.2*R5189/D5189,L5188)</f>
        <v/>
      </c>
      <c r="M5189">
        <f>IF(G5189=1,0.2*R5189/E5189,M5188)</f>
        <v/>
      </c>
      <c r="N5189">
        <f>IF(G5189=1,0.2*R5189/F5189,N5188)</f>
        <v/>
      </c>
      <c r="O5189">
        <f>IF(G5189=1,R5189*(1-1.0),IF(H5188=0,1,O5188*(1+0.00023125256064071564)))</f>
        <v/>
      </c>
      <c r="P5189">
        <f>IF(G5189=1,IF(H5188=0,1,ABS(0.2-J5188*B5189/I5189)+ABS(0.2-K5188*C5189/I5189)+ABS(0.2-L5188*D5189/I5189)+ABS(0.2-M5188*E5189/I5189)+ABS(0.2-N5188*F5189/I5189)),0)</f>
        <v/>
      </c>
      <c r="Q5189">
        <f>P5189*0.0015</f>
        <v/>
      </c>
      <c r="R5189">
        <f>I5189*(1-Q5189)</f>
        <v/>
      </c>
      <c r="S5189">
        <f>R5189/R5188-1</f>
        <v/>
      </c>
      <c r="T5189">
        <f>MAX(T5188,R5189)</f>
        <v/>
      </c>
      <c r="U5189">
        <f>R5189/T5189-1</f>
        <v/>
      </c>
      <c r="V5189" t="n">
        <v>30.08347122168589</v>
      </c>
      <c r="W5189" s="5">
        <f>R5189-V5189</f>
        <v/>
      </c>
    </row>
    <row r="5190">
      <c r="A5190" s="3" t="n">
        <v>46080</v>
      </c>
      <c r="B5190">
        <f>Prices!B5190</f>
        <v/>
      </c>
      <c r="C5190">
        <f>Prices!C5190</f>
        <v/>
      </c>
      <c r="D5190">
        <f>Prices!D5190</f>
        <v/>
      </c>
      <c r="E5190">
        <f>Prices!E5190</f>
        <v/>
      </c>
      <c r="F5190">
        <f>Prices!F5190</f>
        <v/>
      </c>
      <c r="G5190">
        <f>IF(AND(5188&gt;=16,TEXT(A5190,"yyyy-mm")&lt;&gt;TEXT(A5191,"yyyy-mm")),1,0)</f>
        <v/>
      </c>
      <c r="H5190">
        <f>IF(OR(H5189=1,G5190=1),1,0)</f>
        <v/>
      </c>
      <c r="I5190">
        <f>IF(H5189=0,1,SUMPRODUCT(J5189:N5189,B5190:F5190)+O5189*(1+0.00023125256064071564))</f>
        <v/>
      </c>
      <c r="J5190">
        <f>IF(G5190=1,0.2*R5190/B5190,J5189)</f>
        <v/>
      </c>
      <c r="K5190">
        <f>IF(G5190=1,0.2*R5190/C5190,K5189)</f>
        <v/>
      </c>
      <c r="L5190">
        <f>IF(G5190=1,0.2*R5190/D5190,L5189)</f>
        <v/>
      </c>
      <c r="M5190">
        <f>IF(G5190=1,0.2*R5190/E5190,M5189)</f>
        <v/>
      </c>
      <c r="N5190">
        <f>IF(G5190=1,0.2*R5190/F5190,N5189)</f>
        <v/>
      </c>
      <c r="O5190">
        <f>IF(G5190=1,R5190*(1-1.0),IF(H5189=0,1,O5189*(1+0.00023125256064071564)))</f>
        <v/>
      </c>
      <c r="P5190">
        <f>IF(G5190=1,IF(H5189=0,1,ABS(0.2-J5189*B5190/I5190)+ABS(0.2-K5189*C5190/I5190)+ABS(0.2-L5189*D5190/I5190)+ABS(0.2-M5189*E5190/I5190)+ABS(0.2-N5189*F5190/I5190)),0)</f>
        <v/>
      </c>
      <c r="Q5190">
        <f>P5190*0.0015</f>
        <v/>
      </c>
      <c r="R5190">
        <f>I5190*(1-Q5190)</f>
        <v/>
      </c>
      <c r="S5190">
        <f>R5190/R5189-1</f>
        <v/>
      </c>
      <c r="T5190">
        <f>MAX(T5189,R5190)</f>
        <v/>
      </c>
      <c r="U5190">
        <f>R5190/T5190-1</f>
        <v/>
      </c>
      <c r="V5190" t="n">
        <v>29.67411800302466</v>
      </c>
      <c r="W5190" s="5">
        <f>R5190-V5190</f>
        <v/>
      </c>
    </row>
    <row r="5191">
      <c r="A5191" s="3" t="n">
        <v>46083</v>
      </c>
      <c r="B5191">
        <f>Prices!B5191</f>
        <v/>
      </c>
      <c r="C5191">
        <f>Prices!C5191</f>
        <v/>
      </c>
      <c r="D5191">
        <f>Prices!D5191</f>
        <v/>
      </c>
      <c r="E5191">
        <f>Prices!E5191</f>
        <v/>
      </c>
      <c r="F5191">
        <f>Prices!F5191</f>
        <v/>
      </c>
      <c r="G5191">
        <f>IF(AND(5189&gt;=16,TEXT(A5191,"yyyy-mm")&lt;&gt;TEXT(A5192,"yyyy-mm")),1,0)</f>
        <v/>
      </c>
      <c r="H5191">
        <f>IF(OR(H5190=1,G5191=1),1,0)</f>
        <v/>
      </c>
      <c r="I5191">
        <f>IF(H5190=0,1,SUMPRODUCT(J5190:N5190,B5191:F5191)+O5190*(1+0.00023125256064071564))</f>
        <v/>
      </c>
      <c r="J5191">
        <f>IF(G5191=1,0.2*R5191/B5191,J5190)</f>
        <v/>
      </c>
      <c r="K5191">
        <f>IF(G5191=1,0.2*R5191/C5191,K5190)</f>
        <v/>
      </c>
      <c r="L5191">
        <f>IF(G5191=1,0.2*R5191/D5191,L5190)</f>
        <v/>
      </c>
      <c r="M5191">
        <f>IF(G5191=1,0.2*R5191/E5191,M5190)</f>
        <v/>
      </c>
      <c r="N5191">
        <f>IF(G5191=1,0.2*R5191/F5191,N5190)</f>
        <v/>
      </c>
      <c r="O5191">
        <f>IF(G5191=1,R5191*(1-1.0),IF(H5190=0,1,O5190*(1+0.00023125256064071564)))</f>
        <v/>
      </c>
      <c r="P5191">
        <f>IF(G5191=1,IF(H5190=0,1,ABS(0.2-J5190*B5191/I5191)+ABS(0.2-K5190*C5191/I5191)+ABS(0.2-L5190*D5191/I5191)+ABS(0.2-M5190*E5191/I5191)+ABS(0.2-N5190*F5191/I5191)),0)</f>
        <v/>
      </c>
      <c r="Q5191">
        <f>P5191*0.0015</f>
        <v/>
      </c>
      <c r="R5191">
        <f>I5191*(1-Q5191)</f>
        <v/>
      </c>
      <c r="S5191">
        <f>R5191/R5190-1</f>
        <v/>
      </c>
      <c r="T5191">
        <f>MAX(T5190,R5191)</f>
        <v/>
      </c>
      <c r="U5191">
        <f>R5191/T5191-1</f>
        <v/>
      </c>
      <c r="V5191" t="n">
        <v>29.24863945195177</v>
      </c>
      <c r="W5191" s="5">
        <f>R5191-V5191</f>
        <v/>
      </c>
    </row>
    <row r="5192">
      <c r="A5192" s="3" t="n">
        <v>46085</v>
      </c>
      <c r="B5192">
        <f>Prices!B5192</f>
        <v/>
      </c>
      <c r="C5192">
        <f>Prices!C5192</f>
        <v/>
      </c>
      <c r="D5192">
        <f>Prices!D5192</f>
        <v/>
      </c>
      <c r="E5192">
        <f>Prices!E5192</f>
        <v/>
      </c>
      <c r="F5192">
        <f>Prices!F5192</f>
        <v/>
      </c>
      <c r="G5192">
        <f>IF(AND(5190&gt;=16,TEXT(A5192,"yyyy-mm")&lt;&gt;TEXT(A5193,"yyyy-mm")),1,0)</f>
        <v/>
      </c>
      <c r="H5192">
        <f>IF(OR(H5191=1,G5192=1),1,0)</f>
        <v/>
      </c>
      <c r="I5192">
        <f>IF(H5191=0,1,SUMPRODUCT(J5191:N5191,B5192:F5192)+O5191*(1+0.00023125256064071564))</f>
        <v/>
      </c>
      <c r="J5192">
        <f>IF(G5192=1,0.2*R5192/B5192,J5191)</f>
        <v/>
      </c>
      <c r="K5192">
        <f>IF(G5192=1,0.2*R5192/C5192,K5191)</f>
        <v/>
      </c>
      <c r="L5192">
        <f>IF(G5192=1,0.2*R5192/D5192,L5191)</f>
        <v/>
      </c>
      <c r="M5192">
        <f>IF(G5192=1,0.2*R5192/E5192,M5191)</f>
        <v/>
      </c>
      <c r="N5192">
        <f>IF(G5192=1,0.2*R5192/F5192,N5191)</f>
        <v/>
      </c>
      <c r="O5192">
        <f>IF(G5192=1,R5192*(1-1.0),IF(H5191=0,1,O5191*(1+0.00023125256064071564)))</f>
        <v/>
      </c>
      <c r="P5192">
        <f>IF(G5192=1,IF(H5191=0,1,ABS(0.2-J5191*B5192/I5192)+ABS(0.2-K5191*C5192/I5192)+ABS(0.2-L5191*D5192/I5192)+ABS(0.2-M5191*E5192/I5192)+ABS(0.2-N5191*F5192/I5192)),0)</f>
        <v/>
      </c>
      <c r="Q5192">
        <f>P5192*0.0015</f>
        <v/>
      </c>
      <c r="R5192">
        <f>I5192*(1-Q5192)</f>
        <v/>
      </c>
      <c r="S5192">
        <f>R5192/R5191-1</f>
        <v/>
      </c>
      <c r="T5192">
        <f>MAX(T5191,R5192)</f>
        <v/>
      </c>
      <c r="U5192">
        <f>R5192/T5192-1</f>
        <v/>
      </c>
      <c r="V5192" t="n">
        <v>28.6118638691544</v>
      </c>
      <c r="W5192" s="5">
        <f>R5192-V5192</f>
        <v/>
      </c>
    </row>
    <row r="5193">
      <c r="A5193" s="3" t="n">
        <v>46086</v>
      </c>
      <c r="B5193">
        <f>Prices!B5193</f>
        <v/>
      </c>
      <c r="C5193">
        <f>Prices!C5193</f>
        <v/>
      </c>
      <c r="D5193">
        <f>Prices!D5193</f>
        <v/>
      </c>
      <c r="E5193">
        <f>Prices!E5193</f>
        <v/>
      </c>
      <c r="F5193">
        <f>Prices!F5193</f>
        <v/>
      </c>
      <c r="G5193">
        <f>IF(AND(5191&gt;=16,TEXT(A5193,"yyyy-mm")&lt;&gt;TEXT(A5194,"yyyy-mm")),1,0)</f>
        <v/>
      </c>
      <c r="H5193">
        <f>IF(OR(H5192=1,G5193=1),1,0)</f>
        <v/>
      </c>
      <c r="I5193">
        <f>IF(H5192=0,1,SUMPRODUCT(J5192:N5192,B5193:F5193)+O5192*(1+0.00023125256064071564))</f>
        <v/>
      </c>
      <c r="J5193">
        <f>IF(G5193=1,0.2*R5193/B5193,J5192)</f>
        <v/>
      </c>
      <c r="K5193">
        <f>IF(G5193=1,0.2*R5193/C5193,K5192)</f>
        <v/>
      </c>
      <c r="L5193">
        <f>IF(G5193=1,0.2*R5193/D5193,L5192)</f>
        <v/>
      </c>
      <c r="M5193">
        <f>IF(G5193=1,0.2*R5193/E5193,M5192)</f>
        <v/>
      </c>
      <c r="N5193">
        <f>IF(G5193=1,0.2*R5193/F5193,N5192)</f>
        <v/>
      </c>
      <c r="O5193">
        <f>IF(G5193=1,R5193*(1-1.0),IF(H5192=0,1,O5192*(1+0.00023125256064071564)))</f>
        <v/>
      </c>
      <c r="P5193">
        <f>IF(G5193=1,IF(H5192=0,1,ABS(0.2-J5192*B5193/I5193)+ABS(0.2-K5192*C5193/I5193)+ABS(0.2-L5192*D5193/I5193)+ABS(0.2-M5192*E5193/I5193)+ABS(0.2-N5192*F5193/I5193)),0)</f>
        <v/>
      </c>
      <c r="Q5193">
        <f>P5193*0.0015</f>
        <v/>
      </c>
      <c r="R5193">
        <f>I5193*(1-Q5193)</f>
        <v/>
      </c>
      <c r="S5193">
        <f>R5193/R5192-1</f>
        <v/>
      </c>
      <c r="T5193">
        <f>MAX(T5192,R5193)</f>
        <v/>
      </c>
      <c r="U5193">
        <f>R5193/T5193-1</f>
        <v/>
      </c>
      <c r="V5193" t="n">
        <v>29.09473438437556</v>
      </c>
      <c r="W5193" s="5">
        <f>R5193-V5193</f>
        <v/>
      </c>
    </row>
    <row r="5194">
      <c r="A5194" s="3" t="n">
        <v>46087</v>
      </c>
      <c r="B5194">
        <f>Prices!B5194</f>
        <v/>
      </c>
      <c r="C5194">
        <f>Prices!C5194</f>
        <v/>
      </c>
      <c r="D5194">
        <f>Prices!D5194</f>
        <v/>
      </c>
      <c r="E5194">
        <f>Prices!E5194</f>
        <v/>
      </c>
      <c r="F5194">
        <f>Prices!F5194</f>
        <v/>
      </c>
      <c r="G5194">
        <f>IF(AND(5192&gt;=16,TEXT(A5194,"yyyy-mm")&lt;&gt;TEXT(A5195,"yyyy-mm")),1,0)</f>
        <v/>
      </c>
      <c r="H5194">
        <f>IF(OR(H5193=1,G5194=1),1,0)</f>
        <v/>
      </c>
      <c r="I5194">
        <f>IF(H5193=0,1,SUMPRODUCT(J5193:N5193,B5194:F5194)+O5193*(1+0.00023125256064071564))</f>
        <v/>
      </c>
      <c r="J5194">
        <f>IF(G5194=1,0.2*R5194/B5194,J5193)</f>
        <v/>
      </c>
      <c r="K5194">
        <f>IF(G5194=1,0.2*R5194/C5194,K5193)</f>
        <v/>
      </c>
      <c r="L5194">
        <f>IF(G5194=1,0.2*R5194/D5194,L5193)</f>
        <v/>
      </c>
      <c r="M5194">
        <f>IF(G5194=1,0.2*R5194/E5194,M5193)</f>
        <v/>
      </c>
      <c r="N5194">
        <f>IF(G5194=1,0.2*R5194/F5194,N5193)</f>
        <v/>
      </c>
      <c r="O5194">
        <f>IF(G5194=1,R5194*(1-1.0),IF(H5193=0,1,O5193*(1+0.00023125256064071564)))</f>
        <v/>
      </c>
      <c r="P5194">
        <f>IF(G5194=1,IF(H5193=0,1,ABS(0.2-J5193*B5194/I5194)+ABS(0.2-K5193*C5194/I5194)+ABS(0.2-L5193*D5194/I5194)+ABS(0.2-M5193*E5194/I5194)+ABS(0.2-N5193*F5194/I5194)),0)</f>
        <v/>
      </c>
      <c r="Q5194">
        <f>P5194*0.0015</f>
        <v/>
      </c>
      <c r="R5194">
        <f>I5194*(1-Q5194)</f>
        <v/>
      </c>
      <c r="S5194">
        <f>R5194/R5193-1</f>
        <v/>
      </c>
      <c r="T5194">
        <f>MAX(T5193,R5194)</f>
        <v/>
      </c>
      <c r="U5194">
        <f>R5194/T5194-1</f>
        <v/>
      </c>
      <c r="V5194" t="n">
        <v>28.90249881158498</v>
      </c>
      <c r="W5194" s="5">
        <f>R5194-V5194</f>
        <v/>
      </c>
    </row>
    <row r="5195">
      <c r="A5195" s="3" t="n">
        <v>46090</v>
      </c>
      <c r="B5195">
        <f>Prices!B5195</f>
        <v/>
      </c>
      <c r="C5195">
        <f>Prices!C5195</f>
        <v/>
      </c>
      <c r="D5195">
        <f>Prices!D5195</f>
        <v/>
      </c>
      <c r="E5195">
        <f>Prices!E5195</f>
        <v/>
      </c>
      <c r="F5195">
        <f>Prices!F5195</f>
        <v/>
      </c>
      <c r="G5195">
        <f>IF(AND(5193&gt;=16,TEXT(A5195,"yyyy-mm")&lt;&gt;TEXT(A5196,"yyyy-mm")),1,0)</f>
        <v/>
      </c>
      <c r="H5195">
        <f>IF(OR(H5194=1,G5195=1),1,0)</f>
        <v/>
      </c>
      <c r="I5195">
        <f>IF(H5194=0,1,SUMPRODUCT(J5194:N5194,B5195:F5195)+O5194*(1+0.00023125256064071564))</f>
        <v/>
      </c>
      <c r="J5195">
        <f>IF(G5195=1,0.2*R5195/B5195,J5194)</f>
        <v/>
      </c>
      <c r="K5195">
        <f>IF(G5195=1,0.2*R5195/C5195,K5194)</f>
        <v/>
      </c>
      <c r="L5195">
        <f>IF(G5195=1,0.2*R5195/D5195,L5194)</f>
        <v/>
      </c>
      <c r="M5195">
        <f>IF(G5195=1,0.2*R5195/E5195,M5194)</f>
        <v/>
      </c>
      <c r="N5195">
        <f>IF(G5195=1,0.2*R5195/F5195,N5194)</f>
        <v/>
      </c>
      <c r="O5195">
        <f>IF(G5195=1,R5195*(1-1.0),IF(H5194=0,1,O5194*(1+0.00023125256064071564)))</f>
        <v/>
      </c>
      <c r="P5195">
        <f>IF(G5195=1,IF(H5194=0,1,ABS(0.2-J5194*B5195/I5195)+ABS(0.2-K5194*C5195/I5195)+ABS(0.2-L5194*D5195/I5195)+ABS(0.2-M5194*E5195/I5195)+ABS(0.2-N5194*F5195/I5195)),0)</f>
        <v/>
      </c>
      <c r="Q5195">
        <f>P5195*0.0015</f>
        <v/>
      </c>
      <c r="R5195">
        <f>I5195*(1-Q5195)</f>
        <v/>
      </c>
      <c r="S5195">
        <f>R5195/R5194-1</f>
        <v/>
      </c>
      <c r="T5195">
        <f>MAX(T5194,R5195)</f>
        <v/>
      </c>
      <c r="U5195">
        <f>R5195/T5195-1</f>
        <v/>
      </c>
      <c r="V5195" t="n">
        <v>28.29121514899347</v>
      </c>
      <c r="W5195" s="5">
        <f>R5195-V5195</f>
        <v/>
      </c>
    </row>
    <row r="5196">
      <c r="A5196" s="3" t="n">
        <v>46091</v>
      </c>
      <c r="B5196">
        <f>Prices!B5196</f>
        <v/>
      </c>
      <c r="C5196">
        <f>Prices!C5196</f>
        <v/>
      </c>
      <c r="D5196">
        <f>Prices!D5196</f>
        <v/>
      </c>
      <c r="E5196">
        <f>Prices!E5196</f>
        <v/>
      </c>
      <c r="F5196">
        <f>Prices!F5196</f>
        <v/>
      </c>
      <c r="G5196">
        <f>IF(AND(5194&gt;=16,TEXT(A5196,"yyyy-mm")&lt;&gt;TEXT(A5197,"yyyy-mm")),1,0)</f>
        <v/>
      </c>
      <c r="H5196">
        <f>IF(OR(H5195=1,G5196=1),1,0)</f>
        <v/>
      </c>
      <c r="I5196">
        <f>IF(H5195=0,1,SUMPRODUCT(J5195:N5195,B5196:F5196)+O5195*(1+0.00023125256064071564))</f>
        <v/>
      </c>
      <c r="J5196">
        <f>IF(G5196=1,0.2*R5196/B5196,J5195)</f>
        <v/>
      </c>
      <c r="K5196">
        <f>IF(G5196=1,0.2*R5196/C5196,K5195)</f>
        <v/>
      </c>
      <c r="L5196">
        <f>IF(G5196=1,0.2*R5196/D5196,L5195)</f>
        <v/>
      </c>
      <c r="M5196">
        <f>IF(G5196=1,0.2*R5196/E5196,M5195)</f>
        <v/>
      </c>
      <c r="N5196">
        <f>IF(G5196=1,0.2*R5196/F5196,N5195)</f>
        <v/>
      </c>
      <c r="O5196">
        <f>IF(G5196=1,R5196*(1-1.0),IF(H5195=0,1,O5195*(1+0.00023125256064071564)))</f>
        <v/>
      </c>
      <c r="P5196">
        <f>IF(G5196=1,IF(H5195=0,1,ABS(0.2-J5195*B5196/I5196)+ABS(0.2-K5195*C5196/I5196)+ABS(0.2-L5195*D5196/I5196)+ABS(0.2-M5195*E5196/I5196)+ABS(0.2-N5195*F5196/I5196)),0)</f>
        <v/>
      </c>
      <c r="Q5196">
        <f>P5196*0.0015</f>
        <v/>
      </c>
      <c r="R5196">
        <f>I5196*(1-Q5196)</f>
        <v/>
      </c>
      <c r="S5196">
        <f>R5196/R5195-1</f>
        <v/>
      </c>
      <c r="T5196">
        <f>MAX(T5195,R5196)</f>
        <v/>
      </c>
      <c r="U5196">
        <f>R5196/T5196-1</f>
        <v/>
      </c>
      <c r="V5196" t="n">
        <v>28.84724319004582</v>
      </c>
      <c r="W5196" s="5">
        <f>R5196-V5196</f>
        <v/>
      </c>
    </row>
    <row r="5197">
      <c r="A5197" s="3" t="n">
        <v>46092</v>
      </c>
      <c r="B5197">
        <f>Prices!B5197</f>
        <v/>
      </c>
      <c r="C5197">
        <f>Prices!C5197</f>
        <v/>
      </c>
      <c r="D5197">
        <f>Prices!D5197</f>
        <v/>
      </c>
      <c r="E5197">
        <f>Prices!E5197</f>
        <v/>
      </c>
      <c r="F5197">
        <f>Prices!F5197</f>
        <v/>
      </c>
      <c r="G5197">
        <f>IF(AND(5195&gt;=16,TEXT(A5197,"yyyy-mm")&lt;&gt;TEXT(A5198,"yyyy-mm")),1,0)</f>
        <v/>
      </c>
      <c r="H5197">
        <f>IF(OR(H5196=1,G5197=1),1,0)</f>
        <v/>
      </c>
      <c r="I5197">
        <f>IF(H5196=0,1,SUMPRODUCT(J5196:N5196,B5197:F5197)+O5196*(1+0.00023125256064071564))</f>
        <v/>
      </c>
      <c r="J5197">
        <f>IF(G5197=1,0.2*R5197/B5197,J5196)</f>
        <v/>
      </c>
      <c r="K5197">
        <f>IF(G5197=1,0.2*R5197/C5197,K5196)</f>
        <v/>
      </c>
      <c r="L5197">
        <f>IF(G5197=1,0.2*R5197/D5197,L5196)</f>
        <v/>
      </c>
      <c r="M5197">
        <f>IF(G5197=1,0.2*R5197/E5197,M5196)</f>
        <v/>
      </c>
      <c r="N5197">
        <f>IF(G5197=1,0.2*R5197/F5197,N5196)</f>
        <v/>
      </c>
      <c r="O5197">
        <f>IF(G5197=1,R5197*(1-1.0),IF(H5196=0,1,O5196*(1+0.00023125256064071564)))</f>
        <v/>
      </c>
      <c r="P5197">
        <f>IF(G5197=1,IF(H5196=0,1,ABS(0.2-J5196*B5197/I5197)+ABS(0.2-K5196*C5197/I5197)+ABS(0.2-L5196*D5197/I5197)+ABS(0.2-M5196*E5197/I5197)+ABS(0.2-N5196*F5197/I5197)),0)</f>
        <v/>
      </c>
      <c r="Q5197">
        <f>P5197*0.0015</f>
        <v/>
      </c>
      <c r="R5197">
        <f>I5197*(1-Q5197)</f>
        <v/>
      </c>
      <c r="S5197">
        <f>R5197/R5196-1</f>
        <v/>
      </c>
      <c r="T5197">
        <f>MAX(T5196,R5197)</f>
        <v/>
      </c>
      <c r="U5197">
        <f>R5197/T5197-1</f>
        <v/>
      </c>
      <c r="V5197" t="n">
        <v>28.42810890834803</v>
      </c>
      <c r="W5197" s="5">
        <f>R5197-V5197</f>
        <v/>
      </c>
    </row>
    <row r="5198">
      <c r="A5198" s="3" t="n">
        <v>46093</v>
      </c>
      <c r="B5198">
        <f>Prices!B5198</f>
        <v/>
      </c>
      <c r="C5198">
        <f>Prices!C5198</f>
        <v/>
      </c>
      <c r="D5198">
        <f>Prices!D5198</f>
        <v/>
      </c>
      <c r="E5198">
        <f>Prices!E5198</f>
        <v/>
      </c>
      <c r="F5198">
        <f>Prices!F5198</f>
        <v/>
      </c>
      <c r="G5198">
        <f>IF(AND(5196&gt;=16,TEXT(A5198,"yyyy-mm")&lt;&gt;TEXT(A5199,"yyyy-mm")),1,0)</f>
        <v/>
      </c>
      <c r="H5198">
        <f>IF(OR(H5197=1,G5198=1),1,0)</f>
        <v/>
      </c>
      <c r="I5198">
        <f>IF(H5197=0,1,SUMPRODUCT(J5197:N5197,B5198:F5198)+O5197*(1+0.00023125256064071564))</f>
        <v/>
      </c>
      <c r="J5198">
        <f>IF(G5198=1,0.2*R5198/B5198,J5197)</f>
        <v/>
      </c>
      <c r="K5198">
        <f>IF(G5198=1,0.2*R5198/C5198,K5197)</f>
        <v/>
      </c>
      <c r="L5198">
        <f>IF(G5198=1,0.2*R5198/D5198,L5197)</f>
        <v/>
      </c>
      <c r="M5198">
        <f>IF(G5198=1,0.2*R5198/E5198,M5197)</f>
        <v/>
      </c>
      <c r="N5198">
        <f>IF(G5198=1,0.2*R5198/F5198,N5197)</f>
        <v/>
      </c>
      <c r="O5198">
        <f>IF(G5198=1,R5198*(1-1.0),IF(H5197=0,1,O5197*(1+0.00023125256064071564)))</f>
        <v/>
      </c>
      <c r="P5198">
        <f>IF(G5198=1,IF(H5197=0,1,ABS(0.2-J5197*B5198/I5198)+ABS(0.2-K5197*C5198/I5198)+ABS(0.2-L5197*D5198/I5198)+ABS(0.2-M5197*E5198/I5198)+ABS(0.2-N5197*F5198/I5198)),0)</f>
        <v/>
      </c>
      <c r="Q5198">
        <f>P5198*0.0015</f>
        <v/>
      </c>
      <c r="R5198">
        <f>I5198*(1-Q5198)</f>
        <v/>
      </c>
      <c r="S5198">
        <f>R5198/R5197-1</f>
        <v/>
      </c>
      <c r="T5198">
        <f>MAX(T5197,R5198)</f>
        <v/>
      </c>
      <c r="U5198">
        <f>R5198/T5198-1</f>
        <v/>
      </c>
      <c r="V5198" t="n">
        <v>28.28305255558961</v>
      </c>
      <c r="W5198" s="5">
        <f>R5198-V5198</f>
        <v/>
      </c>
    </row>
    <row r="5199">
      <c r="A5199" s="3" t="n">
        <v>46094</v>
      </c>
      <c r="B5199">
        <f>Prices!B5199</f>
        <v/>
      </c>
      <c r="C5199">
        <f>Prices!C5199</f>
        <v/>
      </c>
      <c r="D5199">
        <f>Prices!D5199</f>
        <v/>
      </c>
      <c r="E5199">
        <f>Prices!E5199</f>
        <v/>
      </c>
      <c r="F5199">
        <f>Prices!F5199</f>
        <v/>
      </c>
      <c r="G5199">
        <f>IF(AND(5197&gt;=16,TEXT(A5199,"yyyy-mm")&lt;&gt;TEXT(A5200,"yyyy-mm")),1,0)</f>
        <v/>
      </c>
      <c r="H5199">
        <f>IF(OR(H5198=1,G5199=1),1,0)</f>
        <v/>
      </c>
      <c r="I5199">
        <f>IF(H5198=0,1,SUMPRODUCT(J5198:N5198,B5199:F5199)+O5198*(1+0.00023125256064071564))</f>
        <v/>
      </c>
      <c r="J5199">
        <f>IF(G5199=1,0.2*R5199/B5199,J5198)</f>
        <v/>
      </c>
      <c r="K5199">
        <f>IF(G5199=1,0.2*R5199/C5199,K5198)</f>
        <v/>
      </c>
      <c r="L5199">
        <f>IF(G5199=1,0.2*R5199/D5199,L5198)</f>
        <v/>
      </c>
      <c r="M5199">
        <f>IF(G5199=1,0.2*R5199/E5199,M5198)</f>
        <v/>
      </c>
      <c r="N5199">
        <f>IF(G5199=1,0.2*R5199/F5199,N5198)</f>
        <v/>
      </c>
      <c r="O5199">
        <f>IF(G5199=1,R5199*(1-1.0),IF(H5198=0,1,O5198*(1+0.00023125256064071564)))</f>
        <v/>
      </c>
      <c r="P5199">
        <f>IF(G5199=1,IF(H5198=0,1,ABS(0.2-J5198*B5199/I5199)+ABS(0.2-K5198*C5199/I5199)+ABS(0.2-L5198*D5199/I5199)+ABS(0.2-M5198*E5199/I5199)+ABS(0.2-N5198*F5199/I5199)),0)</f>
        <v/>
      </c>
      <c r="Q5199">
        <f>P5199*0.0015</f>
        <v/>
      </c>
      <c r="R5199">
        <f>I5199*(1-Q5199)</f>
        <v/>
      </c>
      <c r="S5199">
        <f>R5199/R5198-1</f>
        <v/>
      </c>
      <c r="T5199">
        <f>MAX(T5198,R5199)</f>
        <v/>
      </c>
      <c r="U5199">
        <f>R5199/T5199-1</f>
        <v/>
      </c>
      <c r="V5199" t="n">
        <v>27.6047806265702</v>
      </c>
      <c r="W5199" s="5">
        <f>R5199-V5199</f>
        <v/>
      </c>
    </row>
    <row r="5200">
      <c r="A5200" s="3" t="n">
        <v>46097</v>
      </c>
      <c r="B5200">
        <f>Prices!B5200</f>
        <v/>
      </c>
      <c r="C5200">
        <f>Prices!C5200</f>
        <v/>
      </c>
      <c r="D5200">
        <f>Prices!D5200</f>
        <v/>
      </c>
      <c r="E5200">
        <f>Prices!E5200</f>
        <v/>
      </c>
      <c r="F5200">
        <f>Prices!F5200</f>
        <v/>
      </c>
      <c r="G5200">
        <f>IF(AND(5198&gt;=16,TEXT(A5200,"yyyy-mm")&lt;&gt;TEXT(A5201,"yyyy-mm")),1,0)</f>
        <v/>
      </c>
      <c r="H5200">
        <f>IF(OR(H5199=1,G5200=1),1,0)</f>
        <v/>
      </c>
      <c r="I5200">
        <f>IF(H5199=0,1,SUMPRODUCT(J5199:N5199,B5200:F5200)+O5199*(1+0.00023125256064071564))</f>
        <v/>
      </c>
      <c r="J5200">
        <f>IF(G5200=1,0.2*R5200/B5200,J5199)</f>
        <v/>
      </c>
      <c r="K5200">
        <f>IF(G5200=1,0.2*R5200/C5200,K5199)</f>
        <v/>
      </c>
      <c r="L5200">
        <f>IF(G5200=1,0.2*R5200/D5200,L5199)</f>
        <v/>
      </c>
      <c r="M5200">
        <f>IF(G5200=1,0.2*R5200/E5200,M5199)</f>
        <v/>
      </c>
      <c r="N5200">
        <f>IF(G5200=1,0.2*R5200/F5200,N5199)</f>
        <v/>
      </c>
      <c r="O5200">
        <f>IF(G5200=1,R5200*(1-1.0),IF(H5199=0,1,O5199*(1+0.00023125256064071564)))</f>
        <v/>
      </c>
      <c r="P5200">
        <f>IF(G5200=1,IF(H5199=0,1,ABS(0.2-J5199*B5200/I5200)+ABS(0.2-K5199*C5200/I5200)+ABS(0.2-L5199*D5200/I5200)+ABS(0.2-M5199*E5200/I5200)+ABS(0.2-N5199*F5200/I5200)),0)</f>
        <v/>
      </c>
      <c r="Q5200">
        <f>P5200*0.0015</f>
        <v/>
      </c>
      <c r="R5200">
        <f>I5200*(1-Q5200)</f>
        <v/>
      </c>
      <c r="S5200">
        <f>R5200/R5199-1</f>
        <v/>
      </c>
      <c r="T5200">
        <f>MAX(T5199,R5200)</f>
        <v/>
      </c>
      <c r="U5200">
        <f>R5200/T5200-1</f>
        <v/>
      </c>
      <c r="V5200" t="n">
        <v>27.58114725083065</v>
      </c>
      <c r="W5200" s="5">
        <f>R5200-V5200</f>
        <v/>
      </c>
    </row>
    <row r="5201">
      <c r="A5201" s="3" t="n">
        <v>46098</v>
      </c>
      <c r="B5201">
        <f>Prices!B5201</f>
        <v/>
      </c>
      <c r="C5201">
        <f>Prices!C5201</f>
        <v/>
      </c>
      <c r="D5201">
        <f>Prices!D5201</f>
        <v/>
      </c>
      <c r="E5201">
        <f>Prices!E5201</f>
        <v/>
      </c>
      <c r="F5201">
        <f>Prices!F5201</f>
        <v/>
      </c>
      <c r="G5201">
        <f>IF(AND(5199&gt;=16,TEXT(A5201,"yyyy-mm")&lt;&gt;TEXT(A5202,"yyyy-mm")),1,0)</f>
        <v/>
      </c>
      <c r="H5201">
        <f>IF(OR(H5200=1,G5201=1),1,0)</f>
        <v/>
      </c>
      <c r="I5201">
        <f>IF(H5200=0,1,SUMPRODUCT(J5200:N5200,B5201:F5201)+O5200*(1+0.00023125256064071564))</f>
        <v/>
      </c>
      <c r="J5201">
        <f>IF(G5201=1,0.2*R5201/B5201,J5200)</f>
        <v/>
      </c>
      <c r="K5201">
        <f>IF(G5201=1,0.2*R5201/C5201,K5200)</f>
        <v/>
      </c>
      <c r="L5201">
        <f>IF(G5201=1,0.2*R5201/D5201,L5200)</f>
        <v/>
      </c>
      <c r="M5201">
        <f>IF(G5201=1,0.2*R5201/E5201,M5200)</f>
        <v/>
      </c>
      <c r="N5201">
        <f>IF(G5201=1,0.2*R5201/F5201,N5200)</f>
        <v/>
      </c>
      <c r="O5201">
        <f>IF(G5201=1,R5201*(1-1.0),IF(H5200=0,1,O5200*(1+0.00023125256064071564)))</f>
        <v/>
      </c>
      <c r="P5201">
        <f>IF(G5201=1,IF(H5200=0,1,ABS(0.2-J5200*B5201/I5201)+ABS(0.2-K5200*C5201/I5201)+ABS(0.2-L5200*D5201/I5201)+ABS(0.2-M5200*E5201/I5201)+ABS(0.2-N5200*F5201/I5201)),0)</f>
        <v/>
      </c>
      <c r="Q5201">
        <f>P5201*0.0015</f>
        <v/>
      </c>
      <c r="R5201">
        <f>I5201*(1-Q5201)</f>
        <v/>
      </c>
      <c r="S5201">
        <f>R5201/R5200-1</f>
        <v/>
      </c>
      <c r="T5201">
        <f>MAX(T5200,R5201)</f>
        <v/>
      </c>
      <c r="U5201">
        <f>R5201/T5201-1</f>
        <v/>
      </c>
      <c r="V5201" t="n">
        <v>27.86907388912961</v>
      </c>
      <c r="W5201" s="5">
        <f>R5201-V5201</f>
        <v/>
      </c>
    </row>
    <row r="5202">
      <c r="A5202" s="3" t="n">
        <v>46099</v>
      </c>
      <c r="B5202">
        <f>Prices!B5202</f>
        <v/>
      </c>
      <c r="C5202">
        <f>Prices!C5202</f>
        <v/>
      </c>
      <c r="D5202">
        <f>Prices!D5202</f>
        <v/>
      </c>
      <c r="E5202">
        <f>Prices!E5202</f>
        <v/>
      </c>
      <c r="F5202">
        <f>Prices!F5202</f>
        <v/>
      </c>
      <c r="G5202">
        <f>IF(AND(5200&gt;=16,TEXT(A5202,"yyyy-mm")&lt;&gt;TEXT(A5203,"yyyy-mm")),1,0)</f>
        <v/>
      </c>
      <c r="H5202">
        <f>IF(OR(H5201=1,G5202=1),1,0)</f>
        <v/>
      </c>
      <c r="I5202">
        <f>IF(H5201=0,1,SUMPRODUCT(J5201:N5201,B5202:F5202)+O5201*(1+0.00023125256064071564))</f>
        <v/>
      </c>
      <c r="J5202">
        <f>IF(G5202=1,0.2*R5202/B5202,J5201)</f>
        <v/>
      </c>
      <c r="K5202">
        <f>IF(G5202=1,0.2*R5202/C5202,K5201)</f>
        <v/>
      </c>
      <c r="L5202">
        <f>IF(G5202=1,0.2*R5202/D5202,L5201)</f>
        <v/>
      </c>
      <c r="M5202">
        <f>IF(G5202=1,0.2*R5202/E5202,M5201)</f>
        <v/>
      </c>
      <c r="N5202">
        <f>IF(G5202=1,0.2*R5202/F5202,N5201)</f>
        <v/>
      </c>
      <c r="O5202">
        <f>IF(G5202=1,R5202*(1-1.0),IF(H5201=0,1,O5201*(1+0.00023125256064071564)))</f>
        <v/>
      </c>
      <c r="P5202">
        <f>IF(G5202=1,IF(H5201=0,1,ABS(0.2-J5201*B5202/I5202)+ABS(0.2-K5201*C5202/I5202)+ABS(0.2-L5201*D5202/I5202)+ABS(0.2-M5201*E5202/I5202)+ABS(0.2-N5201*F5202/I5202)),0)</f>
        <v/>
      </c>
      <c r="Q5202">
        <f>P5202*0.0015</f>
        <v/>
      </c>
      <c r="R5202">
        <f>I5202*(1-Q5202)</f>
        <v/>
      </c>
      <c r="S5202">
        <f>R5202/R5201-1</f>
        <v/>
      </c>
      <c r="T5202">
        <f>MAX(T5201,R5202)</f>
        <v/>
      </c>
      <c r="U5202">
        <f>R5202/T5202-1</f>
        <v/>
      </c>
      <c r="V5202" t="n">
        <v>28.19669937526522</v>
      </c>
      <c r="W5202" s="5">
        <f>R5202-V5202</f>
        <v/>
      </c>
    </row>
    <row r="5203">
      <c r="A5203" s="3" t="n">
        <v>46100</v>
      </c>
      <c r="B5203">
        <f>Prices!B5203</f>
        <v/>
      </c>
      <c r="C5203">
        <f>Prices!C5203</f>
        <v/>
      </c>
      <c r="D5203">
        <f>Prices!D5203</f>
        <v/>
      </c>
      <c r="E5203">
        <f>Prices!E5203</f>
        <v/>
      </c>
      <c r="F5203">
        <f>Prices!F5203</f>
        <v/>
      </c>
      <c r="G5203">
        <f>IF(AND(5201&gt;=16,TEXT(A5203,"yyyy-mm")&lt;&gt;TEXT(A5204,"yyyy-mm")),1,0)</f>
        <v/>
      </c>
      <c r="H5203">
        <f>IF(OR(H5202=1,G5203=1),1,0)</f>
        <v/>
      </c>
      <c r="I5203">
        <f>IF(H5202=0,1,SUMPRODUCT(J5202:N5202,B5203:F5203)+O5202*(1+0.00023125256064071564))</f>
        <v/>
      </c>
      <c r="J5203">
        <f>IF(G5203=1,0.2*R5203/B5203,J5202)</f>
        <v/>
      </c>
      <c r="K5203">
        <f>IF(G5203=1,0.2*R5203/C5203,K5202)</f>
        <v/>
      </c>
      <c r="L5203">
        <f>IF(G5203=1,0.2*R5203/D5203,L5202)</f>
        <v/>
      </c>
      <c r="M5203">
        <f>IF(G5203=1,0.2*R5203/E5203,M5202)</f>
        <v/>
      </c>
      <c r="N5203">
        <f>IF(G5203=1,0.2*R5203/F5203,N5202)</f>
        <v/>
      </c>
      <c r="O5203">
        <f>IF(G5203=1,R5203*(1-1.0),IF(H5202=0,1,O5202*(1+0.00023125256064071564)))</f>
        <v/>
      </c>
      <c r="P5203">
        <f>IF(G5203=1,IF(H5202=0,1,ABS(0.2-J5202*B5203/I5203)+ABS(0.2-K5202*C5203/I5203)+ABS(0.2-L5202*D5203/I5203)+ABS(0.2-M5202*E5203/I5203)+ABS(0.2-N5202*F5203/I5203)),0)</f>
        <v/>
      </c>
      <c r="Q5203">
        <f>P5203*0.0015</f>
        <v/>
      </c>
      <c r="R5203">
        <f>I5203*(1-Q5203)</f>
        <v/>
      </c>
      <c r="S5203">
        <f>R5203/R5202-1</f>
        <v/>
      </c>
      <c r="T5203">
        <f>MAX(T5202,R5203)</f>
        <v/>
      </c>
      <c r="U5203">
        <f>R5203/T5203-1</f>
        <v/>
      </c>
      <c r="V5203" t="n">
        <v>27.35212434684653</v>
      </c>
      <c r="W5203" s="5">
        <f>R5203-V5203</f>
        <v/>
      </c>
    </row>
    <row r="5204">
      <c r="A5204" s="3" t="n">
        <v>46101</v>
      </c>
      <c r="B5204">
        <f>Prices!B5204</f>
        <v/>
      </c>
      <c r="C5204">
        <f>Prices!C5204</f>
        <v/>
      </c>
      <c r="D5204">
        <f>Prices!D5204</f>
        <v/>
      </c>
      <c r="E5204">
        <f>Prices!E5204</f>
        <v/>
      </c>
      <c r="F5204">
        <f>Prices!F5204</f>
        <v/>
      </c>
      <c r="G5204">
        <f>IF(AND(5202&gt;=16,TEXT(A5204,"yyyy-mm")&lt;&gt;TEXT(A5205,"yyyy-mm")),1,0)</f>
        <v/>
      </c>
      <c r="H5204">
        <f>IF(OR(H5203=1,G5204=1),1,0)</f>
        <v/>
      </c>
      <c r="I5204">
        <f>IF(H5203=0,1,SUMPRODUCT(J5203:N5203,B5204:F5204)+O5203*(1+0.00023125256064071564))</f>
        <v/>
      </c>
      <c r="J5204">
        <f>IF(G5204=1,0.2*R5204/B5204,J5203)</f>
        <v/>
      </c>
      <c r="K5204">
        <f>IF(G5204=1,0.2*R5204/C5204,K5203)</f>
        <v/>
      </c>
      <c r="L5204">
        <f>IF(G5204=1,0.2*R5204/D5204,L5203)</f>
        <v/>
      </c>
      <c r="M5204">
        <f>IF(G5204=1,0.2*R5204/E5204,M5203)</f>
        <v/>
      </c>
      <c r="N5204">
        <f>IF(G5204=1,0.2*R5204/F5204,N5203)</f>
        <v/>
      </c>
      <c r="O5204">
        <f>IF(G5204=1,R5204*(1-1.0),IF(H5203=0,1,O5203*(1+0.00023125256064071564)))</f>
        <v/>
      </c>
      <c r="P5204">
        <f>IF(G5204=1,IF(H5203=0,1,ABS(0.2-J5203*B5204/I5204)+ABS(0.2-K5203*C5204/I5204)+ABS(0.2-L5203*D5204/I5204)+ABS(0.2-M5203*E5204/I5204)+ABS(0.2-N5203*F5204/I5204)),0)</f>
        <v/>
      </c>
      <c r="Q5204">
        <f>P5204*0.0015</f>
        <v/>
      </c>
      <c r="R5204">
        <f>I5204*(1-Q5204)</f>
        <v/>
      </c>
      <c r="S5204">
        <f>R5204/R5203-1</f>
        <v/>
      </c>
      <c r="T5204">
        <f>MAX(T5203,R5204)</f>
        <v/>
      </c>
      <c r="U5204">
        <f>R5204/T5204-1</f>
        <v/>
      </c>
      <c r="V5204" t="n">
        <v>27.46359490575443</v>
      </c>
      <c r="W5204" s="5">
        <f>R5204-V5204</f>
        <v/>
      </c>
    </row>
    <row r="5205">
      <c r="A5205" s="3" t="n">
        <v>46104</v>
      </c>
      <c r="B5205">
        <f>Prices!B5205</f>
        <v/>
      </c>
      <c r="C5205">
        <f>Prices!C5205</f>
        <v/>
      </c>
      <c r="D5205">
        <f>Prices!D5205</f>
        <v/>
      </c>
      <c r="E5205">
        <f>Prices!E5205</f>
        <v/>
      </c>
      <c r="F5205">
        <f>Prices!F5205</f>
        <v/>
      </c>
      <c r="G5205">
        <f>IF(AND(5203&gt;=16,TEXT(A5205,"yyyy-mm")&lt;&gt;TEXT(A5206,"yyyy-mm")),1,0)</f>
        <v/>
      </c>
      <c r="H5205">
        <f>IF(OR(H5204=1,G5205=1),1,0)</f>
        <v/>
      </c>
      <c r="I5205">
        <f>IF(H5204=0,1,SUMPRODUCT(J5204:N5204,B5205:F5205)+O5204*(1+0.00023125256064071564))</f>
        <v/>
      </c>
      <c r="J5205">
        <f>IF(G5205=1,0.2*R5205/B5205,J5204)</f>
        <v/>
      </c>
      <c r="K5205">
        <f>IF(G5205=1,0.2*R5205/C5205,K5204)</f>
        <v/>
      </c>
      <c r="L5205">
        <f>IF(G5205=1,0.2*R5205/D5205,L5204)</f>
        <v/>
      </c>
      <c r="M5205">
        <f>IF(G5205=1,0.2*R5205/E5205,M5204)</f>
        <v/>
      </c>
      <c r="N5205">
        <f>IF(G5205=1,0.2*R5205/F5205,N5204)</f>
        <v/>
      </c>
      <c r="O5205">
        <f>IF(G5205=1,R5205*(1-1.0),IF(H5204=0,1,O5204*(1+0.00023125256064071564)))</f>
        <v/>
      </c>
      <c r="P5205">
        <f>IF(G5205=1,IF(H5204=0,1,ABS(0.2-J5204*B5205/I5205)+ABS(0.2-K5204*C5205/I5205)+ABS(0.2-L5204*D5205/I5205)+ABS(0.2-M5204*E5205/I5205)+ABS(0.2-N5204*F5205/I5205)),0)</f>
        <v/>
      </c>
      <c r="Q5205">
        <f>P5205*0.0015</f>
        <v/>
      </c>
      <c r="R5205">
        <f>I5205*(1-Q5205)</f>
        <v/>
      </c>
      <c r="S5205">
        <f>R5205/R5204-1</f>
        <v/>
      </c>
      <c r="T5205">
        <f>MAX(T5204,R5205)</f>
        <v/>
      </c>
      <c r="U5205">
        <f>R5205/T5205-1</f>
        <v/>
      </c>
      <c r="V5205" t="n">
        <v>26.51572586382301</v>
      </c>
      <c r="W5205" s="5">
        <f>R5205-V5205</f>
        <v/>
      </c>
    </row>
    <row r="5206">
      <c r="A5206" s="3" t="n">
        <v>46105</v>
      </c>
      <c r="B5206">
        <f>Prices!B5206</f>
        <v/>
      </c>
      <c r="C5206">
        <f>Prices!C5206</f>
        <v/>
      </c>
      <c r="D5206">
        <f>Prices!D5206</f>
        <v/>
      </c>
      <c r="E5206">
        <f>Prices!E5206</f>
        <v/>
      </c>
      <c r="F5206">
        <f>Prices!F5206</f>
        <v/>
      </c>
      <c r="G5206">
        <f>IF(AND(5204&gt;=16,TEXT(A5206,"yyyy-mm")&lt;&gt;TEXT(A5207,"yyyy-mm")),1,0)</f>
        <v/>
      </c>
      <c r="H5206">
        <f>IF(OR(H5205=1,G5206=1),1,0)</f>
        <v/>
      </c>
      <c r="I5206">
        <f>IF(H5205=0,1,SUMPRODUCT(J5205:N5205,B5206:F5206)+O5205*(1+0.00023125256064071564))</f>
        <v/>
      </c>
      <c r="J5206">
        <f>IF(G5206=1,0.2*R5206/B5206,J5205)</f>
        <v/>
      </c>
      <c r="K5206">
        <f>IF(G5206=1,0.2*R5206/C5206,K5205)</f>
        <v/>
      </c>
      <c r="L5206">
        <f>IF(G5206=1,0.2*R5206/D5206,L5205)</f>
        <v/>
      </c>
      <c r="M5206">
        <f>IF(G5206=1,0.2*R5206/E5206,M5205)</f>
        <v/>
      </c>
      <c r="N5206">
        <f>IF(G5206=1,0.2*R5206/F5206,N5205)</f>
        <v/>
      </c>
      <c r="O5206">
        <f>IF(G5206=1,R5206*(1-1.0),IF(H5205=0,1,O5205*(1+0.00023125256064071564)))</f>
        <v/>
      </c>
      <c r="P5206">
        <f>IF(G5206=1,IF(H5205=0,1,ABS(0.2-J5205*B5206/I5206)+ABS(0.2-K5205*C5206/I5206)+ABS(0.2-L5205*D5206/I5206)+ABS(0.2-M5205*E5206/I5206)+ABS(0.2-N5205*F5206/I5206)),0)</f>
        <v/>
      </c>
      <c r="Q5206">
        <f>P5206*0.0015</f>
        <v/>
      </c>
      <c r="R5206">
        <f>I5206*(1-Q5206)</f>
        <v/>
      </c>
      <c r="S5206">
        <f>R5206/R5205-1</f>
        <v/>
      </c>
      <c r="T5206">
        <f>MAX(T5205,R5206)</f>
        <v/>
      </c>
      <c r="U5206">
        <f>R5206/T5206-1</f>
        <v/>
      </c>
      <c r="V5206" t="n">
        <v>27.04014508012156</v>
      </c>
      <c r="W5206" s="5">
        <f>R5206-V5206</f>
        <v/>
      </c>
    </row>
    <row r="5207">
      <c r="A5207" s="3" t="n">
        <v>46106</v>
      </c>
      <c r="B5207">
        <f>Prices!B5207</f>
        <v/>
      </c>
      <c r="C5207">
        <f>Prices!C5207</f>
        <v/>
      </c>
      <c r="D5207">
        <f>Prices!D5207</f>
        <v/>
      </c>
      <c r="E5207">
        <f>Prices!E5207</f>
        <v/>
      </c>
      <c r="F5207">
        <f>Prices!F5207</f>
        <v/>
      </c>
      <c r="G5207">
        <f>IF(AND(5205&gt;=16,TEXT(A5207,"yyyy-mm")&lt;&gt;TEXT(A5208,"yyyy-mm")),1,0)</f>
        <v/>
      </c>
      <c r="H5207">
        <f>IF(OR(H5206=1,G5207=1),1,0)</f>
        <v/>
      </c>
      <c r="I5207">
        <f>IF(H5206=0,1,SUMPRODUCT(J5206:N5206,B5207:F5207)+O5206*(1+0.00023125256064071564))</f>
        <v/>
      </c>
      <c r="J5207">
        <f>IF(G5207=1,0.2*R5207/B5207,J5206)</f>
        <v/>
      </c>
      <c r="K5207">
        <f>IF(G5207=1,0.2*R5207/C5207,K5206)</f>
        <v/>
      </c>
      <c r="L5207">
        <f>IF(G5207=1,0.2*R5207/D5207,L5206)</f>
        <v/>
      </c>
      <c r="M5207">
        <f>IF(G5207=1,0.2*R5207/E5207,M5206)</f>
        <v/>
      </c>
      <c r="N5207">
        <f>IF(G5207=1,0.2*R5207/F5207,N5206)</f>
        <v/>
      </c>
      <c r="O5207">
        <f>IF(G5207=1,R5207*(1-1.0),IF(H5206=0,1,O5206*(1+0.00023125256064071564)))</f>
        <v/>
      </c>
      <c r="P5207">
        <f>IF(G5207=1,IF(H5206=0,1,ABS(0.2-J5206*B5207/I5207)+ABS(0.2-K5206*C5207/I5207)+ABS(0.2-L5206*D5207/I5207)+ABS(0.2-M5206*E5207/I5207)+ABS(0.2-N5206*F5207/I5207)),0)</f>
        <v/>
      </c>
      <c r="Q5207">
        <f>P5207*0.0015</f>
        <v/>
      </c>
      <c r="R5207">
        <f>I5207*(1-Q5207)</f>
        <v/>
      </c>
      <c r="S5207">
        <f>R5207/R5206-1</f>
        <v/>
      </c>
      <c r="T5207">
        <f>MAX(T5206,R5207)</f>
        <v/>
      </c>
      <c r="U5207">
        <f>R5207/T5207-1</f>
        <v/>
      </c>
      <c r="V5207" t="n">
        <v>27.6263555872812</v>
      </c>
      <c r="W5207" s="5">
        <f>R5207-V5207</f>
        <v/>
      </c>
    </row>
    <row r="5208">
      <c r="A5208" s="3" t="n">
        <v>46108</v>
      </c>
      <c r="B5208">
        <f>Prices!B5208</f>
        <v/>
      </c>
      <c r="C5208">
        <f>Prices!C5208</f>
        <v/>
      </c>
      <c r="D5208">
        <f>Prices!D5208</f>
        <v/>
      </c>
      <c r="E5208">
        <f>Prices!E5208</f>
        <v/>
      </c>
      <c r="F5208">
        <f>Prices!F5208</f>
        <v/>
      </c>
      <c r="G5208">
        <f>IF(AND(5206&gt;=16,TEXT(A5208,"yyyy-mm")&lt;&gt;TEXT(A5209,"yyyy-mm")),1,0)</f>
        <v/>
      </c>
      <c r="H5208">
        <f>IF(OR(H5207=1,G5208=1),1,0)</f>
        <v/>
      </c>
      <c r="I5208">
        <f>IF(H5207=0,1,SUMPRODUCT(J5207:N5207,B5208:F5208)+O5207*(1+0.00023125256064071564))</f>
        <v/>
      </c>
      <c r="J5208">
        <f>IF(G5208=1,0.2*R5208/B5208,J5207)</f>
        <v/>
      </c>
      <c r="K5208">
        <f>IF(G5208=1,0.2*R5208/C5208,K5207)</f>
        <v/>
      </c>
      <c r="L5208">
        <f>IF(G5208=1,0.2*R5208/D5208,L5207)</f>
        <v/>
      </c>
      <c r="M5208">
        <f>IF(G5208=1,0.2*R5208/E5208,M5207)</f>
        <v/>
      </c>
      <c r="N5208">
        <f>IF(G5208=1,0.2*R5208/F5208,N5207)</f>
        <v/>
      </c>
      <c r="O5208">
        <f>IF(G5208=1,R5208*(1-1.0),IF(H5207=0,1,O5207*(1+0.00023125256064071564)))</f>
        <v/>
      </c>
      <c r="P5208">
        <f>IF(G5208=1,IF(H5207=0,1,ABS(0.2-J5207*B5208/I5208)+ABS(0.2-K5207*C5208/I5208)+ABS(0.2-L5207*D5208/I5208)+ABS(0.2-M5207*E5208/I5208)+ABS(0.2-N5207*F5208/I5208)),0)</f>
        <v/>
      </c>
      <c r="Q5208">
        <f>P5208*0.0015</f>
        <v/>
      </c>
      <c r="R5208">
        <f>I5208*(1-Q5208)</f>
        <v/>
      </c>
      <c r="S5208">
        <f>R5208/R5207-1</f>
        <v/>
      </c>
      <c r="T5208">
        <f>MAX(T5207,R5208)</f>
        <v/>
      </c>
      <c r="U5208">
        <f>R5208/T5208-1</f>
        <v/>
      </c>
      <c r="V5208" t="n">
        <v>27.06025648681717</v>
      </c>
      <c r="W5208" s="5">
        <f>R5208-V5208</f>
        <v/>
      </c>
    </row>
    <row r="5209">
      <c r="A5209" s="3" t="n">
        <v>46111</v>
      </c>
      <c r="B5209">
        <f>Prices!B5209</f>
        <v/>
      </c>
      <c r="C5209">
        <f>Prices!C5209</f>
        <v/>
      </c>
      <c r="D5209">
        <f>Prices!D5209</f>
        <v/>
      </c>
      <c r="E5209">
        <f>Prices!E5209</f>
        <v/>
      </c>
      <c r="F5209">
        <f>Prices!F5209</f>
        <v/>
      </c>
      <c r="G5209">
        <f>IF(AND(5207&gt;=16,TEXT(A5209,"yyyy-mm")&lt;&gt;TEXT(A5210,"yyyy-mm")),1,0)</f>
        <v/>
      </c>
      <c r="H5209">
        <f>IF(OR(H5208=1,G5209=1),1,0)</f>
        <v/>
      </c>
      <c r="I5209">
        <f>IF(H5208=0,1,SUMPRODUCT(J5208:N5208,B5209:F5209)+O5208*(1+0.00023125256064071564))</f>
        <v/>
      </c>
      <c r="J5209">
        <f>IF(G5209=1,0.2*R5209/B5209,J5208)</f>
        <v/>
      </c>
      <c r="K5209">
        <f>IF(G5209=1,0.2*R5209/C5209,K5208)</f>
        <v/>
      </c>
      <c r="L5209">
        <f>IF(G5209=1,0.2*R5209/D5209,L5208)</f>
        <v/>
      </c>
      <c r="M5209">
        <f>IF(G5209=1,0.2*R5209/E5209,M5208)</f>
        <v/>
      </c>
      <c r="N5209">
        <f>IF(G5209=1,0.2*R5209/F5209,N5208)</f>
        <v/>
      </c>
      <c r="O5209">
        <f>IF(G5209=1,R5209*(1-1.0),IF(H5208=0,1,O5208*(1+0.00023125256064071564)))</f>
        <v/>
      </c>
      <c r="P5209">
        <f>IF(G5209=1,IF(H5208=0,1,ABS(0.2-J5208*B5209/I5209)+ABS(0.2-K5208*C5209/I5209)+ABS(0.2-L5208*D5209/I5209)+ABS(0.2-M5208*E5209/I5209)+ABS(0.2-N5208*F5209/I5209)),0)</f>
        <v/>
      </c>
      <c r="Q5209">
        <f>P5209*0.0015</f>
        <v/>
      </c>
      <c r="R5209">
        <f>I5209*(1-Q5209)</f>
        <v/>
      </c>
      <c r="S5209">
        <f>R5209/R5208-1</f>
        <v/>
      </c>
      <c r="T5209">
        <f>MAX(T5208,R5209)</f>
        <v/>
      </c>
      <c r="U5209">
        <f>R5209/T5209-1</f>
        <v/>
      </c>
      <c r="V5209" t="n">
        <v>26.46378181961392</v>
      </c>
      <c r="W5209" s="5">
        <f>R5209-V5209</f>
        <v/>
      </c>
    </row>
    <row r="5210">
      <c r="A5210" s="3" t="n">
        <v>46113</v>
      </c>
      <c r="B5210">
        <f>Prices!B5210</f>
        <v/>
      </c>
      <c r="C5210">
        <f>Prices!C5210</f>
        <v/>
      </c>
      <c r="D5210">
        <f>Prices!D5210</f>
        <v/>
      </c>
      <c r="E5210">
        <f>Prices!E5210</f>
        <v/>
      </c>
      <c r="F5210">
        <f>Prices!F5210</f>
        <v/>
      </c>
      <c r="G5210">
        <f>IF(AND(5208&gt;=16,TEXT(A5210,"yyyy-mm")&lt;&gt;TEXT(A5211,"yyyy-mm")),1,0)</f>
        <v/>
      </c>
      <c r="H5210">
        <f>IF(OR(H5209=1,G5210=1),1,0)</f>
        <v/>
      </c>
      <c r="I5210">
        <f>IF(H5209=0,1,SUMPRODUCT(J5209:N5209,B5210:F5210)+O5209*(1+0.00023125256064071564))</f>
        <v/>
      </c>
      <c r="J5210">
        <f>IF(G5210=1,0.2*R5210/B5210,J5209)</f>
        <v/>
      </c>
      <c r="K5210">
        <f>IF(G5210=1,0.2*R5210/C5210,K5209)</f>
        <v/>
      </c>
      <c r="L5210">
        <f>IF(G5210=1,0.2*R5210/D5210,L5209)</f>
        <v/>
      </c>
      <c r="M5210">
        <f>IF(G5210=1,0.2*R5210/E5210,M5209)</f>
        <v/>
      </c>
      <c r="N5210">
        <f>IF(G5210=1,0.2*R5210/F5210,N5209)</f>
        <v/>
      </c>
      <c r="O5210">
        <f>IF(G5210=1,R5210*(1-1.0),IF(H5209=0,1,O5209*(1+0.00023125256064071564)))</f>
        <v/>
      </c>
      <c r="P5210">
        <f>IF(G5210=1,IF(H5209=0,1,ABS(0.2-J5209*B5210/I5210)+ABS(0.2-K5209*C5210/I5210)+ABS(0.2-L5209*D5210/I5210)+ABS(0.2-M5209*E5210/I5210)+ABS(0.2-N5209*F5210/I5210)),0)</f>
        <v/>
      </c>
      <c r="Q5210">
        <f>P5210*0.0015</f>
        <v/>
      </c>
      <c r="R5210">
        <f>I5210*(1-Q5210)</f>
        <v/>
      </c>
      <c r="S5210">
        <f>R5210/R5209-1</f>
        <v/>
      </c>
      <c r="T5210">
        <f>MAX(T5209,R5210)</f>
        <v/>
      </c>
      <c r="U5210">
        <f>R5210/T5210-1</f>
        <v/>
      </c>
      <c r="V5210" t="n">
        <v>27.106892836834</v>
      </c>
      <c r="W5210" s="5">
        <f>R5210-V5210</f>
        <v/>
      </c>
    </row>
    <row r="5211">
      <c r="A5211" s="3" t="n">
        <v>46114</v>
      </c>
      <c r="B5211">
        <f>Prices!B5211</f>
        <v/>
      </c>
      <c r="C5211">
        <f>Prices!C5211</f>
        <v/>
      </c>
      <c r="D5211">
        <f>Prices!D5211</f>
        <v/>
      </c>
      <c r="E5211">
        <f>Prices!E5211</f>
        <v/>
      </c>
      <c r="F5211">
        <f>Prices!F5211</f>
        <v/>
      </c>
      <c r="G5211">
        <f>IF(AND(5209&gt;=16,TEXT(A5211,"yyyy-mm")&lt;&gt;TEXT(A5212,"yyyy-mm")),1,0)</f>
        <v/>
      </c>
      <c r="H5211">
        <f>IF(OR(H5210=1,G5211=1),1,0)</f>
        <v/>
      </c>
      <c r="I5211">
        <f>IF(H5210=0,1,SUMPRODUCT(J5210:N5210,B5211:F5211)+O5210*(1+0.00023125256064071564))</f>
        <v/>
      </c>
      <c r="J5211">
        <f>IF(G5211=1,0.2*R5211/B5211,J5210)</f>
        <v/>
      </c>
      <c r="K5211">
        <f>IF(G5211=1,0.2*R5211/C5211,K5210)</f>
        <v/>
      </c>
      <c r="L5211">
        <f>IF(G5211=1,0.2*R5211/D5211,L5210)</f>
        <v/>
      </c>
      <c r="M5211">
        <f>IF(G5211=1,0.2*R5211/E5211,M5210)</f>
        <v/>
      </c>
      <c r="N5211">
        <f>IF(G5211=1,0.2*R5211/F5211,N5210)</f>
        <v/>
      </c>
      <c r="O5211">
        <f>IF(G5211=1,R5211*(1-1.0),IF(H5210=0,1,O5210*(1+0.00023125256064071564)))</f>
        <v/>
      </c>
      <c r="P5211">
        <f>IF(G5211=1,IF(H5210=0,1,ABS(0.2-J5210*B5211/I5211)+ABS(0.2-K5210*C5211/I5211)+ABS(0.2-L5210*D5211/I5211)+ABS(0.2-M5210*E5211/I5211)+ABS(0.2-N5210*F5211/I5211)),0)</f>
        <v/>
      </c>
      <c r="Q5211">
        <f>P5211*0.0015</f>
        <v/>
      </c>
      <c r="R5211">
        <f>I5211*(1-Q5211)</f>
        <v/>
      </c>
      <c r="S5211">
        <f>R5211/R5210-1</f>
        <v/>
      </c>
      <c r="T5211">
        <f>MAX(T5210,R5211)</f>
        <v/>
      </c>
      <c r="U5211">
        <f>R5211/T5211-1</f>
        <v/>
      </c>
      <c r="V5211" t="n">
        <v>27.04989295579918</v>
      </c>
      <c r="W5211" s="5">
        <f>R5211-V5211</f>
        <v/>
      </c>
    </row>
    <row r="5212">
      <c r="A5212" s="3" t="n">
        <v>46118</v>
      </c>
      <c r="B5212">
        <f>Prices!B5212</f>
        <v/>
      </c>
      <c r="C5212">
        <f>Prices!C5212</f>
        <v/>
      </c>
      <c r="D5212">
        <f>Prices!D5212</f>
        <v/>
      </c>
      <c r="E5212">
        <f>Prices!E5212</f>
        <v/>
      </c>
      <c r="F5212">
        <f>Prices!F5212</f>
        <v/>
      </c>
      <c r="G5212">
        <f>IF(AND(5210&gt;=16,TEXT(A5212,"yyyy-mm")&lt;&gt;TEXT(A5213,"yyyy-mm")),1,0)</f>
        <v/>
      </c>
      <c r="H5212">
        <f>IF(OR(H5211=1,G5212=1),1,0)</f>
        <v/>
      </c>
      <c r="I5212">
        <f>IF(H5211=0,1,SUMPRODUCT(J5211:N5211,B5212:F5212)+O5211*(1+0.00023125256064071564))</f>
        <v/>
      </c>
      <c r="J5212">
        <f>IF(G5212=1,0.2*R5212/B5212,J5211)</f>
        <v/>
      </c>
      <c r="K5212">
        <f>IF(G5212=1,0.2*R5212/C5212,K5211)</f>
        <v/>
      </c>
      <c r="L5212">
        <f>IF(G5212=1,0.2*R5212/D5212,L5211)</f>
        <v/>
      </c>
      <c r="M5212">
        <f>IF(G5212=1,0.2*R5212/E5212,M5211)</f>
        <v/>
      </c>
      <c r="N5212">
        <f>IF(G5212=1,0.2*R5212/F5212,N5211)</f>
        <v/>
      </c>
      <c r="O5212">
        <f>IF(G5212=1,R5212*(1-1.0),IF(H5211=0,1,O5211*(1+0.00023125256064071564)))</f>
        <v/>
      </c>
      <c r="P5212">
        <f>IF(G5212=1,IF(H5211=0,1,ABS(0.2-J5211*B5212/I5212)+ABS(0.2-K5211*C5212/I5212)+ABS(0.2-L5211*D5212/I5212)+ABS(0.2-M5211*E5212/I5212)+ABS(0.2-N5211*F5212/I5212)),0)</f>
        <v/>
      </c>
      <c r="Q5212">
        <f>P5212*0.0015</f>
        <v/>
      </c>
      <c r="R5212">
        <f>I5212*(1-Q5212)</f>
        <v/>
      </c>
      <c r="S5212">
        <f>R5212/R5211-1</f>
        <v/>
      </c>
      <c r="T5212">
        <f>MAX(T5211,R5212)</f>
        <v/>
      </c>
      <c r="U5212">
        <f>R5212/T5212-1</f>
        <v/>
      </c>
      <c r="V5212" t="n">
        <v>27.4463351885212</v>
      </c>
      <c r="W5212" s="5">
        <f>R5212-V5212</f>
        <v/>
      </c>
    </row>
    <row r="5213">
      <c r="A5213" s="3" t="n">
        <v>46119</v>
      </c>
      <c r="B5213">
        <f>Prices!B5213</f>
        <v/>
      </c>
      <c r="C5213">
        <f>Prices!C5213</f>
        <v/>
      </c>
      <c r="D5213">
        <f>Prices!D5213</f>
        <v/>
      </c>
      <c r="E5213">
        <f>Prices!E5213</f>
        <v/>
      </c>
      <c r="F5213">
        <f>Prices!F5213</f>
        <v/>
      </c>
      <c r="G5213">
        <f>IF(AND(5211&gt;=16,TEXT(A5213,"yyyy-mm")&lt;&gt;TEXT(A5214,"yyyy-mm")),1,0)</f>
        <v/>
      </c>
      <c r="H5213">
        <f>IF(OR(H5212=1,G5213=1),1,0)</f>
        <v/>
      </c>
      <c r="I5213">
        <f>IF(H5212=0,1,SUMPRODUCT(J5212:N5212,B5213:F5213)+O5212*(1+0.00023125256064071564))</f>
        <v/>
      </c>
      <c r="J5213">
        <f>IF(G5213=1,0.2*R5213/B5213,J5212)</f>
        <v/>
      </c>
      <c r="K5213">
        <f>IF(G5213=1,0.2*R5213/C5213,K5212)</f>
        <v/>
      </c>
      <c r="L5213">
        <f>IF(G5213=1,0.2*R5213/D5213,L5212)</f>
        <v/>
      </c>
      <c r="M5213">
        <f>IF(G5213=1,0.2*R5213/E5213,M5212)</f>
        <v/>
      </c>
      <c r="N5213">
        <f>IF(G5213=1,0.2*R5213/F5213,N5212)</f>
        <v/>
      </c>
      <c r="O5213">
        <f>IF(G5213=1,R5213*(1-1.0),IF(H5212=0,1,O5212*(1+0.00023125256064071564)))</f>
        <v/>
      </c>
      <c r="P5213">
        <f>IF(G5213=1,IF(H5212=0,1,ABS(0.2-J5212*B5213/I5213)+ABS(0.2-K5212*C5213/I5213)+ABS(0.2-L5212*D5213/I5213)+ABS(0.2-M5212*E5213/I5213)+ABS(0.2-N5212*F5213/I5213)),0)</f>
        <v/>
      </c>
      <c r="Q5213">
        <f>P5213*0.0015</f>
        <v/>
      </c>
      <c r="R5213">
        <f>I5213*(1-Q5213)</f>
        <v/>
      </c>
      <c r="S5213">
        <f>R5213/R5212-1</f>
        <v/>
      </c>
      <c r="T5213">
        <f>MAX(T5212,R5213)</f>
        <v/>
      </c>
      <c r="U5213">
        <f>R5213/T5213-1</f>
        <v/>
      </c>
      <c r="V5213" t="n">
        <v>27.52847413104008</v>
      </c>
      <c r="W5213" s="5">
        <f>R5213-V5213</f>
        <v/>
      </c>
    </row>
    <row r="5214">
      <c r="A5214" s="3" t="n">
        <v>46120</v>
      </c>
      <c r="B5214">
        <f>Prices!B5214</f>
        <v/>
      </c>
      <c r="C5214">
        <f>Prices!C5214</f>
        <v/>
      </c>
      <c r="D5214">
        <f>Prices!D5214</f>
        <v/>
      </c>
      <c r="E5214">
        <f>Prices!E5214</f>
        <v/>
      </c>
      <c r="F5214">
        <f>Prices!F5214</f>
        <v/>
      </c>
      <c r="G5214">
        <f>IF(AND(5212&gt;=16,TEXT(A5214,"yyyy-mm")&lt;&gt;TEXT(A5215,"yyyy-mm")),1,0)</f>
        <v/>
      </c>
      <c r="H5214">
        <f>IF(OR(H5213=1,G5214=1),1,0)</f>
        <v/>
      </c>
      <c r="I5214">
        <f>IF(H5213=0,1,SUMPRODUCT(J5213:N5213,B5214:F5214)+O5213*(1+0.00023125256064071564))</f>
        <v/>
      </c>
      <c r="J5214">
        <f>IF(G5214=1,0.2*R5214/B5214,J5213)</f>
        <v/>
      </c>
      <c r="K5214">
        <f>IF(G5214=1,0.2*R5214/C5214,K5213)</f>
        <v/>
      </c>
      <c r="L5214">
        <f>IF(G5214=1,0.2*R5214/D5214,L5213)</f>
        <v/>
      </c>
      <c r="M5214">
        <f>IF(G5214=1,0.2*R5214/E5214,M5213)</f>
        <v/>
      </c>
      <c r="N5214">
        <f>IF(G5214=1,0.2*R5214/F5214,N5213)</f>
        <v/>
      </c>
      <c r="O5214">
        <f>IF(G5214=1,R5214*(1-1.0),IF(H5213=0,1,O5213*(1+0.00023125256064071564)))</f>
        <v/>
      </c>
      <c r="P5214">
        <f>IF(G5214=1,IF(H5213=0,1,ABS(0.2-J5213*B5214/I5214)+ABS(0.2-K5213*C5214/I5214)+ABS(0.2-L5213*D5214/I5214)+ABS(0.2-M5213*E5214/I5214)+ABS(0.2-N5213*F5214/I5214)),0)</f>
        <v/>
      </c>
      <c r="Q5214">
        <f>P5214*0.0015</f>
        <v/>
      </c>
      <c r="R5214">
        <f>I5214*(1-Q5214)</f>
        <v/>
      </c>
      <c r="S5214">
        <f>R5214/R5213-1</f>
        <v/>
      </c>
      <c r="T5214">
        <f>MAX(T5213,R5214)</f>
        <v/>
      </c>
      <c r="U5214">
        <f>R5214/T5214-1</f>
        <v/>
      </c>
      <c r="V5214" t="n">
        <v>28.55393247912889</v>
      </c>
      <c r="W5214" s="5">
        <f>R5214-V5214</f>
        <v/>
      </c>
    </row>
    <row r="5215">
      <c r="A5215" s="3" t="n">
        <v>46121</v>
      </c>
      <c r="B5215">
        <f>Prices!B5215</f>
        <v/>
      </c>
      <c r="C5215">
        <f>Prices!C5215</f>
        <v/>
      </c>
      <c r="D5215">
        <f>Prices!D5215</f>
        <v/>
      </c>
      <c r="E5215">
        <f>Prices!E5215</f>
        <v/>
      </c>
      <c r="F5215">
        <f>Prices!F5215</f>
        <v/>
      </c>
      <c r="G5215">
        <f>IF(AND(5213&gt;=16,TEXT(A5215,"yyyy-mm")&lt;&gt;TEXT(A5216,"yyyy-mm")),1,0)</f>
        <v/>
      </c>
      <c r="H5215">
        <f>IF(OR(H5214=1,G5215=1),1,0)</f>
        <v/>
      </c>
      <c r="I5215">
        <f>IF(H5214=0,1,SUMPRODUCT(J5214:N5214,B5215:F5215)+O5214*(1+0.00023125256064071564))</f>
        <v/>
      </c>
      <c r="J5215">
        <f>IF(G5215=1,0.2*R5215/B5215,J5214)</f>
        <v/>
      </c>
      <c r="K5215">
        <f>IF(G5215=1,0.2*R5215/C5215,K5214)</f>
        <v/>
      </c>
      <c r="L5215">
        <f>IF(G5215=1,0.2*R5215/D5215,L5214)</f>
        <v/>
      </c>
      <c r="M5215">
        <f>IF(G5215=1,0.2*R5215/E5215,M5214)</f>
        <v/>
      </c>
      <c r="N5215">
        <f>IF(G5215=1,0.2*R5215/F5215,N5214)</f>
        <v/>
      </c>
      <c r="O5215">
        <f>IF(G5215=1,R5215*(1-1.0),IF(H5214=0,1,O5214*(1+0.00023125256064071564)))</f>
        <v/>
      </c>
      <c r="P5215">
        <f>IF(G5215=1,IF(H5214=0,1,ABS(0.2-J5214*B5215/I5215)+ABS(0.2-K5214*C5215/I5215)+ABS(0.2-L5214*D5215/I5215)+ABS(0.2-M5214*E5215/I5215)+ABS(0.2-N5214*F5215/I5215)),0)</f>
        <v/>
      </c>
      <c r="Q5215">
        <f>P5215*0.0015</f>
        <v/>
      </c>
      <c r="R5215">
        <f>I5215*(1-Q5215)</f>
        <v/>
      </c>
      <c r="S5215">
        <f>R5215/R5214-1</f>
        <v/>
      </c>
      <c r="T5215">
        <f>MAX(T5214,R5215)</f>
        <v/>
      </c>
      <c r="U5215">
        <f>R5215/T5215-1</f>
        <v/>
      </c>
      <c r="V5215" t="n">
        <v>28.66532686876455</v>
      </c>
      <c r="W5215" s="5">
        <f>R5215-V5215</f>
        <v/>
      </c>
    </row>
    <row r="5216">
      <c r="A5216" s="3" t="n">
        <v>46122</v>
      </c>
      <c r="B5216">
        <f>Prices!B5216</f>
        <v/>
      </c>
      <c r="C5216">
        <f>Prices!C5216</f>
        <v/>
      </c>
      <c r="D5216">
        <f>Prices!D5216</f>
        <v/>
      </c>
      <c r="E5216">
        <f>Prices!E5216</f>
        <v/>
      </c>
      <c r="F5216">
        <f>Prices!F5216</f>
        <v/>
      </c>
      <c r="G5216">
        <f>IF(AND(5214&gt;=16,TEXT(A5216,"yyyy-mm")&lt;&gt;TEXT(A5217,"yyyy-mm")),1,0)</f>
        <v/>
      </c>
      <c r="H5216">
        <f>IF(OR(H5215=1,G5216=1),1,0)</f>
        <v/>
      </c>
      <c r="I5216">
        <f>IF(H5215=0,1,SUMPRODUCT(J5215:N5215,B5216:F5216)+O5215*(1+0.00023125256064071564))</f>
        <v/>
      </c>
      <c r="J5216">
        <f>IF(G5216=1,0.2*R5216/B5216,J5215)</f>
        <v/>
      </c>
      <c r="K5216">
        <f>IF(G5216=1,0.2*R5216/C5216,K5215)</f>
        <v/>
      </c>
      <c r="L5216">
        <f>IF(G5216=1,0.2*R5216/D5216,L5215)</f>
        <v/>
      </c>
      <c r="M5216">
        <f>IF(G5216=1,0.2*R5216/E5216,M5215)</f>
        <v/>
      </c>
      <c r="N5216">
        <f>IF(G5216=1,0.2*R5216/F5216,N5215)</f>
        <v/>
      </c>
      <c r="O5216">
        <f>IF(G5216=1,R5216*(1-1.0),IF(H5215=0,1,O5215*(1+0.00023125256064071564)))</f>
        <v/>
      </c>
      <c r="P5216">
        <f>IF(G5216=1,IF(H5215=0,1,ABS(0.2-J5215*B5216/I5216)+ABS(0.2-K5215*C5216/I5216)+ABS(0.2-L5215*D5216/I5216)+ABS(0.2-M5215*E5216/I5216)+ABS(0.2-N5215*F5216/I5216)),0)</f>
        <v/>
      </c>
      <c r="Q5216">
        <f>P5216*0.0015</f>
        <v/>
      </c>
      <c r="R5216">
        <f>I5216*(1-Q5216)</f>
        <v/>
      </c>
      <c r="S5216">
        <f>R5216/R5215-1</f>
        <v/>
      </c>
      <c r="T5216">
        <f>MAX(T5215,R5216)</f>
        <v/>
      </c>
      <c r="U5216">
        <f>R5216/T5216-1</f>
        <v/>
      </c>
      <c r="V5216" t="n">
        <v>29.09828700140596</v>
      </c>
      <c r="W5216" s="5">
        <f>R5216-V5216</f>
        <v/>
      </c>
    </row>
    <row r="5217">
      <c r="A5217" s="3" t="n">
        <v>46125</v>
      </c>
      <c r="B5217">
        <f>Prices!B5217</f>
        <v/>
      </c>
      <c r="C5217">
        <f>Prices!C5217</f>
        <v/>
      </c>
      <c r="D5217">
        <f>Prices!D5217</f>
        <v/>
      </c>
      <c r="E5217">
        <f>Prices!E5217</f>
        <v/>
      </c>
      <c r="F5217">
        <f>Prices!F5217</f>
        <v/>
      </c>
      <c r="G5217">
        <f>IF(AND(5215&gt;=16,TEXT(A5217,"yyyy-mm")&lt;&gt;TEXT(A5218,"yyyy-mm")),1,0)</f>
        <v/>
      </c>
      <c r="H5217">
        <f>IF(OR(H5216=1,G5217=1),1,0)</f>
        <v/>
      </c>
      <c r="I5217">
        <f>IF(H5216=0,1,SUMPRODUCT(J5216:N5216,B5217:F5217)+O5216*(1+0.00023125256064071564))</f>
        <v/>
      </c>
      <c r="J5217">
        <f>IF(G5217=1,0.2*R5217/B5217,J5216)</f>
        <v/>
      </c>
      <c r="K5217">
        <f>IF(G5217=1,0.2*R5217/C5217,K5216)</f>
        <v/>
      </c>
      <c r="L5217">
        <f>IF(G5217=1,0.2*R5217/D5217,L5216)</f>
        <v/>
      </c>
      <c r="M5217">
        <f>IF(G5217=1,0.2*R5217/E5217,M5216)</f>
        <v/>
      </c>
      <c r="N5217">
        <f>IF(G5217=1,0.2*R5217/F5217,N5216)</f>
        <v/>
      </c>
      <c r="O5217">
        <f>IF(G5217=1,R5217*(1-1.0),IF(H5216=0,1,O5216*(1+0.00023125256064071564)))</f>
        <v/>
      </c>
      <c r="P5217">
        <f>IF(G5217=1,IF(H5216=0,1,ABS(0.2-J5216*B5217/I5217)+ABS(0.2-K5216*C5217/I5217)+ABS(0.2-L5216*D5217/I5217)+ABS(0.2-M5216*E5217/I5217)+ABS(0.2-N5216*F5217/I5217)),0)</f>
        <v/>
      </c>
      <c r="Q5217">
        <f>P5217*0.0015</f>
        <v/>
      </c>
      <c r="R5217">
        <f>I5217*(1-Q5217)</f>
        <v/>
      </c>
      <c r="S5217">
        <f>R5217/R5216-1</f>
        <v/>
      </c>
      <c r="T5217">
        <f>MAX(T5216,R5217)</f>
        <v/>
      </c>
      <c r="U5217">
        <f>R5217/T5217-1</f>
        <v/>
      </c>
      <c r="V5217" t="n">
        <v>28.86852447066332</v>
      </c>
      <c r="W5217" s="5">
        <f>R5217-V5217</f>
        <v/>
      </c>
    </row>
    <row r="5218">
      <c r="A5218" s="3" t="n">
        <v>46127</v>
      </c>
      <c r="B5218">
        <f>Prices!B5218</f>
        <v/>
      </c>
      <c r="C5218">
        <f>Prices!C5218</f>
        <v/>
      </c>
      <c r="D5218">
        <f>Prices!D5218</f>
        <v/>
      </c>
      <c r="E5218">
        <f>Prices!E5218</f>
        <v/>
      </c>
      <c r="F5218">
        <f>Prices!F5218</f>
        <v/>
      </c>
      <c r="G5218">
        <f>IF(AND(5216&gt;=16,TEXT(A5218,"yyyy-mm")&lt;&gt;TEXT(A5219,"yyyy-mm")),1,0)</f>
        <v/>
      </c>
      <c r="H5218">
        <f>IF(OR(H5217=1,G5218=1),1,0)</f>
        <v/>
      </c>
      <c r="I5218">
        <f>IF(H5217=0,1,SUMPRODUCT(J5217:N5217,B5218:F5218)+O5217*(1+0.00023125256064071564))</f>
        <v/>
      </c>
      <c r="J5218">
        <f>IF(G5218=1,0.2*R5218/B5218,J5217)</f>
        <v/>
      </c>
      <c r="K5218">
        <f>IF(G5218=1,0.2*R5218/C5218,K5217)</f>
        <v/>
      </c>
      <c r="L5218">
        <f>IF(G5218=1,0.2*R5218/D5218,L5217)</f>
        <v/>
      </c>
      <c r="M5218">
        <f>IF(G5218=1,0.2*R5218/E5218,M5217)</f>
        <v/>
      </c>
      <c r="N5218">
        <f>IF(G5218=1,0.2*R5218/F5218,N5217)</f>
        <v/>
      </c>
      <c r="O5218">
        <f>IF(G5218=1,R5218*(1-1.0),IF(H5217=0,1,O5217*(1+0.00023125256064071564)))</f>
        <v/>
      </c>
      <c r="P5218">
        <f>IF(G5218=1,IF(H5217=0,1,ABS(0.2-J5217*B5218/I5218)+ABS(0.2-K5217*C5218/I5218)+ABS(0.2-L5217*D5218/I5218)+ABS(0.2-M5217*E5218/I5218)+ABS(0.2-N5217*F5218/I5218)),0)</f>
        <v/>
      </c>
      <c r="Q5218">
        <f>P5218*0.0015</f>
        <v/>
      </c>
      <c r="R5218">
        <f>I5218*(1-Q5218)</f>
        <v/>
      </c>
      <c r="S5218">
        <f>R5218/R5217-1</f>
        <v/>
      </c>
      <c r="T5218">
        <f>MAX(T5217,R5218)</f>
        <v/>
      </c>
      <c r="U5218">
        <f>R5218/T5218-1</f>
        <v/>
      </c>
      <c r="V5218" t="n">
        <v>29.41126486838398</v>
      </c>
      <c r="W5218" s="5">
        <f>R5218-V5218</f>
        <v/>
      </c>
    </row>
    <row r="5219">
      <c r="A5219" s="3" t="n">
        <v>46128</v>
      </c>
      <c r="B5219">
        <f>Prices!B5219</f>
        <v/>
      </c>
      <c r="C5219">
        <f>Prices!C5219</f>
        <v/>
      </c>
      <c r="D5219">
        <f>Prices!D5219</f>
        <v/>
      </c>
      <c r="E5219">
        <f>Prices!E5219</f>
        <v/>
      </c>
      <c r="F5219">
        <f>Prices!F5219</f>
        <v/>
      </c>
      <c r="G5219">
        <f>IF(AND(5217&gt;=16,TEXT(A5219,"yyyy-mm")&lt;&gt;TEXT(A5220,"yyyy-mm")),1,0)</f>
        <v/>
      </c>
      <c r="H5219">
        <f>IF(OR(H5218=1,G5219=1),1,0)</f>
        <v/>
      </c>
      <c r="I5219">
        <f>IF(H5218=0,1,SUMPRODUCT(J5218:N5218,B5219:F5219)+O5218*(1+0.00023125256064071564))</f>
        <v/>
      </c>
      <c r="J5219">
        <f>IF(G5219=1,0.2*R5219/B5219,J5218)</f>
        <v/>
      </c>
      <c r="K5219">
        <f>IF(G5219=1,0.2*R5219/C5219,K5218)</f>
        <v/>
      </c>
      <c r="L5219">
        <f>IF(G5219=1,0.2*R5219/D5219,L5218)</f>
        <v/>
      </c>
      <c r="M5219">
        <f>IF(G5219=1,0.2*R5219/E5219,M5218)</f>
        <v/>
      </c>
      <c r="N5219">
        <f>IF(G5219=1,0.2*R5219/F5219,N5218)</f>
        <v/>
      </c>
      <c r="O5219">
        <f>IF(G5219=1,R5219*(1-1.0),IF(H5218=0,1,O5218*(1+0.00023125256064071564)))</f>
        <v/>
      </c>
      <c r="P5219">
        <f>IF(G5219=1,IF(H5218=0,1,ABS(0.2-J5218*B5219/I5219)+ABS(0.2-K5218*C5219/I5219)+ABS(0.2-L5218*D5219/I5219)+ABS(0.2-M5218*E5219/I5219)+ABS(0.2-N5218*F5219/I5219)),0)</f>
        <v/>
      </c>
      <c r="Q5219">
        <f>P5219*0.0015</f>
        <v/>
      </c>
      <c r="R5219">
        <f>I5219*(1-Q5219)</f>
        <v/>
      </c>
      <c r="S5219">
        <f>R5219/R5218-1</f>
        <v/>
      </c>
      <c r="T5219">
        <f>MAX(T5218,R5219)</f>
        <v/>
      </c>
      <c r="U5219">
        <f>R5219/T5219-1</f>
        <v/>
      </c>
      <c r="V5219" t="n">
        <v>29.48751463366574</v>
      </c>
      <c r="W5219" s="5">
        <f>R5219-V5219</f>
        <v/>
      </c>
    </row>
    <row r="5220">
      <c r="A5220" s="3" t="n">
        <v>46129</v>
      </c>
      <c r="B5220">
        <f>Prices!B5220</f>
        <v/>
      </c>
      <c r="C5220">
        <f>Prices!C5220</f>
        <v/>
      </c>
      <c r="D5220">
        <f>Prices!D5220</f>
        <v/>
      </c>
      <c r="E5220">
        <f>Prices!E5220</f>
        <v/>
      </c>
      <c r="F5220">
        <f>Prices!F5220</f>
        <v/>
      </c>
      <c r="G5220">
        <f>IF(AND(5218&gt;=16,TEXT(A5220,"yyyy-mm")&lt;&gt;TEXT(A5221,"yyyy-mm")),1,0)</f>
        <v/>
      </c>
      <c r="H5220">
        <f>IF(OR(H5219=1,G5220=1),1,0)</f>
        <v/>
      </c>
      <c r="I5220">
        <f>IF(H5219=0,1,SUMPRODUCT(J5219:N5219,B5220:F5220)+O5219*(1+0.00023125256064071564))</f>
        <v/>
      </c>
      <c r="J5220">
        <f>IF(G5220=1,0.2*R5220/B5220,J5219)</f>
        <v/>
      </c>
      <c r="K5220">
        <f>IF(G5220=1,0.2*R5220/C5220,K5219)</f>
        <v/>
      </c>
      <c r="L5220">
        <f>IF(G5220=1,0.2*R5220/D5220,L5219)</f>
        <v/>
      </c>
      <c r="M5220">
        <f>IF(G5220=1,0.2*R5220/E5220,M5219)</f>
        <v/>
      </c>
      <c r="N5220">
        <f>IF(G5220=1,0.2*R5220/F5220,N5219)</f>
        <v/>
      </c>
      <c r="O5220">
        <f>IF(G5220=1,R5220*(1-1.0),IF(H5219=0,1,O5219*(1+0.00023125256064071564)))</f>
        <v/>
      </c>
      <c r="P5220">
        <f>IF(G5220=1,IF(H5219=0,1,ABS(0.2-J5219*B5220/I5220)+ABS(0.2-K5219*C5220/I5220)+ABS(0.2-L5219*D5220/I5220)+ABS(0.2-M5219*E5220/I5220)+ABS(0.2-N5219*F5220/I5220)),0)</f>
        <v/>
      </c>
      <c r="Q5220">
        <f>P5220*0.0015</f>
        <v/>
      </c>
      <c r="R5220">
        <f>I5220*(1-Q5220)</f>
        <v/>
      </c>
      <c r="S5220">
        <f>R5220/R5219-1</f>
        <v/>
      </c>
      <c r="T5220">
        <f>MAX(T5219,R5220)</f>
        <v/>
      </c>
      <c r="U5220">
        <f>R5220/T5220-1</f>
        <v/>
      </c>
      <c r="V5220" t="n">
        <v>29.83564346757099</v>
      </c>
      <c r="W5220" s="5">
        <f>R5220-V5220</f>
        <v/>
      </c>
    </row>
    <row r="5221">
      <c r="A5221" s="3" t="n">
        <v>46132</v>
      </c>
      <c r="B5221">
        <f>Prices!B5221</f>
        <v/>
      </c>
      <c r="C5221">
        <f>Prices!C5221</f>
        <v/>
      </c>
      <c r="D5221">
        <f>Prices!D5221</f>
        <v/>
      </c>
      <c r="E5221">
        <f>Prices!E5221</f>
        <v/>
      </c>
      <c r="F5221">
        <f>Prices!F5221</f>
        <v/>
      </c>
      <c r="G5221">
        <f>IF(AND(5219&gt;=16,TEXT(A5221,"yyyy-mm")&lt;&gt;TEXT(A5222,"yyyy-mm")),1,0)</f>
        <v/>
      </c>
      <c r="H5221">
        <f>IF(OR(H5220=1,G5221=1),1,0)</f>
        <v/>
      </c>
      <c r="I5221">
        <f>IF(H5220=0,1,SUMPRODUCT(J5220:N5220,B5221:F5221)+O5220*(1+0.00023125256064071564))</f>
        <v/>
      </c>
      <c r="J5221">
        <f>IF(G5221=1,0.2*R5221/B5221,J5220)</f>
        <v/>
      </c>
      <c r="K5221">
        <f>IF(G5221=1,0.2*R5221/C5221,K5220)</f>
        <v/>
      </c>
      <c r="L5221">
        <f>IF(G5221=1,0.2*R5221/D5221,L5220)</f>
        <v/>
      </c>
      <c r="M5221">
        <f>IF(G5221=1,0.2*R5221/E5221,M5220)</f>
        <v/>
      </c>
      <c r="N5221">
        <f>IF(G5221=1,0.2*R5221/F5221,N5220)</f>
        <v/>
      </c>
      <c r="O5221">
        <f>IF(G5221=1,R5221*(1-1.0),IF(H5220=0,1,O5220*(1+0.00023125256064071564)))</f>
        <v/>
      </c>
      <c r="P5221">
        <f>IF(G5221=1,IF(H5220=0,1,ABS(0.2-J5220*B5221/I5221)+ABS(0.2-K5220*C5221/I5221)+ABS(0.2-L5220*D5221/I5221)+ABS(0.2-M5220*E5221/I5221)+ABS(0.2-N5220*F5221/I5221)),0)</f>
        <v/>
      </c>
      <c r="Q5221">
        <f>P5221*0.0015</f>
        <v/>
      </c>
      <c r="R5221">
        <f>I5221*(1-Q5221)</f>
        <v/>
      </c>
      <c r="S5221">
        <f>R5221/R5220-1</f>
        <v/>
      </c>
      <c r="T5221">
        <f>MAX(T5220,R5221)</f>
        <v/>
      </c>
      <c r="U5221">
        <f>R5221/T5221-1</f>
        <v/>
      </c>
      <c r="V5221" t="n">
        <v>29.85102873458028</v>
      </c>
      <c r="W5221" s="5">
        <f>R5221-V5221</f>
        <v/>
      </c>
    </row>
    <row r="5222">
      <c r="A5222" s="3" t="n">
        <v>46133</v>
      </c>
      <c r="B5222">
        <f>Prices!B5222</f>
        <v/>
      </c>
      <c r="C5222">
        <f>Prices!C5222</f>
        <v/>
      </c>
      <c r="D5222">
        <f>Prices!D5222</f>
        <v/>
      </c>
      <c r="E5222">
        <f>Prices!E5222</f>
        <v/>
      </c>
      <c r="F5222">
        <f>Prices!F5222</f>
        <v/>
      </c>
      <c r="G5222">
        <f>IF(AND(5220&gt;=16,TEXT(A5222,"yyyy-mm")&lt;&gt;TEXT(A5223,"yyyy-mm")),1,0)</f>
        <v/>
      </c>
      <c r="H5222">
        <f>IF(OR(H5221=1,G5222=1),1,0)</f>
        <v/>
      </c>
      <c r="I5222">
        <f>IF(H5221=0,1,SUMPRODUCT(J5221:N5221,B5222:F5222)+O5221*(1+0.00023125256064071564))</f>
        <v/>
      </c>
      <c r="J5222">
        <f>IF(G5222=1,0.2*R5222/B5222,J5221)</f>
        <v/>
      </c>
      <c r="K5222">
        <f>IF(G5222=1,0.2*R5222/C5222,K5221)</f>
        <v/>
      </c>
      <c r="L5222">
        <f>IF(G5222=1,0.2*R5222/D5222,L5221)</f>
        <v/>
      </c>
      <c r="M5222">
        <f>IF(G5222=1,0.2*R5222/E5222,M5221)</f>
        <v/>
      </c>
      <c r="N5222">
        <f>IF(G5222=1,0.2*R5222/F5222,N5221)</f>
        <v/>
      </c>
      <c r="O5222">
        <f>IF(G5222=1,R5222*(1-1.0),IF(H5221=0,1,O5221*(1+0.00023125256064071564)))</f>
        <v/>
      </c>
      <c r="P5222">
        <f>IF(G5222=1,IF(H5221=0,1,ABS(0.2-J5221*B5222/I5222)+ABS(0.2-K5221*C5222/I5222)+ABS(0.2-L5221*D5222/I5222)+ABS(0.2-M5221*E5222/I5222)+ABS(0.2-N5221*F5222/I5222)),0)</f>
        <v/>
      </c>
      <c r="Q5222">
        <f>P5222*0.0015</f>
        <v/>
      </c>
      <c r="R5222">
        <f>I5222*(1-Q5222)</f>
        <v/>
      </c>
      <c r="S5222">
        <f>R5222/R5221-1</f>
        <v/>
      </c>
      <c r="T5222">
        <f>MAX(T5221,R5222)</f>
        <v/>
      </c>
      <c r="U5222">
        <f>R5222/T5222-1</f>
        <v/>
      </c>
      <c r="V5222" t="n">
        <v>29.96263444639656</v>
      </c>
      <c r="W5222" s="5">
        <f>R5222-V5222</f>
        <v/>
      </c>
    </row>
    <row r="5223">
      <c r="A5223" s="3" t="n">
        <v>46134</v>
      </c>
      <c r="B5223">
        <f>Prices!B5223</f>
        <v/>
      </c>
      <c r="C5223">
        <f>Prices!C5223</f>
        <v/>
      </c>
      <c r="D5223">
        <f>Prices!D5223</f>
        <v/>
      </c>
      <c r="E5223">
        <f>Prices!E5223</f>
        <v/>
      </c>
      <c r="F5223">
        <f>Prices!F5223</f>
        <v/>
      </c>
      <c r="G5223">
        <f>IF(AND(5221&gt;=16,TEXT(A5223,"yyyy-mm")&lt;&gt;TEXT(A5224,"yyyy-mm")),1,0)</f>
        <v/>
      </c>
      <c r="H5223">
        <f>IF(OR(H5222=1,G5223=1),1,0)</f>
        <v/>
      </c>
      <c r="I5223">
        <f>IF(H5222=0,1,SUMPRODUCT(J5222:N5222,B5223:F5223)+O5222*(1+0.00023125256064071564))</f>
        <v/>
      </c>
      <c r="J5223">
        <f>IF(G5223=1,0.2*R5223/B5223,J5222)</f>
        <v/>
      </c>
      <c r="K5223">
        <f>IF(G5223=1,0.2*R5223/C5223,K5222)</f>
        <v/>
      </c>
      <c r="L5223">
        <f>IF(G5223=1,0.2*R5223/D5223,L5222)</f>
        <v/>
      </c>
      <c r="M5223">
        <f>IF(G5223=1,0.2*R5223/E5223,M5222)</f>
        <v/>
      </c>
      <c r="N5223">
        <f>IF(G5223=1,0.2*R5223/F5223,N5222)</f>
        <v/>
      </c>
      <c r="O5223">
        <f>IF(G5223=1,R5223*(1-1.0),IF(H5222=0,1,O5222*(1+0.00023125256064071564)))</f>
        <v/>
      </c>
      <c r="P5223">
        <f>IF(G5223=1,IF(H5222=0,1,ABS(0.2-J5222*B5223/I5223)+ABS(0.2-K5222*C5223/I5223)+ABS(0.2-L5222*D5223/I5223)+ABS(0.2-M5222*E5223/I5223)+ABS(0.2-N5222*F5223/I5223)),0)</f>
        <v/>
      </c>
      <c r="Q5223">
        <f>P5223*0.0015</f>
        <v/>
      </c>
      <c r="R5223">
        <f>I5223*(1-Q5223)</f>
        <v/>
      </c>
      <c r="S5223">
        <f>R5223/R5222-1</f>
        <v/>
      </c>
      <c r="T5223">
        <f>MAX(T5222,R5223)</f>
        <v/>
      </c>
      <c r="U5223">
        <f>R5223/T5223-1</f>
        <v/>
      </c>
      <c r="V5223" t="n">
        <v>29.95881427925699</v>
      </c>
      <c r="W5223" s="5">
        <f>R5223-V5223</f>
        <v/>
      </c>
    </row>
    <row r="5224">
      <c r="A5224" s="3" t="n">
        <v>46135</v>
      </c>
      <c r="B5224">
        <f>Prices!B5224</f>
        <v/>
      </c>
      <c r="C5224">
        <f>Prices!C5224</f>
        <v/>
      </c>
      <c r="D5224">
        <f>Prices!D5224</f>
        <v/>
      </c>
      <c r="E5224">
        <f>Prices!E5224</f>
        <v/>
      </c>
      <c r="F5224">
        <f>Prices!F5224</f>
        <v/>
      </c>
      <c r="G5224">
        <f>IF(AND(5222&gt;=16,TEXT(A5224,"yyyy-mm")&lt;&gt;TEXT(A5225,"yyyy-mm")),1,0)</f>
        <v/>
      </c>
      <c r="H5224">
        <f>IF(OR(H5223=1,G5224=1),1,0)</f>
        <v/>
      </c>
      <c r="I5224">
        <f>IF(H5223=0,1,SUMPRODUCT(J5223:N5223,B5224:F5224)+O5223*(1+0.00023125256064071564))</f>
        <v/>
      </c>
      <c r="J5224">
        <f>IF(G5224=1,0.2*R5224/B5224,J5223)</f>
        <v/>
      </c>
      <c r="K5224">
        <f>IF(G5224=1,0.2*R5224/C5224,K5223)</f>
        <v/>
      </c>
      <c r="L5224">
        <f>IF(G5224=1,0.2*R5224/D5224,L5223)</f>
        <v/>
      </c>
      <c r="M5224">
        <f>IF(G5224=1,0.2*R5224/E5224,M5223)</f>
        <v/>
      </c>
      <c r="N5224">
        <f>IF(G5224=1,0.2*R5224/F5224,N5223)</f>
        <v/>
      </c>
      <c r="O5224">
        <f>IF(G5224=1,R5224*(1-1.0),IF(H5223=0,1,O5223*(1+0.00023125256064071564)))</f>
        <v/>
      </c>
      <c r="P5224">
        <f>IF(G5224=1,IF(H5223=0,1,ABS(0.2-J5223*B5224/I5224)+ABS(0.2-K5223*C5224/I5224)+ABS(0.2-L5223*D5224/I5224)+ABS(0.2-M5223*E5224/I5224)+ABS(0.2-N5223*F5224/I5224)),0)</f>
        <v/>
      </c>
      <c r="Q5224">
        <f>P5224*0.0015</f>
        <v/>
      </c>
      <c r="R5224">
        <f>I5224*(1-Q5224)</f>
        <v/>
      </c>
      <c r="S5224">
        <f>R5224/R5223-1</f>
        <v/>
      </c>
      <c r="T5224">
        <f>MAX(T5223,R5224)</f>
        <v/>
      </c>
      <c r="U5224">
        <f>R5224/T5224-1</f>
        <v/>
      </c>
      <c r="V5224" t="n">
        <v>29.78893898781921</v>
      </c>
      <c r="W5224" s="5">
        <f>R5224-V5224</f>
        <v/>
      </c>
    </row>
    <row r="5225">
      <c r="A5225" s="3" t="n">
        <v>46136</v>
      </c>
      <c r="B5225">
        <f>Prices!B5225</f>
        <v/>
      </c>
      <c r="C5225">
        <f>Prices!C5225</f>
        <v/>
      </c>
      <c r="D5225">
        <f>Prices!D5225</f>
        <v/>
      </c>
      <c r="E5225">
        <f>Prices!E5225</f>
        <v/>
      </c>
      <c r="F5225">
        <f>Prices!F5225</f>
        <v/>
      </c>
      <c r="G5225">
        <f>IF(AND(5223&gt;=16,TEXT(A5225,"yyyy-mm")&lt;&gt;TEXT(A5226,"yyyy-mm")),1,0)</f>
        <v/>
      </c>
      <c r="H5225">
        <f>IF(OR(H5224=1,G5225=1),1,0)</f>
        <v/>
      </c>
      <c r="I5225">
        <f>IF(H5224=0,1,SUMPRODUCT(J5224:N5224,B5225:F5225)+O5224*(1+0.00023125256064071564))</f>
        <v/>
      </c>
      <c r="J5225">
        <f>IF(G5225=1,0.2*R5225/B5225,J5224)</f>
        <v/>
      </c>
      <c r="K5225">
        <f>IF(G5225=1,0.2*R5225/C5225,K5224)</f>
        <v/>
      </c>
      <c r="L5225">
        <f>IF(G5225=1,0.2*R5225/D5225,L5224)</f>
        <v/>
      </c>
      <c r="M5225">
        <f>IF(G5225=1,0.2*R5225/E5225,M5224)</f>
        <v/>
      </c>
      <c r="N5225">
        <f>IF(G5225=1,0.2*R5225/F5225,N5224)</f>
        <v/>
      </c>
      <c r="O5225">
        <f>IF(G5225=1,R5225*(1-1.0),IF(H5224=0,1,O5224*(1+0.00023125256064071564)))</f>
        <v/>
      </c>
      <c r="P5225">
        <f>IF(G5225=1,IF(H5224=0,1,ABS(0.2-J5224*B5225/I5225)+ABS(0.2-K5224*C5225/I5225)+ABS(0.2-L5224*D5225/I5225)+ABS(0.2-M5224*E5225/I5225)+ABS(0.2-N5224*F5225/I5225)),0)</f>
        <v/>
      </c>
      <c r="Q5225">
        <f>P5225*0.0015</f>
        <v/>
      </c>
      <c r="R5225">
        <f>I5225*(1-Q5225)</f>
        <v/>
      </c>
      <c r="S5225">
        <f>R5225/R5224-1</f>
        <v/>
      </c>
      <c r="T5225">
        <f>MAX(T5224,R5225)</f>
        <v/>
      </c>
      <c r="U5225">
        <f>R5225/T5225-1</f>
        <v/>
      </c>
      <c r="V5225" t="n">
        <v>29.60881013454574</v>
      </c>
      <c r="W5225" s="5">
        <f>R5225-V5225</f>
        <v/>
      </c>
    </row>
    <row r="5226">
      <c r="A5226" s="3" t="n">
        <v>46139</v>
      </c>
      <c r="B5226">
        <f>Prices!B5226</f>
        <v/>
      </c>
      <c r="C5226">
        <f>Prices!C5226</f>
        <v/>
      </c>
      <c r="D5226">
        <f>Prices!D5226</f>
        <v/>
      </c>
      <c r="E5226">
        <f>Prices!E5226</f>
        <v/>
      </c>
      <c r="F5226">
        <f>Prices!F5226</f>
        <v/>
      </c>
      <c r="G5226">
        <f>IF(AND(5224&gt;=16,TEXT(A5226,"yyyy-mm")&lt;&gt;TEXT(A5227,"yyyy-mm")),1,0)</f>
        <v/>
      </c>
      <c r="H5226">
        <f>IF(OR(H5225=1,G5226=1),1,0)</f>
        <v/>
      </c>
      <c r="I5226">
        <f>IF(H5225=0,1,SUMPRODUCT(J5225:N5225,B5226:F5226)+O5225*(1+0.00023125256064071564))</f>
        <v/>
      </c>
      <c r="J5226">
        <f>IF(G5226=1,0.2*R5226/B5226,J5225)</f>
        <v/>
      </c>
      <c r="K5226">
        <f>IF(G5226=1,0.2*R5226/C5226,K5225)</f>
        <v/>
      </c>
      <c r="L5226">
        <f>IF(G5226=1,0.2*R5226/D5226,L5225)</f>
        <v/>
      </c>
      <c r="M5226">
        <f>IF(G5226=1,0.2*R5226/E5226,M5225)</f>
        <v/>
      </c>
      <c r="N5226">
        <f>IF(G5226=1,0.2*R5226/F5226,N5225)</f>
        <v/>
      </c>
      <c r="O5226">
        <f>IF(G5226=1,R5226*(1-1.0),IF(H5225=0,1,O5225*(1+0.00023125256064071564)))</f>
        <v/>
      </c>
      <c r="P5226">
        <f>IF(G5226=1,IF(H5225=0,1,ABS(0.2-J5225*B5226/I5226)+ABS(0.2-K5225*C5226/I5226)+ABS(0.2-L5225*D5226/I5226)+ABS(0.2-M5225*E5226/I5226)+ABS(0.2-N5225*F5226/I5226)),0)</f>
        <v/>
      </c>
      <c r="Q5226">
        <f>P5226*0.0015</f>
        <v/>
      </c>
      <c r="R5226">
        <f>I5226*(1-Q5226)</f>
        <v/>
      </c>
      <c r="S5226">
        <f>R5226/R5225-1</f>
        <v/>
      </c>
      <c r="T5226">
        <f>MAX(T5225,R5226)</f>
        <v/>
      </c>
      <c r="U5226">
        <f>R5226/T5226-1</f>
        <v/>
      </c>
      <c r="V5226" t="n">
        <v>29.88539329966682</v>
      </c>
      <c r="W5226" s="5">
        <f>R5226-V5226</f>
        <v/>
      </c>
    </row>
    <row r="5227">
      <c r="A5227" s="3" t="n">
        <v>46140</v>
      </c>
      <c r="B5227">
        <f>Prices!B5227</f>
        <v/>
      </c>
      <c r="C5227">
        <f>Prices!C5227</f>
        <v/>
      </c>
      <c r="D5227">
        <f>Prices!D5227</f>
        <v/>
      </c>
      <c r="E5227">
        <f>Prices!E5227</f>
        <v/>
      </c>
      <c r="F5227">
        <f>Prices!F5227</f>
        <v/>
      </c>
      <c r="G5227">
        <f>IF(AND(5225&gt;=16,TEXT(A5227,"yyyy-mm")&lt;&gt;TEXT(A5228,"yyyy-mm")),1,0)</f>
        <v/>
      </c>
      <c r="H5227">
        <f>IF(OR(H5226=1,G5227=1),1,0)</f>
        <v/>
      </c>
      <c r="I5227">
        <f>IF(H5226=0,1,SUMPRODUCT(J5226:N5226,B5227:F5227)+O5226*(1+0.00023125256064071564))</f>
        <v/>
      </c>
      <c r="J5227">
        <f>IF(G5227=1,0.2*R5227/B5227,J5226)</f>
        <v/>
      </c>
      <c r="K5227">
        <f>IF(G5227=1,0.2*R5227/C5227,K5226)</f>
        <v/>
      </c>
      <c r="L5227">
        <f>IF(G5227=1,0.2*R5227/D5227,L5226)</f>
        <v/>
      </c>
      <c r="M5227">
        <f>IF(G5227=1,0.2*R5227/E5227,M5226)</f>
        <v/>
      </c>
      <c r="N5227">
        <f>IF(G5227=1,0.2*R5227/F5227,N5226)</f>
        <v/>
      </c>
      <c r="O5227">
        <f>IF(G5227=1,R5227*(1-1.0),IF(H5226=0,1,O5226*(1+0.00023125256064071564)))</f>
        <v/>
      </c>
      <c r="P5227">
        <f>IF(G5227=1,IF(H5226=0,1,ABS(0.2-J5226*B5227/I5227)+ABS(0.2-K5226*C5227/I5227)+ABS(0.2-L5226*D5227/I5227)+ABS(0.2-M5226*E5227/I5227)+ABS(0.2-N5226*F5227/I5227)),0)</f>
        <v/>
      </c>
      <c r="Q5227">
        <f>P5227*0.0015</f>
        <v/>
      </c>
      <c r="R5227">
        <f>I5227*(1-Q5227)</f>
        <v/>
      </c>
      <c r="S5227">
        <f>R5227/R5226-1</f>
        <v/>
      </c>
      <c r="T5227">
        <f>MAX(T5226,R5227)</f>
        <v/>
      </c>
      <c r="U5227">
        <f>R5227/T5227-1</f>
        <v/>
      </c>
      <c r="V5227" t="n">
        <v>29.87222815718804</v>
      </c>
      <c r="W5227" s="5">
        <f>R5227-V5227</f>
        <v/>
      </c>
    </row>
    <row r="5228">
      <c r="A5228" s="3" t="n">
        <v>46141</v>
      </c>
      <c r="B5228">
        <f>Prices!B5228</f>
        <v/>
      </c>
      <c r="C5228">
        <f>Prices!C5228</f>
        <v/>
      </c>
      <c r="D5228">
        <f>Prices!D5228</f>
        <v/>
      </c>
      <c r="E5228">
        <f>Prices!E5228</f>
        <v/>
      </c>
      <c r="F5228">
        <f>Prices!F5228</f>
        <v/>
      </c>
      <c r="G5228">
        <f>IF(AND(5226&gt;=16,TEXT(A5228,"yyyy-mm")&lt;&gt;TEXT(A5229,"yyyy-mm")),1,0)</f>
        <v/>
      </c>
      <c r="H5228">
        <f>IF(OR(H5227=1,G5228=1),1,0)</f>
        <v/>
      </c>
      <c r="I5228">
        <f>IF(H5227=0,1,SUMPRODUCT(J5227:N5227,B5228:F5228)+O5227*(1+0.00023125256064071564))</f>
        <v/>
      </c>
      <c r="J5228">
        <f>IF(G5228=1,0.2*R5228/B5228,J5227)</f>
        <v/>
      </c>
      <c r="K5228">
        <f>IF(G5228=1,0.2*R5228/C5228,K5227)</f>
        <v/>
      </c>
      <c r="L5228">
        <f>IF(G5228=1,0.2*R5228/D5228,L5227)</f>
        <v/>
      </c>
      <c r="M5228">
        <f>IF(G5228=1,0.2*R5228/E5228,M5227)</f>
        <v/>
      </c>
      <c r="N5228">
        <f>IF(G5228=1,0.2*R5228/F5228,N5227)</f>
        <v/>
      </c>
      <c r="O5228">
        <f>IF(G5228=1,R5228*(1-1.0),IF(H5227=0,1,O5227*(1+0.00023125256064071564)))</f>
        <v/>
      </c>
      <c r="P5228">
        <f>IF(G5228=1,IF(H5227=0,1,ABS(0.2-J5227*B5228/I5228)+ABS(0.2-K5227*C5228/I5228)+ABS(0.2-L5227*D5228/I5228)+ABS(0.2-M5227*E5228/I5228)+ABS(0.2-N5227*F5228/I5228)),0)</f>
        <v/>
      </c>
      <c r="Q5228">
        <f>P5228*0.0015</f>
        <v/>
      </c>
      <c r="R5228">
        <f>I5228*(1-Q5228)</f>
        <v/>
      </c>
      <c r="S5228">
        <f>R5228/R5227-1</f>
        <v/>
      </c>
      <c r="T5228">
        <f>MAX(T5227,R5228)</f>
        <v/>
      </c>
      <c r="U5228">
        <f>R5228/T5228-1</f>
        <v/>
      </c>
      <c r="V5228" t="n">
        <v>29.98135474941691</v>
      </c>
      <c r="W5228" s="5">
        <f>R5228-V5228</f>
        <v/>
      </c>
    </row>
    <row r="5229">
      <c r="A5229" s="3" t="n">
        <v>46142</v>
      </c>
      <c r="B5229">
        <f>Prices!B5229</f>
        <v/>
      </c>
      <c r="C5229">
        <f>Prices!C5229</f>
        <v/>
      </c>
      <c r="D5229">
        <f>Prices!D5229</f>
        <v/>
      </c>
      <c r="E5229">
        <f>Prices!E5229</f>
        <v/>
      </c>
      <c r="F5229">
        <f>Prices!F5229</f>
        <v/>
      </c>
      <c r="G5229">
        <f>IF(AND(5227&gt;=16,TEXT(A5229,"yyyy-mm")&lt;&gt;TEXT(A5230,"yyyy-mm")),1,0)</f>
        <v/>
      </c>
      <c r="H5229">
        <f>IF(OR(H5228=1,G5229=1),1,0)</f>
        <v/>
      </c>
      <c r="I5229">
        <f>IF(H5228=0,1,SUMPRODUCT(J5228:N5228,B5229:F5229)+O5228*(1+0.00023125256064071564))</f>
        <v/>
      </c>
      <c r="J5229">
        <f>IF(G5229=1,0.2*R5229/B5229,J5228)</f>
        <v/>
      </c>
      <c r="K5229">
        <f>IF(G5229=1,0.2*R5229/C5229,K5228)</f>
        <v/>
      </c>
      <c r="L5229">
        <f>IF(G5229=1,0.2*R5229/D5229,L5228)</f>
        <v/>
      </c>
      <c r="M5229">
        <f>IF(G5229=1,0.2*R5229/E5229,M5228)</f>
        <v/>
      </c>
      <c r="N5229">
        <f>IF(G5229=1,0.2*R5229/F5229,N5228)</f>
        <v/>
      </c>
      <c r="O5229">
        <f>IF(G5229=1,R5229*(1-1.0),IF(H5228=0,1,O5228*(1+0.00023125256064071564)))</f>
        <v/>
      </c>
      <c r="P5229">
        <f>IF(G5229=1,IF(H5228=0,1,ABS(0.2-J5228*B5229/I5229)+ABS(0.2-K5228*C5229/I5229)+ABS(0.2-L5228*D5229/I5229)+ABS(0.2-M5228*E5229/I5229)+ABS(0.2-N5228*F5229/I5229)),0)</f>
        <v/>
      </c>
      <c r="Q5229">
        <f>P5229*0.0015</f>
        <v/>
      </c>
      <c r="R5229">
        <f>I5229*(1-Q5229)</f>
        <v/>
      </c>
      <c r="S5229">
        <f>R5229/R5228-1</f>
        <v/>
      </c>
      <c r="T5229">
        <f>MAX(T5228,R5229)</f>
        <v/>
      </c>
      <c r="U5229">
        <f>R5229/T5229-1</f>
        <v/>
      </c>
      <c r="V5229" t="n">
        <v>29.71908768920282</v>
      </c>
      <c r="W5229" s="5">
        <f>R5229-V5229</f>
        <v/>
      </c>
    </row>
    <row r="5230">
      <c r="A5230" s="3" t="n">
        <v>46146</v>
      </c>
      <c r="B5230">
        <f>Prices!B5230</f>
        <v/>
      </c>
      <c r="C5230">
        <f>Prices!C5230</f>
        <v/>
      </c>
      <c r="D5230">
        <f>Prices!D5230</f>
        <v/>
      </c>
      <c r="E5230">
        <f>Prices!E5230</f>
        <v/>
      </c>
      <c r="F5230">
        <f>Prices!F5230</f>
        <v/>
      </c>
      <c r="G5230">
        <f>IF(AND(5228&gt;=16,TEXT(A5230,"yyyy-mm")&lt;&gt;TEXT(A5231,"yyyy-mm")),1,0)</f>
        <v/>
      </c>
      <c r="H5230">
        <f>IF(OR(H5229=1,G5230=1),1,0)</f>
        <v/>
      </c>
      <c r="I5230">
        <f>IF(H5229=0,1,SUMPRODUCT(J5229:N5229,B5230:F5230)+O5229*(1+0.00023125256064071564))</f>
        <v/>
      </c>
      <c r="J5230">
        <f>IF(G5230=1,0.2*R5230/B5230,J5229)</f>
        <v/>
      </c>
      <c r="K5230">
        <f>IF(G5230=1,0.2*R5230/C5230,K5229)</f>
        <v/>
      </c>
      <c r="L5230">
        <f>IF(G5230=1,0.2*R5230/D5230,L5229)</f>
        <v/>
      </c>
      <c r="M5230">
        <f>IF(G5230=1,0.2*R5230/E5230,M5229)</f>
        <v/>
      </c>
      <c r="N5230">
        <f>IF(G5230=1,0.2*R5230/F5230,N5229)</f>
        <v/>
      </c>
      <c r="O5230">
        <f>IF(G5230=1,R5230*(1-1.0),IF(H5229=0,1,O5229*(1+0.00023125256064071564)))</f>
        <v/>
      </c>
      <c r="P5230">
        <f>IF(G5230=1,IF(H5229=0,1,ABS(0.2-J5229*B5230/I5230)+ABS(0.2-K5229*C5230/I5230)+ABS(0.2-L5229*D5230/I5230)+ABS(0.2-M5229*E5230/I5230)+ABS(0.2-N5229*F5230/I5230)),0)</f>
        <v/>
      </c>
      <c r="Q5230">
        <f>P5230*0.0015</f>
        <v/>
      </c>
      <c r="R5230">
        <f>I5230*(1-Q5230)</f>
        <v/>
      </c>
      <c r="S5230">
        <f>R5230/R5229-1</f>
        <v/>
      </c>
      <c r="T5230">
        <f>MAX(T5229,R5230)</f>
        <v/>
      </c>
      <c r="U5230">
        <f>R5230/T5230-1</f>
        <v/>
      </c>
      <c r="V5230" t="n">
        <v>29.87220807846505</v>
      </c>
      <c r="W5230" s="5">
        <f>R5230-V5230</f>
        <v/>
      </c>
    </row>
    <row r="5231">
      <c r="A5231" s="3" t="n">
        <v>46147</v>
      </c>
      <c r="B5231">
        <f>Prices!B5231</f>
        <v/>
      </c>
      <c r="C5231">
        <f>Prices!C5231</f>
        <v/>
      </c>
      <c r="D5231">
        <f>Prices!D5231</f>
        <v/>
      </c>
      <c r="E5231">
        <f>Prices!E5231</f>
        <v/>
      </c>
      <c r="F5231">
        <f>Prices!F5231</f>
        <v/>
      </c>
      <c r="G5231">
        <f>IF(AND(5229&gt;=16,TEXT(A5231,"yyyy-mm")&lt;&gt;TEXT(A5232,"yyyy-mm")),1,0)</f>
        <v/>
      </c>
      <c r="H5231">
        <f>IF(OR(H5230=1,G5231=1),1,0)</f>
        <v/>
      </c>
      <c r="I5231">
        <f>IF(H5230=0,1,SUMPRODUCT(J5230:N5230,B5231:F5231)+O5230*(1+0.00023125256064071564))</f>
        <v/>
      </c>
      <c r="J5231">
        <f>IF(G5231=1,0.2*R5231/B5231,J5230)</f>
        <v/>
      </c>
      <c r="K5231">
        <f>IF(G5231=1,0.2*R5231/C5231,K5230)</f>
        <v/>
      </c>
      <c r="L5231">
        <f>IF(G5231=1,0.2*R5231/D5231,L5230)</f>
        <v/>
      </c>
      <c r="M5231">
        <f>IF(G5231=1,0.2*R5231/E5231,M5230)</f>
        <v/>
      </c>
      <c r="N5231">
        <f>IF(G5231=1,0.2*R5231/F5231,N5230)</f>
        <v/>
      </c>
      <c r="O5231">
        <f>IF(G5231=1,R5231*(1-1.0),IF(H5230=0,1,O5230*(1+0.00023125256064071564)))</f>
        <v/>
      </c>
      <c r="P5231">
        <f>IF(G5231=1,IF(H5230=0,1,ABS(0.2-J5230*B5231/I5231)+ABS(0.2-K5230*C5231/I5231)+ABS(0.2-L5230*D5231/I5231)+ABS(0.2-M5230*E5231/I5231)+ABS(0.2-N5230*F5231/I5231)),0)</f>
        <v/>
      </c>
      <c r="Q5231">
        <f>P5231*0.0015</f>
        <v/>
      </c>
      <c r="R5231">
        <f>I5231*(1-Q5231)</f>
        <v/>
      </c>
      <c r="S5231">
        <f>R5231/R5230-1</f>
        <v/>
      </c>
      <c r="T5231">
        <f>MAX(T5230,R5231)</f>
        <v/>
      </c>
      <c r="U5231">
        <f>R5231/T5231-1</f>
        <v/>
      </c>
      <c r="V5231" t="n">
        <v>29.96816344093875</v>
      </c>
      <c r="W5231" s="5">
        <f>R5231-V5231</f>
        <v/>
      </c>
    </row>
    <row r="5232">
      <c r="A5232" s="3" t="n">
        <v>46148</v>
      </c>
      <c r="B5232">
        <f>Prices!B5232</f>
        <v/>
      </c>
      <c r="C5232">
        <f>Prices!C5232</f>
        <v/>
      </c>
      <c r="D5232">
        <f>Prices!D5232</f>
        <v/>
      </c>
      <c r="E5232">
        <f>Prices!E5232</f>
        <v/>
      </c>
      <c r="F5232">
        <f>Prices!F5232</f>
        <v/>
      </c>
      <c r="G5232">
        <f>IF(AND(5230&gt;=16,TEXT(A5232,"yyyy-mm")&lt;&gt;TEXT(A5233,"yyyy-mm")),1,0)</f>
        <v/>
      </c>
      <c r="H5232">
        <f>IF(OR(H5231=1,G5232=1),1,0)</f>
        <v/>
      </c>
      <c r="I5232">
        <f>IF(H5231=0,1,SUMPRODUCT(J5231:N5231,B5232:F5232)+O5231*(1+0.00023125256064071564))</f>
        <v/>
      </c>
      <c r="J5232">
        <f>IF(G5232=1,0.2*R5232/B5232,J5231)</f>
        <v/>
      </c>
      <c r="K5232">
        <f>IF(G5232=1,0.2*R5232/C5232,K5231)</f>
        <v/>
      </c>
      <c r="L5232">
        <f>IF(G5232=1,0.2*R5232/D5232,L5231)</f>
        <v/>
      </c>
      <c r="M5232">
        <f>IF(G5232=1,0.2*R5232/E5232,M5231)</f>
        <v/>
      </c>
      <c r="N5232">
        <f>IF(G5232=1,0.2*R5232/F5232,N5231)</f>
        <v/>
      </c>
      <c r="O5232">
        <f>IF(G5232=1,R5232*(1-1.0),IF(H5231=0,1,O5231*(1+0.00023125256064071564)))</f>
        <v/>
      </c>
      <c r="P5232">
        <f>IF(G5232=1,IF(H5231=0,1,ABS(0.2-J5231*B5232/I5232)+ABS(0.2-K5231*C5232/I5232)+ABS(0.2-L5231*D5232/I5232)+ABS(0.2-M5231*E5232/I5232)+ABS(0.2-N5231*F5232/I5232)),0)</f>
        <v/>
      </c>
      <c r="Q5232">
        <f>P5232*0.0015</f>
        <v/>
      </c>
      <c r="R5232">
        <f>I5232*(1-Q5232)</f>
        <v/>
      </c>
      <c r="S5232">
        <f>R5232/R5231-1</f>
        <v/>
      </c>
      <c r="T5232">
        <f>MAX(T5231,R5232)</f>
        <v/>
      </c>
      <c r="U5232">
        <f>R5232/T5232-1</f>
        <v/>
      </c>
      <c r="V5232" t="n">
        <v>30.36072941849398</v>
      </c>
      <c r="W5232" s="5">
        <f>R5232-V5232</f>
        <v/>
      </c>
    </row>
    <row r="5233">
      <c r="A5233" s="3" t="n">
        <v>46149</v>
      </c>
      <c r="B5233">
        <f>Prices!B5233</f>
        <v/>
      </c>
      <c r="C5233">
        <f>Prices!C5233</f>
        <v/>
      </c>
      <c r="D5233">
        <f>Prices!D5233</f>
        <v/>
      </c>
      <c r="E5233">
        <f>Prices!E5233</f>
        <v/>
      </c>
      <c r="F5233">
        <f>Prices!F5233</f>
        <v/>
      </c>
      <c r="G5233">
        <f>IF(AND(5231&gt;=16,TEXT(A5233,"yyyy-mm")&lt;&gt;TEXT(A5234,"yyyy-mm")),1,0)</f>
        <v/>
      </c>
      <c r="H5233">
        <f>IF(OR(H5232=1,G5233=1),1,0)</f>
        <v/>
      </c>
      <c r="I5233">
        <f>IF(H5232=0,1,SUMPRODUCT(J5232:N5232,B5233:F5233)+O5232*(1+0.00023125256064071564))</f>
        <v/>
      </c>
      <c r="J5233">
        <f>IF(G5233=1,0.2*R5233/B5233,J5232)</f>
        <v/>
      </c>
      <c r="K5233">
        <f>IF(G5233=1,0.2*R5233/C5233,K5232)</f>
        <v/>
      </c>
      <c r="L5233">
        <f>IF(G5233=1,0.2*R5233/D5233,L5232)</f>
        <v/>
      </c>
      <c r="M5233">
        <f>IF(G5233=1,0.2*R5233/E5233,M5232)</f>
        <v/>
      </c>
      <c r="N5233">
        <f>IF(G5233=1,0.2*R5233/F5233,N5232)</f>
        <v/>
      </c>
      <c r="O5233">
        <f>IF(G5233=1,R5233*(1-1.0),IF(H5232=0,1,O5232*(1+0.00023125256064071564)))</f>
        <v/>
      </c>
      <c r="P5233">
        <f>IF(G5233=1,IF(H5232=0,1,ABS(0.2-J5232*B5233/I5233)+ABS(0.2-K5232*C5233/I5233)+ABS(0.2-L5232*D5233/I5233)+ABS(0.2-M5232*E5233/I5233)+ABS(0.2-N5232*F5233/I5233)),0)</f>
        <v/>
      </c>
      <c r="Q5233">
        <f>P5233*0.0015</f>
        <v/>
      </c>
      <c r="R5233">
        <f>I5233*(1-Q5233)</f>
        <v/>
      </c>
      <c r="S5233">
        <f>R5233/R5232-1</f>
        <v/>
      </c>
      <c r="T5233">
        <f>MAX(T5232,R5233)</f>
        <v/>
      </c>
      <c r="U5233">
        <f>R5233/T5233-1</f>
        <v/>
      </c>
      <c r="V5233" t="n">
        <v>30.62213082533556</v>
      </c>
      <c r="W5233" s="5">
        <f>R5233-V5233</f>
        <v/>
      </c>
    </row>
    <row r="5234">
      <c r="A5234" s="3" t="n">
        <v>46150</v>
      </c>
      <c r="B5234">
        <f>Prices!B5234</f>
        <v/>
      </c>
      <c r="C5234">
        <f>Prices!C5234</f>
        <v/>
      </c>
      <c r="D5234">
        <f>Prices!D5234</f>
        <v/>
      </c>
      <c r="E5234">
        <f>Prices!E5234</f>
        <v/>
      </c>
      <c r="F5234">
        <f>Prices!F5234</f>
        <v/>
      </c>
      <c r="G5234">
        <f>IF(AND(5232&gt;=16,TEXT(A5234,"yyyy-mm")&lt;&gt;TEXT(A5235,"yyyy-mm")),1,0)</f>
        <v/>
      </c>
      <c r="H5234">
        <f>IF(OR(H5233=1,G5234=1),1,0)</f>
        <v/>
      </c>
      <c r="I5234">
        <f>IF(H5233=0,1,SUMPRODUCT(J5233:N5233,B5234:F5234)+O5233*(1+0.00023125256064071564))</f>
        <v/>
      </c>
      <c r="J5234">
        <f>IF(G5234=1,0.2*R5234/B5234,J5233)</f>
        <v/>
      </c>
      <c r="K5234">
        <f>IF(G5234=1,0.2*R5234/C5234,K5233)</f>
        <v/>
      </c>
      <c r="L5234">
        <f>IF(G5234=1,0.2*R5234/D5234,L5233)</f>
        <v/>
      </c>
      <c r="M5234">
        <f>IF(G5234=1,0.2*R5234/E5234,M5233)</f>
        <v/>
      </c>
      <c r="N5234">
        <f>IF(G5234=1,0.2*R5234/F5234,N5233)</f>
        <v/>
      </c>
      <c r="O5234">
        <f>IF(G5234=1,R5234*(1-1.0),IF(H5233=0,1,O5233*(1+0.00023125256064071564)))</f>
        <v/>
      </c>
      <c r="P5234">
        <f>IF(G5234=1,IF(H5233=0,1,ABS(0.2-J5233*B5234/I5234)+ABS(0.2-K5233*C5234/I5234)+ABS(0.2-L5233*D5234/I5234)+ABS(0.2-M5233*E5234/I5234)+ABS(0.2-N5233*F5234/I5234)),0)</f>
        <v/>
      </c>
      <c r="Q5234">
        <f>P5234*0.0015</f>
        <v/>
      </c>
      <c r="R5234">
        <f>I5234*(1-Q5234)</f>
        <v/>
      </c>
      <c r="S5234">
        <f>R5234/R5233-1</f>
        <v/>
      </c>
      <c r="T5234">
        <f>MAX(T5233,R5234)</f>
        <v/>
      </c>
      <c r="U5234">
        <f>R5234/T5234-1</f>
        <v/>
      </c>
      <c r="V5234" t="n">
        <v>30.4738819193819</v>
      </c>
      <c r="W5234" s="5">
        <f>R5234-V5234</f>
        <v/>
      </c>
    </row>
    <row r="5235">
      <c r="A5235" s="3" t="n">
        <v>46153</v>
      </c>
      <c r="B5235">
        <f>Prices!B5235</f>
        <v/>
      </c>
      <c r="C5235">
        <f>Prices!C5235</f>
        <v/>
      </c>
      <c r="D5235">
        <f>Prices!D5235</f>
        <v/>
      </c>
      <c r="E5235">
        <f>Prices!E5235</f>
        <v/>
      </c>
      <c r="F5235">
        <f>Prices!F5235</f>
        <v/>
      </c>
      <c r="G5235">
        <f>IF(AND(5233&gt;=16,TEXT(A5235,"yyyy-mm")&lt;&gt;TEXT(A5236,"yyyy-mm")),1,0)</f>
        <v/>
      </c>
      <c r="H5235">
        <f>IF(OR(H5234=1,G5235=1),1,0)</f>
        <v/>
      </c>
      <c r="I5235">
        <f>IF(H5234=0,1,SUMPRODUCT(J5234:N5234,B5235:F5235)+O5234*(1+0.00023125256064071564))</f>
        <v/>
      </c>
      <c r="J5235">
        <f>IF(G5235=1,0.2*R5235/B5235,J5234)</f>
        <v/>
      </c>
      <c r="K5235">
        <f>IF(G5235=1,0.2*R5235/C5235,K5234)</f>
        <v/>
      </c>
      <c r="L5235">
        <f>IF(G5235=1,0.2*R5235/D5235,L5234)</f>
        <v/>
      </c>
      <c r="M5235">
        <f>IF(G5235=1,0.2*R5235/E5235,M5234)</f>
        <v/>
      </c>
      <c r="N5235">
        <f>IF(G5235=1,0.2*R5235/F5235,N5234)</f>
        <v/>
      </c>
      <c r="O5235">
        <f>IF(G5235=1,R5235*(1-1.0),IF(H5234=0,1,O5234*(1+0.00023125256064071564)))</f>
        <v/>
      </c>
      <c r="P5235">
        <f>IF(G5235=1,IF(H5234=0,1,ABS(0.2-J5234*B5235/I5235)+ABS(0.2-K5234*C5235/I5235)+ABS(0.2-L5234*D5235/I5235)+ABS(0.2-M5234*E5235/I5235)+ABS(0.2-N5234*F5235/I5235)),0)</f>
        <v/>
      </c>
      <c r="Q5235">
        <f>P5235*0.0015</f>
        <v/>
      </c>
      <c r="R5235">
        <f>I5235*(1-Q5235)</f>
        <v/>
      </c>
      <c r="S5235">
        <f>R5235/R5234-1</f>
        <v/>
      </c>
      <c r="T5235">
        <f>MAX(T5234,R5235)</f>
        <v/>
      </c>
      <c r="U5235">
        <f>R5235/T5235-1</f>
        <v/>
      </c>
      <c r="V5235" t="n">
        <v>30.05847227997936</v>
      </c>
      <c r="W5235" s="5">
        <f>R5235-V5235</f>
        <v/>
      </c>
    </row>
    <row r="5236">
      <c r="A5236" s="3" t="n">
        <v>46154</v>
      </c>
      <c r="B5236">
        <f>Prices!B5236</f>
        <v/>
      </c>
      <c r="C5236">
        <f>Prices!C5236</f>
        <v/>
      </c>
      <c r="D5236">
        <f>Prices!D5236</f>
        <v/>
      </c>
      <c r="E5236">
        <f>Prices!E5236</f>
        <v/>
      </c>
      <c r="F5236">
        <f>Prices!F5236</f>
        <v/>
      </c>
      <c r="G5236">
        <f>IF(AND(5234&gt;=16,TEXT(A5236,"yyyy-mm")&lt;&gt;TEXT(A5237,"yyyy-mm")),1,0)</f>
        <v/>
      </c>
      <c r="H5236">
        <f>IF(OR(H5235=1,G5236=1),1,0)</f>
        <v/>
      </c>
      <c r="I5236">
        <f>IF(H5235=0,1,SUMPRODUCT(J5235:N5235,B5236:F5236)+O5235*(1+0.00023125256064071564))</f>
        <v/>
      </c>
      <c r="J5236">
        <f>IF(G5236=1,0.2*R5236/B5236,J5235)</f>
        <v/>
      </c>
      <c r="K5236">
        <f>IF(G5236=1,0.2*R5236/C5236,K5235)</f>
        <v/>
      </c>
      <c r="L5236">
        <f>IF(G5236=1,0.2*R5236/D5236,L5235)</f>
        <v/>
      </c>
      <c r="M5236">
        <f>IF(G5236=1,0.2*R5236/E5236,M5235)</f>
        <v/>
      </c>
      <c r="N5236">
        <f>IF(G5236=1,0.2*R5236/F5236,N5235)</f>
        <v/>
      </c>
      <c r="O5236">
        <f>IF(G5236=1,R5236*(1-1.0),IF(H5235=0,1,O5235*(1+0.00023125256064071564)))</f>
        <v/>
      </c>
      <c r="P5236">
        <f>IF(G5236=1,IF(H5235=0,1,ABS(0.2-J5235*B5236/I5236)+ABS(0.2-K5235*C5236/I5236)+ABS(0.2-L5235*D5236/I5236)+ABS(0.2-M5235*E5236/I5236)+ABS(0.2-N5235*F5236/I5236)),0)</f>
        <v/>
      </c>
      <c r="Q5236">
        <f>P5236*0.0015</f>
        <v/>
      </c>
      <c r="R5236">
        <f>I5236*(1-Q5236)</f>
        <v/>
      </c>
      <c r="S5236">
        <f>R5236/R5235-1</f>
        <v/>
      </c>
      <c r="T5236">
        <f>MAX(T5235,R5236)</f>
        <v/>
      </c>
      <c r="U5236">
        <f>R5236/T5236-1</f>
        <v/>
      </c>
      <c r="V5236" t="n">
        <v>29.45735714728773</v>
      </c>
      <c r="W5236" s="5">
        <f>R5236-V5236</f>
        <v/>
      </c>
    </row>
    <row r="5237">
      <c r="A5237" s="3" t="n">
        <v>46155</v>
      </c>
      <c r="B5237">
        <f>Prices!B5237</f>
        <v/>
      </c>
      <c r="C5237">
        <f>Prices!C5237</f>
        <v/>
      </c>
      <c r="D5237">
        <f>Prices!D5237</f>
        <v/>
      </c>
      <c r="E5237">
        <f>Prices!E5237</f>
        <v/>
      </c>
      <c r="F5237">
        <f>Prices!F5237</f>
        <v/>
      </c>
      <c r="G5237">
        <f>IF(AND(5235&gt;=16,TEXT(A5237,"yyyy-mm")&lt;&gt;TEXT(A5238,"yyyy-mm")),1,0)</f>
        <v/>
      </c>
      <c r="H5237">
        <f>IF(OR(H5236=1,G5237=1),1,0)</f>
        <v/>
      </c>
      <c r="I5237">
        <f>IF(H5236=0,1,SUMPRODUCT(J5236:N5236,B5237:F5237)+O5236*(1+0.00023125256064071564))</f>
        <v/>
      </c>
      <c r="J5237">
        <f>IF(G5237=1,0.2*R5237/B5237,J5236)</f>
        <v/>
      </c>
      <c r="K5237">
        <f>IF(G5237=1,0.2*R5237/C5237,K5236)</f>
        <v/>
      </c>
      <c r="L5237">
        <f>IF(G5237=1,0.2*R5237/D5237,L5236)</f>
        <v/>
      </c>
      <c r="M5237">
        <f>IF(G5237=1,0.2*R5237/E5237,M5236)</f>
        <v/>
      </c>
      <c r="N5237">
        <f>IF(G5237=1,0.2*R5237/F5237,N5236)</f>
        <v/>
      </c>
      <c r="O5237">
        <f>IF(G5237=1,R5237*(1-1.0),IF(H5236=0,1,O5236*(1+0.00023125256064071564)))</f>
        <v/>
      </c>
      <c r="P5237">
        <f>IF(G5237=1,IF(H5236=0,1,ABS(0.2-J5236*B5237/I5237)+ABS(0.2-K5236*C5237/I5237)+ABS(0.2-L5236*D5237/I5237)+ABS(0.2-M5236*E5237/I5237)+ABS(0.2-N5236*F5237/I5237)),0)</f>
        <v/>
      </c>
      <c r="Q5237">
        <f>P5237*0.0015</f>
        <v/>
      </c>
      <c r="R5237">
        <f>I5237*(1-Q5237)</f>
        <v/>
      </c>
      <c r="S5237">
        <f>R5237/R5236-1</f>
        <v/>
      </c>
      <c r="T5237">
        <f>MAX(T5236,R5237)</f>
        <v/>
      </c>
      <c r="U5237">
        <f>R5237/T5237-1</f>
        <v/>
      </c>
      <c r="V5237" t="n">
        <v>29.62311057598932</v>
      </c>
      <c r="W5237" s="5">
        <f>R5237-V5237</f>
        <v/>
      </c>
    </row>
    <row r="5238">
      <c r="A5238" s="3" t="n">
        <v>46156</v>
      </c>
      <c r="B5238">
        <f>Prices!B5238</f>
        <v/>
      </c>
      <c r="C5238">
        <f>Prices!C5238</f>
        <v/>
      </c>
      <c r="D5238">
        <f>Prices!D5238</f>
        <v/>
      </c>
      <c r="E5238">
        <f>Prices!E5238</f>
        <v/>
      </c>
      <c r="F5238">
        <f>Prices!F5238</f>
        <v/>
      </c>
      <c r="G5238">
        <f>IF(AND(5236&gt;=16,TEXT(A5238,"yyyy-mm")&lt;&gt;TEXT(A5239,"yyyy-mm")),1,0)</f>
        <v/>
      </c>
      <c r="H5238">
        <f>IF(OR(H5237=1,G5238=1),1,0)</f>
        <v/>
      </c>
      <c r="I5238">
        <f>IF(H5237=0,1,SUMPRODUCT(J5237:N5237,B5238:F5238)+O5237*(1+0.00023125256064071564))</f>
        <v/>
      </c>
      <c r="J5238">
        <f>IF(G5238=1,0.2*R5238/B5238,J5237)</f>
        <v/>
      </c>
      <c r="K5238">
        <f>IF(G5238=1,0.2*R5238/C5238,K5237)</f>
        <v/>
      </c>
      <c r="L5238">
        <f>IF(G5238=1,0.2*R5238/D5238,L5237)</f>
        <v/>
      </c>
      <c r="M5238">
        <f>IF(G5238=1,0.2*R5238/E5238,M5237)</f>
        <v/>
      </c>
      <c r="N5238">
        <f>IF(G5238=1,0.2*R5238/F5238,N5237)</f>
        <v/>
      </c>
      <c r="O5238">
        <f>IF(G5238=1,R5238*(1-1.0),IF(H5237=0,1,O5237*(1+0.00023125256064071564)))</f>
        <v/>
      </c>
      <c r="P5238">
        <f>IF(G5238=1,IF(H5237=0,1,ABS(0.2-J5237*B5238/I5238)+ABS(0.2-K5237*C5238/I5238)+ABS(0.2-L5237*D5238/I5238)+ABS(0.2-M5237*E5238/I5238)+ABS(0.2-N5237*F5238/I5238)),0)</f>
        <v/>
      </c>
      <c r="Q5238">
        <f>P5238*0.0015</f>
        <v/>
      </c>
      <c r="R5238">
        <f>I5238*(1-Q5238)</f>
        <v/>
      </c>
      <c r="S5238">
        <f>R5238/R5237-1</f>
        <v/>
      </c>
      <c r="T5238">
        <f>MAX(T5237,R5238)</f>
        <v/>
      </c>
      <c r="U5238">
        <f>R5238/T5238-1</f>
        <v/>
      </c>
      <c r="V5238" t="n">
        <v>29.9465351788008</v>
      </c>
      <c r="W5238" s="5">
        <f>R5238-V5238</f>
        <v/>
      </c>
    </row>
    <row r="5239">
      <c r="A5239" s="3" t="n">
        <v>46157</v>
      </c>
      <c r="B5239">
        <f>Prices!B5239</f>
        <v/>
      </c>
      <c r="C5239">
        <f>Prices!C5239</f>
        <v/>
      </c>
      <c r="D5239">
        <f>Prices!D5239</f>
        <v/>
      </c>
      <c r="E5239">
        <f>Prices!E5239</f>
        <v/>
      </c>
      <c r="F5239">
        <f>Prices!F5239</f>
        <v/>
      </c>
      <c r="G5239">
        <f>IF(AND(5237&gt;=16,TEXT(A5239,"yyyy-mm")&lt;&gt;TEXT(A5240,"yyyy-mm")),1,0)</f>
        <v/>
      </c>
      <c r="H5239">
        <f>IF(OR(H5238=1,G5239=1),1,0)</f>
        <v/>
      </c>
      <c r="I5239">
        <f>IF(H5238=0,1,SUMPRODUCT(J5238:N5238,B5239:F5239)+O5238*(1+0.00023125256064071564))</f>
        <v/>
      </c>
      <c r="J5239">
        <f>IF(G5239=1,0.2*R5239/B5239,J5238)</f>
        <v/>
      </c>
      <c r="K5239">
        <f>IF(G5239=1,0.2*R5239/C5239,K5238)</f>
        <v/>
      </c>
      <c r="L5239">
        <f>IF(G5239=1,0.2*R5239/D5239,L5238)</f>
        <v/>
      </c>
      <c r="M5239">
        <f>IF(G5239=1,0.2*R5239/E5239,M5238)</f>
        <v/>
      </c>
      <c r="N5239">
        <f>IF(G5239=1,0.2*R5239/F5239,N5238)</f>
        <v/>
      </c>
      <c r="O5239">
        <f>IF(G5239=1,R5239*(1-1.0),IF(H5238=0,1,O5238*(1+0.00023125256064071564)))</f>
        <v/>
      </c>
      <c r="P5239">
        <f>IF(G5239=1,IF(H5238=0,1,ABS(0.2-J5238*B5239/I5239)+ABS(0.2-K5238*C5239/I5239)+ABS(0.2-L5238*D5239/I5239)+ABS(0.2-M5238*E5239/I5239)+ABS(0.2-N5238*F5239/I5239)),0)</f>
        <v/>
      </c>
      <c r="Q5239">
        <f>P5239*0.0015</f>
        <v/>
      </c>
      <c r="R5239">
        <f>I5239*(1-Q5239)</f>
        <v/>
      </c>
      <c r="S5239">
        <f>R5239/R5238-1</f>
        <v/>
      </c>
      <c r="T5239">
        <f>MAX(T5238,R5239)</f>
        <v/>
      </c>
      <c r="U5239">
        <f>R5239/T5239-1</f>
        <v/>
      </c>
      <c r="V5239" t="n">
        <v>29.86513790142645</v>
      </c>
      <c r="W5239" s="5">
        <f>R5239-V5239</f>
        <v/>
      </c>
    </row>
    <row r="5240">
      <c r="A5240" s="3" t="n">
        <v>46160</v>
      </c>
      <c r="B5240">
        <f>Prices!B5240</f>
        <v/>
      </c>
      <c r="C5240">
        <f>Prices!C5240</f>
        <v/>
      </c>
      <c r="D5240">
        <f>Prices!D5240</f>
        <v/>
      </c>
      <c r="E5240">
        <f>Prices!E5240</f>
        <v/>
      </c>
      <c r="F5240">
        <f>Prices!F5240</f>
        <v/>
      </c>
      <c r="G5240">
        <f>IF(AND(5238&gt;=16,TEXT(A5240,"yyyy-mm")&lt;&gt;TEXT(A5241,"yyyy-mm")),1,0)</f>
        <v/>
      </c>
      <c r="H5240">
        <f>IF(OR(H5239=1,G5240=1),1,0)</f>
        <v/>
      </c>
      <c r="I5240">
        <f>IF(H5239=0,1,SUMPRODUCT(J5239:N5239,B5240:F5240)+O5239*(1+0.00023125256064071564))</f>
        <v/>
      </c>
      <c r="J5240">
        <f>IF(G5240=1,0.2*R5240/B5240,J5239)</f>
        <v/>
      </c>
      <c r="K5240">
        <f>IF(G5240=1,0.2*R5240/C5240,K5239)</f>
        <v/>
      </c>
      <c r="L5240">
        <f>IF(G5240=1,0.2*R5240/D5240,L5239)</f>
        <v/>
      </c>
      <c r="M5240">
        <f>IF(G5240=1,0.2*R5240/E5240,M5239)</f>
        <v/>
      </c>
      <c r="N5240">
        <f>IF(G5240=1,0.2*R5240/F5240,N5239)</f>
        <v/>
      </c>
      <c r="O5240">
        <f>IF(G5240=1,R5240*(1-1.0),IF(H5239=0,1,O5239*(1+0.00023125256064071564)))</f>
        <v/>
      </c>
      <c r="P5240">
        <f>IF(G5240=1,IF(H5239=0,1,ABS(0.2-J5239*B5240/I5240)+ABS(0.2-K5239*C5240/I5240)+ABS(0.2-L5239*D5240/I5240)+ABS(0.2-M5239*E5240/I5240)+ABS(0.2-N5239*F5240/I5240)),0)</f>
        <v/>
      </c>
      <c r="Q5240">
        <f>P5240*0.0015</f>
        <v/>
      </c>
      <c r="R5240">
        <f>I5240*(1-Q5240)</f>
        <v/>
      </c>
      <c r="S5240">
        <f>R5240/R5239-1</f>
        <v/>
      </c>
      <c r="T5240">
        <f>MAX(T5239,R5240)</f>
        <v/>
      </c>
      <c r="U5240">
        <f>R5240/T5240-1</f>
        <v/>
      </c>
      <c r="V5240" t="n">
        <v>29.65140907858913</v>
      </c>
      <c r="W5240" s="5">
        <f>R5240-V5240</f>
        <v/>
      </c>
    </row>
    <row r="5241">
      <c r="A5241" s="3" t="n">
        <v>46161</v>
      </c>
      <c r="B5241">
        <f>Prices!B5241</f>
        <v/>
      </c>
      <c r="C5241">
        <f>Prices!C5241</f>
        <v/>
      </c>
      <c r="D5241">
        <f>Prices!D5241</f>
        <v/>
      </c>
      <c r="E5241">
        <f>Prices!E5241</f>
        <v/>
      </c>
      <c r="F5241">
        <f>Prices!F5241</f>
        <v/>
      </c>
      <c r="G5241">
        <f>IF(AND(5239&gt;=16,TEXT(A5241,"yyyy-mm")&lt;&gt;TEXT(A5242,"yyyy-mm")),1,0)</f>
        <v/>
      </c>
      <c r="H5241">
        <f>IF(OR(H5240=1,G5241=1),1,0)</f>
        <v/>
      </c>
      <c r="I5241">
        <f>IF(H5240=0,1,SUMPRODUCT(J5240:N5240,B5241:F5241)+O5240*(1+0.00023125256064071564))</f>
        <v/>
      </c>
      <c r="J5241">
        <f>IF(G5241=1,0.2*R5241/B5241,J5240)</f>
        <v/>
      </c>
      <c r="K5241">
        <f>IF(G5241=1,0.2*R5241/C5241,K5240)</f>
        <v/>
      </c>
      <c r="L5241">
        <f>IF(G5241=1,0.2*R5241/D5241,L5240)</f>
        <v/>
      </c>
      <c r="M5241">
        <f>IF(G5241=1,0.2*R5241/E5241,M5240)</f>
        <v/>
      </c>
      <c r="N5241">
        <f>IF(G5241=1,0.2*R5241/F5241,N5240)</f>
        <v/>
      </c>
      <c r="O5241">
        <f>IF(G5241=1,R5241*(1-1.0),IF(H5240=0,1,O5240*(1+0.00023125256064071564)))</f>
        <v/>
      </c>
      <c r="P5241">
        <f>IF(G5241=1,IF(H5240=0,1,ABS(0.2-J5240*B5241/I5241)+ABS(0.2-K5240*C5241/I5241)+ABS(0.2-L5240*D5241/I5241)+ABS(0.2-M5240*E5241/I5241)+ABS(0.2-N5240*F5241/I5241)),0)</f>
        <v/>
      </c>
      <c r="Q5241">
        <f>P5241*0.0015</f>
        <v/>
      </c>
      <c r="R5241">
        <f>I5241*(1-Q5241)</f>
        <v/>
      </c>
      <c r="S5241">
        <f>R5241/R5240-1</f>
        <v/>
      </c>
      <c r="T5241">
        <f>MAX(T5240,R5241)</f>
        <v/>
      </c>
      <c r="U5241">
        <f>R5241/T5241-1</f>
        <v/>
      </c>
      <c r="V5241" t="n">
        <v>29.79389585797975</v>
      </c>
      <c r="W5241" s="5">
        <f>R5241-V5241</f>
        <v/>
      </c>
    </row>
    <row r="5242">
      <c r="A5242" s="3" t="n">
        <v>46162</v>
      </c>
      <c r="B5242">
        <f>Prices!B5242</f>
        <v/>
      </c>
      <c r="C5242">
        <f>Prices!C5242</f>
        <v/>
      </c>
      <c r="D5242">
        <f>Prices!D5242</f>
        <v/>
      </c>
      <c r="E5242">
        <f>Prices!E5242</f>
        <v/>
      </c>
      <c r="F5242">
        <f>Prices!F5242</f>
        <v/>
      </c>
      <c r="G5242">
        <f>IF(AND(5240&gt;=16,TEXT(A5242,"yyyy-mm")&lt;&gt;TEXT(A5243,"yyyy-mm")),1,0)</f>
        <v/>
      </c>
      <c r="H5242">
        <f>IF(OR(H5241=1,G5242=1),1,0)</f>
        <v/>
      </c>
      <c r="I5242">
        <f>IF(H5241=0,1,SUMPRODUCT(J5241:N5241,B5242:F5242)+O5241*(1+0.00023125256064071564))</f>
        <v/>
      </c>
      <c r="J5242">
        <f>IF(G5242=1,0.2*R5242/B5242,J5241)</f>
        <v/>
      </c>
      <c r="K5242">
        <f>IF(G5242=1,0.2*R5242/C5242,K5241)</f>
        <v/>
      </c>
      <c r="L5242">
        <f>IF(G5242=1,0.2*R5242/D5242,L5241)</f>
        <v/>
      </c>
      <c r="M5242">
        <f>IF(G5242=1,0.2*R5242/E5242,M5241)</f>
        <v/>
      </c>
      <c r="N5242">
        <f>IF(G5242=1,0.2*R5242/F5242,N5241)</f>
        <v/>
      </c>
      <c r="O5242">
        <f>IF(G5242=1,R5242*(1-1.0),IF(H5241=0,1,O5241*(1+0.00023125256064071564)))</f>
        <v/>
      </c>
      <c r="P5242">
        <f>IF(G5242=1,IF(H5241=0,1,ABS(0.2-J5241*B5242/I5242)+ABS(0.2-K5241*C5242/I5242)+ABS(0.2-L5241*D5242/I5242)+ABS(0.2-M5241*E5242/I5242)+ABS(0.2-N5241*F5242/I5242)),0)</f>
        <v/>
      </c>
      <c r="Q5242">
        <f>P5242*0.0015</f>
        <v/>
      </c>
      <c r="R5242">
        <f>I5242*(1-Q5242)</f>
        <v/>
      </c>
      <c r="S5242">
        <f>R5242/R5241-1</f>
        <v/>
      </c>
      <c r="T5242">
        <f>MAX(T5241,R5242)</f>
        <v/>
      </c>
      <c r="U5242">
        <f>R5242/T5242-1</f>
        <v/>
      </c>
      <c r="V5242" t="n">
        <v>29.95041198881375</v>
      </c>
      <c r="W5242" s="5">
        <f>R5242-V5242</f>
        <v/>
      </c>
    </row>
    <row r="5243">
      <c r="A5243" s="3" t="n">
        <v>46163</v>
      </c>
      <c r="B5243">
        <f>Prices!B5243</f>
        <v/>
      </c>
      <c r="C5243">
        <f>Prices!C5243</f>
        <v/>
      </c>
      <c r="D5243">
        <f>Prices!D5243</f>
        <v/>
      </c>
      <c r="E5243">
        <f>Prices!E5243</f>
        <v/>
      </c>
      <c r="F5243">
        <f>Prices!F5243</f>
        <v/>
      </c>
      <c r="G5243">
        <f>IF(AND(5241&gt;=16,TEXT(A5243,"yyyy-mm")&lt;&gt;TEXT(A5244,"yyyy-mm")),1,0)</f>
        <v/>
      </c>
      <c r="H5243">
        <f>IF(OR(H5242=1,G5243=1),1,0)</f>
        <v/>
      </c>
      <c r="I5243">
        <f>IF(H5242=0,1,SUMPRODUCT(J5242:N5242,B5243:F5243)+O5242*(1+0.00023125256064071564))</f>
        <v/>
      </c>
      <c r="J5243">
        <f>IF(G5243=1,0.2*R5243/B5243,J5242)</f>
        <v/>
      </c>
      <c r="K5243">
        <f>IF(G5243=1,0.2*R5243/C5243,K5242)</f>
        <v/>
      </c>
      <c r="L5243">
        <f>IF(G5243=1,0.2*R5243/D5243,L5242)</f>
        <v/>
      </c>
      <c r="M5243">
        <f>IF(G5243=1,0.2*R5243/E5243,M5242)</f>
        <v/>
      </c>
      <c r="N5243">
        <f>IF(G5243=1,0.2*R5243/F5243,N5242)</f>
        <v/>
      </c>
      <c r="O5243">
        <f>IF(G5243=1,R5243*(1-1.0),IF(H5242=0,1,O5242*(1+0.00023125256064071564)))</f>
        <v/>
      </c>
      <c r="P5243">
        <f>IF(G5243=1,IF(H5242=0,1,ABS(0.2-J5242*B5243/I5243)+ABS(0.2-K5242*C5243/I5243)+ABS(0.2-L5242*D5243/I5243)+ABS(0.2-M5242*E5243/I5243)+ABS(0.2-N5242*F5243/I5243)),0)</f>
        <v/>
      </c>
      <c r="Q5243">
        <f>P5243*0.0015</f>
        <v/>
      </c>
      <c r="R5243">
        <f>I5243*(1-Q5243)</f>
        <v/>
      </c>
      <c r="S5243">
        <f>R5243/R5242-1</f>
        <v/>
      </c>
      <c r="T5243">
        <f>MAX(T5242,R5243)</f>
        <v/>
      </c>
      <c r="U5243">
        <f>R5243/T5243-1</f>
        <v/>
      </c>
      <c r="V5243" t="n">
        <v>30.00181850428779</v>
      </c>
      <c r="W5243" s="5">
        <f>R5243-V5243</f>
        <v/>
      </c>
    </row>
    <row r="5244">
      <c r="A5244" s="3" t="n">
        <v>46164</v>
      </c>
      <c r="B5244">
        <f>Prices!B5244</f>
        <v/>
      </c>
      <c r="C5244">
        <f>Prices!C5244</f>
        <v/>
      </c>
      <c r="D5244">
        <f>Prices!D5244</f>
        <v/>
      </c>
      <c r="E5244">
        <f>Prices!E5244</f>
        <v/>
      </c>
      <c r="F5244">
        <f>Prices!F5244</f>
        <v/>
      </c>
      <c r="G5244">
        <f>IF(AND(5242&gt;=16,TEXT(A5244,"yyyy-mm")&lt;&gt;TEXT(A5245,"yyyy-mm")),1,0)</f>
        <v/>
      </c>
      <c r="H5244">
        <f>IF(OR(H5243=1,G5244=1),1,0)</f>
        <v/>
      </c>
      <c r="I5244">
        <f>IF(H5243=0,1,SUMPRODUCT(J5243:N5243,B5244:F5244)+O5243*(1+0.00023125256064071564))</f>
        <v/>
      </c>
      <c r="J5244">
        <f>IF(G5244=1,0.2*R5244/B5244,J5243)</f>
        <v/>
      </c>
      <c r="K5244">
        <f>IF(G5244=1,0.2*R5244/C5244,K5243)</f>
        <v/>
      </c>
      <c r="L5244">
        <f>IF(G5244=1,0.2*R5244/D5244,L5243)</f>
        <v/>
      </c>
      <c r="M5244">
        <f>IF(G5244=1,0.2*R5244/E5244,M5243)</f>
        <v/>
      </c>
      <c r="N5244">
        <f>IF(G5244=1,0.2*R5244/F5244,N5243)</f>
        <v/>
      </c>
      <c r="O5244">
        <f>IF(G5244=1,R5244*(1-1.0),IF(H5243=0,1,O5243*(1+0.00023125256064071564)))</f>
        <v/>
      </c>
      <c r="P5244">
        <f>IF(G5244=1,IF(H5243=0,1,ABS(0.2-J5243*B5244/I5244)+ABS(0.2-K5243*C5244/I5244)+ABS(0.2-L5243*D5244/I5244)+ABS(0.2-M5243*E5244/I5244)+ABS(0.2-N5243*F5244/I5244)),0)</f>
        <v/>
      </c>
      <c r="Q5244">
        <f>P5244*0.0015</f>
        <v/>
      </c>
      <c r="R5244">
        <f>I5244*(1-Q5244)</f>
        <v/>
      </c>
      <c r="S5244">
        <f>R5244/R5243-1</f>
        <v/>
      </c>
      <c r="T5244">
        <f>MAX(T5243,R5244)</f>
        <v/>
      </c>
      <c r="U5244">
        <f>R5244/T5244-1</f>
        <v/>
      </c>
      <c r="V5244" t="n">
        <v>30.0303465537579</v>
      </c>
      <c r="W5244" s="5">
        <f>R5244-V5244</f>
        <v/>
      </c>
    </row>
    <row r="5245">
      <c r="A5245" s="3" t="n">
        <v>46167</v>
      </c>
      <c r="B5245">
        <f>Prices!B5245</f>
        <v/>
      </c>
      <c r="C5245">
        <f>Prices!C5245</f>
        <v/>
      </c>
      <c r="D5245">
        <f>Prices!D5245</f>
        <v/>
      </c>
      <c r="E5245">
        <f>Prices!E5245</f>
        <v/>
      </c>
      <c r="F5245">
        <f>Prices!F5245</f>
        <v/>
      </c>
      <c r="G5245">
        <f>IF(AND(5243&gt;=16,TEXT(A5245,"yyyy-mm")&lt;&gt;TEXT(A5246,"yyyy-mm")),1,0)</f>
        <v/>
      </c>
      <c r="H5245">
        <f>IF(OR(H5244=1,G5245=1),1,0)</f>
        <v/>
      </c>
      <c r="I5245">
        <f>IF(H5244=0,1,SUMPRODUCT(J5244:N5244,B5245:F5245)+O5244*(1+0.00023125256064071564))</f>
        <v/>
      </c>
      <c r="J5245">
        <f>IF(G5245=1,0.2*R5245/B5245,J5244)</f>
        <v/>
      </c>
      <c r="K5245">
        <f>IF(G5245=1,0.2*R5245/C5245,K5244)</f>
        <v/>
      </c>
      <c r="L5245">
        <f>IF(G5245=1,0.2*R5245/D5245,L5244)</f>
        <v/>
      </c>
      <c r="M5245">
        <f>IF(G5245=1,0.2*R5245/E5245,M5244)</f>
        <v/>
      </c>
      <c r="N5245">
        <f>IF(G5245=1,0.2*R5245/F5245,N5244)</f>
        <v/>
      </c>
      <c r="O5245">
        <f>IF(G5245=1,R5245*(1-1.0),IF(H5244=0,1,O5244*(1+0.00023125256064071564)))</f>
        <v/>
      </c>
      <c r="P5245">
        <f>IF(G5245=1,IF(H5244=0,1,ABS(0.2-J5244*B5245/I5245)+ABS(0.2-K5244*C5245/I5245)+ABS(0.2-L5244*D5245/I5245)+ABS(0.2-M5244*E5245/I5245)+ABS(0.2-N5244*F5245/I5245)),0)</f>
        <v/>
      </c>
      <c r="Q5245">
        <f>P5245*0.0015</f>
        <v/>
      </c>
      <c r="R5245">
        <f>I5245*(1-Q5245)</f>
        <v/>
      </c>
      <c r="S5245">
        <f>R5245/R5244-1</f>
        <v/>
      </c>
      <c r="T5245">
        <f>MAX(T5244,R5245)</f>
        <v/>
      </c>
      <c r="U5245">
        <f>R5245/T5245-1</f>
        <v/>
      </c>
      <c r="V5245" t="n">
        <v>30.35429114431419</v>
      </c>
      <c r="W5245" s="5">
        <f>R5245-V5245</f>
        <v/>
      </c>
    </row>
    <row r="5246">
      <c r="A5246" s="3" t="n">
        <v>46168</v>
      </c>
      <c r="B5246">
        <f>Prices!B5246</f>
        <v/>
      </c>
      <c r="C5246">
        <f>Prices!C5246</f>
        <v/>
      </c>
      <c r="D5246">
        <f>Prices!D5246</f>
        <v/>
      </c>
      <c r="E5246">
        <f>Prices!E5246</f>
        <v/>
      </c>
      <c r="F5246">
        <f>Prices!F5246</f>
        <v/>
      </c>
      <c r="G5246">
        <f>IF(AND(5244&gt;=16,TEXT(A5246,"yyyy-mm")&lt;&gt;TEXT(A5247,"yyyy-mm")),1,0)</f>
        <v/>
      </c>
      <c r="H5246">
        <f>IF(OR(H5245=1,G5246=1),1,0)</f>
        <v/>
      </c>
      <c r="I5246">
        <f>IF(H5245=0,1,SUMPRODUCT(J5245:N5245,B5246:F5246)+O5245*(1+0.00023125256064071564))</f>
        <v/>
      </c>
      <c r="J5246">
        <f>IF(G5246=1,0.2*R5246/B5246,J5245)</f>
        <v/>
      </c>
      <c r="K5246">
        <f>IF(G5246=1,0.2*R5246/C5246,K5245)</f>
        <v/>
      </c>
      <c r="L5246">
        <f>IF(G5246=1,0.2*R5246/D5246,L5245)</f>
        <v/>
      </c>
      <c r="M5246">
        <f>IF(G5246=1,0.2*R5246/E5246,M5245)</f>
        <v/>
      </c>
      <c r="N5246">
        <f>IF(G5246=1,0.2*R5246/F5246,N5245)</f>
        <v/>
      </c>
      <c r="O5246">
        <f>IF(G5246=1,R5246*(1-1.0),IF(H5245=0,1,O5245*(1+0.00023125256064071564)))</f>
        <v/>
      </c>
      <c r="P5246">
        <f>IF(G5246=1,IF(H5245=0,1,ABS(0.2-J5245*B5246/I5246)+ABS(0.2-K5245*C5246/I5246)+ABS(0.2-L5245*D5246/I5246)+ABS(0.2-M5245*E5246/I5246)+ABS(0.2-N5245*F5246/I5246)),0)</f>
        <v/>
      </c>
      <c r="Q5246">
        <f>P5246*0.0015</f>
        <v/>
      </c>
      <c r="R5246">
        <f>I5246*(1-Q5246)</f>
        <v/>
      </c>
      <c r="S5246">
        <f>R5246/R5245-1</f>
        <v/>
      </c>
      <c r="T5246">
        <f>MAX(T5245,R5246)</f>
        <v/>
      </c>
      <c r="U5246">
        <f>R5246/T5246-1</f>
        <v/>
      </c>
      <c r="V5246" t="n">
        <v>30.41058453119987</v>
      </c>
      <c r="W5246" s="5">
        <f>R5246-V5246</f>
        <v/>
      </c>
    </row>
    <row r="5247">
      <c r="A5247" s="3" t="n">
        <v>46169</v>
      </c>
      <c r="B5247">
        <f>Prices!B5247</f>
        <v/>
      </c>
      <c r="C5247">
        <f>Prices!C5247</f>
        <v/>
      </c>
      <c r="D5247">
        <f>Prices!D5247</f>
        <v/>
      </c>
      <c r="E5247">
        <f>Prices!E5247</f>
        <v/>
      </c>
      <c r="F5247">
        <f>Prices!F5247</f>
        <v/>
      </c>
      <c r="G5247">
        <f>IF(AND(5245&gt;=16,TEXT(A5247,"yyyy-mm")&lt;&gt;TEXT(A5248,"yyyy-mm")),1,0)</f>
        <v/>
      </c>
      <c r="H5247">
        <f>IF(OR(H5246=1,G5247=1),1,0)</f>
        <v/>
      </c>
      <c r="I5247">
        <f>IF(H5246=0,1,SUMPRODUCT(J5246:N5246,B5247:F5247)+O5246*(1+0.00023125256064071564))</f>
        <v/>
      </c>
      <c r="J5247">
        <f>IF(G5247=1,0.2*R5247/B5247,J5246)</f>
        <v/>
      </c>
      <c r="K5247">
        <f>IF(G5247=1,0.2*R5247/C5247,K5246)</f>
        <v/>
      </c>
      <c r="L5247">
        <f>IF(G5247=1,0.2*R5247/D5247,L5246)</f>
        <v/>
      </c>
      <c r="M5247">
        <f>IF(G5247=1,0.2*R5247/E5247,M5246)</f>
        <v/>
      </c>
      <c r="N5247">
        <f>IF(G5247=1,0.2*R5247/F5247,N5246)</f>
        <v/>
      </c>
      <c r="O5247">
        <f>IF(G5247=1,R5247*(1-1.0),IF(H5246=0,1,O5246*(1+0.00023125256064071564)))</f>
        <v/>
      </c>
      <c r="P5247">
        <f>IF(G5247=1,IF(H5246=0,1,ABS(0.2-J5246*B5247/I5247)+ABS(0.2-K5246*C5247/I5247)+ABS(0.2-L5246*D5247/I5247)+ABS(0.2-M5246*E5247/I5247)+ABS(0.2-N5246*F5247/I5247)),0)</f>
        <v/>
      </c>
      <c r="Q5247">
        <f>P5247*0.0015</f>
        <v/>
      </c>
      <c r="R5247">
        <f>I5247*(1-Q5247)</f>
        <v/>
      </c>
      <c r="S5247">
        <f>R5247/R5246-1</f>
        <v/>
      </c>
      <c r="T5247">
        <f>MAX(T5246,R5247)</f>
        <v/>
      </c>
      <c r="U5247">
        <f>R5247/T5247-1</f>
        <v/>
      </c>
      <c r="V5247" t="n">
        <v>30.61937818120978</v>
      </c>
      <c r="W5247" s="5">
        <f>R5247-V5247</f>
        <v/>
      </c>
    </row>
    <row r="5248">
      <c r="A5248" s="3" t="n">
        <v>46171</v>
      </c>
      <c r="B5248">
        <f>Prices!B5248</f>
        <v/>
      </c>
      <c r="C5248">
        <f>Prices!C5248</f>
        <v/>
      </c>
      <c r="D5248">
        <f>Prices!D5248</f>
        <v/>
      </c>
      <c r="E5248">
        <f>Prices!E5248</f>
        <v/>
      </c>
      <c r="F5248">
        <f>Prices!F5248</f>
        <v/>
      </c>
      <c r="G5248">
        <f>IF(AND(5246&gt;=16,TEXT(A5248,"yyyy-mm")&lt;&gt;TEXT(A5249,"yyyy-mm")),1,0)</f>
        <v/>
      </c>
      <c r="H5248">
        <f>IF(OR(H5247=1,G5248=1),1,0)</f>
        <v/>
      </c>
      <c r="I5248">
        <f>IF(H5247=0,1,SUMPRODUCT(J5247:N5247,B5248:F5248)+O5247*(1+0.00023125256064071564))</f>
        <v/>
      </c>
      <c r="J5248">
        <f>IF(G5248=1,0.2*R5248/B5248,J5247)</f>
        <v/>
      </c>
      <c r="K5248">
        <f>IF(G5248=1,0.2*R5248/C5248,K5247)</f>
        <v/>
      </c>
      <c r="L5248">
        <f>IF(G5248=1,0.2*R5248/D5248,L5247)</f>
        <v/>
      </c>
      <c r="M5248">
        <f>IF(G5248=1,0.2*R5248/E5248,M5247)</f>
        <v/>
      </c>
      <c r="N5248">
        <f>IF(G5248=1,0.2*R5248/F5248,N5247)</f>
        <v/>
      </c>
      <c r="O5248">
        <f>IF(G5248=1,R5248*(1-1.0),IF(H5247=0,1,O5247*(1+0.00023125256064071564)))</f>
        <v/>
      </c>
      <c r="P5248">
        <f>IF(G5248=1,IF(H5247=0,1,ABS(0.2-J5247*B5248/I5248)+ABS(0.2-K5247*C5248/I5248)+ABS(0.2-L5247*D5248/I5248)+ABS(0.2-M5247*E5248/I5248)+ABS(0.2-N5247*F5248/I5248)),0)</f>
        <v/>
      </c>
      <c r="Q5248">
        <f>P5248*0.0015</f>
        <v/>
      </c>
      <c r="R5248">
        <f>I5248*(1-Q5248)</f>
        <v/>
      </c>
      <c r="S5248">
        <f>R5248/R5247-1</f>
        <v/>
      </c>
      <c r="T5248">
        <f>MAX(T5247,R5248)</f>
        <v/>
      </c>
      <c r="U5248">
        <f>R5248/T5248-1</f>
        <v/>
      </c>
      <c r="V5248" t="n">
        <v>30.13920206206305</v>
      </c>
      <c r="W5248" s="5">
        <f>R5248-V5248</f>
        <v/>
      </c>
    </row>
    <row r="5249">
      <c r="A5249" s="3" t="n">
        <v>46174</v>
      </c>
      <c r="B5249">
        <f>Prices!B5249</f>
        <v/>
      </c>
      <c r="C5249">
        <f>Prices!C5249</f>
        <v/>
      </c>
      <c r="D5249">
        <f>Prices!D5249</f>
        <v/>
      </c>
      <c r="E5249">
        <f>Prices!E5249</f>
        <v/>
      </c>
      <c r="F5249">
        <f>Prices!F5249</f>
        <v/>
      </c>
      <c r="G5249">
        <f>IF(AND(5247&gt;=16,TEXT(A5249,"yyyy-mm")&lt;&gt;TEXT(A5250,"yyyy-mm")),1,0)</f>
        <v/>
      </c>
      <c r="H5249">
        <f>IF(OR(H5248=1,G5249=1),1,0)</f>
        <v/>
      </c>
      <c r="I5249">
        <f>IF(H5248=0,1,SUMPRODUCT(J5248:N5248,B5249:F5249)+O5248*(1+0.00023125256064071564))</f>
        <v/>
      </c>
      <c r="J5249">
        <f>IF(G5249=1,0.2*R5249/B5249,J5248)</f>
        <v/>
      </c>
      <c r="K5249">
        <f>IF(G5249=1,0.2*R5249/C5249,K5248)</f>
        <v/>
      </c>
      <c r="L5249">
        <f>IF(G5249=1,0.2*R5249/D5249,L5248)</f>
        <v/>
      </c>
      <c r="M5249">
        <f>IF(G5249=1,0.2*R5249/E5249,M5248)</f>
        <v/>
      </c>
      <c r="N5249">
        <f>IF(G5249=1,0.2*R5249/F5249,N5248)</f>
        <v/>
      </c>
      <c r="O5249">
        <f>IF(G5249=1,R5249*(1-1.0),IF(H5248=0,1,O5248*(1+0.00023125256064071564)))</f>
        <v/>
      </c>
      <c r="P5249">
        <f>IF(G5249=1,IF(H5248=0,1,ABS(0.2-J5248*B5249/I5249)+ABS(0.2-K5248*C5249/I5249)+ABS(0.2-L5248*D5249/I5249)+ABS(0.2-M5248*E5249/I5249)+ABS(0.2-N5248*F5249/I5249)),0)</f>
        <v/>
      </c>
      <c r="Q5249">
        <f>P5249*0.0015</f>
        <v/>
      </c>
      <c r="R5249">
        <f>I5249*(1-Q5249)</f>
        <v/>
      </c>
      <c r="S5249">
        <f>R5249/R5248-1</f>
        <v/>
      </c>
      <c r="T5249">
        <f>MAX(T5248,R5249)</f>
        <v/>
      </c>
      <c r="U5249">
        <f>R5249/T5249-1</f>
        <v/>
      </c>
      <c r="V5249" t="n">
        <v>29.7746398030856</v>
      </c>
      <c r="W5249" s="5">
        <f>R5249-V5249</f>
        <v/>
      </c>
    </row>
    <row r="5250">
      <c r="A5250" s="3" t="n">
        <v>46175</v>
      </c>
      <c r="B5250">
        <f>Prices!B5250</f>
        <v/>
      </c>
      <c r="C5250">
        <f>Prices!C5250</f>
        <v/>
      </c>
      <c r="D5250">
        <f>Prices!D5250</f>
        <v/>
      </c>
      <c r="E5250">
        <f>Prices!E5250</f>
        <v/>
      </c>
      <c r="F5250">
        <f>Prices!F5250</f>
        <v/>
      </c>
      <c r="G5250">
        <f>IF(AND(5248&gt;=16,TEXT(A5250,"yyyy-mm")&lt;&gt;TEXT(A5251,"yyyy-mm")),1,0)</f>
        <v/>
      </c>
      <c r="H5250">
        <f>IF(OR(H5249=1,G5250=1),1,0)</f>
        <v/>
      </c>
      <c r="I5250">
        <f>IF(H5249=0,1,SUMPRODUCT(J5249:N5249,B5250:F5250)+O5249*(1+0.00023125256064071564))</f>
        <v/>
      </c>
      <c r="J5250">
        <f>IF(G5250=1,0.2*R5250/B5250,J5249)</f>
        <v/>
      </c>
      <c r="K5250">
        <f>IF(G5250=1,0.2*R5250/C5250,K5249)</f>
        <v/>
      </c>
      <c r="L5250">
        <f>IF(G5250=1,0.2*R5250/D5250,L5249)</f>
        <v/>
      </c>
      <c r="M5250">
        <f>IF(G5250=1,0.2*R5250/E5250,M5249)</f>
        <v/>
      </c>
      <c r="N5250">
        <f>IF(G5250=1,0.2*R5250/F5250,N5249)</f>
        <v/>
      </c>
      <c r="O5250">
        <f>IF(G5250=1,R5250*(1-1.0),IF(H5249=0,1,O5249*(1+0.00023125256064071564)))</f>
        <v/>
      </c>
      <c r="P5250">
        <f>IF(G5250=1,IF(H5249=0,1,ABS(0.2-J5249*B5250/I5250)+ABS(0.2-K5249*C5250/I5250)+ABS(0.2-L5249*D5250/I5250)+ABS(0.2-M5249*E5250/I5250)+ABS(0.2-N5249*F5250/I5250)),0)</f>
        <v/>
      </c>
      <c r="Q5250">
        <f>P5250*0.0015</f>
        <v/>
      </c>
      <c r="R5250">
        <f>I5250*(1-Q5250)</f>
        <v/>
      </c>
      <c r="S5250">
        <f>R5250/R5249-1</f>
        <v/>
      </c>
      <c r="T5250">
        <f>MAX(T5249,R5250)</f>
        <v/>
      </c>
      <c r="U5250">
        <f>R5250/T5250-1</f>
        <v/>
      </c>
      <c r="V5250" t="n">
        <v>29.84279004723239</v>
      </c>
      <c r="W5250" s="5">
        <f>R5250-V5250</f>
        <v/>
      </c>
    </row>
    <row r="5251">
      <c r="A5251" s="3" t="n">
        <v>46176</v>
      </c>
      <c r="B5251">
        <f>Prices!B5251</f>
        <v/>
      </c>
      <c r="C5251">
        <f>Prices!C5251</f>
        <v/>
      </c>
      <c r="D5251">
        <f>Prices!D5251</f>
        <v/>
      </c>
      <c r="E5251">
        <f>Prices!E5251</f>
        <v/>
      </c>
      <c r="F5251">
        <f>Prices!F5251</f>
        <v/>
      </c>
      <c r="G5251">
        <f>IF(AND(5249&gt;=16,TEXT(A5251,"yyyy-mm")&lt;&gt;TEXT(A5252,"yyyy-mm")),1,0)</f>
        <v/>
      </c>
      <c r="H5251">
        <f>IF(OR(H5250=1,G5251=1),1,0)</f>
        <v/>
      </c>
      <c r="I5251">
        <f>IF(H5250=0,1,SUMPRODUCT(J5250:N5250,B5251:F5251)+O5250*(1+0.00023125256064071564))</f>
        <v/>
      </c>
      <c r="J5251">
        <f>IF(G5251=1,0.2*R5251/B5251,J5250)</f>
        <v/>
      </c>
      <c r="K5251">
        <f>IF(G5251=1,0.2*R5251/C5251,K5250)</f>
        <v/>
      </c>
      <c r="L5251">
        <f>IF(G5251=1,0.2*R5251/D5251,L5250)</f>
        <v/>
      </c>
      <c r="M5251">
        <f>IF(G5251=1,0.2*R5251/E5251,M5250)</f>
        <v/>
      </c>
      <c r="N5251">
        <f>IF(G5251=1,0.2*R5251/F5251,N5250)</f>
        <v/>
      </c>
      <c r="O5251">
        <f>IF(G5251=1,R5251*(1-1.0),IF(H5250=0,1,O5250*(1+0.00023125256064071564)))</f>
        <v/>
      </c>
      <c r="P5251">
        <f>IF(G5251=1,IF(H5250=0,1,ABS(0.2-J5250*B5251/I5251)+ABS(0.2-K5250*C5251/I5251)+ABS(0.2-L5250*D5251/I5251)+ABS(0.2-M5250*E5251/I5251)+ABS(0.2-N5250*F5251/I5251)),0)</f>
        <v/>
      </c>
      <c r="Q5251">
        <f>P5251*0.0015</f>
        <v/>
      </c>
      <c r="R5251">
        <f>I5251*(1-Q5251)</f>
        <v/>
      </c>
      <c r="S5251">
        <f>R5251/R5250-1</f>
        <v/>
      </c>
      <c r="T5251">
        <f>MAX(T5250,R5251)</f>
        <v/>
      </c>
      <c r="U5251">
        <f>R5251/T5251-1</f>
        <v/>
      </c>
      <c r="V5251" t="n">
        <v>29.7915550747005</v>
      </c>
      <c r="W5251" s="5">
        <f>R5251-V5251</f>
        <v/>
      </c>
    </row>
    <row r="5252">
      <c r="A5252" s="3" t="n">
        <v>46177</v>
      </c>
      <c r="B5252">
        <f>Prices!B5252</f>
        <v/>
      </c>
      <c r="C5252">
        <f>Prices!C5252</f>
        <v/>
      </c>
      <c r="D5252">
        <f>Prices!D5252</f>
        <v/>
      </c>
      <c r="E5252">
        <f>Prices!E5252</f>
        <v/>
      </c>
      <c r="F5252">
        <f>Prices!F5252</f>
        <v/>
      </c>
      <c r="G5252">
        <f>IF(AND(5250&gt;=16,TEXT(A5252,"yyyy-mm")&lt;&gt;TEXT(A5253,"yyyy-mm")),1,0)</f>
        <v/>
      </c>
      <c r="H5252">
        <f>IF(OR(H5251=1,G5252=1),1,0)</f>
        <v/>
      </c>
      <c r="I5252">
        <f>IF(H5251=0,1,SUMPRODUCT(J5251:N5251,B5252:F5252)+O5251*(1+0.00023125256064071564))</f>
        <v/>
      </c>
      <c r="J5252">
        <f>IF(G5252=1,0.2*R5252/B5252,J5251)</f>
        <v/>
      </c>
      <c r="K5252">
        <f>IF(G5252=1,0.2*R5252/C5252,K5251)</f>
        <v/>
      </c>
      <c r="L5252">
        <f>IF(G5252=1,0.2*R5252/D5252,L5251)</f>
        <v/>
      </c>
      <c r="M5252">
        <f>IF(G5252=1,0.2*R5252/E5252,M5251)</f>
        <v/>
      </c>
      <c r="N5252">
        <f>IF(G5252=1,0.2*R5252/F5252,N5251)</f>
        <v/>
      </c>
      <c r="O5252">
        <f>IF(G5252=1,R5252*(1-1.0),IF(H5251=0,1,O5251*(1+0.00023125256064071564)))</f>
        <v/>
      </c>
      <c r="P5252">
        <f>IF(G5252=1,IF(H5251=0,1,ABS(0.2-J5251*B5252/I5252)+ABS(0.2-K5251*C5252/I5252)+ABS(0.2-L5251*D5252/I5252)+ABS(0.2-M5251*E5252/I5252)+ABS(0.2-N5251*F5252/I5252)),0)</f>
        <v/>
      </c>
      <c r="Q5252">
        <f>P5252*0.0015</f>
        <v/>
      </c>
      <c r="R5252">
        <f>I5252*(1-Q5252)</f>
        <v/>
      </c>
      <c r="S5252">
        <f>R5252/R5251-1</f>
        <v/>
      </c>
      <c r="T5252">
        <f>MAX(T5251,R5252)</f>
        <v/>
      </c>
      <c r="U5252">
        <f>R5252/T5252-1</f>
        <v/>
      </c>
      <c r="V5252" t="n">
        <v>29.92200285587754</v>
      </c>
      <c r="W5252" s="5">
        <f>R5252-V5252</f>
        <v/>
      </c>
    </row>
    <row r="5253">
      <c r="A5253" s="3" t="n">
        <v>46178</v>
      </c>
      <c r="B5253">
        <f>Prices!B5253</f>
        <v/>
      </c>
      <c r="C5253">
        <f>Prices!C5253</f>
        <v/>
      </c>
      <c r="D5253">
        <f>Prices!D5253</f>
        <v/>
      </c>
      <c r="E5253">
        <f>Prices!E5253</f>
        <v/>
      </c>
      <c r="F5253">
        <f>Prices!F5253</f>
        <v/>
      </c>
      <c r="G5253">
        <f>IF(AND(5251&gt;=16,TEXT(A5253,"yyyy-mm")&lt;&gt;TEXT(A5254,"yyyy-mm")),1,0)</f>
        <v/>
      </c>
      <c r="H5253">
        <f>IF(OR(H5252=1,G5253=1),1,0)</f>
        <v/>
      </c>
      <c r="I5253">
        <f>IF(H5252=0,1,SUMPRODUCT(J5252:N5252,B5253:F5253)+O5252*(1+0.00023125256064071564))</f>
        <v/>
      </c>
      <c r="J5253">
        <f>IF(G5253=1,0.2*R5253/B5253,J5252)</f>
        <v/>
      </c>
      <c r="K5253">
        <f>IF(G5253=1,0.2*R5253/C5253,K5252)</f>
        <v/>
      </c>
      <c r="L5253">
        <f>IF(G5253=1,0.2*R5253/D5253,L5252)</f>
        <v/>
      </c>
      <c r="M5253">
        <f>IF(G5253=1,0.2*R5253/E5253,M5252)</f>
        <v/>
      </c>
      <c r="N5253">
        <f>IF(G5253=1,0.2*R5253/F5253,N5252)</f>
        <v/>
      </c>
      <c r="O5253">
        <f>IF(G5253=1,R5253*(1-1.0),IF(H5252=0,1,O5252*(1+0.00023125256064071564)))</f>
        <v/>
      </c>
      <c r="P5253">
        <f>IF(G5253=1,IF(H5252=0,1,ABS(0.2-J5252*B5253/I5253)+ABS(0.2-K5252*C5253/I5253)+ABS(0.2-L5252*D5253/I5253)+ABS(0.2-M5252*E5253/I5253)+ABS(0.2-N5252*F5253/I5253)),0)</f>
        <v/>
      </c>
      <c r="Q5253">
        <f>P5253*0.0015</f>
        <v/>
      </c>
      <c r="R5253">
        <f>I5253*(1-Q5253)</f>
        <v/>
      </c>
      <c r="S5253">
        <f>R5253/R5252-1</f>
        <v/>
      </c>
      <c r="T5253">
        <f>MAX(T5252,R5253)</f>
        <v/>
      </c>
      <c r="U5253">
        <f>R5253/T5253-1</f>
        <v/>
      </c>
      <c r="V5253" t="n">
        <v>29.80959566177809</v>
      </c>
      <c r="W5253" s="5">
        <f>R5253-V5253</f>
        <v/>
      </c>
    </row>
    <row r="5254">
      <c r="A5254" s="3" t="n">
        <v>46181</v>
      </c>
      <c r="B5254">
        <f>Prices!B5254</f>
        <v/>
      </c>
      <c r="C5254">
        <f>Prices!C5254</f>
        <v/>
      </c>
      <c r="D5254">
        <f>Prices!D5254</f>
        <v/>
      </c>
      <c r="E5254">
        <f>Prices!E5254</f>
        <v/>
      </c>
      <c r="F5254">
        <f>Prices!F5254</f>
        <v/>
      </c>
      <c r="G5254">
        <f>IF(AND(5252&gt;=16,TEXT(A5254,"yyyy-mm")&lt;&gt;TEXT(A5255,"yyyy-mm")),1,0)</f>
        <v/>
      </c>
      <c r="H5254">
        <f>IF(OR(H5253=1,G5254=1),1,0)</f>
        <v/>
      </c>
      <c r="I5254">
        <f>IF(H5253=0,1,SUMPRODUCT(J5253:N5253,B5254:F5254)+O5253*(1+0.00023125256064071564))</f>
        <v/>
      </c>
      <c r="J5254">
        <f>IF(G5254=1,0.2*R5254/B5254,J5253)</f>
        <v/>
      </c>
      <c r="K5254">
        <f>IF(G5254=1,0.2*R5254/C5254,K5253)</f>
        <v/>
      </c>
      <c r="L5254">
        <f>IF(G5254=1,0.2*R5254/D5254,L5253)</f>
        <v/>
      </c>
      <c r="M5254">
        <f>IF(G5254=1,0.2*R5254/E5254,M5253)</f>
        <v/>
      </c>
      <c r="N5254">
        <f>IF(G5254=1,0.2*R5254/F5254,N5253)</f>
        <v/>
      </c>
      <c r="O5254">
        <f>IF(G5254=1,R5254*(1-1.0),IF(H5253=0,1,O5253*(1+0.00023125256064071564)))</f>
        <v/>
      </c>
      <c r="P5254">
        <f>IF(G5254=1,IF(H5253=0,1,ABS(0.2-J5253*B5254/I5254)+ABS(0.2-K5253*C5254/I5254)+ABS(0.2-L5253*D5254/I5254)+ABS(0.2-M5253*E5254/I5254)+ABS(0.2-N5253*F5254/I5254)),0)</f>
        <v/>
      </c>
      <c r="Q5254">
        <f>P5254*0.0015</f>
        <v/>
      </c>
      <c r="R5254">
        <f>I5254*(1-Q5254)</f>
        <v/>
      </c>
      <c r="S5254">
        <f>R5254/R5253-1</f>
        <v/>
      </c>
      <c r="T5254">
        <f>MAX(T5253,R5254)</f>
        <v/>
      </c>
      <c r="U5254">
        <f>R5254/T5254-1</f>
        <v/>
      </c>
      <c r="V5254" t="n">
        <v>29.35840820614309</v>
      </c>
      <c r="W5254" s="5">
        <f>R5254-V5254</f>
        <v/>
      </c>
    </row>
    <row r="5255">
      <c r="A5255" s="3" t="n">
        <v>46182</v>
      </c>
      <c r="B5255">
        <f>Prices!B5255</f>
        <v/>
      </c>
      <c r="C5255">
        <f>Prices!C5255</f>
        <v/>
      </c>
      <c r="D5255">
        <f>Prices!D5255</f>
        <v/>
      </c>
      <c r="E5255">
        <f>Prices!E5255</f>
        <v/>
      </c>
      <c r="F5255">
        <f>Prices!F5255</f>
        <v/>
      </c>
      <c r="G5255">
        <f>IF(AND(5253&gt;=16,TEXT(A5255,"yyyy-mm")&lt;&gt;TEXT(A5256,"yyyy-mm")),1,0)</f>
        <v/>
      </c>
      <c r="H5255">
        <f>IF(OR(H5254=1,G5255=1),1,0)</f>
        <v/>
      </c>
      <c r="I5255">
        <f>IF(H5254=0,1,SUMPRODUCT(J5254:N5254,B5255:F5255)+O5254*(1+0.00023125256064071564))</f>
        <v/>
      </c>
      <c r="J5255">
        <f>IF(G5255=1,0.2*R5255/B5255,J5254)</f>
        <v/>
      </c>
      <c r="K5255">
        <f>IF(G5255=1,0.2*R5255/C5255,K5254)</f>
        <v/>
      </c>
      <c r="L5255">
        <f>IF(G5255=1,0.2*R5255/D5255,L5254)</f>
        <v/>
      </c>
      <c r="M5255">
        <f>IF(G5255=1,0.2*R5255/E5255,M5254)</f>
        <v/>
      </c>
      <c r="N5255">
        <f>IF(G5255=1,0.2*R5255/F5255,N5254)</f>
        <v/>
      </c>
      <c r="O5255">
        <f>IF(G5255=1,R5255*(1-1.0),IF(H5254=0,1,O5254*(1+0.00023125256064071564)))</f>
        <v/>
      </c>
      <c r="P5255">
        <f>IF(G5255=1,IF(H5254=0,1,ABS(0.2-J5254*B5255/I5255)+ABS(0.2-K5254*C5255/I5255)+ABS(0.2-L5254*D5255/I5255)+ABS(0.2-M5254*E5255/I5255)+ABS(0.2-N5254*F5255/I5255)),0)</f>
        <v/>
      </c>
      <c r="Q5255">
        <f>P5255*0.0015</f>
        <v/>
      </c>
      <c r="R5255">
        <f>I5255*(1-Q5255)</f>
        <v/>
      </c>
      <c r="S5255">
        <f>R5255/R5254-1</f>
        <v/>
      </c>
      <c r="T5255">
        <f>MAX(T5254,R5255)</f>
        <v/>
      </c>
      <c r="U5255">
        <f>R5255/T5255-1</f>
        <v/>
      </c>
      <c r="V5255" t="n">
        <v>29.71874873257379</v>
      </c>
      <c r="W5255" s="5">
        <f>R5255-V5255</f>
        <v/>
      </c>
    </row>
    <row r="5256">
      <c r="A5256" s="3" t="n">
        <v>46183</v>
      </c>
      <c r="B5256">
        <f>Prices!B5256</f>
        <v/>
      </c>
      <c r="C5256">
        <f>Prices!C5256</f>
        <v/>
      </c>
      <c r="D5256">
        <f>Prices!D5256</f>
        <v/>
      </c>
      <c r="E5256">
        <f>Prices!E5256</f>
        <v/>
      </c>
      <c r="F5256">
        <f>Prices!F5256</f>
        <v/>
      </c>
      <c r="G5256">
        <f>IF(AND(5254&gt;=16,TEXT(A5256,"yyyy-mm")&lt;&gt;TEXT(A5257,"yyyy-mm")),1,0)</f>
        <v/>
      </c>
      <c r="H5256">
        <f>IF(OR(H5255=1,G5256=1),1,0)</f>
        <v/>
      </c>
      <c r="I5256">
        <f>IF(H5255=0,1,SUMPRODUCT(J5255:N5255,B5256:F5256)+O5255*(1+0.00023125256064071564))</f>
        <v/>
      </c>
      <c r="J5256">
        <f>IF(G5256=1,0.2*R5256/B5256,J5255)</f>
        <v/>
      </c>
      <c r="K5256">
        <f>IF(G5256=1,0.2*R5256/C5256,K5255)</f>
        <v/>
      </c>
      <c r="L5256">
        <f>IF(G5256=1,0.2*R5256/D5256,L5255)</f>
        <v/>
      </c>
      <c r="M5256">
        <f>IF(G5256=1,0.2*R5256/E5256,M5255)</f>
        <v/>
      </c>
      <c r="N5256">
        <f>IF(G5256=1,0.2*R5256/F5256,N5255)</f>
        <v/>
      </c>
      <c r="O5256">
        <f>IF(G5256=1,R5256*(1-1.0),IF(H5255=0,1,O5255*(1+0.00023125256064071564)))</f>
        <v/>
      </c>
      <c r="P5256">
        <f>IF(G5256=1,IF(H5255=0,1,ABS(0.2-J5255*B5256/I5256)+ABS(0.2-K5255*C5256/I5256)+ABS(0.2-L5255*D5256/I5256)+ABS(0.2-M5255*E5256/I5256)+ABS(0.2-N5255*F5256/I5256)),0)</f>
        <v/>
      </c>
      <c r="Q5256">
        <f>P5256*0.0015</f>
        <v/>
      </c>
      <c r="R5256">
        <f>I5256*(1-Q5256)</f>
        <v/>
      </c>
      <c r="S5256">
        <f>R5256/R5255-1</f>
        <v/>
      </c>
      <c r="T5256">
        <f>MAX(T5255,R5256)</f>
        <v/>
      </c>
      <c r="U5256">
        <f>R5256/T5256-1</f>
        <v/>
      </c>
      <c r="V5256" t="n">
        <v>29.3341027609477</v>
      </c>
      <c r="W5256" s="5">
        <f>R5256-V5256</f>
        <v/>
      </c>
    </row>
    <row r="5257">
      <c r="A5257" s="3" t="n">
        <v>46184</v>
      </c>
      <c r="B5257">
        <f>Prices!B5257</f>
        <v/>
      </c>
      <c r="C5257">
        <f>Prices!C5257</f>
        <v/>
      </c>
      <c r="D5257">
        <f>Prices!D5257</f>
        <v/>
      </c>
      <c r="E5257">
        <f>Prices!E5257</f>
        <v/>
      </c>
      <c r="F5257">
        <f>Prices!F5257</f>
        <v/>
      </c>
      <c r="G5257">
        <f>IF(AND(5255&gt;=16,TRUE),1,0)</f>
        <v/>
      </c>
      <c r="H5257">
        <f>IF(OR(H5256=1,G5257=1),1,0)</f>
        <v/>
      </c>
      <c r="I5257">
        <f>IF(H5256=0,1,SUMPRODUCT(J5256:N5256,B5257:F5257)+O5256*(1+0.00023125256064071564))</f>
        <v/>
      </c>
      <c r="J5257">
        <f>IF(G5257=1,0.2*R5257/B5257,J5256)</f>
        <v/>
      </c>
      <c r="K5257">
        <f>IF(G5257=1,0.2*R5257/C5257,K5256)</f>
        <v/>
      </c>
      <c r="L5257">
        <f>IF(G5257=1,0.2*R5257/D5257,L5256)</f>
        <v/>
      </c>
      <c r="M5257">
        <f>IF(G5257=1,0.2*R5257/E5257,M5256)</f>
        <v/>
      </c>
      <c r="N5257">
        <f>IF(G5257=1,0.2*R5257/F5257,N5256)</f>
        <v/>
      </c>
      <c r="O5257">
        <f>IF(G5257=1,R5257*(1-1.0),IF(H5256=0,1,O5256*(1+0.00023125256064071564)))</f>
        <v/>
      </c>
      <c r="P5257">
        <f>IF(G5257=1,IF(H5256=0,1,ABS(0.2-J5256*B5257/I5257)+ABS(0.2-K5256*C5257/I5257)+ABS(0.2-L5256*D5257/I5257)+ABS(0.2-M5256*E5257/I5257)+ABS(0.2-N5256*F5257/I5257)),0)</f>
        <v/>
      </c>
      <c r="Q5257">
        <f>P5257*0.0015</f>
        <v/>
      </c>
      <c r="R5257">
        <f>I5257*(1-Q5257)</f>
        <v/>
      </c>
      <c r="S5257">
        <f>R5257/R5256-1</f>
        <v/>
      </c>
      <c r="T5257">
        <f>MAX(T5256,R5257)</f>
        <v/>
      </c>
      <c r="U5257">
        <f>R5257/T5257-1</f>
        <v/>
      </c>
      <c r="V5257" t="n">
        <v>29.10117999304714</v>
      </c>
      <c r="W5257" s="5">
        <f>R5257-V5257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46" customWidth="1" min="2" max="2"/>
    <col width="24" customWidth="1" min="3" max="3"/>
  </cols>
  <sheetData>
    <row r="1">
      <c r="A1" s="2" t="inlineStr">
        <is>
          <t>Metric</t>
        </is>
      </c>
      <c r="B1" s="2" t="inlineStr">
        <is>
          <t>Excel (live formula)</t>
        </is>
      </c>
      <c r="C1" s="2" t="inlineStr">
        <is>
          <t>Note</t>
        </is>
      </c>
    </row>
    <row r="2">
      <c r="A2" t="inlineStr">
        <is>
          <t>Final NAV</t>
        </is>
      </c>
      <c r="B2">
        <f>Backtest!R5257</f>
        <v/>
      </c>
      <c r="C2" t="inlineStr">
        <is>
          <t>grew from 1.00</t>
        </is>
      </c>
    </row>
    <row r="3">
      <c r="A3" t="inlineStr">
        <is>
          <t>CAGR</t>
        </is>
      </c>
      <c r="B3">
        <f>(Backtest!R5257/Backtest!R2)^(1/((Backtest!A5257-Backtest!A2)/365.25))-1</f>
        <v/>
      </c>
      <c r="C3" t="inlineStr"/>
    </row>
    <row r="4">
      <c r="A4" t="inlineStr">
        <is>
          <t>Annualised volatility</t>
        </is>
      </c>
      <c r="B4">
        <f>STDEV.S(Backtest!S2:S5257)*SQRT(252)</f>
        <v/>
      </c>
      <c r="C4" t="inlineStr">
        <is>
          <t>sample sd x sqrt(252)</t>
        </is>
      </c>
    </row>
    <row r="5">
      <c r="A5" t="inlineStr">
        <is>
          <t>Max drawdown</t>
        </is>
      </c>
      <c r="B5">
        <f>-MIN(Backtest!U2:U5257)</f>
        <v/>
      </c>
      <c r="C5" t="inlineStr"/>
    </row>
    <row r="6">
      <c r="A6" t="inlineStr">
        <is>
          <t>Compounded cash return (CAGR)</t>
        </is>
      </c>
      <c r="B6">
        <f>((1+0.00023125256064071564)^(5256/((Backtest!A5257-Backtest!A2)/365.25))-1)</f>
        <v/>
      </c>
      <c r="C6" t="inlineStr">
        <is>
          <t>flat proxy -- see READ ME</t>
        </is>
      </c>
    </row>
    <row r="7">
      <c r="A7" t="inlineStr">
        <is>
          <t>Sharpe (geometric, paper definition)</t>
        </is>
      </c>
      <c r="B7">
        <f>(B3-B6)/B4</f>
        <v/>
      </c>
      <c r="C7" t="inlineStr">
        <is>
          <t>(CAGR - cash) / vol</t>
        </is>
      </c>
    </row>
    <row r="8">
      <c r="A8" t="inlineStr">
        <is>
          <t>Sharpe (conventional)</t>
        </is>
      </c>
      <c r="B8">
        <f>(AVERAGE(Backtest!S2:S5257)-0.00023125256064071564)/STDEV.S(Backtest!S2:S5257)*SQRT(252)</f>
        <v/>
      </c>
      <c r="C8" t="inlineStr">
        <is>
          <t>mean excess / sd</t>
        </is>
      </c>
    </row>
    <row r="9">
      <c r="A9" t="inlineStr">
        <is>
          <t>Total cost paid (fraction of NAV)</t>
        </is>
      </c>
      <c r="B9">
        <f>SUM(Backtest!Q2:Q5257)</f>
        <v/>
      </c>
      <c r="C9" t="inlineStr"/>
    </row>
    <row r="10">
      <c r="A10" t="inlineStr">
        <is>
          <t>Total turnover (one-way)</t>
        </is>
      </c>
      <c r="B10">
        <f>SUM(Backtest!P2:P5257)/2</f>
        <v/>
      </c>
      <c r="C10" t="inlineStr"/>
    </row>
    <row r="11">
      <c r="A11" t="inlineStr">
        <is>
          <t>Number of rebalances</t>
        </is>
      </c>
      <c r="B11">
        <f>SUM(Backtest!G2:G5257)</f>
        <v/>
      </c>
      <c r="C11" t="inlineStr"/>
    </row>
    <row r="12">
      <c r="A12" t="inlineStr"/>
      <c r="B12" t="inlineStr"/>
      <c r="C12" t="inlineStr"/>
    </row>
    <row r="13">
      <c r="A13" s="6" t="inlineStr">
        <is>
          <t>LARGEST NAV DIFFERENCE vs engine</t>
        </is>
      </c>
      <c r="B13" s="5">
        <f>MAX(MAX(Backtest!W2:W5257),-MIN(Backtest!W2:W5257))</f>
        <v/>
      </c>
      <c r="C13" t="inlineStr">
        <is>
          <t>should be ~1e-15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2026-09-16T12:32:00Z</dcterms:created>
  <dcterms:modified xsi:type="dcterms:W3CDTF">2026-09-16T12:32:01Z</dcterms:modified>
</cp:coreProperties>
</file>